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jurkat_lysate_NP40_R2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667" i="1" l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<sst xmlns="http://schemas.openxmlformats.org/spreadsheetml/2006/main" count="53338" uniqueCount="33105">
  <si>
    <t>Protein_ID</t>
  </si>
  <si>
    <t>plot</t>
  </si>
  <si>
    <t>gene_name</t>
  </si>
  <si>
    <t>uniprot_ac</t>
  </si>
  <si>
    <t>auc</t>
  </si>
  <si>
    <t>plot_link</t>
  </si>
  <si>
    <t>A0AVT1_UBA6</t>
  </si>
  <si>
    <t>A0JNW5_UHRF1BP1L</t>
  </si>
  <si>
    <t>A0MZ66-4_KIAA1598</t>
  </si>
  <si>
    <t>A0PJW6_TMEM223</t>
  </si>
  <si>
    <t>A1L0T0_ILVBL</t>
  </si>
  <si>
    <t>A1L188_C17orf89</t>
  </si>
  <si>
    <t>A1L3A6_NUFIP2</t>
  </si>
  <si>
    <t>A1X283_SH3PXD2B</t>
  </si>
  <si>
    <t>A2A274_ACO2</t>
  </si>
  <si>
    <t>A2A2G4_ALG6</t>
  </si>
  <si>
    <t>A2A2V1_PRNP</t>
  </si>
  <si>
    <t>A2A3N6_PIPSL</t>
  </si>
  <si>
    <t>A2ABK1_NELFE</t>
  </si>
  <si>
    <t>A2RRP1_NBAS</t>
  </si>
  <si>
    <t>A2RU67_KIAA1467</t>
  </si>
  <si>
    <t>A2VDF0-2_FUOM</t>
  </si>
  <si>
    <t>A3KMH1-3_VWA8</t>
  </si>
  <si>
    <t>A3KN83-3_SBNO1</t>
  </si>
  <si>
    <t>A4D161-2_FAM221A</t>
  </si>
  <si>
    <t>A4D1E9_GTPBP10</t>
  </si>
  <si>
    <t>A4D1U4_LCHN</t>
  </si>
  <si>
    <t>A4D1W8_UCC1</t>
  </si>
  <si>
    <t>A4D2B0_MBLAC1</t>
  </si>
  <si>
    <t>A5PLL7_TMEM189</t>
  </si>
  <si>
    <t>A5PLN9-7_TRAPPC13</t>
  </si>
  <si>
    <t>A5YKK6_CNOT1</t>
  </si>
  <si>
    <t>A6NC98_CCDC88B</t>
  </si>
  <si>
    <t>A6NDG6_PGP</t>
  </si>
  <si>
    <t>A6NED2_RCCD1</t>
  </si>
  <si>
    <t>A6NEM2_HCFC1</t>
  </si>
  <si>
    <t>A6NEM5_PIGK</t>
  </si>
  <si>
    <t>A6NF48_ZNF281</t>
  </si>
  <si>
    <t>A6NFI3_ZNF316</t>
  </si>
  <si>
    <t>A6NFX8_NUDT5</t>
  </si>
  <si>
    <t>A6NG32_CHMP1A</t>
  </si>
  <si>
    <t>A6NG79_PRCC</t>
  </si>
  <si>
    <t>A6NGP5_HN1L</t>
  </si>
  <si>
    <t>A6NHB5_ZMYM3</t>
  </si>
  <si>
    <t>A6NHL2-2_TUBAL3</t>
  </si>
  <si>
    <t>A6NHQ2_FBLL1</t>
  </si>
  <si>
    <t>A6NHR9_SMCHD1</t>
  </si>
  <si>
    <t>A6NHX0_GATSL2</t>
  </si>
  <si>
    <t>A6NIH7_UNC119B</t>
  </si>
  <si>
    <t>A6NIW2_DOCK11</t>
  </si>
  <si>
    <t>A6NIZ0_NDEL1</t>
  </si>
  <si>
    <t>A6NJ78_METTL15</t>
  </si>
  <si>
    <t>A6NK58_LIPT2</t>
  </si>
  <si>
    <t>A6NKD9_CCDC85C</t>
  </si>
  <si>
    <t>A6NKF9_GPR89C</t>
  </si>
  <si>
    <t>A6NLH6_CNIH4</t>
  </si>
  <si>
    <t>A6NMH6_SEPT8</t>
  </si>
  <si>
    <t>A6NML8_DIAPH2</t>
  </si>
  <si>
    <t>A6NMN0_PHKA1</t>
  </si>
  <si>
    <t>A6NMQ1_POLA1</t>
  </si>
  <si>
    <t>A6NN80_ANXA6</t>
  </si>
  <si>
    <t>A6PVN5_PPP2R4</t>
  </si>
  <si>
    <t>A6QL63_BTBD11</t>
  </si>
  <si>
    <t>A8K0B5_ZBTB8OS</t>
  </si>
  <si>
    <t>A8K0M9_SELK</t>
  </si>
  <si>
    <t>A8K186_ZNF276</t>
  </si>
  <si>
    <t>A8MPS7_YDJC</t>
  </si>
  <si>
    <t>A8MQ02_MLLT4</t>
  </si>
  <si>
    <t>A8MQ14_ZNF850</t>
  </si>
  <si>
    <t>A8MT02_SNRPB</t>
  </si>
  <si>
    <t>A8MTG8_ARMC8</t>
  </si>
  <si>
    <t>A8MTY9_DSCR3</t>
  </si>
  <si>
    <t>A8MTZ6_S100PBP</t>
  </si>
  <si>
    <t>A8MUA9_SUMO3</t>
  </si>
  <si>
    <t>A8MUB1_TUBA4A</t>
  </si>
  <si>
    <t>A8MUM1_TSSC1</t>
  </si>
  <si>
    <t>A8MV73_ATF7IP</t>
  </si>
  <si>
    <t>A8MVW0_FAM171A2</t>
  </si>
  <si>
    <t>A8MVZ6_BICD1</t>
  </si>
  <si>
    <t>A8MW61_PLRG1</t>
  </si>
  <si>
    <t>A8MXP9_MATR3</t>
  </si>
  <si>
    <t>A8MYN5_ADH1B</t>
  </si>
  <si>
    <t>A8MZ84_LAIR1</t>
  </si>
  <si>
    <t>A9UHW6_MIF4GD</t>
  </si>
  <si>
    <t>A9Z1X7_SRRM1</t>
  </si>
  <si>
    <t>B0AZU2_KIAA0930</t>
  </si>
  <si>
    <t>B0FLL2_PFKFB2</t>
  </si>
  <si>
    <t>B0I1T2_MYO1G</t>
  </si>
  <si>
    <t>B0QY89_EIF3L</t>
  </si>
  <si>
    <t>B0QY95_SMCR7L</t>
  </si>
  <si>
    <t>B0QYI3_TBC1D22A</t>
  </si>
  <si>
    <t>B0QYK0_EWSR1</t>
  </si>
  <si>
    <t>B0UX83_BAG6</t>
  </si>
  <si>
    <t>B0UXB6_ABHD16A</t>
  </si>
  <si>
    <t>B0UZY3_EHMT2</t>
  </si>
  <si>
    <t>B0V043_VARS</t>
  </si>
  <si>
    <t>B0YIW2_APOC3</t>
  </si>
  <si>
    <t>B1AHD1_NHP2L1</t>
  </si>
  <si>
    <t>B1AHQ6_CENPM</t>
  </si>
  <si>
    <t>B1AJU2_TRAF3IP3</t>
  </si>
  <si>
    <t>B1AJY7_PSMD10</t>
  </si>
  <si>
    <t>B1AK13_HMGCL</t>
  </si>
  <si>
    <t>B1AK44_MAD2L2</t>
  </si>
  <si>
    <t>B1AKC9_EPHB2</t>
  </si>
  <si>
    <t>B1AKJ5_NRD1</t>
  </si>
  <si>
    <t>B1AKJ6_OSBPL9</t>
  </si>
  <si>
    <t>B1AKL4_EIF4ENIF1</t>
  </si>
  <si>
    <t>B1AKN7_NFIA</t>
  </si>
  <si>
    <t>B1AKR6_DYNLRB1</t>
  </si>
  <si>
    <t>B1AKZ5_PEA15</t>
  </si>
  <si>
    <t>B1AL69_CDC37L1</t>
  </si>
  <si>
    <t>B1ALK7_ARHGEF7</t>
  </si>
  <si>
    <t>B1ALM5_TMEM9</t>
  </si>
  <si>
    <t>B1AMF0_UBE2J2</t>
  </si>
  <si>
    <t>B1AMS2_SEPT6</t>
  </si>
  <si>
    <t>B1AMU7_EXOSC1</t>
  </si>
  <si>
    <t>B1AMW1_CD58</t>
  </si>
  <si>
    <t>B1AN89_EIF4G3</t>
  </si>
  <si>
    <t>B1AN99_PRSS3</t>
  </si>
  <si>
    <t>B1ANH0_GUK1</t>
  </si>
  <si>
    <t>B1AQP1_USF1</t>
  </si>
  <si>
    <t>B1AZV3_TAP1</t>
  </si>
  <si>
    <t>B2WTI3_JMJD6</t>
  </si>
  <si>
    <t>B3FL70_DOCK10.2</t>
  </si>
  <si>
    <t>B3KPJ4_PHC2</t>
  </si>
  <si>
    <t>B3KRR0_ERCC1</t>
  </si>
  <si>
    <t>B3KS98_EIF3S3</t>
  </si>
  <si>
    <t>B3KSH1_EIF3F</t>
  </si>
  <si>
    <t>B3KSI9_LZTFL1</t>
  </si>
  <si>
    <t>B3KUK2_SOD2</t>
  </si>
  <si>
    <t>B3KVH8_PHF23</t>
  </si>
  <si>
    <t>B3KXW5_AP1G1</t>
  </si>
  <si>
    <t>B3KY83_RXRA</t>
  </si>
  <si>
    <t>B3KY94_CDIPT</t>
  </si>
  <si>
    <t>B4DDF4_CNN2</t>
  </si>
  <si>
    <t>B4DDY8_HARS2</t>
  </si>
  <si>
    <t>B4DE60_REEP2</t>
  </si>
  <si>
    <t>B4DEB8_TSPAN7</t>
  </si>
  <si>
    <t>B4DEX5_PRNPIP</t>
  </si>
  <si>
    <t>B4DEZ3_NDUFA13</t>
  </si>
  <si>
    <t>B4DF47_MSTO1</t>
  </si>
  <si>
    <t>B4DF64_HAUS3</t>
  </si>
  <si>
    <t>B4DFI9_HUS1</t>
  </si>
  <si>
    <t>B4DGU4_CTNNB1</t>
  </si>
  <si>
    <t>B4DGX2_PIP4K2A</t>
  </si>
  <si>
    <t>B4DH26_DCUN1D4</t>
  </si>
  <si>
    <t>B4DH53_MAP1S</t>
  </si>
  <si>
    <t>B4DH70_FBXW11</t>
  </si>
  <si>
    <t>B4DHJ7_BNIP3</t>
  </si>
  <si>
    <t>B4DHL3_LRRC28</t>
  </si>
  <si>
    <t>B4DHT5_ACSF2</t>
  </si>
  <si>
    <t>B4DIG7_PIP5K1B</t>
  </si>
  <si>
    <t>B4DJA5_RAB5A</t>
  </si>
  <si>
    <t>B4DJI5_ISCA1</t>
  </si>
  <si>
    <t>B4DJN5_PRKCH</t>
  </si>
  <si>
    <t>B4DJP7_SNRPD3</t>
  </si>
  <si>
    <t>B4DJV2_CS</t>
  </si>
  <si>
    <t>B4DKF9_ZNF286A</t>
  </si>
  <si>
    <t>B4DL05_SHQ1</t>
  </si>
  <si>
    <t>B4DL54_CHURC1-FNTB</t>
  </si>
  <si>
    <t>B4DLN1_SLC25A10</t>
  </si>
  <si>
    <t>B4DLT4_RPS6KB1</t>
  </si>
  <si>
    <t>B4DLU3_PGS1</t>
  </si>
  <si>
    <t>B4DLZ9_RNF220</t>
  </si>
  <si>
    <t>B4DN34_MRPL48</t>
  </si>
  <si>
    <t>B4DNC9_ISCU</t>
  </si>
  <si>
    <t>B4DNW0_ACY1</t>
  </si>
  <si>
    <t>B4DP21_PTGES3</t>
  </si>
  <si>
    <t>B4DPY8_TOX4</t>
  </si>
  <si>
    <t>B4DQI6_TRA2A</t>
  </si>
  <si>
    <t>B4DQJ8_PGD</t>
  </si>
  <si>
    <t>B4DR12_MGRN1</t>
  </si>
  <si>
    <t>B4DR61_SEC61A1</t>
  </si>
  <si>
    <t>B4DRL9_CHM</t>
  </si>
  <si>
    <t>B4DS52_TXNDC15</t>
  </si>
  <si>
    <t>B4DSD4_C9orf41</t>
  </si>
  <si>
    <t>B4DSS8_PTBP2</t>
  </si>
  <si>
    <t>B4DT77_ANXA7</t>
  </si>
  <si>
    <t>B4DTZ6_SLC9A1</t>
  </si>
  <si>
    <t>B4DUE9_SERINC3</t>
  </si>
  <si>
    <t>B4DVB0_OSBPL5</t>
  </si>
  <si>
    <t>B4DVE7_ANXA11</t>
  </si>
  <si>
    <t>B4DVY1_EIF3D</t>
  </si>
  <si>
    <t>B4DWF2_ZNFN1A2</t>
  </si>
  <si>
    <t>B4DWI1_HACL1</t>
  </si>
  <si>
    <t>B4DXZ6_FXR1</t>
  </si>
  <si>
    <t>B4DYB4_NUP35</t>
  </si>
  <si>
    <t>B4DZH6_HDAC6</t>
  </si>
  <si>
    <t>B4E0E3_TMEM134</t>
  </si>
  <si>
    <t>B4E0T2_PEX5</t>
  </si>
  <si>
    <t>B4E0T7_LRCH3</t>
  </si>
  <si>
    <t>B4E0Y9_MST4</t>
  </si>
  <si>
    <t>B4E1F4_EDEM2</t>
  </si>
  <si>
    <t>B4E1G1_DERL1</t>
  </si>
  <si>
    <t>B4E1Q4_RIOK3</t>
  </si>
  <si>
    <t>B4E241_SFRS3</t>
  </si>
  <si>
    <t>B4E2C0_GPC4</t>
  </si>
  <si>
    <t>B4E2S7_LAMP2</t>
  </si>
  <si>
    <t>B4E2V5_STOM</t>
  </si>
  <si>
    <t>B4E2X3_METTL13</t>
  </si>
  <si>
    <t>B4E3Q4_CECR1</t>
  </si>
  <si>
    <t>B5MBX5_LBH</t>
  </si>
  <si>
    <t>B5MCD7_SYNGR1</t>
  </si>
  <si>
    <t>B5MCF9_PES1</t>
  </si>
  <si>
    <t>B5MCN7_NCOA1</t>
  </si>
  <si>
    <t>B5MCT7_PPM1F</t>
  </si>
  <si>
    <t>B5MCT9_STXBP4</t>
  </si>
  <si>
    <t>B5MDB6_NLRC3</t>
  </si>
  <si>
    <t>B5MDE0_RFT1</t>
  </si>
  <si>
    <t>B5MDU6_C2orf43</t>
  </si>
  <si>
    <t>B7WNT5_TCF7</t>
  </si>
  <si>
    <t>B7WP27_CWC22</t>
  </si>
  <si>
    <t>B7WPE2_EML3</t>
  </si>
  <si>
    <t>B7WPL0_RIC8B</t>
  </si>
  <si>
    <t>B7Z1R5_ATP6V1A</t>
  </si>
  <si>
    <t>B7Z254_PDIA6</t>
  </si>
  <si>
    <t>B7Z291_MTMR9</t>
  </si>
  <si>
    <t>B7Z2B2_MFSD8</t>
  </si>
  <si>
    <t>B7Z2S5_TXNRD1</t>
  </si>
  <si>
    <t>B7Z3I9_ALAD</t>
  </si>
  <si>
    <t>B7Z3K1_TMEM128</t>
  </si>
  <si>
    <t>B7Z3P1_TBCE</t>
  </si>
  <si>
    <t>B7Z4K6_DNASE2</t>
  </si>
  <si>
    <t>B7Z4R0_ERF</t>
  </si>
  <si>
    <t>B7Z4R5_P2RX4</t>
  </si>
  <si>
    <t>B7Z4V9_INPP5K</t>
  </si>
  <si>
    <t>B7Z4W5_CCBL1</t>
  </si>
  <si>
    <t>B7Z5G4_STMN3</t>
  </si>
  <si>
    <t>B7Z5W1_F11R</t>
  </si>
  <si>
    <t>B7Z6B8_DECR1</t>
  </si>
  <si>
    <t>B7Z6M4_TNFAIP1</t>
  </si>
  <si>
    <t>B7Z779_TMEM106A</t>
  </si>
  <si>
    <t>B7Z7G5_TRUB2</t>
  </si>
  <si>
    <t>B7Z7H3_ZKSCAN4</t>
  </si>
  <si>
    <t>B7Z7X8_ATL2</t>
  </si>
  <si>
    <t>B7Z815_USP7</t>
  </si>
  <si>
    <t>B7Z817_DHCR24</t>
  </si>
  <si>
    <t>B7Z902_EMB</t>
  </si>
  <si>
    <t>B7Z9I3_ATP6AP2</t>
  </si>
  <si>
    <t>B7Z9S8_ATP1B1</t>
  </si>
  <si>
    <t>B7ZAA0_PMS1</t>
  </si>
  <si>
    <t>B7ZBM3_FOXP4</t>
  </si>
  <si>
    <t>B7ZC38_SH3GLB2</t>
  </si>
  <si>
    <t>B7ZKK9_PPP2R5E</t>
  </si>
  <si>
    <t>B7ZKQ9_SCARB1</t>
  </si>
  <si>
    <t>B7ZL88_COX18</t>
  </si>
  <si>
    <t>B7ZLZ0_GMIP</t>
  </si>
  <si>
    <t>B7ZLZ2_EDEM3</t>
  </si>
  <si>
    <t>B8X2Z3_RLTPR</t>
  </si>
  <si>
    <t>B8ZZN6_SUMO1</t>
  </si>
  <si>
    <t>B8ZZQ6_PTMA</t>
  </si>
  <si>
    <t>B8ZZU6_ATF2</t>
  </si>
  <si>
    <t>B8ZZV9_COQ10B</t>
  </si>
  <si>
    <t>B9A008_IMP4</t>
  </si>
  <si>
    <t>B9A018_USP39</t>
  </si>
  <si>
    <t>B9A054_RHBDD1</t>
  </si>
  <si>
    <t>B9A057_COA5</t>
  </si>
  <si>
    <t>C0H5X6_PEX7</t>
  </si>
  <si>
    <t>C0H5Y7_BAK1</t>
  </si>
  <si>
    <t>C1IDX9_ATG12</t>
  </si>
  <si>
    <t>C4AMC7_WASH3P</t>
  </si>
  <si>
    <t>C7C5T7_LAT</t>
  </si>
  <si>
    <t>C9J0E4_CSTA</t>
  </si>
  <si>
    <t>C9J0I9_ZC3HC1</t>
  </si>
  <si>
    <t>C9J0J7_PFN2</t>
  </si>
  <si>
    <t>C9J0K6_SRI</t>
  </si>
  <si>
    <t>C9J1K8_MEGF9</t>
  </si>
  <si>
    <t>C9J1X0_WDR91</t>
  </si>
  <si>
    <t>C9J212_UBE2F</t>
  </si>
  <si>
    <t>C9J2P0_UBE2E1</t>
  </si>
  <si>
    <t>C9J2P9_CBLL1</t>
  </si>
  <si>
    <t>C9J2U4_TAMM41</t>
  </si>
  <si>
    <t>C9J2V2_IKBKG</t>
  </si>
  <si>
    <t>C9J2Y9_POLR2B</t>
  </si>
  <si>
    <t>C9J381_IMPDH1</t>
  </si>
  <si>
    <t>C9J384_CMSS1</t>
  </si>
  <si>
    <t>C9J3D7_CROT</t>
  </si>
  <si>
    <t>C9J3G2_CBWD2</t>
  </si>
  <si>
    <t>C9J494_MKRN2</t>
  </si>
  <si>
    <t>C9J5C3_PDCD10</t>
  </si>
  <si>
    <t>C9J5W6_TAGLN3</t>
  </si>
  <si>
    <t>C9J5X1_IGF1R</t>
  </si>
  <si>
    <t>C9J6N5_FAM107B</t>
  </si>
  <si>
    <t>C9J6P4_ZC3HAV1</t>
  </si>
  <si>
    <t>C9J712_PFN2</t>
  </si>
  <si>
    <t>C9J7E5_TNPO3</t>
  </si>
  <si>
    <t>C9J7K9_PLSCR1</t>
  </si>
  <si>
    <t>C9J929_PHF15</t>
  </si>
  <si>
    <t>C9J975_AGAP3</t>
  </si>
  <si>
    <t>C9J9K3_RPSA</t>
  </si>
  <si>
    <t>C9JA07_COA1</t>
  </si>
  <si>
    <t>C9JA08_NMD3</t>
  </si>
  <si>
    <t>C9JA28_SSR3</t>
  </si>
  <si>
    <t>C9JAB2_SRSF7</t>
  </si>
  <si>
    <t>C9JAX1_FXN</t>
  </si>
  <si>
    <t>C9JB13_BSDC1</t>
  </si>
  <si>
    <t>C9JBL1_SPCS1</t>
  </si>
  <si>
    <t>C9JBY7_MRPS33</t>
  </si>
  <si>
    <t>C9JCC6_DRAP1</t>
  </si>
  <si>
    <t>C9JCU6_MAP4K2</t>
  </si>
  <si>
    <t>C9JDZ2_FAIM</t>
  </si>
  <si>
    <t>C9JE12_TMUB1</t>
  </si>
  <si>
    <t>C9JE82_CACNA2D2</t>
  </si>
  <si>
    <t>C9JE98_NCOR2</t>
  </si>
  <si>
    <t>C9JEL3_EIF4E2</t>
  </si>
  <si>
    <t>C9JF58_OSCP1</t>
  </si>
  <si>
    <t>C9JF66_TRAT1</t>
  </si>
  <si>
    <t>C9JFE4_GPS1</t>
  </si>
  <si>
    <t>C9JFR7_CYCS</t>
  </si>
  <si>
    <t>C9JG41_ITM2C</t>
  </si>
  <si>
    <t>C9JG97_AAMP</t>
  </si>
  <si>
    <t>C9JIF9_APEH</t>
  </si>
  <si>
    <t>C9JIZ6_PSAP</t>
  </si>
  <si>
    <t>C9JJ19_MRPS34</t>
  </si>
  <si>
    <t>C9JJN9_VPS8</t>
  </si>
  <si>
    <t>C9JJU1_SLC38A5</t>
  </si>
  <si>
    <t>C9JLU1_POLR2H</t>
  </si>
  <si>
    <t>C9JLV4_APAF1</t>
  </si>
  <si>
    <t>C9JNE2_OARD1</t>
  </si>
  <si>
    <t>C9JP00_MBNL1</t>
  </si>
  <si>
    <t>C9JP16_CRTAP</t>
  </si>
  <si>
    <t>C9JPL0_CCNL1</t>
  </si>
  <si>
    <t>C9JPP2_NKIRAS2</t>
  </si>
  <si>
    <t>C9JQ41_CCDC58</t>
  </si>
  <si>
    <t>C9JQE1_IMMP2L</t>
  </si>
  <si>
    <t>C9JRY4_SEC22A</t>
  </si>
  <si>
    <t>C9JRZ6_CHCHD3</t>
  </si>
  <si>
    <t>C9JRZ8-2_AKR1B15</t>
  </si>
  <si>
    <t>C9JTB0_IKZF1</t>
  </si>
  <si>
    <t>C9JTC0_DGKB</t>
  </si>
  <si>
    <t>C9JVP0_FOXJ3</t>
  </si>
  <si>
    <t>C9JWL4_AP4M1</t>
  </si>
  <si>
    <t>C9JXA2_EPHA3</t>
  </si>
  <si>
    <t>C9JXB8_RPL24</t>
  </si>
  <si>
    <t>C9JYM0_POP7</t>
  </si>
  <si>
    <t>C9JYQ9_RPL22L1</t>
  </si>
  <si>
    <t>C9JZR4_ARFGAP3</t>
  </si>
  <si>
    <t>C9JZY6_UBE2H</t>
  </si>
  <si>
    <t>C9K044_XAF1</t>
  </si>
  <si>
    <t>C9K049_HMG20B</t>
  </si>
  <si>
    <t>C9K0X5_SNUPN</t>
  </si>
  <si>
    <t>D0FY33_BTN3A3</t>
  </si>
  <si>
    <t>D3DPN2_SDC3</t>
  </si>
  <si>
    <t>D3DQV9_EIF4G2</t>
  </si>
  <si>
    <t>D3DWF9_XPO6</t>
  </si>
  <si>
    <t>D3K174_SLC4A7</t>
  </si>
  <si>
    <t>D3YHP0_CXADR</t>
  </si>
  <si>
    <t>D3YTB1_RPL32</t>
  </si>
  <si>
    <t>D3YTE0_KRI1</t>
  </si>
  <si>
    <t>D3YTE1_PHF20L1</t>
  </si>
  <si>
    <t>D3YTG6_NDOR1</t>
  </si>
  <si>
    <t>D3YTI9_TAPBP</t>
  </si>
  <si>
    <t>D6R941_MRPS36</t>
  </si>
  <si>
    <t>D6R9P3_HNRNPAB</t>
  </si>
  <si>
    <t>D6R9U7_POLR3G</t>
  </si>
  <si>
    <t>D6R9Z7_COX7C</t>
  </si>
  <si>
    <t>D6RAD4_CDK7</t>
  </si>
  <si>
    <t>D6RAR2_LYRM9</t>
  </si>
  <si>
    <t>D6RAT4_CNBP</t>
  </si>
  <si>
    <t>D6RB34_IRF2</t>
  </si>
  <si>
    <t>D6RBW1_EIF4E</t>
  </si>
  <si>
    <t>D6RCD0_HSD17B11</t>
  </si>
  <si>
    <t>D6RCM8_TNFAIP8</t>
  </si>
  <si>
    <t>D6RD25_PRELID1</t>
  </si>
  <si>
    <t>D6RDH5_GNGT2</t>
  </si>
  <si>
    <t>D6RDX3_ATG10</t>
  </si>
  <si>
    <t>D6REA0_PET112</t>
  </si>
  <si>
    <t>D6REL0_CDC42SE2</t>
  </si>
  <si>
    <t>D6REL5_FAM175A</t>
  </si>
  <si>
    <t>D6REM4_CSNK1A1</t>
  </si>
  <si>
    <t>D6REX3_SEC31A</t>
  </si>
  <si>
    <t>D6RF48_STX18</t>
  </si>
  <si>
    <t>D6RFG8_DCK</t>
  </si>
  <si>
    <t>D6RGD4_APBB2</t>
  </si>
  <si>
    <t>D6RGI3_SEPT11</t>
  </si>
  <si>
    <t>D6RGJ2_TNIP2</t>
  </si>
  <si>
    <t>D6RH17_ADH6</t>
  </si>
  <si>
    <t>D6RHD3_CENPK</t>
  </si>
  <si>
    <t>D6RHG7_SERINC5</t>
  </si>
  <si>
    <t>D6RHI7_CCNH</t>
  </si>
  <si>
    <t>D6RHI9_RNASET2</t>
  </si>
  <si>
    <t>D6RI11_CPLX1</t>
  </si>
  <si>
    <t>D6RIE3_COX7A2</t>
  </si>
  <si>
    <t>D6RIE5_RNF150</t>
  </si>
  <si>
    <t>D6RIU2_CLDND1</t>
  </si>
  <si>
    <t>D6RIZ4_MFSD10</t>
  </si>
  <si>
    <t>D6RJ07_ZNF346</t>
  </si>
  <si>
    <t>D6RJ90_COMMD10</t>
  </si>
  <si>
    <t>D6W592_HNRPLL</t>
  </si>
  <si>
    <t>E2QRF9_GMNN</t>
  </si>
  <si>
    <t>E2QRH7_ELOVL5</t>
  </si>
  <si>
    <t>E5RFE7_CA1</t>
  </si>
  <si>
    <t>E5RFJ1_NSMCE2</t>
  </si>
  <si>
    <t>E5RFP2_CPEB4</t>
  </si>
  <si>
    <t>E5RFU2_EPHX2</t>
  </si>
  <si>
    <t>E5RG17_TATDN1</t>
  </si>
  <si>
    <t>E5RG44_TRIQK</t>
  </si>
  <si>
    <t>E5RGQ3_RWDD1</t>
  </si>
  <si>
    <t>E5RGX5_STMN2</t>
  </si>
  <si>
    <t>E5RHG8_TCEB1</t>
  </si>
  <si>
    <t>E5RHG9_UQCRB</t>
  </si>
  <si>
    <t>E5RHW0_TMEM66</t>
  </si>
  <si>
    <t>E5RI52_C5orf45</t>
  </si>
  <si>
    <t>E5RI87_RNF130</t>
  </si>
  <si>
    <t>E5RIH5_TTI2</t>
  </si>
  <si>
    <t>E5RIL0_LEPROTL1</t>
  </si>
  <si>
    <t>E5RIP7_IMPA1</t>
  </si>
  <si>
    <t>E5RIQ9_SERF1A</t>
  </si>
  <si>
    <t>E5RIY0_TMEM55A</t>
  </si>
  <si>
    <t>E5RJ08_CHCHD7</t>
  </si>
  <si>
    <t>E5RJ68_AP3B1</t>
  </si>
  <si>
    <t>E5RJ99_ZFAND1</t>
  </si>
  <si>
    <t>E5RJI7_MRPL13</t>
  </si>
  <si>
    <t>E5RJR5_SKP1</t>
  </si>
  <si>
    <t>E5RK82_CETN3</t>
  </si>
  <si>
    <t>E7EM50_PIGG</t>
  </si>
  <si>
    <t>E7EM64_COPS6</t>
  </si>
  <si>
    <t>E7EM95_RNF5</t>
  </si>
  <si>
    <t>E7EMA9_ATHL1</t>
  </si>
  <si>
    <t>E7EMM4_ASAH1</t>
  </si>
  <si>
    <t>E7EMN6_PPP1R2</t>
  </si>
  <si>
    <t>E7EMV7_TNIP1</t>
  </si>
  <si>
    <t>E7EN19_MAP4K4</t>
  </si>
  <si>
    <t>E7EN73_KIAA0319L</t>
  </si>
  <si>
    <t>E7ENA9_NCSTN</t>
  </si>
  <si>
    <t>E7ENK0_CALCOCO2</t>
  </si>
  <si>
    <t>E7ENR4_HK1</t>
  </si>
  <si>
    <t>E7ENU4_ADAR</t>
  </si>
  <si>
    <t>E7ENX6_LRFN4</t>
  </si>
  <si>
    <t>E7EP72_C19orf25</t>
  </si>
  <si>
    <t>E7EPB3_RPL14</t>
  </si>
  <si>
    <t>E7EPD0_TOM1</t>
  </si>
  <si>
    <t>E7EPF0_ZCCHC17</t>
  </si>
  <si>
    <t>E7EPL4_PDXDC1</t>
  </si>
  <si>
    <t>E7EPT4_NDUFV2</t>
  </si>
  <si>
    <t>E7EQ45_AP5M1</t>
  </si>
  <si>
    <t>E7EQ69_NAA50</t>
  </si>
  <si>
    <t>E7EQB2_LTF</t>
  </si>
  <si>
    <t>E7EQN6_SENP6</t>
  </si>
  <si>
    <t>E7EQR8_YIPF3</t>
  </si>
  <si>
    <t>E7EQT4_ACIN1</t>
  </si>
  <si>
    <t>E7EQV9_RPL15</t>
  </si>
  <si>
    <t>E7EQZ4_SMN1</t>
  </si>
  <si>
    <t>E7ERC6_ATP2C1</t>
  </si>
  <si>
    <t>E7ERR0_KLHDC3</t>
  </si>
  <si>
    <t>E7ERS3_ZC3H18</t>
  </si>
  <si>
    <t>E7ERU0_DST</t>
  </si>
  <si>
    <t>E7ES43_HSPA4L</t>
  </si>
  <si>
    <t>E7ESC9_WDR17</t>
  </si>
  <si>
    <t>E7ESM9_CAST</t>
  </si>
  <si>
    <t>E7ESU6_SLC38A9</t>
  </si>
  <si>
    <t>E7ESU7_CTBP1</t>
  </si>
  <si>
    <t>E7ESZ7_NDUFA10</t>
  </si>
  <si>
    <t>E7ET15_U2SURP</t>
  </si>
  <si>
    <t>E7ETB3_DNPEP</t>
  </si>
  <si>
    <t>E7ETK0_RPS24</t>
  </si>
  <si>
    <t>E7ETM6_SYS1</t>
  </si>
  <si>
    <t>E7ETP9_LAMP3</t>
  </si>
  <si>
    <t>E7ETU5_RBMS1</t>
  </si>
  <si>
    <t>E7ETZ4_BZW2</t>
  </si>
  <si>
    <t>E7EU13_ARAP1</t>
  </si>
  <si>
    <t>E7EU23_GDI2</t>
  </si>
  <si>
    <t>E7EU24_CBFA2T3</t>
  </si>
  <si>
    <t>E7EU35_PITPNC1</t>
  </si>
  <si>
    <t>E7EU96_CSNK2A1</t>
  </si>
  <si>
    <t>E7EUC7_UGP2</t>
  </si>
  <si>
    <t>E7EUE1_ABCD3</t>
  </si>
  <si>
    <t>E7EUM5_NUP54</t>
  </si>
  <si>
    <t>E7EV01_CAPN5</t>
  </si>
  <si>
    <t>E7EV46_PGBD3</t>
  </si>
  <si>
    <t>E7EVA0_MAP4</t>
  </si>
  <si>
    <t>E7EVC7_ATG16L1</t>
  </si>
  <si>
    <t>E7EVH9_HDHD1</t>
  </si>
  <si>
    <t>E7EVJ5_CYFIP2</t>
  </si>
  <si>
    <t>E7EVM2_TAL1</t>
  </si>
  <si>
    <t>E7EVZ3_RAI1</t>
  </si>
  <si>
    <t>E7EW20_MYO6</t>
  </si>
  <si>
    <t>E7EW32_MON1B</t>
  </si>
  <si>
    <t>E7EW77_ABI2</t>
  </si>
  <si>
    <t>E7EW84_EXOC6</t>
  </si>
  <si>
    <t>E7EWM3_ZMIZ2</t>
  </si>
  <si>
    <t>E7EWW0_C16orf62</t>
  </si>
  <si>
    <t>E7EX01_MPP2</t>
  </si>
  <si>
    <t>E7EX17_EIF4B</t>
  </si>
  <si>
    <t>E7EX73_EIF4G1</t>
  </si>
  <si>
    <t>E7EX90_DCTN1</t>
  </si>
  <si>
    <t>E7EXA8_PRB4</t>
  </si>
  <si>
    <t>E9PAU2_RAVER1</t>
  </si>
  <si>
    <t>E9PB28_HES4</t>
  </si>
  <si>
    <t>E9PB61_ALYREF</t>
  </si>
  <si>
    <t>E9PBJ5_SDHA</t>
  </si>
  <si>
    <t>E9PBR6_TMEM201</t>
  </si>
  <si>
    <t>E9PC26_BUB1</t>
  </si>
  <si>
    <t>E9PC62_CELF2</t>
  </si>
  <si>
    <t>E9PC74_EIF2B5</t>
  </si>
  <si>
    <t>E9PC87_TMCC1</t>
  </si>
  <si>
    <t>E9PCN2_GUCY1B3</t>
  </si>
  <si>
    <t>E9PCQ3_USP15</t>
  </si>
  <si>
    <t>E9PCV0_GUSB</t>
  </si>
  <si>
    <t>E9PCV4_SPHK2</t>
  </si>
  <si>
    <t>E9PCW1_GOSR1</t>
  </si>
  <si>
    <t>E9PD55_RCAN1</t>
  </si>
  <si>
    <t>E9PDF6_MYO1B</t>
  </si>
  <si>
    <t>E9PDR0_PCCB</t>
  </si>
  <si>
    <t>E9PDU5_WDR6</t>
  </si>
  <si>
    <t>E9PEE8_ITGB6</t>
  </si>
  <si>
    <t>E9PEL9_SYNE1</t>
  </si>
  <si>
    <t>E9PEN8_XPO7</t>
  </si>
  <si>
    <t>E9PEZ3_DIAPH1</t>
  </si>
  <si>
    <t>E9PF06_MRPL3</t>
  </si>
  <si>
    <t>E9PF18_HADH</t>
  </si>
  <si>
    <t>E9PF19_TBL2</t>
  </si>
  <si>
    <t>E9PFK9_RABGEF1</t>
  </si>
  <si>
    <t>E9PFP8_PCBP3</t>
  </si>
  <si>
    <t>E9PFR3_PPP2R5D</t>
  </si>
  <si>
    <t>E9PFU9_ZFAND2B</t>
  </si>
  <si>
    <t>E9PG19_FCHSD2</t>
  </si>
  <si>
    <t>E9PG22_CEP97</t>
  </si>
  <si>
    <t>E9PG35_MCCC1</t>
  </si>
  <si>
    <t>E9PGC0_RASA1</t>
  </si>
  <si>
    <t>E9PGC8_MAP1A</t>
  </si>
  <si>
    <t>E9PGE5_TBC1D23</t>
  </si>
  <si>
    <t>E9PGF9_MGEA5</t>
  </si>
  <si>
    <t>E9PGQ0_SLC25A44</t>
  </si>
  <si>
    <t>E9PGQ4_FNBP1</t>
  </si>
  <si>
    <t>E9PGT1_TSN</t>
  </si>
  <si>
    <t>E9PGT3_RPS6KA1</t>
  </si>
  <si>
    <t>E9PGT6_COPS8</t>
  </si>
  <si>
    <t>E9PH29_PRDX3</t>
  </si>
  <si>
    <t>E9PHG5_CYP20A1</t>
  </si>
  <si>
    <t>E9PHY5_EPB41L2</t>
  </si>
  <si>
    <t>E9PI30_CTSW</t>
  </si>
  <si>
    <t>E9PI68_SPCS2</t>
  </si>
  <si>
    <t>E9PIB9_GLI1</t>
  </si>
  <si>
    <t>E9PIE4_MTCH2</t>
  </si>
  <si>
    <t>E9PIM6_THY1</t>
  </si>
  <si>
    <t>E9PJ24_PHRF1</t>
  </si>
  <si>
    <t>E9PJ55_TCP11L1</t>
  </si>
  <si>
    <t>E9PJ64_PDE4DIP</t>
  </si>
  <si>
    <t>E9PJ81_UBXN1</t>
  </si>
  <si>
    <t>E9PJD7_CYHR1</t>
  </si>
  <si>
    <t>E9PJF5_BRMS1</t>
  </si>
  <si>
    <t>E9PJK1_CD81</t>
  </si>
  <si>
    <t>E9PJM3_FBXO3</t>
  </si>
  <si>
    <t>E9PK01_EEF1D</t>
  </si>
  <si>
    <t>E9PK67_PARP10</t>
  </si>
  <si>
    <t>E9PK91_BCLAF1</t>
  </si>
  <si>
    <t>E9PKA7_RCE1</t>
  </si>
  <si>
    <t>E9PKC0_PLEKHA7</t>
  </si>
  <si>
    <t>E9PKG1_PRMT1</t>
  </si>
  <si>
    <t>E9PKN9_TP53I11</t>
  </si>
  <si>
    <t>E9PKV2_MRPL17</t>
  </si>
  <si>
    <t>E9PKV8_TTC9C</t>
  </si>
  <si>
    <t>E9PKZ0_RPL8</t>
  </si>
  <si>
    <t>E9PL10_BTF3L4</t>
  </si>
  <si>
    <t>E9PL17_CLP1</t>
  </si>
  <si>
    <t>E9PL33_EI24</t>
  </si>
  <si>
    <t>E9PL57_NEDD8-MDP1</t>
  </si>
  <si>
    <t>E9PLD3_</t>
  </si>
  <si>
    <t>E9PLJ2_CHIA</t>
  </si>
  <si>
    <t>E9PLK3_NPEPPS</t>
  </si>
  <si>
    <t>E9PLL6_RPL27A</t>
  </si>
  <si>
    <t>E9PM46_USP47</t>
  </si>
  <si>
    <t>E9PM92_C11orf58</t>
  </si>
  <si>
    <t>E9PMI6_CLNS1A</t>
  </si>
  <si>
    <t>E9PMJ2_FAM118B</t>
  </si>
  <si>
    <t>E9PMM3_PEX16</t>
  </si>
  <si>
    <t>E9PMQ6_HSF1</t>
  </si>
  <si>
    <t>E9PMR4_CD151</t>
  </si>
  <si>
    <t>E9PMS6_LMO7</t>
  </si>
  <si>
    <t>E9PMU5_MANEAL</t>
  </si>
  <si>
    <t>E9PND3_EBAG9</t>
  </si>
  <si>
    <t>E9PNP3_AAMDC</t>
  </si>
  <si>
    <t>E9PNT2_ARHGAP27</t>
  </si>
  <si>
    <t>E9PNW4_CD59</t>
  </si>
  <si>
    <t>E9PP40_LRRC14</t>
  </si>
  <si>
    <t>E9PPU5_RAG2</t>
  </si>
  <si>
    <t>E9PPZ9_GPAA1</t>
  </si>
  <si>
    <t>E9PQ62_VWA5B1</t>
  </si>
  <si>
    <t>E9PQ63_CBR1</t>
  </si>
  <si>
    <t>E9PQY3_ACP2</t>
  </si>
  <si>
    <t>E9PR30_FAU</t>
  </si>
  <si>
    <t>E9PR76_MAF1</t>
  </si>
  <si>
    <t>E9PRK7_ARL14EP</t>
  </si>
  <si>
    <t>E9PRM7_SLC22A18</t>
  </si>
  <si>
    <t>E9PRY8_EEF1D</t>
  </si>
  <si>
    <t>E9PS17_SCYL1</t>
  </si>
  <si>
    <t>E9PS38_NEDD8-MDP1</t>
  </si>
  <si>
    <t>E9PS47_PTDSS2</t>
  </si>
  <si>
    <t>E9PS74_SLC43A3</t>
  </si>
  <si>
    <t>E9PSH3_TSPAN4</t>
  </si>
  <si>
    <t>E9PSH8_CD3E</t>
  </si>
  <si>
    <t>E9PSI1_TM9SF1</t>
  </si>
  <si>
    <t>F2Z2B9_TUBGCP2</t>
  </si>
  <si>
    <t>F2Z2E2_IQGAP3</t>
  </si>
  <si>
    <t>F2Z2U4_TRRAP</t>
  </si>
  <si>
    <t>F2Z2U8_MYH14</t>
  </si>
  <si>
    <t>F2Z2W7_TRMT2A</t>
  </si>
  <si>
    <t>F2Z2X4_XPO4</t>
  </si>
  <si>
    <t>F2Z3A6_VEZT</t>
  </si>
  <si>
    <t>F2Z3L0_SHANK3</t>
  </si>
  <si>
    <t>F5GWD3_GTF2H3</t>
  </si>
  <si>
    <t>F5GWH5_TMEM258</t>
  </si>
  <si>
    <t>F5GWI9_CCDC53</t>
  </si>
  <si>
    <t>F5GWN5_PIK3C2B</t>
  </si>
  <si>
    <t>F5GWT4_WNK1</t>
  </si>
  <si>
    <t>F5GWU7_SMAD5</t>
  </si>
  <si>
    <t>F5GWX5_CHD4</t>
  </si>
  <si>
    <t>F5GWY5_PODXL</t>
  </si>
  <si>
    <t>F5GX09_FAM76B</t>
  </si>
  <si>
    <t>F5GX68_DNMT1</t>
  </si>
  <si>
    <t>F5GX82_FRYL</t>
  </si>
  <si>
    <t>F5GXA6_HLA-C</t>
  </si>
  <si>
    <t>F5GXC8_SUCLA2</t>
  </si>
  <si>
    <t>F5GXE4_ATE1</t>
  </si>
  <si>
    <t>F5GXF9_AFF1</t>
  </si>
  <si>
    <t>F5GXI4_PTPRK</t>
  </si>
  <si>
    <t>F5GXJ4_STIM2</t>
  </si>
  <si>
    <t>F5GXK8_DNAJB11</t>
  </si>
  <si>
    <t>F5GXX5_DAD1</t>
  </si>
  <si>
    <t>F5GY92_GPBP1</t>
  </si>
  <si>
    <t>F5GY99_GALNT1</t>
  </si>
  <si>
    <t>F5GYC4_RPS6KA3</t>
  </si>
  <si>
    <t>F5GYN4_OTUB1</t>
  </si>
  <si>
    <t>F5GYQ1_ATP6V0D1</t>
  </si>
  <si>
    <t>F5GZ78_PXN</t>
  </si>
  <si>
    <t>F5GZ90_DTL</t>
  </si>
  <si>
    <t>F5GZG6_TPK1</t>
  </si>
  <si>
    <t>F5GZK1_EXTL2</t>
  </si>
  <si>
    <t>F5GZS0_DHX36</t>
  </si>
  <si>
    <t>F5GZS6_SLC3A2</t>
  </si>
  <si>
    <t>F5GZX9_FAM120B</t>
  </si>
  <si>
    <t>F5GZY7_GABARAPL1</t>
  </si>
  <si>
    <t>F5H012_TRIM21</t>
  </si>
  <si>
    <t>F5H029_FAM65B</t>
  </si>
  <si>
    <t>F5H0B0_TPD52</t>
  </si>
  <si>
    <t>F5H0F9_ANAPC5</t>
  </si>
  <si>
    <t>F5H0I3_SOX5</t>
  </si>
  <si>
    <t>F5H0L8_SEC23IP</t>
  </si>
  <si>
    <t>F5H0M4_LPCAT3</t>
  </si>
  <si>
    <t>F5H0Q6_CLASRP</t>
  </si>
  <si>
    <t>F5H0R1_TUT1</t>
  </si>
  <si>
    <t>F5H148_RRN3</t>
  </si>
  <si>
    <t>F5H1D6_POLE</t>
  </si>
  <si>
    <t>F5H1F3_FBLN2</t>
  </si>
  <si>
    <t>F5H1G9_ABI1</t>
  </si>
  <si>
    <t>F5H1I4_HELB</t>
  </si>
  <si>
    <t>F5H1L4_TXNRD2</t>
  </si>
  <si>
    <t>F5H1N7_KIAA1211</t>
  </si>
  <si>
    <t>F5H1R7_FLJ22184</t>
  </si>
  <si>
    <t>F5H1Z6_STARD10</t>
  </si>
  <si>
    <t>F5H254_TMEM135</t>
  </si>
  <si>
    <t>F5H2A8_SYT10</t>
  </si>
  <si>
    <t>F5H2H5_ANKLE2</t>
  </si>
  <si>
    <t>F5H2J3_VMP1</t>
  </si>
  <si>
    <t>F5H2Q7_KIAA1715</t>
  </si>
  <si>
    <t>F5H2S7_DCTN2</t>
  </si>
  <si>
    <t>F5H2U2_PRPF4B</t>
  </si>
  <si>
    <t>F5H2X7_CIZ1</t>
  </si>
  <si>
    <t>F5H315_XAB2</t>
  </si>
  <si>
    <t>F5H365_SEC23A</t>
  </si>
  <si>
    <t>F5H450_FZD10</t>
  </si>
  <si>
    <t>F5H4G7_KPNA6</t>
  </si>
  <si>
    <t>F5H4Q5_VPS37C</t>
  </si>
  <si>
    <t>F5H4S8_NFATC1</t>
  </si>
  <si>
    <t>F5H4V9_PDCD2</t>
  </si>
  <si>
    <t>F5H523_KLHL42</t>
  </si>
  <si>
    <t>F5H527_SSH2</t>
  </si>
  <si>
    <t>F5H569_ATP6V0A1</t>
  </si>
  <si>
    <t>F5H577_BRK1</t>
  </si>
  <si>
    <t>F5H5D3_TUBA1C</t>
  </si>
  <si>
    <t>F5H5I6_GRSF1</t>
  </si>
  <si>
    <t>F5H5N1_NDUFS7</t>
  </si>
  <si>
    <t>F5H5P2_BCKDHA</t>
  </si>
  <si>
    <t>F5H5R8_NAT1</t>
  </si>
  <si>
    <t>F5H604_CLASP2</t>
  </si>
  <si>
    <t>F5H620_OXNAD1</t>
  </si>
  <si>
    <t>F5H631_CLEC2B</t>
  </si>
  <si>
    <t>F5H6S1_KDM6A</t>
  </si>
  <si>
    <t>F5H6U2_FAM60A</t>
  </si>
  <si>
    <t>F5H715_AIDA</t>
  </si>
  <si>
    <t>F5H721_WBP11</t>
  </si>
  <si>
    <t>F5H7K2_MGA</t>
  </si>
  <si>
    <t>F5H7N9_MFGE8</t>
  </si>
  <si>
    <t>F5H7Z9_REEP1</t>
  </si>
  <si>
    <t>F5H801_OGDH</t>
  </si>
  <si>
    <t>F5H843_SLC16A7</t>
  </si>
  <si>
    <t>F5H860_INPP4A</t>
  </si>
  <si>
    <t>F5H874_ASCC1</t>
  </si>
  <si>
    <t>F5H877_SPINT1</t>
  </si>
  <si>
    <t>F5H897_TRAP1</t>
  </si>
  <si>
    <t>F5H8H2_MVK</t>
  </si>
  <si>
    <t>F5H8J3_CLPTM1</t>
  </si>
  <si>
    <t>F5H8L0_RABGAP1L</t>
  </si>
  <si>
    <t>F5H8L4_SIDT2</t>
  </si>
  <si>
    <t>F6PQP6_EPN2</t>
  </si>
  <si>
    <t>F6RAJ7_CDPF1</t>
  </si>
  <si>
    <t>F6T1Q0_PDE12</t>
  </si>
  <si>
    <t>F6U1T9_PPP3R1</t>
  </si>
  <si>
    <t>F6VZ39_RBM38</t>
  </si>
  <si>
    <t>F6WCX7_MAP2K7</t>
  </si>
  <si>
    <t>F6XY72_NME2</t>
  </si>
  <si>
    <t>F8VP89_EIF4B</t>
  </si>
  <si>
    <t>F8VPD4_CAD</t>
  </si>
  <si>
    <t>F8VQD4_C12orf75</t>
  </si>
  <si>
    <t>F8VQX6_METTL7A</t>
  </si>
  <si>
    <t>F8VQY2_UIMC1</t>
  </si>
  <si>
    <t>F8VQZ7_METAP2</t>
  </si>
  <si>
    <t>F8VR27_RBFOX1</t>
  </si>
  <si>
    <t>F8VRE8_TMEM19</t>
  </si>
  <si>
    <t>F8VSL3_NFYB</t>
  </si>
  <si>
    <t>F8VSZ4_PLXNA1</t>
  </si>
  <si>
    <t>F8VTS6_RFPL4AL1</t>
  </si>
  <si>
    <t>F8VU90_FKBP11</t>
  </si>
  <si>
    <t>F8VV59_NAP1L1</t>
  </si>
  <si>
    <t>F8VVA7_COPZ1</t>
  </si>
  <si>
    <t>F8VVN7_TMEM106C</t>
  </si>
  <si>
    <t>F8VW96_CSRP2</t>
  </si>
  <si>
    <t>F8VWA6_MON2</t>
  </si>
  <si>
    <t>F8VWA9_ALG10B</t>
  </si>
  <si>
    <t>F8VWL0_TFCP2</t>
  </si>
  <si>
    <t>F8VX04_SLC38A1</t>
  </si>
  <si>
    <t>F8VXG3_TGIF1</t>
  </si>
  <si>
    <t>F8VXG7_SCAF11</t>
  </si>
  <si>
    <t>F8VXK3_CHST11</t>
  </si>
  <si>
    <t>F8VYK6_TARBP2</t>
  </si>
  <si>
    <t>F8VYN9_ARL1</t>
  </si>
  <si>
    <t>F8VZJ2_NACA</t>
  </si>
  <si>
    <t>F8W038_C17orf49</t>
  </si>
  <si>
    <t>F8W052_TROAP</t>
  </si>
  <si>
    <t>F8W0J6_NAP1L1</t>
  </si>
  <si>
    <t>F8W0Q9_PPHLN1</t>
  </si>
  <si>
    <t>F8W0R1_ERGIC2</t>
  </si>
  <si>
    <t>F8W181_RPL6</t>
  </si>
  <si>
    <t>F8W689_RFX5</t>
  </si>
  <si>
    <t>F8W6I7_HNRNPA1</t>
  </si>
  <si>
    <t>F8W6N3_BAP1</t>
  </si>
  <si>
    <t>F8W6Q3_ZNF384</t>
  </si>
  <si>
    <t>F8W6T6_TLE4</t>
  </si>
  <si>
    <t>F8W7D0_PBLD</t>
  </si>
  <si>
    <t>F8W7Q4_FAM162A</t>
  </si>
  <si>
    <t>F8W840_YTHDF1</t>
  </si>
  <si>
    <t>F8W8D3_SLBP</t>
  </si>
  <si>
    <t>F8W8G5_MYB</t>
  </si>
  <si>
    <t>F8W8I6_TIA1</t>
  </si>
  <si>
    <t>F8W8T8_ACACB</t>
  </si>
  <si>
    <t>F8W914_RTN4</t>
  </si>
  <si>
    <t>F8W946_FSD1L</t>
  </si>
  <si>
    <t>F8W966_MEF2A</t>
  </si>
  <si>
    <t>F8W9R9_MED24</t>
  </si>
  <si>
    <t>F8W9X7_CCDC93</t>
  </si>
  <si>
    <t>F8WA11_CLASP1</t>
  </si>
  <si>
    <t>F8WA39_MTMR1</t>
  </si>
  <si>
    <t>F8WAD8_ADAM22</t>
  </si>
  <si>
    <t>F8WAK8_STAG2</t>
  </si>
  <si>
    <t>F8WBK5_MRPL40</t>
  </si>
  <si>
    <t>F8WC47_POLR2F</t>
  </si>
  <si>
    <t>F8WC68_DOM3Z</t>
  </si>
  <si>
    <t>F8WC89_SAC3D1</t>
  </si>
  <si>
    <t>F8WCD0_RNF149</t>
  </si>
  <si>
    <t>F8WCF6_ARPC4</t>
  </si>
  <si>
    <t>F8WCP0_NEB</t>
  </si>
  <si>
    <t>F8WD19_DONSON</t>
  </si>
  <si>
    <t>F8WDT5_SAMD1</t>
  </si>
  <si>
    <t>F8WE74_SLC25A17</t>
  </si>
  <si>
    <t>F8WE88_MYO5A</t>
  </si>
  <si>
    <t>F8WEC0_MMADHC</t>
  </si>
  <si>
    <t>F8WF93_ALG3</t>
  </si>
  <si>
    <t>F8WJN3_CPSF6</t>
  </si>
  <si>
    <t>G1K394_TRAPPC2</t>
  </si>
  <si>
    <t>G3V0I5_NDUFV1</t>
  </si>
  <si>
    <t>G3V0I6_OTUD4</t>
  </si>
  <si>
    <t>G3V130_MTERFD1</t>
  </si>
  <si>
    <t>G3V167_PARP2</t>
  </si>
  <si>
    <t>G3V1A6_GSDMD</t>
  </si>
  <si>
    <t>G3V1D3_DPP3</t>
  </si>
  <si>
    <t>G3V1P3_LOH12CR1</t>
  </si>
  <si>
    <t>G3V1Q4_SEPT7</t>
  </si>
  <si>
    <t>G3V1S9_ACSL6</t>
  </si>
  <si>
    <t>G3V1U5_GOLT1B</t>
  </si>
  <si>
    <t>G3V1X5_YAF2</t>
  </si>
  <si>
    <t>G3V203_RPL18</t>
  </si>
  <si>
    <t>G3V2F7_TMEM189</t>
  </si>
  <si>
    <t>G3V2U7_ACYP1</t>
  </si>
  <si>
    <t>G3V325_ATP5J2-PTCD1</t>
  </si>
  <si>
    <t>G3V3C1_PTGR2</t>
  </si>
  <si>
    <t>G3V3G9_DCAF8</t>
  </si>
  <si>
    <t>G3V3I4_NFKBIA</t>
  </si>
  <si>
    <t>G3V3J9_GNG2</t>
  </si>
  <si>
    <t>G3V3R7_ATXN3</t>
  </si>
  <si>
    <t>G3V3U6_MRPL52</t>
  </si>
  <si>
    <t>G3V439_SIVA1</t>
  </si>
  <si>
    <t>G3V4A5_MED6</t>
  </si>
  <si>
    <t>G3V4K3_VIPAS39</t>
  </si>
  <si>
    <t>G3V4P7_AP4S1</t>
  </si>
  <si>
    <t>G3V4W0_HNRNPC</t>
  </si>
  <si>
    <t>G3V529_DDX24</t>
  </si>
  <si>
    <t>G3V583_FAM177A1</t>
  </si>
  <si>
    <t>G3V599_CTAGE5</t>
  </si>
  <si>
    <t>G3V5T0_GSTZ1</t>
  </si>
  <si>
    <t>G3V5T9_CDK2</t>
  </si>
  <si>
    <t>G3XAA0_ARID1B</t>
  </si>
  <si>
    <t>G3XAC1_SLC26A6</t>
  </si>
  <si>
    <t>G3XAE9_FAM179B</t>
  </si>
  <si>
    <t>G3XAI9_FAM133B</t>
  </si>
  <si>
    <t>G3XAN4_TRAM1</t>
  </si>
  <si>
    <t>G3XAN8_TIMM8B</t>
  </si>
  <si>
    <t>G3XAP3_ABCB8</t>
  </si>
  <si>
    <t>G5E933_SBF1</t>
  </si>
  <si>
    <t>G5E948_MAP4K4</t>
  </si>
  <si>
    <t>G5E994_GPR107</t>
  </si>
  <si>
    <t>G5E9A6_USP11</t>
  </si>
  <si>
    <t>G5E9F3_CABIN1</t>
  </si>
  <si>
    <t>G5E9L8_ECT2</t>
  </si>
  <si>
    <t>G5E9W7_MRPS22</t>
  </si>
  <si>
    <t>G5E9W9_GIMAP4</t>
  </si>
  <si>
    <t>G5EA25_FAT3</t>
  </si>
  <si>
    <t>G5EA30_CELF1</t>
  </si>
  <si>
    <t>G5EA36_CDC27</t>
  </si>
  <si>
    <t>G5EA52_PDIA3</t>
  </si>
  <si>
    <t>G8JL98_TDG</t>
  </si>
  <si>
    <t>G8JLA2_MYL6</t>
  </si>
  <si>
    <t>G8JLB3_PUS1</t>
  </si>
  <si>
    <t>G8JLB6_HNRNPH1</t>
  </si>
  <si>
    <t>G8JLD3_ERC1</t>
  </si>
  <si>
    <t>G8JLH2_CDC25B</t>
  </si>
  <si>
    <t>G8JLI5_WDR45</t>
  </si>
  <si>
    <t>G8JLI6_LEPREL2</t>
  </si>
  <si>
    <t>G8JLK4_TACC1</t>
  </si>
  <si>
    <t>G8JLL1_CAPN14</t>
  </si>
  <si>
    <t>G8JLL2_PPT2</t>
  </si>
  <si>
    <t>G8JLL7_MVB12B</t>
  </si>
  <si>
    <t>H0UI80_TH1L</t>
  </si>
  <si>
    <t>H0Y2P9_PIGX</t>
  </si>
  <si>
    <t>H0Y322_LIN9</t>
  </si>
  <si>
    <t>H0Y327_MTHFD1L</t>
  </si>
  <si>
    <t>H0Y384_ODF2</t>
  </si>
  <si>
    <t>H0Y3A3_DAB2IP</t>
  </si>
  <si>
    <t>H0Y412_PRRC2B</t>
  </si>
  <si>
    <t>H0Y494_SIK3</t>
  </si>
  <si>
    <t>H0Y4G9_MYD88</t>
  </si>
  <si>
    <t>H0Y530_PAEP</t>
  </si>
  <si>
    <t>H0Y547_ATP11A</t>
  </si>
  <si>
    <t>H0Y5Y0_PREP</t>
  </si>
  <si>
    <t>H0Y614_UFM1</t>
  </si>
  <si>
    <t>H0Y6A0_ARFGAP3</t>
  </si>
  <si>
    <t>H0Y6C3_PYCRL</t>
  </si>
  <si>
    <t>H0Y6K2_BRD2</t>
  </si>
  <si>
    <t>H0Y6Y6_CD1C</t>
  </si>
  <si>
    <t>H0Y7A7_CALM2</t>
  </si>
  <si>
    <t>H0Y7P7_PISD</t>
  </si>
  <si>
    <t>H0Y870_TMEM222</t>
  </si>
  <si>
    <t>H0Y8H1_CHIC2</t>
  </si>
  <si>
    <t>H0Y8W3_RGS14</t>
  </si>
  <si>
    <t>H0Y912_DACH2</t>
  </si>
  <si>
    <t>H0Y9B8_</t>
  </si>
  <si>
    <t>H0Y9N0_ADH4</t>
  </si>
  <si>
    <t>H0Y9S9_PPIP5K2</t>
  </si>
  <si>
    <t>H0Y9T5_DCP2</t>
  </si>
  <si>
    <t>H0Y9X1_TMA16</t>
  </si>
  <si>
    <t>H0Y9Z5_CNOT6L</t>
  </si>
  <si>
    <t>H0YA52_PCBD2</t>
  </si>
  <si>
    <t>H0YA68_MAN2B2</t>
  </si>
  <si>
    <t>H0YAR2_PABPC1</t>
  </si>
  <si>
    <t>H0YAV1_RRM2B</t>
  </si>
  <si>
    <t>H0YBI6_TXNRD3</t>
  </si>
  <si>
    <t>H0YBP1_PTK2</t>
  </si>
  <si>
    <t>H0YBZ4_MTFR1</t>
  </si>
  <si>
    <t>H0YC40_CD47</t>
  </si>
  <si>
    <t>H0YCP7_TSTA3</t>
  </si>
  <si>
    <t>H0YCY4_GLB1L2</t>
  </si>
  <si>
    <t>H0YDD3_ALG8</t>
  </si>
  <si>
    <t>H0YDS0_UBQLN1</t>
  </si>
  <si>
    <t>H0YDU8_PPP5C</t>
  </si>
  <si>
    <t>H0YDX6_CD44</t>
  </si>
  <si>
    <t>H0YE22_EIF4G2</t>
  </si>
  <si>
    <t>H0YE91_CHI3L2</t>
  </si>
  <si>
    <t>H0YEB6_SSSCA1</t>
  </si>
  <si>
    <t>H0YEF3_RNASEH2C</t>
  </si>
  <si>
    <t>H0YF29_C8orf82</t>
  </si>
  <si>
    <t>H0YGR4_REXO2</t>
  </si>
  <si>
    <t>H0YH87_ATXN2</t>
  </si>
  <si>
    <t>H0YHG0_</t>
  </si>
  <si>
    <t>H0YIQ8_KANSL2</t>
  </si>
  <si>
    <t>H0YIV9_</t>
  </si>
  <si>
    <t>H0YJT2_STRN3</t>
  </si>
  <si>
    <t>H0YK48_TPM1</t>
  </si>
  <si>
    <t>H0YK61_EMC4</t>
  </si>
  <si>
    <t>H0YKG9_EID1</t>
  </si>
  <si>
    <t>H0YKJ9_TSPAN3</t>
  </si>
  <si>
    <t>H0YL70_TLE3</t>
  </si>
  <si>
    <t>H0YLA4_SORD</t>
  </si>
  <si>
    <t>H0YLB5_POU2F1</t>
  </si>
  <si>
    <t>H0YLF2_HMBOX1</t>
  </si>
  <si>
    <t>H0YLR1_FAM63B</t>
  </si>
  <si>
    <t>H0YLW6_SHF</t>
  </si>
  <si>
    <t>H0YLX2_RFX7</t>
  </si>
  <si>
    <t>H0YMB3_GMPR2</t>
  </si>
  <si>
    <t>H0YMJ0_MORF4L1</t>
  </si>
  <si>
    <t>H0YMV8_RPS27L</t>
  </si>
  <si>
    <t>H0YN33_CINP</t>
  </si>
  <si>
    <t>H0YN65_CHST14</t>
  </si>
  <si>
    <t>H0YN78_C15orf57</t>
  </si>
  <si>
    <t>H0YNG3_SEC11A</t>
  </si>
  <si>
    <t>H0YNH6_EMC9</t>
  </si>
  <si>
    <t>H0YNH8_UACA</t>
  </si>
  <si>
    <t>H0YNU5_BLM</t>
  </si>
  <si>
    <t>H3BLU2_LSAMP</t>
  </si>
  <si>
    <t>H3BLV0_CD55</t>
  </si>
  <si>
    <t>H3BLW6_TMEM63B</t>
  </si>
  <si>
    <t>H3BLZ2_DBNDD1</t>
  </si>
  <si>
    <t>H3BLZ8_DDX17</t>
  </si>
  <si>
    <t>H3BM14_NUB1</t>
  </si>
  <si>
    <t>H3BMM5_</t>
  </si>
  <si>
    <t>H3BMQ0_TSC2</t>
  </si>
  <si>
    <t>H3BN98_</t>
  </si>
  <si>
    <t>H3BNE3_BLOC1S6</t>
  </si>
  <si>
    <t>H3BNK2_LYRM1</t>
  </si>
  <si>
    <t>H3BNT4_MPHOSPH6</t>
  </si>
  <si>
    <t>H3BP13_TRAPPC2L</t>
  </si>
  <si>
    <t>H3BP20_HEXA</t>
  </si>
  <si>
    <t>H3BP28_COQ7</t>
  </si>
  <si>
    <t>H3BPB8_MPI</t>
  </si>
  <si>
    <t>H3BPC4_UBE2I</t>
  </si>
  <si>
    <t>H3BPE1_MACF1</t>
  </si>
  <si>
    <t>H3BPZ0_FBXL19</t>
  </si>
  <si>
    <t>H3BQA0_SNAPC5</t>
  </si>
  <si>
    <t>H3BQF6_</t>
  </si>
  <si>
    <t>H3BQM0_PAPD5</t>
  </si>
  <si>
    <t>H3BQV3_COG8</t>
  </si>
  <si>
    <t>H3BR82_SPNS1</t>
  </si>
  <si>
    <t>H3BRF9_ZFYVE19</t>
  </si>
  <si>
    <t>H3BRL3_UBFD1</t>
  </si>
  <si>
    <t>H3BRN4_ABAT</t>
  </si>
  <si>
    <t>H3BRV0_EIF3C</t>
  </si>
  <si>
    <t>H3BRY6_VWA9</t>
  </si>
  <si>
    <t>H3BS01_C15orf41</t>
  </si>
  <si>
    <t>H3BS66_SMIM1</t>
  </si>
  <si>
    <t>H3BSM7_C16orf58</t>
  </si>
  <si>
    <t>H3BSW6_CTU2</t>
  </si>
  <si>
    <t>H3BT91_CCNDBP1</t>
  </si>
  <si>
    <t>H3BTB7_EARS2</t>
  </si>
  <si>
    <t>H3BTL1_MAP1LC3B</t>
  </si>
  <si>
    <t>H3BTN5_PKM</t>
  </si>
  <si>
    <t>H3BTR4_CENPT</t>
  </si>
  <si>
    <t>H3BTX0_</t>
  </si>
  <si>
    <t>H3BTX7_RNF166</t>
  </si>
  <si>
    <t>H3BU23_CDR2</t>
  </si>
  <si>
    <t>H3BU49_ARL2BP</t>
  </si>
  <si>
    <t>H3BV80_RNPS1</t>
  </si>
  <si>
    <t>H6UMI1_GABARAP</t>
  </si>
  <si>
    <t>H7BXD5_GCA</t>
  </si>
  <si>
    <t>H7BXF4_SMPD4</t>
  </si>
  <si>
    <t>H7BXF5_SAP130</t>
  </si>
  <si>
    <t>H7BXH2_PPP6R3</t>
  </si>
  <si>
    <t>H7BXH9_METTL21A</t>
  </si>
  <si>
    <t>H7BXI1_ESYT2</t>
  </si>
  <si>
    <t>H7BXI5_ERGIC3</t>
  </si>
  <si>
    <t>H7BXL1_TMEM41A</t>
  </si>
  <si>
    <t>H7BXR8_ARHGAP19</t>
  </si>
  <si>
    <t>H7BXW7_MPC1</t>
  </si>
  <si>
    <t>H7BXY3_DHX30</t>
  </si>
  <si>
    <t>H7BY22_ZBTB44</t>
  </si>
  <si>
    <t>H7BY58_PCMT1</t>
  </si>
  <si>
    <t>H7BY84_GTF3C5</t>
  </si>
  <si>
    <t>H7BYE5_WRB</t>
  </si>
  <si>
    <t>H7BYY1_TPM1</t>
  </si>
  <si>
    <t>H7BZ11_</t>
  </si>
  <si>
    <t>H7BZJ3_PDIA3</t>
  </si>
  <si>
    <t>H7BZT4_</t>
  </si>
  <si>
    <t>H7C096_BNIP2</t>
  </si>
  <si>
    <t>H7C0C1_</t>
  </si>
  <si>
    <t>H7C0S3_CDKN3</t>
  </si>
  <si>
    <t>H7C0S8_</t>
  </si>
  <si>
    <t>H7C0V4_RTN4R</t>
  </si>
  <si>
    <t>H7C128_BRD8</t>
  </si>
  <si>
    <t>H7C155_RAF1</t>
  </si>
  <si>
    <t>H7C173_MZT2B</t>
  </si>
  <si>
    <t>H7C1M3_MMP8</t>
  </si>
  <si>
    <t>H7C1Q1_</t>
  </si>
  <si>
    <t>H7C1U3_CC2D1B</t>
  </si>
  <si>
    <t>H7C1U8_APOO</t>
  </si>
  <si>
    <t>H7C270_CTDSP1</t>
  </si>
  <si>
    <t>H7C285_TSPAN15</t>
  </si>
  <si>
    <t>H7C2P7_MRPL23</t>
  </si>
  <si>
    <t>H7C3A6_C1orf86</t>
  </si>
  <si>
    <t>H7C3C7_SNAP47</t>
  </si>
  <si>
    <t>H7C3D5_FAM134A</t>
  </si>
  <si>
    <t>H7C3D8_CMC1</t>
  </si>
  <si>
    <t>H7C3P4_GNS</t>
  </si>
  <si>
    <t>H7C484_ARV1</t>
  </si>
  <si>
    <t>H7C5F7_NDFIP2</t>
  </si>
  <si>
    <t>H7C5G1_IAH1</t>
  </si>
  <si>
    <t>H7C5R8_PARP14</t>
  </si>
  <si>
    <t>H9KV46_KIF18B</t>
  </si>
  <si>
    <t>H9KV59_PRC1</t>
  </si>
  <si>
    <t>H9KVA1_SLC22A17</t>
  </si>
  <si>
    <t>H9KVB8_MICU1</t>
  </si>
  <si>
    <t>H9ZYI9_GABPB1</t>
  </si>
  <si>
    <t>I3L097_</t>
  </si>
  <si>
    <t>I3L0C1_SMG1</t>
  </si>
  <si>
    <t>I3L0K1_GOSR2</t>
  </si>
  <si>
    <t>I3L0L6_RNF167</t>
  </si>
  <si>
    <t>I3L0N3_NSF</t>
  </si>
  <si>
    <t>I3L0W4_SAT2</t>
  </si>
  <si>
    <t>I3L112_DGKE</t>
  </si>
  <si>
    <t>I3L1B5_RPGRIP1L</t>
  </si>
  <si>
    <t>I3L1H5_DPH1</t>
  </si>
  <si>
    <t>I3L1K6_MYL4</t>
  </si>
  <si>
    <t>I3L1L3_MYBBP1A</t>
  </si>
  <si>
    <t>I3L1P8_SLC25A11</t>
  </si>
  <si>
    <t>I3L1Q2_BCL7C</t>
  </si>
  <si>
    <t>I3L1Q3_ELP5</t>
  </si>
  <si>
    <t>I3L232_B3GNTL1</t>
  </si>
  <si>
    <t>I3L2B0_CLUH</t>
  </si>
  <si>
    <t>I3L2C7_GEMIN4</t>
  </si>
  <si>
    <t>I3L2J0_CIC</t>
  </si>
  <si>
    <t>I3L2J8_AZI1</t>
  </si>
  <si>
    <t>I3L2L5_FAM195B</t>
  </si>
  <si>
    <t>I3L3A8_PELP1</t>
  </si>
  <si>
    <t>I3L3K5_CTDNEP1</t>
  </si>
  <si>
    <t>I3L413_CCNE1</t>
  </si>
  <si>
    <t>I3L448_ATPAF1</t>
  </si>
  <si>
    <t>I3L4C3_SPAG7</t>
  </si>
  <si>
    <t>I3L4J3_KANSL1</t>
  </si>
  <si>
    <t>I3L4X3_NFKBIB</t>
  </si>
  <si>
    <t>J3KMW4_CENPI</t>
  </si>
  <si>
    <t>J3KMW7_UBR5</t>
  </si>
  <si>
    <t>J3KMW8_CACTIN</t>
  </si>
  <si>
    <t>J3KMX2_SMARCD2</t>
  </si>
  <si>
    <t>J3KMY5_NPC2</t>
  </si>
  <si>
    <t>J3KMZ7_INTS2</t>
  </si>
  <si>
    <t>J3KMZ9_LDLR</t>
  </si>
  <si>
    <t>J3KN10_PI4KA</t>
  </si>
  <si>
    <t>J3KN16_KIAA0368</t>
  </si>
  <si>
    <t>J3KN27_FBRSL1</t>
  </si>
  <si>
    <t>J3KN29_PSMD9</t>
  </si>
  <si>
    <t>J3KN32_RCOR1</t>
  </si>
  <si>
    <t>J3KN47_TF</t>
  </si>
  <si>
    <t>J3KN66_TOR1AIP1</t>
  </si>
  <si>
    <t>J3KN67_TPM3</t>
  </si>
  <si>
    <t>J3KN69_NCEH1</t>
  </si>
  <si>
    <t>J3KN93_ANKRD44</t>
  </si>
  <si>
    <t>J3KNA0_OXA1L</t>
  </si>
  <si>
    <t>J3KNB8_MAP3K4</t>
  </si>
  <si>
    <t>J3KNE0_RGPD3</t>
  </si>
  <si>
    <t>J3KNF4_CCS</t>
  </si>
  <si>
    <t>J3KNF5_CEP290</t>
  </si>
  <si>
    <t>J3KNF8_CYB5B</t>
  </si>
  <si>
    <t>J3KNI1_COG4</t>
  </si>
  <si>
    <t>J3KNL2_SEPT1</t>
  </si>
  <si>
    <t>J3KNL3_CHID1</t>
  </si>
  <si>
    <t>J3KNL6_SEC16A</t>
  </si>
  <si>
    <t>J3KNM6_AGAP2</t>
  </si>
  <si>
    <t>J3KNN3_PHKG2</t>
  </si>
  <si>
    <t>J3KNN5_DDX41</t>
  </si>
  <si>
    <t>J3KNN7_BRAP</t>
  </si>
  <si>
    <t>J3KNP4_SEMA4B</t>
  </si>
  <si>
    <t>J3KNR0_MARK3</t>
  </si>
  <si>
    <t>J3KNV1_ZNF292</t>
  </si>
  <si>
    <t>J3KNW4_FHL2</t>
  </si>
  <si>
    <t>J3KNX9_MYO18A</t>
  </si>
  <si>
    <t>J3KP15_SRSF2</t>
  </si>
  <si>
    <t>J3KP19_SIPA1L1</t>
  </si>
  <si>
    <t>J3KP22_PTPRA</t>
  </si>
  <si>
    <t>J3KP26_ANKRD46</t>
  </si>
  <si>
    <t>J3KP75_PHACTR2</t>
  </si>
  <si>
    <t>J3KPC5_RAP1GAP</t>
  </si>
  <si>
    <t>J3KPD3_RBM7</t>
  </si>
  <si>
    <t>J3KPF9_KIF3A</t>
  </si>
  <si>
    <t>J3KPG6_PSTPIP1</t>
  </si>
  <si>
    <t>J3KPI1_SECISBP2L</t>
  </si>
  <si>
    <t>J3KPK1_SYNJ1</t>
  </si>
  <si>
    <t>J3KPL1_PNPLA8</t>
  </si>
  <si>
    <t>J3KPN1_TESC</t>
  </si>
  <si>
    <t>J3KPP7_ARRB1</t>
  </si>
  <si>
    <t>J3KPQ4_ARHGAP9</t>
  </si>
  <si>
    <t>J3KPS0_DNAJB12</t>
  </si>
  <si>
    <t>J3KPT4_TRABD</t>
  </si>
  <si>
    <t>J3KPW7_HDAC2</t>
  </si>
  <si>
    <t>J3KPY9_ANTXR2</t>
  </si>
  <si>
    <t>J3KPZ4_C1D</t>
  </si>
  <si>
    <t>J3KPZ8_RFXANK</t>
  </si>
  <si>
    <t>J3KQ32_OLA1</t>
  </si>
  <si>
    <t>J3KQ34_COPS7B</t>
  </si>
  <si>
    <t>J3KQ45_TGOLN2</t>
  </si>
  <si>
    <t>J3KQ48_PTRH2</t>
  </si>
  <si>
    <t>J3KQ72_FBXO6</t>
  </si>
  <si>
    <t>J3KQ88_C6orf203</t>
  </si>
  <si>
    <t>J3KQ97_C6orf120</t>
  </si>
  <si>
    <t>J3KQA4_SLC25A36</t>
  </si>
  <si>
    <t>J3KQB0_THUMPD1</t>
  </si>
  <si>
    <t>J3KQD0_FAM213B</t>
  </si>
  <si>
    <t>J3KQE5_RAN</t>
  </si>
  <si>
    <t>J3KQG4_GBA</t>
  </si>
  <si>
    <t>J3KQJ1_SUMF2</t>
  </si>
  <si>
    <t>J3KQL8_APOL2</t>
  </si>
  <si>
    <t>J3KQS6_BABAM1</t>
  </si>
  <si>
    <t>J3KR15_NAPEPLD</t>
  </si>
  <si>
    <t>J3KR35_CCDC12</t>
  </si>
  <si>
    <t>J3KR72_TAF6</t>
  </si>
  <si>
    <t>J3KR97_TBCD</t>
  </si>
  <si>
    <t>J3KRC8_C16orf55</t>
  </si>
  <si>
    <t>J3KRP6_SS18</t>
  </si>
  <si>
    <t>J3KS05_CBX1</t>
  </si>
  <si>
    <t>J3KS15_ICT1</t>
  </si>
  <si>
    <t>J3KS81_TMEM199</t>
  </si>
  <si>
    <t>J3KSG1_KCTD1</t>
  </si>
  <si>
    <t>J3KT84_HEXDC</t>
  </si>
  <si>
    <t>J3KTA1_FBXL20</t>
  </si>
  <si>
    <t>J3KTL1_ZNF207</t>
  </si>
  <si>
    <t>J3KTL2_SRSF1</t>
  </si>
  <si>
    <t>J3QK89_CHERP</t>
  </si>
  <si>
    <t>J3QL56_SCO1</t>
  </si>
  <si>
    <t>J3QL71_SCRN2</t>
  </si>
  <si>
    <t>J3QLC9_HP</t>
  </si>
  <si>
    <t>J3QLM1_STARD3</t>
  </si>
  <si>
    <t>J3QLS3_MRPS7</t>
  </si>
  <si>
    <t>J3QLV8_SNX11</t>
  </si>
  <si>
    <t>J3QQJ0_SAP30BP</t>
  </si>
  <si>
    <t>J3QQJ5_TRAPPC8</t>
  </si>
  <si>
    <t>J3QQK6_MBP</t>
  </si>
  <si>
    <t>J3QQT2_RPL17</t>
  </si>
  <si>
    <t>J3QQX3_FDXR</t>
  </si>
  <si>
    <t>J3QR01_STRA13</t>
  </si>
  <si>
    <t>J3QR07_YTHDC1</t>
  </si>
  <si>
    <t>J3QR09_RPL19</t>
  </si>
  <si>
    <t>J3QR77_CD226</t>
  </si>
  <si>
    <t>J3QRC0_NADK</t>
  </si>
  <si>
    <t>J3QRD1_ALDH3A2</t>
  </si>
  <si>
    <t>J3QRM9_ORMDL3</t>
  </si>
  <si>
    <t>J3QRS3_MYL12A</t>
  </si>
  <si>
    <t>J3QRS9_ZNF207</t>
  </si>
  <si>
    <t>J3QRU1_YES1</t>
  </si>
  <si>
    <t>J3QRU4_VAMP2</t>
  </si>
  <si>
    <t>J3QSH4_VEZF1</t>
  </si>
  <si>
    <t>J3QT87_CRBN</t>
  </si>
  <si>
    <t>J3QTA2_BAG1</t>
  </si>
  <si>
    <t>J3QTA6_CHCHD6</t>
  </si>
  <si>
    <t>J9JIC5_C17orf75</t>
  </si>
  <si>
    <t>J9JID7_LMNB2</t>
  </si>
  <si>
    <t>J9JIE6_TMCO1</t>
  </si>
  <si>
    <t>K4DI92_RWDD4</t>
  </si>
  <si>
    <t>K4DI93_CUL4B</t>
  </si>
  <si>
    <t>K7EIG1_CLUH</t>
  </si>
  <si>
    <t>K7EIJ0_WBP2</t>
  </si>
  <si>
    <t>K7EIN2_NUDT16L1</t>
  </si>
  <si>
    <t>K7EIP7_YIPF2</t>
  </si>
  <si>
    <t>K7EIU8_SMAD4</t>
  </si>
  <si>
    <t>K7EIX2_HEATR6</t>
  </si>
  <si>
    <t>K7EIY4_STX10</t>
  </si>
  <si>
    <t>K7EJ78_RPS15</t>
  </si>
  <si>
    <t>K7EJB5_SNRPD2</t>
  </si>
  <si>
    <t>K7EJB9_CALR</t>
  </si>
  <si>
    <t>K7EJH0_SPC24</t>
  </si>
  <si>
    <t>K7EJQ7_SEC11C</t>
  </si>
  <si>
    <t>K7EK00_FAM210A</t>
  </si>
  <si>
    <t>K7EK07_H3F3B</t>
  </si>
  <si>
    <t>K7EKE6_LONP1</t>
  </si>
  <si>
    <t>K7EKG9_ATXN7L3</t>
  </si>
  <si>
    <t>K7EKI8_PPL</t>
  </si>
  <si>
    <t>K7EKW3_TMUB2</t>
  </si>
  <si>
    <t>K7EL68_CDC37</t>
  </si>
  <si>
    <t>K7EL81_PPP1R12C</t>
  </si>
  <si>
    <t>K7ELE3_AES</t>
  </si>
  <si>
    <t>K7ELL7_PRKCSH</t>
  </si>
  <si>
    <t>K7EM02_KATNAL2</t>
  </si>
  <si>
    <t>K7EM09_TMEM205</t>
  </si>
  <si>
    <t>K7EMK7_TLE2</t>
  </si>
  <si>
    <t>K7EMV5_ZNF444</t>
  </si>
  <si>
    <t>K7EMZ7_C19orf57</t>
  </si>
  <si>
    <t>K7EN05_ELOF1</t>
  </si>
  <si>
    <t>K7EN88_hCG_2039718</t>
  </si>
  <si>
    <t>K7ENF0_NARS</t>
  </si>
  <si>
    <t>K7ENL9_C18orf8</t>
  </si>
  <si>
    <t>K7ENQ8_CYTH1</t>
  </si>
  <si>
    <t>K7ENR6_PSMG2</t>
  </si>
  <si>
    <t>K7ENV7_ISOC2</t>
  </si>
  <si>
    <t>K7EP90_RBM42</t>
  </si>
  <si>
    <t>K7EPS8_C19orf12</t>
  </si>
  <si>
    <t>K7EQE7_TMEM161A</t>
  </si>
  <si>
    <t>K7EQW8_TPM4</t>
  </si>
  <si>
    <t>K7ER00_FARSA</t>
  </si>
  <si>
    <t>K7ER95_MAP4K1</t>
  </si>
  <si>
    <t>K7ERF1_EIF3K</t>
  </si>
  <si>
    <t>K7ERH3_GJC1</t>
  </si>
  <si>
    <t>K7ERQ0_YIF1B</t>
  </si>
  <si>
    <t>K7ERS5_</t>
  </si>
  <si>
    <t>K7ERU0_ZNF580</t>
  </si>
  <si>
    <t>K7ES11_UBE2O</t>
  </si>
  <si>
    <t>K7ES84_FAM86A</t>
  </si>
  <si>
    <t>K7ESE3_RAD23A</t>
  </si>
  <si>
    <t>K7ESG9_NFIX</t>
  </si>
  <si>
    <t>K7ESI9_DNM2</t>
  </si>
  <si>
    <t>K7ESP4_DCAKD</t>
  </si>
  <si>
    <t>M0QWZ7_SARS2</t>
  </si>
  <si>
    <t>M0QX35_PAF1</t>
  </si>
  <si>
    <t>M0QX57_KLK3</t>
  </si>
  <si>
    <t>M0QXA7_WIZ</t>
  </si>
  <si>
    <t>M0QXZ5_ZNF428</t>
  </si>
  <si>
    <t>M0QY01_EPS15L1</t>
  </si>
  <si>
    <t>M0QY97_ZC3H4</t>
  </si>
  <si>
    <t>M0QYM7_TUBB4A</t>
  </si>
  <si>
    <t>M0QYS1_RPL13A</t>
  </si>
  <si>
    <t>M0QZ22_SAMD4B</t>
  </si>
  <si>
    <t>M0QZI3_FCHO1</t>
  </si>
  <si>
    <t>M0QZL8_JOSD2</t>
  </si>
  <si>
    <t>M0QZP6_CD37</t>
  </si>
  <si>
    <t>M0QZR4_ARHGEF1</t>
  </si>
  <si>
    <t>M0R042_TUBB4A</t>
  </si>
  <si>
    <t>M0R087_ZNF575</t>
  </si>
  <si>
    <t>M0R0B4_KXD1</t>
  </si>
  <si>
    <t>M0R0F0_RPS5</t>
  </si>
  <si>
    <t>M0R0N4_AP2S1</t>
  </si>
  <si>
    <t>M0R150_</t>
  </si>
  <si>
    <t>M0R226_MRPL34</t>
  </si>
  <si>
    <t>M0R2A0_EMC10</t>
  </si>
  <si>
    <t>M0R2B7_POLD1</t>
  </si>
  <si>
    <t>M0R2P6_SHKBP1</t>
  </si>
  <si>
    <t>M0R300_MYO9B</t>
  </si>
  <si>
    <t>M0R3D4_RABAC1</t>
  </si>
  <si>
    <t>O00116_AGPS</t>
  </si>
  <si>
    <t>O00124-3_UBXN8</t>
  </si>
  <si>
    <t>O00139_KIF2A</t>
  </si>
  <si>
    <t>O00148_DDX39A</t>
  </si>
  <si>
    <t>O00151_PDLIM1</t>
  </si>
  <si>
    <t>O00154-4_ACOT7</t>
  </si>
  <si>
    <t>O00161_SNAP23</t>
  </si>
  <si>
    <t>O00165_HAX1</t>
  </si>
  <si>
    <t>O00170_AIP</t>
  </si>
  <si>
    <t>O00178_GTPBP1</t>
  </si>
  <si>
    <t>O00180_KCNK1</t>
  </si>
  <si>
    <t>O00186_STXBP3</t>
  </si>
  <si>
    <t>O00214_LGALS8</t>
  </si>
  <si>
    <t>O00217_NDUFS8</t>
  </si>
  <si>
    <t>O00221_NFKBIE</t>
  </si>
  <si>
    <t>O00231_PSMD11</t>
  </si>
  <si>
    <t>O00232_PSMD12</t>
  </si>
  <si>
    <t>O00244_ATOX1</t>
  </si>
  <si>
    <t>O00255-2_MEN1</t>
  </si>
  <si>
    <t>O00257_CBX4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</si>
  <si>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</si>
  <si>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</si>
  <si>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</si>
  <si>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</si>
  <si>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</si>
  <si>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</si>
  <si>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</si>
  <si>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O00329_PIK3CD</t>
  </si>
  <si>
    <t>O00330_PDHX</t>
  </si>
  <si>
    <t>O00391_QSOX1</t>
  </si>
  <si>
    <t>O00399_DCTN6</t>
  </si>
  <si>
    <t>O00400_SLC33A1</t>
  </si>
  <si>
    <t>O00410_IPO5</t>
  </si>
  <si>
    <t>O00418_EEF2K</t>
  </si>
  <si>
    <t>O00422_SAP18</t>
  </si>
  <si>
    <t>O00425_IGF2BP3</t>
  </si>
  <si>
    <t>O00429_DNM1L</t>
  </si>
  <si>
    <t>O00429-3_DNM1L</t>
  </si>
  <si>
    <t>O00429-4_DNM1L</t>
  </si>
  <si>
    <t>O00442_RTCA</t>
  </si>
  <si>
    <t>O00459_PIK3R2</t>
  </si>
  <si>
    <t>O00462_MANBA</t>
  </si>
  <si>
    <t>O00463_TRAF5</t>
  </si>
  <si>
    <t>O00471_EXOC5</t>
  </si>
  <si>
    <t>O00479_HMGN4</t>
  </si>
  <si>
    <t>O00483_NDUFA4</t>
  </si>
  <si>
    <t>O00487_PSMD14</t>
  </si>
  <si>
    <t>O00488_ZNF593</t>
  </si>
  <si>
    <t>O00499-6_BIN1</t>
  </si>
  <si>
    <t>O00505_KPNA3</t>
  </si>
  <si>
    <t>O00506_STK25</t>
  </si>
  <si>
    <t>O00512_BCL9</t>
  </si>
  <si>
    <t>O00534_VWA5A</t>
  </si>
  <si>
    <t>O00560_SDCBP</t>
  </si>
  <si>
    <t>O00566_MPHOSPH10</t>
  </si>
  <si>
    <t>O00567_NOP56</t>
  </si>
  <si>
    <t>O00571_DDX3X</t>
  </si>
  <si>
    <t>O00629_KPNA4</t>
  </si>
  <si>
    <t>O00743_PPP6C</t>
  </si>
  <si>
    <t>O00754-2_MAN2B1</t>
  </si>
  <si>
    <t>O00762-2_UBE2C</t>
  </si>
  <si>
    <t>O00764_PDXK</t>
  </si>
  <si>
    <t>O00767_SCD</t>
  </si>
  <si>
    <t>O14497_ARID1A</t>
  </si>
  <si>
    <t>O14519-2_CDK2AP1</t>
  </si>
  <si>
    <t>O14523_C2CD2L</t>
  </si>
  <si>
    <t>O14524-2_TMEM194A</t>
  </si>
  <si>
    <t>O14530_TXNDC9</t>
  </si>
  <si>
    <t>O14545_TRAFD1</t>
  </si>
  <si>
    <t>O14548_COX7A2L</t>
  </si>
  <si>
    <t>O14556_GAPDHS</t>
  </si>
  <si>
    <t>O14561_NDUFAB1</t>
  </si>
  <si>
    <t>O14569_CYB561D2</t>
  </si>
  <si>
    <t>O14578-4_CIT</t>
  </si>
  <si>
    <t>O14579_COPE</t>
  </si>
  <si>
    <t>O14602_EIF1AY</t>
  </si>
  <si>
    <t>O14617-4_AP3D1</t>
  </si>
  <si>
    <t>O14656_TOR1A</t>
  </si>
  <si>
    <t>O14657_TOR1B</t>
  </si>
  <si>
    <t>O14662-2_STX16</t>
  </si>
  <si>
    <t>O14672_ADAM10</t>
  </si>
  <si>
    <t>O14678_ABCD4</t>
  </si>
  <si>
    <t>O14686_MLL2</t>
  </si>
  <si>
    <t>O14732-2_IMPA2</t>
  </si>
  <si>
    <t>O14734_ACOT8</t>
  </si>
  <si>
    <t>O14737_PDCD5</t>
  </si>
  <si>
    <t>O14744_PRMT5</t>
  </si>
  <si>
    <t>O14745_SLC9A3R1</t>
  </si>
  <si>
    <t>O14757_CHEK1</t>
  </si>
  <si>
    <t>O14763-2_TNFRSF10B</t>
  </si>
  <si>
    <t>O14772_FPGT</t>
  </si>
  <si>
    <t>O14773-2_TPP1</t>
  </si>
  <si>
    <t>O14775-3_GNB5</t>
  </si>
  <si>
    <t>O14776-2_TCERG1</t>
  </si>
  <si>
    <t>O14777_NDC80</t>
  </si>
  <si>
    <t>O14787-2_TNPO2</t>
  </si>
  <si>
    <t>O14802_POLR3A</t>
  </si>
  <si>
    <t>O14818_PSMA7</t>
  </si>
  <si>
    <t>O14828_SCAMP3</t>
  </si>
  <si>
    <t>O14841_OPLAH</t>
  </si>
  <si>
    <t>O14867_BACH1</t>
  </si>
  <si>
    <t>O14893-2_GEMIN2</t>
  </si>
  <si>
    <t>O14907_TAX1BP3</t>
  </si>
  <si>
    <t>O14908_GIPC1</t>
  </si>
  <si>
    <t>O14920_IKBKB</t>
  </si>
  <si>
    <t>O14925_TIMM23</t>
  </si>
  <si>
    <t>O14929_HAT1</t>
  </si>
  <si>
    <t>O14933_UBE2L6</t>
  </si>
  <si>
    <t>O14949_UQCRQ</t>
  </si>
  <si>
    <t>O14964_HGS</t>
  </si>
  <si>
    <t>O14965_AURKA</t>
  </si>
  <si>
    <t>O14966_RAB7L1</t>
  </si>
  <si>
    <t>O14967_CLGN</t>
  </si>
  <si>
    <t>O14974-4_PPP1R12A</t>
  </si>
  <si>
    <t>O14975-2_SLC27A2</t>
  </si>
  <si>
    <t>O14976_GAK</t>
  </si>
  <si>
    <t>O14979_HNRPDL</t>
  </si>
  <si>
    <t>O14980_XPO1</t>
  </si>
  <si>
    <t>O14981_BTAF1</t>
  </si>
  <si>
    <t>O15014_ZNF609</t>
  </si>
  <si>
    <t>O15015_ZNF646</t>
  </si>
  <si>
    <t>O15020-2_SPTBN2</t>
  </si>
  <si>
    <t>O15040_TECPR2</t>
  </si>
  <si>
    <t>O15047_SETD1A</t>
  </si>
  <si>
    <t>O15056_SYNJ2</t>
  </si>
  <si>
    <t>O15066_KIF3B</t>
  </si>
  <si>
    <t>O15067_PFAS</t>
  </si>
  <si>
    <t>O15084_ANKRD28</t>
  </si>
  <si>
    <t>O15085_ARHGEF11</t>
  </si>
  <si>
    <t>O15091-2_KIAA0391</t>
  </si>
  <si>
    <t>O15111_CHUK</t>
  </si>
  <si>
    <t>O15116_LSM1</t>
  </si>
  <si>
    <t>O15117_FYB</t>
  </si>
  <si>
    <t>O15118_NPC1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</si>
  <si>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</si>
  <si>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</si>
  <si>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</si>
  <si>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</si>
  <si>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</si>
  <si>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</si>
  <si>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</si>
  <si>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O15165-5_LDLRAD4</t>
  </si>
  <si>
    <t>O15173_PGRMC2</t>
  </si>
  <si>
    <t>O15212_PFDN6</t>
  </si>
  <si>
    <t>O15213_WDR46</t>
  </si>
  <si>
    <t>O15228_GNPAT</t>
  </si>
  <si>
    <t>O15234_CASC3</t>
  </si>
  <si>
    <t>O15235_MRPS12</t>
  </si>
  <si>
    <t>O15239_NDUFA1</t>
  </si>
  <si>
    <t>O15254_ACOX3</t>
  </si>
  <si>
    <t>O15258_RER1</t>
  </si>
  <si>
    <t>O15269_SPTLC1</t>
  </si>
  <si>
    <t>O15270_SPTLC2</t>
  </si>
  <si>
    <t>O15294-3_OGT</t>
  </si>
  <si>
    <t>O15305_PMM2</t>
  </si>
  <si>
    <t>O15344_MID1</t>
  </si>
  <si>
    <t>O15347_HMGB3</t>
  </si>
  <si>
    <t>O15355_PPM1G</t>
  </si>
  <si>
    <t>O15379_HDAC3</t>
  </si>
  <si>
    <t>O15381_NVL</t>
  </si>
  <si>
    <t>O15382_BCAT2</t>
  </si>
  <si>
    <t>O15392-4_BIRC5</t>
  </si>
  <si>
    <t>O15397_IPO8</t>
  </si>
  <si>
    <t>O15400-2_STX7</t>
  </si>
  <si>
    <t>O15427_SLC16A3</t>
  </si>
  <si>
    <t>O15431_SLC31A1</t>
  </si>
  <si>
    <t>O15439-2_ABCC4</t>
  </si>
  <si>
    <t>O15446_CD3EAP</t>
  </si>
  <si>
    <t>O15498_YKT6</t>
  </si>
  <si>
    <t>O15511_ARPC5</t>
  </si>
  <si>
    <t>O15514_POLR2D</t>
  </si>
  <si>
    <t>O15530_PDPK1</t>
  </si>
  <si>
    <t>O15541_RNF113A</t>
  </si>
  <si>
    <t>O43143_DHX15</t>
  </si>
  <si>
    <t>O43148_RNMT</t>
  </si>
  <si>
    <t>O43149_ZZEF1</t>
  </si>
  <si>
    <t>O43156_TTI1</t>
  </si>
  <si>
    <t>O43157-2_PLXNB1</t>
  </si>
  <si>
    <t>O43164-2_PJA2</t>
  </si>
  <si>
    <t>O43172-2_PRPF4</t>
  </si>
  <si>
    <t>O43175_PHGDH</t>
  </si>
  <si>
    <t>O43181_NDUFS4</t>
  </si>
  <si>
    <t>O43237_DYNC1LI2</t>
  </si>
  <si>
    <t>O43242_PSMD3</t>
  </si>
  <si>
    <t>O43252_PAPSS1</t>
  </si>
  <si>
    <t>O43264_ZW10</t>
  </si>
  <si>
    <t>O43290_SART1</t>
  </si>
  <si>
    <t>O43291_SPINT2</t>
  </si>
  <si>
    <t>O43295_SRGAP3</t>
  </si>
  <si>
    <t>O43298_ZBTB43</t>
  </si>
  <si>
    <t>O43310_CTIF</t>
  </si>
  <si>
    <t>O43314-2_PPIP5K2</t>
  </si>
  <si>
    <t>O43318-2_MAP3K7</t>
  </si>
  <si>
    <t>O43324_EEF1E1</t>
  </si>
  <si>
    <t>O43390_HNRNPR</t>
  </si>
  <si>
    <t>O43395_PRPF3</t>
  </si>
  <si>
    <t>O43396_TXNL1</t>
  </si>
  <si>
    <t>O43399_TPD52L2</t>
  </si>
  <si>
    <t>O43402_EMC8</t>
  </si>
  <si>
    <t>O43422_PRKRIR</t>
  </si>
  <si>
    <t>O43427-2_FIBP</t>
  </si>
  <si>
    <t>O43432_EIF4G3</t>
  </si>
  <si>
    <t>O43447_PPIH</t>
  </si>
  <si>
    <t>O43464-3_HTRA2</t>
  </si>
  <si>
    <t>O43482_OIP5</t>
  </si>
  <si>
    <t>O43488_AKR7A2</t>
  </si>
  <si>
    <t>O43502_RAD51C</t>
  </si>
  <si>
    <t>O43504_LAMTOR5</t>
  </si>
  <si>
    <t>O43505_B3GNT1</t>
  </si>
  <si>
    <t>O43513_MED7</t>
  </si>
  <si>
    <t>O43516_WIPF1</t>
  </si>
  <si>
    <t>O43524_FOXO3</t>
  </si>
  <si>
    <t>O43542_XRCC3</t>
  </si>
  <si>
    <t>O43543_XRCC2</t>
  </si>
  <si>
    <t>O43566_RGS14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</si>
  <si>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</si>
  <si>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</si>
  <si>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</si>
  <si>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</si>
  <si>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</si>
  <si>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</si>
  <si>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</si>
  <si>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</si>
  <si>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O43665-2_RGS10</t>
  </si>
  <si>
    <t>O43674_NDUFB5</t>
  </si>
  <si>
    <t>O43676_NDUFB3</t>
  </si>
  <si>
    <t>O43677_NDUFC1</t>
  </si>
  <si>
    <t>O43678_NDUFA2</t>
  </si>
  <si>
    <t>O43681_ASNA1</t>
  </si>
  <si>
    <t>O43684_BUB3</t>
  </si>
  <si>
    <t>O43707_ACTN4</t>
  </si>
  <si>
    <t>O43708_GSTZ1</t>
  </si>
  <si>
    <t>O43709_WBSCR22</t>
  </si>
  <si>
    <t>O43715_TRIAP1</t>
  </si>
  <si>
    <t>O43719_HTATSF1</t>
  </si>
  <si>
    <t>O43736-2_ITM2A</t>
  </si>
  <si>
    <t>O43752_STX6</t>
  </si>
  <si>
    <t>O43760_SYNGR2</t>
  </si>
  <si>
    <t>O43765_SGTA</t>
  </si>
  <si>
    <t>O43766_LIAS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</si>
  <si>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</si>
  <si>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</si>
  <si>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</si>
  <si>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</si>
  <si>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</si>
  <si>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</si>
  <si>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</si>
  <si>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</si>
  <si>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</si>
  <si>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</si>
  <si>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</si>
  <si>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O43824_GTPBP6</t>
  </si>
  <si>
    <t>O43829_ZBTB14</t>
  </si>
  <si>
    <t>O43837_IDH3B</t>
  </si>
  <si>
    <t>O43852_CALU</t>
  </si>
  <si>
    <t>O43861-2_ATP9B</t>
  </si>
  <si>
    <t>O43865_AHCYL1</t>
  </si>
  <si>
    <t>O43896_KIF1C</t>
  </si>
  <si>
    <t>O43913_ORC5</t>
  </si>
  <si>
    <t>O43920_NDUFS5</t>
  </si>
  <si>
    <t>O43924_PDE6D</t>
  </si>
  <si>
    <t>O43933_PEX1</t>
  </si>
  <si>
    <t>O60216_RAD21</t>
  </si>
  <si>
    <t>O60218_AKR1B10</t>
  </si>
  <si>
    <t>O60220_TIMM8A</t>
  </si>
  <si>
    <t>O60231_DHX16</t>
  </si>
  <si>
    <t>O60234_GMFG</t>
  </si>
  <si>
    <t>O60239_SH3BP5</t>
  </si>
  <si>
    <t>O60244_MED14</t>
  </si>
  <si>
    <t>O60256_PRPSAP2</t>
  </si>
  <si>
    <t>O60262_GNG7</t>
  </si>
  <si>
    <t>O60264_SMARCA5</t>
  </si>
  <si>
    <t>O60271-4_SPAG9</t>
  </si>
  <si>
    <t>O60287_URB1</t>
  </si>
  <si>
    <t>O60294_LCMT2</t>
  </si>
  <si>
    <t>O60306_AQR</t>
  </si>
  <si>
    <t>O60307_MAST3</t>
  </si>
  <si>
    <t>O60313-2_OPA1</t>
  </si>
  <si>
    <t>O60331-4_PIP5K1C</t>
  </si>
  <si>
    <t>O60333-2_KIF1B</t>
  </si>
  <si>
    <t>O60341_KDM1A</t>
  </si>
  <si>
    <t>O60343-2_TBC1D4</t>
  </si>
  <si>
    <t>O60344-4_ECE2</t>
  </si>
  <si>
    <t>O60353-2_FZD6</t>
  </si>
  <si>
    <t>O60361_NME2P1</t>
  </si>
  <si>
    <t>O60427_FADS1</t>
  </si>
  <si>
    <t>O60443_DFNA5</t>
  </si>
  <si>
    <t>O60476_MAN1A2</t>
  </si>
  <si>
    <t>O60488-2_ACSL4</t>
  </si>
  <si>
    <t>O60493_SNX3</t>
  </si>
  <si>
    <t>O60496_DOK2</t>
  </si>
  <si>
    <t>O60504-2_SORBS3</t>
  </si>
  <si>
    <t>O60506-3_SYNCRIP</t>
  </si>
  <si>
    <t>O60508_CDC40</t>
  </si>
  <si>
    <t>O60518_RANBP6</t>
  </si>
  <si>
    <t>O60524-4_NEMF</t>
  </si>
  <si>
    <t>O60547_GMDS</t>
  </si>
  <si>
    <t>O60551_NMT2</t>
  </si>
  <si>
    <t>O60563_CCNT1</t>
  </si>
  <si>
    <t>O60566_BUB1B</t>
  </si>
  <si>
    <t>O60568_PLOD3</t>
  </si>
  <si>
    <t>O60583-2_CCNT2</t>
  </si>
  <si>
    <t>O60613_SEP15</t>
  </si>
  <si>
    <t>O60645-3_EXOC3</t>
  </si>
  <si>
    <t>O60664_PLIN3</t>
  </si>
  <si>
    <t>O60671_RAD1</t>
  </si>
  <si>
    <t>O60678_PRMT3</t>
  </si>
  <si>
    <t>O60701_UGDH</t>
  </si>
  <si>
    <t>O60704_TPST2</t>
  </si>
  <si>
    <t>O60711_LPXN</t>
  </si>
  <si>
    <t>O60725_ICMT</t>
  </si>
  <si>
    <t>O60739_EIF1B</t>
  </si>
  <si>
    <t>O60749_SNX2</t>
  </si>
  <si>
    <t>O60763_USO1</t>
  </si>
  <si>
    <t>O60783_MRPS14</t>
  </si>
  <si>
    <t>O60826_CCDC22</t>
  </si>
  <si>
    <t>O60828_PQBP1</t>
  </si>
  <si>
    <t>O60830_TIMM17B</t>
  </si>
  <si>
    <t>O60831_PRAF2</t>
  </si>
  <si>
    <t>O60832_DKC1</t>
  </si>
  <si>
    <t>O60841_EIF5B</t>
  </si>
  <si>
    <t>O60858_TRIM13</t>
  </si>
  <si>
    <t>O60861_GAS7</t>
  </si>
  <si>
    <t>O60869_EDF1</t>
  </si>
  <si>
    <t>O60870_KIN</t>
  </si>
  <si>
    <t>O60880_SH2D1A</t>
  </si>
  <si>
    <t>O60880-4_SH2D1A</t>
  </si>
  <si>
    <t>O60884_DNAJA2</t>
  </si>
  <si>
    <t>O60885_BRD4</t>
  </si>
  <si>
    <t>O60888-3_CUTA</t>
  </si>
  <si>
    <t>O60906_SMPD2</t>
  </si>
  <si>
    <t>O60911_CTSL2</t>
  </si>
  <si>
    <t>O60925_PFDN1</t>
  </si>
  <si>
    <t>O60927_PPP1R11</t>
  </si>
  <si>
    <t>O60934_NBN</t>
  </si>
  <si>
    <t>O60942_RNGTT</t>
  </si>
  <si>
    <t>O75027_ABCB7</t>
  </si>
  <si>
    <t>O75044_SRGAP2</t>
  </si>
  <si>
    <t>O75054_IGSF3</t>
  </si>
  <si>
    <t>O75061-3_DNAJC6</t>
  </si>
  <si>
    <t>O75063_FAM20B</t>
  </si>
  <si>
    <t>O75071_EFCAB14</t>
  </si>
  <si>
    <t>O75083_WDR1</t>
  </si>
  <si>
    <t>O75113_N4BP1</t>
  </si>
  <si>
    <t>O75116_ROCK2</t>
  </si>
  <si>
    <t>O75131_CPNE3</t>
  </si>
  <si>
    <t>O75143-2_ATG13</t>
  </si>
  <si>
    <t>O75145-2_PPFIA3</t>
  </si>
  <si>
    <t>O75146_HIP1R</t>
  </si>
  <si>
    <t>O75150_RNF40</t>
  </si>
  <si>
    <t>O75151_PHF2</t>
  </si>
  <si>
    <t>O75152_ZC3H11A</t>
  </si>
  <si>
    <t>O75155_CAND2</t>
  </si>
  <si>
    <t>O75157-2_TSC22D2</t>
  </si>
  <si>
    <t>O75164_KDM4A</t>
  </si>
  <si>
    <t>O75165_DNAJC13</t>
  </si>
  <si>
    <t>O75170-4_PPP6R2</t>
  </si>
  <si>
    <t>O75175_CNOT3</t>
  </si>
  <si>
    <t>O75177_SS18L1</t>
  </si>
  <si>
    <t>O75179-2_ANKRD17</t>
  </si>
  <si>
    <t>O75190_DNAJB6</t>
  </si>
  <si>
    <t>O75191_XYLB</t>
  </si>
  <si>
    <t>O75208_COQ9</t>
  </si>
  <si>
    <t>O75223_GGCT</t>
  </si>
  <si>
    <t>O75264_C19orf77</t>
  </si>
  <si>
    <t>O75306_NDUFS2</t>
  </si>
  <si>
    <t>O75312_ZNF259</t>
  </si>
  <si>
    <t>O75317_USP12</t>
  </si>
  <si>
    <t>O75323_GBAS</t>
  </si>
  <si>
    <t>O75326_SEMA7A</t>
  </si>
  <si>
    <t>O75330-2_HMMR</t>
  </si>
  <si>
    <t>O75340_PDCD6</t>
  </si>
  <si>
    <t>O75347_TBCA</t>
  </si>
  <si>
    <t>O75348_ATP6V1G1</t>
  </si>
  <si>
    <t>O75351_VPS4B</t>
  </si>
  <si>
    <t>O75362_ZNF217</t>
  </si>
  <si>
    <t>O75367-2_H2AFY</t>
  </si>
  <si>
    <t>O75368_SH3BGRL</t>
  </si>
  <si>
    <t>O75369-8_FLNB</t>
  </si>
  <si>
    <t>O75376_NCOR1</t>
  </si>
  <si>
    <t>O75379-2_VAMP4</t>
  </si>
  <si>
    <t>O75380_NDUFS6</t>
  </si>
  <si>
    <t>O75381-2_PEX14</t>
  </si>
  <si>
    <t>O75385_ULK1</t>
  </si>
  <si>
    <t>O75391_SPAG7</t>
  </si>
  <si>
    <t>O75396_SEC22B</t>
  </si>
  <si>
    <t>O75400_PRPF40A</t>
  </si>
  <si>
    <t>O75419-2_CDC45</t>
  </si>
  <si>
    <t>O75420_GIGYF1</t>
  </si>
  <si>
    <t>O75427_LRCH4</t>
  </si>
  <si>
    <t>O75436_VPS26A</t>
  </si>
  <si>
    <t>O75438_NDUFB1</t>
  </si>
  <si>
    <t>O75439_PMPCB</t>
  </si>
  <si>
    <t>O75446_SAP30</t>
  </si>
  <si>
    <t>O75449_KATNA1</t>
  </si>
  <si>
    <t>O75475_PSIP1</t>
  </si>
  <si>
    <t>O75477_ERLIN1</t>
  </si>
  <si>
    <t>O75489_NDUFS3</t>
  </si>
  <si>
    <t>O75503_CLN5</t>
  </si>
  <si>
    <t>O75506_HSBP1</t>
  </si>
  <si>
    <t>O75521-2_ECI2</t>
  </si>
  <si>
    <t>O75525_KHDRBS3</t>
  </si>
  <si>
    <t>O75528_TADA3</t>
  </si>
  <si>
    <t>O75530_EED</t>
  </si>
  <si>
    <t>O75531_BANF1</t>
  </si>
  <si>
    <t>O75533_SF3B1</t>
  </si>
  <si>
    <t>O75534_CSDE1</t>
  </si>
  <si>
    <t>O75554_WBP4</t>
  </si>
  <si>
    <t>O75569-3_PRKRA</t>
  </si>
  <si>
    <t>O75570_MTRF1</t>
  </si>
  <si>
    <t>O75575_CRCP</t>
  </si>
  <si>
    <t>O75582_RPS6KA5</t>
  </si>
  <si>
    <t>O75600_GCAT</t>
  </si>
  <si>
    <t>O75607_NPM3</t>
  </si>
  <si>
    <t>O75608-2_LYPLA1</t>
  </si>
  <si>
    <t>O75616_ERAL1</t>
  </si>
  <si>
    <t>O75629_CREG1</t>
  </si>
  <si>
    <t>O75643_SNRNP200</t>
  </si>
  <si>
    <t>O75648_TRMU</t>
  </si>
  <si>
    <t>O75663_TIPRL</t>
  </si>
  <si>
    <t>O75683_SURF6</t>
  </si>
  <si>
    <t>O75688_PPM1B</t>
  </si>
  <si>
    <t>O75691_UTP20</t>
  </si>
  <si>
    <t>O75694-2_NUP155</t>
  </si>
  <si>
    <t>O75695_RP2</t>
  </si>
  <si>
    <t>O75717_WDHD1</t>
  </si>
  <si>
    <t>O75746_SLC25A12</t>
  </si>
  <si>
    <t>O75781_PALM</t>
  </si>
  <si>
    <t>O75791_GRAP2</t>
  </si>
  <si>
    <t>O75792_RNASEH2A</t>
  </si>
  <si>
    <t>O75794_CDC123</t>
  </si>
  <si>
    <t>O75808_SOLH</t>
  </si>
  <si>
    <t>O75818_RPP40</t>
  </si>
  <si>
    <t>O75821_EIF3G</t>
  </si>
  <si>
    <t>O75822_EIF3J</t>
  </si>
  <si>
    <t>O75828_CBR3</t>
  </si>
  <si>
    <t>O75843_AP1G2</t>
  </si>
  <si>
    <t>O75844_ZMPSTE24</t>
  </si>
  <si>
    <t>O75865_TRAPPC6A</t>
  </si>
  <si>
    <t>O75874_IDH1</t>
  </si>
  <si>
    <t>O75882_ATRN</t>
  </si>
  <si>
    <t>O75884_RBBP9</t>
  </si>
  <si>
    <t>O75886_STAM2</t>
  </si>
  <si>
    <t>O75896_TUSC2</t>
  </si>
  <si>
    <t>O75909_CCNK</t>
  </si>
  <si>
    <t>O75915_ARL6IP5</t>
  </si>
  <si>
    <t>O75925_PIAS1</t>
  </si>
  <si>
    <t>O75928-2_PIAS2</t>
  </si>
  <si>
    <t>O75934_BCAS2</t>
  </si>
  <si>
    <t>O75935_DCTN3</t>
  </si>
  <si>
    <t>O75937_DNAJC8</t>
  </si>
  <si>
    <t>O75940_SMNDC1</t>
  </si>
  <si>
    <t>O75943-4_RAD17</t>
  </si>
  <si>
    <t>O75947_ATP5H</t>
  </si>
  <si>
    <t>O75955_FLOT1</t>
  </si>
  <si>
    <t>O75964_ATP5L</t>
  </si>
  <si>
    <t>O75973_C1QL1</t>
  </si>
  <si>
    <t>O75976_CPD</t>
  </si>
  <si>
    <t>O75995_SASH3</t>
  </si>
  <si>
    <t>O76003_GLRX3</t>
  </si>
  <si>
    <t>O76021_RSL1D1</t>
  </si>
  <si>
    <t>O76024_WFS1</t>
  </si>
  <si>
    <t>O76031_CLPX</t>
  </si>
  <si>
    <t>O76054-4_SEC14L2</t>
  </si>
  <si>
    <t>O76071_CIAO1</t>
  </si>
  <si>
    <t>O76080_ZFAND5</t>
  </si>
  <si>
    <t>O76094_SRP72</t>
  </si>
  <si>
    <t>O76095-2_JTB</t>
  </si>
  <si>
    <t>O76096_CST7</t>
  </si>
  <si>
    <t>O94762_RECQL5</t>
  </si>
  <si>
    <t>O94763_URI1</t>
  </si>
  <si>
    <t>O94763-4_URI1</t>
  </si>
  <si>
    <t>O94766_B3GAT3</t>
  </si>
  <si>
    <t>O94776_MTA2</t>
  </si>
  <si>
    <t>O94782_USP1</t>
  </si>
  <si>
    <t>O94804_STK10</t>
  </si>
  <si>
    <t>O94819_KBTBD11</t>
  </si>
  <si>
    <t>O94826_TOMM70A</t>
  </si>
  <si>
    <t>O94829_IPO13</t>
  </si>
  <si>
    <t>O94830_DDHD2</t>
  </si>
  <si>
    <t>O94832_MYO1D</t>
  </si>
  <si>
    <t>O94855_SEC24D</t>
  </si>
  <si>
    <t>O94864-2_SUPT7L</t>
  </si>
  <si>
    <t>O94874_UFL1</t>
  </si>
  <si>
    <t>O94880_PHF14</t>
  </si>
  <si>
    <t>O94886_TMEM63A</t>
  </si>
  <si>
    <t>O94888_UBXN7</t>
  </si>
  <si>
    <t>O94900_TOX</t>
  </si>
  <si>
    <t>O94903_PROSC</t>
  </si>
  <si>
    <t>O94905_ERLIN2</t>
  </si>
  <si>
    <t>O94906_PRPF6</t>
  </si>
  <si>
    <t>O94913_PCF11</t>
  </si>
  <si>
    <t>O94919_ENDOD1</t>
  </si>
  <si>
    <t>O94925_GLS</t>
  </si>
  <si>
    <t>O94925-3_GLS</t>
  </si>
  <si>
    <t>O94927_HAUS5</t>
  </si>
  <si>
    <t>O94952-1_FBXO21</t>
  </si>
  <si>
    <t>O94966-7_USP19</t>
  </si>
  <si>
    <t>O94967-2_WDR47</t>
  </si>
  <si>
    <t>O94973_AP2A2</t>
  </si>
  <si>
    <t>O94973-2_AP2A2</t>
  </si>
  <si>
    <t>O94992_HEXIM1</t>
  </si>
  <si>
    <t>O95059_RPP14</t>
  </si>
  <si>
    <t>O95067_CCNB2</t>
  </si>
  <si>
    <t>O95081_AGFG2</t>
  </si>
  <si>
    <t>O95104_SCAF4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</si>
  <si>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</si>
  <si>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</si>
  <si>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</si>
  <si>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</si>
  <si>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</si>
  <si>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</si>
  <si>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</si>
  <si>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O95182_NDUFA7</t>
  </si>
  <si>
    <t>O95183_VAMP5</t>
  </si>
  <si>
    <t>O95196-2_CSPG5</t>
  </si>
  <si>
    <t>O95197-2_RTN3</t>
  </si>
  <si>
    <t>O95202_LETM1</t>
  </si>
  <si>
    <t>O95218-2_ZRANB2</t>
  </si>
  <si>
    <t>O95219_SNX4</t>
  </si>
  <si>
    <t>O95229_ZWINT</t>
  </si>
  <si>
    <t>O95232_LUC7L3</t>
  </si>
  <si>
    <t>O95235_KIF20A</t>
  </si>
  <si>
    <t>O95239_KIF4A</t>
  </si>
  <si>
    <t>O95251-4_KAT7</t>
  </si>
  <si>
    <t>O95292_VAPB</t>
  </si>
  <si>
    <t>O95295_SNAPIN</t>
  </si>
  <si>
    <t>O95297-2_MPZL1</t>
  </si>
  <si>
    <t>O95298-2_NDUFC2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</si>
  <si>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</si>
  <si>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</si>
  <si>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</si>
  <si>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</si>
  <si>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</si>
  <si>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</si>
  <si>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</si>
  <si>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</si>
  <si>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</si>
  <si>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</si>
  <si>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</si>
  <si>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</si>
  <si>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O95402_MED26</t>
  </si>
  <si>
    <t>O95405_ZFYVE9</t>
  </si>
  <si>
    <t>O95427_PIGN</t>
  </si>
  <si>
    <t>O95429-2_BAG4</t>
  </si>
  <si>
    <t>O95433_AHSA1</t>
  </si>
  <si>
    <t>O95453-2_PARN</t>
  </si>
  <si>
    <t>O95456_PSMG1</t>
  </si>
  <si>
    <t>O95466-2_FMNL1</t>
  </si>
  <si>
    <t>O95470_SGPL1</t>
  </si>
  <si>
    <t>O95473_SYNGR4</t>
  </si>
  <si>
    <t>O95475_SIX6</t>
  </si>
  <si>
    <t>O95486_SEC24A</t>
  </si>
  <si>
    <t>O95487-2_SEC24B</t>
  </si>
  <si>
    <t>O95544_NADK</t>
  </si>
  <si>
    <t>O95551_TDP2</t>
  </si>
  <si>
    <t>O95568_METTL18</t>
  </si>
  <si>
    <t>O95571_ETHE1</t>
  </si>
  <si>
    <t>O95573_ACSL3</t>
  </si>
  <si>
    <t>O95602_POLR1A</t>
  </si>
  <si>
    <t>O95619_YEATS4</t>
  </si>
  <si>
    <t>O95620_DUS4L</t>
  </si>
  <si>
    <t>O95628-3_CNOT4</t>
  </si>
  <si>
    <t>O95630_STAMBP</t>
  </si>
  <si>
    <t>O95639-3_CPSF4</t>
  </si>
  <si>
    <t>O95671-2_ASMTL</t>
  </si>
  <si>
    <t>O95674_CDS2</t>
  </si>
  <si>
    <t>O95684_FGFR1OP</t>
  </si>
  <si>
    <t>O95716_RAB3D</t>
  </si>
  <si>
    <t>O95721_SNAP29</t>
  </si>
  <si>
    <t>O95747_OXSR1</t>
  </si>
  <si>
    <t>O95749_GGPS1</t>
  </si>
  <si>
    <t>O95777_NAA38</t>
  </si>
  <si>
    <t>O95782-2_AP2A1</t>
  </si>
  <si>
    <t>O95786_DDX58</t>
  </si>
  <si>
    <t>O95801_TTC4</t>
  </si>
  <si>
    <t>O95807_TMEM50A</t>
  </si>
  <si>
    <t>O95816_BAG2</t>
  </si>
  <si>
    <t>O95817_BAG3</t>
  </si>
  <si>
    <t>O95822_MLYCD</t>
  </si>
  <si>
    <t>O95825_CRYZL1</t>
  </si>
  <si>
    <t>O95831-3_AIFM1</t>
  </si>
  <si>
    <t>O95834-2_EML2</t>
  </si>
  <si>
    <t>O95837_GNA14</t>
  </si>
  <si>
    <t>O95848_NUDT14</t>
  </si>
  <si>
    <t>O95861_BPNT1</t>
  </si>
  <si>
    <t>O95864_FADS2</t>
  </si>
  <si>
    <t>O95865_DDAH2</t>
  </si>
  <si>
    <t>O95873_C6orf47</t>
  </si>
  <si>
    <t>O95881_TXNDC12</t>
  </si>
  <si>
    <t>O95905-2_ECD</t>
  </si>
  <si>
    <t>O95926_SYF2</t>
  </si>
  <si>
    <t>O95980_RECK</t>
  </si>
  <si>
    <t>O95983-2_MBD3</t>
  </si>
  <si>
    <t>O95989_NUDT3</t>
  </si>
  <si>
    <t>O95997_PTTG1</t>
  </si>
  <si>
    <t>O95999_BCL10</t>
  </si>
  <si>
    <t>O96000_NDUFB10</t>
  </si>
  <si>
    <t>O96006_ZBED1</t>
  </si>
  <si>
    <t>O96007_MOCS2</t>
  </si>
  <si>
    <t>O96008_TOMM40</t>
  </si>
  <si>
    <t>O96011_PEX11B</t>
  </si>
  <si>
    <t>O96013_PAK4</t>
  </si>
  <si>
    <t>O96017_CHEK2</t>
  </si>
  <si>
    <t>O96019_ACTL6A</t>
  </si>
  <si>
    <t>O96033_MOCS2</t>
  </si>
  <si>
    <t>P00167-2_CYB5A</t>
  </si>
  <si>
    <t>P00326_ADH1C</t>
  </si>
  <si>
    <t>P00338_LDHA</t>
  </si>
  <si>
    <t>P00352_ALDH1A1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</si>
  <si>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</si>
  <si>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</si>
  <si>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</si>
  <si>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</si>
  <si>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</si>
  <si>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</si>
  <si>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</si>
  <si>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</si>
  <si>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</si>
  <si>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</si>
  <si>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</si>
  <si>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P00813_ADA</t>
  </si>
  <si>
    <t>P00846_MT-ATP6</t>
  </si>
  <si>
    <t>P00966_ASS1</t>
  </si>
  <si>
    <t>P01009-2_SERPINA1</t>
  </si>
  <si>
    <t>P01023_A2M</t>
  </si>
  <si>
    <t>P01024_C3</t>
  </si>
  <si>
    <t>P01037_CST1</t>
  </si>
  <si>
    <t>P01111_NRAS</t>
  </si>
  <si>
    <t>P01112_HRAS</t>
  </si>
  <si>
    <t>P01116-2_KRAS</t>
  </si>
  <si>
    <t>P01137_TGFB1</t>
  </si>
  <si>
    <t>P01730_CD4</t>
  </si>
  <si>
    <t>P01733_TRBV12-3</t>
  </si>
  <si>
    <t>P01737_</t>
  </si>
  <si>
    <t>P01833_PIGR</t>
  </si>
  <si>
    <t>P01834_IGKC</t>
  </si>
  <si>
    <t>P01848_TRAC</t>
  </si>
  <si>
    <t>P01850_TRBC1</t>
  </si>
  <si>
    <t>P01889_HLA-B</t>
  </si>
  <si>
    <t>P02008_HBZ</t>
  </si>
  <si>
    <t>P02545_LMNA</t>
  </si>
  <si>
    <t>P02747_C1QC</t>
  </si>
  <si>
    <t>P02763_ORM1</t>
  </si>
  <si>
    <t>P02766_TTR</t>
  </si>
  <si>
    <t>P02786_TFRC</t>
  </si>
  <si>
    <t>P02792_FTL</t>
  </si>
  <si>
    <t>P02794_FTH1</t>
  </si>
  <si>
    <t>P02795_MT2A</t>
  </si>
  <si>
    <t>P03897_MT-ND3</t>
  </si>
  <si>
    <t>P03928_MT-ATP8</t>
  </si>
  <si>
    <t>P04040_CAT</t>
  </si>
  <si>
    <t>P04053-2_DNTT</t>
  </si>
  <si>
    <t>P04066_FUCA1</t>
  </si>
  <si>
    <t>P04075_ALDOA</t>
  </si>
  <si>
    <t>P04080_CSTB</t>
  </si>
  <si>
    <t>P04083_ANXA1</t>
  </si>
  <si>
    <t>P04114_APOB</t>
  </si>
  <si>
    <t>P04150-7_NR3C1</t>
  </si>
  <si>
    <t>P04181_OAT</t>
  </si>
  <si>
    <t>P04183_TK1</t>
  </si>
  <si>
    <t>P04234_CD3D</t>
  </si>
  <si>
    <t>P04264_KRT1</t>
  </si>
  <si>
    <t>P04275_VWF</t>
  </si>
  <si>
    <t>P04350_TUBB4A</t>
  </si>
  <si>
    <t>P04406_GAPDH</t>
  </si>
  <si>
    <t>P04406-2_GAPDH</t>
  </si>
  <si>
    <t>P04424_ASL</t>
  </si>
  <si>
    <t>P04632_CAPNS1</t>
  </si>
  <si>
    <t>P04745_AMY1A</t>
  </si>
  <si>
    <t>P04818_TYMS</t>
  </si>
  <si>
    <t>P04843_RPN1</t>
  </si>
  <si>
    <t>P04844_RPN2</t>
  </si>
  <si>
    <t>P04899_GNAI2</t>
  </si>
  <si>
    <t>P04920-2_SLC4A2</t>
  </si>
  <si>
    <t>P04921-2_GYPC</t>
  </si>
  <si>
    <t>P05023-4_ATP1A1</t>
  </si>
  <si>
    <t>P05062_ALDOB</t>
  </si>
  <si>
    <t>P05089-3_ARG1</t>
  </si>
  <si>
    <t>P05106_ITGB3</t>
  </si>
  <si>
    <t>P05107_ITGB2</t>
  </si>
  <si>
    <t>P05109_S100A8</t>
  </si>
  <si>
    <t>P05114_HMGN1</t>
  </si>
  <si>
    <t>P05120_SERPINB2</t>
  </si>
  <si>
    <t>P05121-2_SERPINE1</t>
  </si>
  <si>
    <t>P05141_SLC25A5</t>
  </si>
  <si>
    <t>P05161_ISG15</t>
  </si>
  <si>
    <t>P05165-2_PCCA</t>
  </si>
  <si>
    <t>P05198_EIF2S1</t>
  </si>
  <si>
    <t>P05204_HMGN2</t>
  </si>
  <si>
    <t>P05362_ICAM1</t>
  </si>
  <si>
    <t>P05386_RPLP1</t>
  </si>
  <si>
    <t>P05387_RPLP2</t>
  </si>
  <si>
    <t>P05388_RPLP0</t>
  </si>
  <si>
    <t>P05412_JUN</t>
  </si>
  <si>
    <t>P05423_POLR3D</t>
  </si>
  <si>
    <t>P05455_SSB</t>
  </si>
  <si>
    <t>P05556_ITGB1</t>
  </si>
  <si>
    <t>P05771-2_PRKCB</t>
  </si>
  <si>
    <t>P06126_CD1A</t>
  </si>
  <si>
    <t>P06127_CD5</t>
  </si>
  <si>
    <t>P06132_UROD</t>
  </si>
  <si>
    <t>P06239_LCK</t>
  </si>
  <si>
    <t>P06241-2_FYN</t>
  </si>
  <si>
    <t>P06280_GLA</t>
  </si>
  <si>
    <t>P06396-2_GSN</t>
  </si>
  <si>
    <t>P06400_RB1</t>
  </si>
  <si>
    <t>P06493_CDK1</t>
  </si>
  <si>
    <t>P06576_ATP5B</t>
  </si>
  <si>
    <t>P06702_S100A9</t>
  </si>
  <si>
    <t>P06729_CD2</t>
  </si>
  <si>
    <t>P06733_ENO1</t>
  </si>
  <si>
    <t>P06733-2_ENO1</t>
  </si>
  <si>
    <t>P06744_GPI</t>
  </si>
  <si>
    <t>P06746_POLB</t>
  </si>
  <si>
    <t>P06748_NPM1</t>
  </si>
  <si>
    <t>P06753-2_TPM3</t>
  </si>
  <si>
    <t>P06753-3_TPM3</t>
  </si>
  <si>
    <t>P06753-5_TPM3</t>
  </si>
  <si>
    <t>P06756-3_ITGAV</t>
  </si>
  <si>
    <t>P07099_EPHX1</t>
  </si>
  <si>
    <t>P07108_DBI</t>
  </si>
  <si>
    <t>P07195_LDHB</t>
  </si>
  <si>
    <t>P07203_GPX1</t>
  </si>
  <si>
    <t>P07205_PGK2</t>
  </si>
  <si>
    <t>P07237_P4HB</t>
  </si>
  <si>
    <t>P07305-2_H1F0</t>
  </si>
  <si>
    <t>P07339_CTSD</t>
  </si>
  <si>
    <t>P07355_ANXA2</t>
  </si>
  <si>
    <t>P07384_CAPN1</t>
  </si>
  <si>
    <t>P07686_HEXB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</si>
  <si>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</si>
  <si>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</si>
  <si>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</si>
  <si>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</si>
  <si>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</si>
  <si>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</si>
  <si>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</si>
  <si>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</si>
  <si>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P07954-2_FH</t>
  </si>
  <si>
    <t>P08047_SP1</t>
  </si>
  <si>
    <t>P08107_HSPA1A</t>
  </si>
  <si>
    <t>P08133_ANXA6</t>
  </si>
  <si>
    <t>P08238_HSP90AB1</t>
  </si>
  <si>
    <t>P08240_SRPR</t>
  </si>
  <si>
    <t>P08243-2_ASNS</t>
  </si>
  <si>
    <t>P08397-2_HMBS</t>
  </si>
  <si>
    <t>P08559_PDHA1</t>
  </si>
  <si>
    <t>P08567_PLEK</t>
  </si>
  <si>
    <t>P08571_CD14</t>
  </si>
  <si>
    <t>P08574_CYC1</t>
  </si>
  <si>
    <t>P08575_PTPRC</t>
  </si>
  <si>
    <t>P08579_SNRPB2</t>
  </si>
  <si>
    <t>P08582_MFI2</t>
  </si>
  <si>
    <t>P08590_MYL3</t>
  </si>
  <si>
    <t>P08621-2_SNRNP70</t>
  </si>
  <si>
    <t>P08648_ITGA5</t>
  </si>
  <si>
    <t>P08651-4_NFIC</t>
  </si>
  <si>
    <t>P08670_VIM</t>
  </si>
  <si>
    <t>P08754_GNAI3</t>
  </si>
  <si>
    <t>P08758_ANXA5</t>
  </si>
  <si>
    <t>P09012_SNRPA</t>
  </si>
  <si>
    <t>P09104_ENO2</t>
  </si>
  <si>
    <t>P09110_ACAA1</t>
  </si>
  <si>
    <t>P09132_SRP19</t>
  </si>
  <si>
    <t>P09211_GSTP1</t>
  </si>
  <si>
    <t>P09234_SNRPC</t>
  </si>
  <si>
    <t>P09326_CD48</t>
  </si>
  <si>
    <t>P09382_LGALS1</t>
  </si>
  <si>
    <t>P09417_QDPR</t>
  </si>
  <si>
    <t>P09429_HMGB1</t>
  </si>
  <si>
    <t>P09471-2_GNAO1</t>
  </si>
  <si>
    <t>P09488_GSTM1</t>
  </si>
  <si>
    <t>P09496-2_CLTA</t>
  </si>
  <si>
    <t>P09497-2_CLTB</t>
  </si>
  <si>
    <t>P09525_ANXA4</t>
  </si>
  <si>
    <t>P09543-2_CNP</t>
  </si>
  <si>
    <t>P09564_CD7</t>
  </si>
  <si>
    <t>P09622_DLD</t>
  </si>
  <si>
    <t>P09661_SNRPA1</t>
  </si>
  <si>
    <t>P09668_CTSH</t>
  </si>
  <si>
    <t>P09669_COX6C</t>
  </si>
  <si>
    <t>P09693_CD3G</t>
  </si>
  <si>
    <t>P09874_PARP1</t>
  </si>
  <si>
    <t>P09960_LTA4H</t>
  </si>
  <si>
    <t>P09972_ALDOC</t>
  </si>
  <si>
    <t>P0C2W1_FBXO45</t>
  </si>
  <si>
    <t>P0C7P0_CISD3</t>
  </si>
  <si>
    <t>P0C7P4_UQCRFS1P1</t>
  </si>
  <si>
    <t>P0C7T5_ATXN1L</t>
  </si>
  <si>
    <t>P0CAP2_POLR2M</t>
  </si>
  <si>
    <t>P0CG12_CHTF8</t>
  </si>
  <si>
    <t>P0CG13_CHTF8</t>
  </si>
  <si>
    <t>P0CW22_RPS17L</t>
  </si>
  <si>
    <t>P0DJ93_SMIM13</t>
  </si>
  <si>
    <t>P10109_FDX1</t>
  </si>
  <si>
    <t>P10155_TROVE2</t>
  </si>
  <si>
    <t>P10176_COX8A</t>
  </si>
  <si>
    <t>P10253_GAA</t>
  </si>
  <si>
    <t>P10301_RRAS</t>
  </si>
  <si>
    <t>P10398_ARAF</t>
  </si>
  <si>
    <t>P10412_HIST1H1E</t>
  </si>
  <si>
    <t>P10515_DLAT</t>
  </si>
  <si>
    <t>P10586-2_PTPRF</t>
  </si>
  <si>
    <t>P10599_TXN</t>
  </si>
  <si>
    <t>P10606_COX5B</t>
  </si>
  <si>
    <t>P10619_CTSA</t>
  </si>
  <si>
    <t>P10636-4_MAPT</t>
  </si>
  <si>
    <t>P10644_PRKAR1A</t>
  </si>
  <si>
    <t>P10721-2_KIT</t>
  </si>
  <si>
    <t>P10746_UROS</t>
  </si>
  <si>
    <t>P10747_CD28</t>
  </si>
  <si>
    <t>P10768_ESD</t>
  </si>
  <si>
    <t>P10809_HSPD1</t>
  </si>
  <si>
    <t>P11021_HSPA5</t>
  </si>
  <si>
    <t>P11142_HSPA8</t>
  </si>
  <si>
    <t>P11166_SLC2A1</t>
  </si>
  <si>
    <t>P11169_SLC2A3</t>
  </si>
  <si>
    <t>P11171-2_EPB41</t>
  </si>
  <si>
    <t>P11171-4_EPB41</t>
  </si>
  <si>
    <t>P11172_UMPS</t>
  </si>
  <si>
    <t>P11177-2_PDHB</t>
  </si>
  <si>
    <t>P11182_DBT</t>
  </si>
  <si>
    <t>P11216_PYGB</t>
  </si>
  <si>
    <t>P11233_RALA</t>
  </si>
  <si>
    <t>P11234_RALB</t>
  </si>
  <si>
    <t>P11274_BCR</t>
  </si>
  <si>
    <t>P11279_LAMP1</t>
  </si>
  <si>
    <t>P11387_TOP1</t>
  </si>
  <si>
    <t>P11388_TOP2A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</si>
  <si>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</si>
  <si>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</si>
  <si>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</si>
  <si>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</si>
  <si>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</si>
  <si>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</si>
  <si>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</si>
  <si>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P11831_SRF</t>
  </si>
  <si>
    <t>P11908-2_PRPS2</t>
  </si>
  <si>
    <t>P11926_ODC1</t>
  </si>
  <si>
    <t>P11940_PABPC1</t>
  </si>
  <si>
    <t>P12004_PCNA</t>
  </si>
  <si>
    <t>P12081_HARS</t>
  </si>
  <si>
    <t>P12235_SLC25A4</t>
  </si>
  <si>
    <t>P12236_SLC25A6</t>
  </si>
  <si>
    <t>P12268_IMPDH2</t>
  </si>
  <si>
    <t>P12270_TPR</t>
  </si>
  <si>
    <t>P12273_PIP</t>
  </si>
  <si>
    <t>P12277_CKB</t>
  </si>
  <si>
    <t>P12429_ANXA3</t>
  </si>
  <si>
    <t>P12532_CKMT1A</t>
  </si>
  <si>
    <t>P12544-2_GZMA</t>
  </si>
  <si>
    <t>P12814_ACTN1</t>
  </si>
  <si>
    <t>P12931_SRC</t>
  </si>
  <si>
    <t>P12955_PEPD</t>
  </si>
  <si>
    <t>P12956_XRCC6</t>
  </si>
  <si>
    <t>P13010_XRCC5</t>
  </si>
  <si>
    <t>P13051_UNG</t>
  </si>
  <si>
    <t>P13051-2_UNG</t>
  </si>
  <si>
    <t>P13056_NR2C1</t>
  </si>
  <si>
    <t>P13073_COX4I1</t>
  </si>
  <si>
    <t>P13196_ALAS1</t>
  </si>
  <si>
    <t>P13284_IFI30</t>
  </si>
  <si>
    <t>P13489_RNH1</t>
  </si>
  <si>
    <t>P13598_ICAM2</t>
  </si>
  <si>
    <t>P13612_ITGA4</t>
  </si>
  <si>
    <t>P13637_ATP1A3</t>
  </si>
  <si>
    <t>P13639_EEF2</t>
  </si>
  <si>
    <t>P13667_PDIA4</t>
  </si>
  <si>
    <t>P13674-2_P4HA1</t>
  </si>
  <si>
    <t>P13693_TPT1</t>
  </si>
  <si>
    <t>P13796_LCP1</t>
  </si>
  <si>
    <t>P13804_ETFA</t>
  </si>
  <si>
    <t>P13807-2_GYS1</t>
  </si>
  <si>
    <t>P13861_PRKAR2A</t>
  </si>
  <si>
    <t>P13929-2_ENO3</t>
  </si>
  <si>
    <t>P13984_GTF2F2</t>
  </si>
  <si>
    <t>P13995_MTHFD2</t>
  </si>
  <si>
    <t>P14136-3_GFAP</t>
  </si>
  <si>
    <t>P14151_SELL</t>
  </si>
  <si>
    <t>P14174_MIF</t>
  </si>
  <si>
    <t>P14209-3_CD99</t>
  </si>
  <si>
    <t>P14317_HCLS1</t>
  </si>
  <si>
    <t>P14324-2_FDPS</t>
  </si>
  <si>
    <t>P14550_AKR1A1</t>
  </si>
  <si>
    <t>P14618_PKM</t>
  </si>
  <si>
    <t>P14618-2_PKM</t>
  </si>
  <si>
    <t>P14621_ACYP2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</si>
  <si>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</si>
  <si>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</si>
  <si>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</si>
  <si>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</si>
  <si>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</si>
  <si>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</si>
  <si>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</si>
  <si>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</si>
  <si>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P14921_ETS1</t>
  </si>
  <si>
    <t>P14923_JUP</t>
  </si>
  <si>
    <t>P14927_UQCRB</t>
  </si>
  <si>
    <t>P15056_BRAF</t>
  </si>
  <si>
    <t>P15104_GLUL</t>
  </si>
  <si>
    <t>P15121_AKR1B1</t>
  </si>
  <si>
    <t>P15151-3_PVR</t>
  </si>
  <si>
    <t>P15153_RAC2</t>
  </si>
  <si>
    <t>P15170-2_GSPT1</t>
  </si>
  <si>
    <t>P15289_ARSA</t>
  </si>
  <si>
    <t>P15311_EZR</t>
  </si>
  <si>
    <t>P15374_UCHL3</t>
  </si>
  <si>
    <t>P15428_HPGD</t>
  </si>
  <si>
    <t>P15498_VAV1</t>
  </si>
  <si>
    <t>P15529-15_CD46</t>
  </si>
  <si>
    <t>P15529-16_CD46</t>
  </si>
  <si>
    <t>P15531_NME1</t>
  </si>
  <si>
    <t>P15813_CD1D</t>
  </si>
  <si>
    <t>P15848_ARSB</t>
  </si>
  <si>
    <t>P15880_RPS2</t>
  </si>
  <si>
    <t>P15882_CHN1</t>
  </si>
  <si>
    <t>P15907_ST6GAL1</t>
  </si>
  <si>
    <t>P15923-2_TCF3</t>
  </si>
  <si>
    <t>P15927_RPA2</t>
  </si>
  <si>
    <t>P16035_TIMP2</t>
  </si>
  <si>
    <t>P16150_SPN</t>
  </si>
  <si>
    <t>P16219_ACADS</t>
  </si>
  <si>
    <t>P16220_CREB1</t>
  </si>
  <si>
    <t>P16278-3_GLB1</t>
  </si>
  <si>
    <t>P16284-3_PECAM1</t>
  </si>
  <si>
    <t>P16298_PPP3CB</t>
  </si>
  <si>
    <t>P16333_NCK1</t>
  </si>
  <si>
    <t>P16383_GCFC2</t>
  </si>
  <si>
    <t>P16389-2_KCNA2</t>
  </si>
  <si>
    <t>P16401_HIST1H1B</t>
  </si>
  <si>
    <t>P16435_POR</t>
  </si>
  <si>
    <t>P16455_MGMT</t>
  </si>
  <si>
    <t>P16473_TSHR</t>
  </si>
  <si>
    <t>P16591-3_FER</t>
  </si>
  <si>
    <t>P16615_ATP2A2</t>
  </si>
  <si>
    <t>P16885_PLCG2</t>
  </si>
  <si>
    <t>P16930_FAH</t>
  </si>
  <si>
    <t>P16949_STMN1</t>
  </si>
  <si>
    <t>P16989_YBX3</t>
  </si>
  <si>
    <t>P17026_ZNF22</t>
  </si>
  <si>
    <t>P17028_ZNF24</t>
  </si>
  <si>
    <t>P17050_NAGA</t>
  </si>
  <si>
    <t>P17066_HSPA6</t>
  </si>
  <si>
    <t>P17096_HMGA1</t>
  </si>
  <si>
    <t>P17098_ZNF8</t>
  </si>
  <si>
    <t>P17152_TMEM11</t>
  </si>
  <si>
    <t>P17174_GOT1</t>
  </si>
  <si>
    <t>P17181_IFNAR1</t>
  </si>
  <si>
    <t>P17252_PRKCA</t>
  </si>
  <si>
    <t>P17275_JUNB</t>
  </si>
  <si>
    <t>P17480_UBTF</t>
  </si>
  <si>
    <t>P17535_JUND</t>
  </si>
  <si>
    <t>P17542-3_TAL1</t>
  </si>
  <si>
    <t>P17544-4_ATF7</t>
  </si>
  <si>
    <t>P17568_NDUFB7</t>
  </si>
  <si>
    <t>P17600-2_SYN1</t>
  </si>
  <si>
    <t>P17612_PRKACA</t>
  </si>
  <si>
    <t>P17706-2_PTPN2</t>
  </si>
  <si>
    <t>P17707_AMD1</t>
  </si>
  <si>
    <t>P17812_CTPS1</t>
  </si>
  <si>
    <t>P17844_DDX5</t>
  </si>
  <si>
    <t>P17858_PFKL</t>
  </si>
  <si>
    <t>P17900_GM2A</t>
  </si>
  <si>
    <t>P17987_TCP1</t>
  </si>
  <si>
    <t>P18031_PTPN1</t>
  </si>
  <si>
    <t>P18065_IGFBP2</t>
  </si>
  <si>
    <t>P18074_ERCC2</t>
  </si>
  <si>
    <t>P18077_RPL35A</t>
  </si>
  <si>
    <t>P18084_ITGB5</t>
  </si>
  <si>
    <t>P18085_ARF4</t>
  </si>
  <si>
    <t>P18124_RPL7</t>
  </si>
  <si>
    <t>P18146_EGR1</t>
  </si>
  <si>
    <t>P18206-2_VCL</t>
  </si>
  <si>
    <t>P18615_NELFE</t>
  </si>
  <si>
    <t>P18669_PGAM1</t>
  </si>
  <si>
    <t>P18754-2_RCC1</t>
  </si>
  <si>
    <t>P18846_ATF1</t>
  </si>
  <si>
    <t>P18858_LIG1</t>
  </si>
  <si>
    <t>P18859_ATP5J</t>
  </si>
  <si>
    <t>P18887_XRCC1</t>
  </si>
  <si>
    <t>P19022_CDH2</t>
  </si>
  <si>
    <t>P19174_PLCG1</t>
  </si>
  <si>
    <t>P19174-2_PLCG1</t>
  </si>
  <si>
    <t>P19338_NCL</t>
  </si>
  <si>
    <t>P19387_POLR2C</t>
  </si>
  <si>
    <t>P19388_POLR2E</t>
  </si>
  <si>
    <t>P19397_CD53</t>
  </si>
  <si>
    <t>P19447_ERCC3</t>
  </si>
  <si>
    <t>P19525_EIF2AK2</t>
  </si>
  <si>
    <t>P19532_TFE3</t>
  </si>
  <si>
    <t>P19623_SRM</t>
  </si>
  <si>
    <t>P19784_CSNK2A2</t>
  </si>
  <si>
    <t>P19835_CEL</t>
  </si>
  <si>
    <t>P19838_NFKB1</t>
  </si>
  <si>
    <t>P20020-5_ATP2B1</t>
  </si>
  <si>
    <t>P20042_EIF2S2</t>
  </si>
  <si>
    <t>P20248_CCNA2</t>
  </si>
  <si>
    <t>P20290_BTF3</t>
  </si>
  <si>
    <t>P20290-2_BTF3</t>
  </si>
  <si>
    <t>P20292_ALOX5AP</t>
  </si>
  <si>
    <t>P20336_RAB3A</t>
  </si>
  <si>
    <t>P20337_RAB3B</t>
  </si>
  <si>
    <t>P20338_RAB4A</t>
  </si>
  <si>
    <t>P20340_RAB6A</t>
  </si>
  <si>
    <t>P20340-2_RAB6A</t>
  </si>
  <si>
    <t>P20618_PSMB1</t>
  </si>
  <si>
    <t>P20645_M6PR</t>
  </si>
  <si>
    <t>P20671_HIST1H2AD</t>
  </si>
  <si>
    <t>P20674_COX5A</t>
  </si>
  <si>
    <t>P20700_LMNB1</t>
  </si>
  <si>
    <t>P20701_ITGAL</t>
  </si>
  <si>
    <t>P20774_OGN</t>
  </si>
  <si>
    <t>P20962_PTMS</t>
  </si>
  <si>
    <t>P20963_CD247</t>
  </si>
  <si>
    <t>P21127-8_CDK11B</t>
  </si>
  <si>
    <t>P21266_GSTM3</t>
  </si>
  <si>
    <t>P21281_ATP6V1B2</t>
  </si>
  <si>
    <t>P21283_ATP6V1C1</t>
  </si>
  <si>
    <t>P21291_CSRP1</t>
  </si>
  <si>
    <t>P21333-2_FLNA</t>
  </si>
  <si>
    <t>P21399_ACO1</t>
  </si>
  <si>
    <t>P21549_AGXT</t>
  </si>
  <si>
    <t>P21580_TNFAIP3</t>
  </si>
  <si>
    <t>P21675_TAF1</t>
  </si>
  <si>
    <t>P21796_VDAC1</t>
  </si>
  <si>
    <t>P21912_SDHB</t>
  </si>
  <si>
    <t>P21953_BCKDHB</t>
  </si>
  <si>
    <t>P21964-2_COMT</t>
  </si>
  <si>
    <t>P22033_MUT</t>
  </si>
  <si>
    <t>P22059_OSBP</t>
  </si>
  <si>
    <t>P22087_FBL</t>
  </si>
  <si>
    <t>P22102_GART</t>
  </si>
  <si>
    <t>P22234_PAICS</t>
  </si>
  <si>
    <t>P22307_SCP2</t>
  </si>
  <si>
    <t>P22314_UBA1</t>
  </si>
  <si>
    <t>P22570-5_FDXR</t>
  </si>
  <si>
    <t>P22626_HNRNPA2B1</t>
  </si>
  <si>
    <t>P22670_RFX1</t>
  </si>
  <si>
    <t>P22681_CBL</t>
  </si>
  <si>
    <t>P22694-4_PRKACB</t>
  </si>
  <si>
    <t>P22695_UQCRC2</t>
  </si>
  <si>
    <t>P22830_FECH</t>
  </si>
  <si>
    <t>P23025_XPA</t>
  </si>
  <si>
    <t>P23109-2_AMPD1</t>
  </si>
  <si>
    <t>P23193_TCEA1</t>
  </si>
  <si>
    <t>P23246_SFPQ</t>
  </si>
  <si>
    <t>P23258_TUBG1</t>
  </si>
  <si>
    <t>P23284_PPIB</t>
  </si>
  <si>
    <t>P23368_ME2</t>
  </si>
  <si>
    <t>P23378_GLDC</t>
  </si>
  <si>
    <t>P23381_WARS</t>
  </si>
  <si>
    <t>P23396_RPS3</t>
  </si>
  <si>
    <t>P23434_GCSH</t>
  </si>
  <si>
    <t>P23469-3_PTPRE</t>
  </si>
  <si>
    <t>P23497_SP100</t>
  </si>
  <si>
    <t>P23511-2_NFYA</t>
  </si>
  <si>
    <t>P23526_AHCY</t>
  </si>
  <si>
    <t>P23527_HIST1H2BO</t>
  </si>
  <si>
    <t>P23528_CFL1</t>
  </si>
  <si>
    <t>P23610_F8A1</t>
  </si>
  <si>
    <t>P23634-7_ATP2B4</t>
  </si>
  <si>
    <t>P23743_DGKA</t>
  </si>
  <si>
    <t>P23771_GATA3</t>
  </si>
  <si>
    <t>P23786_CPT2</t>
  </si>
  <si>
    <t>P23919_DTYMK</t>
  </si>
  <si>
    <t>P23921_RRM1</t>
  </si>
  <si>
    <t>P24001-2_IL32</t>
  </si>
  <si>
    <t>P24311_COX7B</t>
  </si>
  <si>
    <t>P24534_EEF1B2</t>
  </si>
  <si>
    <t>P24588_AKAP5</t>
  </si>
  <si>
    <t>P24666_ACP1</t>
  </si>
  <si>
    <t>P24666-2_ACP1</t>
  </si>
  <si>
    <t>P24752_ACAT1</t>
  </si>
  <si>
    <t>P24928_POLR2A</t>
  </si>
  <si>
    <t>P25098_ADRBK1</t>
  </si>
  <si>
    <t>P25205_MCM3</t>
  </si>
  <si>
    <t>P25325_MPST</t>
  </si>
  <si>
    <t>P25398_RPS12</t>
  </si>
  <si>
    <t>P25445-6_FAS</t>
  </si>
  <si>
    <t>P25490_YY1</t>
  </si>
  <si>
    <t>P25685_DNAJB1</t>
  </si>
  <si>
    <t>P25686_DNAJB2</t>
  </si>
  <si>
    <t>P25705_ATP5A1</t>
  </si>
  <si>
    <t>P25786_PSMA1</t>
  </si>
  <si>
    <t>P25787_PSMA2</t>
  </si>
  <si>
    <t>P25788-2_PSMA3</t>
  </si>
  <si>
    <t>P25789_PSMA4</t>
  </si>
  <si>
    <t>P26010-2_ITGB7</t>
  </si>
  <si>
    <t>P26038_MSN</t>
  </si>
  <si>
    <t>P26196_DDX6</t>
  </si>
  <si>
    <t>P26358_DNMT1</t>
  </si>
  <si>
    <t>P26368-2_U2AF2</t>
  </si>
  <si>
    <t>P26373_RPL13</t>
  </si>
  <si>
    <t>P26374_CHML</t>
  </si>
  <si>
    <t>P26440_IVD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</si>
  <si>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</si>
  <si>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</si>
  <si>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</si>
  <si>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</si>
  <si>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</si>
  <si>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</si>
  <si>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</si>
  <si>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</si>
  <si>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P27361_MAPK3</t>
  </si>
  <si>
    <t>P27540-2_ARNT</t>
  </si>
  <si>
    <t>P27635_RPL10</t>
  </si>
  <si>
    <t>P27694_RPA1</t>
  </si>
  <si>
    <t>P27695_APEX1</t>
  </si>
  <si>
    <t>P27701_CD82</t>
  </si>
  <si>
    <t>P27797_CALR</t>
  </si>
  <si>
    <t>P27815_PDE4A</t>
  </si>
  <si>
    <t>P27816-5_MAP4</t>
  </si>
  <si>
    <t>P27824_CANX</t>
  </si>
  <si>
    <t>P27986_PIK3R1</t>
  </si>
  <si>
    <t>P27987-2_ITPKB</t>
  </si>
  <si>
    <t>P28062_PSMB8</t>
  </si>
  <si>
    <t>P28065_PSMB9</t>
  </si>
  <si>
    <t>P28066_PSMA5</t>
  </si>
  <si>
    <t>P28070_PSMB4</t>
  </si>
  <si>
    <t>P28072_PSMB6</t>
  </si>
  <si>
    <t>P28074_PSMB5</t>
  </si>
  <si>
    <t>P28074-3_PSMB5</t>
  </si>
  <si>
    <t>P28161_GSTM2</t>
  </si>
  <si>
    <t>P28331-4_NDUFS1</t>
  </si>
  <si>
    <t>P28482_MAPK1</t>
  </si>
  <si>
    <t>P28702_RXRB</t>
  </si>
  <si>
    <t>P28715_ERCC5</t>
  </si>
  <si>
    <t>P28799_GRN</t>
  </si>
  <si>
    <t>P28838_LAP3</t>
  </si>
  <si>
    <t>P28907_CD38</t>
  </si>
  <si>
    <t>P28908_TNFRSF8</t>
  </si>
  <si>
    <t>P29016_CD1B</t>
  </si>
  <si>
    <t>P29083_GTF2E1</t>
  </si>
  <si>
    <t>P29084_GTF2E2</t>
  </si>
  <si>
    <t>P29144_TPP2</t>
  </si>
  <si>
    <t>P29218_IMPA1</t>
  </si>
  <si>
    <t>P29350_PTPN6</t>
  </si>
  <si>
    <t>P29353-7_SHC1</t>
  </si>
  <si>
    <t>P29372-5_MPG</t>
  </si>
  <si>
    <t>P29401_TKT</t>
  </si>
  <si>
    <t>P29590_PML</t>
  </si>
  <si>
    <t>P29965_CD40LG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</si>
  <si>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</si>
  <si>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</si>
  <si>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</si>
  <si>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</si>
  <si>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</si>
  <si>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</si>
  <si>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</si>
  <si>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</si>
  <si>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</si>
  <si>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</si>
  <si>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</si>
  <si>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</si>
  <si>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</si>
  <si>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</si>
  <si>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</si>
  <si>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P30203-5_CD6</t>
  </si>
  <si>
    <t>P30260_CDC27</t>
  </si>
  <si>
    <t>P30281_CCND3</t>
  </si>
  <si>
    <t>P30291_WEE1</t>
  </si>
  <si>
    <t>P30405_PPIF</t>
  </si>
  <si>
    <t>P30419_NMT1</t>
  </si>
  <si>
    <t>P30480_HLA-B</t>
  </si>
  <si>
    <t>P30493_HLA-B</t>
  </si>
  <si>
    <t>P30495_HLA-B</t>
  </si>
  <si>
    <t>P30504_HLA-C</t>
  </si>
  <si>
    <t>P30519_HMOX2</t>
  </si>
  <si>
    <t>P30520_ADSS</t>
  </si>
  <si>
    <t>P30533_LRPAP1</t>
  </si>
  <si>
    <t>P30566_ADSL</t>
  </si>
  <si>
    <t>P30613-2_PKLR</t>
  </si>
  <si>
    <t>P30622-2_CLIP1</t>
  </si>
  <si>
    <t>P30679_GNA15</t>
  </si>
  <si>
    <t>P30685_HLA-B</t>
  </si>
  <si>
    <t>P30740_SERPINB1</t>
  </si>
  <si>
    <t>P30793_GCH1</t>
  </si>
  <si>
    <t>P30825_SLC7A1</t>
  </si>
  <si>
    <t>P31146_CORO1A</t>
  </si>
  <si>
    <t>P31150_GDI1</t>
  </si>
  <si>
    <t>P31153_MAT2A</t>
  </si>
  <si>
    <t>P31321_PRKAR1B</t>
  </si>
  <si>
    <t>P31323_PRKAR2B</t>
  </si>
  <si>
    <t>P31327_CPS1</t>
  </si>
  <si>
    <t>P31350_RRM2</t>
  </si>
  <si>
    <t>P31641_SLC6A6</t>
  </si>
  <si>
    <t>P31689_DNAJA1</t>
  </si>
  <si>
    <t>P31749_AKT1</t>
  </si>
  <si>
    <t>P31751_AKT2</t>
  </si>
  <si>
    <t>P31785_IL2RG</t>
  </si>
  <si>
    <t>P31930_UQCRC1</t>
  </si>
  <si>
    <t>P31937_HIBADH</t>
  </si>
  <si>
    <t>P31939_ATIC</t>
  </si>
  <si>
    <t>P31942-2_HNRNPH3</t>
  </si>
  <si>
    <t>P31946-2_YWHAB</t>
  </si>
  <si>
    <t>P31947-2_SFN</t>
  </si>
  <si>
    <t>P31948_STIP1</t>
  </si>
  <si>
    <t>P32019-3_INPP5B</t>
  </si>
  <si>
    <t>P32119_PRDX2</t>
  </si>
  <si>
    <t>P32121_ARRB2</t>
  </si>
  <si>
    <t>P32189-1_GK</t>
  </si>
  <si>
    <t>P32321-2_DCTD</t>
  </si>
  <si>
    <t>P32322_PYCR1</t>
  </si>
  <si>
    <t>P32455_GBP1</t>
  </si>
  <si>
    <t>P32519-2_ELF1</t>
  </si>
  <si>
    <t>P32780_GTF2H1</t>
  </si>
  <si>
    <t>P32856-3_STX2</t>
  </si>
  <si>
    <t>P32929_CTH</t>
  </si>
  <si>
    <t>P32942_ICAM3</t>
  </si>
  <si>
    <t>P32969_RPL9</t>
  </si>
  <si>
    <t>P33121_ACSL1</t>
  </si>
  <si>
    <t>P33176_KIF5B</t>
  </si>
  <si>
    <t>P33240-2_CSTF2</t>
  </si>
  <si>
    <t>P33241_LSP1</t>
  </si>
  <si>
    <t>P33316-2_DUT</t>
  </si>
  <si>
    <t>P33527_ABCC1</t>
  </si>
  <si>
    <t>P33552_CKS2</t>
  </si>
  <si>
    <t>P33897_ABCD1</t>
  </si>
  <si>
    <t>P33908_MAN1A1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</si>
  <si>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</si>
  <si>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</si>
  <si>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</si>
  <si>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</si>
  <si>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</si>
  <si>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</si>
  <si>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</si>
  <si>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P34932_HSPA4</t>
  </si>
  <si>
    <t>P34947_GRK5</t>
  </si>
  <si>
    <t>P34972_CNR2</t>
  </si>
  <si>
    <t>P35219_CA8</t>
  </si>
  <si>
    <t>P35221_CTNNA1</t>
  </si>
  <si>
    <t>P35232_PHB</t>
  </si>
  <si>
    <t>P35236-2_PTPN7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</si>
  <si>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</si>
  <si>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</si>
  <si>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</si>
  <si>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</si>
  <si>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</si>
  <si>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</si>
  <si>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</si>
  <si>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</si>
  <si>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</si>
  <si>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</si>
  <si>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P35408_PTGER4</t>
  </si>
  <si>
    <t>P35520_CBS</t>
  </si>
  <si>
    <t>P35573_AGL</t>
  </si>
  <si>
    <t>P35579_MYH9</t>
  </si>
  <si>
    <t>P35580_MYH10</t>
  </si>
  <si>
    <t>P35606_COPB2</t>
  </si>
  <si>
    <t>P35610_SOAT1</t>
  </si>
  <si>
    <t>P35611_ADD1</t>
  </si>
  <si>
    <t>P35612_ADD2</t>
  </si>
  <si>
    <t>P35613-2_BSG</t>
  </si>
  <si>
    <t>P35626_ADRBK2</t>
  </si>
  <si>
    <t>P35637-2_FUS</t>
  </si>
  <si>
    <t>P35658-2_NUP214</t>
  </si>
  <si>
    <t>P35659_DEK</t>
  </si>
  <si>
    <t>P35754_GLRX</t>
  </si>
  <si>
    <t>P35790_CHKA</t>
  </si>
  <si>
    <t>P35813_PPM1A</t>
  </si>
  <si>
    <t>P35998_PSMC2</t>
  </si>
  <si>
    <t>P36404_ARL2</t>
  </si>
  <si>
    <t>P36405_ARL3</t>
  </si>
  <si>
    <t>P36507_MAP2K2</t>
  </si>
  <si>
    <t>P36542_ATP5C1</t>
  </si>
  <si>
    <t>P36543_ATP6V1E1</t>
  </si>
  <si>
    <t>P36551_CPOX</t>
  </si>
  <si>
    <t>P36578_RPL4</t>
  </si>
  <si>
    <t>P36639-4_NUDT1</t>
  </si>
  <si>
    <t>P36871_PGM1</t>
  </si>
  <si>
    <t>P36873-2_PPP1CC</t>
  </si>
  <si>
    <t>P36915_GNL1</t>
  </si>
  <si>
    <t>P36954_POLR2I</t>
  </si>
  <si>
    <t>P36957_DLST</t>
  </si>
  <si>
    <t>P36969-2_GPX4</t>
  </si>
  <si>
    <t>P37108_SRP14</t>
  </si>
  <si>
    <t>P37198_NUP62</t>
  </si>
  <si>
    <t>P37235_HPCAL1</t>
  </si>
  <si>
    <t>P37268_FDFT1</t>
  </si>
  <si>
    <t>P37275-3_ZEB1</t>
  </si>
  <si>
    <t>P37802_TAGLN2</t>
  </si>
  <si>
    <t>P37837_TALDO1</t>
  </si>
  <si>
    <t>P38117_ETFB</t>
  </si>
  <si>
    <t>P38159_RBMX</t>
  </si>
  <si>
    <t>P38159-2_RBMX</t>
  </si>
  <si>
    <t>P38571-2_LIPA</t>
  </si>
  <si>
    <t>P38646_HSPA9</t>
  </si>
  <si>
    <t>P38919_EIF4A3</t>
  </si>
  <si>
    <t>P38935_IGHMBP2</t>
  </si>
  <si>
    <t>P39019_RPS19</t>
  </si>
  <si>
    <t>P39023_RPL3</t>
  </si>
  <si>
    <t>P39656_DDOST</t>
  </si>
  <si>
    <t>P39687_ANP32A</t>
  </si>
  <si>
    <t>P39748_FEN1</t>
  </si>
  <si>
    <t>P39880-3_CUX1</t>
  </si>
  <si>
    <t>P40121_CAPG</t>
  </si>
  <si>
    <t>P40222_TXLNA</t>
  </si>
  <si>
    <t>P40227_CCT6A</t>
  </si>
  <si>
    <t>P40306_PSMB10</t>
  </si>
  <si>
    <t>P40337-3_VHL</t>
  </si>
  <si>
    <t>P40425_PBX2</t>
  </si>
  <si>
    <t>P40692_MLH1</t>
  </si>
  <si>
    <t>P40763_STAT3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</si>
  <si>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</si>
  <si>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</si>
  <si>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</si>
  <si>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</si>
  <si>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</si>
  <si>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</si>
  <si>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</si>
  <si>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P41134_ID1</t>
  </si>
  <si>
    <t>P41208_CETN2</t>
  </si>
  <si>
    <t>P41212_ETV6</t>
  </si>
  <si>
    <t>P41214_EIF2D</t>
  </si>
  <si>
    <t>P41223_BUD31</t>
  </si>
  <si>
    <t>P41227_NAA10</t>
  </si>
  <si>
    <t>P41229-3_KDM5C</t>
  </si>
  <si>
    <t>P41240_CSK</t>
  </si>
  <si>
    <t>P41250_GARS</t>
  </si>
  <si>
    <t>P41252_IARS</t>
  </si>
  <si>
    <t>P41440_SLC19A1</t>
  </si>
  <si>
    <t>P41567_EIF1</t>
  </si>
  <si>
    <t>P41743_PRKCI</t>
  </si>
  <si>
    <t>P42025_ACTR1B</t>
  </si>
  <si>
    <t>P42166_TMPO</t>
  </si>
  <si>
    <t>P42167_TMPO</t>
  </si>
  <si>
    <t>P42167-2_TMPO</t>
  </si>
  <si>
    <t>P42224_STAT1</t>
  </si>
  <si>
    <t>P42226_STAT6</t>
  </si>
  <si>
    <t>P42285_SKIV2L2</t>
  </si>
  <si>
    <t>P42330_AKR1C3</t>
  </si>
  <si>
    <t>P42331-5_ARHGAP25</t>
  </si>
  <si>
    <t>P42336_PIK3CA</t>
  </si>
  <si>
    <t>P42338_PIK3CB</t>
  </si>
  <si>
    <t>P42345_MTOR</t>
  </si>
  <si>
    <t>P42566_EPS15</t>
  </si>
  <si>
    <t>P42574_CASP3</t>
  </si>
  <si>
    <t>P42575_CASP2</t>
  </si>
  <si>
    <t>P42677_RPS27</t>
  </si>
  <si>
    <t>P42695_NCAPD3</t>
  </si>
  <si>
    <t>P42704_LRPPRC</t>
  </si>
  <si>
    <t>P42765_ACAA2</t>
  </si>
  <si>
    <t>P42766_RPL35</t>
  </si>
  <si>
    <t>P42768_WAS</t>
  </si>
  <si>
    <t>P42773_CDKN2C</t>
  </si>
  <si>
    <t>P42785_PRCP</t>
  </si>
  <si>
    <t>P42858_HTT</t>
  </si>
  <si>
    <t>P42892-3_ECE1</t>
  </si>
  <si>
    <t>P42898_MTHFR</t>
  </si>
  <si>
    <t>P43003-2_SLC1A3</t>
  </si>
  <si>
    <t>P43007_SLC1A4</t>
  </si>
  <si>
    <t>P43034_PAFAH1B1</t>
  </si>
  <si>
    <t>P43155-2_CRAT</t>
  </si>
  <si>
    <t>P43250-2_GRK6</t>
  </si>
  <si>
    <t>P43307_SSR1</t>
  </si>
  <si>
    <t>P43378_PTPN9</t>
  </si>
  <si>
    <t>P43403_ZAP70</t>
  </si>
  <si>
    <t>P43487_RANBP1</t>
  </si>
  <si>
    <t>P43490_NAMPT</t>
  </si>
  <si>
    <t>P43686_PSMC4</t>
  </si>
  <si>
    <t>P43897_TSFM</t>
  </si>
  <si>
    <t>P45880_VDAC2</t>
  </si>
  <si>
    <t>P45954_ACADSB</t>
  </si>
  <si>
    <t>P45973_CBX5</t>
  </si>
  <si>
    <t>P45974-2_USP5</t>
  </si>
  <si>
    <t>P45983-3_MAPK8</t>
  </si>
  <si>
    <t>P45984-2_MAPK9</t>
  </si>
  <si>
    <t>P45985_MAP2K4</t>
  </si>
  <si>
    <t>P46013_MKI67</t>
  </si>
  <si>
    <t>P46060_RANGAP1</t>
  </si>
  <si>
    <t>P46063_RECQL</t>
  </si>
  <si>
    <t>P46087_NOP2</t>
  </si>
  <si>
    <t>P46100-4_ATRX</t>
  </si>
  <si>
    <t>P46108_CRK</t>
  </si>
  <si>
    <t>P46109_CRKL</t>
  </si>
  <si>
    <t>P46199_MTIF2</t>
  </si>
  <si>
    <t>P46527_CDKN1B</t>
  </si>
  <si>
    <t>P46531_NOTCH1</t>
  </si>
  <si>
    <t>P46734_MAP2K3</t>
  </si>
  <si>
    <t>P46736-2_BRCC3</t>
  </si>
  <si>
    <t>P46777_RPL5</t>
  </si>
  <si>
    <t>P46778_RPL21</t>
  </si>
  <si>
    <t>P46779_RPL28</t>
  </si>
  <si>
    <t>P46781_RPS9</t>
  </si>
  <si>
    <t>P46783_RPS10</t>
  </si>
  <si>
    <t>P46926_GNPDA1</t>
  </si>
  <si>
    <t>P46934-4_NEDD4</t>
  </si>
  <si>
    <t>P46939_UTRN</t>
  </si>
  <si>
    <t>P46940_IQGAP1</t>
  </si>
  <si>
    <t>P46976-2_GYG1</t>
  </si>
  <si>
    <t>P46977_STT3A</t>
  </si>
  <si>
    <t>P47755_CAPZA2</t>
  </si>
  <si>
    <t>P47756-2_CAPZB</t>
  </si>
  <si>
    <t>P47813_EIF1AX</t>
  </si>
  <si>
    <t>P47897_QARS</t>
  </si>
  <si>
    <t>P47914_RPL29</t>
  </si>
  <si>
    <t>P47974_ZFP36L2</t>
  </si>
  <si>
    <t>P47985_UQCRFS1</t>
  </si>
  <si>
    <t>P48047_ATP5O</t>
  </si>
  <si>
    <t>P48059-5_LIMS1</t>
  </si>
  <si>
    <t>P48147_PREP</t>
  </si>
  <si>
    <t>P48200_IREB2</t>
  </si>
  <si>
    <t>P48380-3_RFX3</t>
  </si>
  <si>
    <t>P48444_ARCN1</t>
  </si>
  <si>
    <t>P48449_LSS</t>
  </si>
  <si>
    <t>P48454_PPP3CC</t>
  </si>
  <si>
    <t>P48506_GCLC</t>
  </si>
  <si>
    <t>P48507_GCLM</t>
  </si>
  <si>
    <t>P48553_TRAPPC10</t>
  </si>
  <si>
    <t>P48634_PRRC2A</t>
  </si>
  <si>
    <t>P48637_GSS</t>
  </si>
  <si>
    <t>P48643_CCT5</t>
  </si>
  <si>
    <t>P48723_HSPA13</t>
  </si>
  <si>
    <t>P48729_CSNK1A1</t>
  </si>
  <si>
    <t>P48730-2_CSNK1D</t>
  </si>
  <si>
    <t>P48735_IDH2</t>
  </si>
  <si>
    <t>P48739_PITPNB</t>
  </si>
  <si>
    <t>P48960-2_CD97</t>
  </si>
  <si>
    <t>P49005_POLD2</t>
  </si>
  <si>
    <t>P49006_MARCKSL1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</si>
  <si>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</si>
  <si>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</si>
  <si>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</si>
  <si>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</si>
  <si>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</si>
  <si>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</si>
  <si>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</si>
  <si>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P49281-2_SLC11A2</t>
  </si>
  <si>
    <t>P49321_NASP</t>
  </si>
  <si>
    <t>P49327_FASN</t>
  </si>
  <si>
    <t>P49336-2_CDK8</t>
  </si>
  <si>
    <t>P49354_FNTA</t>
  </si>
  <si>
    <t>P49366_DHPS</t>
  </si>
  <si>
    <t>P49368_CCT3</t>
  </si>
  <si>
    <t>P49406_MRPL19</t>
  </si>
  <si>
    <t>P49411_TUFM</t>
  </si>
  <si>
    <t>P49427_CDC34</t>
  </si>
  <si>
    <t>P49454_CENPF</t>
  </si>
  <si>
    <t>P49458_SRP9</t>
  </si>
  <si>
    <t>P49459_UBE2A</t>
  </si>
  <si>
    <t>P49585_PCYT1A</t>
  </si>
  <si>
    <t>P49588_AARS</t>
  </si>
  <si>
    <t>P49589-3_CARS</t>
  </si>
  <si>
    <t>P49591_SARS</t>
  </si>
  <si>
    <t>P49642_PRIM1</t>
  </si>
  <si>
    <t>P49643_PRIM2</t>
  </si>
  <si>
    <t>P49674_CSNK1E</t>
  </si>
  <si>
    <t>P49711_CTCF</t>
  </si>
  <si>
    <t>P49720_PSMB3</t>
  </si>
  <si>
    <t>P49721_PSMB2</t>
  </si>
  <si>
    <t>P49736_MCM2</t>
  </si>
  <si>
    <t>P49748_ACADVL</t>
  </si>
  <si>
    <t>P49750-4_YLPM1</t>
  </si>
  <si>
    <t>P49754-2_VPS41</t>
  </si>
  <si>
    <t>P49755_TMED10</t>
  </si>
  <si>
    <t>P49756_RBM25</t>
  </si>
  <si>
    <t>P49757-4_NUMB</t>
  </si>
  <si>
    <t>P49768-2_PSEN1</t>
  </si>
  <si>
    <t>P49770_EIF2B2</t>
  </si>
  <si>
    <t>P49773_HINT1</t>
  </si>
  <si>
    <t>P49789_FHIT</t>
  </si>
  <si>
    <t>P49790_NUP153</t>
  </si>
  <si>
    <t>P49792_RANBP2</t>
  </si>
  <si>
    <t>P49840_GSK3A</t>
  </si>
  <si>
    <t>P49841_GSK3B</t>
  </si>
  <si>
    <t>P49902_NT5C2</t>
  </si>
  <si>
    <t>P49903_SEPHS1</t>
  </si>
  <si>
    <t>P49914_MTHFS</t>
  </si>
  <si>
    <t>P49915_GMPS</t>
  </si>
  <si>
    <t>P49916_LIG3</t>
  </si>
  <si>
    <t>P49917_LIG4</t>
  </si>
  <si>
    <t>P49959_MRE11A</t>
  </si>
  <si>
    <t>P50053_KHK</t>
  </si>
  <si>
    <t>P50148_GNAQ</t>
  </si>
  <si>
    <t>P50150_GNG4</t>
  </si>
  <si>
    <t>P50151_GNG10</t>
  </si>
  <si>
    <t>P50213_IDH3A</t>
  </si>
  <si>
    <t>P50238_CRIP1</t>
  </si>
  <si>
    <t>P50336_PPOX</t>
  </si>
  <si>
    <t>P50402_EMD</t>
  </si>
  <si>
    <t>P50416_CPT1A</t>
  </si>
  <si>
    <t>P50440-3_GATM</t>
  </si>
  <si>
    <t>P50452_SERPINB8</t>
  </si>
  <si>
    <t>P50454_SERPINH1</t>
  </si>
  <si>
    <t>P50502_ST13</t>
  </si>
  <si>
    <t>P50552_VASP</t>
  </si>
  <si>
    <t>P50570-4_DNM2</t>
  </si>
  <si>
    <t>P50579_METAP2</t>
  </si>
  <si>
    <t>P50583_NUDT2</t>
  </si>
  <si>
    <t>P50747_HLCS</t>
  </si>
  <si>
    <t>P50748_KNTC1</t>
  </si>
  <si>
    <t>P50749_RASSF2</t>
  </si>
  <si>
    <t>P50750_CDK9</t>
  </si>
  <si>
    <t>P50851_LRBA</t>
  </si>
  <si>
    <t>P50895_BCAM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</si>
  <si>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</si>
  <si>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</si>
  <si>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</si>
  <si>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</si>
  <si>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</si>
  <si>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</si>
  <si>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</si>
  <si>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</si>
  <si>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P51157_RAB28</t>
  </si>
  <si>
    <t>P51159_RAB27A</t>
  </si>
  <si>
    <t>P51398-2_DAP3</t>
  </si>
  <si>
    <t>P51452_DUSP3</t>
  </si>
  <si>
    <t>P51513-5_NOVA1</t>
  </si>
  <si>
    <t>P51531_SMARCA2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</si>
  <si>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</si>
  <si>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</si>
  <si>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</si>
  <si>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</si>
  <si>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</si>
  <si>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</si>
  <si>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</si>
  <si>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P51649_ALDH5A1</t>
  </si>
  <si>
    <t>P51659_HSD17B4</t>
  </si>
  <si>
    <t>P51665_PSMD7</t>
  </si>
  <si>
    <t>P51668_UBE2D1</t>
  </si>
  <si>
    <t>P51688_SGSH</t>
  </si>
  <si>
    <t>P51692_STAT5B</t>
  </si>
  <si>
    <t>P51790-4_CLCN3</t>
  </si>
  <si>
    <t>P51795_CLCN5</t>
  </si>
  <si>
    <t>P51797_CLCN6</t>
  </si>
  <si>
    <t>P51798-2_CLCN7</t>
  </si>
  <si>
    <t>P51809_VAMP7</t>
  </si>
  <si>
    <t>P51813_BMX</t>
  </si>
  <si>
    <t>P51858_HDGF</t>
  </si>
  <si>
    <t>P51948-2_MNAT1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</si>
  <si>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</si>
  <si>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</si>
  <si>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</si>
  <si>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</si>
  <si>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</si>
  <si>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</si>
  <si>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</si>
  <si>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P52435_POLR2J</t>
  </si>
  <si>
    <t>P52564_MAP2K6</t>
  </si>
  <si>
    <t>P52565_ARHGDIA</t>
  </si>
  <si>
    <t>P52566_ARHGDIB</t>
  </si>
  <si>
    <t>P52594-2_AGFG1</t>
  </si>
  <si>
    <t>P52597_HNRNPF</t>
  </si>
  <si>
    <t>P52630-4_STAT2</t>
  </si>
  <si>
    <t>P52655_GTF2A1</t>
  </si>
  <si>
    <t>P52732_KIF11</t>
  </si>
  <si>
    <t>P52735-3_VAV2</t>
  </si>
  <si>
    <t>P52756_RBM5</t>
  </si>
  <si>
    <t>P52758_HRSP12</t>
  </si>
  <si>
    <t>P52788_SMS</t>
  </si>
  <si>
    <t>P52789_HK2</t>
  </si>
  <si>
    <t>P52798-2_EFNA4</t>
  </si>
  <si>
    <t>P52815_MRPL12</t>
  </si>
  <si>
    <t>P52888_THOP1</t>
  </si>
  <si>
    <t>P52907_CAPZA1</t>
  </si>
  <si>
    <t>P52943_CRIP2</t>
  </si>
  <si>
    <t>P52948-5_NUP98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</si>
  <si>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</si>
  <si>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</si>
  <si>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</si>
  <si>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</si>
  <si>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</si>
  <si>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</si>
  <si>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</si>
  <si>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</si>
  <si>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P53567_CEBPG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</si>
  <si>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</si>
  <si>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</si>
  <si>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</si>
  <si>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</si>
  <si>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</si>
  <si>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</si>
  <si>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</si>
  <si>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</si>
  <si>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P53701_HCCS</t>
  </si>
  <si>
    <t>P53778_MAPK12</t>
  </si>
  <si>
    <t>P53794_SLC5A3</t>
  </si>
  <si>
    <t>P53801_PTTG1IP</t>
  </si>
  <si>
    <t>P53803_POLR2K</t>
  </si>
  <si>
    <t>P53985_SLC16A1</t>
  </si>
  <si>
    <t>P53990-2_IST1</t>
  </si>
  <si>
    <t>P53992_SEC24C</t>
  </si>
  <si>
    <t>P53999_SUB1</t>
  </si>
  <si>
    <t>P54098_POLG</t>
  </si>
  <si>
    <t>P54136_RARS</t>
  </si>
  <si>
    <t>P54259_ATN1</t>
  </si>
  <si>
    <t>P54278_PMS2</t>
  </si>
  <si>
    <t>P54577_YARS</t>
  </si>
  <si>
    <t>P54578_USP14</t>
  </si>
  <si>
    <t>P54619-2_PRKAG1</t>
  </si>
  <si>
    <t>P54652_HSPA2</t>
  </si>
  <si>
    <t>P54687_BCAT1</t>
  </si>
  <si>
    <t>P54709_ATP1B3</t>
  </si>
  <si>
    <t>P54710-2_FXYD2</t>
  </si>
  <si>
    <t>P54727_RAD23B</t>
  </si>
  <si>
    <t>P54819_AK2</t>
  </si>
  <si>
    <t>P54868_HMGCS2</t>
  </si>
  <si>
    <t>P54886_ALDH18A1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</si>
  <si>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</si>
  <si>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</si>
  <si>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</si>
  <si>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</si>
  <si>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</si>
  <si>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</si>
  <si>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</si>
  <si>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</si>
  <si>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P55084_HADHB</t>
  </si>
  <si>
    <t>P55145_MANF</t>
  </si>
  <si>
    <t>P55160_NCKAP1L</t>
  </si>
  <si>
    <t>P55199_ELL</t>
  </si>
  <si>
    <t>P55210_CASP7</t>
  </si>
  <si>
    <t>P55212_CASP6</t>
  </si>
  <si>
    <t>P55263_ADK</t>
  </si>
  <si>
    <t>P55273_CDKN2D</t>
  </si>
  <si>
    <t>P55283_CDH4</t>
  </si>
  <si>
    <t>P55327-2_TPD52</t>
  </si>
  <si>
    <t>P55735_SEC13</t>
  </si>
  <si>
    <t>P55789_GFER</t>
  </si>
  <si>
    <t>P55795_HNRNPH2</t>
  </si>
  <si>
    <t>P55809_OXCT1</t>
  </si>
  <si>
    <t>P55884_EIF3B</t>
  </si>
  <si>
    <t>P55899_FCGRT</t>
  </si>
  <si>
    <t>P55957_BID</t>
  </si>
  <si>
    <t>P56134-3_ATP5J2</t>
  </si>
  <si>
    <t>P56159-2_GFRA1</t>
  </si>
  <si>
    <t>P56181_NDUFV3</t>
  </si>
  <si>
    <t>P56181-2_NDUFV3</t>
  </si>
  <si>
    <t>P56182_RRP1</t>
  </si>
  <si>
    <t>P56192_MARS</t>
  </si>
  <si>
    <t>P56199_ITGA1</t>
  </si>
  <si>
    <t>P56211_ARPP19</t>
  </si>
  <si>
    <t>P56270-2_MAZ</t>
  </si>
  <si>
    <t>P56277_CMC4</t>
  </si>
  <si>
    <t>P56282_POLE2</t>
  </si>
  <si>
    <t>P56377_AP1S2</t>
  </si>
  <si>
    <t>P56378_MP68</t>
  </si>
  <si>
    <t>P56381_ATP5E</t>
  </si>
  <si>
    <t>P56385_ATP5I</t>
  </si>
  <si>
    <t>P56524_HDAC4</t>
  </si>
  <si>
    <t>P56537_EIF6</t>
  </si>
  <si>
    <t>P56556_NDUFA6</t>
  </si>
  <si>
    <t>P56559_ARL4C</t>
  </si>
  <si>
    <t>P56589_PEX3</t>
  </si>
  <si>
    <t>P56937-3_HSD17B7</t>
  </si>
  <si>
    <t>P56962_STX17</t>
  </si>
  <si>
    <t>P57075-2_UBASH3A</t>
  </si>
  <si>
    <t>P57076_C21orf59</t>
  </si>
  <si>
    <t>P57081-2_WDR4</t>
  </si>
  <si>
    <t>P57088_TMEM33</t>
  </si>
  <si>
    <t>P57105_SYNJ2BP</t>
  </si>
  <si>
    <t>P57737-3_CORO7</t>
  </si>
  <si>
    <t>P57740_NUP107</t>
  </si>
  <si>
    <t>P57768_SNX16</t>
  </si>
  <si>
    <t>P57772_EEFSEC</t>
  </si>
  <si>
    <t>P58004_SESN2</t>
  </si>
  <si>
    <t>P58546_MTPN</t>
  </si>
  <si>
    <t>P58557-2_YBEY</t>
  </si>
  <si>
    <t>P59190_RAB15</t>
  </si>
  <si>
    <t>P60059_SEC61G</t>
  </si>
  <si>
    <t>P60174_TPI1</t>
  </si>
  <si>
    <t>P60228_EIF3E</t>
  </si>
  <si>
    <t>P60468_SEC61B</t>
  </si>
  <si>
    <t>P60510_PPP4C</t>
  </si>
  <si>
    <t>P60520_GABARAPL2</t>
  </si>
  <si>
    <t>P60602_ROMO1</t>
  </si>
  <si>
    <t>P60604-2_UBE2G2</t>
  </si>
  <si>
    <t>P60709_ACTB</t>
  </si>
  <si>
    <t>P60763_RAC3</t>
  </si>
  <si>
    <t>P60842_EIF4A1</t>
  </si>
  <si>
    <t>P60866_RPS20</t>
  </si>
  <si>
    <t>P60880-2_SNAP25</t>
  </si>
  <si>
    <t>P60891_PRPS1</t>
  </si>
  <si>
    <t>P60896_SHFM1</t>
  </si>
  <si>
    <t>P60900_PSMA6</t>
  </si>
  <si>
    <t>P60903_S100A10</t>
  </si>
  <si>
    <t>P60953_CDC42</t>
  </si>
  <si>
    <t>P60953-1_CDC42</t>
  </si>
  <si>
    <t>P60981_DSTN</t>
  </si>
  <si>
    <t>P60983_GMFB</t>
  </si>
  <si>
    <t>P61006_RAB8A</t>
  </si>
  <si>
    <t>P61009_SPCS3</t>
  </si>
  <si>
    <t>P61011_SRP54</t>
  </si>
  <si>
    <t>P61018_RAB4B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</si>
  <si>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</si>
  <si>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</si>
  <si>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</si>
  <si>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</si>
  <si>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</si>
  <si>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</si>
  <si>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</si>
  <si>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</si>
  <si>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</si>
  <si>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</si>
  <si>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</si>
  <si>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</si>
  <si>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</si>
  <si>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</si>
  <si>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P61204_ARF3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</si>
  <si>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</si>
  <si>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</si>
  <si>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</si>
  <si>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</si>
  <si>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</si>
  <si>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</si>
  <si>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</si>
  <si>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P61326_MAGOH</t>
  </si>
  <si>
    <t>P61353_RPL27</t>
  </si>
  <si>
    <t>P61457_PCBD1</t>
  </si>
  <si>
    <t>P61513_RPL37A</t>
  </si>
  <si>
    <t>P61586_RHOA</t>
  </si>
  <si>
    <t>P61599_NAA20</t>
  </si>
  <si>
    <t>P61604_HSPE1</t>
  </si>
  <si>
    <t>P61758_VBP1</t>
  </si>
  <si>
    <t>P61764_STXBP1</t>
  </si>
  <si>
    <t>P61769_B2M</t>
  </si>
  <si>
    <t>P61925_PKIA</t>
  </si>
  <si>
    <t>P61927_RPL37</t>
  </si>
  <si>
    <t>P61962_DCAF7</t>
  </si>
  <si>
    <t>P61964_WDR5</t>
  </si>
  <si>
    <t>P61966_AP1S1</t>
  </si>
  <si>
    <t>P61968_LMO4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</si>
  <si>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</si>
  <si>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</si>
  <si>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</si>
  <si>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</si>
  <si>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</si>
  <si>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</si>
  <si>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</si>
  <si>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</si>
  <si>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</si>
  <si>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</si>
  <si>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</si>
  <si>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</si>
  <si>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</si>
  <si>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</si>
  <si>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</si>
  <si>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</si>
  <si>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</si>
  <si>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</si>
  <si>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</si>
  <si>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</si>
  <si>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</si>
  <si>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</si>
  <si>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</si>
  <si>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</si>
  <si>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</si>
  <si>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</si>
  <si>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</si>
  <si>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</si>
  <si>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</si>
  <si>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</si>
  <si>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</si>
  <si>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P62341_SELT</t>
  </si>
  <si>
    <t>P62380_TBPL1</t>
  </si>
  <si>
    <t>P62424_RPL7A</t>
  </si>
  <si>
    <t>P62487_POLR2G</t>
  </si>
  <si>
    <t>P62495_ETF1</t>
  </si>
  <si>
    <t>P62633-2_CNBP</t>
  </si>
  <si>
    <t>P62633-3_CNBP</t>
  </si>
  <si>
    <t>P62633-4_CNBP</t>
  </si>
  <si>
    <t>P62633-5_CNBP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</si>
  <si>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</si>
  <si>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</si>
  <si>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</si>
  <si>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</si>
  <si>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</si>
  <si>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</si>
  <si>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</si>
  <si>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</si>
  <si>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</si>
  <si>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</si>
  <si>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</si>
  <si>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</si>
  <si>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</si>
  <si>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</si>
  <si>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P62875_POLR2L</t>
  </si>
  <si>
    <t>P62877_RBX1</t>
  </si>
  <si>
    <t>P62879_GNB2</t>
  </si>
  <si>
    <t>P62888_RPL30</t>
  </si>
  <si>
    <t>P62899_RPL31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</si>
  <si>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</si>
  <si>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</si>
  <si>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</si>
  <si>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</si>
  <si>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</si>
  <si>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</si>
  <si>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</si>
  <si>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</si>
  <si>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</si>
  <si>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</si>
  <si>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</si>
  <si>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P63092-3_GNAS</t>
  </si>
  <si>
    <t>P63104_YWHAZ</t>
  </si>
  <si>
    <t>P63146_UBE2B</t>
  </si>
  <si>
    <t>P63151_PPP2R2A</t>
  </si>
  <si>
    <t>P63167_DYNLL1</t>
  </si>
  <si>
    <t>P63172_DYNLT1</t>
  </si>
  <si>
    <t>P63173_RPL38</t>
  </si>
  <si>
    <t>P63218_GNG5</t>
  </si>
  <si>
    <t>P63220_RPS21</t>
  </si>
  <si>
    <t>P63241_EIF5A</t>
  </si>
  <si>
    <t>P63244_GNB2L1</t>
  </si>
  <si>
    <t>P63261_ACTG1</t>
  </si>
  <si>
    <t>P63272_SUPT4H1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</si>
  <si>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</si>
  <si>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</si>
  <si>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</si>
  <si>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</si>
  <si>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</si>
  <si>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</si>
  <si>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</si>
  <si>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</si>
  <si>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</si>
  <si>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P68871_HBB</t>
  </si>
  <si>
    <t>P69905_HBA1</t>
  </si>
  <si>
    <t>P78316_NOP14</t>
  </si>
  <si>
    <t>P78318_IGBP1</t>
  </si>
  <si>
    <t>P78330_PSPH</t>
  </si>
  <si>
    <t>P78332_RBM6</t>
  </si>
  <si>
    <t>P78345_RPP38</t>
  </si>
  <si>
    <t>P78346_RPP30</t>
  </si>
  <si>
    <t>P78347-2_GTF2I</t>
  </si>
  <si>
    <t>P78356_PIP4K2B</t>
  </si>
  <si>
    <t>P78362_SRPK2</t>
  </si>
  <si>
    <t>P78371_CCT2</t>
  </si>
  <si>
    <t>P78406_RAE1</t>
  </si>
  <si>
    <t>P78417_GSTO1</t>
  </si>
  <si>
    <t>P78527_PRKDC</t>
  </si>
  <si>
    <t>P78536_ADAM17</t>
  </si>
  <si>
    <t>P78537-2_BLOC1S1</t>
  </si>
  <si>
    <t>P78540_ARG2</t>
  </si>
  <si>
    <t>P78549_NTHL1</t>
  </si>
  <si>
    <t>P79522-2_PRR3</t>
  </si>
  <si>
    <t>P80217_IFI35</t>
  </si>
  <si>
    <t>P80297_MT1X</t>
  </si>
  <si>
    <t>P80303_NUCB2</t>
  </si>
  <si>
    <t>P81605_DCD</t>
  </si>
  <si>
    <t>P82094_TMF1</t>
  </si>
  <si>
    <t>P82664_MRPS10</t>
  </si>
  <si>
    <t>P82673_MRPS35</t>
  </si>
  <si>
    <t>P82909_MRPS36</t>
  </si>
  <si>
    <t>P82912-2_MRPS11</t>
  </si>
  <si>
    <t>P82921_MRPS21</t>
  </si>
  <si>
    <t>P82932_MRPS6</t>
  </si>
  <si>
    <t>P82933_MRPS9</t>
  </si>
  <si>
    <t>P82979_SARNP</t>
  </si>
  <si>
    <t>P83111_LACTB</t>
  </si>
  <si>
    <t>P83436_COG7</t>
  </si>
  <si>
    <t>P83876_TXNL4A</t>
  </si>
  <si>
    <t>P84085_ARF5</t>
  </si>
  <si>
    <t>P84090_ERH</t>
  </si>
  <si>
    <t>P84095_RHOG</t>
  </si>
  <si>
    <t>P84101-4_SERF2</t>
  </si>
  <si>
    <t>P84157-2_MXRA7</t>
  </si>
  <si>
    <t>P85037_FOXK1</t>
  </si>
  <si>
    <t>P86791_CCZ1</t>
  </si>
  <si>
    <t>P98155-2_VLDLR</t>
  </si>
  <si>
    <t>P98160_HSPG2</t>
  </si>
  <si>
    <t>P98170_XIAP</t>
  </si>
  <si>
    <t>P98172_EFNB1</t>
  </si>
  <si>
    <t>P98175-2_RBM10</t>
  </si>
  <si>
    <t>P98179_RBM3</t>
  </si>
  <si>
    <t>Q00013-2_MPP1</t>
  </si>
  <si>
    <t>Q00059_TFAM</t>
  </si>
  <si>
    <t>Q00169_PITPNA</t>
  </si>
  <si>
    <t>Q00266_MAT1A</t>
  </si>
  <si>
    <t>Q00325-2_SLC25A3</t>
  </si>
  <si>
    <t>Q00341_HDLBP</t>
  </si>
  <si>
    <t>Q00403_GTF2B</t>
  </si>
  <si>
    <t>Q00526_CDK3</t>
  </si>
  <si>
    <t>Q00534_CDK6</t>
  </si>
  <si>
    <t>Q00535_CDK5</t>
  </si>
  <si>
    <t>Q00536_CDK16</t>
  </si>
  <si>
    <t>Q00577_PURA</t>
  </si>
  <si>
    <t>Q00610-2_CLTC</t>
  </si>
  <si>
    <t>Q00653-4_NFKB2</t>
  </si>
  <si>
    <t>Q00688_FKBP3</t>
  </si>
  <si>
    <t>Q00765_REEP5</t>
  </si>
  <si>
    <t>Q00796_SORD</t>
  </si>
  <si>
    <t>Q00839-2_HNRNPU</t>
  </si>
  <si>
    <t>Q01081_U2AF1</t>
  </si>
  <si>
    <t>Q01082_SPTBN1</t>
  </si>
  <si>
    <t>Q01082-3_SPTBN1</t>
  </si>
  <si>
    <t>Q01085-2_TIAL1</t>
  </si>
  <si>
    <t>Q01105-2_SET</t>
  </si>
  <si>
    <t>Q01151_CD83</t>
  </si>
  <si>
    <t>Q01167_FOXK2</t>
  </si>
  <si>
    <t>Q01196_RUNX1</t>
  </si>
  <si>
    <t>Q01415_GALK2</t>
  </si>
  <si>
    <t>Q01432_AMPD3</t>
  </si>
  <si>
    <t>Q01433_AMPD2</t>
  </si>
  <si>
    <t>Q01459_CTBS</t>
  </si>
  <si>
    <t>Q01469_FABP5</t>
  </si>
  <si>
    <t>Q01518-2_CAP1</t>
  </si>
  <si>
    <t>Q01543_FLI1</t>
  </si>
  <si>
    <t>Q01581_HMGCS1</t>
  </si>
  <si>
    <t>Q01650_SLC7A5</t>
  </si>
  <si>
    <t>Q01658_DR1</t>
  </si>
  <si>
    <t>Q01664_TFAP4</t>
  </si>
  <si>
    <t>Q01780-2_EXOSC10</t>
  </si>
  <si>
    <t>Q01813_PFKP</t>
  </si>
  <si>
    <t>Q01826_SATB1</t>
  </si>
  <si>
    <t>Q01968_OCRL</t>
  </si>
  <si>
    <t>Q01970_PLCB3</t>
  </si>
  <si>
    <t>Q02040_AKAP17A</t>
  </si>
  <si>
    <t>Q02078-3_MEF2A</t>
  </si>
  <si>
    <t>Q02083-2_NAAA</t>
  </si>
  <si>
    <t>Q02108-2_GUCY1A3</t>
  </si>
  <si>
    <t>Q02127_DHODH</t>
  </si>
  <si>
    <t>Q02224-3_CENPE</t>
  </si>
  <si>
    <t>Q02241_KIF23</t>
  </si>
  <si>
    <t>Q02252_ALDH6A1</t>
  </si>
  <si>
    <t>Q02338_BDH1</t>
  </si>
  <si>
    <t>Q02383_SEMG2</t>
  </si>
  <si>
    <t>Q02410_APBA1</t>
  </si>
  <si>
    <t>Q02446_SP4</t>
  </si>
  <si>
    <t>Q02447-3_SP3</t>
  </si>
  <si>
    <t>Q02535_ID3</t>
  </si>
  <si>
    <t>Q02543_RPL18A</t>
  </si>
  <si>
    <t>Q02750_MAP2K1</t>
  </si>
  <si>
    <t>Q02790_FKBP4</t>
  </si>
  <si>
    <t>Q02809_PLOD1</t>
  </si>
  <si>
    <t>Q02818_NUCB1</t>
  </si>
  <si>
    <t>Q02880-2_TOP2B</t>
  </si>
  <si>
    <t>Q03013_GSTM4</t>
  </si>
  <si>
    <t>Q03111_MLLT1</t>
  </si>
  <si>
    <t>Q03405_PLAUR</t>
  </si>
  <si>
    <t>Q03519_TAP2</t>
  </si>
  <si>
    <t>Q04446_GBE1</t>
  </si>
  <si>
    <t>Q04656-5_ATP7A</t>
  </si>
  <si>
    <t>Q04721_NOTCH2</t>
  </si>
  <si>
    <t>Q04759_PRKCQ</t>
  </si>
  <si>
    <t>Q04760-2_GLO1</t>
  </si>
  <si>
    <t>Q04837_SSBP1</t>
  </si>
  <si>
    <t>Q04917_YWHAH</t>
  </si>
  <si>
    <t>Q04941_PLP2</t>
  </si>
  <si>
    <t>Q05048_CSTF1</t>
  </si>
  <si>
    <t>Q05086-3_UBE3A</t>
  </si>
  <si>
    <t>Q05193-3_DNM1</t>
  </si>
  <si>
    <t>Q05519-2_SRSF11</t>
  </si>
  <si>
    <t>Q05639_EEF1A2</t>
  </si>
  <si>
    <t>Q05655_PRKCD</t>
  </si>
  <si>
    <t>Q05932-3_FPGS</t>
  </si>
  <si>
    <t>Q06124_PTPN11</t>
  </si>
  <si>
    <t>Q06136_KDSR</t>
  </si>
  <si>
    <t>Q06203_PPAT</t>
  </si>
  <si>
    <t>Q06210-2_GFPT1</t>
  </si>
  <si>
    <t>Q06265_EXOSC9</t>
  </si>
  <si>
    <t>Q06323_PSME1</t>
  </si>
  <si>
    <t>Q06330-4_RBPJ</t>
  </si>
  <si>
    <t>Q06481_APLP2</t>
  </si>
  <si>
    <t>Q06546_GABPA</t>
  </si>
  <si>
    <t>Q06547-2_GABPB1</t>
  </si>
  <si>
    <t>Q06587_RING1</t>
  </si>
  <si>
    <t>Q06609_RAD51</t>
  </si>
  <si>
    <t>Q06787-6_FMR1</t>
  </si>
  <si>
    <t>Q06830_PRDX1</t>
  </si>
  <si>
    <t>Q06945_SOX4</t>
  </si>
  <si>
    <t>Q07021_C1QBP</t>
  </si>
  <si>
    <t>Q07065_CKAP4</t>
  </si>
  <si>
    <t>Q07108_CD69</t>
  </si>
  <si>
    <t>Q07617_SPAG1</t>
  </si>
  <si>
    <t>Q07666_KHDRBS1</t>
  </si>
  <si>
    <t>Q07812-5_BAX</t>
  </si>
  <si>
    <t>Q07820-2_MCL1</t>
  </si>
  <si>
    <t>Q07866-3_KLC1</t>
  </si>
  <si>
    <t>Q07866-6_KLC1</t>
  </si>
  <si>
    <t>Q07954_LRP1</t>
  </si>
  <si>
    <t>Q07960_ARHGAP1</t>
  </si>
  <si>
    <t>Q08170_SRSF4</t>
  </si>
  <si>
    <t>Q08209-2_PPP3CA</t>
  </si>
  <si>
    <t>Q08211_DHX9</t>
  </si>
  <si>
    <t>Q08257_CRYZ</t>
  </si>
  <si>
    <t>Q08357_SLC20A2</t>
  </si>
  <si>
    <t>Q08378_GOLGA3</t>
  </si>
  <si>
    <t>Q08379_GOLGA2</t>
  </si>
  <si>
    <t>Q08380_LGALS3BP</t>
  </si>
  <si>
    <t>Q08554-2_DSC1</t>
  </si>
  <si>
    <t>Q08722_CD47</t>
  </si>
  <si>
    <t>Q08752_PPID</t>
  </si>
  <si>
    <t>Q08881_ITK</t>
  </si>
  <si>
    <t>Q08945_SSRP1</t>
  </si>
  <si>
    <t>Q08AD1-2_CAMSAP2</t>
  </si>
  <si>
    <t>Q08AF3_SLFN5</t>
  </si>
  <si>
    <t>Q08AG7_MZT1</t>
  </si>
  <si>
    <t>Q08AM6_VAC14</t>
  </si>
  <si>
    <t>Q08J23_NSUN2</t>
  </si>
  <si>
    <t>Q09028-3_RBBP4</t>
  </si>
  <si>
    <t>Q09161_NCBP1</t>
  </si>
  <si>
    <t>Q09328_MGAT5</t>
  </si>
  <si>
    <t>Q09472_EP300</t>
  </si>
  <si>
    <t>Q09666_AHNAK</t>
  </si>
  <si>
    <t>Q0PNE2_ELP6</t>
  </si>
  <si>
    <t>Q0VD83_APOBR</t>
  </si>
  <si>
    <t>Q0VDF9_HSPA14</t>
  </si>
  <si>
    <t>Q0VDG4_SCRN3</t>
  </si>
  <si>
    <t>Q0VGL1_LAMTOR4</t>
  </si>
  <si>
    <t>Q10469_MGAT2</t>
  </si>
  <si>
    <t>Q10471_GALNT2</t>
  </si>
  <si>
    <t>Q10567-2_AP1B1</t>
  </si>
  <si>
    <t>Q10570_CPSF1</t>
  </si>
  <si>
    <t>Q10589_BST2</t>
  </si>
  <si>
    <t>Q10713_PMPCA</t>
  </si>
  <si>
    <t>Q12765_SCRN1</t>
  </si>
  <si>
    <t>Q12768_KIAA0196</t>
  </si>
  <si>
    <t>Q12769_NUP160</t>
  </si>
  <si>
    <t>Q12788_TBL3</t>
  </si>
  <si>
    <t>Q12789-3_GTF3C1</t>
  </si>
  <si>
    <t>Q12792_TWF1</t>
  </si>
  <si>
    <t>Q12797-10_ASPH</t>
  </si>
  <si>
    <t>Q12802-4_AKAP13</t>
  </si>
  <si>
    <t>Q12824-2_SMARCB1</t>
  </si>
  <si>
    <t>Q12834_CDC20</t>
  </si>
  <si>
    <t>Q12846_STX4</t>
  </si>
  <si>
    <t>Q12872_SFSWAP</t>
  </si>
  <si>
    <t>Q12874_SF3A3</t>
  </si>
  <si>
    <t>Q12882_DPYD</t>
  </si>
  <si>
    <t>Q12888_TP53BP1</t>
  </si>
  <si>
    <t>Q12893_TMEM115</t>
  </si>
  <si>
    <t>Q12899_TRIM26</t>
  </si>
  <si>
    <t>Q12904_AIMP1</t>
  </si>
  <si>
    <t>Q12905_ILF2</t>
  </si>
  <si>
    <t>Q12906-7_ILF3</t>
  </si>
  <si>
    <t>Q12907_LMAN2</t>
  </si>
  <si>
    <t>Q12912-2_LRMP</t>
  </si>
  <si>
    <t>Q12933-3_TRAF2</t>
  </si>
  <si>
    <t>Q12955_ANK3</t>
  </si>
  <si>
    <t>Q12959-5_DLG1</t>
  </si>
  <si>
    <t>Q12962_TAF10</t>
  </si>
  <si>
    <t>Q12972_PPP1R8</t>
  </si>
  <si>
    <t>Q12974_PTP4A2</t>
  </si>
  <si>
    <t>Q12979-4_ABR</t>
  </si>
  <si>
    <t>Q12981_BNIP1</t>
  </si>
  <si>
    <t>Q12996_CSTF3</t>
  </si>
  <si>
    <t>Q13011_ECH1</t>
  </si>
  <si>
    <t>Q13015_MLLT11</t>
  </si>
  <si>
    <t>Q13017-2_ARHGAP5</t>
  </si>
  <si>
    <t>Q13033-2_STRN3</t>
  </si>
  <si>
    <t>Q13042-3_CDC16</t>
  </si>
  <si>
    <t>Q13043_STK4</t>
  </si>
  <si>
    <t>Q13045-2_FLII</t>
  </si>
  <si>
    <t>Q13049_TRIM32</t>
  </si>
  <si>
    <t>Q13057_COASY</t>
  </si>
  <si>
    <t>Q13085_ACACA</t>
  </si>
  <si>
    <t>Q13094_LCP2</t>
  </si>
  <si>
    <t>Q13107-2_USP4</t>
  </si>
  <si>
    <t>Q13111_CHAF1A</t>
  </si>
  <si>
    <t>Q13112_CHAF1B</t>
  </si>
  <si>
    <t>Q13123_IK</t>
  </si>
  <si>
    <t>Q13131_PRKAA1</t>
  </si>
  <si>
    <t>Q13136_PPFIA1</t>
  </si>
  <si>
    <t>Q13148_TARDBP</t>
  </si>
  <si>
    <t>Q13151_HNRNPA0</t>
  </si>
  <si>
    <t>Q13153_PAK1</t>
  </si>
  <si>
    <t>Q13155_AIMP2</t>
  </si>
  <si>
    <t>Q13158_FADD</t>
  </si>
  <si>
    <t>Q13162_PRDX4</t>
  </si>
  <si>
    <t>Q13163-4_MAP2K5</t>
  </si>
  <si>
    <t>Q13177_PAK2</t>
  </si>
  <si>
    <t>Q13185_CBX3</t>
  </si>
  <si>
    <t>Q13188_STK3</t>
  </si>
  <si>
    <t>Q13190-2_STX5</t>
  </si>
  <si>
    <t>Q13200_PSMD2</t>
  </si>
  <si>
    <t>Q13216_ERCC8</t>
  </si>
  <si>
    <t>Q13217_DNAJC3</t>
  </si>
  <si>
    <t>Q13242_SRSF9</t>
  </si>
  <si>
    <t>Q13243_SRSF5</t>
  </si>
  <si>
    <t>Q13247-3_SRSF6</t>
  </si>
  <si>
    <t>Q13257_MAD2L1</t>
  </si>
  <si>
    <t>Q13263_TRIM28</t>
  </si>
  <si>
    <t>Q13277-2_STX3</t>
  </si>
  <si>
    <t>Q13283_G3BP1</t>
  </si>
  <si>
    <t>Q13287_NMI</t>
  </si>
  <si>
    <t>Q13303_KCNAB2</t>
  </si>
  <si>
    <t>Q13303-3_KCNAB2</t>
  </si>
  <si>
    <t>Q13308_PTK7</t>
  </si>
  <si>
    <t>Q13309_SKP2</t>
  </si>
  <si>
    <t>Q13310-3_PABPC4</t>
  </si>
  <si>
    <t>Q13325_IFIT5</t>
  </si>
  <si>
    <t>Q13330-3_MTA1</t>
  </si>
  <si>
    <t>Q13332-6_PTPRS</t>
  </si>
  <si>
    <t>Q13347_EIF3I</t>
  </si>
  <si>
    <t>Q13356_PPIL2</t>
  </si>
  <si>
    <t>Q13362-3_PPP2R5C</t>
  </si>
  <si>
    <t>Q13362-4_PPP2R5C</t>
  </si>
  <si>
    <t>Q13363_CTBP1</t>
  </si>
  <si>
    <t>Q13367_AP3B2</t>
  </si>
  <si>
    <t>Q13371_PDCL</t>
  </si>
  <si>
    <t>Q13395_TARBP1</t>
  </si>
  <si>
    <t>Q13405_MRPL49</t>
  </si>
  <si>
    <t>Q13409-3_DYNC1I2</t>
  </si>
  <si>
    <t>Q13416_ORC2</t>
  </si>
  <si>
    <t>Q13418_ILK</t>
  </si>
  <si>
    <t>Q13422_IKZF1</t>
  </si>
  <si>
    <t>Q13423_NNT</t>
  </si>
  <si>
    <t>Q13425_SNTB2</t>
  </si>
  <si>
    <t>Q13426_XRCC4</t>
  </si>
  <si>
    <t>Q13427_PPIG</t>
  </si>
  <si>
    <t>Q13428-3_TCOF1</t>
  </si>
  <si>
    <t>Q13432-2_UNC119</t>
  </si>
  <si>
    <t>Q13433_SLC39A6</t>
  </si>
  <si>
    <t>Q13435_SF3B2</t>
  </si>
  <si>
    <t>Q13438-4_OS9</t>
  </si>
  <si>
    <t>Q13439-3_GOLGA4</t>
  </si>
  <si>
    <t>Q13442_PDAP1</t>
  </si>
  <si>
    <t>Q13443_ADAM9</t>
  </si>
  <si>
    <t>Q13445_TMED1</t>
  </si>
  <si>
    <t>Q13451_FKBP5</t>
  </si>
  <si>
    <t>Q13464_ROCK1</t>
  </si>
  <si>
    <t>Q13469-3_NFATC2</t>
  </si>
  <si>
    <t>Q13472-2_TOP3A</t>
  </si>
  <si>
    <t>Q13492-2_PICALM</t>
  </si>
  <si>
    <t>Q13496_MTM1</t>
  </si>
  <si>
    <t>Q13501_SQSTM1</t>
  </si>
  <si>
    <t>Q13503_MED21</t>
  </si>
  <si>
    <t>Q13505-3_MTX1</t>
  </si>
  <si>
    <t>Q13506_NAB1</t>
  </si>
  <si>
    <t>Q13509_TUBB3</t>
  </si>
  <si>
    <t>Q13526_PIN1</t>
  </si>
  <si>
    <t>Q13541_EIF4EBP1</t>
  </si>
  <si>
    <t>Q13542_EIF4EBP2</t>
  </si>
  <si>
    <t>Q13547_HDAC1</t>
  </si>
  <si>
    <t>Q13564_NAE1</t>
  </si>
  <si>
    <t>Q13571_LAPTM5</t>
  </si>
  <si>
    <t>Q13572_ITPK1</t>
  </si>
  <si>
    <t>Q13573_SNW1</t>
  </si>
  <si>
    <t>Q13574_DGKZ</t>
  </si>
  <si>
    <t>Q13576_IQGAP2</t>
  </si>
  <si>
    <t>Q13586_STIM1</t>
  </si>
  <si>
    <t>Q13588_GRAP</t>
  </si>
  <si>
    <t>Q13596_SNX1</t>
  </si>
  <si>
    <t>Q13608_PEX6</t>
  </si>
  <si>
    <t>Q13610_PWP1</t>
  </si>
  <si>
    <t>Q13614_MTMR2</t>
  </si>
  <si>
    <t>Q13615-3_MTMR3</t>
  </si>
  <si>
    <t>Q13616_CUL1</t>
  </si>
  <si>
    <t>Q13617_CUL2</t>
  </si>
  <si>
    <t>Q13618_CUL3</t>
  </si>
  <si>
    <t>Q13619_CUL4A</t>
  </si>
  <si>
    <t>Q13625-2_TP53BP2</t>
  </si>
  <si>
    <t>Q13627-2_DYRK1A</t>
  </si>
  <si>
    <t>Q13630_TSTA3</t>
  </si>
  <si>
    <t>Q13642-1_FHL1</t>
  </si>
  <si>
    <t>Q13643_FHL3</t>
  </si>
  <si>
    <t>Q13686_ALKBH1</t>
  </si>
  <si>
    <t>Q13724_MOGS</t>
  </si>
  <si>
    <t>Q13740-2_ALCAM</t>
  </si>
  <si>
    <t>Q13769_THOC5</t>
  </si>
  <si>
    <t>Q13795_ARFRP1</t>
  </si>
  <si>
    <t>Q13813_SPTAN1</t>
  </si>
  <si>
    <t>Q13813-2_SPTAN1</t>
  </si>
  <si>
    <t>Q13825_AUH</t>
  </si>
  <si>
    <t>Q13838_DDX39B</t>
  </si>
  <si>
    <t>Q13867_BLMH</t>
  </si>
  <si>
    <t>Q13868_EXOSC2</t>
  </si>
  <si>
    <t>Q13884_SNTB1</t>
  </si>
  <si>
    <t>Q13885_TUBB2A</t>
  </si>
  <si>
    <t>Q13895_BYSL</t>
  </si>
  <si>
    <t>Q13905_RAPGEF1</t>
  </si>
  <si>
    <t>Q13907_IDI1</t>
  </si>
  <si>
    <t>Q13948_CUX1</t>
  </si>
  <si>
    <t>Q13951_CBFB</t>
  </si>
  <si>
    <t>Q13951-2_CBFB</t>
  </si>
  <si>
    <t>Q13952-3_NFYC</t>
  </si>
  <si>
    <t>Q14005-3_IL16</t>
  </si>
  <si>
    <t>Q14008-2_CKAP5</t>
  </si>
  <si>
    <t>Q14011_CIRBP</t>
  </si>
  <si>
    <t>Q14019_COTL1</t>
  </si>
  <si>
    <t>Q14061_COX17</t>
  </si>
  <si>
    <t>Q14088_RAB33A</t>
  </si>
  <si>
    <t>Q14103-3_HNRNPD</t>
  </si>
  <si>
    <t>Q14103-4_HNRNPD</t>
  </si>
  <si>
    <t>Q14108_SCARB2</t>
  </si>
  <si>
    <t>Q14114_LRP8</t>
  </si>
  <si>
    <t>Q14117_DPYS</t>
  </si>
  <si>
    <t>Q14118_DAG1</t>
  </si>
  <si>
    <t>Q14126_DSG2</t>
  </si>
  <si>
    <t>Q14135_VGLL4</t>
  </si>
  <si>
    <t>Q14137_BOP1</t>
  </si>
  <si>
    <t>Q14139_UBE4A</t>
  </si>
  <si>
    <t>Q14145_KEAP1</t>
  </si>
  <si>
    <t>Q14146_URB2</t>
  </si>
  <si>
    <t>Q14147_DHX34</t>
  </si>
  <si>
    <t>Q14149_MORC3</t>
  </si>
  <si>
    <t>Q14151_SAFB2</t>
  </si>
  <si>
    <t>Q14152_EIF3A</t>
  </si>
  <si>
    <t>Q14153_FAM53B</t>
  </si>
  <si>
    <t>Q14157-1_UBAP2L</t>
  </si>
  <si>
    <t>Q14157-3_UBAP2L</t>
  </si>
  <si>
    <t>Q14160_SCRIB</t>
  </si>
  <si>
    <t>Q14161_GIT2</t>
  </si>
  <si>
    <t>Q14165_MLEC</t>
  </si>
  <si>
    <t>Q14166_TTLL12</t>
  </si>
  <si>
    <t>Q14181_POLA2</t>
  </si>
  <si>
    <t>Q14183_DOC2A</t>
  </si>
  <si>
    <t>Q14186_TFDP1</t>
  </si>
  <si>
    <t>Q14188_TFDP2</t>
  </si>
  <si>
    <t>Q14204_DYNC1H1</t>
  </si>
  <si>
    <t>Q14232_EIF2B1</t>
  </si>
  <si>
    <t>Q14240_EIF4A2</t>
  </si>
  <si>
    <t>Q14241_TCEB3</t>
  </si>
  <si>
    <t>Q14242_SELPLG</t>
  </si>
  <si>
    <t>Q14247_CTTN</t>
  </si>
  <si>
    <t>Q14247-2_CTTN</t>
  </si>
  <si>
    <t>Q14249_ENDOG</t>
  </si>
  <si>
    <t>Q14254_FLOT2</t>
  </si>
  <si>
    <t>Q14257_RCN2</t>
  </si>
  <si>
    <t>Q14258_TRIM25</t>
  </si>
  <si>
    <t>Q14289-2_PTK2B</t>
  </si>
  <si>
    <t>Q14318-2_FKBP8</t>
  </si>
  <si>
    <t>Q14320_FAM50A</t>
  </si>
  <si>
    <t>Q14331_FRG1</t>
  </si>
  <si>
    <t>Q14344_GNA13</t>
  </si>
  <si>
    <t>Q14353_GAMT</t>
  </si>
  <si>
    <t>Q14376_GALE</t>
  </si>
  <si>
    <t>Q14444_CAPRIN1</t>
  </si>
  <si>
    <t>Q14457_BECN1</t>
  </si>
  <si>
    <t>Q14469_HES1</t>
  </si>
  <si>
    <t>Q14498-2_RBM39</t>
  </si>
  <si>
    <t>Q14517_FAT1</t>
  </si>
  <si>
    <t>Q14520-2_HABP2</t>
  </si>
  <si>
    <t>Q14527_HLTF</t>
  </si>
  <si>
    <t>Q14534_SQLE</t>
  </si>
  <si>
    <t>Q14554_PDIA5</t>
  </si>
  <si>
    <t>Q14558-2_PRPSAP1</t>
  </si>
  <si>
    <t>Q14562_DHX8</t>
  </si>
  <si>
    <t>Q14566_MCM6</t>
  </si>
  <si>
    <t>Q14644_RASA3</t>
  </si>
  <si>
    <t>Q14651_PLS1</t>
  </si>
  <si>
    <t>Q14653_IRF3</t>
  </si>
  <si>
    <t>Q14657_LAGE3</t>
  </si>
  <si>
    <t>Q14669-2_TRIP12</t>
  </si>
  <si>
    <t>Q14676_MDC1</t>
  </si>
  <si>
    <t>Q14677_CLINT1</t>
  </si>
  <si>
    <t>Q14677-3_CLINT1</t>
  </si>
  <si>
    <t>Q14681_KCTD2</t>
  </si>
  <si>
    <t>Q14683_SMC1A</t>
  </si>
  <si>
    <t>Q14684-2_RRP1B</t>
  </si>
  <si>
    <t>Q14686_NCOA6</t>
  </si>
  <si>
    <t>Q14687-2_GSE1</t>
  </si>
  <si>
    <t>Q14690_PDCD11</t>
  </si>
  <si>
    <t>Q14691_GINS1</t>
  </si>
  <si>
    <t>Q14692_BMS1</t>
  </si>
  <si>
    <t>Q14693_LPIN1</t>
  </si>
  <si>
    <t>Q14694_USP10</t>
  </si>
  <si>
    <t>Q14696_MESDC2</t>
  </si>
  <si>
    <t>Q14697_GANAB</t>
  </si>
  <si>
    <t>Q14697-2_GANAB</t>
  </si>
  <si>
    <t>Q14699_RFTN1</t>
  </si>
  <si>
    <t>Q14739_LBR</t>
  </si>
  <si>
    <t>Q14746-2_COG2</t>
  </si>
  <si>
    <t>Q14761_PTPRCAP</t>
  </si>
  <si>
    <t>Q14764_MVP</t>
  </si>
  <si>
    <t>Q14789_GOLGB1</t>
  </si>
  <si>
    <t>Q14790-2_CASP8</t>
  </si>
  <si>
    <t>Q147X3_NAA30</t>
  </si>
  <si>
    <t>Q14807_KIF22</t>
  </si>
  <si>
    <t>Q14847_LASP1</t>
  </si>
  <si>
    <t>Q14894_CRYM</t>
  </si>
  <si>
    <t>Q14964_RAB39A</t>
  </si>
  <si>
    <t>Q14966_ZNF638</t>
  </si>
  <si>
    <t>Q14974_KPNB1</t>
  </si>
  <si>
    <t>Q14978-2_NOLC1</t>
  </si>
  <si>
    <t>Q14980-2_NUMA1</t>
  </si>
  <si>
    <t>Q14990_ODF1</t>
  </si>
  <si>
    <t>Q14997_PSME4</t>
  </si>
  <si>
    <t>Q14BN4-2_SLMAP</t>
  </si>
  <si>
    <t>Q14C86-5_GAPVD1</t>
  </si>
  <si>
    <t>Q14CX7_NAA25</t>
  </si>
  <si>
    <t>Q15003_NCAPH</t>
  </si>
  <si>
    <t>Q15004_KIAA0101</t>
  </si>
  <si>
    <t>Q15006_EMC2</t>
  </si>
  <si>
    <t>Q15007_WTAP</t>
  </si>
  <si>
    <t>Q15008_PSMD6</t>
  </si>
  <si>
    <t>Q15011-3_HERPUD1</t>
  </si>
  <si>
    <t>Q15013_MAD2L1BP</t>
  </si>
  <si>
    <t>Q15014_MORF4L2</t>
  </si>
  <si>
    <t>Q15018_FAM175B</t>
  </si>
  <si>
    <t>Q15019-2_SEPT2</t>
  </si>
  <si>
    <t>Q15020_SART3</t>
  </si>
  <si>
    <t>Q15021_NCAPD2</t>
  </si>
  <si>
    <t>Q15022_SUZ12</t>
  </si>
  <si>
    <t>Q15024_EXOSC7</t>
  </si>
  <si>
    <t>Q15027_ACAP1</t>
  </si>
  <si>
    <t>Q15029-2_EFTUD2</t>
  </si>
  <si>
    <t>Q15031_LARS2</t>
  </si>
  <si>
    <t>Q15032-2_R3HDM1</t>
  </si>
  <si>
    <t>Q15036-2_SNX17</t>
  </si>
  <si>
    <t>Q15042_RAB3GAP1</t>
  </si>
  <si>
    <t>Q15043-2_SLC39A14</t>
  </si>
  <si>
    <t>Q15046_KARS</t>
  </si>
  <si>
    <t>Q15050_RRS1</t>
  </si>
  <si>
    <t>Q15052_ARHGEF6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</si>
  <si>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</si>
  <si>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</si>
  <si>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</si>
  <si>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</si>
  <si>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</si>
  <si>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</si>
  <si>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</si>
  <si>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Q15075_EEA1</t>
  </si>
  <si>
    <t>Q15102_PAFAH1B3</t>
  </si>
  <si>
    <t>Q15118_PDK1</t>
  </si>
  <si>
    <t>Q15119_PDK2</t>
  </si>
  <si>
    <t>Q15120_PDK3</t>
  </si>
  <si>
    <t>Q15125_EBP</t>
  </si>
  <si>
    <t>Q15126_PMVK</t>
  </si>
  <si>
    <t>Q15149_PLEC</t>
  </si>
  <si>
    <t>Q15149-3_PLEC</t>
  </si>
  <si>
    <t>Q15154-2_PCM1</t>
  </si>
  <si>
    <t>Q15155_NOMO1</t>
  </si>
  <si>
    <t>Q15170-2_TCEAL1</t>
  </si>
  <si>
    <t>Q15172_PPP2R5A</t>
  </si>
  <si>
    <t>Q15173-2_PPP2R5B</t>
  </si>
  <si>
    <t>Q15181_PPA1</t>
  </si>
  <si>
    <t>Q15208_STK38</t>
  </si>
  <si>
    <t>Q15223_PVRL1</t>
  </si>
  <si>
    <t>Q15233_NONO</t>
  </si>
  <si>
    <t>Q15257_PPP2R4</t>
  </si>
  <si>
    <t>Q15269_PWP2</t>
  </si>
  <si>
    <t>Q15274_QPRT</t>
  </si>
  <si>
    <t>Q15276_RABEP1</t>
  </si>
  <si>
    <t>Q15283-2_RASA2</t>
  </si>
  <si>
    <t>Q15286_RAB35</t>
  </si>
  <si>
    <t>Q15291_RBBP5</t>
  </si>
  <si>
    <t>Q15293_RCN1</t>
  </si>
  <si>
    <t>Q15311_RALBP1</t>
  </si>
  <si>
    <t>Q15334_LLGL1</t>
  </si>
  <si>
    <t>Q15345_LRRC41</t>
  </si>
  <si>
    <t>Q15363_TMED2</t>
  </si>
  <si>
    <t>Q15365_PCBP1</t>
  </si>
  <si>
    <t>Q15366-2_PCBP2</t>
  </si>
  <si>
    <t>Q15366-3_PCBP2</t>
  </si>
  <si>
    <t>Q15370_TCEB2</t>
  </si>
  <si>
    <t>Q15382_RHEB</t>
  </si>
  <si>
    <t>Q15386_UBE3C</t>
  </si>
  <si>
    <t>Q15393_SF3B3</t>
  </si>
  <si>
    <t>Q15398-3_DLGAP5</t>
  </si>
  <si>
    <t>Q15404_RSU1</t>
  </si>
  <si>
    <t>Q15417_CNN3</t>
  </si>
  <si>
    <t>Q15424_SAFB</t>
  </si>
  <si>
    <t>Q15427_SF3B4</t>
  </si>
  <si>
    <t>Q15428_SF3A2</t>
  </si>
  <si>
    <t>Q15435_PPP1R7</t>
  </si>
  <si>
    <t>Q15437_SEC23B</t>
  </si>
  <si>
    <t>Q15438-2_CYTH1</t>
  </si>
  <si>
    <t>Q15459_SF3A1</t>
  </si>
  <si>
    <t>Q15477_SKIV2L</t>
  </si>
  <si>
    <t>Q15506_SPA17</t>
  </si>
  <si>
    <t>Q15526-2_SURF1</t>
  </si>
  <si>
    <t>Q15527_SURF2</t>
  </si>
  <si>
    <t>Q15542_TAF5</t>
  </si>
  <si>
    <t>Q15544_TAF11</t>
  </si>
  <si>
    <t>Q15545_TAF7</t>
  </si>
  <si>
    <t>Q15554_TERF2</t>
  </si>
  <si>
    <t>Q15555-4_MAPRE2</t>
  </si>
  <si>
    <t>Q15560-2_TCEA2</t>
  </si>
  <si>
    <t>Q15596_NCOA2</t>
  </si>
  <si>
    <t>Q15599_SLC9A3R2</t>
  </si>
  <si>
    <t>Q15628_TRADD</t>
  </si>
  <si>
    <t>Q15637-5_SF1</t>
  </si>
  <si>
    <t>Q15642-2_TRIP10</t>
  </si>
  <si>
    <t>Q15643_TRIP11</t>
  </si>
  <si>
    <t>Q15645_TRIP13</t>
  </si>
  <si>
    <t>Q15648_MED1</t>
  </si>
  <si>
    <t>Q15649_ZNHIT3</t>
  </si>
  <si>
    <t>Q15650_TRIP4</t>
  </si>
  <si>
    <t>Q15652-3_JMJD1C</t>
  </si>
  <si>
    <t>Q15691_MAPRE1</t>
  </si>
  <si>
    <t>Q15714_TSC22D1</t>
  </si>
  <si>
    <t>Q15717_ELAVL1</t>
  </si>
  <si>
    <t>Q15738_NSDHL</t>
  </si>
  <si>
    <t>Q15742-3_NAB2</t>
  </si>
  <si>
    <t>Q15743_GPR68</t>
  </si>
  <si>
    <t>Q15746-4_MYLK</t>
  </si>
  <si>
    <t>Q15750-2_TAB1</t>
  </si>
  <si>
    <t>Q15751_HERC1</t>
  </si>
  <si>
    <t>Q15758_SLC1A5</t>
  </si>
  <si>
    <t>Q15759_MAPK11</t>
  </si>
  <si>
    <t>Q15773_MLF2</t>
  </si>
  <si>
    <t>Q15777-2_MPPED2</t>
  </si>
  <si>
    <t>Q15785_TOMM34</t>
  </si>
  <si>
    <t>Q15796-2_SMAD2</t>
  </si>
  <si>
    <t>Q15800_MSMO1</t>
  </si>
  <si>
    <t>Q15813_TBCE</t>
  </si>
  <si>
    <t>Q15814_TBCC</t>
  </si>
  <si>
    <t>Q15819_UBE2V2</t>
  </si>
  <si>
    <t>Q15831-2_STK11</t>
  </si>
  <si>
    <t>Q15833_STXBP2</t>
  </si>
  <si>
    <t>Q15834_CCDC85B</t>
  </si>
  <si>
    <t>Q15836_VAMP3</t>
  </si>
  <si>
    <t>Q15853-2_USF2</t>
  </si>
  <si>
    <t>Q15904_ATP6AP1</t>
  </si>
  <si>
    <t>Q15906_VPS72</t>
  </si>
  <si>
    <t>Q15907_RAB11B</t>
  </si>
  <si>
    <t>Q15910_EZH2</t>
  </si>
  <si>
    <t>Q15942_ZYX</t>
  </si>
  <si>
    <t>Q15973-4_ZNF124</t>
  </si>
  <si>
    <t>Q16134_ETFDH</t>
  </si>
  <si>
    <t>Q16143_SNCB</t>
  </si>
  <si>
    <t>Q16181_SEPT7</t>
  </si>
  <si>
    <t>Q16186_ADRM1</t>
  </si>
  <si>
    <t>Q16204_CCDC6</t>
  </si>
  <si>
    <t>Q16222-2_UAP1</t>
  </si>
  <si>
    <t>Q16254_E2F4</t>
  </si>
  <si>
    <t>Q16401-2_PSMD5</t>
  </si>
  <si>
    <t>Q16512_PKN1</t>
  </si>
  <si>
    <t>Q16513-2_PKN2</t>
  </si>
  <si>
    <t>Q16514-2_TAF12</t>
  </si>
  <si>
    <t>Q16526_CRY1</t>
  </si>
  <si>
    <t>Q16531_DDB1</t>
  </si>
  <si>
    <t>Q16539_MAPK14</t>
  </si>
  <si>
    <t>Q16543_CDC37</t>
  </si>
  <si>
    <t>Q16555_DPYSL2</t>
  </si>
  <si>
    <t>Q16566_CAMK4</t>
  </si>
  <si>
    <t>Q16576_RBBP7</t>
  </si>
  <si>
    <t>Q16587-5_ZNF74</t>
  </si>
  <si>
    <t>Q16594_TAF9</t>
  </si>
  <si>
    <t>Q16625-4_OCLN</t>
  </si>
  <si>
    <t>Q16626_MEA1</t>
  </si>
  <si>
    <t>Q16643_DBN1</t>
  </si>
  <si>
    <t>Q16644_MAPKAPK3</t>
  </si>
  <si>
    <t>Q16656-2_NRF1</t>
  </si>
  <si>
    <t>Q16658_FSCN1</t>
  </si>
  <si>
    <t>Q16666-2_IFI16</t>
  </si>
  <si>
    <t>Q16670-2_ZSCAN26</t>
  </si>
  <si>
    <t>Q16706_MAN2A1</t>
  </si>
  <si>
    <t>Q16718_NDUFA5</t>
  </si>
  <si>
    <t>Q16740_CLPP</t>
  </si>
  <si>
    <t>Q16762_TST</t>
  </si>
  <si>
    <t>Q16763_UBE2S</t>
  </si>
  <si>
    <t>Q16775_HAGH</t>
  </si>
  <si>
    <t>Q16778_HIST2H2BE</t>
  </si>
  <si>
    <t>Q16795_NDUFA9</t>
  </si>
  <si>
    <t>Q16822_PCK2</t>
  </si>
  <si>
    <t>Q16854_DGUOK</t>
  </si>
  <si>
    <t>Q16864_ATP6V1F</t>
  </si>
  <si>
    <t>Q16891-2_IMMT</t>
  </si>
  <si>
    <t>Q17R31-2_TATDN3</t>
  </si>
  <si>
    <t>Q17RN3_FAM98C</t>
  </si>
  <si>
    <t>Q17RU2_REL</t>
  </si>
  <si>
    <t>Q1KMD3_HNRNPUL2</t>
  </si>
  <si>
    <t>Q1MSJ5-1_CSPP1</t>
  </si>
  <si>
    <t>Q27J81-2_INF2</t>
  </si>
  <si>
    <t>Q29718_HLA-B</t>
  </si>
  <si>
    <t>Q29940_HLA-B</t>
  </si>
  <si>
    <t>Q29963_HLA-C</t>
  </si>
  <si>
    <t>Q29RF7_PDS5A</t>
  </si>
  <si>
    <t>Q2KHT3_CLEC16A</t>
  </si>
  <si>
    <t>Q2M296-2_MTHFSD</t>
  </si>
  <si>
    <t>Q2M2I8-2_AAK1</t>
  </si>
  <si>
    <t>Q2M389_KIAA1033</t>
  </si>
  <si>
    <t>Q2NKX8_ERCC6L</t>
  </si>
  <si>
    <t>Q2NL82_TSR1</t>
  </si>
  <si>
    <t>Q2NL98_VMAC</t>
  </si>
  <si>
    <t>Q2PZI1_DPY19L1</t>
  </si>
  <si>
    <t>Q2T9J0_TYSND1</t>
  </si>
  <si>
    <t>Q2TAA5_ALG11</t>
  </si>
  <si>
    <t>Q2TAL8_QRICH1</t>
  </si>
  <si>
    <t>Q2TAM5_RELA</t>
  </si>
  <si>
    <t>Q2TAY7_SMU1</t>
  </si>
  <si>
    <t>Q2VPB7_AP5B1</t>
  </si>
  <si>
    <t>Q2VPS2_STX1B</t>
  </si>
  <si>
    <t>Q32MZ4-2_LRRFIP1</t>
  </si>
  <si>
    <t>Q32MZ4-3_LRRFIP1</t>
  </si>
  <si>
    <t>Q32MZ4-4_LRRFIP1</t>
  </si>
  <si>
    <t>Q32MZ9_POLD3</t>
  </si>
  <si>
    <t>Q32P28_LEPRE1</t>
  </si>
  <si>
    <t>Q32P41_TRMT5</t>
  </si>
  <si>
    <t>Q32Q12_NME1-NME2</t>
  </si>
  <si>
    <t>Q3B726_TWISTNB</t>
  </si>
  <si>
    <t>Q3B7J2_GFOD2</t>
  </si>
  <si>
    <t>Q3B7T1-5_EDRF1</t>
  </si>
  <si>
    <t>Q3KQU3-4_MAP7D1</t>
  </si>
  <si>
    <t>Q3KQV9_UAP1L1</t>
  </si>
  <si>
    <t>Q3KRA6_C2orf76</t>
  </si>
  <si>
    <t>Q3KRA9_ALKBH6</t>
  </si>
  <si>
    <t>Q3LXA3_DAK</t>
  </si>
  <si>
    <t>Q3MHD2_LSM12</t>
  </si>
  <si>
    <t>Q3MII6_TBC1D25</t>
  </si>
  <si>
    <t>Q3MIT2_PUS10</t>
  </si>
  <si>
    <t>Q3SXM5_HSDL1</t>
  </si>
  <si>
    <t>Q3SXY8_ARL13B</t>
  </si>
  <si>
    <t>Q3T906_GNPTAB</t>
  </si>
  <si>
    <t>Q3V6T2-2_CCDC88A</t>
  </si>
  <si>
    <t>Q3YEC7_RABL6</t>
  </si>
  <si>
    <t>Q3ZAQ7_VMA21</t>
  </si>
  <si>
    <t>Q3ZCM7_TUBB8</t>
  </si>
  <si>
    <t>Q3ZCQ8_TIMM50</t>
  </si>
  <si>
    <t>Q3ZCW2_LGALSL</t>
  </si>
  <si>
    <t>Q49AR2_C5orf22</t>
  </si>
  <si>
    <t>Q49B96_COX19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</si>
  <si>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</si>
  <si>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</si>
  <si>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</si>
  <si>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</si>
  <si>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</si>
  <si>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</si>
  <si>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</si>
  <si>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</si>
  <si>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</si>
  <si>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Q4KWH8-3_PLCH1</t>
  </si>
  <si>
    <t>Q4LDG9_DNAL1</t>
  </si>
  <si>
    <t>Q4LE39-3_ARID4B</t>
  </si>
  <si>
    <t>Q4TT34_NME4</t>
  </si>
  <si>
    <t>Q4V328_GRIPAP1</t>
  </si>
  <si>
    <t>Q4VC05_BCL7A</t>
  </si>
  <si>
    <t>Q4VC05-2_BCL7A</t>
  </si>
  <si>
    <t>Q4VXZ8_DECR2</t>
  </si>
  <si>
    <t>Q4ZIN3-2_TMEM259</t>
  </si>
  <si>
    <t>Q504Q3-2_PAN2</t>
  </si>
  <si>
    <t>Q504U0_C4orf46</t>
  </si>
  <si>
    <t>Q52LA3_LIN52</t>
  </si>
  <si>
    <t>Q52LJ0-2_FAM98B</t>
  </si>
  <si>
    <t>Q53EL6-2_PDCD4</t>
  </si>
  <si>
    <t>Q53ET0_CRTC2</t>
  </si>
  <si>
    <t>Q53EU6_AGPAT9</t>
  </si>
  <si>
    <t>Q53EZ4_CEP55</t>
  </si>
  <si>
    <t>Q53F19_C17orf85</t>
  </si>
  <si>
    <t>Q53FA7_TP53I3</t>
  </si>
  <si>
    <t>Q53GL0-2_PLEKHO1</t>
  </si>
  <si>
    <t>Q53GQ0_HSD17B12</t>
  </si>
  <si>
    <t>Q53GS7-2_GLE1</t>
  </si>
  <si>
    <t>Q53H12_AGK</t>
  </si>
  <si>
    <t>Q53H47_SETMAR</t>
  </si>
  <si>
    <t>Q53H80_AKIRIN2</t>
  </si>
  <si>
    <t>Q53H82_LACTB2</t>
  </si>
  <si>
    <t>Q53H96_PYCRL</t>
  </si>
  <si>
    <t>Q53QZ3_ARHGAP15</t>
  </si>
  <si>
    <t>Q53R41_FASTKD1</t>
  </si>
  <si>
    <t>Q53S33_BOLA3</t>
  </si>
  <si>
    <t>Q53T59_HS1BP3</t>
  </si>
  <si>
    <t>Q53TN4-3_CYBRD1</t>
  </si>
  <si>
    <t>Q562F6-2_SGOL2</t>
  </si>
  <si>
    <t>Q562R1_ACTBL2</t>
  </si>
  <si>
    <t>Q567Q0_PPIA</t>
  </si>
  <si>
    <t>Q567V2-2_MPV17L2</t>
  </si>
  <si>
    <t>Q56VL3_OCIAD2</t>
  </si>
  <si>
    <t>Q587I9_SFT2D3</t>
  </si>
  <si>
    <t>Q58FF8_HSP90AB2P</t>
  </si>
  <si>
    <t>Q58FG1_HSP90AA4P</t>
  </si>
  <si>
    <t>Q58WW2_DCAF6</t>
  </si>
  <si>
    <t>Q5BJF2_TMEM97</t>
  </si>
  <si>
    <t>Q5BKU9_OXLD1</t>
  </si>
  <si>
    <t>Q5BKX5_C19orf54</t>
  </si>
  <si>
    <t>Q5BKZ1_ZNF326</t>
  </si>
  <si>
    <t>Q5CZ79_ANKRD20A8P</t>
  </si>
  <si>
    <t>Q5D1E8_ZC3H12A</t>
  </si>
  <si>
    <t>Q5EBL4_RILPL1</t>
  </si>
  <si>
    <t>Q5EBL8_PDZD11</t>
  </si>
  <si>
    <t>Q5EBM0_CMPK2</t>
  </si>
  <si>
    <t>Q5F1R6_DNAJC21</t>
  </si>
  <si>
    <t>Q5FBB7-5_SGOL1</t>
  </si>
  <si>
    <t>Q5GLZ8-3_HERC4</t>
  </si>
  <si>
    <t>Q5H8X8_UTS2</t>
  </si>
  <si>
    <t>Q5H937_PKIG</t>
  </si>
  <si>
    <t>Q5HY62_CXorf40B</t>
  </si>
  <si>
    <t>Q5HYI8_RABL3</t>
  </si>
  <si>
    <t>Q5HYK3_COQ5</t>
  </si>
  <si>
    <t>Q5JP53_TUBB</t>
  </si>
  <si>
    <t>Q5JPE7-2_NOMO2</t>
  </si>
  <si>
    <t>Q5JPI9_METTL10</t>
  </si>
  <si>
    <t>Q5JR08_RHOC</t>
  </si>
  <si>
    <t>Q5JRA6_MIA3</t>
  </si>
  <si>
    <t>Q5JRI1_SRSF10</t>
  </si>
  <si>
    <t>Q5JRX3_PITRM1</t>
  </si>
  <si>
    <t>Q5JS37-2_NHLRC3</t>
  </si>
  <si>
    <t>Q5JS54_PSMG4</t>
  </si>
  <si>
    <t>Q5JSH3-2_WDR44</t>
  </si>
  <si>
    <t>Q5JSL0_HMGN5</t>
  </si>
  <si>
    <t>Q5JSP0_FGD3</t>
  </si>
  <si>
    <t>Q5JSZ5_PRRC2B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</si>
  <si>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</si>
  <si>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</si>
  <si>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</si>
  <si>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</si>
  <si>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</si>
  <si>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</si>
  <si>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</si>
  <si>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Q5JUL1_PAGE5</t>
  </si>
  <si>
    <t>Q5JUR7_TEX30</t>
  </si>
  <si>
    <t>Q5JUW8_DLG3</t>
  </si>
  <si>
    <t>Q5JVF3-3_PCID2</t>
  </si>
  <si>
    <t>Q5JVS0_HABP4</t>
  </si>
  <si>
    <t>Q5JVZ5_ELMO2</t>
  </si>
  <si>
    <t>Q5JWB9_TMEM230</t>
  </si>
  <si>
    <t>Q5JWT2_MED23</t>
  </si>
  <si>
    <t>Q5JY65_CRNKL1</t>
  </si>
  <si>
    <t>Q5K651_SAMD9</t>
  </si>
  <si>
    <t>Q5M775-5_SPECC1</t>
  </si>
  <si>
    <t>Q5MIZ7-3_SMEK2</t>
  </si>
  <si>
    <t>Q5MNZ6_WDR45B</t>
  </si>
  <si>
    <t>Q5QJE6_DNTTIP2</t>
  </si>
  <si>
    <t>Q5QNY5_PEX19</t>
  </si>
  <si>
    <t>Q5QNZ2_ATP5F1</t>
  </si>
  <si>
    <t>Q5QP56_BCL2L1</t>
  </si>
  <si>
    <t>Q5QP82-2_DCAF10</t>
  </si>
  <si>
    <t>Q5QPK2_DPM1</t>
  </si>
  <si>
    <t>Q5QPM7_PSMF1</t>
  </si>
  <si>
    <t>Q5R372-4_RABGAP1L</t>
  </si>
  <si>
    <t>Q5R3B4_MPC2</t>
  </si>
  <si>
    <t>Q5RI15_COX20</t>
  </si>
  <si>
    <t>Q5RJ85_HLA-G</t>
  </si>
  <si>
    <t>Q5RKV6_EXOSC6</t>
  </si>
  <si>
    <t>Q5SGD2_PPM1L</t>
  </si>
  <si>
    <t>Q5SPT7_HLA-F</t>
  </si>
  <si>
    <t>Q5SQI0-5_ATAT1</t>
  </si>
  <si>
    <t>Q5SR47_CR2</t>
  </si>
  <si>
    <t>Q5SR56_HIATL1</t>
  </si>
  <si>
    <t>Q5SRE5_NUP188</t>
  </si>
  <si>
    <t>Q5SRN5_HLA-A</t>
  </si>
  <si>
    <t>Q5SRQ6_CSNK2B</t>
  </si>
  <si>
    <t>Q5SSJ5_HP1BP3</t>
  </si>
  <si>
    <t>Q5ST30_VARS2</t>
  </si>
  <si>
    <t>Q5STX8_AIF1</t>
  </si>
  <si>
    <t>Q5SVK8_DNMBP</t>
  </si>
  <si>
    <t>Q5SW79_CEP170</t>
  </si>
  <si>
    <t>Q5SW96_LDLRAP1</t>
  </si>
  <si>
    <t>Q5SWX3_CAMK2G</t>
  </si>
  <si>
    <t>Q5SWX8-3_ODR4</t>
  </si>
  <si>
    <t>Q5SXM2_SNAPC4</t>
  </si>
  <si>
    <t>Q5SXM8_DNLZ</t>
  </si>
  <si>
    <t>Q5SZE3_CERS2</t>
  </si>
  <si>
    <t>Q5SZG2_GABPB2</t>
  </si>
  <si>
    <t>Q5SZR4_TDRKH</t>
  </si>
  <si>
    <t>Q5T0D9_TPRG1L</t>
  </si>
  <si>
    <t>Q5T0N5-3_FNBP1L</t>
  </si>
  <si>
    <t>Q5T0Q6_DPYSL4</t>
  </si>
  <si>
    <t>Q5T0V0_SLIT1</t>
  </si>
  <si>
    <t>Q5T114_C9orf156</t>
  </si>
  <si>
    <t>Q5T123_SH3BGRL3</t>
  </si>
  <si>
    <t>Q5T160_RARS2</t>
  </si>
  <si>
    <t>Q5T171_PYGO2</t>
  </si>
  <si>
    <t>Q5T1M5_FKBP15</t>
  </si>
  <si>
    <t>Q5T1V6_DDX59</t>
  </si>
  <si>
    <t>Q5T1Z4_PUM1</t>
  </si>
  <si>
    <t>Q5T200_ZC3H13</t>
  </si>
  <si>
    <t>Q5T280_C9orf114</t>
  </si>
  <si>
    <t>Q5T2E6_C10orf76</t>
  </si>
  <si>
    <t>Q5T2R2-3_PDSS1</t>
  </si>
  <si>
    <t>Q5T3J3-2_LRIF1</t>
  </si>
  <si>
    <t>Q5T427_ZNF438</t>
  </si>
  <si>
    <t>Q5T440_IBA57</t>
  </si>
  <si>
    <t>Q5T447_HECTD3</t>
  </si>
  <si>
    <t>Q5T4F4-7_ZFYVE27</t>
  </si>
  <si>
    <t>Q5T4K2_SLC39A1</t>
  </si>
  <si>
    <t>Q5T4S7-3_UBR4</t>
  </si>
  <si>
    <t>Q5T4U5_ACADM</t>
  </si>
  <si>
    <t>Q5T593_FAM219A</t>
  </si>
  <si>
    <t>Q5T5C0-3_STXBP5</t>
  </si>
  <si>
    <t>Q5T5Y3_CAMSAP1</t>
  </si>
  <si>
    <t>Q5T6F2_UBAP2</t>
  </si>
  <si>
    <t>Q5T6J7_IDNK</t>
  </si>
  <si>
    <t>Q5T6N4_ABLIM1</t>
  </si>
  <si>
    <t>Q5T6V5_C9orf64</t>
  </si>
  <si>
    <t>Q5T7A4_ADCK3</t>
  </si>
  <si>
    <t>Q5T8D3-2_ACBD5</t>
  </si>
  <si>
    <t>Q5T8I0_COX6A1P2</t>
  </si>
  <si>
    <t>Q5T8P6-3_RBM26</t>
  </si>
  <si>
    <t>Q5T8T7_MED22</t>
  </si>
  <si>
    <t>Q5T8U5_SURF4</t>
  </si>
  <si>
    <t>Q5T911_MED4</t>
  </si>
  <si>
    <t>Q5T9A4_ATAD3B</t>
  </si>
  <si>
    <t>Q5TA02_GSTO1</t>
  </si>
  <si>
    <t>Q5TA45-3_CPSF3L</t>
  </si>
  <si>
    <t>Q5TAL2_SNRPC</t>
  </si>
  <si>
    <t>Q5TAX3_ZCCHC11</t>
  </si>
  <si>
    <t>Q5TBB1_RNASEH2B</t>
  </si>
  <si>
    <t>Q5TBP5_TAF4</t>
  </si>
  <si>
    <t>Q5TD07_NQO2</t>
  </si>
  <si>
    <t>Q5TDG9_DNAJC16</t>
  </si>
  <si>
    <t>Q5TDH0_DDI2</t>
  </si>
  <si>
    <t>Q5TE25_SMOX</t>
  </si>
  <si>
    <t>Q5TEU4_NDUFAF5</t>
  </si>
  <si>
    <t>Q5TF39_NAGLT1</t>
  </si>
  <si>
    <t>Q5TFA5_GINM1</t>
  </si>
  <si>
    <t>Q5TFE4_NT5DC1</t>
  </si>
  <si>
    <t>Q5THJ4-2_VPS13D</t>
  </si>
  <si>
    <t>Q5THK1-3_PRR14L</t>
  </si>
  <si>
    <t>Q5THR1_DHX35</t>
  </si>
  <si>
    <t>Q5TIE1_SLC19A2</t>
  </si>
  <si>
    <t>Q5TIH2_SFT2D2</t>
  </si>
  <si>
    <t>Q5TZA2_CROCC</t>
  </si>
  <si>
    <t>Q5U5Q3_MEX3C</t>
  </si>
  <si>
    <t>Q5U5X0_LYRM7</t>
  </si>
  <si>
    <t>Q5UIP0-2_RIF1</t>
  </si>
  <si>
    <t>Q5VIR6-4_VPS53</t>
  </si>
  <si>
    <t>Q5VSL9_STRIP1</t>
  </si>
  <si>
    <t>Q5VST6_ABHD17B</t>
  </si>
  <si>
    <t>Q5VSY0-2_GKAP1</t>
  </si>
  <si>
    <t>Q5VT06_CEP350</t>
  </si>
  <si>
    <t>Q5VT52_RPRD2</t>
  </si>
  <si>
    <t>Q5VT94_GHITM</t>
  </si>
  <si>
    <t>Q5VT99_LRRC38</t>
  </si>
  <si>
    <t>Q5VTL8_PRPF38B</t>
  </si>
  <si>
    <t>Q5VTR2_RNF20</t>
  </si>
  <si>
    <t>Q5VU58_TPM3</t>
  </si>
  <si>
    <t>Q5VUD6-2_FAM69B</t>
  </si>
  <si>
    <t>Q5VUE5_C1orf53</t>
  </si>
  <si>
    <t>Q5VUM1_C6orf57</t>
  </si>
  <si>
    <t>Q5VV42_CDKAL1</t>
  </si>
  <si>
    <t>Q5VV50_ZNF691</t>
  </si>
  <si>
    <t>Q5VVD7_PLEKHM2</t>
  </si>
  <si>
    <t>Q5VVQ6-2_YOD1</t>
  </si>
  <si>
    <t>Q5VW32_BROX</t>
  </si>
  <si>
    <t>Q5VW36_FOCAD</t>
  </si>
  <si>
    <t>Q5VWC4_PSMD4</t>
  </si>
  <si>
    <t>Q5VWG9_TAF3</t>
  </si>
  <si>
    <t>Q5VWP2_FAM46C</t>
  </si>
  <si>
    <t>Q5VWQ0_RSBN1</t>
  </si>
  <si>
    <t>Q5VWZ2_LYPLAL1</t>
  </si>
  <si>
    <t>Q5VY93_ARHGEF2</t>
  </si>
  <si>
    <t>Q5VYH8_LY9</t>
  </si>
  <si>
    <t>Q5VYS8-6_ZCCHC6</t>
  </si>
  <si>
    <t>Q5VZ66_JAKMIP3</t>
  </si>
  <si>
    <t>Q5VZE5_NAA35</t>
  </si>
  <si>
    <t>Q5VZI3-2_C9orf91</t>
  </si>
  <si>
    <t>Q5VZK9_LRRC16A</t>
  </si>
  <si>
    <t>Q5W015_PFKFB3</t>
  </si>
  <si>
    <t>Q5W0V3_FAM160B1</t>
  </si>
  <si>
    <t>Q5W0Z9-3_ZDHHC20</t>
  </si>
  <si>
    <t>Q5W145_NDUFB8</t>
  </si>
  <si>
    <t>Q5XKP0_QIL1</t>
  </si>
  <si>
    <t>Q5XUX1-3_FBXW9</t>
  </si>
  <si>
    <t>Q63HN8_RNF213</t>
  </si>
  <si>
    <t>Q63HQ0_AP1AR</t>
  </si>
  <si>
    <t>Q641Q2_FAM21A</t>
  </si>
  <si>
    <t>Q658Y4_FAM91A1</t>
  </si>
  <si>
    <t>Q659C4_LARP1B</t>
  </si>
  <si>
    <t>Q66GS9_CEP135</t>
  </si>
  <si>
    <t>Q66K14-2_TBC1D9B</t>
  </si>
  <si>
    <t>Q66K64_DCAF15</t>
  </si>
  <si>
    <t>Q66LE6_PPP2R2D</t>
  </si>
  <si>
    <t>Q66PJ3_ARL6IP4</t>
  </si>
  <si>
    <t>Q66S35_PFKFB4</t>
  </si>
  <si>
    <t>Q674X7-3_KAZN</t>
  </si>
  <si>
    <t>Q684P5-3_RAP1GAP2</t>
  </si>
  <si>
    <t>Q68CP9-3_ARID2</t>
  </si>
  <si>
    <t>Q68CQ4_DIEXF</t>
  </si>
  <si>
    <t>Q68D10-2_SPTY2D1</t>
  </si>
  <si>
    <t>Q68D91_MBLAC2</t>
  </si>
  <si>
    <t>Q68DH5_LMBRD2</t>
  </si>
  <si>
    <t>Q68E01-2_INTS3</t>
  </si>
  <si>
    <t>Q68EM7_ARHGAP17</t>
  </si>
  <si>
    <t>Q69YH5_CDCA2</t>
  </si>
  <si>
    <t>Q69YL0_</t>
  </si>
  <si>
    <t>Q69YN2_CWF19L1</t>
  </si>
  <si>
    <t>Q69YN4_KIAA1429</t>
  </si>
  <si>
    <t>Q69YQ0-2_SPECC1L</t>
  </si>
  <si>
    <t>Q69YU5_C12orf73</t>
  </si>
  <si>
    <t>Q6BDS2_UHRF1BP1</t>
  </si>
  <si>
    <t>Q6DCA0_AMMECR1L</t>
  </si>
  <si>
    <t>Q6DD87_ZNF787</t>
  </si>
  <si>
    <t>Q6DD88_ATL3</t>
  </si>
  <si>
    <t>Q6DHV7_ADAL</t>
  </si>
  <si>
    <t>Q6DKI7_PVRIG</t>
  </si>
  <si>
    <t>Q6DKJ4_NXN</t>
  </si>
  <si>
    <t>Q6DKK2_TTC19</t>
  </si>
  <si>
    <t>Q6EEV4-2_POLR2M</t>
  </si>
  <si>
    <t>Q6FI81_CIAPIN1</t>
  </si>
  <si>
    <t>Q6FIF0-2_ZFAND6</t>
  </si>
  <si>
    <t>Q6GMR7_FAAH2</t>
  </si>
  <si>
    <t>Q6GMV2_SMYD5</t>
  </si>
  <si>
    <t>Q6GMV3_PTRHD1</t>
  </si>
  <si>
    <t>Q6GQQ9-2_OTUD7B</t>
  </si>
  <si>
    <t>Q6GYA4_SELS</t>
  </si>
  <si>
    <t>Q6GYQ0-4_RALGAPA1</t>
  </si>
  <si>
    <t>Q6I9Y2_THOC7</t>
  </si>
  <si>
    <t>Q6IA17_SIGIRR</t>
  </si>
  <si>
    <t>Q6IA69_NADSYN1</t>
  </si>
  <si>
    <t>Q6IA86-3_ELP2</t>
  </si>
  <si>
    <t>Q6IAA8_LAMTOR1</t>
  </si>
  <si>
    <t>Q6IAN0_DHRS7B</t>
  </si>
  <si>
    <t>Q6IBS0_TWF2</t>
  </si>
  <si>
    <t>Q6IBW4-2_NCAPH2</t>
  </si>
  <si>
    <t>Q6IC98_GRAMD4</t>
  </si>
  <si>
    <t>Q6ICB0_DESI1</t>
  </si>
  <si>
    <t>Q6ICH7_ASPHD2</t>
  </si>
  <si>
    <t>Q6IN85_SMEK1</t>
  </si>
  <si>
    <t>Q6IPR3_TYW3</t>
  </si>
  <si>
    <t>Q6IPU0_CENPP</t>
  </si>
  <si>
    <t>Q6IQ22_RAB12</t>
  </si>
  <si>
    <t>Q6IQ49-2_SDE2</t>
  </si>
  <si>
    <t>Q6J164_GRM5</t>
  </si>
  <si>
    <t>Q6JBY9_RCSD1</t>
  </si>
  <si>
    <t>Q6JHV3_USP3</t>
  </si>
  <si>
    <t>Q6JQN1_ACAD10</t>
  </si>
  <si>
    <t>Q6KC79-2_NIPBL</t>
  </si>
  <si>
    <t>Q6KCM7-2_SLC25A25</t>
  </si>
  <si>
    <t>Q6MZP7_LIN54</t>
  </si>
  <si>
    <t>Q6MZW2-2_FSTL4</t>
  </si>
  <si>
    <t>Q6N043-2_ZNF280D</t>
  </si>
  <si>
    <t>Q6N069_NAA16</t>
  </si>
  <si>
    <t>Q6NS38_ALKBH2</t>
  </si>
  <si>
    <t>Q6NSJ5_LRRC8E</t>
  </si>
  <si>
    <t>Q6NT16_SLC18B1</t>
  </si>
  <si>
    <t>Q6NUK1_SLC25A24</t>
  </si>
  <si>
    <t>Q6NUK4_REEP3</t>
  </si>
  <si>
    <t>Q6NUM9_RETSAT</t>
  </si>
  <si>
    <t>Q6NUQ1_RINT1</t>
  </si>
  <si>
    <t>Q6NUQ4-2_TMEM214</t>
  </si>
  <si>
    <t>Q6NUS6_TCTN3</t>
  </si>
  <si>
    <t>Q6NVY1_HIBCH</t>
  </si>
  <si>
    <t>Q6NXE6-2_ARMC6</t>
  </si>
  <si>
    <t>Q6NXT1_ANKRD54</t>
  </si>
  <si>
    <t>Q6NXT6_TAPT1</t>
  </si>
  <si>
    <t>Q6NYC8_PPP1R18</t>
  </si>
  <si>
    <t>Q6NZI2_PTRF</t>
  </si>
  <si>
    <t>Q6NZY4_ZCCHC8</t>
  </si>
  <si>
    <t>Q6P087-2_RPUSD3</t>
  </si>
  <si>
    <t>Q6P161_MRPL54</t>
  </si>
  <si>
    <t>Q6P179_ERAP2</t>
  </si>
  <si>
    <t>Q6P1J9_CDC73</t>
  </si>
  <si>
    <t>Q6P1K2-4_PMF1</t>
  </si>
  <si>
    <t>Q6P1K8_GTF2H2C</t>
  </si>
  <si>
    <t>Q6P1L5_FAM117B</t>
  </si>
  <si>
    <t>Q6P1L8_MRPL14</t>
  </si>
  <si>
    <t>Q6P1M0_SLC27A4</t>
  </si>
  <si>
    <t>Q6P1N0-2_CC2D1A</t>
  </si>
  <si>
    <t>Q6P1Q9_METTL2B</t>
  </si>
  <si>
    <t>Q6P1R4_DUS1L</t>
  </si>
  <si>
    <t>Q6P275_STAG1</t>
  </si>
  <si>
    <t>Q6P2C8_MED27</t>
  </si>
  <si>
    <t>Q6P2E9_EDC4</t>
  </si>
  <si>
    <t>Q6P2H3-2_CEP85</t>
  </si>
  <si>
    <t>Q6P2I3_FAHD2B</t>
  </si>
  <si>
    <t>Q6P2P2_PRMT10</t>
  </si>
  <si>
    <t>Q6P2Q9_PRPF8</t>
  </si>
  <si>
    <t>Q6P3S1-5_DENND1B</t>
  </si>
  <si>
    <t>Q6P3S6_FBXO42</t>
  </si>
  <si>
    <t>Q6P3W7_SCYL2</t>
  </si>
  <si>
    <t>Q6P3X3_TTC27</t>
  </si>
  <si>
    <t>Q6P499-2_NIPAL3</t>
  </si>
  <si>
    <t>Q6P4A7_SFXN4</t>
  </si>
  <si>
    <t>Q6P4E1-2_CASC4</t>
  </si>
  <si>
    <t>Q6P4F2_FDX1L</t>
  </si>
  <si>
    <t>Q6P4I2_WDR73</t>
  </si>
  <si>
    <t>Q6P4Q7_CNNM4</t>
  </si>
  <si>
    <t>Q6P4R8-3_NFRKB</t>
  </si>
  <si>
    <t>Q6P582_MZT2A</t>
  </si>
  <si>
    <t>Q6P587_FAHD1</t>
  </si>
  <si>
    <t>Q6P5X5_C22orf39</t>
  </si>
  <si>
    <t>Q6P6B1_C8orf47</t>
  </si>
  <si>
    <t>Q6P6B7-2_ANKRD16</t>
  </si>
  <si>
    <t>Q6P6C2-3_ALKBH5</t>
  </si>
  <si>
    <t>Q6P9B6_KIAA1609</t>
  </si>
  <si>
    <t>Q6P9B9_INTS5</t>
  </si>
  <si>
    <t>Q6P9H5_GIMAP6</t>
  </si>
  <si>
    <t>Q6PCB5_RSBN1L</t>
  </si>
  <si>
    <t>Q6PCE3_PGM2L1</t>
  </si>
  <si>
    <t>Q6PD62_CTR9</t>
  </si>
  <si>
    <t>Q6PD74_AAGAB</t>
  </si>
  <si>
    <t>Q6PGP7_TTC37</t>
  </si>
  <si>
    <t>Q6PH81_C16orf87</t>
  </si>
  <si>
    <t>Q6PHR2_ULK3</t>
  </si>
  <si>
    <t>Q6PI48_DARS2</t>
  </si>
  <si>
    <t>Q6PI78_TMEM65</t>
  </si>
  <si>
    <t>Q6PID6_TTC33</t>
  </si>
  <si>
    <t>Q6PII3_CCDC174</t>
  </si>
  <si>
    <t>Q6PIJ6-2_FBXO38</t>
  </si>
  <si>
    <t>Q6PIW4-2_FIGNL1</t>
  </si>
  <si>
    <t>Q6PJ61_FBXO46</t>
  </si>
  <si>
    <t>Q6PJ69_TRIM65</t>
  </si>
  <si>
    <t>Q6PJG2_ELMSAN1</t>
  </si>
  <si>
    <t>Q6PJG6_BRAT1</t>
  </si>
  <si>
    <t>Q6PJT7-3_ZC3H14</t>
  </si>
  <si>
    <t>Q6PJT7-9_ZC3H14</t>
  </si>
  <si>
    <t>Q6PJW8_CNST</t>
  </si>
  <si>
    <t>Q6PK18_OGFOD3</t>
  </si>
  <si>
    <t>Q6PKG0_LARP1</t>
  </si>
  <si>
    <t>Q6PL24_TMED8</t>
  </si>
  <si>
    <t>Q6PML9_SLC30A9</t>
  </si>
  <si>
    <t>Q6QNY0_BLOC1S3</t>
  </si>
  <si>
    <t>Q6QNY1_BLOC1S2</t>
  </si>
  <si>
    <t>Q6RFH5_WDR74</t>
  </si>
  <si>
    <t>Q6RW13-2_AGTRAP</t>
  </si>
  <si>
    <t>Q6S8J3_POTEE</t>
  </si>
  <si>
    <t>Q6STE5-2_SMARCD3</t>
  </si>
  <si>
    <t>Q6SZW1-2_SARM1</t>
  </si>
  <si>
    <t>Q6UB35_MTHFD1L</t>
  </si>
  <si>
    <t>Q6ULP2-5_AFTPH</t>
  </si>
  <si>
    <t>Q6UN15_FIP1L1</t>
  </si>
  <si>
    <t>Q6UUV9-3_CRTC1</t>
  </si>
  <si>
    <t>Q6UVJ0_SASS6</t>
  </si>
  <si>
    <t>Q6UW56_ATRAID</t>
  </si>
  <si>
    <t>Q6UW63_KDELC1</t>
  </si>
  <si>
    <t>Q6UWD8_C16orf54</t>
  </si>
  <si>
    <t>Q6UWE0_LRSAM1</t>
  </si>
  <si>
    <t>Q6UWI4_SHISA2</t>
  </si>
  <si>
    <t>Q6UWP2_DHRS11</t>
  </si>
  <si>
    <t>Q6UWP7-3_LCLAT1</t>
  </si>
  <si>
    <t>Q6UWS5_PET117</t>
  </si>
  <si>
    <t>Q6UWU4_C6orf89</t>
  </si>
  <si>
    <t>Q6UX04_CWC27</t>
  </si>
  <si>
    <t>Q6UX07_DHRS13</t>
  </si>
  <si>
    <t>Q6UX98_ZDHHC24</t>
  </si>
  <si>
    <t>Q6UXB8-2_PI16</t>
  </si>
  <si>
    <t>Q6UXD5-3_SEZ6L2</t>
  </si>
  <si>
    <t>Q6UXH1-4_CRELD2</t>
  </si>
  <si>
    <t>Q6UXN9_WDR82</t>
  </si>
  <si>
    <t>Q6UXV4_APOOL</t>
  </si>
  <si>
    <t>Q6V1X1-3_DPP8</t>
  </si>
  <si>
    <t>Q6VY07_PACS1</t>
  </si>
  <si>
    <t>Q6W2J9-4_BCOR</t>
  </si>
  <si>
    <t>Q6WCQ1-2_MPRIP</t>
  </si>
  <si>
    <t>Q6WKZ4_RAB11FIP1</t>
  </si>
  <si>
    <t>Q6XQN6_NAPRT1</t>
  </si>
  <si>
    <t>Q6Y1H2_PTPLB</t>
  </si>
  <si>
    <t>Q6Y288_B3GALTL</t>
  </si>
  <si>
    <t>Q6Y7W6-4_GIGYF2</t>
  </si>
  <si>
    <t>Q6YHU6-3_THADA</t>
  </si>
  <si>
    <t>Q6YN16_HSDL2</t>
  </si>
  <si>
    <t>Q6YP21-3_CCBL2</t>
  </si>
  <si>
    <t>Q6ZMG9_CERS6</t>
  </si>
  <si>
    <t>Q6ZMI0_PPP1R21</t>
  </si>
  <si>
    <t>Q6ZN18-2_AEBP2</t>
  </si>
  <si>
    <t>Q6ZNB6_NFXL1</t>
  </si>
  <si>
    <t>Q6ZNW5_GDPGP1</t>
  </si>
  <si>
    <t>Q6ZPD9_DPY19L3</t>
  </si>
  <si>
    <t>Q6ZRI6-2_C15orf39</t>
  </si>
  <si>
    <t>Q6ZRP7_QSOX2</t>
  </si>
  <si>
    <t>Q6ZRS2-3_SRCAP</t>
  </si>
  <si>
    <t>Q6ZS86_GK5</t>
  </si>
  <si>
    <t>Q6ZSJ8_C1orf122</t>
  </si>
  <si>
    <t>Q6ZSS7_MFSD6</t>
  </si>
  <si>
    <t>Q6ZT12_UBR3</t>
  </si>
  <si>
    <t>Q6ZT21-2_TMPPE</t>
  </si>
  <si>
    <t>Q6ZT62_SH3BP1</t>
  </si>
  <si>
    <t>Q6ZTN6_ANKRD13D</t>
  </si>
  <si>
    <t>Q6ZUT1_C11orf57</t>
  </si>
  <si>
    <t>Q6ZVK8_NUDT18</t>
  </si>
  <si>
    <t>Q6ZVM7_TOM1L2</t>
  </si>
  <si>
    <t>Q6ZXV5-2_TMTC3</t>
  </si>
  <si>
    <t>Q6ZYL4_GTF2H5</t>
  </si>
  <si>
    <t>Q709C8-3_VPS13C</t>
  </si>
  <si>
    <t>Q70CQ2_USP34</t>
  </si>
  <si>
    <t>Q70IA6_MOB2</t>
  </si>
  <si>
    <t>Q70J99_UNC13D</t>
  </si>
  <si>
    <t>Q70UQ0_IKBIP</t>
  </si>
  <si>
    <t>Q70UQ0-4_IKBIP</t>
  </si>
  <si>
    <t>Q70Z53-2_FRA10AC1</t>
  </si>
  <si>
    <t>Q712K3_UBE2R2</t>
  </si>
  <si>
    <t>Q71F23_MLF1IP</t>
  </si>
  <si>
    <t>Q71RC2-6_LARP4</t>
  </si>
  <si>
    <t>Q71SY5-2_MED25</t>
  </si>
  <si>
    <t>Q71U36-2_TUBA1A</t>
  </si>
  <si>
    <t>Q71UI9_H2AFV</t>
  </si>
  <si>
    <t>Q75QN2_INTS8</t>
  </si>
  <si>
    <t>Q76FK4-4_NOL8</t>
  </si>
  <si>
    <t>Q7KYR7_BTN2A1</t>
  </si>
  <si>
    <t>Q7KZ85_SUPT6H</t>
  </si>
  <si>
    <t>Q7KZ85-2_SUPT6H</t>
  </si>
  <si>
    <t>Q7KZF4_SND1</t>
  </si>
  <si>
    <t>Q7KZN9-2_COX15</t>
  </si>
  <si>
    <t>Q7L014_DDX46</t>
  </si>
  <si>
    <t>Q7L099-2_RUFY3</t>
  </si>
  <si>
    <t>Q7L099-4_RUFY3</t>
  </si>
  <si>
    <t>Q7L0J3-2_SV2A</t>
  </si>
  <si>
    <t>Q7L0Y3_TRMT10C</t>
  </si>
  <si>
    <t>Q7L1Q6_BZW1</t>
  </si>
  <si>
    <t>Q7L1T6_CYB5R4</t>
  </si>
  <si>
    <t>Q7L211_ABHD13</t>
  </si>
  <si>
    <t>Q7L266_ASRGL1</t>
  </si>
  <si>
    <t>Q7L273_KCTD9</t>
  </si>
  <si>
    <t>Q7L2H7_EIF3M</t>
  </si>
  <si>
    <t>Q7L2J0_MEPCE</t>
  </si>
  <si>
    <t>Q7L3S4_ZNF771</t>
  </si>
  <si>
    <t>Q7L3T8_PARS2</t>
  </si>
  <si>
    <t>Q7L4I2_RSRC2</t>
  </si>
  <si>
    <t>Q7L4P6-2_BEND5</t>
  </si>
  <si>
    <t>Q7L523_RRAGA</t>
  </si>
  <si>
    <t>Q7L576_CYFIP1</t>
  </si>
  <si>
    <t>Q7L5D6_GET4</t>
  </si>
  <si>
    <t>Q7L5N7_LPCAT2</t>
  </si>
  <si>
    <t>Q7L5Y1_ENOSF1</t>
  </si>
  <si>
    <t>Q7L5Y9_MAEA</t>
  </si>
  <si>
    <t>Q7L775_EPM2AIP1</t>
  </si>
  <si>
    <t>Q7L7L0_HIST3H2A</t>
  </si>
  <si>
    <t>Q7L7X3_TAOK1</t>
  </si>
  <si>
    <t>Q7L8J4_SH3BP5L</t>
  </si>
  <si>
    <t>Q7L8L6_FASTKD5</t>
  </si>
  <si>
    <t>Q7L8W6_ATPBD4</t>
  </si>
  <si>
    <t>Q7L9B9_EEPD1</t>
  </si>
  <si>
    <t>Q7LBC6_KDM3B</t>
  </si>
  <si>
    <t>Q7LBR1_CHMP1B</t>
  </si>
  <si>
    <t>Q7LDG7_RASGRP2</t>
  </si>
  <si>
    <t>Q7LGA3_HS2ST1</t>
  </si>
  <si>
    <t>Q7RTN6-6_STRADA</t>
  </si>
  <si>
    <t>Q7RTP0_NIPA1</t>
  </si>
  <si>
    <t>Q7RTP6_MICAL3</t>
  </si>
  <si>
    <t>Q7RTV0_PHF5A</t>
  </si>
  <si>
    <t>Q7Z2E3-7_APTX</t>
  </si>
  <si>
    <t>Q7Z2K6_ERMP1</t>
  </si>
  <si>
    <t>Q7Z2K8_GPRIN1</t>
  </si>
  <si>
    <t>Q7Z2T5_TRMT1L</t>
  </si>
  <si>
    <t>Q7Z2W4_ZC3HAV1</t>
  </si>
  <si>
    <t>Q7Z2Z2_EFTUD1</t>
  </si>
  <si>
    <t>Q7Z309_FAM122B</t>
  </si>
  <si>
    <t>Q7Z392_TRAPPC11</t>
  </si>
  <si>
    <t>Q7Z3C6-2_ATG9A</t>
  </si>
  <si>
    <t>Q7Z3D4_LYSMD3</t>
  </si>
  <si>
    <t>Q7Z3D6-2_C14orf159</t>
  </si>
  <si>
    <t>Q7Z3K3-5_POGZ</t>
  </si>
  <si>
    <t>Q7Z3T8_ZFYVE16</t>
  </si>
  <si>
    <t>Q7Z3Z2_RD3</t>
  </si>
  <si>
    <t>Q7Z403-3_TMC6</t>
  </si>
  <si>
    <t>Q7Z417_NUFIP2</t>
  </si>
  <si>
    <t>Q7Z422-2_SZRD1</t>
  </si>
  <si>
    <t>Q7Z434_MAVS</t>
  </si>
  <si>
    <t>Q7Z449_CYP2U1</t>
  </si>
  <si>
    <t>Q7Z478_DHX29</t>
  </si>
  <si>
    <t>Q7Z4G1_COMMD6</t>
  </si>
  <si>
    <t>Q7Z4G4-2_TRMT11</t>
  </si>
  <si>
    <t>Q7Z4H3_HDDC2</t>
  </si>
  <si>
    <t>Q7Z4H7-3_HAUS6</t>
  </si>
  <si>
    <t>Q7Z4Q2_HEATR3</t>
  </si>
  <si>
    <t>Q7Z4V5_HDGFRP2</t>
  </si>
  <si>
    <t>Q7Z4V5-2_HDGFRP2</t>
  </si>
  <si>
    <t>Q7Z4W1_DCXR</t>
  </si>
  <si>
    <t>Q7Z5G4_GOLGA7</t>
  </si>
  <si>
    <t>Q7Z5K2_WAPAL</t>
  </si>
  <si>
    <t>Q7Z5L9-2_IRF2BP2</t>
  </si>
  <si>
    <t>Q7Z5R6_APBB1IP</t>
  </si>
  <si>
    <t>Q7Z5W3_BCDIN3D</t>
  </si>
  <si>
    <t>Q7Z5Y7_KCTD20</t>
  </si>
  <si>
    <t>Q7Z6B0-2_CCDC91</t>
  </si>
  <si>
    <t>Q7Z6E9_RBBP6</t>
  </si>
  <si>
    <t>Q7Z6I6_ARHGAP30</t>
  </si>
  <si>
    <t>Q7Z6I8_C5orf24</t>
  </si>
  <si>
    <t>Q7Z6J8_UBE3D</t>
  </si>
  <si>
    <t>Q7Z6J9_TSEN54</t>
  </si>
  <si>
    <t>Q7Z6K3_PTAR1</t>
  </si>
  <si>
    <t>Q7Z6L1_TECPR1</t>
  </si>
  <si>
    <t>Q7Z6M1_RABEPK</t>
  </si>
  <si>
    <t>Q7Z6M2_FBXO33</t>
  </si>
  <si>
    <t>Q7Z6M4_MTERFD2</t>
  </si>
  <si>
    <t>Q7Z6V5_ADAT2</t>
  </si>
  <si>
    <t>Q7Z6Z7-2_HUWE1</t>
  </si>
  <si>
    <t>Q7Z7A3_CTU1</t>
  </si>
  <si>
    <t>Q7Z7A4-2_PXK</t>
  </si>
  <si>
    <t>Q7Z7C8_TAF8</t>
  </si>
  <si>
    <t>Q7Z7E8_UBE2Q1</t>
  </si>
  <si>
    <t>Q7Z7F0_KIAA0907</t>
  </si>
  <si>
    <t>Q7Z7H5-3_TMED4</t>
  </si>
  <si>
    <t>Q7Z7H8_MRPL10</t>
  </si>
  <si>
    <t>Q7Z7K6-3_CENPV</t>
  </si>
  <si>
    <t>Q7Z7L1_SLFN11</t>
  </si>
  <si>
    <t>Q7Z7N9_TMEM179B</t>
  </si>
  <si>
    <t>Q86SE8_NPM2</t>
  </si>
  <si>
    <t>Q86SF2_GALNT7</t>
  </si>
  <si>
    <t>Q86SK9-2_SCD5</t>
  </si>
  <si>
    <t>Q86SX6_GLRX5</t>
  </si>
  <si>
    <t>Q86SZ2_TRAPPC6B</t>
  </si>
  <si>
    <t>Q86T03_TMEM55B</t>
  </si>
  <si>
    <t>Q86TB9-4_PATL1</t>
  </si>
  <si>
    <t>Q86TI0-2_TBC1D1</t>
  </si>
  <si>
    <t>Q86TI2-2_DPP9</t>
  </si>
  <si>
    <t>Q86TM6-2_SYVN1</t>
  </si>
  <si>
    <t>Q86TN4_TRPT1</t>
  </si>
  <si>
    <t>Q86TP1_PRUNE</t>
  </si>
  <si>
    <t>Q86TU7_SETD3</t>
  </si>
  <si>
    <t>Q86TV2_LGMN</t>
  </si>
  <si>
    <t>Q86TW2-2_ADCK1</t>
  </si>
  <si>
    <t>Q86U06-4_RBM23</t>
  </si>
  <si>
    <t>Q86U28_ISCA2</t>
  </si>
  <si>
    <t>Q86U38_NOP9</t>
  </si>
  <si>
    <t>Q86U44_METTL3</t>
  </si>
  <si>
    <t>Q86U70-3_LDB1</t>
  </si>
  <si>
    <t>Q86U86-5_PBRM1</t>
  </si>
  <si>
    <t>Q86U90_YRDC</t>
  </si>
  <si>
    <t>Q86UA1_PRPF39</t>
  </si>
  <si>
    <t>Q86UA6-3_RPAIN</t>
  </si>
  <si>
    <t>Q86UE4_MTDH</t>
  </si>
  <si>
    <t>Q86UE8-2_TLK2</t>
  </si>
  <si>
    <t>Q86UF1_TSPAN33</t>
  </si>
  <si>
    <t>Q86UK7-2_ZNF598</t>
  </si>
  <si>
    <t>Q86UL3_AGPAT6</t>
  </si>
  <si>
    <t>Q86UN3_RTN4RL2</t>
  </si>
  <si>
    <t>Q86UP2_KTN1</t>
  </si>
  <si>
    <t>Q86US8_SMG6</t>
  </si>
  <si>
    <t>Q86UU0-4_BCL9L</t>
  </si>
  <si>
    <t>Q86UV5_USP48</t>
  </si>
  <si>
    <t>Q86UX3_ABCC5</t>
  </si>
  <si>
    <t>Q86UX7-2_FERMT3</t>
  </si>
  <si>
    <t>Q86UY0_TXNDC5</t>
  </si>
  <si>
    <t>Q86UY6_NAA40</t>
  </si>
  <si>
    <t>Q86UY8-2_NT5DC3</t>
  </si>
  <si>
    <t>Q86V21_AACS</t>
  </si>
  <si>
    <t>Q86V48-2_LUZP1</t>
  </si>
  <si>
    <t>Q86V59-2_PNMAL1</t>
  </si>
  <si>
    <t>Q86V85_GPR180</t>
  </si>
  <si>
    <t>Q86V87_FAM160B2</t>
  </si>
  <si>
    <t>Q86V88_MDP1</t>
  </si>
  <si>
    <t>Q86VN1-2_VPS36</t>
  </si>
  <si>
    <t>Q86VP1-2_TAX1BP1</t>
  </si>
  <si>
    <t>Q86VP6_CAND1</t>
  </si>
  <si>
    <t>Q86VQ1_GLCCI1</t>
  </si>
  <si>
    <t>Q86VQ2_WASF3</t>
  </si>
  <si>
    <t>Q86VR2_FAM134C</t>
  </si>
  <si>
    <t>Q86VS8_HOOK3</t>
  </si>
  <si>
    <t>Q86VU5_COMTD1</t>
  </si>
  <si>
    <t>Q86VW0_SESTD1</t>
  </si>
  <si>
    <t>Q86VX2-2_COMMD7</t>
  </si>
  <si>
    <t>Q86VX9_MON1A</t>
  </si>
  <si>
    <t>Q86VY4_TSPYL5</t>
  </si>
  <si>
    <t>Q86VZ1_P2RY8</t>
  </si>
  <si>
    <t>Q86W33_TPRA1</t>
  </si>
  <si>
    <t>Q86W42_THOC6</t>
  </si>
  <si>
    <t>Q86W50_METTL16</t>
  </si>
  <si>
    <t>Q86W56_PARG</t>
  </si>
  <si>
    <t>Q86WA6-2_BPHL</t>
  </si>
  <si>
    <t>Q86WA8_LONP2</t>
  </si>
  <si>
    <t>Q86WC4_OSTM1</t>
  </si>
  <si>
    <t>Q86WJ1_CHD1L</t>
  </si>
  <si>
    <t>Q86WQ0_NR2C2AP</t>
  </si>
  <si>
    <t>Q86WR0_CCDC25</t>
  </si>
  <si>
    <t>Q86WV1-2_SKAP1</t>
  </si>
  <si>
    <t>Q86WV6_TMEM173</t>
  </si>
  <si>
    <t>Q86WV7_CCDC43</t>
  </si>
  <si>
    <t>Q86WX3_RPS19BP1</t>
  </si>
  <si>
    <t>Q86X02_CDR2L</t>
  </si>
  <si>
    <t>Q86X10_RALGAPB</t>
  </si>
  <si>
    <t>Q86X53_ERICH1</t>
  </si>
  <si>
    <t>Q86X55-1_CARM1</t>
  </si>
  <si>
    <t>Q86X76-2_NIT1</t>
  </si>
  <si>
    <t>Q86X83_COMMD2</t>
  </si>
  <si>
    <t>Q86X95_CIR1</t>
  </si>
  <si>
    <t>Q86XI2_NCAPG2</t>
  </si>
  <si>
    <t>Q86XK3-3_SFR1</t>
  </si>
  <si>
    <t>Q86XP3_DDX42</t>
  </si>
  <si>
    <t>Q86XZ4_SPATS2</t>
  </si>
  <si>
    <t>Q86Y07-4_VRK2</t>
  </si>
  <si>
    <t>Q86Y37_CACUL1</t>
  </si>
  <si>
    <t>Q86Y39_NDUFA11</t>
  </si>
  <si>
    <t>Q86Y56_HEATR2</t>
  </si>
  <si>
    <t>Q86Y79_PTRH1</t>
  </si>
  <si>
    <t>Q86Y82_STX12</t>
  </si>
  <si>
    <t>Q86YC3_LRRC33</t>
  </si>
  <si>
    <t>Q86YH6_PDSS2</t>
  </si>
  <si>
    <t>Q86YM7_HOMER1</t>
  </si>
  <si>
    <t>Q86YP4_GATAD2A</t>
  </si>
  <si>
    <t>Q86YR5-4_GPSM1</t>
  </si>
  <si>
    <t>Q86YS6_RAB43</t>
  </si>
  <si>
    <t>Q86YS7_C2CD5</t>
  </si>
  <si>
    <t>Q86YT6_MIB1</t>
  </si>
  <si>
    <t>Q86YV0_RASAL3</t>
  </si>
  <si>
    <t>Q8IU81_IRF2BP1</t>
  </si>
  <si>
    <t>Q8IU85-2_CAMK1D</t>
  </si>
  <si>
    <t>Q8IUE6_HIST2H2AB</t>
  </si>
  <si>
    <t>Q8IUF8_MINA</t>
  </si>
  <si>
    <t>Q8IUH4_ZDHHC13</t>
  </si>
  <si>
    <t>Q8IUH5_ZDHHC17</t>
  </si>
  <si>
    <t>Q8IUI8_CRLF3</t>
  </si>
  <si>
    <t>Q8IUR0_TRAPPC5</t>
  </si>
  <si>
    <t>Q8IUW5_RELL1</t>
  </si>
  <si>
    <t>Q8IUX1-4_TMEM126B</t>
  </si>
  <si>
    <t>Q8IUX7_AEBP1</t>
  </si>
  <si>
    <t>Q8IUZ5_AGXT2L2</t>
  </si>
  <si>
    <t>Q8IV08_PLD3</t>
  </si>
  <si>
    <t>Q8IV38_ANKMY2</t>
  </si>
  <si>
    <t>Q8IV48_ERI1</t>
  </si>
  <si>
    <t>Q8IV50_LYSMD2</t>
  </si>
  <si>
    <t>Q8IV53-2_DENND1C</t>
  </si>
  <si>
    <t>Q8IV63-3_VRK3</t>
  </si>
  <si>
    <t>Q8IVB5_LIX1L</t>
  </si>
  <si>
    <t>Q8IVD9_NUDCD3</t>
  </si>
  <si>
    <t>Q8IVF2-3_AHNAK2</t>
  </si>
  <si>
    <t>Q8IVH4_MMAA</t>
  </si>
  <si>
    <t>Q8IVP5_FUNDC1</t>
  </si>
  <si>
    <t>Q8IVS2_MCAT</t>
  </si>
  <si>
    <t>Q8IVV7_GID4</t>
  </si>
  <si>
    <t>Q8IW19_APLF</t>
  </si>
  <si>
    <t>Q8IW45_CARKD</t>
  </si>
  <si>
    <t>Q8IWA0_WDR75</t>
  </si>
  <si>
    <t>Q8IWA4_MFN1</t>
  </si>
  <si>
    <t>Q8IWB1_ITPRIP</t>
  </si>
  <si>
    <t>Q8IWB7_WDFY1</t>
  </si>
  <si>
    <t>Q8IWD4_CCDC117</t>
  </si>
  <si>
    <t>Q8IWJ2_GCC2</t>
  </si>
  <si>
    <t>Q8IWS0_PHF6</t>
  </si>
  <si>
    <t>Q8IWT6_LRRC8A</t>
  </si>
  <si>
    <t>Q8IWV7_UBR1</t>
  </si>
  <si>
    <t>Q8IWV8_UBR2</t>
  </si>
  <si>
    <t>Q8IWW6-3_ARHGAP12</t>
  </si>
  <si>
    <t>Q8IWY9_CDAN1</t>
  </si>
  <si>
    <t>Q8IWZ3-6_ANKHD1</t>
  </si>
  <si>
    <t>Q8IWZ8_SUGP1</t>
  </si>
  <si>
    <t>Q8IX12-2_CCAR1</t>
  </si>
  <si>
    <t>Q8IX18-3_DHX40</t>
  </si>
  <si>
    <t>Q8IX90_SKA3</t>
  </si>
  <si>
    <t>Q8IXB1_DNAJC10</t>
  </si>
  <si>
    <t>Q8IXI1_RHOT2</t>
  </si>
  <si>
    <t>Q8IXI2-2_RHOT1</t>
  </si>
  <si>
    <t>Q8IXJ6-2_SIRT2</t>
  </si>
  <si>
    <t>Q8IXK2_GALNT12</t>
  </si>
  <si>
    <t>Q8IXM6_NRM</t>
  </si>
  <si>
    <t>Q8IXN7_RIMKLA</t>
  </si>
  <si>
    <t>Q8IXQ3_C9orf40</t>
  </si>
  <si>
    <t>Q8IXQ4_KIAA1704</t>
  </si>
  <si>
    <t>Q8IXQ5-2_KLHL7</t>
  </si>
  <si>
    <t>Q8IXQ6-2_PARP9</t>
  </si>
  <si>
    <t>Q8IXT5_RBM12B</t>
  </si>
  <si>
    <t>Q8IY17-2_PNPLA6</t>
  </si>
  <si>
    <t>Q8IY18_SMC5</t>
  </si>
  <si>
    <t>Q8IY21_DDX60</t>
  </si>
  <si>
    <t>Q8IY26_PPAPDC2</t>
  </si>
  <si>
    <t>Q8IY37_DHX37</t>
  </si>
  <si>
    <t>Q8IY47_KBTBD2</t>
  </si>
  <si>
    <t>Q8IY95-2_TMEM192</t>
  </si>
  <si>
    <t>Q8IYB1_MB21D2</t>
  </si>
  <si>
    <t>Q8IYB5-3_SMAP1</t>
  </si>
  <si>
    <t>Q8IYB7_DIS3L2</t>
  </si>
  <si>
    <t>Q8IYB8_SUPV3L1</t>
  </si>
  <si>
    <t>Q8IYD1_GSPT2</t>
  </si>
  <si>
    <t>Q8IYH5-4_ZZZ3</t>
  </si>
  <si>
    <t>Q8IYI6_EXOC8</t>
  </si>
  <si>
    <t>Q8IYJ3_SYTL1</t>
  </si>
  <si>
    <t>Q8IYL3_C1orf174</t>
  </si>
  <si>
    <t>Q8IYN2_TCEAL8</t>
  </si>
  <si>
    <t>Q8IYQ7_THNSL1</t>
  </si>
  <si>
    <t>Q8IYS1_PM20D2</t>
  </si>
  <si>
    <t>Q8IYS2_KIAA2013</t>
  </si>
  <si>
    <t>Q8IYT2_FTSJD1</t>
  </si>
  <si>
    <t>Q8IYU8_MICU2</t>
  </si>
  <si>
    <t>Q8IYW5_RNF168</t>
  </si>
  <si>
    <t>Q8IZ07_ANKRD13A</t>
  </si>
  <si>
    <t>Q8IZ21-3_PHACTR4</t>
  </si>
  <si>
    <t>Q8IZ40_RCOR2</t>
  </si>
  <si>
    <t>Q8IZ68_MTX2</t>
  </si>
  <si>
    <t>Q8IZ73_RPUSD2</t>
  </si>
  <si>
    <t>Q8IZ81_ELMOD2</t>
  </si>
  <si>
    <t>Q8IZ83_ALDH16A1</t>
  </si>
  <si>
    <t>Q8IZD4_DCP1B</t>
  </si>
  <si>
    <t>Q8IZE3-2_SCYL3</t>
  </si>
  <si>
    <t>Q8IZH2-2_XRN1</t>
  </si>
  <si>
    <t>Q8IZQ5_SELH</t>
  </si>
  <si>
    <t>Q8IZR5-3_CMTM4</t>
  </si>
  <si>
    <t>Q8N0T1_C8orf59</t>
  </si>
  <si>
    <t>Q8N0U8_VKORC1L1</t>
  </si>
  <si>
    <t>Q8N0V3_RBFA</t>
  </si>
  <si>
    <t>Q8N0W3_FUK</t>
  </si>
  <si>
    <t>Q8N0X4_CLYBL</t>
  </si>
  <si>
    <t>Q8N0Y7_PGAM4</t>
  </si>
  <si>
    <t>Q8N0Z6_TTC5</t>
  </si>
  <si>
    <t>Q8N108-17_MIER1</t>
  </si>
  <si>
    <t>Q8N122_RPTOR</t>
  </si>
  <si>
    <t>Q8N129_CNPY4</t>
  </si>
  <si>
    <t>Q8N163_KIAA1967</t>
  </si>
  <si>
    <t>Q8N183_NDUFAF2</t>
  </si>
  <si>
    <t>Q8N1B4_VPS52</t>
  </si>
  <si>
    <t>Q8N1F7_NUP93</t>
  </si>
  <si>
    <t>Q8N1G2_FTSJD2</t>
  </si>
  <si>
    <t>Q8N1G4_LRRC47</t>
  </si>
  <si>
    <t>Q8N1K5_THEMIS</t>
  </si>
  <si>
    <t>Q8N1S5-2_SLC39A11</t>
  </si>
  <si>
    <t>Q8N201_INTS1</t>
  </si>
  <si>
    <t>Q8N2F6-3_ARMC10</t>
  </si>
  <si>
    <t>Q8N2G8-3_GHDC</t>
  </si>
  <si>
    <t>Q8N2K0_ABHD12</t>
  </si>
  <si>
    <t>Q8N2W9_PIAS4</t>
  </si>
  <si>
    <t>Q8N2Z9_APITD1</t>
  </si>
  <si>
    <t>Q8N300_CCDC23</t>
  </si>
  <si>
    <t>Q8N302_AGGF1</t>
  </si>
  <si>
    <t>Q8N335_GPD1L</t>
  </si>
  <si>
    <t>Q8N344_MIER2</t>
  </si>
  <si>
    <t>Q8N357_SLC35F6</t>
  </si>
  <si>
    <t>Q8N371_KDM8</t>
  </si>
  <si>
    <t>Q8N3D4_EHBP1L1</t>
  </si>
  <si>
    <t>Q8N3F8_MICALL1</t>
  </si>
  <si>
    <t>Q8N3X1_FNBP4</t>
  </si>
  <si>
    <t>Q8N3Z3_GTPBP8</t>
  </si>
  <si>
    <t>Q8N442_GUF1</t>
  </si>
  <si>
    <t>Q8N465_D2HGDH</t>
  </si>
  <si>
    <t>Q8N488_RYBP</t>
  </si>
  <si>
    <t>Q8N490_PNKD</t>
  </si>
  <si>
    <t>Q8N490-2_PNKD</t>
  </si>
  <si>
    <t>Q8N4C8-5_MINK1</t>
  </si>
  <si>
    <t>Q8N4H5_TOMM5</t>
  </si>
  <si>
    <t>Q8N4P3_HDDC3</t>
  </si>
  <si>
    <t>Q8N4Q0_ZADH2</t>
  </si>
  <si>
    <t>Q8N4Q1_CHCHD4</t>
  </si>
  <si>
    <t>Q8N4T8_CBR4</t>
  </si>
  <si>
    <t>Q8N4V1_MMGT1</t>
  </si>
  <si>
    <t>Q8N543_OGFOD1</t>
  </si>
  <si>
    <t>Q8N567_ZCCHC9</t>
  </si>
  <si>
    <t>Q8N573-2_OXR1</t>
  </si>
  <si>
    <t>Q8N584-2_TTC39C</t>
  </si>
  <si>
    <t>Q8N5A5-2_ZGPAT</t>
  </si>
  <si>
    <t>Q8N5C7_DTWD1</t>
  </si>
  <si>
    <t>Q8N5F7_NKAP</t>
  </si>
  <si>
    <t>Q8N5G0-2_SMIM20</t>
  </si>
  <si>
    <t>Q8N5G2_TMEM57</t>
  </si>
  <si>
    <t>Q8N5I4_DHRSX</t>
  </si>
  <si>
    <t>Q8N5I9_C12orf45</t>
  </si>
  <si>
    <t>Q8N5K1_CISD2</t>
  </si>
  <si>
    <t>Q8N5L8_RPP25L</t>
  </si>
  <si>
    <t>Q8N5M1_ATPAF2</t>
  </si>
  <si>
    <t>Q8N5M9_JAGN1</t>
  </si>
  <si>
    <t>Q8N5N7_MRPL50</t>
  </si>
  <si>
    <t>Q8N5P1_ZC3H8</t>
  </si>
  <si>
    <t>Q8N5Y8_PARP16</t>
  </si>
  <si>
    <t>Q8N5Z5-2_KCTD17</t>
  </si>
  <si>
    <t>Q8N608-4_DPP10</t>
  </si>
  <si>
    <t>Q8N668_COMMD1</t>
  </si>
  <si>
    <t>Q8N684_CPSF7</t>
  </si>
  <si>
    <t>Q8N697_SLC15A4</t>
  </si>
  <si>
    <t>Q8N6H7_ARFGAP2</t>
  </si>
  <si>
    <t>Q8N6M0_OTUD6B</t>
  </si>
  <si>
    <t>Q8N6N3_C1orf52</t>
  </si>
  <si>
    <t>Q8N6N7_ACBD7</t>
  </si>
  <si>
    <t>Q8N6Q8_METTL25</t>
  </si>
  <si>
    <t>Q8N6S5_ARL6IP6</t>
  </si>
  <si>
    <t>Q8N6T3_ARFGAP1</t>
  </si>
  <si>
    <t>Q8N6T7_SIRT6</t>
  </si>
  <si>
    <t>Q8N766-3_EMC1</t>
  </si>
  <si>
    <t>Q8N806_UBR7</t>
  </si>
  <si>
    <t>Q8N8A6_DDX51</t>
  </si>
  <si>
    <t>Q8N8J7_C4orf32</t>
  </si>
  <si>
    <t>Q8N8R3_SLC25A29</t>
  </si>
  <si>
    <t>Q8N8R5_C2orf69</t>
  </si>
  <si>
    <t>Q8N8S7-2_ENAH</t>
  </si>
  <si>
    <t>Q8N8Y2_ATP6V0D2</t>
  </si>
  <si>
    <t>Q8N8Z6-2_DCBLD1</t>
  </si>
  <si>
    <t>Q8N954_GPATCH11</t>
  </si>
  <si>
    <t>Q8N999_C12orf29</t>
  </si>
  <si>
    <t>Q8N9A8-2_CNEP1R1</t>
  </si>
  <si>
    <t>Q8N9F7_GDPD1</t>
  </si>
  <si>
    <t>Q8N9M1_C19orf47</t>
  </si>
  <si>
    <t>Q8N9M5_TMEM102</t>
  </si>
  <si>
    <t>Q8N9N7_LRRC57</t>
  </si>
  <si>
    <t>Q8N9N8_EIF1AD</t>
  </si>
  <si>
    <t>Q8N9Q2_SREK1IP1</t>
  </si>
  <si>
    <t>Q8N9R8_SCAI</t>
  </si>
  <si>
    <t>Q8N9V3-2_WDSUB1</t>
  </si>
  <si>
    <t>Q8NAF0_ZNF579</t>
  </si>
  <si>
    <t>Q8NAV1_PRPF38A</t>
  </si>
  <si>
    <t>Q8NB15-2_ZNF511</t>
  </si>
  <si>
    <t>Q8NB16_MLKL</t>
  </si>
  <si>
    <t>Q8NB37_PDDC1</t>
  </si>
  <si>
    <t>Q8NB42-2_ZNF527</t>
  </si>
  <si>
    <t>Q8NB46_ANKRD52</t>
  </si>
  <si>
    <t>Q8NB49-3_ATP11C</t>
  </si>
  <si>
    <t>Q8NB90_SPATA5</t>
  </si>
  <si>
    <t>Q8NBA8_DTWD2</t>
  </si>
  <si>
    <t>Q8NBF2_NHLRC2</t>
  </si>
  <si>
    <t>Q8NBF6_AVL9</t>
  </si>
  <si>
    <t>Q8NBI6_XXYLT1</t>
  </si>
  <si>
    <t>Q8NBJ4-2_GOLM1</t>
  </si>
  <si>
    <t>Q8NBJ5_COLGALT1</t>
  </si>
  <si>
    <t>Q8NBK3-4_SUMF1</t>
  </si>
  <si>
    <t>Q8NBL1_POGLUT1</t>
  </si>
  <si>
    <t>Q8NBM4-4_UBAC2</t>
  </si>
  <si>
    <t>Q8NBM8_PCYOX1L</t>
  </si>
  <si>
    <t>Q8NBN3_TMEM87A</t>
  </si>
  <si>
    <t>Q8NBP0_TTC13</t>
  </si>
  <si>
    <t>Q8NBU5_ATAD1</t>
  </si>
  <si>
    <t>Q8NBX0_SCCPDH</t>
  </si>
  <si>
    <t>Q8NBZ0_INO80E</t>
  </si>
  <si>
    <t>Q8NBZ7_UXS1</t>
  </si>
  <si>
    <t>Q8NC51_SERBP1</t>
  </si>
  <si>
    <t>Q8NC56_LEMD2</t>
  </si>
  <si>
    <t>Q8NC60_NOA1</t>
  </si>
  <si>
    <t>Q8NC96_NECAP1</t>
  </si>
  <si>
    <t>Q8NCA5-2_FAM98A</t>
  </si>
  <si>
    <t>Q8NCC3_PLA2G15</t>
  </si>
  <si>
    <t>Q8NCE2-2_MTMR14</t>
  </si>
  <si>
    <t>Q8NCF5_NFATC2IP</t>
  </si>
  <si>
    <t>Q8NCG7-4_DAGLB</t>
  </si>
  <si>
    <t>Q8NCN4_RNF169</t>
  </si>
  <si>
    <t>Q8NCN5_PDPR</t>
  </si>
  <si>
    <t>Q8NCW5_APOA1BP</t>
  </si>
  <si>
    <t>Q8ND04_SMG8</t>
  </si>
  <si>
    <t>Q8ND24_RNF214</t>
  </si>
  <si>
    <t>Q8ND25_ZNRF1</t>
  </si>
  <si>
    <t>Q8ND30_PPFIBP2</t>
  </si>
  <si>
    <t>Q8ND56-2_LSM14A</t>
  </si>
  <si>
    <t>Q8ND76-3_CCNY</t>
  </si>
  <si>
    <t>Q8NDC0_MAPK1IP1L</t>
  </si>
  <si>
    <t>Q8NDD1-2_C1orf131</t>
  </si>
  <si>
    <t>Q8NDD1-3_C1orf131</t>
  </si>
  <si>
    <t>Q8NDI1-3_EHBP1</t>
  </si>
  <si>
    <t>Q8NDT2_RBM15B</t>
  </si>
  <si>
    <t>Q8NDV3-2_SMC1B</t>
  </si>
  <si>
    <t>Q8NDZ4_C3orf58</t>
  </si>
  <si>
    <t>Q8NE01_CNNM3</t>
  </si>
  <si>
    <t>Q8NE71_ABCF1</t>
  </si>
  <si>
    <t>Q8NE86-3_MCU</t>
  </si>
  <si>
    <t>Q8NEB9_PIK3C3</t>
  </si>
  <si>
    <t>Q8NEC7_GSTCD</t>
  </si>
  <si>
    <t>Q8NEF9_SRFBP1</t>
  </si>
  <si>
    <t>Q8NEL9-2_DDHD1</t>
  </si>
  <si>
    <t>Q8NEM2_SHCBP1</t>
  </si>
  <si>
    <t>Q8NEN9_PDZD8</t>
  </si>
  <si>
    <t>Q8NEW0_SLC30A7</t>
  </si>
  <si>
    <t>Q8NEZ2-2_VPS37A</t>
  </si>
  <si>
    <t>Q8NEZ4_MLL3</t>
  </si>
  <si>
    <t>Q8NEZ5_FBXO22</t>
  </si>
  <si>
    <t>Q8NF37_LPCAT1</t>
  </si>
  <si>
    <t>Q8NFC6_BOD1L1</t>
  </si>
  <si>
    <t>Q8NFF5-2_FLAD1</t>
  </si>
  <si>
    <t>Q8NFG4_FLCN</t>
  </si>
  <si>
    <t>Q8NFH3_NUP43</t>
  </si>
  <si>
    <t>Q8NFH4_NUP37</t>
  </si>
  <si>
    <t>Q8NFI3_ENGASE</t>
  </si>
  <si>
    <t>Q8NFQ8_TOR1AIP2</t>
  </si>
  <si>
    <t>Q8NFU3_TSTD1</t>
  </si>
  <si>
    <t>Q8NFU3-4_TSTD1</t>
  </si>
  <si>
    <t>Q8NFU5_IPMK</t>
  </si>
  <si>
    <t>Q8NFV4-4_ABHD11</t>
  </si>
  <si>
    <t>Q8NFW8_CMAS</t>
  </si>
  <si>
    <t>Q8NFY9_KBTBD8</t>
  </si>
  <si>
    <t>Q8NFZ8_CADM4</t>
  </si>
  <si>
    <t>Q8NG11-2_TSPAN14</t>
  </si>
  <si>
    <t>Q8NG68_TTL</t>
  </si>
  <si>
    <t>Q8NHG7_SVIP</t>
  </si>
  <si>
    <t>Q8NHG8_ZNRF2</t>
  </si>
  <si>
    <t>Q8NHP6_MOSPD2</t>
  </si>
  <si>
    <t>Q8NHP8_PLBD2</t>
  </si>
  <si>
    <t>Q8NHQ9_DDX55</t>
  </si>
  <si>
    <t>Q8NHU6_TDRD7</t>
  </si>
  <si>
    <t>Q8NHV1_GIMAP7</t>
  </si>
  <si>
    <t>Q8NHV4_NEDD1</t>
  </si>
  <si>
    <t>Q8NHZ8_CDC26</t>
  </si>
  <si>
    <t>Q8NI08-2_NCOA7</t>
  </si>
  <si>
    <t>Q8NI22-2_MCFD2</t>
  </si>
  <si>
    <t>Q8NI27_THOC2</t>
  </si>
  <si>
    <t>Q8NI36_WDR36</t>
  </si>
  <si>
    <t>Q8NI37_PPTC7</t>
  </si>
  <si>
    <t>Q8TA86_RP9</t>
  </si>
  <si>
    <t>Q8TAA3-5_PSMA8</t>
  </si>
  <si>
    <t>Q8TAA5_GRPEL2</t>
  </si>
  <si>
    <t>Q8TAA9-2_VANGL1</t>
  </si>
  <si>
    <t>Q8TAC1_RFESD</t>
  </si>
  <si>
    <t>Q8TAD8_SNIP1</t>
  </si>
  <si>
    <t>Q8TAE8_GADD45GIP1</t>
  </si>
  <si>
    <t>Q8TAF3_WDR48</t>
  </si>
  <si>
    <t>Q8TAP6_CEP76</t>
  </si>
  <si>
    <t>Q8TAP8_PPP1R35</t>
  </si>
  <si>
    <t>Q8TAQ2_SMARCC2</t>
  </si>
  <si>
    <t>Q8TAT6_NPLOC4</t>
  </si>
  <si>
    <t>Q8TAV0_FAM76A</t>
  </si>
  <si>
    <t>Q8TAY7_FAM110D</t>
  </si>
  <si>
    <t>Q8TB03_CXorf38</t>
  </si>
  <si>
    <t>Q8TB36_GDAP1</t>
  </si>
  <si>
    <t>Q8TB37_NUBPL</t>
  </si>
  <si>
    <t>Q8TB61-3_SLC35B2</t>
  </si>
  <si>
    <t>Q8TB72-3_PUM2</t>
  </si>
  <si>
    <t>Q8TB96_ITFG1</t>
  </si>
  <si>
    <t>Q8TBA6-2_GOLGA5</t>
  </si>
  <si>
    <t>Q8TBB5-3_KLHDC4</t>
  </si>
  <si>
    <t>Q8TBC4_UBA3</t>
  </si>
  <si>
    <t>Q8TBE9_NANP</t>
  </si>
  <si>
    <t>Q8TBF4_ZCRB1</t>
  </si>
  <si>
    <t>Q8TBM8_DNAJB14</t>
  </si>
  <si>
    <t>Q8TBN0_RAB3IL1</t>
  </si>
  <si>
    <t>Q8TBP6_SLC25A40</t>
  </si>
  <si>
    <t>Q8TBQ9_TMEM167A</t>
  </si>
  <si>
    <t>Q8TBX8_PIP4K2C</t>
  </si>
  <si>
    <t>Q8TBZ3_WDR20</t>
  </si>
  <si>
    <t>Q8TBZ6_TRMT10A</t>
  </si>
  <si>
    <t>Q8TC07-2_TBC1D15</t>
  </si>
  <si>
    <t>Q8TC12_RDH11</t>
  </si>
  <si>
    <t>Q8TC24_SEC61A2</t>
  </si>
  <si>
    <t>Q8TCA0_LRRC20</t>
  </si>
  <si>
    <t>Q8TCD1_C18orf32</t>
  </si>
  <si>
    <t>Q8TCD5_NT5C</t>
  </si>
  <si>
    <t>Q8TCE6-2_FAM45A</t>
  </si>
  <si>
    <t>Q8TCG1_KIAA1524</t>
  </si>
  <si>
    <t>Q8TCG2_PI4K2B</t>
  </si>
  <si>
    <t>Q8TCJ2_STT3B</t>
  </si>
  <si>
    <t>Q8TCS8_PNPT1</t>
  </si>
  <si>
    <t>Q8TCT7-4_SPPL2B</t>
  </si>
  <si>
    <t>Q8TCT8_SPPL2A</t>
  </si>
  <si>
    <t>Q8TCT9-5_HM13</t>
  </si>
  <si>
    <t>Q8TCZ2-6_CD99L2</t>
  </si>
  <si>
    <t>Q8TD08-2_MAPK15</t>
  </si>
  <si>
    <t>Q8TD16-2_BICD2</t>
  </si>
  <si>
    <t>Q8TD19_NEK9</t>
  </si>
  <si>
    <t>Q8TD30_GPT2</t>
  </si>
  <si>
    <t>Q8TD55-2_PLEKHO2</t>
  </si>
  <si>
    <t>Q8TDB6_DTX3L</t>
  </si>
  <si>
    <t>Q8TDD1_DDX54</t>
  </si>
  <si>
    <t>Q8TDH9_BLOC1S5</t>
  </si>
  <si>
    <t>Q8TDI0_CHD5</t>
  </si>
  <si>
    <t>Q8TDQ7_GNPDA2</t>
  </si>
  <si>
    <t>Q8TDW0_LRRC8C</t>
  </si>
  <si>
    <t>Q8TDX7_NEK7</t>
  </si>
  <si>
    <t>Q8TDY2-2_RB1CC1</t>
  </si>
  <si>
    <t>Q8TDZ2_MICAL1</t>
  </si>
  <si>
    <t>Q8TE04-2_PANK1</t>
  </si>
  <si>
    <t>Q8TEA1_NSUN6</t>
  </si>
  <si>
    <t>Q8TEA8_DTD1</t>
  </si>
  <si>
    <t>Q8TEB1-2_DCAF11</t>
  </si>
  <si>
    <t>Q8TED0_UTP15</t>
  </si>
  <si>
    <t>Q8TEH3_DENND1A</t>
  </si>
  <si>
    <t>Q8TEM1_NUP210</t>
  </si>
  <si>
    <t>Q8TEQ0-2_SNX29</t>
  </si>
  <si>
    <t>Q8TEQ6_GEMIN5</t>
  </si>
  <si>
    <t>Q8TEW0-7_PARD3</t>
  </si>
  <si>
    <t>Q8TEX9_IPO4</t>
  </si>
  <si>
    <t>Q8TF01_PNISR</t>
  </si>
  <si>
    <t>Q8TF05-2_PPP4R1</t>
  </si>
  <si>
    <t>Q8TF42_UBASH3B</t>
  </si>
  <si>
    <t>Q8TF71_SLC16A10</t>
  </si>
  <si>
    <t>Q8TF74_WIPF2</t>
  </si>
  <si>
    <t>Q8WTS1_ABHD5</t>
  </si>
  <si>
    <t>Q8WTS6_SETD7</t>
  </si>
  <si>
    <t>Q8WTW3_COG1</t>
  </si>
  <si>
    <t>Q8WU10_PYROXD1</t>
  </si>
  <si>
    <t>Q8WU39_MZB1</t>
  </si>
  <si>
    <t>Q8WU76-2_SCFD2</t>
  </si>
  <si>
    <t>Q8WU79_SMAP2</t>
  </si>
  <si>
    <t>Q8WU90_ZC3H15</t>
  </si>
  <si>
    <t>Q8WUA2_PPIL4</t>
  </si>
  <si>
    <t>Q8WUA4_GTF3C2</t>
  </si>
  <si>
    <t>Q8WUA8_TSKU</t>
  </si>
  <si>
    <t>Q8WUB8-3_PHF10</t>
  </si>
  <si>
    <t>Q8WUD1_RAB2B</t>
  </si>
  <si>
    <t>Q8WUF5_PPP1R13L</t>
  </si>
  <si>
    <t>Q8WUF8-3_FAM172A</t>
  </si>
  <si>
    <t>Q8WUH1_CHURC1</t>
  </si>
  <si>
    <t>Q8WUH2_TGFBRAP1</t>
  </si>
  <si>
    <t>Q8WUH6_C12orf23</t>
  </si>
  <si>
    <t>Q8WUI4-3_HDAC7</t>
  </si>
  <si>
    <t>Q8WUJ0_STYX</t>
  </si>
  <si>
    <t>Q8WUK0_PTPMT1</t>
  </si>
  <si>
    <t>Q8WUM0_NUP133</t>
  </si>
  <si>
    <t>Q8WUM4_PDCD6IP</t>
  </si>
  <si>
    <t>Q8WUM9_SLC20A1</t>
  </si>
  <si>
    <t>Q8WUN7_UBTD2</t>
  </si>
  <si>
    <t>Q8WUR7_C15orf40</t>
  </si>
  <si>
    <t>Q8WUX2_CHAC2</t>
  </si>
  <si>
    <t>Q8WUX9_CHMP7</t>
  </si>
  <si>
    <t>Q8WUY1_THEM6</t>
  </si>
  <si>
    <t>Q8WUY8_NAT14</t>
  </si>
  <si>
    <t>Q8WV22_NSMCE1</t>
  </si>
  <si>
    <t>Q8WV74_NUDT8</t>
  </si>
  <si>
    <t>Q8WV92_MITD1</t>
  </si>
  <si>
    <t>Q8WVB6_CHTF18</t>
  </si>
  <si>
    <t>Q8WVC0_LEO1</t>
  </si>
  <si>
    <t>Q8WVD3_RNF138</t>
  </si>
  <si>
    <t>Q8WVE0_N6AMT2</t>
  </si>
  <si>
    <t>Q8WVJ2_NUDCD2</t>
  </si>
  <si>
    <t>Q8WVK2_SNRNP27</t>
  </si>
  <si>
    <t>Q8WVK7_SKA2</t>
  </si>
  <si>
    <t>Q8WVL7_ANKRD49</t>
  </si>
  <si>
    <t>Q8WVM0_TFB1M</t>
  </si>
  <si>
    <t>Q8WVM8_SCFD1</t>
  </si>
  <si>
    <t>Q8WVQ1_CANT1</t>
  </si>
  <si>
    <t>Q8WVT3_TRAPPC12</t>
  </si>
  <si>
    <t>Q8WVX9_FAR1</t>
  </si>
  <si>
    <t>Q8WVY7_UBLCP1</t>
  </si>
  <si>
    <t>Q8WVZ9_KBTBD7</t>
  </si>
  <si>
    <t>Q8WW01_TSEN15</t>
  </si>
  <si>
    <t>Q8WW12_PCNP</t>
  </si>
  <si>
    <t>Q8WW59_SPRYD4</t>
  </si>
  <si>
    <t>Q8WWB7-2_C1orf85</t>
  </si>
  <si>
    <t>Q8WWC4_C2orf47</t>
  </si>
  <si>
    <t>Q8WWH5_TRUB1</t>
  </si>
  <si>
    <t>Q8WWI5_SLC44A1</t>
  </si>
  <si>
    <t>Q8WWK9-5_CKAP2</t>
  </si>
  <si>
    <t>Q8WWM7_ATXN2L</t>
  </si>
  <si>
    <t>Q8WWP7_GIMAP1</t>
  </si>
  <si>
    <t>Q8WWV3_RTN4IP1</t>
  </si>
  <si>
    <t>Q8WWW0-2_RASSF5</t>
  </si>
  <si>
    <t>Q8WWX9_SELM</t>
  </si>
  <si>
    <t>Q8WWY3_PRPF31</t>
  </si>
  <si>
    <t>Q8WX92_NELFB</t>
  </si>
  <si>
    <t>Q8WX93-3_PALLD</t>
  </si>
  <si>
    <t>Q8WXA9-2_SREK1</t>
  </si>
  <si>
    <t>Q8WXD5_GEMIN6</t>
  </si>
  <si>
    <t>Q8WXE0_CASKIN2</t>
  </si>
  <si>
    <t>Q8WXE1-5_ATRIP</t>
  </si>
  <si>
    <t>Q8WXF1_PSPC1</t>
  </si>
  <si>
    <t>Q8WXH0_SYNE2</t>
  </si>
  <si>
    <t>Q8WXI9_GATAD2B</t>
  </si>
  <si>
    <t>Q8WXX0_DNAH7</t>
  </si>
  <si>
    <t>Q8WXX5_DNAJC9</t>
  </si>
  <si>
    <t>Q8WY22_BRI3BP</t>
  </si>
  <si>
    <t>Q8WY54-2_PPM1E</t>
  </si>
  <si>
    <t>Q8WY91_THAP4</t>
  </si>
  <si>
    <t>Q8WYA6_CTNNBL1</t>
  </si>
  <si>
    <t>Q8WYQ5-3_DGCR8</t>
  </si>
  <si>
    <t>Q8WYQ7_LGALS9</t>
  </si>
  <si>
    <t>Q8WZ82_OVCA2</t>
  </si>
  <si>
    <t>Q8WZA0_LZIC</t>
  </si>
  <si>
    <t>Q8WZA9_IRGQ</t>
  </si>
  <si>
    <t>Q92466_DDB2</t>
  </si>
  <si>
    <t>Q92482-2_AQP3</t>
  </si>
  <si>
    <t>Q92499_DDX1</t>
  </si>
  <si>
    <t>Q92503-3_SEC14L1</t>
  </si>
  <si>
    <t>Q92504_SLC39A7</t>
  </si>
  <si>
    <t>Q92506_HSD17B8</t>
  </si>
  <si>
    <t>Q92508_PIEZO1</t>
  </si>
  <si>
    <t>Q92520_FAM3C</t>
  </si>
  <si>
    <t>Q92522_H1FX</t>
  </si>
  <si>
    <t>Q92526_CCT6B</t>
  </si>
  <si>
    <t>Q92536_SLC7A6</t>
  </si>
  <si>
    <t>Q92538_GBF1</t>
  </si>
  <si>
    <t>Q92541_RTF1</t>
  </si>
  <si>
    <t>Q92544_TM9SF4</t>
  </si>
  <si>
    <t>Q92546_RGP1</t>
  </si>
  <si>
    <t>Q92547_TOPBP1</t>
  </si>
  <si>
    <t>Q92551_IP6K1</t>
  </si>
  <si>
    <t>Q92552_MRPS27</t>
  </si>
  <si>
    <t>Q92556_ELMO1</t>
  </si>
  <si>
    <t>Q92558_WASF1</t>
  </si>
  <si>
    <t>Q92572_AP3S1</t>
  </si>
  <si>
    <t>Q92575_UBXN4</t>
  </si>
  <si>
    <t>Q92576-2_PHF3</t>
  </si>
  <si>
    <t>Q92581-2_SLC9A6</t>
  </si>
  <si>
    <t>Q92585_MAML1</t>
  </si>
  <si>
    <t>Q92597_NDRG1</t>
  </si>
  <si>
    <t>Q92598-2_HSPH1</t>
  </si>
  <si>
    <t>Q92600_RQCD1</t>
  </si>
  <si>
    <t>Q92604_LPGAT1</t>
  </si>
  <si>
    <t>Q92608_DOCK2</t>
  </si>
  <si>
    <t>Q92609_TBC1D5</t>
  </si>
  <si>
    <t>Q92610_ZNF592</t>
  </si>
  <si>
    <t>Q92611_EDEM1</t>
  </si>
  <si>
    <t>Q92614-2_MYO18A</t>
  </si>
  <si>
    <t>Q92615_LARP4B</t>
  </si>
  <si>
    <t>Q92616_GCN1L1</t>
  </si>
  <si>
    <t>Q92619_HMHA1</t>
  </si>
  <si>
    <t>Q92620_DHX38</t>
  </si>
  <si>
    <t>Q92621_NUP205</t>
  </si>
  <si>
    <t>Q92623_TTC9</t>
  </si>
  <si>
    <t>Q92625_ANKS1A</t>
  </si>
  <si>
    <t>Q92626_PXDN</t>
  </si>
  <si>
    <t>Q92636_NSMAF</t>
  </si>
  <si>
    <t>Q92665_MRPS31</t>
  </si>
  <si>
    <t>Q92667_AKAP1</t>
  </si>
  <si>
    <t>Q92673_SORL1</t>
  </si>
  <si>
    <t>Q92686_NRGN</t>
  </si>
  <si>
    <t>Q92688-2_ANP32B</t>
  </si>
  <si>
    <t>Q92692_PVRL2</t>
  </si>
  <si>
    <t>Q92692-2_PVRL2</t>
  </si>
  <si>
    <t>Q92696_RABGGTA</t>
  </si>
  <si>
    <t>Q92734-2_TFG</t>
  </si>
  <si>
    <t>Q92747_ARPC1A</t>
  </si>
  <si>
    <t>Q92759_GTF2H4</t>
  </si>
  <si>
    <t>Q92766_RREB1</t>
  </si>
  <si>
    <t>Q92783-2_STAM</t>
  </si>
  <si>
    <t>Q92784_DPF3</t>
  </si>
  <si>
    <t>Q92785_DPF2</t>
  </si>
  <si>
    <t>Q92793_CREBBP</t>
  </si>
  <si>
    <t>Q92797_SYMPK</t>
  </si>
  <si>
    <t>Q92804-2_TAF15</t>
  </si>
  <si>
    <t>Q92805_GOLGA1</t>
  </si>
  <si>
    <t>Q92820_GGH</t>
  </si>
  <si>
    <t>Q92828_CORO2A</t>
  </si>
  <si>
    <t>Q92834-4_RPGR</t>
  </si>
  <si>
    <t>Q92838-2_EDA</t>
  </si>
  <si>
    <t>Q92843-2_BCL2L2</t>
  </si>
  <si>
    <t>Q92844_TANK</t>
  </si>
  <si>
    <t>Q92851-4_CASP10</t>
  </si>
  <si>
    <t>Q92854_SEMA4D</t>
  </si>
  <si>
    <t>Q92859-3_NEO1</t>
  </si>
  <si>
    <t>Q92871_PMM1</t>
  </si>
  <si>
    <t>Q92878_RAD50</t>
  </si>
  <si>
    <t>Q92882_OSTF1</t>
  </si>
  <si>
    <t>Q92889_ERCC4</t>
  </si>
  <si>
    <t>Q92890_UFD1L</t>
  </si>
  <si>
    <t>Q92896_GLG1</t>
  </si>
  <si>
    <t>Q92900_UPF1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</si>
  <si>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</si>
  <si>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</si>
  <si>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</si>
  <si>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</si>
  <si>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</si>
  <si>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</si>
  <si>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</si>
  <si>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</si>
  <si>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</si>
  <si>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</si>
  <si>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</si>
  <si>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Q92994-5_BRF1</t>
  </si>
  <si>
    <t>Q92995_USP13</t>
  </si>
  <si>
    <t>Q93008-1_USP9X</t>
  </si>
  <si>
    <t>Q93015_NAT6</t>
  </si>
  <si>
    <t>Q93034_CUL5</t>
  </si>
  <si>
    <t>Q93052_LPP</t>
  </si>
  <si>
    <t>Q93084-2_ATP2A3</t>
  </si>
  <si>
    <t>Q93096_PTP4A1</t>
  </si>
  <si>
    <t>Q93100-4_PHKB</t>
  </si>
  <si>
    <t>Q969E2-2_SCAMP4</t>
  </si>
  <si>
    <t>Q969E4_TCEAL3</t>
  </si>
  <si>
    <t>Q969E8_TSR2</t>
  </si>
  <si>
    <t>Q969G3-2_SMARCE1</t>
  </si>
  <si>
    <t>Q969G6_RFK</t>
  </si>
  <si>
    <t>Q969H6_POP5</t>
  </si>
  <si>
    <t>Q969H8_C19orf10</t>
  </si>
  <si>
    <t>Q969K3_RNF34</t>
  </si>
  <si>
    <t>Q969M1_TOMM40L</t>
  </si>
  <si>
    <t>Q969M3_YIPF5</t>
  </si>
  <si>
    <t>Q969N2-5_PIGT</t>
  </si>
  <si>
    <t>Q969P0-3_IGSF8</t>
  </si>
  <si>
    <t>Q969Q0_RPL36AL</t>
  </si>
  <si>
    <t>Q969Q5_RAB24</t>
  </si>
  <si>
    <t>Q969R8_ITFG2</t>
  </si>
  <si>
    <t>Q969S3_ZNF622</t>
  </si>
  <si>
    <t>Q969S9-2_GFM2</t>
  </si>
  <si>
    <t>Q969T7-2_NT5C3B</t>
  </si>
  <si>
    <t>Q969V3-2_NCLN</t>
  </si>
  <si>
    <t>Q969V5_MUL1</t>
  </si>
  <si>
    <t>Q969X0_RILPL2</t>
  </si>
  <si>
    <t>Q969X5-2_ERGIC1</t>
  </si>
  <si>
    <t>Q969X6_CIRH1A</t>
  </si>
  <si>
    <t>Q969Y2-3_GTPBP3</t>
  </si>
  <si>
    <t>Q969Z0_TBRG4</t>
  </si>
  <si>
    <t>Q96A33_CCDC47</t>
  </si>
  <si>
    <t>Q96A47_ISL2</t>
  </si>
  <si>
    <t>Q96A49_SYAP1</t>
  </si>
  <si>
    <t>Q96A65_EXOC4</t>
  </si>
  <si>
    <t>Q96A73_KIAA1191</t>
  </si>
  <si>
    <t>Q96AB6_NTAN1</t>
  </si>
  <si>
    <t>Q96AC1_FERMT2</t>
  </si>
  <si>
    <t>Q96AE4_FUBP1</t>
  </si>
  <si>
    <t>Q96AE4-2_FUBP1</t>
  </si>
  <si>
    <t>Q96AG3_SLC25A46</t>
  </si>
  <si>
    <t>Q96AG4_LRRC59</t>
  </si>
  <si>
    <t>Q96AJ9-1_VTI1A</t>
  </si>
  <si>
    <t>Q96AP0-2_ACD</t>
  </si>
  <si>
    <t>Q96AQ6-2_PBXIP1</t>
  </si>
  <si>
    <t>Q96AQ8_MCUR1</t>
  </si>
  <si>
    <t>Q96AT1_KIAA1143</t>
  </si>
  <si>
    <t>Q96AT9_RPE</t>
  </si>
  <si>
    <t>Q96AX2-4_RAB37</t>
  </si>
  <si>
    <t>Q96B01_RAD51AP1</t>
  </si>
  <si>
    <t>Q96B23-2_C18orf25</t>
  </si>
  <si>
    <t>Q96B26_EXOSC8</t>
  </si>
  <si>
    <t>Q96B36_AKT1S1</t>
  </si>
  <si>
    <t>Q96B45_C10orf32</t>
  </si>
  <si>
    <t>Q96B49_TOMM6</t>
  </si>
  <si>
    <t>Q96B70_LENG9</t>
  </si>
  <si>
    <t>Q96B97_SH3KBP1</t>
  </si>
  <si>
    <t>Q96BD8-2_SKA1</t>
  </si>
  <si>
    <t>Q96BH1_RNF25</t>
  </si>
  <si>
    <t>Q96BI3_APH1A</t>
  </si>
  <si>
    <t>Q96BK5_PINX1</t>
  </si>
  <si>
    <t>Q96BM9_ARL8A</t>
  </si>
  <si>
    <t>Q96BN8_FAM105B</t>
  </si>
  <si>
    <t>Q96BP2_CHCHD1</t>
  </si>
  <si>
    <t>Q96BP3_PPWD1</t>
  </si>
  <si>
    <t>Q96BQ5_CCDC127</t>
  </si>
  <si>
    <t>Q96BR5_SELRC1</t>
  </si>
  <si>
    <t>Q96BT7_ALKBH8</t>
  </si>
  <si>
    <t>Q96BW1_UPRT</t>
  </si>
  <si>
    <t>Q96BW5-2_PTER</t>
  </si>
  <si>
    <t>Q96BX8_MOB3A</t>
  </si>
  <si>
    <t>Q96BZ8_LENG1</t>
  </si>
  <si>
    <t>Q96BZ9_TBC1D20</t>
  </si>
  <si>
    <t>Q96C01_FAM136A</t>
  </si>
  <si>
    <t>Q96C19_EFHD2</t>
  </si>
  <si>
    <t>Q96C36_PYCR2</t>
  </si>
  <si>
    <t>Q96C55_ZNF524</t>
  </si>
  <si>
    <t>Q96C57_C12orf43</t>
  </si>
  <si>
    <t>Q96C86_DCPS</t>
  </si>
  <si>
    <t>Q96C90_PPP1R14B</t>
  </si>
  <si>
    <t>Q96CB8_INTS12</t>
  </si>
  <si>
    <t>Q96CB9_NSUN4</t>
  </si>
  <si>
    <t>Q96CD0_FBXL8</t>
  </si>
  <si>
    <t>Q96CD2_PPCDC</t>
  </si>
  <si>
    <t>Q96CG3_TIFA</t>
  </si>
  <si>
    <t>Q96CG8-3_CTHRC1</t>
  </si>
  <si>
    <t>Q96CN7_ISOC1</t>
  </si>
  <si>
    <t>Q96CN9_GCC1</t>
  </si>
  <si>
    <t>Q96CP2_FLYWCH2</t>
  </si>
  <si>
    <t>Q96CS2_HAUS1</t>
  </si>
  <si>
    <t>Q96CS3_FAF2</t>
  </si>
  <si>
    <t>Q96CT7_CCDC124</t>
  </si>
  <si>
    <t>Q96CU9_FOXRED1</t>
  </si>
  <si>
    <t>Q96CW1-2_AP2M1</t>
  </si>
  <si>
    <t>Q96CW5_TUBGCP3</t>
  </si>
  <si>
    <t>Q96CW6_SLC7A6OS</t>
  </si>
  <si>
    <t>Q96CX2_KCTD12</t>
  </si>
  <si>
    <t>Q96CX6_LRRC58</t>
  </si>
  <si>
    <t>Q96D05_C10orf35</t>
  </si>
  <si>
    <t>Q96D31-2_ORAI1</t>
  </si>
  <si>
    <t>Q96D53_ADCK4</t>
  </si>
  <si>
    <t>Q96D71-3_REPS1</t>
  </si>
  <si>
    <t>Q96D96-4_HVCN1</t>
  </si>
  <si>
    <t>Q96DA2_RAB39B</t>
  </si>
  <si>
    <t>Q96DA6_DNAJC19</t>
  </si>
  <si>
    <t>Q96DB5_RMDN1</t>
  </si>
  <si>
    <t>Q96DC7_TMCO6</t>
  </si>
  <si>
    <t>Q96DC9_OTUB2</t>
  </si>
  <si>
    <t>Q96DE5_ANAPC16</t>
  </si>
  <si>
    <t>Q96DF8_DGCR14</t>
  </si>
  <si>
    <t>Q96DH6-2_MSI2</t>
  </si>
  <si>
    <t>Q96DI7_SNRNP40</t>
  </si>
  <si>
    <t>Q96DT6_ATG4C</t>
  </si>
  <si>
    <t>Q96DU3-2_SLAMF6</t>
  </si>
  <si>
    <t>Q96DV4_MRPL38</t>
  </si>
  <si>
    <t>Q96DX4_RSPRY1</t>
  </si>
  <si>
    <t>Q96DX7_TRIM44</t>
  </si>
  <si>
    <t>Q96DZ1_ERLEC1</t>
  </si>
  <si>
    <t>Q96E09_FAM122A</t>
  </si>
  <si>
    <t>Q96E11-3_MRRF</t>
  </si>
  <si>
    <t>Q96E14_RMI2</t>
  </si>
  <si>
    <t>Q96E40-2_C9orf9</t>
  </si>
  <si>
    <t>Q96E52_OMA1</t>
  </si>
  <si>
    <t>Q96EA4_SPDL1</t>
  </si>
  <si>
    <t>Q96EB1_ELP4</t>
  </si>
  <si>
    <t>Q96EB6_SIRT1</t>
  </si>
  <si>
    <t>Q96EC8_YIPF6</t>
  </si>
  <si>
    <t>Q96EE3_SEH1L</t>
  </si>
  <si>
    <t>Q96EH3_MALSU1</t>
  </si>
  <si>
    <t>Q96EK5_KIAA1279</t>
  </si>
  <si>
    <t>Q96EK6_GNPNAT1</t>
  </si>
  <si>
    <t>Q96EK9_KTI12</t>
  </si>
  <si>
    <t>Q96EL2_MRPS24</t>
  </si>
  <si>
    <t>Q96EL3_MRPL53</t>
  </si>
  <si>
    <t>Q96EM0_L3HYPDH</t>
  </si>
  <si>
    <t>Q96EP0_RNF31</t>
  </si>
  <si>
    <t>Q96EP5_DAZAP1</t>
  </si>
  <si>
    <t>Q96EQ0_SGTB</t>
  </si>
  <si>
    <t>Q96ER3_SAAL1</t>
  </si>
  <si>
    <t>Q96ER9_CCDC51</t>
  </si>
  <si>
    <t>Q96ES7_CCDC101</t>
  </si>
  <si>
    <t>Q96EU6-2_RRP36</t>
  </si>
  <si>
    <t>Q96EV2_RBM33</t>
  </si>
  <si>
    <t>Q96EV8-2_DTNBP1</t>
  </si>
  <si>
    <t>Q96EW2_HSPBAP1</t>
  </si>
  <si>
    <t>Q96EX1_SMIM12</t>
  </si>
  <si>
    <t>Q96EX3_WDR34</t>
  </si>
  <si>
    <t>Q96EY1_DNAJA3</t>
  </si>
  <si>
    <t>Q96EY5_MVB12A</t>
  </si>
  <si>
    <t>Q96EY7_PTCD3</t>
  </si>
  <si>
    <t>Q96EY8_MMAB</t>
  </si>
  <si>
    <t>Q96EY9_ADAT3</t>
  </si>
  <si>
    <t>Q96F15_GIMAP5</t>
  </si>
  <si>
    <t>Q96F24-2_NRBF2</t>
  </si>
  <si>
    <t>Q96F25_ALG14</t>
  </si>
  <si>
    <t>Q96F44-3_TRIM11</t>
  </si>
  <si>
    <t>Q96F63_CCDC97</t>
  </si>
  <si>
    <t>Q96F86_EDC3</t>
  </si>
  <si>
    <t>Q96FA3_PELI1</t>
  </si>
  <si>
    <t>Q96FC9-3_DDX11</t>
  </si>
  <si>
    <t>Q96FH0_MEF2BNB</t>
  </si>
  <si>
    <t>Q96FJ0_STAMBPL1</t>
  </si>
  <si>
    <t>Q96FJ2_DYNLL2</t>
  </si>
  <si>
    <t>Q96FK6_WDR89</t>
  </si>
  <si>
    <t>Q96FN4_CPNE2</t>
  </si>
  <si>
    <t>Q96FN9_DTD2</t>
  </si>
  <si>
    <t>Q96FS4_SIPA1</t>
  </si>
  <si>
    <t>Q96FV9_THOC1</t>
  </si>
  <si>
    <t>Q96FX2_DPH3</t>
  </si>
  <si>
    <t>Q96FX7_TRMT61A</t>
  </si>
  <si>
    <t>Q96FZ2_C3orf37</t>
  </si>
  <si>
    <t>Q96FZ7_CHMP6</t>
  </si>
  <si>
    <t>Q96G03_PGM2</t>
  </si>
  <si>
    <t>Q96G25_MED8</t>
  </si>
  <si>
    <t>Q96G28_CCDC104</t>
  </si>
  <si>
    <t>Q96G46_DUS3L</t>
  </si>
  <si>
    <t>Q96G61_NUDT11</t>
  </si>
  <si>
    <t>Q96G74-3_OTUD5</t>
  </si>
  <si>
    <t>Q96GA3_LTV1</t>
  </si>
  <si>
    <t>Q96GD0_PDXP</t>
  </si>
  <si>
    <t>Q96GF1_RNF185</t>
  </si>
  <si>
    <t>Q96GG9_DCUN1D1</t>
  </si>
  <si>
    <t>Q96GK7_FAHD2A</t>
  </si>
  <si>
    <t>Q96GM5_SMARCD1</t>
  </si>
  <si>
    <t>Q96GM8_TOE1</t>
  </si>
  <si>
    <t>Q96GQ7_DDX27</t>
  </si>
  <si>
    <t>Q96GS4_C17orf59</t>
  </si>
  <si>
    <t>Q96GS6_ABHD17A</t>
  </si>
  <si>
    <t>Q96GW9_MARS2</t>
  </si>
  <si>
    <t>Q96GX2_ATXN7L3B</t>
  </si>
  <si>
    <t>Q96GX5-2_MASTL</t>
  </si>
  <si>
    <t>Q96GX9_APIP</t>
  </si>
  <si>
    <t>Q96GX9-3_APIP</t>
  </si>
  <si>
    <t>Q96GY0_ZC2HC1A</t>
  </si>
  <si>
    <t>Q96GZ6-6_SLC41A3</t>
  </si>
  <si>
    <t>Q96H20_SNF8</t>
  </si>
  <si>
    <t>Q96H22-4_CENPN</t>
  </si>
  <si>
    <t>Q96H79_ZC3HAV1L</t>
  </si>
  <si>
    <t>Q96H86-2_ZNF764</t>
  </si>
  <si>
    <t>Q96HA4-4_C1orf159</t>
  </si>
  <si>
    <t>Q96HA8_WDYHV1</t>
  </si>
  <si>
    <t>Q96HC4_PDLIM5</t>
  </si>
  <si>
    <t>Q96HD1_CRELD1</t>
  </si>
  <si>
    <t>Q96HE7_ERO1L</t>
  </si>
  <si>
    <t>Q96HJ9_C7orf55</t>
  </si>
  <si>
    <t>Q96HJ9-2_C7orf55</t>
  </si>
  <si>
    <t>Q96HN2_AHCYL2</t>
  </si>
  <si>
    <t>Q96HQ2_CDKN2AIPNL</t>
  </si>
  <si>
    <t>Q96HR3_MED30</t>
  </si>
  <si>
    <t>Q96HR8-2_NAF1</t>
  </si>
  <si>
    <t>Q96HR9_REEP6</t>
  </si>
  <si>
    <t>Q96HS1_PGAM5</t>
  </si>
  <si>
    <t>Q96HW7_INTS4</t>
  </si>
  <si>
    <t>Q96HY6_DDRGK1</t>
  </si>
  <si>
    <t>Q96HY7_DHTKD1</t>
  </si>
  <si>
    <t>Q96I15_SCLY</t>
  </si>
  <si>
    <t>Q96I24_FUBP3</t>
  </si>
  <si>
    <t>Q96I25_RBM17</t>
  </si>
  <si>
    <t>Q96I36_COX14</t>
  </si>
  <si>
    <t>Q96I59_NARS2</t>
  </si>
  <si>
    <t>Q96I99_SUCLG2</t>
  </si>
  <si>
    <t>Q96IF1_AJUBA</t>
  </si>
  <si>
    <t>Q96IJ6_GMPPA</t>
  </si>
  <si>
    <t>Q96IK1_BOD1</t>
  </si>
  <si>
    <t>Q96IR2_ZNF845</t>
  </si>
  <si>
    <t>Q96IU4_ABHD14B</t>
  </si>
  <si>
    <t>Q96IV0-5_NGLY1</t>
  </si>
  <si>
    <t>Q96IX5_USMG5</t>
  </si>
  <si>
    <t>Q96IY1_NSL1</t>
  </si>
  <si>
    <t>Q96IZ0_PAWR</t>
  </si>
  <si>
    <t>Q96IZ7-2_RSRC1</t>
  </si>
  <si>
    <t>Q96J01_THOC3</t>
  </si>
  <si>
    <t>Q96J02-2_ITCH</t>
  </si>
  <si>
    <t>Q96J84-2_KIRREL</t>
  </si>
  <si>
    <t>Q96J88-2_EPSTI1</t>
  </si>
  <si>
    <t>Q96JB2_COG3</t>
  </si>
  <si>
    <t>Q96JB5_CDK5RAP3</t>
  </si>
  <si>
    <t>Q96JC1-2_VPS39</t>
  </si>
  <si>
    <t>Q96JC9_EAF1</t>
  </si>
  <si>
    <t>Q96JG6_CCDC132</t>
  </si>
  <si>
    <t>Q96JH7_VCPIP1</t>
  </si>
  <si>
    <t>Q96JJ7_TMX3</t>
  </si>
  <si>
    <t>Q96JM3_CHAMP1</t>
  </si>
  <si>
    <t>Q96JP5_ZFP91</t>
  </si>
  <si>
    <t>Q96JQ2_CLMN</t>
  </si>
  <si>
    <t>Q96JY6_PDLIM2</t>
  </si>
  <si>
    <t>Q96K19-2_RNF170</t>
  </si>
  <si>
    <t>Q96K31_C8orf76</t>
  </si>
  <si>
    <t>Q96K80_ZC3H10</t>
  </si>
  <si>
    <t>Q96KA5-2_CLPTM1L</t>
  </si>
  <si>
    <t>Q96KB5_PBK</t>
  </si>
  <si>
    <t>Q96KC8_DNAJC1</t>
  </si>
  <si>
    <t>Q96KM6_ZNF512B</t>
  </si>
  <si>
    <t>Q96KP1_EXOC2</t>
  </si>
  <si>
    <t>Q96KP4_CNDP2</t>
  </si>
  <si>
    <t>Q96KQ4_PPP1R13B</t>
  </si>
  <si>
    <t>Q96KR1_ZFR</t>
  </si>
  <si>
    <t>Q96L50_LRR1</t>
  </si>
  <si>
    <t>Q96L92-3_SNX27</t>
  </si>
  <si>
    <t>Q96L93-6_KIF16B</t>
  </si>
  <si>
    <t>Q96LA8_PRMT6</t>
  </si>
  <si>
    <t>Q96LD8_SENP8</t>
  </si>
  <si>
    <t>Q96LJ7_DHRS1</t>
  </si>
  <si>
    <t>Q96LR5_UBE2E2</t>
  </si>
  <si>
    <t>Q96LT7_C9orf72</t>
  </si>
  <si>
    <t>Q96M20-2_CNBD2</t>
  </si>
  <si>
    <t>Q96M27_PRRC1</t>
  </si>
  <si>
    <t>Q96ME1-4_FBXL18</t>
  </si>
  <si>
    <t>Q96MG7_NDNL2</t>
  </si>
  <si>
    <t>Q96MH2_HEXIM2</t>
  </si>
  <si>
    <t>Q96MH6_TMEM68</t>
  </si>
  <si>
    <t>Q96MX3_ZNF48</t>
  </si>
  <si>
    <t>Q96MX6_WDR92</t>
  </si>
  <si>
    <t>Q96N11-2_C7orf26</t>
  </si>
  <si>
    <t>Q96N16_JAKMIP1</t>
  </si>
  <si>
    <t>Q96N21-2_ENTHD2</t>
  </si>
  <si>
    <t>Q96N46_TTC14</t>
  </si>
  <si>
    <t>Q96N66-2_MBOAT7</t>
  </si>
  <si>
    <t>Q96N67-4_DOCK7</t>
  </si>
  <si>
    <t>Q96NB1_FOPNL</t>
  </si>
  <si>
    <t>Q96NB2_SFXN2</t>
  </si>
  <si>
    <t>Q96NB3_ZNF830</t>
  </si>
  <si>
    <t>Q96NC0_ZMAT2</t>
  </si>
  <si>
    <t>Q96NT0_CCDC115</t>
  </si>
  <si>
    <t>Q96NT1_NAP1L5</t>
  </si>
  <si>
    <t>Q96P11-2_NSUN5</t>
  </si>
  <si>
    <t>Q96P16_RPRD1A</t>
  </si>
  <si>
    <t>Q96P70_IPO9</t>
  </si>
  <si>
    <t>Q96PD2_DCBLD2</t>
  </si>
  <si>
    <t>Q96PE7_MCEE</t>
  </si>
  <si>
    <t>Q96PK6_RBM14</t>
  </si>
  <si>
    <t>Q96PM5_RCHY1</t>
  </si>
  <si>
    <t>Q96PU4_UHRF2</t>
  </si>
  <si>
    <t>Q96PU5-2_NEDD4L</t>
  </si>
  <si>
    <t>Q96PU8-9_QKI</t>
  </si>
  <si>
    <t>Q96PV6-2_LENG8</t>
  </si>
  <si>
    <t>Q96PZ0_PUS7</t>
  </si>
  <si>
    <t>Q96PZ2_FAM111A</t>
  </si>
  <si>
    <t>Q96Q05-3_TRAPPC9</t>
  </si>
  <si>
    <t>Q96Q11-2_TRNT1</t>
  </si>
  <si>
    <t>Q96Q45-2_TMEM237</t>
  </si>
  <si>
    <t>Q96Q83_ALKBH3</t>
  </si>
  <si>
    <t>Q96QC0_PPP1R10</t>
  </si>
  <si>
    <t>Q96QD8_SLC38A2</t>
  </si>
  <si>
    <t>Q96QE2_SLC2A13</t>
  </si>
  <si>
    <t>Q96QF0-2_RAB3IP</t>
  </si>
  <si>
    <t>Q96QK1_VPS35</t>
  </si>
  <si>
    <t>Q96QR8_PURB</t>
  </si>
  <si>
    <t>Q96QZ7-6_MAGI1</t>
  </si>
  <si>
    <t>Q96R06_SPAG5</t>
  </si>
  <si>
    <t>Q96RD7-2_PANX1</t>
  </si>
  <si>
    <t>Q96RE7_NACC1</t>
  </si>
  <si>
    <t>Q96RG2_PASK</t>
  </si>
  <si>
    <t>Q96RL7-4_VPS13A</t>
  </si>
  <si>
    <t>Q96RN5-3_MED15</t>
  </si>
  <si>
    <t>Q96RP9_GFM1</t>
  </si>
  <si>
    <t>Q96RR1_PEO1</t>
  </si>
  <si>
    <t>Q96RR4-2_CAMKK2</t>
  </si>
  <si>
    <t>Q96RS0_TGS1</t>
  </si>
  <si>
    <t>Q96RS6_NUDCD1</t>
  </si>
  <si>
    <t>Q96RT1-7_ERBB2IP</t>
  </si>
  <si>
    <t>Q96S19_C16orf13</t>
  </si>
  <si>
    <t>Q96S44_TP53RK</t>
  </si>
  <si>
    <t>Q96S52_PIGS</t>
  </si>
  <si>
    <t>Q96S55-2_WRNIP1</t>
  </si>
  <si>
    <t>Q96S59_RANBP9</t>
  </si>
  <si>
    <t>Q96S66_CLCC1</t>
  </si>
  <si>
    <t>Q96S82_UBL7</t>
  </si>
  <si>
    <t>Q96S90_LYSMD1</t>
  </si>
  <si>
    <t>Q96S94_CCNL2</t>
  </si>
  <si>
    <t>Q96S97_MYADM</t>
  </si>
  <si>
    <t>Q96S99_PLEKHF1</t>
  </si>
  <si>
    <t>Q96SB3_PPP1R9B</t>
  </si>
  <si>
    <t>Q96SB4_SRPK1</t>
  </si>
  <si>
    <t>Q96SB8_SMC6</t>
  </si>
  <si>
    <t>Q96SI9-2_STRBP</t>
  </si>
  <si>
    <t>Q96SK2-2_TMEM209</t>
  </si>
  <si>
    <t>Q96SN7_ORAI2</t>
  </si>
  <si>
    <t>Q96ST2_IWS1</t>
  </si>
  <si>
    <t>Q96ST3_SIN3A</t>
  </si>
  <si>
    <t>Q96SZ5_ADO</t>
  </si>
  <si>
    <t>Q96T37-2_RBM15</t>
  </si>
  <si>
    <t>Q96T51_RUFY1</t>
  </si>
  <si>
    <t>Q96T58_SPEN</t>
  </si>
  <si>
    <t>Q96T60_PNKP</t>
  </si>
  <si>
    <t>Q96T76_MMS19</t>
  </si>
  <si>
    <t>Q96T83_SLC9A7</t>
  </si>
  <si>
    <t>Q96T88_UHRF1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</si>
  <si>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</si>
  <si>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</si>
  <si>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</si>
  <si>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</si>
  <si>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</si>
  <si>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</si>
  <si>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</si>
  <si>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Q99442_SEC62</t>
  </si>
  <si>
    <t>Q99447_PCYT2</t>
  </si>
  <si>
    <t>Q99459_CDC5L</t>
  </si>
  <si>
    <t>Q99460_PSMD1</t>
  </si>
  <si>
    <t>Q99470_SDF2</t>
  </si>
  <si>
    <t>Q99471_PFDN5</t>
  </si>
  <si>
    <t>Q99487_PAFAH2</t>
  </si>
  <si>
    <t>Q99490-2_AGAP2</t>
  </si>
  <si>
    <t>Q99496_RNF2</t>
  </si>
  <si>
    <t>Q99497_PARK7</t>
  </si>
  <si>
    <t>Q99501_GAS2L1</t>
  </si>
  <si>
    <t>Q99519_NEU1</t>
  </si>
  <si>
    <t>Q99523_SORT1</t>
  </si>
  <si>
    <t>Q99536_VAT1</t>
  </si>
  <si>
    <t>Q99543_DNAJC2</t>
  </si>
  <si>
    <t>Q99549_MPHOSPH8</t>
  </si>
  <si>
    <t>Q99567_NUP88</t>
  </si>
  <si>
    <t>Q99570_PIK3R4</t>
  </si>
  <si>
    <t>Q99575_POP1</t>
  </si>
  <si>
    <t>Q99595_TIMM17A</t>
  </si>
  <si>
    <t>Q99598_TSNAX</t>
  </si>
  <si>
    <t>Q99608_NDN</t>
  </si>
  <si>
    <t>Q99611_SEPHS2</t>
  </si>
  <si>
    <t>Q99614_TTC1</t>
  </si>
  <si>
    <t>Q99615_DNAJC7</t>
  </si>
  <si>
    <t>Q99618_CDCA3</t>
  </si>
  <si>
    <t>Q99622_C12orf57</t>
  </si>
  <si>
    <t>Q99623_PHB2</t>
  </si>
  <si>
    <t>Q99633_PRPF18</t>
  </si>
  <si>
    <t>Q99638_RAD9A</t>
  </si>
  <si>
    <t>Q99643-5_SDHC</t>
  </si>
  <si>
    <t>Q99653_CHP1</t>
  </si>
  <si>
    <t>Q99661_KIF2C</t>
  </si>
  <si>
    <t>Q99704_DOK1</t>
  </si>
  <si>
    <t>Q99707_MTR</t>
  </si>
  <si>
    <t>Q99714_HSD17B10</t>
  </si>
  <si>
    <t>Q99719_SEPT5</t>
  </si>
  <si>
    <t>Q99720-4_SIGMAR1</t>
  </si>
  <si>
    <t>Q99733_NAP1L4</t>
  </si>
  <si>
    <t>Q99747_NAPG</t>
  </si>
  <si>
    <t>Q99757_TXN2</t>
  </si>
  <si>
    <t>Q99766_ATP5S</t>
  </si>
  <si>
    <t>Q99795_GPA33</t>
  </si>
  <si>
    <t>Q99797_MIPEP</t>
  </si>
  <si>
    <t>Q99805_TM9SF2</t>
  </si>
  <si>
    <t>Q99808_SLC29A1</t>
  </si>
  <si>
    <t>Q99816_TSG101</t>
  </si>
  <si>
    <t>Q99829_CPNE1</t>
  </si>
  <si>
    <t>Q99832_CCT7</t>
  </si>
  <si>
    <t>Q99856_ARID3A</t>
  </si>
  <si>
    <t>Q99879_HIST1H2BM</t>
  </si>
  <si>
    <t>Q99952-2_PTPN18</t>
  </si>
  <si>
    <t>Q99961_SH3GL1</t>
  </si>
  <si>
    <t>Q99963-4_SH3GL3</t>
  </si>
  <si>
    <t>Q99986_VRK1</t>
  </si>
  <si>
    <t>Q9BPU6_DPYSL5</t>
  </si>
  <si>
    <t>Q9BPW8_NIPSNAP1</t>
  </si>
  <si>
    <t>Q9BPX3_NCAPG</t>
  </si>
  <si>
    <t>Q9BPX5_ARPC5L</t>
  </si>
  <si>
    <t>Q9BPX7_C7orf25</t>
  </si>
  <si>
    <t>Q9BPZ3_PAIP2</t>
  </si>
  <si>
    <t>Q9BQ04_RBM4B</t>
  </si>
  <si>
    <t>Q9BQ39_DDX50</t>
  </si>
  <si>
    <t>Q9BQ52_ELAC2</t>
  </si>
  <si>
    <t>Q9BQ61_C19orf43</t>
  </si>
  <si>
    <t>Q9BQ67_GRWD1</t>
  </si>
  <si>
    <t>Q9BQ69_MACROD1</t>
  </si>
  <si>
    <t>Q9BQ70_TCF25</t>
  </si>
  <si>
    <t>Q9BQ95_ECSIT</t>
  </si>
  <si>
    <t>Q9BQA1_WDR77</t>
  </si>
  <si>
    <t>Q9BQA9-2_C17orf62</t>
  </si>
  <si>
    <t>Q9BQC3_DPH2</t>
  </si>
  <si>
    <t>Q9BQF6-5_SENP7</t>
  </si>
  <si>
    <t>Q9BQI0_AIF1L</t>
  </si>
  <si>
    <t>Q9BQI3-2_EIF2AK1</t>
  </si>
  <si>
    <t>Q9BQI6_ANKRD32</t>
  </si>
  <si>
    <t>Q9BQP7_MGME1</t>
  </si>
  <si>
    <t>Q9BQS8_FYCO1</t>
  </si>
  <si>
    <t>Q9BR61_ACBD6</t>
  </si>
  <si>
    <t>Q9BR76_CORO1B</t>
  </si>
  <si>
    <t>Q9BRA0-2_LSMD1</t>
  </si>
  <si>
    <t>Q9BRA2_TXNDC17</t>
  </si>
  <si>
    <t>Q9BRD0_BUD13</t>
  </si>
  <si>
    <t>Q9BRF8_CPPED1</t>
  </si>
  <si>
    <t>Q9BRG1_VPS25</t>
  </si>
  <si>
    <t>Q9BRJ2_MRPL45</t>
  </si>
  <si>
    <t>Q9BRK5_SDF4</t>
  </si>
  <si>
    <t>Q9BRL6-2_SRSF8</t>
  </si>
  <si>
    <t>Q9BRP1_PDCD2L</t>
  </si>
  <si>
    <t>Q9BRP4_PAAF1</t>
  </si>
  <si>
    <t>Q9BRP8-2_WIBG</t>
  </si>
  <si>
    <t>Q9BRR6-2_ADPGK</t>
  </si>
  <si>
    <t>Q9BRR8_GPATCH1</t>
  </si>
  <si>
    <t>Q9BRS2_RIOK1</t>
  </si>
  <si>
    <t>Q9BRT2_MNF1</t>
  </si>
  <si>
    <t>Q9BRT3_MIEN1</t>
  </si>
  <si>
    <t>Q9BRT9_GINS4</t>
  </si>
  <si>
    <t>Q9BRV8_SIKE1</t>
  </si>
  <si>
    <t>Q9BRX2_PELO</t>
  </si>
  <si>
    <t>Q9BRX5_GINS3</t>
  </si>
  <si>
    <t>Q9BRX8-2_FAM213A</t>
  </si>
  <si>
    <t>Q9BRX9_WDR83</t>
  </si>
  <si>
    <t>Q9BRZ2_TRIM56</t>
  </si>
  <si>
    <t>Q9BS26_ERP44</t>
  </si>
  <si>
    <t>Q9BSB4_ATG101</t>
  </si>
  <si>
    <t>Q9BSD7_NTPCR</t>
  </si>
  <si>
    <t>Q9BSE4_HERPUD2</t>
  </si>
  <si>
    <t>Q9BSF4_C19orf52</t>
  </si>
  <si>
    <t>Q9BSH4_TACO1</t>
  </si>
  <si>
    <t>Q9BSH5_HDHD3</t>
  </si>
  <si>
    <t>Q9BSJ5-3_C17orf80</t>
  </si>
  <si>
    <t>Q9BSJ8_ESYT1</t>
  </si>
  <si>
    <t>Q9BSK2_SLC25A33</t>
  </si>
  <si>
    <t>Q9BSL1_UBAC1</t>
  </si>
  <si>
    <t>Q9BSR8_YIPF4</t>
  </si>
  <si>
    <t>Q9BSU1_C16orf70</t>
  </si>
  <si>
    <t>Q9BSV6_TSEN34</t>
  </si>
  <si>
    <t>Q9BSW2-2_EFCAB4B</t>
  </si>
  <si>
    <t>Q9BT09_CNPY3</t>
  </si>
  <si>
    <t>Q9BT22_ALG1</t>
  </si>
  <si>
    <t>Q9BT23_LIMD2</t>
  </si>
  <si>
    <t>Q9BT25-2_HAUS8</t>
  </si>
  <si>
    <t>Q9BT30_ALKBH7</t>
  </si>
  <si>
    <t>Q9BT73_PSMG3</t>
  </si>
  <si>
    <t>Q9BT78_COPS4</t>
  </si>
  <si>
    <t>Q9BT92_TCHP</t>
  </si>
  <si>
    <t>Q9BTA9-5_WAC</t>
  </si>
  <si>
    <t>Q9BTC0_DIDO1</t>
  </si>
  <si>
    <t>Q9BTE1_DCTN5</t>
  </si>
  <si>
    <t>Q9BTE3-2_MCMBP</t>
  </si>
  <si>
    <t>Q9BTE6_AARSD1</t>
  </si>
  <si>
    <t>Q9BTE7_DCUN1D5</t>
  </si>
  <si>
    <t>Q9BTL3_FAM103A1</t>
  </si>
  <si>
    <t>Q9BTM9_URM1</t>
  </si>
  <si>
    <t>Q9BTT0_ANP32E</t>
  </si>
  <si>
    <t>Q9BTT4_MED10</t>
  </si>
  <si>
    <t>Q9BTT6_LRRC1</t>
  </si>
  <si>
    <t>Q9BTU6_PI4K2A</t>
  </si>
  <si>
    <t>Q9BTV4_TMEM43</t>
  </si>
  <si>
    <t>Q9BTV5_FSD1</t>
  </si>
  <si>
    <t>Q9BTV6_WDR85</t>
  </si>
  <si>
    <t>Q9BTV7_CABLES2</t>
  </si>
  <si>
    <t>Q9BTX1-4_TMEM48</t>
  </si>
  <si>
    <t>Q9BTX7_TTPAL</t>
  </si>
  <si>
    <t>Q9BTY7_FAM203A</t>
  </si>
  <si>
    <t>Q9BTZ2_DHRS4</t>
  </si>
  <si>
    <t>Q9BU02_THTPA</t>
  </si>
  <si>
    <t>Q9BU23-2_LMF2</t>
  </si>
  <si>
    <t>Q9BU61_NDUFAF3</t>
  </si>
  <si>
    <t>Q9BU64_CENPO</t>
  </si>
  <si>
    <t>Q9BU76-3_MMTAG2</t>
  </si>
  <si>
    <t>Q9BU89_DOHH</t>
  </si>
  <si>
    <t>Q9BUA3_C11orf84</t>
  </si>
  <si>
    <t>Q9BUB5-2_MKNK1</t>
  </si>
  <si>
    <t>Q9BUE0_MED18</t>
  </si>
  <si>
    <t>Q9BUF5_TUBB6</t>
  </si>
  <si>
    <t>Q9BUH6_C9orf142</t>
  </si>
  <si>
    <t>Q9BUI4_POLR3C</t>
  </si>
  <si>
    <t>Q9BUJ2-2_HNRNPUL1</t>
  </si>
  <si>
    <t>Q9BUL9_RPP25</t>
  </si>
  <si>
    <t>Q9BUP0_EFHD1</t>
  </si>
  <si>
    <t>Q9BUQ8_DDX23</t>
  </si>
  <si>
    <t>Q9BUR4_WRAP53</t>
  </si>
  <si>
    <t>Q9BUT1_BDH2</t>
  </si>
  <si>
    <t>Q9BUT9_FAM195A</t>
  </si>
  <si>
    <t>Q9BUW7_C9orf16</t>
  </si>
  <si>
    <t>Q9BV10_ALG12</t>
  </si>
  <si>
    <t>Q9BV19_C1orf50</t>
  </si>
  <si>
    <t>Q9BV20_MRI1</t>
  </si>
  <si>
    <t>Q9BV23_ABHD6</t>
  </si>
  <si>
    <t>Q9BV38_WDR18</t>
  </si>
  <si>
    <t>Q9BV44_THUMPD3</t>
  </si>
  <si>
    <t>Q9BV57_ADI1</t>
  </si>
  <si>
    <t>Q9BV68-2_RNF126</t>
  </si>
  <si>
    <t>Q9BV73-2_CEP250</t>
  </si>
  <si>
    <t>Q9BV79_MECR</t>
  </si>
  <si>
    <t>Q9BV81_EMC6</t>
  </si>
  <si>
    <t>Q9BV86_NTMT1</t>
  </si>
  <si>
    <t>Q9BVA0_KATNB1</t>
  </si>
  <si>
    <t>Q9BVC3_DSCC1</t>
  </si>
  <si>
    <t>Q9BVC4_MLST8</t>
  </si>
  <si>
    <t>Q9BVC5_C2orf49</t>
  </si>
  <si>
    <t>Q9BVC6_TMEM109</t>
  </si>
  <si>
    <t>Q9BVI4_NOC4L</t>
  </si>
  <si>
    <t>Q9BVJ6_UTP14A</t>
  </si>
  <si>
    <t>Q9BVK6_TMED9</t>
  </si>
  <si>
    <t>Q9BVL2-3_NUPL1</t>
  </si>
  <si>
    <t>Q9BVL4_SELO</t>
  </si>
  <si>
    <t>Q9BVM2_DPCD</t>
  </si>
  <si>
    <t>Q9BVM4_GGACT</t>
  </si>
  <si>
    <t>Q9BVP2-2_GNL3</t>
  </si>
  <si>
    <t>Q9BVQ7_SPATA5L1</t>
  </si>
  <si>
    <t>Q9BVS4_RIOK2</t>
  </si>
  <si>
    <t>Q9BVS5_TRMT61B</t>
  </si>
  <si>
    <t>Q9BVV7_TIMM21</t>
  </si>
  <si>
    <t>Q9BVW5_TIPIN</t>
  </si>
  <si>
    <t>Q9BW19_KIFC1</t>
  </si>
  <si>
    <t>Q9BW27_NUP85</t>
  </si>
  <si>
    <t>Q9BW60_ELOVL1</t>
  </si>
  <si>
    <t>Q9BW61_DDA1</t>
  </si>
  <si>
    <t>Q9BW62_KATNAL1</t>
  </si>
  <si>
    <t>Q9BW71_HIRIP3</t>
  </si>
  <si>
    <t>Q9BW71-3_HIRIP3</t>
  </si>
  <si>
    <t>Q9BW83_IFT27</t>
  </si>
  <si>
    <t>Q9BW85_CCDC94</t>
  </si>
  <si>
    <t>Q9BW91-2_NUDT9</t>
  </si>
  <si>
    <t>Q9BW92_TARS2</t>
  </si>
  <si>
    <t>Q9BWD1_ACAT2</t>
  </si>
  <si>
    <t>Q9BWF3_RBM4</t>
  </si>
  <si>
    <t>Q9BWG6_SCNM1</t>
  </si>
  <si>
    <t>Q9BWH2_FUNDC2</t>
  </si>
  <si>
    <t>Q9BWH6_RPAP1</t>
  </si>
  <si>
    <t>Q9BWJ5_SF3B5</t>
  </si>
  <si>
    <t>Q9BWM7_SFXN3</t>
  </si>
  <si>
    <t>Q9BWT3_PAPOLG</t>
  </si>
  <si>
    <t>Q9BWT6_MND1</t>
  </si>
  <si>
    <t>Q9BWU0_SLC4A1AP</t>
  </si>
  <si>
    <t>Q9BWW4-2_SSBP3</t>
  </si>
  <si>
    <t>Q9BX40_LSM14B</t>
  </si>
  <si>
    <t>Q9BX59_TAPBPL</t>
  </si>
  <si>
    <t>Q9BX63_BRIP1</t>
  </si>
  <si>
    <t>Q9BX66-9_SORBS1</t>
  </si>
  <si>
    <t>Q9BX67_JAM3</t>
  </si>
  <si>
    <t>Q9BX68_HINT2</t>
  </si>
  <si>
    <t>Q9BX70_BTBD2</t>
  </si>
  <si>
    <t>Q9BX95_SGPP1</t>
  </si>
  <si>
    <t>Q9BXB4_OSBPL11</t>
  </si>
  <si>
    <t>Q9BXF6_RAB11FIP5</t>
  </si>
  <si>
    <t>Q9BXI6_TBC1D10A</t>
  </si>
  <si>
    <t>Q9BXJ8-2_TMEM120A</t>
  </si>
  <si>
    <t>Q9BXJ9_NAA15</t>
  </si>
  <si>
    <t>Q9BXK1_KLF16</t>
  </si>
  <si>
    <t>Q9BXK5_BCL2L13</t>
  </si>
  <si>
    <t>Q9BXL5_HEMGN</t>
  </si>
  <si>
    <t>Q9BXL7_CARD11</t>
  </si>
  <si>
    <t>Q9BXP2_SLC12A9</t>
  </si>
  <si>
    <t>Q9BXP5-4_SRRT</t>
  </si>
  <si>
    <t>Q9BXR0_QTRT1</t>
  </si>
  <si>
    <t>Q9BXS5_AP1M1</t>
  </si>
  <si>
    <t>Q9BXS6-2_NUSAP1</t>
  </si>
  <si>
    <t>Q9BXV9_C14orf142</t>
  </si>
  <si>
    <t>Q9BXW6_OSBPL1A</t>
  </si>
  <si>
    <t>Q9BXW7-2_CECR5</t>
  </si>
  <si>
    <t>Q9BXW9-2_FANCD2</t>
  </si>
  <si>
    <t>Q9BXY0_MAK16</t>
  </si>
  <si>
    <t>Q9BY27_DGCR6L</t>
  </si>
  <si>
    <t>Q9BY32_ITPA</t>
  </si>
  <si>
    <t>Q9BY42_RTFDC1</t>
  </si>
  <si>
    <t>Q9BY43_CHMP4A</t>
  </si>
  <si>
    <t>Q9BY44_EIF2A</t>
  </si>
  <si>
    <t>Q9BY49_PECR</t>
  </si>
  <si>
    <t>Q9BY67-2_CADM1</t>
  </si>
  <si>
    <t>Q9BY77_POLDIP3</t>
  </si>
  <si>
    <t>Q9BYB4_GNB1L</t>
  </si>
  <si>
    <t>Q9BYC5_FUT8</t>
  </si>
  <si>
    <t>Q9BYC8_MRPL32</t>
  </si>
  <si>
    <t>Q9BYD6_MRPL1</t>
  </si>
  <si>
    <t>Q9BYG3_MKI67IP</t>
  </si>
  <si>
    <t>Q9BYG5_PARD6B</t>
  </si>
  <si>
    <t>Q9BYM8_RBCK1</t>
  </si>
  <si>
    <t>Q9BYN8_MRPS26</t>
  </si>
  <si>
    <t>Q9BYT3_STK33</t>
  </si>
  <si>
    <t>Q9BYT8_NLN</t>
  </si>
  <si>
    <t>Q9BYV8_CEP41</t>
  </si>
  <si>
    <t>Q9BYW2_SETD2</t>
  </si>
  <si>
    <t>Q9BZ23-3_PANK2</t>
  </si>
  <si>
    <t>Q9BZ67-2_FRMD8</t>
  </si>
  <si>
    <t>Q9BZ95-3_WHSC1L1</t>
  </si>
  <si>
    <t>Q9BZA5_TXLNG2P</t>
  </si>
  <si>
    <t>Q9BZD4_NUF2</t>
  </si>
  <si>
    <t>Q9BZE1_MRPL37</t>
  </si>
  <si>
    <t>Q9BZE2_PUS3</t>
  </si>
  <si>
    <t>Q9BZE4_GTPBP4</t>
  </si>
  <si>
    <t>Q9BZE9_ASPSCR1</t>
  </si>
  <si>
    <t>Q9BZF1-3_OSBPL8</t>
  </si>
  <si>
    <t>Q9BZH6_WDR11</t>
  </si>
  <si>
    <t>Q9BZI7-2_UPF3B</t>
  </si>
  <si>
    <t>Q9BZK7_TBL1XR1</t>
  </si>
  <si>
    <t>Q9BZL1_UBL5</t>
  </si>
  <si>
    <t>Q9BZM1_PLA2G12A</t>
  </si>
  <si>
    <t>Q9BZM5_ULBP2</t>
  </si>
  <si>
    <t>Q9BZX2_UCK2</t>
  </si>
  <si>
    <t>Q9BZZ5_API5</t>
  </si>
  <si>
    <t>Q9BZZ5-2_API5</t>
  </si>
  <si>
    <t>Q9C005_DPY30</t>
  </si>
  <si>
    <t>Q9C037-2_TRIM4</t>
  </si>
  <si>
    <t>Q9C073_FAM117A</t>
  </si>
  <si>
    <t>Q9C0B0_UNK</t>
  </si>
  <si>
    <t>Q9C0B1_FTO</t>
  </si>
  <si>
    <t>Q9C0B5-2_ZDHHC5</t>
  </si>
  <si>
    <t>Q9C0B7_TANGO6</t>
  </si>
  <si>
    <t>Q9C0C2_TNKS1BP1</t>
  </si>
  <si>
    <t>Q9C0C9_UBE2O</t>
  </si>
  <si>
    <t>Q9C0D3_ZYG11B</t>
  </si>
  <si>
    <t>Q9C0H2-2_TTYH3</t>
  </si>
  <si>
    <t>Q9C0I1_MTMR12</t>
  </si>
  <si>
    <t>Q9C0J8_WDR33</t>
  </si>
  <si>
    <t>Q9C0K0-2_BCL11B</t>
  </si>
  <si>
    <t>Q9C0K1-2_SLC39A8</t>
  </si>
  <si>
    <t>Q9GZL7_WDR12</t>
  </si>
  <si>
    <t>Q9GZN1_ACTR6</t>
  </si>
  <si>
    <t>Q9GZN8_C20orf27</t>
  </si>
  <si>
    <t>Q9GZP4_PITHD1</t>
  </si>
  <si>
    <t>Q9GZP9_DERL2</t>
  </si>
  <si>
    <t>Q9GZQ3_COMMD5</t>
  </si>
  <si>
    <t>Q9GZS1-2_POLR1E</t>
  </si>
  <si>
    <t>Q9GZS3_WDR61</t>
  </si>
  <si>
    <t>Q9GZT3-2_SLIRP</t>
  </si>
  <si>
    <t>Q9GZT6-2_CCDC90B</t>
  </si>
  <si>
    <t>Q9GZT8-2_NIF3L1</t>
  </si>
  <si>
    <t>Q9GZT9_EGLN1</t>
  </si>
  <si>
    <t>Q9GZU8_FAM192A</t>
  </si>
  <si>
    <t>Q9GZX9_TWSG1</t>
  </si>
  <si>
    <t>Q9GZY8-2_MFF</t>
  </si>
  <si>
    <t>Q9GZY8-4_MFF</t>
  </si>
  <si>
    <t>Q9GZZ9_UBA5</t>
  </si>
  <si>
    <t>Q9H008_LHPP</t>
  </si>
  <si>
    <t>Q9H019-3_MTFR1L</t>
  </si>
  <si>
    <t>Q9H061_TMEM126A</t>
  </si>
  <si>
    <t>Q9H074_PAIP1</t>
  </si>
  <si>
    <t>Q9H078-2_CLPB</t>
  </si>
  <si>
    <t>Q9H081_MIS12</t>
  </si>
  <si>
    <t>Q9H082_RAB33B</t>
  </si>
  <si>
    <t>Q9H089_LSG1</t>
  </si>
  <si>
    <t>Q9H0A0_NAT10</t>
  </si>
  <si>
    <t>Q9H0A8_COMMD4</t>
  </si>
  <si>
    <t>Q9H0B6_KLC2</t>
  </si>
  <si>
    <t>Q9H0C8_ILKAP</t>
  </si>
  <si>
    <t>Q9H0D6_XRN2</t>
  </si>
  <si>
    <t>Q9H0E2_TOLLIP</t>
  </si>
  <si>
    <t>Q9H0F6-2_SHARPIN</t>
  </si>
  <si>
    <t>Q9H0F7_ARL6</t>
  </si>
  <si>
    <t>Q9H0G5_NSRP1</t>
  </si>
  <si>
    <t>Q9H0H5_RACGAP1</t>
  </si>
  <si>
    <t>Q9H0K6_PUS7L</t>
  </si>
  <si>
    <t>Q9H0L4_CSTF2T</t>
  </si>
  <si>
    <t>Q9H0P0_NT5C3A</t>
  </si>
  <si>
    <t>Q9H0R4_HDHD2</t>
  </si>
  <si>
    <t>Q9H0R6_QRSL1</t>
  </si>
  <si>
    <t>Q9H0S4-2_DDX47</t>
  </si>
  <si>
    <t>Q9H0U3_MAGT1</t>
  </si>
  <si>
    <t>Q9H0U4_RAB1B</t>
  </si>
  <si>
    <t>Q9H0U6_MRPL18</t>
  </si>
  <si>
    <t>Q9H0V9_LMAN2L</t>
  </si>
  <si>
    <t>Q9H0W8_SMG9</t>
  </si>
  <si>
    <t>Q9H0W9_C11orf54</t>
  </si>
  <si>
    <t>Q9H0X4_ITFG3</t>
  </si>
  <si>
    <t>Q9H147_DNTTIP1</t>
  </si>
  <si>
    <t>Q9H173_SIL1</t>
  </si>
  <si>
    <t>Q9H1A4_ANAPC1</t>
  </si>
  <si>
    <t>Q9H1B7_IRF2BPL</t>
  </si>
  <si>
    <t>Q9H1D9_POLR3F</t>
  </si>
  <si>
    <t>Q9H1E3_NUCKS1</t>
  </si>
  <si>
    <t>Q9H1E5_TMX4</t>
  </si>
  <si>
    <t>Q9H1I8-3_ASCC2</t>
  </si>
  <si>
    <t>Q9H1J1-2_UPF3A</t>
  </si>
  <si>
    <t>Q9H1K0_ZFYVE20</t>
  </si>
  <si>
    <t>Q9H1K1_ISCU</t>
  </si>
  <si>
    <t>Q9H1K6_MESDC1</t>
  </si>
  <si>
    <t>Q9H1U9_SLC25A51</t>
  </si>
  <si>
    <t>Q9H1X3-3_DNAJC25</t>
  </si>
  <si>
    <t>Q9H1Y0_ATG5</t>
  </si>
  <si>
    <t>Q9H1Z4_WDR13</t>
  </si>
  <si>
    <t>Q9H204_MED28</t>
  </si>
  <si>
    <t>Q9H223_EHD4</t>
  </si>
  <si>
    <t>Q9H246_C1orf21</t>
  </si>
  <si>
    <t>Q9H254-4_SPTBN4</t>
  </si>
  <si>
    <t>Q9H267_VPS33B</t>
  </si>
  <si>
    <t>Q9H269_VPS16</t>
  </si>
  <si>
    <t>Q9H270_VPS11</t>
  </si>
  <si>
    <t>Q9H2C0_GAN</t>
  </si>
  <si>
    <t>Q9H2D1_SLC25A32</t>
  </si>
  <si>
    <t>Q9H2D6-5_TRIOBP</t>
  </si>
  <si>
    <t>Q9H2G2-2_SLK</t>
  </si>
  <si>
    <t>Q9H2H8_PPIL3</t>
  </si>
  <si>
    <t>Q9H2J4_PDCL3</t>
  </si>
  <si>
    <t>Q9H2K0_MTIF3</t>
  </si>
  <si>
    <t>Q9H2K8_TAOK3</t>
  </si>
  <si>
    <t>Q9H2M9_RAB3GAP2</t>
  </si>
  <si>
    <t>Q9H2P0_ADNP</t>
  </si>
  <si>
    <t>Q9H2P9_DPH5</t>
  </si>
  <si>
    <t>Q9H2U2_PPA2</t>
  </si>
  <si>
    <t>Q9H2W6_MRPL46</t>
  </si>
  <si>
    <t>Q9H300_PARL</t>
  </si>
  <si>
    <t>Q9H307_PNN</t>
  </si>
  <si>
    <t>Q9H330-2_TMEM245</t>
  </si>
  <si>
    <t>Q9H3C7_GGNBP2</t>
  </si>
  <si>
    <t>Q9H3F6_KCTD10</t>
  </si>
  <si>
    <t>Q9H3G5_CPVL</t>
  </si>
  <si>
    <t>Q9H3H1_TRIT1</t>
  </si>
  <si>
    <t>Q9H3H3-2_C11orf68</t>
  </si>
  <si>
    <t>Q9H3H5-2_DPAGT1</t>
  </si>
  <si>
    <t>Q9H3K6_BOLA2</t>
  </si>
  <si>
    <t>Q9H3N1_TMX1</t>
  </si>
  <si>
    <t>Q9H3P2_NELFA</t>
  </si>
  <si>
    <t>Q9H3P7_ACBD3</t>
  </si>
  <si>
    <t>Q9H3R5_CENPH</t>
  </si>
  <si>
    <t>Q9H3S5_PIGM</t>
  </si>
  <si>
    <t>Q9H3S7_PTPN23</t>
  </si>
  <si>
    <t>Q9H3U1-2_UNC45A</t>
  </si>
  <si>
    <t>Q9H3U5-3_MFSD1</t>
  </si>
  <si>
    <t>Q9H3Z4-2_DNAJC5</t>
  </si>
  <si>
    <t>Q9H400_LIME1</t>
  </si>
  <si>
    <t>Q9H410_DSN1</t>
  </si>
  <si>
    <t>Q9H425_C1orf198</t>
  </si>
  <si>
    <t>Q9H444_CHMP4B</t>
  </si>
  <si>
    <t>Q9H467_CUEDC2</t>
  </si>
  <si>
    <t>Q9H477_RBKS</t>
  </si>
  <si>
    <t>Q9H488_POFUT1</t>
  </si>
  <si>
    <t>Q9H490-2_PIGU</t>
  </si>
  <si>
    <t>Q9H496_IFRG15</t>
  </si>
  <si>
    <t>Q9H497_TOR3A</t>
  </si>
  <si>
    <t>Q9H4A4_RNPEP</t>
  </si>
  <si>
    <t>Q9H4A5_GOLPH3L</t>
  </si>
  <si>
    <t>Q9H4A6_GOLPH3</t>
  </si>
  <si>
    <t>Q9H4B0_OSGEPL1</t>
  </si>
  <si>
    <t>Q9H4E7_DEF6</t>
  </si>
  <si>
    <t>Q9H4G4_GLIPR2</t>
  </si>
  <si>
    <t>Q9H4H8-2_FAM83D</t>
  </si>
  <si>
    <t>Q9H4I2_ZHX3</t>
  </si>
  <si>
    <t>Q9H4L5-2_OSBPL3</t>
  </si>
  <si>
    <t>Q9H4L7-2_SMARCAD1</t>
  </si>
  <si>
    <t>Q9H4M9_EHD1</t>
  </si>
  <si>
    <t>Q9H4X1-2_RGCC</t>
  </si>
  <si>
    <t>Q9H4Z3_PCIF1</t>
  </si>
  <si>
    <t>Q9H501_ESF1</t>
  </si>
  <si>
    <t>Q9H553_ALG2</t>
  </si>
  <si>
    <t>Q9H583_HEATR1</t>
  </si>
  <si>
    <t>Q9H5K3_SGK196</t>
  </si>
  <si>
    <t>Q9H5N1_RABEP2</t>
  </si>
  <si>
    <t>Q9H5Q4_TFB2M</t>
  </si>
  <si>
    <t>Q9H5V9-3_CXorf56</t>
  </si>
  <si>
    <t>Q9H5X1_FAM96A</t>
  </si>
  <si>
    <t>Q9H6D7_HAUS4</t>
  </si>
  <si>
    <t>Q9H6E4_CCDC134</t>
  </si>
  <si>
    <t>Q9H6F5_CCDC86</t>
  </si>
  <si>
    <t>Q9H6H4_REEP4</t>
  </si>
  <si>
    <t>Q9H6K4_OPA3</t>
  </si>
  <si>
    <t>Q9H6L2_TMEM231</t>
  </si>
  <si>
    <t>Q9H6L5_FAM134B</t>
  </si>
  <si>
    <t>Q9H6P5_TASP1</t>
  </si>
  <si>
    <t>Q9H6Q4_NARFL</t>
  </si>
  <si>
    <t>Q9H6R3_ACSS3</t>
  </si>
  <si>
    <t>Q9H6R4-4_NOL6</t>
  </si>
  <si>
    <t>Q9H6R6-2_ZDHHC6</t>
  </si>
  <si>
    <t>Q9H6S0_YTHDC2</t>
  </si>
  <si>
    <t>Q9H6T3_RPAP3</t>
  </si>
  <si>
    <t>Q9H6U6-2_BCAS3</t>
  </si>
  <si>
    <t>Q9H6U8_ALG9</t>
  </si>
  <si>
    <t>Q9H6W3_NO66</t>
  </si>
  <si>
    <t>Q9H6X2_ANTXR1</t>
  </si>
  <si>
    <t>Q9H6Y2_WDR55</t>
  </si>
  <si>
    <t>Q9H6Z4-3_RANBP3</t>
  </si>
  <si>
    <t>Q9H741_C12orf49</t>
  </si>
  <si>
    <t>Q9H773_DCTPP1</t>
  </si>
  <si>
    <t>Q9H777_ELAC1</t>
  </si>
  <si>
    <t>Q9H7B4_SMYD3</t>
  </si>
  <si>
    <t>Q9H7D7-2_WDR26</t>
  </si>
  <si>
    <t>Q9H7E2-3_TDRD3</t>
  </si>
  <si>
    <t>Q9H7E9_C8orf33</t>
  </si>
  <si>
    <t>Q9H7F0_ATP13A3</t>
  </si>
  <si>
    <t>Q9H7H0-3_METTL17</t>
  </si>
  <si>
    <t>Q9H7J1_PPP1R3E</t>
  </si>
  <si>
    <t>Q9H7L9_SUDS3</t>
  </si>
  <si>
    <t>Q9H7M9_C10orf54</t>
  </si>
  <si>
    <t>Q9H7U1-3_CCSER2</t>
  </si>
  <si>
    <t>Q9H7X3_ZNF696</t>
  </si>
  <si>
    <t>Q9H7Z3_NRDE2</t>
  </si>
  <si>
    <t>Q9H7Z6_KAT8</t>
  </si>
  <si>
    <t>Q9H7Z7_PTGES2</t>
  </si>
  <si>
    <t>Q9H813_TMEM206</t>
  </si>
  <si>
    <t>Q9H814_PHAX</t>
  </si>
  <si>
    <t>Q9H832_UBE2Z</t>
  </si>
  <si>
    <t>Q9H840_GEMIN7</t>
  </si>
  <si>
    <t>Q9H845_ACAD9</t>
  </si>
  <si>
    <t>Q9H857-2_NT5DC2</t>
  </si>
  <si>
    <t>Q9H871_RMND5A</t>
  </si>
  <si>
    <t>Q9H875_PRKRIP1</t>
  </si>
  <si>
    <t>Q9H8G2_CAAP1</t>
  </si>
  <si>
    <t>Q9H8H0_NOL11</t>
  </si>
  <si>
    <t>Q9H8K7_C10orf88</t>
  </si>
  <si>
    <t>Q9H8M5-3_CNNM2</t>
  </si>
  <si>
    <t>Q9H8M7_FAM188A</t>
  </si>
  <si>
    <t>Q9H8P0_SRD5A3</t>
  </si>
  <si>
    <t>Q9H8S9_MOB1A</t>
  </si>
  <si>
    <t>Q9H8U3_ZFAND3</t>
  </si>
  <si>
    <t>Q9H8W3_FAM204A</t>
  </si>
  <si>
    <t>Q9H8Y8_GORASP2</t>
  </si>
  <si>
    <t>Q9H900_ZWILCH</t>
  </si>
  <si>
    <t>Q9H903-1_MTHFD2L</t>
  </si>
  <si>
    <t>Q9H910-2_HN1L</t>
  </si>
  <si>
    <t>Q9H936_SLC25A22</t>
  </si>
  <si>
    <t>Q9H944_MED20</t>
  </si>
  <si>
    <t>Q9H974_QTRTD1</t>
  </si>
  <si>
    <t>Q9H977_WDR54</t>
  </si>
  <si>
    <t>Q9H981_ACTR8</t>
  </si>
  <si>
    <t>Q9H993_C6orf211</t>
  </si>
  <si>
    <t>Q9H999_PANK3</t>
  </si>
  <si>
    <t>Q9H9A5-2_CNOT10</t>
  </si>
  <si>
    <t>Q9H9A6_LRRC40</t>
  </si>
  <si>
    <t>Q9H9B4_SFXN1</t>
  </si>
  <si>
    <t>Q9H9F9_ACTR5</t>
  </si>
  <si>
    <t>Q9H9H4_VPS37B</t>
  </si>
  <si>
    <t>Q9H9J2_MRPL44</t>
  </si>
  <si>
    <t>Q9H9P8_L2HGDH</t>
  </si>
  <si>
    <t>Q9H9Q4_NHEJ1</t>
  </si>
  <si>
    <t>Q9H9S5_FKRP</t>
  </si>
  <si>
    <t>Q9H9T3-2_ELP3</t>
  </si>
  <si>
    <t>Q9H9Y4_GPN2</t>
  </si>
  <si>
    <t>Q9H9Y6_POLR1B</t>
  </si>
  <si>
    <t>Q9HA47-3_UCK1</t>
  </si>
  <si>
    <t>Q9HA64_FN3KRP</t>
  </si>
  <si>
    <t>Q9HA65_TBC1D17</t>
  </si>
  <si>
    <t>Q9HA77_CARS2</t>
  </si>
  <si>
    <t>Q9HA92_RSAD1</t>
  </si>
  <si>
    <t>Q9HAB8_PPCS</t>
  </si>
  <si>
    <t>Q9HAD4_WDR41</t>
  </si>
  <si>
    <t>Q9HAF1-2_MEAF6</t>
  </si>
  <si>
    <t>Q9HAJ7_SAP30L</t>
  </si>
  <si>
    <t>Q9HAN9_NMNAT1</t>
  </si>
  <si>
    <t>Q9HAT2-2_SIAE</t>
  </si>
  <si>
    <t>Q9HAT8_PELI2</t>
  </si>
  <si>
    <t>Q9HAU5_UPF2</t>
  </si>
  <si>
    <t>Q9HAV4_XPO5</t>
  </si>
  <si>
    <t>Q9HAV7_GRPEL1</t>
  </si>
  <si>
    <t>Q9HAW4_CLSPN</t>
  </si>
  <si>
    <t>Q9HB07_C12orf10</t>
  </si>
  <si>
    <t>Q9HB09_BCL2L12</t>
  </si>
  <si>
    <t>Q9HB19_PLEKHA2</t>
  </si>
  <si>
    <t>Q9HB20_PLEKHA3</t>
  </si>
  <si>
    <t>Q9HB21_PLEKHA1</t>
  </si>
  <si>
    <t>Q9HB40_SCPEP1</t>
  </si>
  <si>
    <t>Q9HB71_CACYBP</t>
  </si>
  <si>
    <t>Q9HB90_RRAGC</t>
  </si>
  <si>
    <t>Q9HBD4_SMARCA4</t>
  </si>
  <si>
    <t>Q9HBF4_ZFYVE1</t>
  </si>
  <si>
    <t>Q9HBH0_RHOF</t>
  </si>
  <si>
    <t>Q9HBH1_PDF</t>
  </si>
  <si>
    <t>Q9HBH5_RDH14</t>
  </si>
  <si>
    <t>Q9HBI0_PARVG</t>
  </si>
  <si>
    <t>Q9HBL7_PLGRKT</t>
  </si>
  <si>
    <t>Q9HBL8_NMRAL1</t>
  </si>
  <si>
    <t>Q9HBM1_SPC25</t>
  </si>
  <si>
    <t>Q9HBM6_TAF9B</t>
  </si>
  <si>
    <t>Q9HBM8_AGPAT1</t>
  </si>
  <si>
    <t>Q9HBR0_SLC38A10</t>
  </si>
  <si>
    <t>Q9HBU6_ETNK1</t>
  </si>
  <si>
    <t>Q9HC21_SLC25A19</t>
  </si>
  <si>
    <t>Q9HC35_EML4</t>
  </si>
  <si>
    <t>Q9HC36_RNMTL1</t>
  </si>
  <si>
    <t>Q9HC38-2_GLOD4</t>
  </si>
  <si>
    <t>Q9HC44_GPBP1L1</t>
  </si>
  <si>
    <t>Q9HC52_CBX8</t>
  </si>
  <si>
    <t>Q9HCC0_MCCC2</t>
  </si>
  <si>
    <t>Q9HCC9-5_ZFYVE28</t>
  </si>
  <si>
    <t>Q9HCD5_NCOA5</t>
  </si>
  <si>
    <t>Q9HCD6_TANC2</t>
  </si>
  <si>
    <t>Q9HCE1_MOV10</t>
  </si>
  <si>
    <t>Q9HCE5_METTL14</t>
  </si>
  <si>
    <t>Q9HCJ1_ANKH</t>
  </si>
  <si>
    <t>Q9HCJ3-2_RAVER2</t>
  </si>
  <si>
    <t>Q9HCK8_CHD8</t>
  </si>
  <si>
    <t>Q9HCL3_ZFP14</t>
  </si>
  <si>
    <t>Q9HCN3_TMEM8A</t>
  </si>
  <si>
    <t>Q9HCN4_GPN1</t>
  </si>
  <si>
    <t>Q9HCN8_SDF2L1</t>
  </si>
  <si>
    <t>Q9HCP0-2_CSNK1G1</t>
  </si>
  <si>
    <t>Q9HCU5_PREB</t>
  </si>
  <si>
    <t>Q9HD15_SRA1</t>
  </si>
  <si>
    <t>Q9HD20-2_ATP13A1</t>
  </si>
  <si>
    <t>Q9HD26_GOPC</t>
  </si>
  <si>
    <t>Q9HD34_LYRM4</t>
  </si>
  <si>
    <t>Q9HD40_SEPSECS</t>
  </si>
  <si>
    <t>Q9HD42_CHMP1A</t>
  </si>
  <si>
    <t>Q9HD45_TM9SF3</t>
  </si>
  <si>
    <t>Q9HD47_RANGRF</t>
  </si>
  <si>
    <t>Q9HDC5_JPH1</t>
  </si>
  <si>
    <t>Q9HDC9_APMAP</t>
  </si>
  <si>
    <t>Q9NP58-4_ABCB6</t>
  </si>
  <si>
    <t>Q9NP66_HMG20A</t>
  </si>
  <si>
    <t>Q9NP72_RAB18</t>
  </si>
  <si>
    <t>Q9NP73-2_ALG13</t>
  </si>
  <si>
    <t>Q9NP77_SSU72</t>
  </si>
  <si>
    <t>Q9NP79_VTA1</t>
  </si>
  <si>
    <t>Q9NP92_MRPS30</t>
  </si>
  <si>
    <t>Q9NPA0_EMC7</t>
  </si>
  <si>
    <t>Q9NPA3_MID1IP1</t>
  </si>
  <si>
    <t>Q9NPA8-2_ENY2</t>
  </si>
  <si>
    <t>Q9NPB8_GPCPD1</t>
  </si>
  <si>
    <t>Q9NPD3_EXOSC4</t>
  </si>
  <si>
    <t>Q9NPD7_NRN1</t>
  </si>
  <si>
    <t>Q9NPD8_UBE2T</t>
  </si>
  <si>
    <t>Q9NPE3_NOP10</t>
  </si>
  <si>
    <t>Q9NPF0_CD320</t>
  </si>
  <si>
    <t>Q9NPF4_OSGEP</t>
  </si>
  <si>
    <t>Q9NPF5_DMAP1</t>
  </si>
  <si>
    <t>Q9NPH0_ACP6</t>
  </si>
  <si>
    <t>Q9NPH3_IL1RAP</t>
  </si>
  <si>
    <t>Q9NPI6_DCP1A</t>
  </si>
  <si>
    <t>Q9NPJ3-2_ACOT13</t>
  </si>
  <si>
    <t>Q9NPJ8-3_NXT2</t>
  </si>
  <si>
    <t>Q9NPL8_TIMMDC1</t>
  </si>
  <si>
    <t>Q9NPQ8-4_RIC8A</t>
  </si>
  <si>
    <t>Q9NPR9_GPR108</t>
  </si>
  <si>
    <t>Q9NQ11-3_ATP13A2</t>
  </si>
  <si>
    <t>Q9NQ29_LUC7L</t>
  </si>
  <si>
    <t>Q9NQ34_TMEM9B</t>
  </si>
  <si>
    <t>Q9NQ55-2_PPAN</t>
  </si>
  <si>
    <t>Q9NQ88_TIGAR</t>
  </si>
  <si>
    <t>Q9NQC3_RTN4</t>
  </si>
  <si>
    <t>Q9NQE9_HINT3</t>
  </si>
  <si>
    <t>Q9NQG1_MANBAL</t>
  </si>
  <si>
    <t>Q9NQG5_RPRD1B</t>
  </si>
  <si>
    <t>Q9NQH7-2_XPNPEP3</t>
  </si>
  <si>
    <t>Q9NQL2_RRAGD</t>
  </si>
  <si>
    <t>Q9NQP4_PFDN4</t>
  </si>
  <si>
    <t>Q9NQR4_NIT2</t>
  </si>
  <si>
    <t>Q9NQS1_AVEN</t>
  </si>
  <si>
    <t>Q9NQT4_EXOSC5</t>
  </si>
  <si>
    <t>Q9NQT5_EXOSC3</t>
  </si>
  <si>
    <t>Q9NQT8_KIF13B</t>
  </si>
  <si>
    <t>Q9NQW6_ANLN</t>
  </si>
  <si>
    <t>Q9NQW7-3_XPNPEP1</t>
  </si>
  <si>
    <t>Q9NQX3_GPHN</t>
  </si>
  <si>
    <t>Q9NQY0_BIN3</t>
  </si>
  <si>
    <t>Q9NQZ2_UTP3</t>
  </si>
  <si>
    <t>Q9NQZ5_STARD7</t>
  </si>
  <si>
    <t>Q9NQZ6-3_ZC4H2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</si>
  <si>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</si>
  <si>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</si>
  <si>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</si>
  <si>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</si>
  <si>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</si>
  <si>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</si>
  <si>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</si>
  <si>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</si>
  <si>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Q9NR55_BATF3</t>
  </si>
  <si>
    <t>Q9NR77_PXMP2</t>
  </si>
  <si>
    <t>Q9NRA2_SLC17A5</t>
  </si>
  <si>
    <t>Q9NRB3_CHST12</t>
  </si>
  <si>
    <t>Q9NRF9_POLE3</t>
  </si>
  <si>
    <t>Q9NRG0_CHRAC1</t>
  </si>
  <si>
    <t>Q9NRG4_SMYD2</t>
  </si>
  <si>
    <t>Q9NRG7-2_SDR39U1</t>
  </si>
  <si>
    <t>Q9NRG9_AAAS</t>
  </si>
  <si>
    <t>Q9NRH1_YAE1D1</t>
  </si>
  <si>
    <t>Q9NRK6_ABCB10</t>
  </si>
  <si>
    <t>Q9NRL2-2_BAZ1A</t>
  </si>
  <si>
    <t>Q9NRL3_STRN4</t>
  </si>
  <si>
    <t>Q9NRN7_AASDHPPT</t>
  </si>
  <si>
    <t>Q9NRN9_METTL5</t>
  </si>
  <si>
    <t>Q9NRP0_OSTC</t>
  </si>
  <si>
    <t>Q9NRP2_CMC2</t>
  </si>
  <si>
    <t>Q9NRP4_ACN9</t>
  </si>
  <si>
    <t>Q9NRR5_UBQLN4</t>
  </si>
  <si>
    <t>Q9NRR8_CDC42SE1</t>
  </si>
  <si>
    <t>Q9NRS6_SNX15</t>
  </si>
  <si>
    <t>Q9NRV9_HEBP1</t>
  </si>
  <si>
    <t>Q9NRW1_RAB6B</t>
  </si>
  <si>
    <t>Q9NRW7_VPS45</t>
  </si>
  <si>
    <t>Q9NRX1_PNO1</t>
  </si>
  <si>
    <t>Q9NRX4_PHPT1</t>
  </si>
  <si>
    <t>Q9NRX5_SERINC1</t>
  </si>
  <si>
    <t>Q9NRY2_INIP</t>
  </si>
  <si>
    <t>Q9NRY4_ARHGAP35</t>
  </si>
  <si>
    <t>Q9NRY5_FAM114A2</t>
  </si>
  <si>
    <t>Q9NRY6_PLSCR3</t>
  </si>
  <si>
    <t>Q9NRZ5_AGPAT4</t>
  </si>
  <si>
    <t>Q9NRZ7-2_AGPAT3</t>
  </si>
  <si>
    <t>Q9NRZ9-2_HELLS</t>
  </si>
  <si>
    <t>Q9NS69_TOMM22</t>
  </si>
  <si>
    <t>Q9NS86_LANCL2</t>
  </si>
  <si>
    <t>Q9NS87_KIF15</t>
  </si>
  <si>
    <t>Q9NS91_RAD18</t>
  </si>
  <si>
    <t>Q9NS93_TM7SF3</t>
  </si>
  <si>
    <t>Q9NSA3_CTNNBIP1</t>
  </si>
  <si>
    <t>Q9NSB8-2_HOMER2</t>
  </si>
  <si>
    <t>Q9NSC5-5_HOMER3</t>
  </si>
  <si>
    <t>Q9NSD9_FARSB</t>
  </si>
  <si>
    <t>Q9NSE4_IARS2</t>
  </si>
  <si>
    <t>Q9NSG2_C1orf112</t>
  </si>
  <si>
    <t>Q9NSI2-2_FAM207A</t>
  </si>
  <si>
    <t>Q9NSI8-3_SAMSN1</t>
  </si>
  <si>
    <t>Q9NSK0_KLC4</t>
  </si>
  <si>
    <t>Q9NSU2-2_TREX1</t>
  </si>
  <si>
    <t>Q9NSY1_BMP2K</t>
  </si>
  <si>
    <t>Q9NT62_ATG3</t>
  </si>
  <si>
    <t>Q9NTI5-2_PDS5B</t>
  </si>
  <si>
    <t>Q9NTJ3_SMC4</t>
  </si>
  <si>
    <t>Q9NTJ5_SACM1L</t>
  </si>
  <si>
    <t>Q9NTK5-2_OLA1</t>
  </si>
  <si>
    <t>Q9NTM9_CUTC</t>
  </si>
  <si>
    <t>Q9NTN3_SLC35D1</t>
  </si>
  <si>
    <t>Q9NTX5-2_ECHDC1</t>
  </si>
  <si>
    <t>Q9NTX7-2_RNF146</t>
  </si>
  <si>
    <t>Q9NTZ6_RBM12</t>
  </si>
  <si>
    <t>Q9NU19_TBC1D22B</t>
  </si>
  <si>
    <t>Q9NU22_MDN1</t>
  </si>
  <si>
    <t>Q9NU23_LYRM2</t>
  </si>
  <si>
    <t>Q9NUB1-2_ACSS1</t>
  </si>
  <si>
    <t>Q9NUD5_ZCCHC3</t>
  </si>
  <si>
    <t>Q9NUE0_ZDHHC18</t>
  </si>
  <si>
    <t>Q9NUG6_PDRG1</t>
  </si>
  <si>
    <t>Q9NUJ1_ABHD10</t>
  </si>
  <si>
    <t>Q9NUL5-3_C19orf66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</si>
  <si>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</si>
  <si>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</si>
  <si>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</si>
  <si>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</si>
  <si>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</si>
  <si>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</si>
  <si>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</si>
  <si>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</si>
  <si>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</si>
  <si>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</si>
  <si>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Q9NUS5_AP5S1</t>
  </si>
  <si>
    <t>Q9NUU7_DDX19A</t>
  </si>
  <si>
    <t>Q9NUW8_TDP1</t>
  </si>
  <si>
    <t>Q9NUX5-2_POT1</t>
  </si>
  <si>
    <t>Q9NV06_DCAF13</t>
  </si>
  <si>
    <t>Q9NV31_IMP3</t>
  </si>
  <si>
    <t>Q9NV35_NUDT15</t>
  </si>
  <si>
    <t>Q9NV56_MRGBP</t>
  </si>
  <si>
    <t>Q9NV66_TYW1</t>
  </si>
  <si>
    <t>Q9NV70-2_EXOC1</t>
  </si>
  <si>
    <t>Q9NV88-3_INTS9</t>
  </si>
  <si>
    <t>Q9NV96_TMEM30A</t>
  </si>
  <si>
    <t>Q9NVA1_UQCC</t>
  </si>
  <si>
    <t>Q9NVA4_TMEM184C</t>
  </si>
  <si>
    <t>Q9NVC3_SLC38A7</t>
  </si>
  <si>
    <t>Q9NVC6_MED17</t>
  </si>
  <si>
    <t>Q9NVE7_PANK4</t>
  </si>
  <si>
    <t>Q9NVF7_FBXO28</t>
  </si>
  <si>
    <t>Q9NVG8_TBC1D13</t>
  </si>
  <si>
    <t>Q9NVH1_DNAJC11</t>
  </si>
  <si>
    <t>Q9NVH2-3_INTS7</t>
  </si>
  <si>
    <t>Q9NVH6-7_TMLHE</t>
  </si>
  <si>
    <t>Q9NVI1_FANCI</t>
  </si>
  <si>
    <t>Q9NVI7-2_ATAD3A</t>
  </si>
  <si>
    <t>Q9NVJ2_ARL8B</t>
  </si>
  <si>
    <t>Q9NVK5-2_FGFR1OP2</t>
  </si>
  <si>
    <t>Q9NVM4-3_PRMT7</t>
  </si>
  <si>
    <t>Q9NVM6_DNAJC17</t>
  </si>
  <si>
    <t>Q9NVM9_ASUN</t>
  </si>
  <si>
    <t>Q9NVN8_GNL3L</t>
  </si>
  <si>
    <t>Q9NVP1_DDX18</t>
  </si>
  <si>
    <t>Q9NVP2_ASF1B</t>
  </si>
  <si>
    <t>Q9NVR0_KLHL11</t>
  </si>
  <si>
    <t>Q9NVR2_INTS10</t>
  </si>
  <si>
    <t>Q9NVR5_DNAAF2</t>
  </si>
  <si>
    <t>Q9NVS9_PNPO</t>
  </si>
  <si>
    <t>Q9NVT9_ARMC1</t>
  </si>
  <si>
    <t>Q9NVU0-5_POLR3E</t>
  </si>
  <si>
    <t>Q9NVU7_SDAD1</t>
  </si>
  <si>
    <t>Q9NVV0_TMEM38B</t>
  </si>
  <si>
    <t>Q9NVV4_MTPAP</t>
  </si>
  <si>
    <t>Q9NVX0-2_HAUS2</t>
  </si>
  <si>
    <t>Q9NVX2_NLE1</t>
  </si>
  <si>
    <t>Q9NVX7_KBTBD4</t>
  </si>
  <si>
    <t>Q9NVZ3_NECAP2</t>
  </si>
  <si>
    <t>Q9NW08-2_POLR3B</t>
  </si>
  <si>
    <t>Q9NW15-2_ANO10</t>
  </si>
  <si>
    <t>Q9NW64_RBM22</t>
  </si>
  <si>
    <t>Q9NW75-2_GPATCH2</t>
  </si>
  <si>
    <t>Q9NW81_ATP5SL</t>
  </si>
  <si>
    <t>Q9NW82_WDR70</t>
  </si>
  <si>
    <t>Q9NWA0_MED9</t>
  </si>
  <si>
    <t>Q9NWB6_ARGLU1</t>
  </si>
  <si>
    <t>Q9NWD8_TMEM248</t>
  </si>
  <si>
    <t>Q9NWH2_TMEM242</t>
  </si>
  <si>
    <t>Q9NWH9_SLTM</t>
  </si>
  <si>
    <t>Q9NWK9_ZNHIT6</t>
  </si>
  <si>
    <t>Q9NWM8_FKBP14</t>
  </si>
  <si>
    <t>Q9NWQ8_PAG1</t>
  </si>
  <si>
    <t>Q9NWQ9_C14orf119</t>
  </si>
  <si>
    <t>Q9NWR8_CCDC109B</t>
  </si>
  <si>
    <t>Q9NWS0_PIH1D1</t>
  </si>
  <si>
    <t>Q9NWS6_FAM118A</t>
  </si>
  <si>
    <t>Q9NWS8_RMND1</t>
  </si>
  <si>
    <t>Q9NWT1_PAK1IP1</t>
  </si>
  <si>
    <t>Q9NWT6_HIF1AN</t>
  </si>
  <si>
    <t>Q9NWU1_OXSM</t>
  </si>
  <si>
    <t>Q9NWU2_GID8</t>
  </si>
  <si>
    <t>Q9NWV4_C1orf123</t>
  </si>
  <si>
    <t>Q9NWW6_NMRK1</t>
  </si>
  <si>
    <t>Q9NWX6_THG1L</t>
  </si>
  <si>
    <t>Q9NWY4_C4orf27</t>
  </si>
  <si>
    <t>Q9NWZ3_IRAK4</t>
  </si>
  <si>
    <t>Q9NWZ5_UCKL1</t>
  </si>
  <si>
    <t>Q9NWZ8_GEMIN8</t>
  </si>
  <si>
    <t>Q9NX00_TMEM160</t>
  </si>
  <si>
    <t>Q9NX01_TXNL4B</t>
  </si>
  <si>
    <t>Q9NX04_C1orf109</t>
  </si>
  <si>
    <t>Q9NX07_TRNAU1AP</t>
  </si>
  <si>
    <t>Q9NX08_COMMD8</t>
  </si>
  <si>
    <t>Q9NX14-2_NDUFB11</t>
  </si>
  <si>
    <t>Q9NX24_NHP2</t>
  </si>
  <si>
    <t>Q9NX38_FAM206A</t>
  </si>
  <si>
    <t>Q9NX40_OCIAD1</t>
  </si>
  <si>
    <t>Q9NX46_ADPRHL2</t>
  </si>
  <si>
    <t>Q9NX47_MARCH5</t>
  </si>
  <si>
    <t>Q9NX55_HYPK</t>
  </si>
  <si>
    <t>Q9NX58_LYAR</t>
  </si>
  <si>
    <t>Q9NX62_IMPAD1</t>
  </si>
  <si>
    <t>Q9NX70_MED29</t>
  </si>
  <si>
    <t>Q9NX74_DUS2L</t>
  </si>
  <si>
    <t>Q9NX76_CMTM6</t>
  </si>
  <si>
    <t>Q9NXA8_SIRT5</t>
  </si>
  <si>
    <t>Q9NXC2_GFOD1</t>
  </si>
  <si>
    <t>Q9NXC5_MIOS</t>
  </si>
  <si>
    <t>Q9NXE8_CWC25</t>
  </si>
  <si>
    <t>Q9NXF7_DCAF16</t>
  </si>
  <si>
    <t>Q9NXH9_TRMT1</t>
  </si>
  <si>
    <t>Q9NXK8_FBXL12</t>
  </si>
  <si>
    <t>Q9NXR1-2_NDE1</t>
  </si>
  <si>
    <t>Q9NXR5_ANKRD10</t>
  </si>
  <si>
    <t>Q9NXR7_BRE</t>
  </si>
  <si>
    <t>Q9NXS2_QPCTL</t>
  </si>
  <si>
    <t>Q9NXU5_ARL15</t>
  </si>
  <si>
    <t>Q9NXV2_KCTD5</t>
  </si>
  <si>
    <t>Q9NXV6_CDKN2AIP</t>
  </si>
  <si>
    <t>Q9NXW9_ALKBH4</t>
  </si>
  <si>
    <t>Q9NXX6_NSMCE4A</t>
  </si>
  <si>
    <t>Q9NY12-2_GAR1</t>
  </si>
  <si>
    <t>Q9NY27_PPP4R2</t>
  </si>
  <si>
    <t>Q9NY93-2_DDX56</t>
  </si>
  <si>
    <t>Q9NYB0_TERF2IP</t>
  </si>
  <si>
    <t>Q9NYF8-2_BCLAF1</t>
  </si>
  <si>
    <t>Q9NYG2_ZDHHC3</t>
  </si>
  <si>
    <t>Q9NYH9_UTP6</t>
  </si>
  <si>
    <t>Q9NYJ1_COA4</t>
  </si>
  <si>
    <t>Q9NYK5_MRPL39</t>
  </si>
  <si>
    <t>Q9NYL2_MLTK</t>
  </si>
  <si>
    <t>Q9NYL9_TMOD3</t>
  </si>
  <si>
    <t>Q9NYM9_BET1L</t>
  </si>
  <si>
    <t>Q9NYP9_MIS18A</t>
  </si>
  <si>
    <t>Q9NYS0_NKIRAS1</t>
  </si>
  <si>
    <t>Q9NYU2-2_UGGT1</t>
  </si>
  <si>
    <t>Q9NYV4-2_CDK12</t>
  </si>
  <si>
    <t>Q9NYY8_FASTKD2</t>
  </si>
  <si>
    <t>Q9NYZ3_GTSE1</t>
  </si>
  <si>
    <t>Q9NZ01_TECR</t>
  </si>
  <si>
    <t>Q9NZ08_ERAP1</t>
  </si>
  <si>
    <t>Q9NZ09_UBAP1</t>
  </si>
  <si>
    <t>Q9NZ32_ACTR10</t>
  </si>
  <si>
    <t>Q9NZ43_USE1</t>
  </si>
  <si>
    <t>Q9NZ45_CISD1</t>
  </si>
  <si>
    <t>Q9NZ52_GGA3</t>
  </si>
  <si>
    <t>Q9NZ63_C9orf78</t>
  </si>
  <si>
    <t>Q9NZB2_FAM120A</t>
  </si>
  <si>
    <t>Q9NZB8-2_MOCS1</t>
  </si>
  <si>
    <t>Q9NZC3_GDE1</t>
  </si>
  <si>
    <t>Q9NZC7_WWOX</t>
  </si>
  <si>
    <t>Q9NZD2_GLTP</t>
  </si>
  <si>
    <t>Q9NZD8-2_SPG21</t>
  </si>
  <si>
    <t>Q9NZG7_NINJ2</t>
  </si>
  <si>
    <t>Q9NZI7_UBP1</t>
  </si>
  <si>
    <t>Q9NZI8_IGF2BP1</t>
  </si>
  <si>
    <t>Q9NZJ6_COQ3</t>
  </si>
  <si>
    <t>Q9NZJ7-2_MTCH1</t>
  </si>
  <si>
    <t>Q9NZJ9_NUDT4</t>
  </si>
  <si>
    <t>Q9NZL4_HSPBP1</t>
  </si>
  <si>
    <t>Q9NZL9_MAT2B</t>
  </si>
  <si>
    <t>Q9NZL9-2_MAT2B</t>
  </si>
  <si>
    <t>Q9NZM3-2_ITSN2</t>
  </si>
  <si>
    <t>Q9NZQ3-3_NCKIPSD</t>
  </si>
  <si>
    <t>Q9NZT2-2_OGFR</t>
  </si>
  <si>
    <t>Q9NZW5_MPP6</t>
  </si>
  <si>
    <t>Q9NZZ3_CHMP5</t>
  </si>
  <si>
    <t>Q9P000_COMMD9</t>
  </si>
  <si>
    <t>Q9P013_CWC15</t>
  </si>
  <si>
    <t>Q9P016_THYN1</t>
  </si>
  <si>
    <t>Q9P021_CRIPT</t>
  </si>
  <si>
    <t>Q9P032_NDUFAF4</t>
  </si>
  <si>
    <t>Q9P035_PTPLAD1</t>
  </si>
  <si>
    <t>Q9P086_MED11</t>
  </si>
  <si>
    <t>Q9P0B6_CCDC167</t>
  </si>
  <si>
    <t>Q9P0I2_EMC3</t>
  </si>
  <si>
    <t>Q9P0J1_PDP1</t>
  </si>
  <si>
    <t>Q9P0J7_KCMF1</t>
  </si>
  <si>
    <t>Q9P0L0_VAPA</t>
  </si>
  <si>
    <t>Q9P0N9-3_TBC1D7</t>
  </si>
  <si>
    <t>Q9P0P0_RNF181</t>
  </si>
  <si>
    <t>Q9P0R6_GSKIP</t>
  </si>
  <si>
    <t>Q9P0S2_COX16</t>
  </si>
  <si>
    <t>Q9P1F3_ABRACL</t>
  </si>
  <si>
    <t>Q9P1U0_ZNRD1</t>
  </si>
  <si>
    <t>Q9P1U1_ACTR3B</t>
  </si>
  <si>
    <t>Q9P1W8-4_SIRPG</t>
  </si>
  <si>
    <t>Q9P1Y5_CAMSAP3</t>
  </si>
  <si>
    <t>Q9P219_CCDC88C</t>
  </si>
  <si>
    <t>Q9P244_LRFN1</t>
  </si>
  <si>
    <t>Q9P253_VPS18</t>
  </si>
  <si>
    <t>Q9P258_RCC2</t>
  </si>
  <si>
    <t>Q9P260_KIAA1468</t>
  </si>
  <si>
    <t>Q9P265_DIP2B</t>
  </si>
  <si>
    <t>Q9P270_SLAIN2</t>
  </si>
  <si>
    <t>Q9P287_BCCIP</t>
  </si>
  <si>
    <t>Q9P287-2_BCCIP</t>
  </si>
  <si>
    <t>Q9P2A4-2_ABI3</t>
  </si>
  <si>
    <t>Q9P2B4_CTTNBP2NL</t>
  </si>
  <si>
    <t>Q9P2B7_KIAA1430</t>
  </si>
  <si>
    <t>Q9P2C4_TMEM181</t>
  </si>
  <si>
    <t>Q9P2D1_CHD7</t>
  </si>
  <si>
    <t>Q9P2D3-3_HEATR5B</t>
  </si>
  <si>
    <t>Q9P2E3_ZNFX1</t>
  </si>
  <si>
    <t>Q9P2E9_RRBP1</t>
  </si>
  <si>
    <t>Q9P2I0_CPSF2</t>
  </si>
  <si>
    <t>Q9P2J5_LARS</t>
  </si>
  <si>
    <t>Q9P2J9_PDP2</t>
  </si>
  <si>
    <t>Q9P2K2_TXNDC16</t>
  </si>
  <si>
    <t>Q9P2K3-4_RCOR3</t>
  </si>
  <si>
    <t>Q9P2K5_MYEF2</t>
  </si>
  <si>
    <t>Q9P2K8-2_EIF2AK4</t>
  </si>
  <si>
    <t>Q9P2M7_CGN</t>
  </si>
  <si>
    <t>Q9P2N5_RBM27</t>
  </si>
  <si>
    <t>Q9P2N6-3_KANSL3</t>
  </si>
  <si>
    <t>Q9P2N7-2_KLHL13</t>
  </si>
  <si>
    <t>Q9P2R3_ANKFY1</t>
  </si>
  <si>
    <t>Q9P2R6_RERE</t>
  </si>
  <si>
    <t>Q9P2W1_PSMC3IP</t>
  </si>
  <si>
    <t>Q9P2X0_DPM3</t>
  </si>
  <si>
    <t>Q9P2Y4_ZNF219</t>
  </si>
  <si>
    <t>Q9P2Y5_UVRAG</t>
  </si>
  <si>
    <t>Q9UBB4_ATXN10</t>
  </si>
  <si>
    <t>Q9UBB5_MBD2</t>
  </si>
  <si>
    <t>Q9UBB6-2_NCDN</t>
  </si>
  <si>
    <t>Q9UBB9_TFIP11</t>
  </si>
  <si>
    <t>Q9UBC2-2_EPS15L1</t>
  </si>
  <si>
    <t>Q9UBC3-7_DNMT3B</t>
  </si>
  <si>
    <t>Q9UBD5-2_ORC3</t>
  </si>
  <si>
    <t>Q9UBD8_CLN3</t>
  </si>
  <si>
    <t>Q9UBE0_SAE1</t>
  </si>
  <si>
    <t>Q9UBF2_COPG2</t>
  </si>
  <si>
    <t>Q9UBF6_RNF7</t>
  </si>
  <si>
    <t>Q9UBF8-2_PI4KB</t>
  </si>
  <si>
    <t>Q9UBG0_MRC2</t>
  </si>
  <si>
    <t>Q9UBK8-2_MTRR</t>
  </si>
  <si>
    <t>Q9UBK9_UXT</t>
  </si>
  <si>
    <t>Q9UBL0_ARPP21</t>
  </si>
  <si>
    <t>Q9UBL3-3_ASH2L</t>
  </si>
  <si>
    <t>Q9UBM7_DHCR7</t>
  </si>
  <si>
    <t>Q9UBP0-3_SPAST</t>
  </si>
  <si>
    <t>Q9UBP6_METTL1</t>
  </si>
  <si>
    <t>Q9UBQ0_VPS29</t>
  </si>
  <si>
    <t>Q9UBQ7_GRHPR</t>
  </si>
  <si>
    <t>Q9UBS0_RPS6KB2</t>
  </si>
  <si>
    <t>Q9UBS4_DNAJB11</t>
  </si>
  <si>
    <t>Q9UBS8_RNF14</t>
  </si>
  <si>
    <t>Q9UBT2_UBA2</t>
  </si>
  <si>
    <t>Q9UBU9_NXF1</t>
  </si>
  <si>
    <t>Q9UBV2_SEL1L</t>
  </si>
  <si>
    <t>Q9UBV7_B4GALT7</t>
  </si>
  <si>
    <t>Q9UBV8_PEF1</t>
  </si>
  <si>
    <t>Q9UBW5_BIN2</t>
  </si>
  <si>
    <t>Q9UBW7_ZMYM2</t>
  </si>
  <si>
    <t>Q9UBW8_COPS7A</t>
  </si>
  <si>
    <t>Q9UBX3_SLC25A10</t>
  </si>
  <si>
    <t>Q9UDR5_AASS</t>
  </si>
  <si>
    <t>Q9UDT6-2_CLIP2</t>
  </si>
  <si>
    <t>Q9UDW1_UQCR10</t>
  </si>
  <si>
    <t>Q9UDX5_MTFP1</t>
  </si>
  <si>
    <t>Q9UDY2-6_TJP2</t>
  </si>
  <si>
    <t>Q9UDY4_DNAJB4</t>
  </si>
  <si>
    <t>Q9UDY8-2_MALT1</t>
  </si>
  <si>
    <t>Q9UEE5_STK17A</t>
  </si>
  <si>
    <t>Q9UEE9_CFDP1</t>
  </si>
  <si>
    <t>Q9UEL6_MPZL1</t>
  </si>
  <si>
    <t>Q9UER7-2_DAXX</t>
  </si>
  <si>
    <t>Q9UET6-2_FTSJ1</t>
  </si>
  <si>
    <t>Q9UEU0_VTI1B</t>
  </si>
  <si>
    <t>Q9UEW8_STK39</t>
  </si>
  <si>
    <t>Q9UEY8-2_ADD3</t>
  </si>
  <si>
    <t>Q9UFC0_LRWD1</t>
  </si>
  <si>
    <t>Q9UFN0_NIPSNAP3A</t>
  </si>
  <si>
    <t>Q9UFW8_CGGBP1</t>
  </si>
  <si>
    <t>Q9UG63_ABCF2</t>
  </si>
  <si>
    <t>Q9UGJ1-2_TUBGCP4</t>
  </si>
  <si>
    <t>Q9UGK8_SERGEF</t>
  </si>
  <si>
    <t>Q9UGM1_CHRNA9</t>
  </si>
  <si>
    <t>Q9UGM6_WARS2</t>
  </si>
  <si>
    <t>Q9UGP4_LIMD1</t>
  </si>
  <si>
    <t>Q9UGP8_SEC63</t>
  </si>
  <si>
    <t>Q9UGQ2-2_CACFD1</t>
  </si>
  <si>
    <t>Q9UGQ3-2_SLC2A6</t>
  </si>
  <si>
    <t>Q9UGR2-2_ZC3H7B</t>
  </si>
  <si>
    <t>Q9UGU0-2_TCF20</t>
  </si>
  <si>
    <t>Q9UGV2_NDRG3</t>
  </si>
  <si>
    <t>Q9UH03-2_SEPT3</t>
  </si>
  <si>
    <t>Q9UH62_ARMCX3</t>
  </si>
  <si>
    <t>Q9UH65_SWAP70</t>
  </si>
  <si>
    <t>Q9UH99_SUN2</t>
  </si>
  <si>
    <t>Q9UHA2_SS18L2</t>
  </si>
  <si>
    <t>Q9UHA4_LAMTOR3</t>
  </si>
  <si>
    <t>Q9UHB6_LIMA1</t>
  </si>
  <si>
    <t>Q9UHB7_AFF4</t>
  </si>
  <si>
    <t>Q9UHB9_SRP68</t>
  </si>
  <si>
    <t>Q9UHC7-4_MKRN1</t>
  </si>
  <si>
    <t>Q9UHD1_CHORDC1</t>
  </si>
  <si>
    <t>Q9UHD2_TBK1</t>
  </si>
  <si>
    <t>Q9UHD8_SEPT9</t>
  </si>
  <si>
    <t>Q9UHD9_UBQLN2</t>
  </si>
  <si>
    <t>Q9UHE8_STEAP1</t>
  </si>
  <si>
    <t>Q9UHG3_PCYOX1</t>
  </si>
  <si>
    <t>Q9UHI6_DDX20</t>
  </si>
  <si>
    <t>Q9UHJ6_SHPK</t>
  </si>
  <si>
    <t>Q9UHL4_DPP7</t>
  </si>
  <si>
    <t>Q9UHN1_POLG2</t>
  </si>
  <si>
    <t>Q9UHN6-2_TMEM2</t>
  </si>
  <si>
    <t>Q9UHQ1_NARF</t>
  </si>
  <si>
    <t>Q9UHQ4_BCAP29</t>
  </si>
  <si>
    <t>Q9UHQ9_CYB5R1</t>
  </si>
  <si>
    <t>Q9UHR6_ZNHIT2</t>
  </si>
  <si>
    <t>Q9UHV9_PFDN2</t>
  </si>
  <si>
    <t>Q9UHW5_GPN3</t>
  </si>
  <si>
    <t>Q9UHX1_PUF60</t>
  </si>
  <si>
    <t>Q9UHY1_NRBP1</t>
  </si>
  <si>
    <t>Q9UHY7_ENOPH1</t>
  </si>
  <si>
    <t>Q9UI08-2_EVL</t>
  </si>
  <si>
    <t>Q9UI09_NDUFA12</t>
  </si>
  <si>
    <t>Q9UI10_EIF2B4</t>
  </si>
  <si>
    <t>Q9UI10-3_EIF2B4</t>
  </si>
  <si>
    <t>Q9UI12-2_ATP6V1H</t>
  </si>
  <si>
    <t>Q9UI26_IPO11</t>
  </si>
  <si>
    <t>Q9UI30_TRMT112</t>
  </si>
  <si>
    <t>Q9UI43_FTSJ2</t>
  </si>
  <si>
    <t>Q9UIB8-3_CD84</t>
  </si>
  <si>
    <t>Q9UIC8_LCMT1</t>
  </si>
  <si>
    <t>Q9UID3_VPS51</t>
  </si>
  <si>
    <t>Q9UIG0-2_BAZ1B</t>
  </si>
  <si>
    <t>Q9UII2_ATPIF1</t>
  </si>
  <si>
    <t>Q9UIJ7_AK3</t>
  </si>
  <si>
    <t>Q9UIL1-3_SCOC</t>
  </si>
  <si>
    <t>Q9UIM3_FKBPL</t>
  </si>
  <si>
    <t>Q9UIQ6-3_LNPEP</t>
  </si>
  <si>
    <t>Q9UIV1_CNOT7</t>
  </si>
  <si>
    <t>Q9UJ14_GGT7</t>
  </si>
  <si>
    <t>Q9UJ68-2_MSRA</t>
  </si>
  <si>
    <t>Q9UJ70_NAGK</t>
  </si>
  <si>
    <t>Q9UJA5_TRMT6</t>
  </si>
  <si>
    <t>Q9UJG1-2_MOSPD1</t>
  </si>
  <si>
    <t>Q9UJK0_TSR3</t>
  </si>
  <si>
    <t>Q9UJS0_SLC25A13</t>
  </si>
  <si>
    <t>Q9UJT0_TUBE1</t>
  </si>
  <si>
    <t>Q9UJU2_LEF1</t>
  </si>
  <si>
    <t>Q9UJU6_DBNL</t>
  </si>
  <si>
    <t>Q9UJU6-2_DBNL</t>
  </si>
  <si>
    <t>Q9UJW0_DCTN4</t>
  </si>
  <si>
    <t>Q9UJX2_CDC23</t>
  </si>
  <si>
    <t>Q9UJX3_ANAPC7</t>
  </si>
  <si>
    <t>Q9UJX5_ANAPC4</t>
  </si>
  <si>
    <t>Q9UJX6-2_ANAPC2</t>
  </si>
  <si>
    <t>Q9UJY4_GGA2</t>
  </si>
  <si>
    <t>Q9UJY5-4_GGA1</t>
  </si>
  <si>
    <t>Q9UJZ1_STOML2</t>
  </si>
  <si>
    <t>Q9UK23-2_NAGPA</t>
  </si>
  <si>
    <t>Q9UK41_VPS28</t>
  </si>
  <si>
    <t>Q9UK45_LSM7</t>
  </si>
  <si>
    <t>Q9UK59_DBR1</t>
  </si>
  <si>
    <t>Q9UK76_HN1</t>
  </si>
  <si>
    <t>Q9UKD2_MRTO4</t>
  </si>
  <si>
    <t>Q9UKF6_CPSF3</t>
  </si>
  <si>
    <t>Q9UKG1_APPL1</t>
  </si>
  <si>
    <t>Q9UKI8-5_TLK1</t>
  </si>
  <si>
    <t>Q9UKJ1-3_PILRA</t>
  </si>
  <si>
    <t>Q9UKJ3_GPATCH8</t>
  </si>
  <si>
    <t>Q9UKK6_NXT1</t>
  </si>
  <si>
    <t>Q9UKL6_PCTP</t>
  </si>
  <si>
    <t>Q9UKM7_MAN1B1</t>
  </si>
  <si>
    <t>Q9UKM9_RALY</t>
  </si>
  <si>
    <t>Q9UKN8_GTF3C4</t>
  </si>
  <si>
    <t>Q9UKR5_C14orf1</t>
  </si>
  <si>
    <t>Q9UKS6_PACSIN3</t>
  </si>
  <si>
    <t>Q9UKT4-2_FBXO5</t>
  </si>
  <si>
    <t>Q9UKT5_FBXO4</t>
  </si>
  <si>
    <t>Q9UKU7_ACAD8</t>
  </si>
  <si>
    <t>Q9UKV5_AMFR</t>
  </si>
  <si>
    <t>Q9UKV8_AGO2</t>
  </si>
  <si>
    <t>Q9UKW4_VAV3</t>
  </si>
  <si>
    <t>Q9UKX7_NUP50</t>
  </si>
  <si>
    <t>Q9UKY1_ZHX1</t>
  </si>
  <si>
    <t>Q9UKY7_CDV3</t>
  </si>
  <si>
    <t>Q9UKZ1_CNOT11</t>
  </si>
  <si>
    <t>Q9UL15_BAG5</t>
  </si>
  <si>
    <t>Q9UL18_AGO1</t>
  </si>
  <si>
    <t>Q9UL25_RAB21</t>
  </si>
  <si>
    <t>Q9UL26_RAB22A</t>
  </si>
  <si>
    <t>Q9UL42_PNMA2</t>
  </si>
  <si>
    <t>Q9UL46_PSME2</t>
  </si>
  <si>
    <t>Q9UL63_MKLN1</t>
  </si>
  <si>
    <t>Q9ULC3_RAB23</t>
  </si>
  <si>
    <t>Q9ULC4_MCTS1</t>
  </si>
  <si>
    <t>Q9ULD2-4_MTUS1</t>
  </si>
  <si>
    <t>Q9ULE6_PALD1</t>
  </si>
  <si>
    <t>Q9ULF5_SLC39A10</t>
  </si>
  <si>
    <t>Q9ULH0-2_KIDINS220</t>
  </si>
  <si>
    <t>Q9ULH7-4_MKL2</t>
  </si>
  <si>
    <t>Q9ULI3_HEG1</t>
  </si>
  <si>
    <t>Q9ULJ3-2_ZBTB21</t>
  </si>
  <si>
    <t>Q9ULJ6_ZMIZ1</t>
  </si>
  <si>
    <t>Q9ULL5-3_PRR12</t>
  </si>
  <si>
    <t>Q9ULP9-2_TBC1D24</t>
  </si>
  <si>
    <t>Q9ULR0_ISY1</t>
  </si>
  <si>
    <t>Q9ULR3_PPM1H</t>
  </si>
  <si>
    <t>Q9ULT8_HECTD1</t>
  </si>
  <si>
    <t>Q9ULV4_CORO1C</t>
  </si>
  <si>
    <t>Q9ULW0_TPX2</t>
  </si>
  <si>
    <t>Q9ULX3_NOB1</t>
  </si>
  <si>
    <t>Q9ULX6_AKAP8L</t>
  </si>
  <si>
    <t>Q9ULX9-2_MAFF</t>
  </si>
  <si>
    <t>Q9UM13_ANAPC10</t>
  </si>
  <si>
    <t>Q9UM21_MGAT4A</t>
  </si>
  <si>
    <t>Q9UM47_NOTCH3</t>
  </si>
  <si>
    <t>Q9UMS0-3_NFU1</t>
  </si>
  <si>
    <t>Q9UMS4_PRPF19</t>
  </si>
  <si>
    <t>Q9UMX0_UBQLN1</t>
  </si>
  <si>
    <t>Q9UMX0-2_UBQLN1</t>
  </si>
  <si>
    <t>Q9UMX1-2_SUFU</t>
  </si>
  <si>
    <t>Q9UMX5_NENF</t>
  </si>
  <si>
    <t>Q9UMY1_NOL7</t>
  </si>
  <si>
    <t>Q9UMY4-2_SNX12</t>
  </si>
  <si>
    <t>Q9UMZ2-5_SYNRG</t>
  </si>
  <si>
    <t>Q9UN36-2_NDRG2</t>
  </si>
  <si>
    <t>Q9UN37_VPS4A</t>
  </si>
  <si>
    <t>Q9UN86-2_G3BP2</t>
  </si>
  <si>
    <t>Q9UNA1-2_ARHGAP26</t>
  </si>
  <si>
    <t>Q9UNE7_STUB1</t>
  </si>
  <si>
    <t>Q9UNF0-2_PACSIN2</t>
  </si>
  <si>
    <t>Q9UNF1_MAGED2</t>
  </si>
  <si>
    <t>Q9UNH7_SNX6</t>
  </si>
  <si>
    <t>Q9UNI6_DUSP12</t>
  </si>
  <si>
    <t>Q9UNK0_STX8</t>
  </si>
  <si>
    <t>Q9UNM6_PSMD13</t>
  </si>
  <si>
    <t>Q9UNN5_FAF1</t>
  </si>
  <si>
    <t>Q9UNP9_PPIE</t>
  </si>
  <si>
    <t>Q9UNQ2_DIMT1</t>
  </si>
  <si>
    <t>Q9UNS1-2_TIMELESS</t>
  </si>
  <si>
    <t>Q9UNS2_COPS3</t>
  </si>
  <si>
    <t>Q9UNT1-2_RABL2B</t>
  </si>
  <si>
    <t>Q9UNW1_MINPP1</t>
  </si>
  <si>
    <t>Q9UNX3_RPL26L1</t>
  </si>
  <si>
    <t>Q9UNX4_WDR3</t>
  </si>
  <si>
    <t>Q9UNY4_TTF2</t>
  </si>
  <si>
    <t>Q9UNZ2_NSFL1C</t>
  </si>
  <si>
    <t>Q9UNZ5_C19orf53</t>
  </si>
  <si>
    <t>Q9UP83_COG5</t>
  </si>
  <si>
    <t>Q9UP95-5_SLC12A4</t>
  </si>
  <si>
    <t>Q9UPN6_SCAF8</t>
  </si>
  <si>
    <t>Q9UPN7_PPP6R1</t>
  </si>
  <si>
    <t>Q9UPN9_TRIM33</t>
  </si>
  <si>
    <t>Q9UPN9-2_TRIM33</t>
  </si>
  <si>
    <t>Q9UPQ9-1_TNRC6B</t>
  </si>
  <si>
    <t>Q9UPR0_PLCL2</t>
  </si>
  <si>
    <t>Q9UPT5-1_EXOC7</t>
  </si>
  <si>
    <t>Q9UPT9_USP22</t>
  </si>
  <si>
    <t>Q9UPU5_USP24</t>
  </si>
  <si>
    <t>Q9UPW5_AGTPBP1</t>
  </si>
  <si>
    <t>Q9UPZ3-2_HPS5</t>
  </si>
  <si>
    <t>Q9UQ03-2_CORO2B</t>
  </si>
  <si>
    <t>Q9UQ13-2_SHOC2</t>
  </si>
  <si>
    <t>Q9UQ35_SRRM2</t>
  </si>
  <si>
    <t>Q9UQ80_PA2G4</t>
  </si>
  <si>
    <t>Q9UQ90_SPG7</t>
  </si>
  <si>
    <t>Q9UQE7_SMC3</t>
  </si>
  <si>
    <t>Q9UQN3_CHMP2B</t>
  </si>
  <si>
    <t>Q9UQP3_TNN</t>
  </si>
  <si>
    <t>Q9UQR0_SCML2</t>
  </si>
  <si>
    <t>Q9UQR1_ZNF148</t>
  </si>
  <si>
    <t>Q9Y217_MTMR6</t>
  </si>
  <si>
    <t>Q9Y219_JAG2</t>
  </si>
  <si>
    <t>Q9Y221_NIP7</t>
  </si>
  <si>
    <t>Q9Y223-3_GNE</t>
  </si>
  <si>
    <t>Q9Y224_C14orf166</t>
  </si>
  <si>
    <t>Q9Y228_TRAF3IP3</t>
  </si>
  <si>
    <t>Q9Y230_RUVBL2</t>
  </si>
  <si>
    <t>Q9Y232-2_CDYL</t>
  </si>
  <si>
    <t>Q9Y237_PIN4</t>
  </si>
  <si>
    <t>Q9Y244_POMP</t>
  </si>
  <si>
    <t>Q9Y248_GINS2</t>
  </si>
  <si>
    <t>Q9Y250-5_LZTS1</t>
  </si>
  <si>
    <t>Q9Y259_CHKB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</si>
  <si>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</si>
  <si>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</si>
  <si>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</si>
  <si>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</si>
  <si>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</si>
  <si>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</si>
  <si>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</si>
  <si>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</si>
  <si>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</si>
  <si>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Q9Y296_TRAPPC4</t>
  </si>
  <si>
    <t>Q9Y2A7_NCKAP1</t>
  </si>
  <si>
    <t>Q9Y2B0_CNPY2</t>
  </si>
  <si>
    <t>Q9Y2C2_UST</t>
  </si>
  <si>
    <t>Q9Y2C4_EXOG</t>
  </si>
  <si>
    <t>Q9Y2D4_EXOC6B</t>
  </si>
  <si>
    <t>Q9Y2D5-6_AKAP2</t>
  </si>
  <si>
    <t>Q9Y2G2-4_CARD8</t>
  </si>
  <si>
    <t>Q9Y2G3_ATP11B</t>
  </si>
  <si>
    <t>Q9Y2G5_POFUT2</t>
  </si>
  <si>
    <t>Q9Y2H0-3_DLGAP4</t>
  </si>
  <si>
    <t>Q9Y2H1_STK38L</t>
  </si>
  <si>
    <t>Q9Y2H2-3_INPP5F</t>
  </si>
  <si>
    <t>Q9Y2H6-2_FNDC3A</t>
  </si>
  <si>
    <t>Q9Y2I1_NISCH</t>
  </si>
  <si>
    <t>Q9Y2I7_PIKFYVE</t>
  </si>
  <si>
    <t>Q9Y2I8_WDR37</t>
  </si>
  <si>
    <t>Q9Y2K1_ZBTB1</t>
  </si>
  <si>
    <t>Q9Y2K6_USP20</t>
  </si>
  <si>
    <t>Q9Y2K7_KDM2A</t>
  </si>
  <si>
    <t>Q9Y2L1_DIS3</t>
  </si>
  <si>
    <t>Q9Y2L9-2_LRCH1</t>
  </si>
  <si>
    <t>Q9Y2P8_RCL1</t>
  </si>
  <si>
    <t>Q9Y2Q0-3_ATP8A1</t>
  </si>
  <si>
    <t>Q9Y2Q3_GSTK1</t>
  </si>
  <si>
    <t>Q9Y2Q5_LAMTOR2</t>
  </si>
  <si>
    <t>Q9Y2Q9_MRPS28</t>
  </si>
  <si>
    <t>Q9Y2R0_COA3</t>
  </si>
  <si>
    <t>Q9Y2R4_DDX52</t>
  </si>
  <si>
    <t>Q9Y2S0_POLR1D</t>
  </si>
  <si>
    <t>Q9Y2S2-2_CRYL1</t>
  </si>
  <si>
    <t>Q9Y2S6_TMA7</t>
  </si>
  <si>
    <t>Q9Y2S7_POLDIP2</t>
  </si>
  <si>
    <t>Q9Y2T2_AP3M1</t>
  </si>
  <si>
    <t>Q9Y2T7_YBX2</t>
  </si>
  <si>
    <t>Q9Y2U5_MAP3K2</t>
  </si>
  <si>
    <t>Q9Y2U8_LEMD3</t>
  </si>
  <si>
    <t>Q9Y2V2_CARHSP1</t>
  </si>
  <si>
    <t>Q9Y2V7-2_COG6</t>
  </si>
  <si>
    <t>Q9Y2W1_THRAP3</t>
  </si>
  <si>
    <t>Q9Y2X0-2_MED16</t>
  </si>
  <si>
    <t>Q9Y2X3_NOP58</t>
  </si>
  <si>
    <t>Q9Y2X7_GIT1</t>
  </si>
  <si>
    <t>Q9Y2Y1_POLR3K</t>
  </si>
  <si>
    <t>Q9Y2Y9_KLF13</t>
  </si>
  <si>
    <t>Q9Y2Z0_SUGT1</t>
  </si>
  <si>
    <t>Q9Y2Z0-2_SUGT1</t>
  </si>
  <si>
    <t>Q9Y2Z4_YARS2</t>
  </si>
  <si>
    <t>Q9Y2Z9-3_COQ6</t>
  </si>
  <si>
    <t>Q9Y303_AMDHD2</t>
  </si>
  <si>
    <t>Q9Y314_NOSIP</t>
  </si>
  <si>
    <t>Q9Y315_DERA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</si>
  <si>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</si>
  <si>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</si>
  <si>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</si>
  <si>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</si>
  <si>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</si>
  <si>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</si>
  <si>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</si>
  <si>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</si>
  <si>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Q9Y388_RBMX2</t>
  </si>
  <si>
    <t>Q9Y394-2_DHRS7</t>
  </si>
  <si>
    <t>Q9Y399_MRPS2</t>
  </si>
  <si>
    <t>Q9Y3A3-3_MOB4</t>
  </si>
  <si>
    <t>Q9Y3A4_RRP7A</t>
  </si>
  <si>
    <t>Q9Y3A5_SBDS</t>
  </si>
  <si>
    <t>Q9Y3A6_TMED5</t>
  </si>
  <si>
    <t>Q9Y3B3_TMED7</t>
  </si>
  <si>
    <t>Q9Y3B4_SF3B14</t>
  </si>
  <si>
    <t>Q9Y3B7-2_MRPL11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</si>
  <si>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</si>
  <si>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</si>
  <si>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</si>
  <si>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</si>
  <si>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</si>
  <si>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</si>
  <si>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</si>
  <si>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</si>
  <si>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Q9Y3D5_MRPS18C</t>
  </si>
  <si>
    <t>Q9Y3D6_FIS1</t>
  </si>
  <si>
    <t>Q9Y3D8_TAF9</t>
  </si>
  <si>
    <t>Q9Y3D9_MRPS23</t>
  </si>
  <si>
    <t>Q9Y3E1_HDGFRP3</t>
  </si>
  <si>
    <t>Q9Y3E2_BOLA1</t>
  </si>
  <si>
    <t>Q9Y3E7-4_CHMP3</t>
  </si>
  <si>
    <t>Q9Y3F4_STRAP</t>
  </si>
  <si>
    <t>Q9Y3I0_C22orf28</t>
  </si>
  <si>
    <t>Q9Y3I1-3_FBXO7</t>
  </si>
  <si>
    <t>Q9Y3L3_SH3BP1</t>
  </si>
  <si>
    <t>Q9Y3L5_RAP2C</t>
  </si>
  <si>
    <t>Q9Y3P8_SIT1</t>
  </si>
  <si>
    <t>Q9Y3P9_RABGAP1</t>
  </si>
  <si>
    <t>Q9Y3Q3_TMED3</t>
  </si>
  <si>
    <t>Q9Y3Q8_TSC22D4</t>
  </si>
  <si>
    <t>Q9Y3S2_ZNF330</t>
  </si>
  <si>
    <t>Q9Y3T9_NOC2L</t>
  </si>
  <si>
    <t>Q9Y3U8_RPL36</t>
  </si>
  <si>
    <t>Q9Y3V2-2_RWDD3</t>
  </si>
  <si>
    <t>Q9Y3X0_CCDC9</t>
  </si>
  <si>
    <t>Q9Y3Y2-4_CHTOP</t>
  </si>
  <si>
    <t>Q9Y421_FAM32A</t>
  </si>
  <si>
    <t>Q9Y448_KNSTRN</t>
  </si>
  <si>
    <t>Q9Y450_HBS1L</t>
  </si>
  <si>
    <t>Q9Y450-2_HBS1L</t>
  </si>
  <si>
    <t>Q9Y478_PRKAB1</t>
  </si>
  <si>
    <t>Q9Y487_ATP6V0A2</t>
  </si>
  <si>
    <t>Q9Y490_TLN1</t>
  </si>
  <si>
    <t>Q9Y4B4_RAD54L2</t>
  </si>
  <si>
    <t>Q9Y4B6-2_VPRBP</t>
  </si>
  <si>
    <t>Q9Y4C1_KDM3A</t>
  </si>
  <si>
    <t>Q9Y4C2-2_FAM115A</t>
  </si>
  <si>
    <t>Q9Y4C8_RBM19</t>
  </si>
  <si>
    <t>Q9Y4D1-2_DAAM1</t>
  </si>
  <si>
    <t>Q9Y4D7-2_PLXND1</t>
  </si>
  <si>
    <t>Q9Y4E1-2_FAM21C</t>
  </si>
  <si>
    <t>Q9Y4E6-2_WDR7</t>
  </si>
  <si>
    <t>Q9Y4G6_TLN2</t>
  </si>
  <si>
    <t>Q9Y4K1_AIM1</t>
  </si>
  <si>
    <t>Q9Y4K3_TRAF6</t>
  </si>
  <si>
    <t>Q9Y4K4_MAP4K5</t>
  </si>
  <si>
    <t>Q9Y4L1_HYOU1</t>
  </si>
  <si>
    <t>Q9Y4P1-6_ATG4B</t>
  </si>
  <si>
    <t>Q9Y4P8-3_WIPI2</t>
  </si>
  <si>
    <t>Q9Y4R8_TELO2</t>
  </si>
  <si>
    <t>Q9Y4W6_AFG3L2</t>
  </si>
  <si>
    <t>Q9Y4X4_KLF12</t>
  </si>
  <si>
    <t>Q9Y4X5_ARIH1</t>
  </si>
  <si>
    <t>Q9Y4Z0_LSM4</t>
  </si>
  <si>
    <t>Q9Y508_RNF114</t>
  </si>
  <si>
    <t>Q9Y512_SAMM50</t>
  </si>
  <si>
    <t>Q9Y520-5_PRRC2C</t>
  </si>
  <si>
    <t>Q9Y547_HSPB11</t>
  </si>
  <si>
    <t>Q9Y570_PPME1</t>
  </si>
  <si>
    <t>Q9Y584_TIMM22</t>
  </si>
  <si>
    <t>Q9Y5A9_YTHDF2</t>
  </si>
  <si>
    <t>Q9Y5B0_CTDP1</t>
  </si>
  <si>
    <t>Q9Y5B6_PAXBP1</t>
  </si>
  <si>
    <t>Q9Y5B8_NME7</t>
  </si>
  <si>
    <t>Q9Y5B9_SUPT16H</t>
  </si>
  <si>
    <t>Q9Y5J1_UTP18</t>
  </si>
  <si>
    <t>Q9Y5J6_TIMM10B</t>
  </si>
  <si>
    <t>Q9Y5J7_TIMM9</t>
  </si>
  <si>
    <t>Q9Y5K5-2_UCHL5</t>
  </si>
  <si>
    <t>Q9Y5K6_CD2AP</t>
  </si>
  <si>
    <t>Q9Y5K8_ATP6V1D</t>
  </si>
  <si>
    <t>Q9Y5L4_TIMM13</t>
  </si>
  <si>
    <t>Q9Y5M8_SRPRB</t>
  </si>
  <si>
    <t>Q9Y5N5_N6AMT1</t>
  </si>
  <si>
    <t>Q9Y5N6_ORC6</t>
  </si>
  <si>
    <t>Q9Y5P4-2_COL4A3BP</t>
  </si>
  <si>
    <t>Q9Y5P6_GMPPB</t>
  </si>
  <si>
    <t>Q9Y5Q9_GTF3C3</t>
  </si>
  <si>
    <t>Q9Y5R8_TRAPPC1</t>
  </si>
  <si>
    <t>Q9Y5S1_TRPV2</t>
  </si>
  <si>
    <t>Q9Y5S9_RBM8A</t>
  </si>
  <si>
    <t>Q9Y5T4_DNAJC15</t>
  </si>
  <si>
    <t>Q9Y5T5-2_USP16</t>
  </si>
  <si>
    <t>Q9Y5U2-2_TSSC4</t>
  </si>
  <si>
    <t>Q9Y5U9_IER3IP1</t>
  </si>
  <si>
    <t>Q9Y5V0_ZNF706</t>
  </si>
  <si>
    <t>Q9Y5V3_MAGED1</t>
  </si>
  <si>
    <t>Q9Y5X1_SNX9</t>
  </si>
  <si>
    <t>Q9Y5X2_SNX8</t>
  </si>
  <si>
    <t>Q9Y5X3_SNX5</t>
  </si>
  <si>
    <t>Q9Y5Y0_FLVCR1</t>
  </si>
  <si>
    <t>Q9Y5Y2_NUBP2</t>
  </si>
  <si>
    <t>Q9Y5Z4_HEBP2</t>
  </si>
  <si>
    <t>Q9Y5Z7_HCFC2</t>
  </si>
  <si>
    <t>Q9Y5Z9-2_UBIAD1</t>
  </si>
  <si>
    <t>Q9Y605_MRFAP1</t>
  </si>
  <si>
    <t>Q9Y608-4_LRRFIP2</t>
  </si>
  <si>
    <t>Q9Y617_PSAT1</t>
  </si>
  <si>
    <t>Q9Y619_SLC25A15</t>
  </si>
  <si>
    <t>Q9Y639-1_NPTN</t>
  </si>
  <si>
    <t>Q9Y657_SPIN1</t>
  </si>
  <si>
    <t>Q9Y664_KPTN</t>
  </si>
  <si>
    <t>Q9Y666_SLC12A7</t>
  </si>
  <si>
    <t>Q9Y673_ALG5</t>
  </si>
  <si>
    <t>Q9Y676_MRPS18B</t>
  </si>
  <si>
    <t>Q9Y678_COPG1</t>
  </si>
  <si>
    <t>Q9Y679-2_AUP1</t>
  </si>
  <si>
    <t>Q9Y680-2_FKBP7</t>
  </si>
  <si>
    <t>Q9Y689-2_ARL5A</t>
  </si>
  <si>
    <t>Q9Y692-2_GMEB1</t>
  </si>
  <si>
    <t>Q9Y696_CLIC4</t>
  </si>
  <si>
    <t>Q9Y697-2_NFS1</t>
  </si>
  <si>
    <t>Q9Y6A4_C16orf80</t>
  </si>
  <si>
    <t>Q9Y6A5_TACC3</t>
  </si>
  <si>
    <t>Q9Y6B6_SAR1B</t>
  </si>
  <si>
    <t>Q9Y6B7_AP4B1</t>
  </si>
  <si>
    <t>Q9Y6C9_MTCH2</t>
  </si>
  <si>
    <t>Q9Y6D6_ARFGEF1</t>
  </si>
  <si>
    <t>Q9Y6D9_MAD1L1</t>
  </si>
  <si>
    <t>Q9Y6E0-2_STK24</t>
  </si>
  <si>
    <t>Q9Y6G9_DYNC1LI1</t>
  </si>
  <si>
    <t>Q9Y6H1_CHCHD2</t>
  </si>
  <si>
    <t>Q9Y6H3_XRCC6BP1</t>
  </si>
  <si>
    <t>Q9Y6I3_EPN1</t>
  </si>
  <si>
    <t>Q9Y6I9_TEX264</t>
  </si>
  <si>
    <t>Q9Y6K1_DNMT3A</t>
  </si>
  <si>
    <t>Q9Y6K5_OAS3</t>
  </si>
  <si>
    <t>Q9Y6K9_IKBKG</t>
  </si>
  <si>
    <t>Q9Y6M4_CSNK1G3</t>
  </si>
  <si>
    <t>Q9Y6M5_SLC30A1</t>
  </si>
  <si>
    <t>Q9Y6M9_NDUFB9</t>
  </si>
  <si>
    <t>Q9Y6N1_COX11</t>
  </si>
  <si>
    <t>Q9Y6N5_SQRDL</t>
  </si>
  <si>
    <t>Q9Y6N9-3_USH1C</t>
  </si>
  <si>
    <t>Q9Y6P5-2_SESN1</t>
  </si>
  <si>
    <t>Q9Y6Q9-5_NCOA3</t>
  </si>
  <si>
    <t>Q9Y6V7_DDX49</t>
  </si>
  <si>
    <t>Q9Y6W3_CAPN7</t>
  </si>
  <si>
    <t>Q9Y6W5_WASF2</t>
  </si>
  <si>
    <t>Q9Y6X4_FAM169A</t>
  </si>
  <si>
    <t>Q9Y6X5_ENPP4</t>
  </si>
  <si>
    <t>Q9Y6X8_ZHX2</t>
  </si>
  <si>
    <t>Q9Y6X9_MORC2</t>
  </si>
  <si>
    <t>Q9Y6Y0_IVNS1ABP</t>
  </si>
  <si>
    <t>R4GMR5_PSMD8</t>
  </si>
  <si>
    <t>R4GMU1_H6PD</t>
  </si>
  <si>
    <t>R4GMX3_BMI1</t>
  </si>
  <si>
    <t>R4GMX8_RANBP10</t>
  </si>
  <si>
    <t>R4GN55_YTHDF3</t>
  </si>
  <si>
    <t>R4GNB2_DENND4C</t>
  </si>
  <si>
    <t>R4GNH3_PSMC3</t>
  </si>
  <si>
    <t>R4GNJ4_TMEM219</t>
  </si>
  <si>
    <t>Melting_Curves/meltCurve_A0AVT1_UBA6.pdf</t>
  </si>
  <si>
    <t>Melting_Curves/meltCurve_A0JNW5_UHRF1BP1L.pdf</t>
  </si>
  <si>
    <t>Melting_Curves/meltCurve_A0MZ66_4_KIAA1598.pdf</t>
  </si>
  <si>
    <t>Melting_Curves/meltCurve_A0PJW6_TMEM223.pdf</t>
  </si>
  <si>
    <t>Melting_Curves/meltCurve_A1L0T0_ILVBL.pdf</t>
  </si>
  <si>
    <t>Melting_Curves/meltCurve_A1L188_C17orf89.pdf</t>
  </si>
  <si>
    <t>Melting_Curves/meltCurve_A1L3A6_NUFIP2.pdf</t>
  </si>
  <si>
    <t>Melting_Curves/meltCurve_A1X283_SH3PXD2B.pdf</t>
  </si>
  <si>
    <t>Melting_Curves/meltCurve_A2A274_ACO2.pdf</t>
  </si>
  <si>
    <t>Melting_Curves/meltCurve_A2A2G4_ALG6.pdf</t>
  </si>
  <si>
    <t>Melting_Curves/meltCurve_A2A2V1_PRNP.pdf</t>
  </si>
  <si>
    <t>Melting_Curves/meltCurve_A2A3N6_PIPSL.pdf</t>
  </si>
  <si>
    <t>Melting_Curves/meltCurve_A2ABK1_NELFE.pdf</t>
  </si>
  <si>
    <t>Melting_Curves/meltCurve_A2RRP1_NBAS.pdf</t>
  </si>
  <si>
    <t>Melting_Curves/meltCurve_A2RU67_KIAA1467.pdf</t>
  </si>
  <si>
    <t>Melting_Curves/meltCurve_A2VDF0_2_FUOM.pdf</t>
  </si>
  <si>
    <t>Melting_Curves/meltCurve_A3KMH1_3_VWA8.pdf</t>
  </si>
  <si>
    <t>Melting_Curves/meltCurve_A3KN83_3_SBNO1.pdf</t>
  </si>
  <si>
    <t>Melting_Curves/meltCurve_A4D161_2_FAM221A.pdf</t>
  </si>
  <si>
    <t>Melting_Curves/meltCurve_A4D1E9_GTPBP10.pdf</t>
  </si>
  <si>
    <t>Melting_Curves/meltCurve_A4D1U4_LCHN.pdf</t>
  </si>
  <si>
    <t>Melting_Curves/meltCurve_A4D1W8_UCC1.pdf</t>
  </si>
  <si>
    <t>Melting_Curves/meltCurve_A4D2B0_MBLAC1.pdf</t>
  </si>
  <si>
    <t>Melting_Curves/meltCurve_A5PLL7_TMEM189.pdf</t>
  </si>
  <si>
    <t>Melting_Curves/meltCurve_A5PLN9_7_TRAPPC13.pdf</t>
  </si>
  <si>
    <t>Melting_Curves/meltCurve_A5YKK6_CNOT1.pdf</t>
  </si>
  <si>
    <t>Melting_Curves/meltCurve_A6NC98_CCDC88B.pdf</t>
  </si>
  <si>
    <t>Melting_Curves/meltCurve_A6NDG6_PGP.pdf</t>
  </si>
  <si>
    <t>Melting_Curves/meltCurve_A6NED2_RCCD1.pdf</t>
  </si>
  <si>
    <t>Melting_Curves/meltCurve_A6NEM2_HCFC1.pdf</t>
  </si>
  <si>
    <t>Melting_Curves/meltCurve_A6NEM5_PIGK.pdf</t>
  </si>
  <si>
    <t>Melting_Curves/meltCurve_A6NF48_ZNF281.pdf</t>
  </si>
  <si>
    <t>Melting_Curves/meltCurve_A6NFI3_ZNF316.pdf</t>
  </si>
  <si>
    <t>Melting_Curves/meltCurve_A6NFX8_NUDT5.pdf</t>
  </si>
  <si>
    <t>Melting_Curves/meltCurve_A6NG32_CHMP1A.pdf</t>
  </si>
  <si>
    <t>Melting_Curves/meltCurve_A6NG79_PRCC.pdf</t>
  </si>
  <si>
    <t>Melting_Curves/meltCurve_A6NGP5_HN1L.pdf</t>
  </si>
  <si>
    <t>Melting_Curves/meltCurve_A6NHB5_ZMYM3.pdf</t>
  </si>
  <si>
    <t>Melting_Curves/meltCurve_A6NHL2_2_TUBAL3.pdf</t>
  </si>
  <si>
    <t>Melting_Curves/meltCurve_A6NHQ2_FBLL1.pdf</t>
  </si>
  <si>
    <t>Melting_Curves/meltCurve_A6NHR9_SMCHD1.pdf</t>
  </si>
  <si>
    <t>Melting_Curves/meltCurve_A6NHX0_GATSL2.pdf</t>
  </si>
  <si>
    <t>Melting_Curves/meltCurve_A6NIH7_UNC119B.pdf</t>
  </si>
  <si>
    <t>Melting_Curves/meltCurve_A6NIW2_DOCK11.pdf</t>
  </si>
  <si>
    <t>Melting_Curves/meltCurve_A6NIZ0_NDEL1.pdf</t>
  </si>
  <si>
    <t>Melting_Curves/meltCurve_A6NJ78_METTL15.pdf</t>
  </si>
  <si>
    <t>Melting_Curves/meltCurve_A6NK58_LIPT2.pdf</t>
  </si>
  <si>
    <t>Melting_Curves/meltCurve_A6NKD9_CCDC85C.pdf</t>
  </si>
  <si>
    <t>Melting_Curves/meltCurve_A6NKF9_GPR89C.pdf</t>
  </si>
  <si>
    <t>Melting_Curves/meltCurve_A6NLH6_CNIH4.pdf</t>
  </si>
  <si>
    <t>Melting_Curves/meltCurve_A6NMH6_SEPT8.pdf</t>
  </si>
  <si>
    <t>Melting_Curves/meltCurve_A6NML8_DIAPH2.pdf</t>
  </si>
  <si>
    <t>Melting_Curves/meltCurve_A6NMN0_PHKA1.pdf</t>
  </si>
  <si>
    <t>Melting_Curves/meltCurve_A6NMQ1_POLA1.pdf</t>
  </si>
  <si>
    <t>Melting_Curves/meltCurve_A6NN80_ANXA6.pdf</t>
  </si>
  <si>
    <t>Melting_Curves/meltCurve_A6PVN5_PPP2R4.pdf</t>
  </si>
  <si>
    <t>Melting_Curves/meltCurve_A6QL63_BTBD11.pdf</t>
  </si>
  <si>
    <t>Melting_Curves/meltCurve_A8K0B5_ZBTB8OS.pdf</t>
  </si>
  <si>
    <t>Melting_Curves/meltCurve_A8K0M9_SELK.pdf</t>
  </si>
  <si>
    <t>Melting_Curves/meltCurve_A8K186_ZNF276.pdf</t>
  </si>
  <si>
    <t>Melting_Curves/meltCurve_A8MPS7_YDJC.pdf</t>
  </si>
  <si>
    <t>Melting_Curves/meltCurve_A8MQ02_MLLT4.pdf</t>
  </si>
  <si>
    <t>Melting_Curves/meltCurve_A8MQ14_ZNF850.pdf</t>
  </si>
  <si>
    <t>Melting_Curves/meltCurve_A8MT02_SNRPB.pdf</t>
  </si>
  <si>
    <t>Melting_Curves/meltCurve_A8MTG8_ARMC8.pdf</t>
  </si>
  <si>
    <t>Melting_Curves/meltCurve_A8MTY9_DSCR3.pdf</t>
  </si>
  <si>
    <t>Melting_Curves/meltCurve_A8MTZ6_S100PBP.pdf</t>
  </si>
  <si>
    <t>Melting_Curves/meltCurve_A8MUA9_SUMO3.pdf</t>
  </si>
  <si>
    <t>Melting_Curves/meltCurve_A8MUB1_TUBA4A.pdf</t>
  </si>
  <si>
    <t>Melting_Curves/meltCurve_A8MUM1_TSSC1.pdf</t>
  </si>
  <si>
    <t>Melting_Curves/meltCurve_A8MV73_ATF7IP.pdf</t>
  </si>
  <si>
    <t>Melting_Curves/meltCurve_A8MVW0_FAM171A2.pdf</t>
  </si>
  <si>
    <t>Melting_Curves/meltCurve_A8MVZ6_BICD1.pdf</t>
  </si>
  <si>
    <t>Melting_Curves/meltCurve_A8MW61_PLRG1.pdf</t>
  </si>
  <si>
    <t>Melting_Curves/meltCurve_A8MXP9_MATR3.pdf</t>
  </si>
  <si>
    <t>Melting_Curves/meltCurve_A8MYN5_ADH1B.pdf</t>
  </si>
  <si>
    <t>Melting_Curves/meltCurve_A8MZ84_LAIR1.pdf</t>
  </si>
  <si>
    <t>Melting_Curves/meltCurve_A9UHW6_MIF4GD.pdf</t>
  </si>
  <si>
    <t>Melting_Curves/meltCurve_A9Z1X7_SRRM1.pdf</t>
  </si>
  <si>
    <t>Melting_Curves/meltCurve_B0AZU2_KIAA0930.pdf</t>
  </si>
  <si>
    <t>Melting_Curves/meltCurve_B0FLL2_PFKFB2.pdf</t>
  </si>
  <si>
    <t>Melting_Curves/meltCurve_B0I1T2_MYO1G.pdf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</si>
  <si>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</si>
  <si>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</si>
  <si>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</si>
  <si>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</si>
  <si>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Melting_Curves/meltCurve_B0UX83_BAG6.pdf</t>
  </si>
  <si>
    <t>Melting_Curves/meltCurve_B0UXB6_ABHD16A.pdf</t>
  </si>
  <si>
    <t>Melting_Curves/meltCurve_B0UZY3_EHMT2.pdf</t>
  </si>
  <si>
    <t>Melting_Curves/meltCurve_B0V043_VARS.pdf</t>
  </si>
  <si>
    <t>Melting_Curves/meltCurve_B0YIW2_APOC3.pdf</t>
  </si>
  <si>
    <t>Melting_Curves/meltCurve_B1AHD1_NHP2L1.pdf</t>
  </si>
  <si>
    <t>Melting_Curves/meltCurve_B1AHQ6_CENPM.pdf</t>
  </si>
  <si>
    <t>Melting_Curves/meltCurve_B1AJU2_TRAF3IP3.pdf</t>
  </si>
  <si>
    <t>Melting_Curves/meltCurve_B1AJY7_PSMD10.pdf</t>
  </si>
  <si>
    <t>Melting_Curves/meltCurve_B1AK13_HMGCL.pdf</t>
  </si>
  <si>
    <t>Melting_Curves/meltCurve_B1AK44_MAD2L2.pdf</t>
  </si>
  <si>
    <t>Melting_Curves/meltCurve_B1AKC9_EPHB2.pdf</t>
  </si>
  <si>
    <t>Melting_Curves/meltCurve_B1AKJ5_NRD1.pdf</t>
  </si>
  <si>
    <t>Melting_Curves/meltCurve_B1AKJ6_OSBPL9.pdf</t>
  </si>
  <si>
    <t>Melting_Curves/meltCurve_B1AKL4_EIF4ENIF1.pdf</t>
  </si>
  <si>
    <t>Melting_Curves/meltCurve_B1AKN7_NFIA.pdf</t>
  </si>
  <si>
    <t>Melting_Curves/meltCurve_B1AKR6_DYNLRB1.pdf</t>
  </si>
  <si>
    <t>Melting_Curves/meltCurve_B1AKZ5_PEA15.pdf</t>
  </si>
  <si>
    <t>Melting_Curves/meltCurve_B1AL69_CDC37L1.pdf</t>
  </si>
  <si>
    <t>Melting_Curves/meltCurve_B1ALK7_ARHGEF7.pdf</t>
  </si>
  <si>
    <t>Melting_Curves/meltCurve_B1ALM5_TMEM9.pdf</t>
  </si>
  <si>
    <t>Melting_Curves/meltCurve_B1AMF0_UBE2J2.pdf</t>
  </si>
  <si>
    <t>Melting_Curves/meltCurve_B1AMS2_SEPT6.pdf</t>
  </si>
  <si>
    <t>Melting_Curves/meltCurve_B1AMU7_EXOSC1.pdf</t>
  </si>
  <si>
    <t>Melting_Curves/meltCurve_B1AMW1_CD58.pdf</t>
  </si>
  <si>
    <t>Melting_Curves/meltCurve_B1AN89_EIF4G3.pdf</t>
  </si>
  <si>
    <t>Melting_Curves/meltCurve_B1AN99_PRSS3.pdf</t>
  </si>
  <si>
    <t>Melting_Curves/meltCurve_B1ANH0_GUK1.pdf</t>
  </si>
  <si>
    <t>Melting_Curves/meltCurve_B1AQP1_USF1.pdf</t>
  </si>
  <si>
    <t>Melting_Curves/meltCurve_B1AZV3_TAP1.pdf</t>
  </si>
  <si>
    <t>Melting_Curves/meltCurve_B2WTI3_JMJD6.pdf</t>
  </si>
  <si>
    <t>Melting_Curves/meltCurve_B3FL70_DOCK10_2.pdf</t>
  </si>
  <si>
    <t>Melting_Curves/meltCurve_B3KPJ4_PHC2.pdf</t>
  </si>
  <si>
    <t>Melting_Curves/meltCurve_B3KRR0_ERCC1.pdf</t>
  </si>
  <si>
    <t>Melting_Curves/meltCurve_B3KS98_EIF3S3.pdf</t>
  </si>
  <si>
    <t>Melting_Curves/meltCurve_B3KSH1_EIF3F.pdf</t>
  </si>
  <si>
    <t>Melting_Curves/meltCurve_B3KSI9_LZTFL1.pdf</t>
  </si>
  <si>
    <t>Melting_Curves/meltCurve_B3KUK2_SOD2.pdf</t>
  </si>
  <si>
    <t>Melting_Curves/meltCurve_B3KVH8_PHF23.pdf</t>
  </si>
  <si>
    <t>Melting_Curves/meltCurve_B3KXW5_AP1G1.pdf</t>
  </si>
  <si>
    <t>Melting_Curves/meltCurve_B3KY83_RXRA.pdf</t>
  </si>
  <si>
    <t>Melting_Curves/meltCurve_B3KY94_CDIPT.pdf</t>
  </si>
  <si>
    <t>Melting_Curves/meltCurve_B4DDF4_CNN2.pdf</t>
  </si>
  <si>
    <t>Melting_Curves/meltCurve_B4DDY8_HARS2.pdf</t>
  </si>
  <si>
    <t>Melting_Curves/meltCurve_B4DE60_REEP2.pdf</t>
  </si>
  <si>
    <t>Melting_Curves/meltCurve_B4DEB8_TSPAN7.pdf</t>
  </si>
  <si>
    <t>Melting_Curves/meltCurve_B4DEX5_PRNPIP.pdf</t>
  </si>
  <si>
    <t>Melting_Curves/meltCurve_B4DEZ3_NDUFA13.pdf</t>
  </si>
  <si>
    <t>Melting_Curves/meltCurve_B4DF47_MSTO1.pdf</t>
  </si>
  <si>
    <t>Melting_Curves/meltCurve_B4DF64_HAUS3.pdf</t>
  </si>
  <si>
    <t>Melting_Curves/meltCurve_B4DFI9_HUS1.pdf</t>
  </si>
  <si>
    <t>Melting_Curves/meltCurve_B4DGU4_CTNNB1.pdf</t>
  </si>
  <si>
    <t>Melting_Curves/meltCurve_B4DGX2_PIP4K2A.pdf</t>
  </si>
  <si>
    <t>Melting_Curves/meltCurve_B4DH26_DCUN1D4.pdf</t>
  </si>
  <si>
    <t>Melting_Curves/meltCurve_B4DH53_MAP1S.pdf</t>
  </si>
  <si>
    <t>Melting_Curves/meltCurve_B4DH70_FBXW11.pdf</t>
  </si>
  <si>
    <t>Melting_Curves/meltCurve_B4DHJ7_BNIP3.pdf</t>
  </si>
  <si>
    <t>Melting_Curves/meltCurve_B4DHL3_LRRC28.pdf</t>
  </si>
  <si>
    <t>Melting_Curves/meltCurve_B4DHT5_ACSF2.pdf</t>
  </si>
  <si>
    <t>Melting_Curves/meltCurve_B4DIG7_PIP5K1B.pdf</t>
  </si>
  <si>
    <t>Melting_Curves/meltCurve_B4DJA5_RAB5A.pdf</t>
  </si>
  <si>
    <t>Melting_Curves/meltCurve_B4DJI5_ISCA1.pdf</t>
  </si>
  <si>
    <t>Melting_Curves/meltCurve_B4DJN5_PRKCH.pdf</t>
  </si>
  <si>
    <t>Melting_Curves/meltCurve_B4DJP7_SNRPD3.pdf</t>
  </si>
  <si>
    <t>Melting_Curves/meltCurve_B4DJV2_CS.pdf</t>
  </si>
  <si>
    <t>Melting_Curves/meltCurve_B4DKF9_ZNF286A.pdf</t>
  </si>
  <si>
    <t>Melting_Curves/meltCurve_B4DL05_SHQ1.pdf</t>
  </si>
  <si>
    <t>Melting_Curves/meltCurve_B4DL54_CHURC1_FNTB.pdf</t>
  </si>
  <si>
    <t>Melting_Curves/meltCurve_B4DLN1_SLC25A10.pdf</t>
  </si>
  <si>
    <t>Melting_Curves/meltCurve_B4DLT4_RPS6KB1.pdf</t>
  </si>
  <si>
    <t>Melting_Curves/meltCurve_B4DLU3_PGS1.pdf</t>
  </si>
  <si>
    <t>Melting_Curves/meltCurve_B4DLZ9_RNF220.pdf</t>
  </si>
  <si>
    <t>Melting_Curves/meltCurve_B4DN34_MRPL48.pdf</t>
  </si>
  <si>
    <t>Melting_Curves/meltCurve_B4DNC9_ISCU.pdf</t>
  </si>
  <si>
    <t>Melting_Curves/meltCurve_B4DNW0_ACY1.pdf</t>
  </si>
  <si>
    <t>Melting_Curves/meltCurve_B4DP21_PTGES3.pdf</t>
  </si>
  <si>
    <t>Melting_Curves/meltCurve_B4DPY8_TOX4.pdf</t>
  </si>
  <si>
    <t>Melting_Curves/meltCurve_B4DQI6_TRA2A.pdf</t>
  </si>
  <si>
    <t>Melting_Curves/meltCurve_B4DQJ8_PGD.pdf</t>
  </si>
  <si>
    <t>Melting_Curves/meltCurve_B4DR12_MGRN1.pdf</t>
  </si>
  <si>
    <t>Melting_Curves/meltCurve_B4DR61_SEC61A1.pdf</t>
  </si>
  <si>
    <t>Melting_Curves/meltCurve_B4DRL9_CHM.pdf</t>
  </si>
  <si>
    <t>Melting_Curves/meltCurve_B4DS52_TXNDC15.pdf</t>
  </si>
  <si>
    <t>Melting_Curves/meltCurve_B4DSD4_C9orf41.pdf</t>
  </si>
  <si>
    <t>Melting_Curves/meltCurve_B4DSS8_PTBP2.pdf</t>
  </si>
  <si>
    <t>Melting_Curves/meltCurve_B4DT77_ANXA7.pdf</t>
  </si>
  <si>
    <t>Melting_Curves/meltCurve_B4DTZ6_SLC9A1.pdf</t>
  </si>
  <si>
    <t>Melting_Curves/meltCurve_B4DUE9_SERINC3.pdf</t>
  </si>
  <si>
    <t>Melting_Curves/meltCurve_B4DVB0_OSBPL5.pdf</t>
  </si>
  <si>
    <t>Melting_Curves/meltCurve_B4DVE7_ANXA11.pdf</t>
  </si>
  <si>
    <t>Melting_Curves/meltCurve_B4DVY1_EIF3D.pdf</t>
  </si>
  <si>
    <t>Melting_Curves/meltCurve_B4DWF2_ZNFN1A2.pdf</t>
  </si>
  <si>
    <t>Melting_Curves/meltCurve_B4DWI1_HACL1.pdf</t>
  </si>
  <si>
    <t>Melting_Curves/meltCurve_B4DXZ6_FXR1.pdf</t>
  </si>
  <si>
    <t>Melting_Curves/meltCurve_B4DYB4_NUP35.pdf</t>
  </si>
  <si>
    <t>Melting_Curves/meltCurve_B4DZH6_HDAC6.pdf</t>
  </si>
  <si>
    <t>Melting_Curves/meltCurve_B4E0E3_TMEM134.pdf</t>
  </si>
  <si>
    <t>Melting_Curves/meltCurve_B4E0T2_PEX5.pdf</t>
  </si>
  <si>
    <t>Melting_Curves/meltCurve_B4E0T7_LRCH3.pdf</t>
  </si>
  <si>
    <t>Melting_Curves/meltCurve_B4E0Y9_MST4.pdf</t>
  </si>
  <si>
    <t>Melting_Curves/meltCurve_B4E1F4_EDEM2.pdf</t>
  </si>
  <si>
    <t>Melting_Curves/meltCurve_B4E1G1_DERL1.pdf</t>
  </si>
  <si>
    <t>Melting_Curves/meltCurve_B4E1Q4_RIOK3.pdf</t>
  </si>
  <si>
    <t>Melting_Curves/meltCurve_B4E241_SFRS3.pdf</t>
  </si>
  <si>
    <t>Melting_Curves/meltCurve_B4E2C0_GPC4.pdf</t>
  </si>
  <si>
    <t>Melting_Curves/meltCurve_B4E2S7_LAMP2.pdf</t>
  </si>
  <si>
    <t>Melting_Curves/meltCurve_B4E2V5_STOM.pdf</t>
  </si>
  <si>
    <t>Melting_Curves/meltCurve_B4E2X3_METTL13.pdf</t>
  </si>
  <si>
    <t>Melting_Curves/meltCurve_B4E3Q4_CECR1.pdf</t>
  </si>
  <si>
    <t>Melting_Curves/meltCurve_B5MBX5_LBH.pdf</t>
  </si>
  <si>
    <t>Melting_Curves/meltCurve_B5MCD7_SYNGR1.pdf</t>
  </si>
  <si>
    <t>Melting_Curves/meltCurve_B5MCF9_PES1.pdf</t>
  </si>
  <si>
    <t>Melting_Curves/meltCurve_B5MCN7_NCOA1.pdf</t>
  </si>
  <si>
    <t>Melting_Curves/meltCurve_B5MCT7_PPM1F.pdf</t>
  </si>
  <si>
    <t>Melting_Curves/meltCurve_B5MCT9_STXBP4.pdf</t>
  </si>
  <si>
    <t>Melting_Curves/meltCurve_B5MDB6_NLRC3.pdf</t>
  </si>
  <si>
    <t>Melting_Curves/meltCurve_B5MDE0_RFT1.pdf</t>
  </si>
  <si>
    <t>Melting_Curves/meltCurve_B5MDU6_C2orf43.pdf</t>
  </si>
  <si>
    <t>Melting_Curves/meltCurve_B7WNT5_TCF7.pdf</t>
  </si>
  <si>
    <t>Melting_Curves/meltCurve_B7WP27_CWC22.pdf</t>
  </si>
  <si>
    <t>Melting_Curves/meltCurve_B7WPE2_EML3.pdf</t>
  </si>
  <si>
    <t>Melting_Curves/meltCurve_B7WPL0_RIC8B.pdf</t>
  </si>
  <si>
    <t>Melting_Curves/meltCurve_B7Z1R5_ATP6V1A.pdf</t>
  </si>
  <si>
    <t>Melting_Curves/meltCurve_B7Z254_PDIA6.pdf</t>
  </si>
  <si>
    <t>Melting_Curves/meltCurve_B7Z291_MTMR9.pdf</t>
  </si>
  <si>
    <t>Melting_Curves/meltCurve_B7Z2B2_MFSD8.pdf</t>
  </si>
  <si>
    <t>Melting_Curves/meltCurve_B7Z2S5_TXNRD1.pdf</t>
  </si>
  <si>
    <t>Melting_Curves/meltCurve_B7Z3I9_ALAD.pdf</t>
  </si>
  <si>
    <t>Melting_Curves/meltCurve_B7Z3K1_TMEM128.pdf</t>
  </si>
  <si>
    <t>Melting_Curves/meltCurve_B7Z3P1_TBCE.pdf</t>
  </si>
  <si>
    <t>Melting_Curves/meltCurve_B7Z4K6_DNASE2.pdf</t>
  </si>
  <si>
    <t>Melting_Curves/meltCurve_B7Z4R0_ERF.pdf</t>
  </si>
  <si>
    <t>Melting_Curves/meltCurve_B7Z4R5_P2RX4.pdf</t>
  </si>
  <si>
    <t>Melting_Curves/meltCurve_B7Z4V9_INPP5K.pdf</t>
  </si>
  <si>
    <t>Melting_Curves/meltCurve_B7Z4W5_CCBL1.pdf</t>
  </si>
  <si>
    <t>Melting_Curves/meltCurve_B7Z5G4_STMN3.pdf</t>
  </si>
  <si>
    <t>Melting_Curves/meltCurve_B7Z5W1_F11R.pdf</t>
  </si>
  <si>
    <t>Melting_Curves/meltCurve_B7Z6B8_DECR1.pdf</t>
  </si>
  <si>
    <t>Melting_Curves/meltCurve_B7Z6M4_TNFAIP1.pdf</t>
  </si>
  <si>
    <t>Melting_Curves/meltCurve_B7Z779_TMEM106A.pdf</t>
  </si>
  <si>
    <t>Melting_Curves/meltCurve_B7Z7G5_TRUB2.pdf</t>
  </si>
  <si>
    <t>Melting_Curves/meltCurve_B7Z7H3_ZKSCAN4.pdf</t>
  </si>
  <si>
    <t>Melting_Curves/meltCurve_B7Z7X8_ATL2.pdf</t>
  </si>
  <si>
    <t>Melting_Curves/meltCurve_B7Z815_USP7.pdf</t>
  </si>
  <si>
    <t>Melting_Curves/meltCurve_B7Z817_DHCR24.pdf</t>
  </si>
  <si>
    <t>Melting_Curves/meltCurve_B7Z902_EMB.pdf</t>
  </si>
  <si>
    <t>Melting_Curves/meltCurve_B7Z9I3_ATP6AP2.pdf</t>
  </si>
  <si>
    <t>Melting_Curves/meltCurve_B7Z9S8_ATP1B1.pdf</t>
  </si>
  <si>
    <t>Melting_Curves/meltCurve_B7ZAA0_PMS1.pdf</t>
  </si>
  <si>
    <t>Melting_Curves/meltCurve_B7ZBM3_FOXP4.pdf</t>
  </si>
  <si>
    <t>Melting_Curves/meltCurve_B7ZC38_SH3GLB2.pdf</t>
  </si>
  <si>
    <t>Melting_Curves/meltCurve_B7ZKK9_PPP2R5E.pdf</t>
  </si>
  <si>
    <t>Melting_Curves/meltCurve_B7ZKQ9_SCARB1.pdf</t>
  </si>
  <si>
    <t>Melting_Curves/meltCurve_B7ZL88_COX18.pdf</t>
  </si>
  <si>
    <t>Melting_Curves/meltCurve_B7ZLZ0_GMIP.pdf</t>
  </si>
  <si>
    <t>Melting_Curves/meltCurve_B7ZLZ2_EDEM3.pdf</t>
  </si>
  <si>
    <t>Melting_Curves/meltCurve_B8X2Z3_RLTPR.pdf</t>
  </si>
  <si>
    <t>Melting_Curves/meltCurve_B8ZZN6_SUMO1.pdf</t>
  </si>
  <si>
    <t>Melting_Curves/meltCurve_B8ZZQ6_PTMA.pdf</t>
  </si>
  <si>
    <t>Melting_Curves/meltCurve_B8ZZU6_ATF2.pdf</t>
  </si>
  <si>
    <t>Melting_Curves/meltCurve_B8ZZV9_COQ10B.pdf</t>
  </si>
  <si>
    <t>Melting_Curves/meltCurve_B9A008_IMP4.pdf</t>
  </si>
  <si>
    <t>Melting_Curves/meltCurve_B9A018_USP39.pdf</t>
  </si>
  <si>
    <t>Melting_Curves/meltCurve_B9A054_RHBDD1.pdf</t>
  </si>
  <si>
    <t>Melting_Curves/meltCurve_B9A057_COA5.pdf</t>
  </si>
  <si>
    <t>Melting_Curves/meltCurve_C0H5X6_PEX7.pdf</t>
  </si>
  <si>
    <t>Melting_Curves/meltCurve_C0H5Y7_BAK1.pdf</t>
  </si>
  <si>
    <t>Melting_Curves/meltCurve_C1IDX9_ATG12.pdf</t>
  </si>
  <si>
    <t>Melting_Curves/meltCurve_C4AMC7_WASH3P.pdf</t>
  </si>
  <si>
    <t>Melting_Curves/meltCurve_C7C5T7_LAT.pdf</t>
  </si>
  <si>
    <t>Melting_Curves/meltCurve_C9J0E4_CSTA.pdf</t>
  </si>
  <si>
    <t>Melting_Curves/meltCurve_C9J0I9_ZC3HC1.pdf</t>
  </si>
  <si>
    <t>Melting_Curves/meltCurve_C9J0J7_PFN2.pdf</t>
  </si>
  <si>
    <t>Melting_Curves/meltCurve_C9J0K6_SRI.pdf</t>
  </si>
  <si>
    <t>Melting_Curves/meltCurve_C9J1K8_MEGF9.pdf</t>
  </si>
  <si>
    <t>Melting_Curves/meltCurve_C9J1X0_WDR91.pdf</t>
  </si>
  <si>
    <t>Melting_Curves/meltCurve_C9J212_UBE2F.pdf</t>
  </si>
  <si>
    <t>Melting_Curves/meltCurve_C9J2P0_UBE2E1.pdf</t>
  </si>
  <si>
    <t>Melting_Curves/meltCurve_C9J2P9_CBLL1.pdf</t>
  </si>
  <si>
    <t>Melting_Curves/meltCurve_C9J2U4_TAMM41.pdf</t>
  </si>
  <si>
    <t>Melting_Curves/meltCurve_C9J2V2_IKBKG.pdf</t>
  </si>
  <si>
    <t>Melting_Curves/meltCurve_C9J2Y9_POLR2B.pdf</t>
  </si>
  <si>
    <t>Melting_Curves/meltCurve_C9J381_IMPDH1.pdf</t>
  </si>
  <si>
    <t>Melting_Curves/meltCurve_C9J384_CMSS1.pdf</t>
  </si>
  <si>
    <t>Melting_Curves/meltCurve_C9J3D7_CROT.pdf</t>
  </si>
  <si>
    <t>Melting_Curves/meltCurve_C9J3G2_CBWD2.pdf</t>
  </si>
  <si>
    <t>Melting_Curves/meltCurve_C9J494_MKRN2.pdf</t>
  </si>
  <si>
    <t>Melting_Curves/meltCurve_C9J5C3_PDCD10.pdf</t>
  </si>
  <si>
    <t>Melting_Curves/meltCurve_C9J5W6_TAGLN3.pdf</t>
  </si>
  <si>
    <t>Melting_Curves/meltCurve_C9J5X1_IGF1R.pdf</t>
  </si>
  <si>
    <t>Melting_Curves/meltCurve_C9J6N5_FAM107B.pdf</t>
  </si>
  <si>
    <t>Melting_Curves/meltCurve_C9J6P4_ZC3HAV1.pdf</t>
  </si>
  <si>
    <t>Melting_Curves/meltCurve_C9J712_PFN2.pdf</t>
  </si>
  <si>
    <t>Melting_Curves/meltCurve_C9J7E5_TNPO3.pdf</t>
  </si>
  <si>
    <t>Melting_Curves/meltCurve_C9J7K9_PLSCR1.pdf</t>
  </si>
  <si>
    <t>Melting_Curves/meltCurve_C9J929_PHF15.pdf</t>
  </si>
  <si>
    <t>Melting_Curves/meltCurve_C9J975_AGAP3.pdf</t>
  </si>
  <si>
    <t>Melting_Curves/meltCurve_C9J9K3_RPSA.pdf</t>
  </si>
  <si>
    <t>Melting_Curves/meltCurve_C9JA07_COA1.pdf</t>
  </si>
  <si>
    <t>Melting_Curves/meltCurve_C9JA08_NMD3.pdf</t>
  </si>
  <si>
    <t>Melting_Curves/meltCurve_C9JA28_SSR3.pdf</t>
  </si>
  <si>
    <t>Melting_Curves/meltCurve_C9JAB2_SRSF7.pdf</t>
  </si>
  <si>
    <t>Melting_Curves/meltCurve_C9JAX1_FXN.pdf</t>
  </si>
  <si>
    <t>Melting_Curves/meltCurve_C9JB13_BSDC1.pdf</t>
  </si>
  <si>
    <t>Melting_Curves/meltCurve_C9JBL1_SPCS1.pdf</t>
  </si>
  <si>
    <t>Melting_Curves/meltCurve_C9JBY7_MRPS33.pdf</t>
  </si>
  <si>
    <t>Melting_Curves/meltCurve_C9JCC6_DRAP1.pdf</t>
  </si>
  <si>
    <t>Melting_Curves/meltCurve_C9JCU6_MAP4K2.pdf</t>
  </si>
  <si>
    <t>Melting_Curves/meltCurve_C9JDZ2_FAIM.pdf</t>
  </si>
  <si>
    <t>Melting_Curves/meltCurve_C9JE12_TMUB1.pdf</t>
  </si>
  <si>
    <t>Melting_Curves/meltCurve_C9JE82_CACNA2D2.pdf</t>
  </si>
  <si>
    <t>Melting_Curves/meltCurve_C9JE98_NCOR2.pdf</t>
  </si>
  <si>
    <t>Melting_Curves/meltCurve_C9JEL3_EIF4E2.pdf</t>
  </si>
  <si>
    <t>Melting_Curves/meltCurve_C9JF58_OSCP1.pdf</t>
  </si>
  <si>
    <t>Melting_Curves/meltCurve_C9JF66_TRAT1.pdf</t>
  </si>
  <si>
    <t>Melting_Curves/meltCurve_C9JFE4_GPS1.pdf</t>
  </si>
  <si>
    <t>Melting_Curves/meltCurve_C9JFR7_CYCS.pdf</t>
  </si>
  <si>
    <t>Melting_Curves/meltCurve_C9JG41_ITM2C.pdf</t>
  </si>
  <si>
    <t>Melting_Curves/meltCurve_C9JG97_AAMP.pdf</t>
  </si>
  <si>
    <t>Melting_Curves/meltCurve_C9JIF9_APEH.pdf</t>
  </si>
  <si>
    <t>Melting_Curves/meltCurve_C9JIZ6_PSAP.pdf</t>
  </si>
  <si>
    <t>Melting_Curves/meltCurve_C9JJ19_MRPS34.pdf</t>
  </si>
  <si>
    <t>Melting_Curves/meltCurve_C9JJN9_VPS8.pdf</t>
  </si>
  <si>
    <t>Melting_Curves/meltCurve_C9JJU1_SLC38A5.pdf</t>
  </si>
  <si>
    <t>Melting_Curves/meltCurve_C9JLU1_POLR2H.pdf</t>
  </si>
  <si>
    <t>Melting_Curves/meltCurve_C9JLV4_APAF1.pdf</t>
  </si>
  <si>
    <t>Melting_Curves/meltCurve_C9JNE2_OARD1.pdf</t>
  </si>
  <si>
    <t>Melting_Curves/meltCurve_C9JP00_MBNL1.pdf</t>
  </si>
  <si>
    <t>Melting_Curves/meltCurve_C9JP16_CRTAP.pdf</t>
  </si>
  <si>
    <t>Melting_Curves/meltCurve_C9JPL0_CCNL1.pdf</t>
  </si>
  <si>
    <t>Melting_Curves/meltCurve_C9JPP2_NKIRAS2.pdf</t>
  </si>
  <si>
    <t>Melting_Curves/meltCurve_C9JQ41_CCDC58.pdf</t>
  </si>
  <si>
    <t>Melting_Curves/meltCurve_C9JQE1_IMMP2L.pdf</t>
  </si>
  <si>
    <t>Melting_Curves/meltCurve_C9JRY4_SEC22A.pdf</t>
  </si>
  <si>
    <t>Melting_Curves/meltCurve_C9JRZ6_CHCHD3.pdf</t>
  </si>
  <si>
    <t>Melting_Curves/meltCurve_C9JRZ8_2_AKR1B15.pdf</t>
  </si>
  <si>
    <t>Melting_Curves/meltCurve_C9JTB0_IKZF1.pdf</t>
  </si>
  <si>
    <t>Melting_Curves/meltCurve_C9JTC0_DGKB.pdf</t>
  </si>
  <si>
    <t>Melting_Curves/meltCurve_C9JVP0_FOXJ3.pdf</t>
  </si>
  <si>
    <t>Melting_Curves/meltCurve_C9JWL4_AP4M1.pdf</t>
  </si>
  <si>
    <t>Melting_Curves/meltCurve_C9JXA2_EPHA3.pdf</t>
  </si>
  <si>
    <t>Melting_Curves/meltCurve_C9JXB8_RPL24.pdf</t>
  </si>
  <si>
    <t>Melting_Curves/meltCurve_C9JYM0_POP7.pdf</t>
  </si>
  <si>
    <t>Melting_Curves/meltCurve_C9JYQ9_RPL22L1.pdf</t>
  </si>
  <si>
    <t>Melting_Curves/meltCurve_C9JZR4_ARFGAP3.pdf</t>
  </si>
  <si>
    <t>Melting_Curves/meltCurve_C9JZY6_UBE2H.pdf</t>
  </si>
  <si>
    <t>Melting_Curves/meltCurve_C9K044_XAF1.pdf</t>
  </si>
  <si>
    <t>Melting_Curves/meltCurve_C9K049_HMG20B.pdf</t>
  </si>
  <si>
    <t>Melting_Curves/meltCurve_C9K0X5_SNUPN.pdf</t>
  </si>
  <si>
    <t>Melting_Curves/meltCurve_D0FY33_BTN3A3.pdf</t>
  </si>
  <si>
    <t>Melting_Curves/meltCurve_D3DPN2_SDC3.pdf</t>
  </si>
  <si>
    <t>Melting_Curves/meltCurve_D3DQV9_EIF4G2.pdf</t>
  </si>
  <si>
    <t>Melting_Curves/meltCurve_D3DWF9_XPO6.pdf</t>
  </si>
  <si>
    <t>Melting_Curves/meltCurve_D3K174_SLC4A7.pdf</t>
  </si>
  <si>
    <t>Melting_Curves/meltCurve_D3YHP0_CXADR.pdf</t>
  </si>
  <si>
    <t>Melting_Curves/meltCurve_D3YTB1_RPL32.pdf</t>
  </si>
  <si>
    <t>Melting_Curves/meltCurve_D3YTE0_KRI1.pdf</t>
  </si>
  <si>
    <t>Melting_Curves/meltCurve_D3YTE1_PHF20L1.pdf</t>
  </si>
  <si>
    <t>Melting_Curves/meltCurve_D3YTG6_NDOR1.pdf</t>
  </si>
  <si>
    <t>Melting_Curves/meltCurve_D3YTI9_TAPBP.pdf</t>
  </si>
  <si>
    <t>Melting_Curves/meltCurve_D6R941_MRPS36.pdf</t>
  </si>
  <si>
    <t>Melting_Curves/meltCurve_D6R9P3_HNRNPAB.pdf</t>
  </si>
  <si>
    <t>Melting_Curves/meltCurve_D6R9U7_POLR3G.pdf</t>
  </si>
  <si>
    <t>Melting_Curves/meltCurve_D6R9Z7_COX7C.pdf</t>
  </si>
  <si>
    <t>Melting_Curves/meltCurve_D6RAD4_CDK7.pdf</t>
  </si>
  <si>
    <t>Melting_Curves/meltCurve_D6RAR2_LYRM9.pdf</t>
  </si>
  <si>
    <t>Melting_Curves/meltCurve_D6RAT4_CNBP.pdf</t>
  </si>
  <si>
    <t>Melting_Curves/meltCurve_D6RB34_IRF2.pdf</t>
  </si>
  <si>
    <t>Melting_Curves/meltCurve_D6RBW1_EIF4E.pdf</t>
  </si>
  <si>
    <t>Melting_Curves/meltCurve_D6RCD0_HSD17B11.pdf</t>
  </si>
  <si>
    <t>Melting_Curves/meltCurve_D6RCM8_TNFAIP8.pdf</t>
  </si>
  <si>
    <t>Melting_Curves/meltCurve_D6RD25_PRELID1.pdf</t>
  </si>
  <si>
    <t>Melting_Curves/meltCurve_D6RDH5_GNGT2.pdf</t>
  </si>
  <si>
    <t>Melting_Curves/meltCurve_D6RDX3_ATG10.pdf</t>
  </si>
  <si>
    <t>Melting_Curves/meltCurve_D6REA0_PET112.pdf</t>
  </si>
  <si>
    <t>Melting_Curves/meltCurve_D6REL0_CDC42SE2.pdf</t>
  </si>
  <si>
    <t>Melting_Curves/meltCurve_D6REL5_FAM175A.pdf</t>
  </si>
  <si>
    <t>Melting_Curves/meltCurve_D6REM4_CSNK1A1.pdf</t>
  </si>
  <si>
    <t>Melting_Curves/meltCurve_D6REX3_SEC31A.pdf</t>
  </si>
  <si>
    <t>Melting_Curves/meltCurve_D6RF48_STX18.pdf</t>
  </si>
  <si>
    <t>Melting_Curves/meltCurve_D6RFG8_DCK.pdf</t>
  </si>
  <si>
    <t>Melting_Curves/meltCurve_D6RGD4_APBB2.pdf</t>
  </si>
  <si>
    <t>Melting_Curves/meltCurve_D6RGI3_SEPT11.pdf</t>
  </si>
  <si>
    <t>Melting_Curves/meltCurve_D6RGJ2_TNIP2.pdf</t>
  </si>
  <si>
    <t>Melting_Curves/meltCurve_D6RH17_ADH6.pdf</t>
  </si>
  <si>
    <t>Melting_Curves/meltCurve_D6RHD3_CENPK.pdf</t>
  </si>
  <si>
    <t>Melting_Curves/meltCurve_D6RHG7_SERINC5.pdf</t>
  </si>
  <si>
    <t>Melting_Curves/meltCurve_D6RHI7_CCNH.pdf</t>
  </si>
  <si>
    <t>Melting_Curves/meltCurve_D6RHI9_RNASET2.pdf</t>
  </si>
  <si>
    <t>Melting_Curves/meltCurve_D6RI11_CPLX1.pdf</t>
  </si>
  <si>
    <t>Melting_Curves/meltCurve_D6RIE3_COX7A2.pdf</t>
  </si>
  <si>
    <t>Melting_Curves/meltCurve_D6RIE5_RNF150.pdf</t>
  </si>
  <si>
    <t>Melting_Curves/meltCurve_D6RIU2_CLDND1.pdf</t>
  </si>
  <si>
    <t>Melting_Curves/meltCurve_D6RIZ4_MFSD10.pdf</t>
  </si>
  <si>
    <t>Melting_Curves/meltCurve_D6RJ07_ZNF346.pdf</t>
  </si>
  <si>
    <t>Melting_Curves/meltCurve_D6RJ90_COMMD10.pdf</t>
  </si>
  <si>
    <t>Melting_Curves/meltCurve_D6W592_HNRPLL.pdf</t>
  </si>
  <si>
    <t>Melting_Curves/meltCurve_E2QRF9_GMNN.pdf</t>
  </si>
  <si>
    <t>Melting_Curves/meltCurve_E2QRH7_ELOVL5.pdf</t>
  </si>
  <si>
    <t>Melting_Curves/meltCurve_E5RFE7_CA1.pdf</t>
  </si>
  <si>
    <t>Melting_Curves/meltCurve_E5RFJ1_NSMCE2.pdf</t>
  </si>
  <si>
    <t>Melting_Curves/meltCurve_E5RFP2_CPEB4.pdf</t>
  </si>
  <si>
    <t>Melting_Curves/meltCurve_E5RFU2_EPHX2.pdf</t>
  </si>
  <si>
    <t>Melting_Curves/meltCurve_E5RG17_TATDN1.pdf</t>
  </si>
  <si>
    <t>Melting_Curves/meltCurve_E5RG44_TRIQK.pdf</t>
  </si>
  <si>
    <t>Melting_Curves/meltCurve_E5RGQ3_RWDD1.pdf</t>
  </si>
  <si>
    <t>Melting_Curves/meltCurve_E5RGX5_STMN2.pdf</t>
  </si>
  <si>
    <t>Melting_Curves/meltCurve_E5RHG8_TCEB1.pdf</t>
  </si>
  <si>
    <t>Melting_Curves/meltCurve_E5RHG9_UQCRB.pdf</t>
  </si>
  <si>
    <t>Melting_Curves/meltCurve_E5RHW0_TMEM66.pdf</t>
  </si>
  <si>
    <t>Melting_Curves/meltCurve_E5RI52_C5orf45.pdf</t>
  </si>
  <si>
    <t>Melting_Curves/meltCurve_E5RI87_RNF130.pdf</t>
  </si>
  <si>
    <t>Melting_Curves/meltCurve_E5RIH5_TTI2.pdf</t>
  </si>
  <si>
    <t>Melting_Curves/meltCurve_E5RIL0_LEPROTL1.pdf</t>
  </si>
  <si>
    <t>Melting_Curves/meltCurve_E5RIP7_IMPA1.pdf</t>
  </si>
  <si>
    <t>Melting_Curves/meltCurve_E5RIQ9_SERF1A.pdf</t>
  </si>
  <si>
    <t>Melting_Curves/meltCurve_E5RIY0_TMEM55A.pdf</t>
  </si>
  <si>
    <t>Melting_Curves/meltCurve_E5RJ08_CHCHD7.pdf</t>
  </si>
  <si>
    <t>Melting_Curves/meltCurve_E5RJ68_AP3B1.pdf</t>
  </si>
  <si>
    <t>Melting_Curves/meltCurve_E5RJ99_ZFAND1.pdf</t>
  </si>
  <si>
    <t>Melting_Curves/meltCurve_E5RJI7_MRPL13.pdf</t>
  </si>
  <si>
    <t>Melting_Curves/meltCurve_E5RJR5_SKP1.pdf</t>
  </si>
  <si>
    <t>Melting_Curves/meltCurve_E5RK82_CETN3.pdf</t>
  </si>
  <si>
    <t>Melting_Curves/meltCurve_E7EM50_PIGG.pdf</t>
  </si>
  <si>
    <t>Melting_Curves/meltCurve_E7EM64_COPS6.pdf</t>
  </si>
  <si>
    <t>Melting_Curves/meltCurve_E7EM95_RNF5.pdf</t>
  </si>
  <si>
    <t>Melting_Curves/meltCurve_E7EMA9_ATHL1.pdf</t>
  </si>
  <si>
    <t>Melting_Curves/meltCurve_E7EMM4_ASAH1.pdf</t>
  </si>
  <si>
    <t>Melting_Curves/meltCurve_E7EMN6_PPP1R2.pdf</t>
  </si>
  <si>
    <t>Melting_Curves/meltCurve_E7EMV7_TNIP1.pdf</t>
  </si>
  <si>
    <t>Melting_Curves/meltCurve_E7EN19_MAP4K4.pdf</t>
  </si>
  <si>
    <t>Melting_Curves/meltCurve_E7EN73_KIAA0319L.pdf</t>
  </si>
  <si>
    <t>Melting_Curves/meltCurve_E7ENA9_NCSTN.pdf</t>
  </si>
  <si>
    <t>Melting_Curves/meltCurve_E7ENK0_CALCOCO2.pdf</t>
  </si>
  <si>
    <t>Melting_Curves/meltCurve_E7ENR4_HK1.pdf</t>
  </si>
  <si>
    <t>Melting_Curves/meltCurve_E7ENU4_ADAR.pdf</t>
  </si>
  <si>
    <t>Melting_Curves/meltCurve_E7ENX6_LRFN4.pdf</t>
  </si>
  <si>
    <t>Melting_Curves/meltCurve_E7EP72_C19orf25.pdf</t>
  </si>
  <si>
    <t>Melting_Curves/meltCurve_E7EPB3_RPL14.pdf</t>
  </si>
  <si>
    <t>Melting_Curves/meltCurve_E7EPD0_TOM1.pdf</t>
  </si>
  <si>
    <t>Melting_Curves/meltCurve_E7EPF0_ZCCHC17.pdf</t>
  </si>
  <si>
    <t>Melting_Curves/meltCurve_E7EPL4_PDXDC1.pdf</t>
  </si>
  <si>
    <t>Melting_Curves/meltCurve_E7EPT4_NDUFV2.pdf</t>
  </si>
  <si>
    <t>Melting_Curves/meltCurve_E7EQ45_AP5M1.pdf</t>
  </si>
  <si>
    <t>Melting_Curves/meltCurve_E7EQ69_NAA50.pdf</t>
  </si>
  <si>
    <t>Melting_Curves/meltCurve_E7EQB2_LTF.pdf</t>
  </si>
  <si>
    <t>Melting_Curves/meltCurve_E7EQN6_SENP6.pdf</t>
  </si>
  <si>
    <t>Melting_Curves/meltCurve_E7EQR8_YIPF3.pdf</t>
  </si>
  <si>
    <t>Melting_Curves/meltCurve_E7EQT4_ACIN1.pdf</t>
  </si>
  <si>
    <t>Melting_Curves/meltCurve_E7EQV9_RPL15.pdf</t>
  </si>
  <si>
    <t>Melting_Curves/meltCurve_E7EQZ4_SMN1.pdf</t>
  </si>
  <si>
    <t>Melting_Curves/meltCurve_E7ERC6_ATP2C1.pdf</t>
  </si>
  <si>
    <t>Melting_Curves/meltCurve_E7ERR0_KLHDC3.pdf</t>
  </si>
  <si>
    <t>Melting_Curves/meltCurve_E7ERS3_ZC3H18.pdf</t>
  </si>
  <si>
    <t>Melting_Curves/meltCurve_E7ERU0_DST.pdf</t>
  </si>
  <si>
    <t>Melting_Curves/meltCurve_E7ES43_HSPA4L.pdf</t>
  </si>
  <si>
    <t>Melting_Curves/meltCurve_E7ESC9_WDR17.pdf</t>
  </si>
  <si>
    <t>Melting_Curves/meltCurve_E7ESM9_CAST.pdf</t>
  </si>
  <si>
    <t>Melting_Curves/meltCurve_E7ESU6_SLC38A9.pdf</t>
  </si>
  <si>
    <t>Melting_Curves/meltCurve_E7ESU7_CTBP1.pdf</t>
  </si>
  <si>
    <t>Melting_Curves/meltCurve_E7ESZ7_NDUFA10.pdf</t>
  </si>
  <si>
    <t>Melting_Curves/meltCurve_E7ET15_U2SURP.pdf</t>
  </si>
  <si>
    <t>Melting_Curves/meltCurve_E7ETB3_DNPEP.pdf</t>
  </si>
  <si>
    <t>Melting_Curves/meltCurve_E7ETK0_RPS24.pdf</t>
  </si>
  <si>
    <t>Melting_Curves/meltCurve_E7ETM6_SYS1.pdf</t>
  </si>
  <si>
    <t>Melting_Curves/meltCurve_E7ETP9_LAMP3.pdf</t>
  </si>
  <si>
    <t>Melting_Curves/meltCurve_E7ETU5_RBMS1.pdf</t>
  </si>
  <si>
    <t>Melting_Curves/meltCurve_E7ETZ4_BZW2.pdf</t>
  </si>
  <si>
    <t>Melting_Curves/meltCurve_E7EU13_ARAP1.pdf</t>
  </si>
  <si>
    <t>Melting_Curves/meltCurve_E7EU23_GDI2.pdf</t>
  </si>
  <si>
    <t>Melting_Curves/meltCurve_E7EU24_CBFA2T3.pdf</t>
  </si>
  <si>
    <t>Melting_Curves/meltCurve_E7EU35_PITPNC1.pdf</t>
  </si>
  <si>
    <t>Melting_Curves/meltCurve_E7EU96_CSNK2A1.pdf</t>
  </si>
  <si>
    <t>Melting_Curves/meltCurve_E7EUC7_UGP2.pdf</t>
  </si>
  <si>
    <t>Melting_Curves/meltCurve_E7EUE1_ABCD3.pdf</t>
  </si>
  <si>
    <t>Melting_Curves/meltCurve_E7EUM5_NUP54.pdf</t>
  </si>
  <si>
    <t>Melting_Curves/meltCurve_E7EV01_CAPN5.pdf</t>
  </si>
  <si>
    <t>Melting_Curves/meltCurve_E7EV46_PGBD3.pdf</t>
  </si>
  <si>
    <t>Melting_Curves/meltCurve_E7EVA0_MAP4.pdf</t>
  </si>
  <si>
    <t>Melting_Curves/meltCurve_E7EVC7_ATG16L1.pdf</t>
  </si>
  <si>
    <t>Melting_Curves/meltCurve_E7EVH9_HDHD1.pdf</t>
  </si>
  <si>
    <t>Melting_Curves/meltCurve_E7EVJ5_CYFIP2.pdf</t>
  </si>
  <si>
    <t>Melting_Curves/meltCurve_E7EVM2_TAL1.pdf</t>
  </si>
  <si>
    <t>Melting_Curves/meltCurve_E7EVZ3_RAI1.pdf</t>
  </si>
  <si>
    <t>Melting_Curves/meltCurve_E7EW20_MYO6.pdf</t>
  </si>
  <si>
    <t>Melting_Curves/meltCurve_E7EW32_MON1B.pdf</t>
  </si>
  <si>
    <t>Melting_Curves/meltCurve_E7EW77_ABI2.pdf</t>
  </si>
  <si>
    <t>Melting_Curves/meltCurve_E7EW84_EXOC6.pdf</t>
  </si>
  <si>
    <t>Melting_Curves/meltCurve_E7EWM3_ZMIZ2.pdf</t>
  </si>
  <si>
    <t>Melting_Curves/meltCurve_E7EWW0_C16orf62.pdf</t>
  </si>
  <si>
    <t>Melting_Curves/meltCurve_E7EX01_MPP2.pdf</t>
  </si>
  <si>
    <t>Melting_Curves/meltCurve_E7EX17_EIF4B.pdf</t>
  </si>
  <si>
    <t>Melting_Curves/meltCurve_E7EX73_EIF4G1.pdf</t>
  </si>
  <si>
    <t>Melting_Curves/meltCurve_E7EX90_DCTN1.pdf</t>
  </si>
  <si>
    <t>Melting_Curves/meltCurve_E7EXA8_PRB4.pdf</t>
  </si>
  <si>
    <t>Melting_Curves/meltCurve_E9PAU2_RAVER1.pdf</t>
  </si>
  <si>
    <t>Melting_Curves/meltCurve_E9PB28_HES4.pdf</t>
  </si>
  <si>
    <t>Melting_Curves/meltCurve_E9PB61_ALYREF.pdf</t>
  </si>
  <si>
    <t>Melting_Curves/meltCurve_E9PBJ5_SDHA.pdf</t>
  </si>
  <si>
    <t>Melting_Curves/meltCurve_E9PBR6_TMEM201.pdf</t>
  </si>
  <si>
    <t>Melting_Curves/meltCurve_E9PC26_BUB1.pdf</t>
  </si>
  <si>
    <t>Melting_Curves/meltCurve_E9PC62_CELF2.pdf</t>
  </si>
  <si>
    <t>Melting_Curves/meltCurve_E9PC74_EIF2B5.pdf</t>
  </si>
  <si>
    <t>Melting_Curves/meltCurve_E9PC87_TMCC1.pdf</t>
  </si>
  <si>
    <t>Melting_Curves/meltCurve_E9PCN2_GUCY1B3.pdf</t>
  </si>
  <si>
    <t>Melting_Curves/meltCurve_E9PCQ3_USP15.pdf</t>
  </si>
  <si>
    <t>Melting_Curves/meltCurve_E9PCV0_GUSB.pdf</t>
  </si>
  <si>
    <t>Melting_Curves/meltCurve_E9PCV4_SPHK2.pdf</t>
  </si>
  <si>
    <t>Melting_Curves/meltCurve_E9PCW1_GOSR1.pdf</t>
  </si>
  <si>
    <t>Melting_Curves/meltCurve_E9PD55_RCAN1.pdf</t>
  </si>
  <si>
    <t>Melting_Curves/meltCurve_E9PDF6_MYO1B.pdf</t>
  </si>
  <si>
    <t>Melting_Curves/meltCurve_E9PDR0_PCCB.pdf</t>
  </si>
  <si>
    <t>Melting_Curves/meltCurve_E9PDU5_WDR6.pdf</t>
  </si>
  <si>
    <t>Melting_Curves/meltCurve_E9PEE8_ITGB6.pdf</t>
  </si>
  <si>
    <t>Melting_Curves/meltCurve_E9PEL9_SYNE1.pdf</t>
  </si>
  <si>
    <t>Melting_Curves/meltCurve_E9PEN8_XPO7.pdf</t>
  </si>
  <si>
    <t>Melting_Curves/meltCurve_E9PEZ3_DIAPH1.pdf</t>
  </si>
  <si>
    <t>Melting_Curves/meltCurve_E9PF06_MRPL3.pdf</t>
  </si>
  <si>
    <t>Melting_Curves/meltCurve_E9PF18_HADH.pdf</t>
  </si>
  <si>
    <t>Melting_Curves/meltCurve_E9PF19_TBL2.pdf</t>
  </si>
  <si>
    <t>Melting_Curves/meltCurve_E9PFK9_RABGEF1.pdf</t>
  </si>
  <si>
    <t>Melting_Curves/meltCurve_E9PFP8_PCBP3.pdf</t>
  </si>
  <si>
    <t>Melting_Curves/meltCurve_E9PFR3_PPP2R5D.pdf</t>
  </si>
  <si>
    <t>Melting_Curves/meltCurve_E9PFU9_ZFAND2B.pdf</t>
  </si>
  <si>
    <t>Melting_Curves/meltCurve_E9PG19_FCHSD2.pdf</t>
  </si>
  <si>
    <t>Melting_Curves/meltCurve_E9PG22_CEP97.pdf</t>
  </si>
  <si>
    <t>Melting_Curves/meltCurve_E9PG35_MCCC1.pdf</t>
  </si>
  <si>
    <t>Melting_Curves/meltCurve_E9PGC0_RASA1.pdf</t>
  </si>
  <si>
    <t>Melting_Curves/meltCurve_E9PGC8_MAP1A.pdf</t>
  </si>
  <si>
    <t>Melting_Curves/meltCurve_E9PGE5_TBC1D23.pdf</t>
  </si>
  <si>
    <t>Melting_Curves/meltCurve_E9PGF9_MGEA5.pdf</t>
  </si>
  <si>
    <t>Melting_Curves/meltCurve_E9PGQ0_SLC25A44.pdf</t>
  </si>
  <si>
    <t>Melting_Curves/meltCurve_E9PGQ4_FNBP1.pdf</t>
  </si>
  <si>
    <t>Melting_Curves/meltCurve_E9PGT1_TSN.pdf</t>
  </si>
  <si>
    <t>Melting_Curves/meltCurve_E9PGT3_RPS6KA1.pdf</t>
  </si>
  <si>
    <t>Melting_Curves/meltCurve_E9PGT6_COPS8.pdf</t>
  </si>
  <si>
    <t>Melting_Curves/meltCurve_E9PH29_PRDX3.pdf</t>
  </si>
  <si>
    <t>Melting_Curves/meltCurve_E9PHG5_CYP20A1.pdf</t>
  </si>
  <si>
    <t>Melting_Curves/meltCurve_E9PHY5_EPB41L2.pdf</t>
  </si>
  <si>
    <t>Melting_Curves/meltCurve_E9PI30_CTSW.pdf</t>
  </si>
  <si>
    <t>Melting_Curves/meltCurve_E9PI68_SPCS2.pdf</t>
  </si>
  <si>
    <t>Melting_Curves/meltCurve_E9PIB9_GLI1.pdf</t>
  </si>
  <si>
    <t>Melting_Curves/meltCurve_E9PIE4_MTCH2.pdf</t>
  </si>
  <si>
    <t>Melting_Curves/meltCurve_E9PIM6_THY1.pdf</t>
  </si>
  <si>
    <t>Melting_Curves/meltCurve_E9PJ24_PHRF1.pdf</t>
  </si>
  <si>
    <t>Melting_Curves/meltCurve_E9PJ55_TCP11L1.pdf</t>
  </si>
  <si>
    <t>Melting_Curves/meltCurve_E9PJ64_PDE4DIP.pdf</t>
  </si>
  <si>
    <t>Melting_Curves/meltCurve_E9PJ81_UBXN1.pdf</t>
  </si>
  <si>
    <t>Melting_Curves/meltCurve_E9PJD7_CYHR1.pdf</t>
  </si>
  <si>
    <t>Melting_Curves/meltCurve_E9PJF5_BRMS1.pdf</t>
  </si>
  <si>
    <t>Melting_Curves/meltCurve_E9PJK1_CD81.pdf</t>
  </si>
  <si>
    <t>Melting_Curves/meltCurve_E9PJM3_FBXO3.pdf</t>
  </si>
  <si>
    <t>Melting_Curves/meltCurve_E9PK01_EEF1D.pdf</t>
  </si>
  <si>
    <t>Melting_Curves/meltCurve_E9PK67_PARP10.pdf</t>
  </si>
  <si>
    <t>Melting_Curves/meltCurve_E9PK91_BCLAF1.pdf</t>
  </si>
  <si>
    <t>Melting_Curves/meltCurve_E9PKA7_RCE1.pdf</t>
  </si>
  <si>
    <t>Melting_Curves/meltCurve_E9PKC0_PLEKHA7.pdf</t>
  </si>
  <si>
    <t>Melting_Curves/meltCurve_E9PKG1_PRMT1.pdf</t>
  </si>
  <si>
    <t>Melting_Curves/meltCurve_E9PKN9_TP53I11.pdf</t>
  </si>
  <si>
    <t>Melting_Curves/meltCurve_E9PKV2_MRPL17.pdf</t>
  </si>
  <si>
    <t>Melting_Curves/meltCurve_E9PKV8_TTC9C.pdf</t>
  </si>
  <si>
    <t>Melting_Curves/meltCurve_E9PKZ0_RPL8.pdf</t>
  </si>
  <si>
    <t>Melting_Curves/meltCurve_E9PL10_BTF3L4.pdf</t>
  </si>
  <si>
    <t>Melting_Curves/meltCurve_E9PL17_CLP1.pdf</t>
  </si>
  <si>
    <t>Melting_Curves/meltCurve_E9PL33_EI24.pdf</t>
  </si>
  <si>
    <t>Melting_Curves/meltCurve_E9PL57_NEDD8_MDP1.pdf</t>
  </si>
  <si>
    <t>Melting_Curves/meltCurve_E9PLD3_.pdf</t>
  </si>
  <si>
    <t>Melting_Curves/meltCurve_E9PLJ2_CHIA.pdf</t>
  </si>
  <si>
    <t>Melting_Curves/meltCurve_E9PLK3_NPEPPS.pdf</t>
  </si>
  <si>
    <t>Melting_Curves/meltCurve_E9PLL6_RPL27A.pdf</t>
  </si>
  <si>
    <t>Melting_Curves/meltCurve_E9PM46_USP47.pdf</t>
  </si>
  <si>
    <t>Melting_Curves/meltCurve_E9PM92_C11orf58.pdf</t>
  </si>
  <si>
    <t>Melting_Curves/meltCurve_E9PMI6_CLNS1A.pdf</t>
  </si>
  <si>
    <t>Melting_Curves/meltCurve_E9PMJ2_FAM118B.pdf</t>
  </si>
  <si>
    <t>Melting_Curves/meltCurve_E9PMM3_PEX16.pdf</t>
  </si>
  <si>
    <t>Melting_Curves/meltCurve_E9PMQ6_HSF1.pdf</t>
  </si>
  <si>
    <t>Melting_Curves/meltCurve_E9PMR4_CD151.pdf</t>
  </si>
  <si>
    <t>Melting_Curves/meltCurve_E9PMS6_LMO7.pdf</t>
  </si>
  <si>
    <t>Melting_Curves/meltCurve_E9PMU5_MANEAL.pdf</t>
  </si>
  <si>
    <t>Melting_Curves/meltCurve_E9PND3_EBAG9.pdf</t>
  </si>
  <si>
    <t>Melting_Curves/meltCurve_E9PNP3_AAMDC.pdf</t>
  </si>
  <si>
    <t>Melting_Curves/meltCurve_E9PNT2_ARHGAP27.pdf</t>
  </si>
  <si>
    <t>Melting_Curves/meltCurve_E9PNW4_CD59.pdf</t>
  </si>
  <si>
    <t>Melting_Curves/meltCurve_E9PP40_LRRC14.pdf</t>
  </si>
  <si>
    <t>Melting_Curves/meltCurve_E9PPU5_RAG2.pdf</t>
  </si>
  <si>
    <t>Melting_Curves/meltCurve_E9PPZ9_GPAA1.pdf</t>
  </si>
  <si>
    <t>Melting_Curves/meltCurve_E9PQ62_VWA5B1.pdf</t>
  </si>
  <si>
    <t>Melting_Curves/meltCurve_E9PQ63_CBR1.pdf</t>
  </si>
  <si>
    <t>Melting_Curves/meltCurve_E9PQY3_ACP2.pdf</t>
  </si>
  <si>
    <t>Melting_Curves/meltCurve_E9PR30_FAU.pdf</t>
  </si>
  <si>
    <t>Melting_Curves/meltCurve_E9PR76_MAF1.pdf</t>
  </si>
  <si>
    <t>Melting_Curves/meltCurve_E9PRK7_ARL14EP.pdf</t>
  </si>
  <si>
    <t>Melting_Curves/meltCurve_E9PRM7_SLC22A18.pdf</t>
  </si>
  <si>
    <t>Melting_Curves/meltCurve_E9PRY8_EEF1D.pdf</t>
  </si>
  <si>
    <t>Melting_Curves/meltCurve_E9PS17_SCYL1.pdf</t>
  </si>
  <si>
    <t>Melting_Curves/meltCurve_E9PS38_NEDD8_MDP1.pdf</t>
  </si>
  <si>
    <t>Melting_Curves/meltCurve_E9PS47_PTDSS2.pdf</t>
  </si>
  <si>
    <t>Melting_Curves/meltCurve_E9PS74_SLC43A3.pdf</t>
  </si>
  <si>
    <t>Melting_Curves/meltCurve_E9PSH3_TSPAN4.pdf</t>
  </si>
  <si>
    <t>Melting_Curves/meltCurve_E9PSH8_CD3E.pdf</t>
  </si>
  <si>
    <t>Melting_Curves/meltCurve_E9PSI1_TM9SF1.pdf</t>
  </si>
  <si>
    <t>Melting_Curves/meltCurve_F2Z2B9_TUBGCP2.pdf</t>
  </si>
  <si>
    <t>Melting_Curves/meltCurve_F2Z2E2_IQGAP3.pdf</t>
  </si>
  <si>
    <t>Melting_Curves/meltCurve_F2Z2U4_TRRAP.pdf</t>
  </si>
  <si>
    <t>Melting_Curves/meltCurve_F2Z2U8_MYH14.pdf</t>
  </si>
  <si>
    <t>Melting_Curves/meltCurve_F2Z2W7_TRMT2A.pdf</t>
  </si>
  <si>
    <t>Melting_Curves/meltCurve_F2Z2X4_XPO4.pdf</t>
  </si>
  <si>
    <t>Melting_Curves/meltCurve_F2Z3A6_VEZT.pdf</t>
  </si>
  <si>
    <t>Melting_Curves/meltCurve_F2Z3L0_SHANK3.pdf</t>
  </si>
  <si>
    <t>Melting_Curves/meltCurve_F5GWD3_GTF2H3.pdf</t>
  </si>
  <si>
    <t>Melting_Curves/meltCurve_F5GWH5_TMEM258.pdf</t>
  </si>
  <si>
    <t>Melting_Curves/meltCurve_F5GWI9_CCDC53.pdf</t>
  </si>
  <si>
    <t>Melting_Curves/meltCurve_F5GWN5_PIK3C2B.pdf</t>
  </si>
  <si>
    <t>Melting_Curves/meltCurve_F5GWT4_WNK1.pdf</t>
  </si>
  <si>
    <t>Melting_Curves/meltCurve_F5GWU7_SMAD5.pdf</t>
  </si>
  <si>
    <t>Melting_Curves/meltCurve_F5GWX5_CHD4.pdf</t>
  </si>
  <si>
    <t>Melting_Curves/meltCurve_F5GWY5_PODXL.pdf</t>
  </si>
  <si>
    <t>Melting_Curves/meltCurve_F5GX09_FAM76B.pdf</t>
  </si>
  <si>
    <t>Melting_Curves/meltCurve_F5GX68_DNMT1.pdf</t>
  </si>
  <si>
    <t>Melting_Curves/meltCurve_F5GX82_FRYL.pdf</t>
  </si>
  <si>
    <t>Melting_Curves/meltCurve_F5GXA6_HLA_C.pdf</t>
  </si>
  <si>
    <t>Melting_Curves/meltCurve_F5GXC8_SUCLA2.pdf</t>
  </si>
  <si>
    <t>Melting_Curves/meltCurve_F5GXE4_ATE1.pdf</t>
  </si>
  <si>
    <t>Melting_Curves/meltCurve_F5GXF9_AFF1.pdf</t>
  </si>
  <si>
    <t>Melting_Curves/meltCurve_F5GXI4_PTPRK.pdf</t>
  </si>
  <si>
    <t>Melting_Curves/meltCurve_F5GXJ4_STIM2.pdf</t>
  </si>
  <si>
    <t>Melting_Curves/meltCurve_F5GXK8_DNAJB11.pdf</t>
  </si>
  <si>
    <t>Melting_Curves/meltCurve_F5GXX5_DAD1.pdf</t>
  </si>
  <si>
    <t>Melting_Curves/meltCurve_F5GY92_GPBP1.pdf</t>
  </si>
  <si>
    <t>Melting_Curves/meltCurve_F5GY99_GALNT1.pdf</t>
  </si>
  <si>
    <t>Melting_Curves/meltCurve_F5GYC4_RPS6KA3.pdf</t>
  </si>
  <si>
    <t>Melting_Curves/meltCurve_F5GYN4_OTUB1.pdf</t>
  </si>
  <si>
    <t>Melting_Curves/meltCurve_F5GYQ1_ATP6V0D1.pdf</t>
  </si>
  <si>
    <t>Melting_Curves/meltCurve_F5GZ78_PXN.pdf</t>
  </si>
  <si>
    <t>Melting_Curves/meltCurve_F5GZ90_DTL.pdf</t>
  </si>
  <si>
    <t>Melting_Curves/meltCurve_F5GZG6_TPK1.pdf</t>
  </si>
  <si>
    <t>Melting_Curves/meltCurve_F5GZK1_EXTL2.pdf</t>
  </si>
  <si>
    <t>Melting_Curves/meltCurve_F5GZS0_DHX36.pdf</t>
  </si>
  <si>
    <t>Melting_Curves/meltCurve_F5GZS6_SLC3A2.pdf</t>
  </si>
  <si>
    <t>Melting_Curves/meltCurve_F5GZX9_FAM120B.pdf</t>
  </si>
  <si>
    <t>Melting_Curves/meltCurve_F5GZY7_GABARAPL1.pdf</t>
  </si>
  <si>
    <t>Melting_Curves/meltCurve_F5H012_TRIM21.pdf</t>
  </si>
  <si>
    <t>Melting_Curves/meltCurve_F5H029_FAM65B.pdf</t>
  </si>
  <si>
    <t>Melting_Curves/meltCurve_F5H0B0_TPD52.pdf</t>
  </si>
  <si>
    <t>Melting_Curves/meltCurve_F5H0F9_ANAPC5.pdf</t>
  </si>
  <si>
    <t>Melting_Curves/meltCurve_F5H0I3_SOX5.pdf</t>
  </si>
  <si>
    <t>Melting_Curves/meltCurve_F5H0L8_SEC23IP.pdf</t>
  </si>
  <si>
    <t>Melting_Curves/meltCurve_F5H0M4_LPCAT3.pdf</t>
  </si>
  <si>
    <t>Melting_Curves/meltCurve_F5H0Q6_CLASRP.pdf</t>
  </si>
  <si>
    <t>Melting_Curves/meltCurve_F5H0R1_TUT1.pdf</t>
  </si>
  <si>
    <t>Melting_Curves/meltCurve_F5H148_RRN3.pdf</t>
  </si>
  <si>
    <t>Melting_Curves/meltCurve_F5H1D6_POLE.pdf</t>
  </si>
  <si>
    <t>Melting_Curves/meltCurve_F5H1F3_FBLN2.pdf</t>
  </si>
  <si>
    <t>Melting_Curves/meltCurve_F5H1G9_ABI1.pdf</t>
  </si>
  <si>
    <t>Melting_Curves/meltCurve_F5H1I4_HELB.pdf</t>
  </si>
  <si>
    <t>Melting_Curves/meltCurve_F5H1L4_TXNRD2.pdf</t>
  </si>
  <si>
    <t>Melting_Curves/meltCurve_F5H1N7_KIAA1211.pdf</t>
  </si>
  <si>
    <t>Melting_Curves/meltCurve_F5H1R7_FLJ22184.pdf</t>
  </si>
  <si>
    <t>Melting_Curves/meltCurve_F5H1Z6_STARD10.pdf</t>
  </si>
  <si>
    <t>Melting_Curves/meltCurve_F5H254_TMEM135.pdf</t>
  </si>
  <si>
    <t>Melting_Curves/meltCurve_F5H2A8_SYT10.pdf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</si>
  <si>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</si>
  <si>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</si>
  <si>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</si>
  <si>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</si>
  <si>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Melting_Curves/meltCurve_F5H2U2_PRPF4B.pdf</t>
  </si>
  <si>
    <t>Melting_Curves/meltCurve_F5H2X7_CIZ1.pdf</t>
  </si>
  <si>
    <t>Melting_Curves/meltCurve_F5H315_XAB2.pdf</t>
  </si>
  <si>
    <t>Melting_Curves/meltCurve_F5H365_SEC23A.pdf</t>
  </si>
  <si>
    <t>Melting_Curves/meltCurve_F5H450_FZD10.pdf</t>
  </si>
  <si>
    <t>Melting_Curves/meltCurve_F5H4G7_KPNA6.pdf</t>
  </si>
  <si>
    <t>Melting_Curves/meltCurve_F5H4Q5_VPS37C.pdf</t>
  </si>
  <si>
    <t>Melting_Curves/meltCurve_F5H4S8_NFATC1.pdf</t>
  </si>
  <si>
    <t>Melting_Curves/meltCurve_F5H4V9_PDCD2.pdf</t>
  </si>
  <si>
    <t>Melting_Curves/meltCurve_F5H523_KLHL42.pdf</t>
  </si>
  <si>
    <t>Melting_Curves/meltCurve_F5H527_SSH2.pdf</t>
  </si>
  <si>
    <t>Melting_Curves/meltCurve_F5H569_ATP6V0A1.pdf</t>
  </si>
  <si>
    <t>Melting_Curves/meltCurve_F5H577_BRK1.pdf</t>
  </si>
  <si>
    <t>Melting_Curves/meltCurve_F5H5D3_TUBA1C.pdf</t>
  </si>
  <si>
    <t>Melting_Curves/meltCurve_F5H5I6_GRSF1.pdf</t>
  </si>
  <si>
    <t>Melting_Curves/meltCurve_F5H5N1_NDUFS7.pdf</t>
  </si>
  <si>
    <t>Melting_Curves/meltCurve_F5H5P2_BCKDHA.pdf</t>
  </si>
  <si>
    <t>Melting_Curves/meltCurve_F5H5R8_NAT1.pdf</t>
  </si>
  <si>
    <t>Melting_Curves/meltCurve_F5H604_CLASP2.pdf</t>
  </si>
  <si>
    <t>Melting_Curves/meltCurve_F5H620_OXNAD1.pdf</t>
  </si>
  <si>
    <t>Melting_Curves/meltCurve_F5H631_CLEC2B.pdf</t>
  </si>
  <si>
    <t>Melting_Curves/meltCurve_F5H6S1_KDM6A.pdf</t>
  </si>
  <si>
    <t>Melting_Curves/meltCurve_F5H6U2_FAM60A.pdf</t>
  </si>
  <si>
    <t>Melting_Curves/meltCurve_F5H715_AIDA.pdf</t>
  </si>
  <si>
    <t>Melting_Curves/meltCurve_F5H721_WBP11.pdf</t>
  </si>
  <si>
    <t>Melting_Curves/meltCurve_F5H7K2_MGA.pdf</t>
  </si>
  <si>
    <t>Melting_Curves/meltCurve_F5H7N9_MFGE8.pdf</t>
  </si>
  <si>
    <t>Melting_Curves/meltCurve_F5H7Z9_REEP1.pdf</t>
  </si>
  <si>
    <t>Melting_Curves/meltCurve_F5H801_OGDH.pdf</t>
  </si>
  <si>
    <t>Melting_Curves/meltCurve_F5H843_SLC16A7.pdf</t>
  </si>
  <si>
    <t>Melting_Curves/meltCurve_F5H860_INPP4A.pdf</t>
  </si>
  <si>
    <t>Melting_Curves/meltCurve_F5H874_ASCC1.pdf</t>
  </si>
  <si>
    <t>Melting_Curves/meltCurve_F5H877_SPINT1.pdf</t>
  </si>
  <si>
    <t>Melting_Curves/meltCurve_F5H897_TRAP1.pdf</t>
  </si>
  <si>
    <t>Melting_Curves/meltCurve_F5H8H2_MVK.pdf</t>
  </si>
  <si>
    <t>Melting_Curves/meltCurve_F5H8J3_CLPTM1.pdf</t>
  </si>
  <si>
    <t>Melting_Curves/meltCurve_F5H8L0_RABGAP1L.pdf</t>
  </si>
  <si>
    <t>Melting_Curves/meltCurve_F5H8L4_SIDT2.pdf</t>
  </si>
  <si>
    <t>Melting_Curves/meltCurve_F6PQP6_EPN2.pdf</t>
  </si>
  <si>
    <t>Melting_Curves/meltCurve_F6RAJ7_CDPF1.pdf</t>
  </si>
  <si>
    <t>Melting_Curves/meltCurve_F6T1Q0_PDE12.pdf</t>
  </si>
  <si>
    <t>Melting_Curves/meltCurve_F6U1T9_PPP3R1.pdf</t>
  </si>
  <si>
    <t>Melting_Curves/meltCurve_F6VZ39_RBM38.pdf</t>
  </si>
  <si>
    <t>Melting_Curves/meltCurve_F6WCX7_MAP2K7.pdf</t>
  </si>
  <si>
    <t>Melting_Curves/meltCurve_F6XY72_NME2.pdf</t>
  </si>
  <si>
    <t>Melting_Curves/meltCurve_F8VP89_EIF4B.pdf</t>
  </si>
  <si>
    <t>Melting_Curves/meltCurve_F8VPD4_CAD.pdf</t>
  </si>
  <si>
    <t>Melting_Curves/meltCurve_F8VQD4_C12orf75.pdf</t>
  </si>
  <si>
    <t>Melting_Curves/meltCurve_F8VQX6_METTL7A.pdf</t>
  </si>
  <si>
    <t>Melting_Curves/meltCurve_F8VQY2_UIMC1.pdf</t>
  </si>
  <si>
    <t>Melting_Curves/meltCurve_F8VQZ7_METAP2.pdf</t>
  </si>
  <si>
    <t>Melting_Curves/meltCurve_F8VR27_RBFOX1.pdf</t>
  </si>
  <si>
    <t>Melting_Curves/meltCurve_F8VRE8_TMEM19.pdf</t>
  </si>
  <si>
    <t>Melting_Curves/meltCurve_F8VSL3_NFYB.pdf</t>
  </si>
  <si>
    <t>Melting_Curves/meltCurve_F8VSZ4_PLXNA1.pdf</t>
  </si>
  <si>
    <t>Melting_Curves/meltCurve_F8VTS6_RFPL4AL1.pdf</t>
  </si>
  <si>
    <t>Melting_Curves/meltCurve_F8VU90_FKBP11.pdf</t>
  </si>
  <si>
    <t>Melting_Curves/meltCurve_F8VV59_NAP1L1.pdf</t>
  </si>
  <si>
    <t>Melting_Curves/meltCurve_F8VVA7_COPZ1.pdf</t>
  </si>
  <si>
    <t>Melting_Curves/meltCurve_F8VVN7_TMEM106C.pdf</t>
  </si>
  <si>
    <t>Melting_Curves/meltCurve_F8VW96_CSRP2.pdf</t>
  </si>
  <si>
    <t>Melting_Curves/meltCurve_F8VWA6_MON2.pdf</t>
  </si>
  <si>
    <t>Melting_Curves/meltCurve_F8VWA9_ALG10B.pdf</t>
  </si>
  <si>
    <t>Melting_Curves/meltCurve_F8VWL0_TFCP2.pdf</t>
  </si>
  <si>
    <t>Melting_Curves/meltCurve_F8VX04_SLC38A1.pdf</t>
  </si>
  <si>
    <t>Melting_Curves/meltCurve_F8VXG3_TGIF1.pdf</t>
  </si>
  <si>
    <t>Melting_Curves/meltCurve_F8VXG7_SCAF11.pdf</t>
  </si>
  <si>
    <t>Melting_Curves/meltCurve_F8VXK3_CHST11.pdf</t>
  </si>
  <si>
    <t>Melting_Curves/meltCurve_F8VYK6_TARBP2.pdf</t>
  </si>
  <si>
    <t>Melting_Curves/meltCurve_F8VYN9_ARL1.pdf</t>
  </si>
  <si>
    <t>Melting_Curves/meltCurve_F8VZJ2_NACA.pdf</t>
  </si>
  <si>
    <t>Melting_Curves/meltCurve_F8W038_C17orf49.pdf</t>
  </si>
  <si>
    <t>Melting_Curves/meltCurve_F8W052_TROAP.pdf</t>
  </si>
  <si>
    <t>Melting_Curves/meltCurve_F8W0J6_NAP1L1.pdf</t>
  </si>
  <si>
    <t>Melting_Curves/meltCurve_F8W0Q9_PPHLN1.pdf</t>
  </si>
  <si>
    <t>Melting_Curves/meltCurve_F8W0R1_ERGIC2.pdf</t>
  </si>
  <si>
    <t>Melting_Curves/meltCurve_F8W181_RPL6.pdf</t>
  </si>
  <si>
    <t>Melting_Curves/meltCurve_F8W689_RFX5.pdf</t>
  </si>
  <si>
    <t>Melting_Curves/meltCurve_F8W6I7_HNRNPA1.pdf</t>
  </si>
  <si>
    <t>Melting_Curves/meltCurve_F8W6N3_BAP1.pdf</t>
  </si>
  <si>
    <t>Melting_Curves/meltCurve_F8W6Q3_ZNF384.pdf</t>
  </si>
  <si>
    <t>Melting_Curves/meltCurve_F8W6T6_TLE4.pdf</t>
  </si>
  <si>
    <t>Melting_Curves/meltCurve_F8W7D0_PBLD.pdf</t>
  </si>
  <si>
    <t>Melting_Curves/meltCurve_F8W7Q4_FAM162A.pdf</t>
  </si>
  <si>
    <t>Melting_Curves/meltCurve_F8W840_YTHDF1.pdf</t>
  </si>
  <si>
    <t>Melting_Curves/meltCurve_F8W8D3_SLBP.pdf</t>
  </si>
  <si>
    <t>Melting_Curves/meltCurve_F8W8G5_MYB.pdf</t>
  </si>
  <si>
    <t>Melting_Curves/meltCurve_F8W8I6_TIA1.pdf</t>
  </si>
  <si>
    <t>Melting_Curves/meltCurve_F8W8T8_ACACB.pdf</t>
  </si>
  <si>
    <t>Melting_Curves/meltCurve_F8W914_RTN4.pdf</t>
  </si>
  <si>
    <t>Melting_Curves/meltCurve_F8W946_FSD1L.pdf</t>
  </si>
  <si>
    <t>Melting_Curves/meltCurve_F8W966_MEF2A.pdf</t>
  </si>
  <si>
    <t>Melting_Curves/meltCurve_F8W9R9_MED24.pdf</t>
  </si>
  <si>
    <t>Melting_Curves/meltCurve_F8W9X7_CCDC93.pdf</t>
  </si>
  <si>
    <t>Melting_Curves/meltCurve_F8WA11_CLASP1.pdf</t>
  </si>
  <si>
    <t>Melting_Curves/meltCurve_F8WA39_MTMR1.pdf</t>
  </si>
  <si>
    <t>Melting_Curves/meltCurve_F8WAD8_ADAM22.pdf</t>
  </si>
  <si>
    <t>Melting_Curves/meltCurve_F8WAK8_STAG2.pdf</t>
  </si>
  <si>
    <t>Melting_Curves/meltCurve_F8WBK5_MRPL40.pdf</t>
  </si>
  <si>
    <t>Melting_Curves/meltCurve_F8WC47_POLR2F.pdf</t>
  </si>
  <si>
    <t>Melting_Curves/meltCurve_F8WC68_DOM3Z.pdf</t>
  </si>
  <si>
    <t>Melting_Curves/meltCurve_F8WC89_SAC3D1.pdf</t>
  </si>
  <si>
    <t>Melting_Curves/meltCurve_F8WCD0_RNF149.pdf</t>
  </si>
  <si>
    <t>Melting_Curves/meltCurve_F8WCF6_ARPC4.pdf</t>
  </si>
  <si>
    <t>Melting_Curves/meltCurve_F8WCP0_NEB.pdf</t>
  </si>
  <si>
    <t>Melting_Curves/meltCurve_F8WD19_DONSON.pdf</t>
  </si>
  <si>
    <t>Melting_Curves/meltCurve_F8WDT5_SAMD1.pdf</t>
  </si>
  <si>
    <t>Melting_Curves/meltCurve_F8WE74_SLC25A17.pdf</t>
  </si>
  <si>
    <t>Melting_Curves/meltCurve_F8WE88_MYO5A.pdf</t>
  </si>
  <si>
    <t>Melting_Curves/meltCurve_F8WEC0_MMADHC.pdf</t>
  </si>
  <si>
    <t>Melting_Curves/meltCurve_F8WF93_ALG3.pdf</t>
  </si>
  <si>
    <t>Melting_Curves/meltCurve_F8WJN3_CPSF6.pdf</t>
  </si>
  <si>
    <t>Melting_Curves/meltCurve_G1K394_TRAPPC2.pdf</t>
  </si>
  <si>
    <t>Melting_Curves/meltCurve_G3V0I5_NDUFV1.pdf</t>
  </si>
  <si>
    <t>Melting_Curves/meltCurve_G3V0I6_OTUD4.pdf</t>
  </si>
  <si>
    <t>Melting_Curves/meltCurve_G3V130_MTERFD1.pdf</t>
  </si>
  <si>
    <t>Melting_Curves/meltCurve_G3V167_PARP2.pdf</t>
  </si>
  <si>
    <t>Melting_Curves/meltCurve_G3V1A6_GSDMD.pdf</t>
  </si>
  <si>
    <t>Melting_Curves/meltCurve_G3V1D3_DPP3.pdf</t>
  </si>
  <si>
    <t>Melting_Curves/meltCurve_G3V1P3_LOH12CR1.pdf</t>
  </si>
  <si>
    <t>Melting_Curves/meltCurve_G3V1Q4_SEPT7.pdf</t>
  </si>
  <si>
    <t>Melting_Curves/meltCurve_G3V1S9_ACSL6.pdf</t>
  </si>
  <si>
    <t>Melting_Curves/meltCurve_G3V1U5_GOLT1B.pdf</t>
  </si>
  <si>
    <t>Melting_Curves/meltCurve_G3V1X5_YAF2.pdf</t>
  </si>
  <si>
    <t>Melting_Curves/meltCurve_G3V203_RPL18.pdf</t>
  </si>
  <si>
    <t>Melting_Curves/meltCurve_G3V2F7_TMEM189.pdf</t>
  </si>
  <si>
    <t>Melting_Curves/meltCurve_G3V2U7_ACYP1.pdf</t>
  </si>
  <si>
    <t>Melting_Curves/meltCurve_G3V325_ATP5J2_PTCD1.pdf</t>
  </si>
  <si>
    <t>Melting_Curves/meltCurve_G3V3C1_PTGR2.pdf</t>
  </si>
  <si>
    <t>Melting_Curves/meltCurve_G3V3G9_DCAF8.pdf</t>
  </si>
  <si>
    <t>Melting_Curves/meltCurve_G3V3I4_NFKBIA.pdf</t>
  </si>
  <si>
    <t>Melting_Curves/meltCurve_G3V3J9_GNG2.pdf</t>
  </si>
  <si>
    <t>Melting_Curves/meltCurve_G3V3R7_ATXN3.pdf</t>
  </si>
  <si>
    <t>Melting_Curves/meltCurve_G3V3U6_MRPL52.pdf</t>
  </si>
  <si>
    <t>Melting_Curves/meltCurve_G3V439_SIVA1.pdf</t>
  </si>
  <si>
    <t>Melting_Curves/meltCurve_G3V4A5_MED6.pdf</t>
  </si>
  <si>
    <t>Melting_Curves/meltCurve_G3V4K3_VIPAS39.pdf</t>
  </si>
  <si>
    <t>Melting_Curves/meltCurve_G3V4P7_AP4S1.pdf</t>
  </si>
  <si>
    <t>Melting_Curves/meltCurve_G3V4W0_HNRNPC.pdf</t>
  </si>
  <si>
    <t>Melting_Curves/meltCurve_G3V529_DDX24.pdf</t>
  </si>
  <si>
    <t>Melting_Curves/meltCurve_G3V583_FAM177A1.pdf</t>
  </si>
  <si>
    <t>Melting_Curves/meltCurve_G3V599_CTAGE5.pdf</t>
  </si>
  <si>
    <t>Melting_Curves/meltCurve_G3V5T0_GSTZ1.pdf</t>
  </si>
  <si>
    <t>Melting_Curves/meltCurve_G3V5T9_CDK2.pdf</t>
  </si>
  <si>
    <t>Melting_Curves/meltCurve_G3XAA0_ARID1B.pdf</t>
  </si>
  <si>
    <t>Melting_Curves/meltCurve_G3XAC1_SLC26A6.pdf</t>
  </si>
  <si>
    <t>Melting_Curves/meltCurve_G3XAE9_FAM179B.pdf</t>
  </si>
  <si>
    <t>Melting_Curves/meltCurve_G3XAI9_FAM133B.pdf</t>
  </si>
  <si>
    <t>Melting_Curves/meltCurve_G3XAN4_TRAM1.pdf</t>
  </si>
  <si>
    <t>Melting_Curves/meltCurve_G3XAN8_TIMM8B.pdf</t>
  </si>
  <si>
    <t>Melting_Curves/meltCurve_G3XAP3_ABCB8.pdf</t>
  </si>
  <si>
    <t>Melting_Curves/meltCurve_G5E933_SBF1.pdf</t>
  </si>
  <si>
    <t>Melting_Curves/meltCurve_G5E948_MAP4K4.pdf</t>
  </si>
  <si>
    <t>Melting_Curves/meltCurve_G5E994_GPR107.pdf</t>
  </si>
  <si>
    <t>Melting_Curves/meltCurve_G5E9A6_USP11.pdf</t>
  </si>
  <si>
    <t>Melting_Curves/meltCurve_G5E9F3_CABIN1.pdf</t>
  </si>
  <si>
    <t>Melting_Curves/meltCurve_G5E9L8_ECT2.pdf</t>
  </si>
  <si>
    <t>Melting_Curves/meltCurve_G5E9W7_MRPS22.pdf</t>
  </si>
  <si>
    <t>Melting_Curves/meltCurve_G5E9W9_GIMAP4.pdf</t>
  </si>
  <si>
    <t>Melting_Curves/meltCurve_G5EA25_FAT3.pdf</t>
  </si>
  <si>
    <t>Melting_Curves/meltCurve_G5EA30_CELF1.pdf</t>
  </si>
  <si>
    <t>Melting_Curves/meltCurve_G5EA36_CDC27.pdf</t>
  </si>
  <si>
    <t>Melting_Curves/meltCurve_G5EA52_PDIA3.pdf</t>
  </si>
  <si>
    <t>Melting_Curves/meltCurve_G8JL98_TDG.pdf</t>
  </si>
  <si>
    <t>Melting_Curves/meltCurve_G8JLA2_MYL6.pdf</t>
  </si>
  <si>
    <t>Melting_Curves/meltCurve_G8JLB3_PUS1.pdf</t>
  </si>
  <si>
    <t>Melting_Curves/meltCurve_G8JLB6_HNRNPH1.pdf</t>
  </si>
  <si>
    <t>Melting_Curves/meltCurve_G8JLD3_ERC1.pdf</t>
  </si>
  <si>
    <t>Melting_Curves/meltCurve_G8JLH2_CDC25B.pdf</t>
  </si>
  <si>
    <t>Melting_Curves/meltCurve_G8JLI5_WDR45.pdf</t>
  </si>
  <si>
    <t>Melting_Curves/meltCurve_G8JLI6_LEPREL2.pdf</t>
  </si>
  <si>
    <t>Melting_Curves/meltCurve_G8JLK4_TACC1.pdf</t>
  </si>
  <si>
    <t>Melting_Curves/meltCurve_G8JLL1_CAPN14.pdf</t>
  </si>
  <si>
    <t>Melting_Curves/meltCurve_G8JLL2_PPT2.pdf</t>
  </si>
  <si>
    <t>Melting_Curves/meltCurve_G8JLL7_MVB12B.pdf</t>
  </si>
  <si>
    <t>Melting_Curves/meltCurve_H0UI80_TH1L.pdf</t>
  </si>
  <si>
    <t>Melting_Curves/meltCurve_H0Y2P9_PIGX.pdf</t>
  </si>
  <si>
    <t>Melting_Curves/meltCurve_H0Y322_LIN9.pdf</t>
  </si>
  <si>
    <t>Melting_Curves/meltCurve_H0Y327_MTHFD1L.pdf</t>
  </si>
  <si>
    <t>Melting_Curves/meltCurve_H0Y384_ODF2.pdf</t>
  </si>
  <si>
    <t>Melting_Curves/meltCurve_H0Y3A3_DAB2IP.pdf</t>
  </si>
  <si>
    <t>Melting_Curves/meltCurve_H0Y412_PRRC2B.pdf</t>
  </si>
  <si>
    <t>Melting_Curves/meltCurve_H0Y494_SIK3.pdf</t>
  </si>
  <si>
    <t>Melting_Curves/meltCurve_H0Y4G9_MYD88.pdf</t>
  </si>
  <si>
    <t>Melting_Curves/meltCurve_H0Y530_PAEP.pdf</t>
  </si>
  <si>
    <t>Melting_Curves/meltCurve_H0Y547_ATP11A.pdf</t>
  </si>
  <si>
    <t>Melting_Curves/meltCurve_H0Y5Y0_PREP.pdf</t>
  </si>
  <si>
    <t>Melting_Curves/meltCurve_H0Y614_UFM1.pdf</t>
  </si>
  <si>
    <t>Melting_Curves/meltCurve_H0Y6A0_ARFGAP3.pdf</t>
  </si>
  <si>
    <t>Melting_Curves/meltCurve_H0Y6C3_PYCRL.pdf</t>
  </si>
  <si>
    <t>Melting_Curves/meltCurve_H0Y6K2_BRD2.pdf</t>
  </si>
  <si>
    <t>Melting_Curves/meltCurve_H0Y6Y6_CD1C.pdf</t>
  </si>
  <si>
    <t>Melting_Curves/meltCurve_H0Y7A7_CALM2.pdf</t>
  </si>
  <si>
    <t>Melting_Curves/meltCurve_H0Y7P7_PISD.pdf</t>
  </si>
  <si>
    <t>Melting_Curves/meltCurve_H0Y870_TMEM222.pdf</t>
  </si>
  <si>
    <t>Melting_Curves/meltCurve_H0Y8H1_CHIC2.pdf</t>
  </si>
  <si>
    <t>Melting_Curves/meltCurve_H0Y8W3_RGS14.pdf</t>
  </si>
  <si>
    <t>Melting_Curves/meltCurve_H0Y912_DACH2.pdf</t>
  </si>
  <si>
    <t>Melting_Curves/meltCurve_H0Y9B8_.pdf</t>
  </si>
  <si>
    <t>Melting_Curves/meltCurve_H0Y9N0_ADH4.pdf</t>
  </si>
  <si>
    <t>Melting_Curves/meltCurve_H0Y9S9_PPIP5K2.pdf</t>
  </si>
  <si>
    <t>Melting_Curves/meltCurve_H0Y9T5_DCP2.pdf</t>
  </si>
  <si>
    <t>Melting_Curves/meltCurve_H0Y9X1_TMA16.pdf</t>
  </si>
  <si>
    <t>Melting_Curves/meltCurve_H0Y9Z5_CNOT6L.pdf</t>
  </si>
  <si>
    <t>Melting_Curves/meltCurve_H0YA52_PCBD2.pdf</t>
  </si>
  <si>
    <t>Melting_Curves/meltCurve_H0YA68_MAN2B2.pdf</t>
  </si>
  <si>
    <t>Melting_Curves/meltCurve_H0YAR2_PABPC1.pdf</t>
  </si>
  <si>
    <t>Melting_Curves/meltCurve_H0YAV1_RRM2B.pdf</t>
  </si>
  <si>
    <t>Melting_Curves/meltCurve_H0YBI6_TXNRD3.pdf</t>
  </si>
  <si>
    <t>Melting_Curves/meltCurve_H0YBP1_PTK2.pdf</t>
  </si>
  <si>
    <t>Melting_Curves/meltCurve_H0YBZ4_MTFR1.pdf</t>
  </si>
  <si>
    <t>Melting_Curves/meltCurve_H0YC40_CD47.pdf</t>
  </si>
  <si>
    <t>Melting_Curves/meltCurve_H0YCP7_TSTA3.pdf</t>
  </si>
  <si>
    <t>Melting_Curves/meltCurve_H0YCY4_GLB1L2.pdf</t>
  </si>
  <si>
    <t>Melting_Curves/meltCurve_H0YDD3_ALG8.pdf</t>
  </si>
  <si>
    <t>Melting_Curves/meltCurve_H0YDS0_UBQLN1.pdf</t>
  </si>
  <si>
    <t>Melting_Curves/meltCurve_H0YDU8_PPP5C.pdf</t>
  </si>
  <si>
    <t>Melting_Curves/meltCurve_H0YDX6_CD44.pdf</t>
  </si>
  <si>
    <t>Melting_Curves/meltCurve_H0YE22_EIF4G2.pdf</t>
  </si>
  <si>
    <t>Melting_Curves/meltCurve_H0YE91_CHI3L2.pdf</t>
  </si>
  <si>
    <t>Melting_Curves/meltCurve_H0YEB6_SSSCA1.pdf</t>
  </si>
  <si>
    <t>Melting_Curves/meltCurve_H0YEF3_RNASEH2C.pdf</t>
  </si>
  <si>
    <t>Melting_Curves/meltCurve_H0YF29_C8orf82.pdf</t>
  </si>
  <si>
    <t>Melting_Curves/meltCurve_H0YGR4_REXO2.pdf</t>
  </si>
  <si>
    <t>Melting_Curves/meltCurve_H0YH87_ATXN2.pdf</t>
  </si>
  <si>
    <t>Melting_Curves/meltCurve_H0YHG0_.pdf</t>
  </si>
  <si>
    <t>Melting_Curves/meltCurve_H0YIQ8_KANSL2.pdf</t>
  </si>
  <si>
    <t>Melting_Curves/meltCurve_H0YIV9_.pdf</t>
  </si>
  <si>
    <t>Melting_Curves/meltCurve_H0YJT2_STRN3.pdf</t>
  </si>
  <si>
    <t>Melting_Curves/meltCurve_H0YK48_TPM1.pdf</t>
  </si>
  <si>
    <t>Melting_Curves/meltCurve_H0YK61_EMC4.pdf</t>
  </si>
  <si>
    <t>Melting_Curves/meltCurve_H0YKG9_EID1.pdf</t>
  </si>
  <si>
    <t>Melting_Curves/meltCurve_H0YKJ9_TSPAN3.pdf</t>
  </si>
  <si>
    <t>Melting_Curves/meltCurve_H0YL70_TLE3.pdf</t>
  </si>
  <si>
    <t>Melting_Curves/meltCurve_H0YLA4_SORD.pdf</t>
  </si>
  <si>
    <t>Melting_Curves/meltCurve_H0YLB5_POU2F1.pdf</t>
  </si>
  <si>
    <t>Melting_Curves/meltCurve_H0YLF2_HMBOX1.pdf</t>
  </si>
  <si>
    <t>Melting_Curves/meltCurve_H0YLR1_FAM63B.pdf</t>
  </si>
  <si>
    <t>Melting_Curves/meltCurve_H0YLW6_SHF.pdf</t>
  </si>
  <si>
    <t>Melting_Curves/meltCurve_H0YLX2_RFX7.pdf</t>
  </si>
  <si>
    <t>Melting_Curves/meltCurve_H0YMB3_GMPR2.pdf</t>
  </si>
  <si>
    <t>Melting_Curves/meltCurve_H0YMJ0_MORF4L1.pdf</t>
  </si>
  <si>
    <t>Melting_Curves/meltCurve_H0YMV8_RPS27L.pdf</t>
  </si>
  <si>
    <t>Melting_Curves/meltCurve_H0YN33_CINP.pdf</t>
  </si>
  <si>
    <t>Melting_Curves/meltCurve_H0YN65_CHST14.pdf</t>
  </si>
  <si>
    <t>Melting_Curves/meltCurve_H0YN78_C15orf57.pdf</t>
  </si>
  <si>
    <t>Melting_Curves/meltCurve_H0YNG3_SEC11A.pdf</t>
  </si>
  <si>
    <t>Melting_Curves/meltCurve_H0YNH6_EMC9.pdf</t>
  </si>
  <si>
    <t>Melting_Curves/meltCurve_H0YNH8_UACA.pdf</t>
  </si>
  <si>
    <t>Melting_Curves/meltCurve_H0YNU5_BLM.pdf</t>
  </si>
  <si>
    <t>Melting_Curves/meltCurve_H3BLU2_LSAMP.pdf</t>
  </si>
  <si>
    <t>Melting_Curves/meltCurve_H3BLV0_CD55.pdf</t>
  </si>
  <si>
    <t>Melting_Curves/meltCurve_H3BLW6_TMEM63B.pdf</t>
  </si>
  <si>
    <t>Melting_Curves/meltCurve_H3BLZ2_DBNDD1.pdf</t>
  </si>
  <si>
    <t>Melting_Curves/meltCurve_H3BLZ8_DDX17.pdf</t>
  </si>
  <si>
    <t>Melting_Curves/meltCurve_H3BM14_NUB1.pdf</t>
  </si>
  <si>
    <t>Melting_Curves/meltCurve_H3BMM5_.pdf</t>
  </si>
  <si>
    <t>Melting_Curves/meltCurve_H3BMQ0_TSC2.pdf</t>
  </si>
  <si>
    <t>Melting_Curves/meltCurve_H3BN98_.pdf</t>
  </si>
  <si>
    <t>Melting_Curves/meltCurve_H3BNE3_BLOC1S6.pdf</t>
  </si>
  <si>
    <t>Melting_Curves/meltCurve_H3BNK2_LYRM1.pdf</t>
  </si>
  <si>
    <t>Melting_Curves/meltCurve_H3BNT4_MPHOSPH6.pdf</t>
  </si>
  <si>
    <t>Melting_Curves/meltCurve_H3BP13_TRAPPC2L.pdf</t>
  </si>
  <si>
    <t>Melting_Curves/meltCurve_H3BP20_HEXA.pdf</t>
  </si>
  <si>
    <t>Melting_Curves/meltCurve_H3BP28_COQ7.pdf</t>
  </si>
  <si>
    <t>Melting_Curves/meltCurve_H3BPB8_MPI.pdf</t>
  </si>
  <si>
    <t>Melting_Curves/meltCurve_H3BPC4_UBE2I.pdf</t>
  </si>
  <si>
    <t>Melting_Curves/meltCurve_H3BPE1_MACF1.pdf</t>
  </si>
  <si>
    <t>Melting_Curves/meltCurve_H3BPZ0_FBXL19.pdf</t>
  </si>
  <si>
    <t>Melting_Curves/meltCurve_H3BQA0_SNAPC5.pdf</t>
  </si>
  <si>
    <t>Melting_Curves/meltCurve_H3BQF6_.pdf</t>
  </si>
  <si>
    <t>Melting_Curves/meltCurve_H3BQM0_PAPD5.pdf</t>
  </si>
  <si>
    <t>Melting_Curves/meltCurve_H3BQV3_COG8.pdf</t>
  </si>
  <si>
    <t>Melting_Curves/meltCurve_H3BR82_SPNS1.pdf</t>
  </si>
  <si>
    <t>Melting_Curves/meltCurve_H3BRF9_ZFYVE19.pdf</t>
  </si>
  <si>
    <t>Melting_Curves/meltCurve_H3BRL3_UBFD1.pdf</t>
  </si>
  <si>
    <t>Melting_Curves/meltCurve_H3BRN4_ABAT.pdf</t>
  </si>
  <si>
    <t>Melting_Curves/meltCurve_H3BRV0_EIF3C.pdf</t>
  </si>
  <si>
    <t>Melting_Curves/meltCurve_H3BRY6_VWA9.pdf</t>
  </si>
  <si>
    <t>Melting_Curves/meltCurve_H3BS01_C15orf41.pdf</t>
  </si>
  <si>
    <t>Melting_Curves/meltCurve_H3BS66_SMIM1.pdf</t>
  </si>
  <si>
    <t>Melting_Curves/meltCurve_H3BSM7_C16orf58.pdf</t>
  </si>
  <si>
    <t>Melting_Curves/meltCurve_H3BSW6_CTU2.pdf</t>
  </si>
  <si>
    <t>Melting_Curves/meltCurve_H3BT91_CCNDBP1.pdf</t>
  </si>
  <si>
    <t>Melting_Curves/meltCurve_H3BTB7_EARS2.pdf</t>
  </si>
  <si>
    <t>Melting_Curves/meltCurve_H3BTL1_MAP1LC3B.pdf</t>
  </si>
  <si>
    <t>Melting_Curves/meltCurve_H3BTN5_PKM.pdf</t>
  </si>
  <si>
    <t>Melting_Curves/meltCurve_H3BTR4_CENPT.pdf</t>
  </si>
  <si>
    <t>Melting_Curves/meltCurve_H3BTX0_.pdf</t>
  </si>
  <si>
    <t>Melting_Curves/meltCurve_H3BTX7_RNF166.pdf</t>
  </si>
  <si>
    <t>Melting_Curves/meltCurve_H3BU23_CDR2.pdf</t>
  </si>
  <si>
    <t>Melting_Curves/meltCurve_H3BU49_ARL2BP.pdf</t>
  </si>
  <si>
    <t>Melting_Curves/meltCurve_H3BV80_RNPS1.pdf</t>
  </si>
  <si>
    <t>Melting_Curves/meltCurve_H6UMI1_GABARAP.pdf</t>
  </si>
  <si>
    <t>Melting_Curves/meltCurve_H7BXD5_GCA.pdf</t>
  </si>
  <si>
    <t>Melting_Curves/meltCurve_H7BXF4_SMPD4.pdf</t>
  </si>
  <si>
    <t>Melting_Curves/meltCurve_H7BXF5_SAP130.pdf</t>
  </si>
  <si>
    <t>Melting_Curves/meltCurve_H7BXH2_PPP6R3.pdf</t>
  </si>
  <si>
    <t>Melting_Curves/meltCurve_H7BXH9_METTL21A.pdf</t>
  </si>
  <si>
    <t>Melting_Curves/meltCurve_H7BXI1_ESYT2.pdf</t>
  </si>
  <si>
    <t>Melting_Curves/meltCurve_H7BXI5_ERGIC3.pdf</t>
  </si>
  <si>
    <t>Melting_Curves/meltCurve_H7BXL1_TMEM41A.pdf</t>
  </si>
  <si>
    <t>Melting_Curves/meltCurve_H7BXR8_ARHGAP19.pdf</t>
  </si>
  <si>
    <t>Melting_Curves/meltCurve_H7BXW7_MPC1.pdf</t>
  </si>
  <si>
    <t>Melting_Curves/meltCurve_H7BXY3_DHX30.pdf</t>
  </si>
  <si>
    <t>Melting_Curves/meltCurve_H7BY22_ZBTB44.pdf</t>
  </si>
  <si>
    <t>Melting_Curves/meltCurve_H7BY58_PCMT1.pdf</t>
  </si>
  <si>
    <t>Melting_Curves/meltCurve_H7BY84_GTF3C5.pdf</t>
  </si>
  <si>
    <t>Melting_Curves/meltCurve_H7BYE5_WRB.pdf</t>
  </si>
  <si>
    <t>Melting_Curves/meltCurve_H7BYY1_TPM1.pdf</t>
  </si>
  <si>
    <t>Melting_Curves/meltCurve_H7BZ11_.pdf</t>
  </si>
  <si>
    <t>Melting_Curves/meltCurve_H7BZJ3_PDIA3.pdf</t>
  </si>
  <si>
    <t>Melting_Curves/meltCurve_H7BZT4_.pdf</t>
  </si>
  <si>
    <t>Melting_Curves/meltCurve_H7C096_BNIP2.pdf</t>
  </si>
  <si>
    <t>Melting_Curves/meltCurve_H7C0C1_.pdf</t>
  </si>
  <si>
    <t>Melting_Curves/meltCurve_H7C0S3_CDKN3.pdf</t>
  </si>
  <si>
    <t>Melting_Curves/meltCurve_H7C0S8_.pdf</t>
  </si>
  <si>
    <t>Melting_Curves/meltCurve_H7C0V4_RTN4R.pdf</t>
  </si>
  <si>
    <t>Melting_Curves/meltCurve_H7C128_BRD8.pdf</t>
  </si>
  <si>
    <t>Melting_Curves/meltCurve_H7C155_RAF1.pdf</t>
  </si>
  <si>
    <t>Melting_Curves/meltCurve_H7C173_MZT2B.pdf</t>
  </si>
  <si>
    <t>Melting_Curves/meltCurve_H7C1M3_MMP8.pdf</t>
  </si>
  <si>
    <t>Melting_Curves/meltCurve_H7C1Q1_.pdf</t>
  </si>
  <si>
    <t>Melting_Curves/meltCurve_H7C1U3_CC2D1B.pdf</t>
  </si>
  <si>
    <t>Melting_Curves/meltCurve_H7C1U8_APOO.pdf</t>
  </si>
  <si>
    <t>Melting_Curves/meltCurve_H7C270_CTDSP1.pdf</t>
  </si>
  <si>
    <t>Melting_Curves/meltCurve_H7C285_TSPAN15.pdf</t>
  </si>
  <si>
    <t>Melting_Curves/meltCurve_H7C2P7_MRPL23.pdf</t>
  </si>
  <si>
    <t>Melting_Curves/meltCurve_H7C3A6_C1orf86.pdf</t>
  </si>
  <si>
    <t>Melting_Curves/meltCurve_H7C3C7_SNAP47.pdf</t>
  </si>
  <si>
    <t>Melting_Curves/meltCurve_H7C3D5_FAM134A.pdf</t>
  </si>
  <si>
    <t>Melting_Curves/meltCurve_H7C3D8_CMC1.pdf</t>
  </si>
  <si>
    <t>Melting_Curves/meltCurve_H7C3P4_GNS.pdf</t>
  </si>
  <si>
    <t>Melting_Curves/meltCurve_H7C484_ARV1.pdf</t>
  </si>
  <si>
    <t>Melting_Curves/meltCurve_H7C5F7_NDFIP2.pdf</t>
  </si>
  <si>
    <t>Melting_Curves/meltCurve_H7C5G1_IAH1.pdf</t>
  </si>
  <si>
    <t>Melting_Curves/meltCurve_H7C5R8_PARP14.pdf</t>
  </si>
  <si>
    <t>Melting_Curves/meltCurve_H9KV46_KIF18B.pdf</t>
  </si>
  <si>
    <t>Melting_Curves/meltCurve_H9KV59_PRC1.pdf</t>
  </si>
  <si>
    <t>Melting_Curves/meltCurve_H9KVA1_SLC22A17.pdf</t>
  </si>
  <si>
    <t>Melting_Curves/meltCurve_H9KVB8_MICU1.pdf</t>
  </si>
  <si>
    <t>Melting_Curves/meltCurve_H9ZYI9_GABPB1.pdf</t>
  </si>
  <si>
    <t>Melting_Curves/meltCurve_I3L097_.pdf</t>
  </si>
  <si>
    <t>Melting_Curves/meltCurve_I3L0C1_SMG1.pdf</t>
  </si>
  <si>
    <t>Melting_Curves/meltCurve_I3L0K1_GOSR2.pdf</t>
  </si>
  <si>
    <t>Melting_Curves/meltCurve_I3L0L6_RNF167.pdf</t>
  </si>
  <si>
    <t>Melting_Curves/meltCurve_I3L0N3_NSF.pdf</t>
  </si>
  <si>
    <t>Melting_Curves/meltCurve_I3L0W4_SAT2.pdf</t>
  </si>
  <si>
    <t>Melting_Curves/meltCurve_I3L112_DGKE.pdf</t>
  </si>
  <si>
    <t>Melting_Curves/meltCurve_I3L1B5_RPGRIP1L.pdf</t>
  </si>
  <si>
    <t>Melting_Curves/meltCurve_I3L1H5_DPH1.pdf</t>
  </si>
  <si>
    <t>Melting_Curves/meltCurve_I3L1K6_MYL4.pdf</t>
  </si>
  <si>
    <t>Melting_Curves/meltCurve_I3L1L3_MYBBP1A.pdf</t>
  </si>
  <si>
    <t>Melting_Curves/meltCurve_I3L1P8_SLC25A11.pdf</t>
  </si>
  <si>
    <t>Melting_Curves/meltCurve_I3L1Q2_BCL7C.pdf</t>
  </si>
  <si>
    <t>Melting_Curves/meltCurve_I3L1Q3_ELP5.pdf</t>
  </si>
  <si>
    <t>Melting_Curves/meltCurve_I3L232_B3GNTL1.pdf</t>
  </si>
  <si>
    <t>Melting_Curves/meltCurve_I3L2B0_CLUH.pdf</t>
  </si>
  <si>
    <t>Melting_Curves/meltCurve_I3L2C7_GEMIN4.pdf</t>
  </si>
  <si>
    <t>Melting_Curves/meltCurve_I3L2J0_CIC.pdf</t>
  </si>
  <si>
    <t>Melting_Curves/meltCurve_I3L2J8_AZI1.pdf</t>
  </si>
  <si>
    <t>Melting_Curves/meltCurve_I3L2L5_FAM195B.pdf</t>
  </si>
  <si>
    <t>Melting_Curves/meltCurve_I3L3A8_PELP1.pdf</t>
  </si>
  <si>
    <t>Melting_Curves/meltCurve_I3L3K5_CTDNEP1.pdf</t>
  </si>
  <si>
    <t>Melting_Curves/meltCurve_I3L413_CCNE1.pdf</t>
  </si>
  <si>
    <t>Melting_Curves/meltCurve_I3L448_ATPAF1.pdf</t>
  </si>
  <si>
    <t>Melting_Curves/meltCurve_I3L4C3_SPAG7.pdf</t>
  </si>
  <si>
    <t>Melting_Curves/meltCurve_I3L4J3_KANSL1.pdf</t>
  </si>
  <si>
    <t>Melting_Curves/meltCurve_I3L4X3_NFKBIB.pdf</t>
  </si>
  <si>
    <t>Melting_Curves/meltCurve_J3KMW4_CENPI.pdf</t>
  </si>
  <si>
    <t>Melting_Curves/meltCurve_J3KMW7_UBR5.pdf</t>
  </si>
  <si>
    <t>Melting_Curves/meltCurve_J3KMW8_CACTIN.pdf</t>
  </si>
  <si>
    <t>Melting_Curves/meltCurve_J3KMX2_SMARCD2.pdf</t>
  </si>
  <si>
    <t>Melting_Curves/meltCurve_J3KMY5_NPC2.pdf</t>
  </si>
  <si>
    <t>Melting_Curves/meltCurve_J3KMZ7_INTS2.pdf</t>
  </si>
  <si>
    <t>Melting_Curves/meltCurve_J3KMZ9_LDLR.pdf</t>
  </si>
  <si>
    <t>Melting_Curves/meltCurve_J3KN10_PI4KA.pdf</t>
  </si>
  <si>
    <t>Melting_Curves/meltCurve_J3KN16_KIAA0368.pdf</t>
  </si>
  <si>
    <t>Melting_Curves/meltCurve_J3KN27_FBRSL1.pdf</t>
  </si>
  <si>
    <t>Melting_Curves/meltCurve_J3KN29_PSMD9.pdf</t>
  </si>
  <si>
    <t>Melting_Curves/meltCurve_J3KN32_RCOR1.pdf</t>
  </si>
  <si>
    <t>Melting_Curves/meltCurve_J3KN47_TF.pdf</t>
  </si>
  <si>
    <t>Melting_Curves/meltCurve_J3KN66_TOR1AIP1.pdf</t>
  </si>
  <si>
    <t>Melting_Curves/meltCurve_J3KN67_TPM3.pdf</t>
  </si>
  <si>
    <t>Melting_Curves/meltCurve_J3KN69_NCEH1.pdf</t>
  </si>
  <si>
    <t>Melting_Curves/meltCurve_J3KN93_ANKRD44.pdf</t>
  </si>
  <si>
    <t>Melting_Curves/meltCurve_J3KNA0_OXA1L.pdf</t>
  </si>
  <si>
    <t>Melting_Curves/meltCurve_J3KNB8_MAP3K4.pdf</t>
  </si>
  <si>
    <t>Melting_Curves/meltCurve_J3KNE0_RGPD3.pdf</t>
  </si>
  <si>
    <t>Melting_Curves/meltCurve_J3KNF4_CCS.pdf</t>
  </si>
  <si>
    <t>Melting_Curves/meltCurve_J3KNF5_CEP290.pdf</t>
  </si>
  <si>
    <t>Melting_Curves/meltCurve_J3KNF8_CYB5B.pdf</t>
  </si>
  <si>
    <t>Melting_Curves/meltCurve_J3KNI1_COG4.pdf</t>
  </si>
  <si>
    <t>Melting_Curves/meltCurve_J3KNL2_SEPT1.pdf</t>
  </si>
  <si>
    <t>Melting_Curves/meltCurve_J3KNL3_CHID1.pdf</t>
  </si>
  <si>
    <t>Melting_Curves/meltCurve_J3KNL6_SEC16A.pdf</t>
  </si>
  <si>
    <t>Melting_Curves/meltCurve_J3KNM6_AGAP2.pdf</t>
  </si>
  <si>
    <t>Melting_Curves/meltCurve_J3KNN3_PHKG2.pdf</t>
  </si>
  <si>
    <t>Melting_Curves/meltCurve_J3KNN5_DDX41.pdf</t>
  </si>
  <si>
    <t>Melting_Curves/meltCurve_J3KNN7_BRAP.pdf</t>
  </si>
  <si>
    <t>Melting_Curves/meltCurve_J3KNP4_SEMA4B.pdf</t>
  </si>
  <si>
    <t>Melting_Curves/meltCurve_J3KNR0_MARK3.pdf</t>
  </si>
  <si>
    <t>Melting_Curves/meltCurve_J3KNV1_ZNF292.pdf</t>
  </si>
  <si>
    <t>Melting_Curves/meltCurve_J3KNW4_FHL2.pdf</t>
  </si>
  <si>
    <t>Melting_Curves/meltCurve_J3KNX9_MYO18A.pdf</t>
  </si>
  <si>
    <t>Melting_Curves/meltCurve_J3KP15_SRSF2.pdf</t>
  </si>
  <si>
    <t>Melting_Curves/meltCurve_J3KP19_SIPA1L1.pdf</t>
  </si>
  <si>
    <t>Melting_Curves/meltCurve_J3KP22_PTPRA.pdf</t>
  </si>
  <si>
    <t>Melting_Curves/meltCurve_J3KP26_ANKRD46.pdf</t>
  </si>
  <si>
    <t>Melting_Curves/meltCurve_J3KP75_PHACTR2.pdf</t>
  </si>
  <si>
    <t>Melting_Curves/meltCurve_J3KPC5_RAP1GAP.pdf</t>
  </si>
  <si>
    <t>Melting_Curves/meltCurve_J3KPD3_RBM7.pdf</t>
  </si>
  <si>
    <t>Melting_Curves/meltCurve_J3KPF9_KIF3A.pdf</t>
  </si>
  <si>
    <t>Melting_Curves/meltCurve_J3KPG6_PSTPIP1.pdf</t>
  </si>
  <si>
    <t>Melting_Curves/meltCurve_J3KPI1_SECISBP2L.pdf</t>
  </si>
  <si>
    <t>Melting_Curves/meltCurve_J3KPK1_SYNJ1.pdf</t>
  </si>
  <si>
    <t>Melting_Curves/meltCurve_J3KPL1_PNPLA8.pdf</t>
  </si>
  <si>
    <t>Melting_Curves/meltCurve_J3KPN1_TESC.pdf</t>
  </si>
  <si>
    <t>Melting_Curves/meltCurve_J3KPP7_ARRB1.pdf</t>
  </si>
  <si>
    <t>Melting_Curves/meltCurve_J3KPQ4_ARHGAP9.pdf</t>
  </si>
  <si>
    <t>Melting_Curves/meltCurve_J3KPS0_DNAJB12.pdf</t>
  </si>
  <si>
    <t>Melting_Curves/meltCurve_J3KPT4_TRABD.pdf</t>
  </si>
  <si>
    <t>Melting_Curves/meltCurve_J3KPW7_HDAC2.pdf</t>
  </si>
  <si>
    <t>Melting_Curves/meltCurve_J3KPY9_ANTXR2.pdf</t>
  </si>
  <si>
    <t>Melting_Curves/meltCurve_J3KPZ4_C1D.pdf</t>
  </si>
  <si>
    <t>Melting_Curves/meltCurve_J3KPZ8_RFXANK.pdf</t>
  </si>
  <si>
    <t>Melting_Curves/meltCurve_J3KQ32_OLA1.pdf</t>
  </si>
  <si>
    <t>Melting_Curves/meltCurve_J3KQ34_COPS7B.pdf</t>
  </si>
  <si>
    <t>Melting_Curves/meltCurve_J3KQ45_TGOLN2.pdf</t>
  </si>
  <si>
    <t>Melting_Curves/meltCurve_J3KQ48_PTRH2.pdf</t>
  </si>
  <si>
    <t>Melting_Curves/meltCurve_J3KQ72_FBXO6.pdf</t>
  </si>
  <si>
    <t>Melting_Curves/meltCurve_J3KQ88_C6orf203.pdf</t>
  </si>
  <si>
    <t>Melting_Curves/meltCurve_J3KQ97_C6orf120.pdf</t>
  </si>
  <si>
    <t>Melting_Curves/meltCurve_J3KQA4_SLC25A36.pdf</t>
  </si>
  <si>
    <t>Melting_Curves/meltCurve_J3KQB0_THUMPD1.pdf</t>
  </si>
  <si>
    <t>Melting_Curves/meltCurve_J3KQD0_FAM213B.pdf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</si>
  <si>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</si>
  <si>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</si>
  <si>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</si>
  <si>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</si>
  <si>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Melting_Curves/meltCurve_J3KQS6_BABAM1.pdf</t>
  </si>
  <si>
    <t>Melting_Curves/meltCurve_J3KR15_NAPEPLD.pdf</t>
  </si>
  <si>
    <t>Melting_Curves/meltCurve_J3KR35_CCDC12.pdf</t>
  </si>
  <si>
    <t>Melting_Curves/meltCurve_J3KR72_TAF6.pdf</t>
  </si>
  <si>
    <t>Melting_Curves/meltCurve_J3KR97_TBCD.pdf</t>
  </si>
  <si>
    <t>Melting_Curves/meltCurve_J3KRC8_C16orf55.pdf</t>
  </si>
  <si>
    <t>Melting_Curves/meltCurve_J3KRP6_SS18.pdf</t>
  </si>
  <si>
    <t>Melting_Curves/meltCurve_J3KS05_CBX1.pdf</t>
  </si>
  <si>
    <t>Melting_Curves/meltCurve_J3KS15_ICT1.pdf</t>
  </si>
  <si>
    <t>Melting_Curves/meltCurve_J3KS81_TMEM199.pdf</t>
  </si>
  <si>
    <t>Melting_Curves/meltCurve_J3KSG1_KCTD1.pdf</t>
  </si>
  <si>
    <t>Melting_Curves/meltCurve_J3KT84_HEXDC.pdf</t>
  </si>
  <si>
    <t>Melting_Curves/meltCurve_J3KTA1_FBXL20.pdf</t>
  </si>
  <si>
    <t>Melting_Curves/meltCurve_J3KTL1_ZNF207.pdf</t>
  </si>
  <si>
    <t>Melting_Curves/meltCurve_J3KTL2_SRSF1.pdf</t>
  </si>
  <si>
    <t>Melting_Curves/meltCurve_J3QK89_CHERP.pdf</t>
  </si>
  <si>
    <t>Melting_Curves/meltCurve_J3QL56_SCO1.pdf</t>
  </si>
  <si>
    <t>Melting_Curves/meltCurve_J3QL71_SCRN2.pdf</t>
  </si>
  <si>
    <t>Melting_Curves/meltCurve_J3QLC9_HP.pdf</t>
  </si>
  <si>
    <t>Melting_Curves/meltCurve_J3QLM1_STARD3.pdf</t>
  </si>
  <si>
    <t>Melting_Curves/meltCurve_J3QLS3_MRPS7.pdf</t>
  </si>
  <si>
    <t>Melting_Curves/meltCurve_J3QLV8_SNX11.pdf</t>
  </si>
  <si>
    <t>Melting_Curves/meltCurve_J3QQJ0_SAP30BP.pdf</t>
  </si>
  <si>
    <t>Melting_Curves/meltCurve_J3QQJ5_TRAPPC8.pdf</t>
  </si>
  <si>
    <t>Melting_Curves/meltCurve_J3QQK6_MBP.pdf</t>
  </si>
  <si>
    <t>Melting_Curves/meltCurve_J3QQT2_RPL17.pdf</t>
  </si>
  <si>
    <t>Melting_Curves/meltCurve_J3QQX3_FDXR.pdf</t>
  </si>
  <si>
    <t>Melting_Curves/meltCurve_J3QR01_STRA13.pdf</t>
  </si>
  <si>
    <t>Melting_Curves/meltCurve_J3QR07_YTHDC1.pdf</t>
  </si>
  <si>
    <t>Melting_Curves/meltCurve_J3QR09_RPL19.pdf</t>
  </si>
  <si>
    <t>Melting_Curves/meltCurve_J3QR77_CD226.pdf</t>
  </si>
  <si>
    <t>Melting_Curves/meltCurve_J3QRC0_NADK.pdf</t>
  </si>
  <si>
    <t>Melting_Curves/meltCurve_J3QRD1_ALDH3A2.pdf</t>
  </si>
  <si>
    <t>Melting_Curves/meltCurve_J3QRM9_ORMDL3.pdf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</si>
  <si>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</si>
  <si>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</si>
  <si>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</si>
  <si>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</si>
  <si>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Melting_Curves/meltCurve_J3QSH4_VEZF1.pdf</t>
  </si>
  <si>
    <t>Melting_Curves/meltCurve_J3QT87_CRBN.pdf</t>
  </si>
  <si>
    <t>Melting_Curves/meltCurve_J3QTA2_BAG1.pdf</t>
  </si>
  <si>
    <t>Melting_Curves/meltCurve_J3QTA6_CHCHD6.pdf</t>
  </si>
  <si>
    <t>Melting_Curves/meltCurve_J9JIC5_C17orf75.pdf</t>
  </si>
  <si>
    <t>Melting_Curves/meltCurve_J9JID7_LMNB2.pdf</t>
  </si>
  <si>
    <t>Melting_Curves/meltCurve_J9JIE6_TMCO1.pdf</t>
  </si>
  <si>
    <t>Melting_Curves/meltCurve_K4DI92_RWDD4.pdf</t>
  </si>
  <si>
    <t>Melting_Curves/meltCurve_K4DI93_CUL4B.pdf</t>
  </si>
  <si>
    <t>Melting_Curves/meltCurve_K7EIG1_CLUH.pdf</t>
  </si>
  <si>
    <t>Melting_Curves/meltCurve_K7EIJ0_WBP2.pdf</t>
  </si>
  <si>
    <t>Melting_Curves/meltCurve_K7EIN2_NUDT16L1.pdf</t>
  </si>
  <si>
    <t>Melting_Curves/meltCurve_K7EIP7_YIPF2.pdf</t>
  </si>
  <si>
    <t>Melting_Curves/meltCurve_K7EIU8_SMAD4.pdf</t>
  </si>
  <si>
    <t>Melting_Curves/meltCurve_K7EIX2_HEATR6.pdf</t>
  </si>
  <si>
    <t>Melting_Curves/meltCurve_K7EIY4_STX10.pdf</t>
  </si>
  <si>
    <t>Melting_Curves/meltCurve_K7EJ78_RPS15.pdf</t>
  </si>
  <si>
    <t>Melting_Curves/meltCurve_K7EJB5_SNRPD2.pdf</t>
  </si>
  <si>
    <t>Melting_Curves/meltCurve_K7EJB9_CALR.pdf</t>
  </si>
  <si>
    <t>Melting_Curves/meltCurve_K7EJH0_SPC24.pdf</t>
  </si>
  <si>
    <t>Melting_Curves/meltCurve_K7EJQ7_SEC11C.pdf</t>
  </si>
  <si>
    <t>Melting_Curves/meltCurve_K7EK00_FAM210A.pdf</t>
  </si>
  <si>
    <t>Melting_Curves/meltCurve_K7EK07_H3F3B.pdf</t>
  </si>
  <si>
    <t>Melting_Curves/meltCurve_K7EKE6_LONP1.pdf</t>
  </si>
  <si>
    <t>Melting_Curves/meltCurve_K7EKG9_ATXN7L3.pdf</t>
  </si>
  <si>
    <t>Melting_Curves/meltCurve_K7EKI8_PPL.pdf</t>
  </si>
  <si>
    <t>Melting_Curves/meltCurve_K7EKW3_TMUB2.pdf</t>
  </si>
  <si>
    <t>Melting_Curves/meltCurve_K7EL68_CDC37.pdf</t>
  </si>
  <si>
    <t>Melting_Curves/meltCurve_K7EL81_PPP1R12C.pdf</t>
  </si>
  <si>
    <t>Melting_Curves/meltCurve_K7ELE3_AES.pdf</t>
  </si>
  <si>
    <t>Melting_Curves/meltCurve_K7ELL7_PRKCSH.pdf</t>
  </si>
  <si>
    <t>Melting_Curves/meltCurve_K7EM02_KATNAL2.pdf</t>
  </si>
  <si>
    <t>Melting_Curves/meltCurve_K7EM09_TMEM205.pdf</t>
  </si>
  <si>
    <t>Melting_Curves/meltCurve_K7EMK7_TLE2.pdf</t>
  </si>
  <si>
    <t>Melting_Curves/meltCurve_K7EMV5_ZNF444.pdf</t>
  </si>
  <si>
    <t>Melting_Curves/meltCurve_K7EMZ7_C19orf57.pdf</t>
  </si>
  <si>
    <t>Melting_Curves/meltCurve_K7EN05_ELOF1.pdf</t>
  </si>
  <si>
    <t>Melting_Curves/meltCurve_K7EN88_hCG_2039718.pdf</t>
  </si>
  <si>
    <t>Melting_Curves/meltCurve_K7ENF0_NARS.pdf</t>
  </si>
  <si>
    <t>Melting_Curves/meltCurve_K7ENL9_C18orf8.pdf</t>
  </si>
  <si>
    <t>Melting_Curves/meltCurve_K7ENQ8_CYTH1.pdf</t>
  </si>
  <si>
    <t>Melting_Curves/meltCurve_K7ENR6_PSMG2.pdf</t>
  </si>
  <si>
    <t>Melting_Curves/meltCurve_K7ENV7_ISOC2.pdf</t>
  </si>
  <si>
    <t>Melting_Curves/meltCurve_K7EP90_RBM42.pdf</t>
  </si>
  <si>
    <t>Melting_Curves/meltCurve_K7EPS8_C19orf12.pdf</t>
  </si>
  <si>
    <t>Melting_Curves/meltCurve_K7EQE7_TMEM161A.pdf</t>
  </si>
  <si>
    <t>Melting_Curves/meltCurve_K7EQW8_TPM4.pdf</t>
  </si>
  <si>
    <t>Melting_Curves/meltCurve_K7ER00_FARSA.pdf</t>
  </si>
  <si>
    <t>Melting_Curves/meltCurve_K7ER95_MAP4K1.pdf</t>
  </si>
  <si>
    <t>Melting_Curves/meltCurve_K7ERF1_EIF3K.pdf</t>
  </si>
  <si>
    <t>Melting_Curves/meltCurve_K7ERH3_GJC1.pdf</t>
  </si>
  <si>
    <t>Melting_Curves/meltCurve_K7ERQ0_YIF1B.pdf</t>
  </si>
  <si>
    <t>Melting_Curves/meltCurve_K7ERS5_.pdf</t>
  </si>
  <si>
    <t>Melting_Curves/meltCurve_K7ERU0_ZNF580.pdf</t>
  </si>
  <si>
    <t>Melting_Curves/meltCurve_K7ES11_UBE2O.pdf</t>
  </si>
  <si>
    <t>Melting_Curves/meltCurve_K7ES84_FAM86A.pdf</t>
  </si>
  <si>
    <t>Melting_Curves/meltCurve_K7ESE3_RAD23A.pdf</t>
  </si>
  <si>
    <t>Melting_Curves/meltCurve_K7ESG9_NFIX.pdf</t>
  </si>
  <si>
    <t>Melting_Curves/meltCurve_K7ESI9_DNM2.pdf</t>
  </si>
  <si>
    <t>Melting_Curves/meltCurve_K7ESP4_DCAKD.pdf</t>
  </si>
  <si>
    <t>Melting_Curves/meltCurve_M0QWZ7_SARS2.pdf</t>
  </si>
  <si>
    <t>Melting_Curves/meltCurve_M0QX35_PAF1.pdf</t>
  </si>
  <si>
    <t>Melting_Curves/meltCurve_M0QX57_KLK3.pdf</t>
  </si>
  <si>
    <t>Melting_Curves/meltCurve_M0QXA7_WIZ.pdf</t>
  </si>
  <si>
    <t>Melting_Curves/meltCurve_M0QXZ5_ZNF428.pdf</t>
  </si>
  <si>
    <t>Melting_Curves/meltCurve_M0QY01_EPS15L1.pdf</t>
  </si>
  <si>
    <t>Melting_Curves/meltCurve_M0QY97_ZC3H4.pdf</t>
  </si>
  <si>
    <t>Melting_Curves/meltCurve_M0QYM7_TUBB4A.pdf</t>
  </si>
  <si>
    <t>Melting_Curves/meltCurve_M0QYS1_RPL13A.pdf</t>
  </si>
  <si>
    <t>Melting_Curves/meltCurve_M0QZ22_SAMD4B.pdf</t>
  </si>
  <si>
    <t>Melting_Curves/meltCurve_M0QZI3_FCHO1.pdf</t>
  </si>
  <si>
    <t>Melting_Curves/meltCurve_M0QZL8_JOSD2.pdf</t>
  </si>
  <si>
    <t>Melting_Curves/meltCurve_M0QZP6_CD37.pdf</t>
  </si>
  <si>
    <t>Melting_Curves/meltCurve_M0QZR4_ARHGEF1.pdf</t>
  </si>
  <si>
    <t>Melting_Curves/meltCurve_M0R042_TUBB4A.pdf</t>
  </si>
  <si>
    <t>Melting_Curves/meltCurve_M0R087_ZNF575.pdf</t>
  </si>
  <si>
    <t>Melting_Curves/meltCurve_M0R0B4_KXD1.pdf</t>
  </si>
  <si>
    <t>Melting_Curves/meltCurve_M0R0F0_RPS5.pdf</t>
  </si>
  <si>
    <t>Melting_Curves/meltCurve_M0R0N4_AP2S1.pdf</t>
  </si>
  <si>
    <t>Melting_Curves/meltCurve_M0R150_.pdf</t>
  </si>
  <si>
    <t>Melting_Curves/meltCurve_M0R226_MRPL34.pdf</t>
  </si>
  <si>
    <t>Melting_Curves/meltCurve_M0R2A0_EMC10.pdf</t>
  </si>
  <si>
    <t>Melting_Curves/meltCurve_M0R2B7_POLD1.pdf</t>
  </si>
  <si>
    <t>Melting_Curves/meltCurve_M0R2P6_SHKBP1.pdf</t>
  </si>
  <si>
    <t>Melting_Curves/meltCurve_M0R300_MYO9B.pdf</t>
  </si>
  <si>
    <t>Melting_Curves/meltCurve_M0R3D4_RABAC1.pdf</t>
  </si>
  <si>
    <t>Melting_Curves/meltCurve_O00116_AGPS.pdf</t>
  </si>
  <si>
    <t>Melting_Curves/meltCurve_O00124_3_UBXN8.pdf</t>
  </si>
  <si>
    <t>Melting_Curves/meltCurve_O00139_KIF2A.pdf</t>
  </si>
  <si>
    <t>Melting_Curves/meltCurve_O00148_DDX39A.pdf</t>
  </si>
  <si>
    <t>Melting_Curves/meltCurve_O00151_PDLIM1.pdf</t>
  </si>
  <si>
    <t>Melting_Curves/meltCurve_O00154_4_ACOT7.pdf</t>
  </si>
  <si>
    <t>Melting_Curves/meltCurve_O00161_SNAP23.pdf</t>
  </si>
  <si>
    <t>Melting_Curves/meltCurve_O00165_HAX1.pdf</t>
  </si>
  <si>
    <t>Melting_Curves/meltCurve_O00170_AIP.pdf</t>
  </si>
  <si>
    <t>Melting_Curves/meltCurve_O00178_GTPBP1.pdf</t>
  </si>
  <si>
    <t>Melting_Curves/meltCurve_O00180_KCNK1.pdf</t>
  </si>
  <si>
    <t>Melting_Curves/meltCurve_O00186_STXBP3.pdf</t>
  </si>
  <si>
    <t>Melting_Curves/meltCurve_O00214_LGALS8.pdf</t>
  </si>
  <si>
    <t>Melting_Curves/meltCurve_O00217_NDUFS8.pdf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</si>
  <si>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</si>
  <si>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</si>
  <si>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</si>
  <si>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</si>
  <si>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Melting_Curves/meltCurve_O00255_2_MEN1.pdf</t>
  </si>
  <si>
    <t>Melting_Curves/meltCurve_O00257_CBX4.pdf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</si>
  <si>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</si>
  <si>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</si>
  <si>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</si>
  <si>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</si>
  <si>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</si>
  <si>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</si>
  <si>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</si>
  <si>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Melting_Curves/meltCurve_O00329_PIK3CD.pdf</t>
  </si>
  <si>
    <t>Melting_Curves/meltCurve_O00330_PDHX.pdf</t>
  </si>
  <si>
    <t>Melting_Curves/meltCurve_O00391_QSOX1.pdf</t>
  </si>
  <si>
    <t>Melting_Curves/meltCurve_O00399_DCTN6.pdf</t>
  </si>
  <si>
    <t>Melting_Curves/meltCurve_O00400_SLC33A1.pdf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</si>
  <si>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</si>
  <si>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</si>
  <si>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</si>
  <si>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</si>
  <si>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Melting_Curves/meltCurve_O00429_DNM1L.pdf</t>
  </si>
  <si>
    <t>Melting_Curves/meltCurve_O00429_3_DNM1L.pdf</t>
  </si>
  <si>
    <t>Melting_Curves/meltCurve_O00429_4_DNM1L.pdf</t>
  </si>
  <si>
    <t>Melting_Curves/meltCurve_O00442_RTCA.pdf</t>
  </si>
  <si>
    <t>Melting_Curves/meltCurve_O00459_PIK3R2.pdf</t>
  </si>
  <si>
    <t>Melting_Curves/meltCurve_O00462_MANBA.pdf</t>
  </si>
  <si>
    <t>Melting_Curves/meltCurve_O00463_TRAF5.pdf</t>
  </si>
  <si>
    <t>Melting_Curves/meltCurve_O00471_EXOC5.pdf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</si>
  <si>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</si>
  <si>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</si>
  <si>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</si>
  <si>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</si>
  <si>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</si>
  <si>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</si>
  <si>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</si>
  <si>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</si>
  <si>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Melting_Curves/meltCurve_O00534_VWA5A.pdf</t>
  </si>
  <si>
    <t>Melting_Curves/meltCurve_O00560_SDCBP.pdf</t>
  </si>
  <si>
    <t>Melting_Curves/meltCurve_O00566_MPHOSPH10.pdf</t>
  </si>
  <si>
    <t>Melting_Curves/meltCurve_O00567_NOP56.pdf</t>
  </si>
  <si>
    <t>Melting_Curves/meltCurve_O00571_DDX3X.pdf</t>
  </si>
  <si>
    <t>Melting_Curves/meltCurve_O00629_KPNA4.pdf</t>
  </si>
  <si>
    <t>Melting_Curves/meltCurve_O00743_PPP6C.pdf</t>
  </si>
  <si>
    <t>Melting_Curves/meltCurve_O00754_2_MAN2B1.pdf</t>
  </si>
  <si>
    <t>Melting_Curves/meltCurve_O00762_2_UBE2C.pdf</t>
  </si>
  <si>
    <t>Melting_Curves/meltCurve_O00764_PDXK.pdf</t>
  </si>
  <si>
    <t>Melting_Curves/meltCurve_O00767_SCD.pdf</t>
  </si>
  <si>
    <t>Melting_Curves/meltCurve_O14497_ARID1A.pdf</t>
  </si>
  <si>
    <t>Melting_Curves/meltCurve_O14519_2_CDK2AP1.pdf</t>
  </si>
  <si>
    <t>Melting_Curves/meltCurve_O14523_C2CD2L.pdf</t>
  </si>
  <si>
    <t>Melting_Curves/meltCurve_O14524_2_TMEM194A.pdf</t>
  </si>
  <si>
    <t>Melting_Curves/meltCurve_O14530_TXNDC9.pdf</t>
  </si>
  <si>
    <t>Melting_Curves/meltCurve_O14545_TRAFD1.pdf</t>
  </si>
  <si>
    <t>Melting_Curves/meltCurve_O14548_COX7A2L.pdf</t>
  </si>
  <si>
    <t>Melting_Curves/meltCurve_O14556_GAPDHS.pdf</t>
  </si>
  <si>
    <t>Melting_Curves/meltCurve_O14561_NDUFAB1.pdf</t>
  </si>
  <si>
    <t>Melting_Curves/meltCurve_O14569_CYB561D2.pdf</t>
  </si>
  <si>
    <t>Melting_Curves/meltCurve_O14578_4_CIT.pdf</t>
  </si>
  <si>
    <t>Melting_Curves/meltCurve_O14579_COPE.pdf</t>
  </si>
  <si>
    <t>Melting_Curves/meltCurve_O14602_EIF1AY.pdf</t>
  </si>
  <si>
    <t>Melting_Curves/meltCurve_O14617_4_AP3D1.pdf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</si>
  <si>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</si>
  <si>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</si>
  <si>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</si>
  <si>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</si>
  <si>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Melting_Curves/meltCurve_O14678_ABCD4.pdf</t>
  </si>
  <si>
    <t>Melting_Curves/meltCurve_O14686_MLL2.pdf</t>
  </si>
  <si>
    <t>Melting_Curves/meltCurve_O14732_2_IMPA2.pdf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</si>
  <si>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</si>
  <si>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</si>
  <si>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</si>
  <si>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</si>
  <si>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</si>
  <si>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</si>
  <si>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</si>
  <si>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Melting_Curves/meltCurve_O14773_2_TPP1.pdf</t>
  </si>
  <si>
    <t>Melting_Curves/meltCurve_O14775_3_GNB5.pdf</t>
  </si>
  <si>
    <t>Melting_Curves/meltCurve_O14776_2_TCERG1.pdf</t>
  </si>
  <si>
    <t>Melting_Curves/meltCurve_O14777_NDC80.pdf</t>
  </si>
  <si>
    <t>Melting_Curves/meltCurve_O14787_2_TNPO2.pdf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</si>
  <si>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</si>
  <si>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</si>
  <si>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</si>
  <si>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</si>
  <si>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</si>
  <si>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Melting_Curves/meltCurve_O14893_2_GEMIN2.pdf</t>
  </si>
  <si>
    <t>Melting_Curves/meltCurve_O14907_TAX1BP3.pdf</t>
  </si>
  <si>
    <t>Melting_Curves/meltCurve_O14908_GIPC1.pdf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</si>
  <si>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</si>
  <si>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</si>
  <si>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</si>
  <si>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</si>
  <si>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Melting_Curves/meltCurve_O14949_UQCRQ.pdf</t>
  </si>
  <si>
    <t>Melting_Curves/meltCurve_O14964_HGS.pdf</t>
  </si>
  <si>
    <t>Melting_Curves/meltCurve_O14965_AURKA.pdf</t>
  </si>
  <si>
    <t>Melting_Curves/meltCurve_O14966_RAB7L1.pdf</t>
  </si>
  <si>
    <t>Melting_Curves/meltCurve_O14967_CLGN.pdf</t>
  </si>
  <si>
    <t>Melting_Curves/meltCurve_O14974_4_PPP1R12A.pdf</t>
  </si>
  <si>
    <t>Melting_Curves/meltCurve_O14975_2_SLC27A2.pdf</t>
  </si>
  <si>
    <t>Melting_Curves/meltCurve_O14976_GAK.pdf</t>
  </si>
  <si>
    <t>Melting_Curves/meltCurve_O14979_HNRPDL.pdf</t>
  </si>
  <si>
    <t>Melting_Curves/meltCurve_O14980_XPO1.pdf</t>
  </si>
  <si>
    <t>Melting_Curves/meltCurve_O14981_BTAF1.pdf</t>
  </si>
  <si>
    <t>Melting_Curves/meltCurve_O15014_ZNF609.pdf</t>
  </si>
  <si>
    <t>Melting_Curves/meltCurve_O15015_ZNF646.pdf</t>
  </si>
  <si>
    <t>Melting_Curves/meltCurve_O15020_2_SPTBN2.pdf</t>
  </si>
  <si>
    <t>Melting_Curves/meltCurve_O15040_TECPR2.pdf</t>
  </si>
  <si>
    <t>Melting_Curves/meltCurve_O15047_SETD1A.pdf</t>
  </si>
  <si>
    <t>Melting_Curves/meltCurve_O15056_SYNJ2.pdf</t>
  </si>
  <si>
    <t>Melting_Curves/meltCurve_O15066_KIF3B.pdf</t>
  </si>
  <si>
    <t>Melting_Curves/meltCurve_O15067_PFAS.pdf</t>
  </si>
  <si>
    <t>Melting_Curves/meltCurve_O15084_ANKRD28.pdf</t>
  </si>
  <si>
    <t>Melting_Curves/meltCurve_O15085_ARHGEF11.pdf</t>
  </si>
  <si>
    <t>Melting_Curves/meltCurve_O15091_2_KIAA0391.pdf</t>
  </si>
  <si>
    <t>Melting_Curves/meltCurve_O15111_CHUK.pdf</t>
  </si>
  <si>
    <t>Melting_Curves/meltCurve_O15116_LSM1.pdf</t>
  </si>
  <si>
    <t>Melting_Curves/meltCurve_O15117_FYB.pdf</t>
  </si>
  <si>
    <t>Melting_Curves/meltCurve_O15118_NPC1.pdf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</si>
  <si>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</si>
  <si>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</si>
  <si>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</si>
  <si>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</si>
  <si>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</si>
  <si>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</si>
  <si>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</si>
  <si>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Melting_Curves/meltCurve_O15165_5_LDLRAD4.pdf</t>
  </si>
  <si>
    <t>Melting_Curves/meltCurve_O15173_PGRMC2.pdf</t>
  </si>
  <si>
    <t>Melting_Curves/meltCurve_O15212_PFDN6.pdf</t>
  </si>
  <si>
    <t>Melting_Curves/meltCurve_O15213_WDR46.pdf</t>
  </si>
  <si>
    <t>Melting_Curves/meltCurve_O15228_GNPAT.pdf</t>
  </si>
  <si>
    <t>Melting_Curves/meltCurve_O15234_CASC3.pdf</t>
  </si>
  <si>
    <t>Melting_Curves/meltCurve_O15235_MRPS12.pdf</t>
  </si>
  <si>
    <t>Melting_Curves/meltCurve_O15239_NDUFA1.pdf</t>
  </si>
  <si>
    <t>Melting_Curves/meltCurve_O15254_ACOX3.pdf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</si>
  <si>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</si>
  <si>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</si>
  <si>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</si>
  <si>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</si>
  <si>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</si>
  <si>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Melting_Curves/meltCurve_O15344_MID1.pdf</t>
  </si>
  <si>
    <t>Melting_Curves/meltCurve_O15347_HMGB3.pdf</t>
  </si>
  <si>
    <t>Melting_Curves/meltCurve_O15355_PPM1G.pdf</t>
  </si>
  <si>
    <t>Melting_Curves/meltCurve_O15379_HDAC3.pdf</t>
  </si>
  <si>
    <t>Melting_Curves/meltCurve_O15381_NVL.pdf</t>
  </si>
  <si>
    <t>Melting_Curves/meltCurve_O15382_BCAT2.pdf</t>
  </si>
  <si>
    <t>Melting_Curves/meltCurve_O15392_4_BIRC5.pdf</t>
  </si>
  <si>
    <t>Melting_Curves/meltCurve_O15397_IPO8.pdf</t>
  </si>
  <si>
    <t>Melting_Curves/meltCurve_O15400_2_STX7.pdf</t>
  </si>
  <si>
    <t>Melting_Curves/meltCurve_O15427_SLC16A3.pdf</t>
  </si>
  <si>
    <t>Melting_Curves/meltCurve_O15431_SLC31A1.pdf</t>
  </si>
  <si>
    <t>Melting_Curves/meltCurve_O15439_2_ABCC4.pdf</t>
  </si>
  <si>
    <t>Melting_Curves/meltCurve_O15446_CD3EAP.pdf</t>
  </si>
  <si>
    <t>Melting_Curves/meltCurve_O15498_YKT6.pdf</t>
  </si>
  <si>
    <t>Melting_Curves/meltCurve_O15511_ARPC5.pdf</t>
  </si>
  <si>
    <t>Melting_Curves/meltCurve_O15514_POLR2D.pdf</t>
  </si>
  <si>
    <t>Melting_Curves/meltCurve_O15530_PDPK1.pdf</t>
  </si>
  <si>
    <t>Melting_Curves/meltCurve_O15541_RNF113A.pdf</t>
  </si>
  <si>
    <t>Melting_Curves/meltCurve_O43143_DHX15.pdf</t>
  </si>
  <si>
    <t>Melting_Curves/meltCurve_O43148_RNMT.pdf</t>
  </si>
  <si>
    <t>Melting_Curves/meltCurve_O43149_ZZEF1.pdf</t>
  </si>
  <si>
    <t>Melting_Curves/meltCurve_O43156_TTI1.pdf</t>
  </si>
  <si>
    <t>Melting_Curves/meltCurve_O43157_2_PLXNB1.pdf</t>
  </si>
  <si>
    <t>Melting_Curves/meltCurve_O43164_2_PJA2.pdf</t>
  </si>
  <si>
    <t>Melting_Curves/meltCurve_O43172_2_PRPF4.pdf</t>
  </si>
  <si>
    <t>Melting_Curves/meltCurve_O43175_PHGDH.pdf</t>
  </si>
  <si>
    <t>Melting_Curves/meltCurve_O43181_NDUFS4.pdf</t>
  </si>
  <si>
    <t>Melting_Curves/meltCurve_O43237_DYNC1LI2.pdf</t>
  </si>
  <si>
    <t>Melting_Curves/meltCurve_O43242_PSMD3.pdf</t>
  </si>
  <si>
    <t>Melting_Curves/meltCurve_O43252_PAPSS1.pdf</t>
  </si>
  <si>
    <t>Melting_Curves/meltCurve_O43264_ZW10.pdf</t>
  </si>
  <si>
    <t>Melting_Curves/meltCurve_O43290_SART1.pdf</t>
  </si>
  <si>
    <t>Melting_Curves/meltCurve_O43291_SPINT2.pdf</t>
  </si>
  <si>
    <t>Melting_Curves/meltCurve_O43295_SRGAP3.pdf</t>
  </si>
  <si>
    <t>Melting_Curves/meltCurve_O43298_ZBTB43.pdf</t>
  </si>
  <si>
    <t>Melting_Curves/meltCurve_O43310_CTIF.pdf</t>
  </si>
  <si>
    <t>Melting_Curves/meltCurve_O43314_2_PPIP5K2.pdf</t>
  </si>
  <si>
    <t>Melting_Curves/meltCurve_O43318_2_MAP3K7.pdf</t>
  </si>
  <si>
    <t>Melting_Curves/meltCurve_O43324_EEF1E1.pdf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</si>
  <si>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</si>
  <si>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</si>
  <si>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</si>
  <si>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</si>
  <si>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Melting_Curves/meltCurve_O43402_EMC8.pdf</t>
  </si>
  <si>
    <t>Melting_Curves/meltCurve_O43422_PRKRIR.pdf</t>
  </si>
  <si>
    <t>Melting_Curves/meltCurve_O43427_2_FIBP.pdf</t>
  </si>
  <si>
    <t>Melting_Curves/meltCurve_O43432_EIF4G3.pdf</t>
  </si>
  <si>
    <t>Melting_Curves/meltCurve_O43447_PPIH.pdf</t>
  </si>
  <si>
    <t>Melting_Curves/meltCurve_O43464_3_HTRA2.pdf</t>
  </si>
  <si>
    <t>Melting_Curves/meltCurve_O43482_OIP5.pdf</t>
  </si>
  <si>
    <t>Melting_Curves/meltCurve_O43488_AKR7A2.pdf</t>
  </si>
  <si>
    <t>Melting_Curves/meltCurve_O43502_RAD51C.pdf</t>
  </si>
  <si>
    <t>Melting_Curves/meltCurve_O43504_LAMTOR5.pdf</t>
  </si>
  <si>
    <t>Melting_Curves/meltCurve_O43505_B3GNT1.pdf</t>
  </si>
  <si>
    <t>Melting_Curves/meltCurve_O43513_MED7.pdf</t>
  </si>
  <si>
    <t>Melting_Curves/meltCurve_O43516_WIPF1.pdf</t>
  </si>
  <si>
    <t>Melting_Curves/meltCurve_O43524_FOXO3.pdf</t>
  </si>
  <si>
    <t>Melting_Curves/meltCurve_O43542_XRCC3.pdf</t>
  </si>
  <si>
    <t>Melting_Curves/meltCurve_O43543_XRCC2.pdf</t>
  </si>
  <si>
    <t>Melting_Curves/meltCurve_O43566_RGS14.pdf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</si>
  <si>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</si>
  <si>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</si>
  <si>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</si>
  <si>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</si>
  <si>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</si>
  <si>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</si>
  <si>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</si>
  <si>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</si>
  <si>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Melting_Curves/meltCurve_O43665_2_RGS10.pdf</t>
  </si>
  <si>
    <t>Melting_Curves/meltCurve_O43674_NDUFB5.pdf</t>
  </si>
  <si>
    <t>Melting_Curves/meltCurve_O43676_NDUFB3.pdf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</si>
  <si>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</si>
  <si>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</si>
  <si>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</si>
  <si>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</si>
  <si>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</si>
  <si>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Melting_Curves/meltCurve_O43708_GSTZ1.pdf</t>
  </si>
  <si>
    <t>Melting_Curves/meltCurve_O43709_WBSCR22.pdf</t>
  </si>
  <si>
    <t>Melting_Curves/meltCurve_O43715_TRIAP1.pdf</t>
  </si>
  <si>
    <t>Melting_Curves/meltCurve_O43719_HTATSF1.pdf</t>
  </si>
  <si>
    <t>Melting_Curves/meltCurve_O43736_2_ITM2A.pdf</t>
  </si>
  <si>
    <t>Melting_Curves/meltCurve_O43752_STX6.pdf</t>
  </si>
  <si>
    <t>Melting_Curves/meltCurve_O43760_SYNGR2.pdf</t>
  </si>
  <si>
    <t>Melting_Curves/meltCurve_O43765_SGTA.pdf</t>
  </si>
  <si>
    <t>Melting_Curves/meltCurve_O43766_LIAS.pdf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</si>
  <si>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</si>
  <si>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</si>
  <si>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</si>
  <si>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</si>
  <si>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</si>
  <si>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</si>
  <si>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</si>
  <si>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</si>
  <si>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</si>
  <si>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</si>
  <si>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Melting_Curves/meltCurve_O43823_AKAP8.pdf</t>
  </si>
  <si>
    <t>Melting_Curves/meltCurve_O43824_GTPBP6.pdf</t>
  </si>
  <si>
    <t>Melting_Curves/meltCurve_O43829_ZBTB14.pdf</t>
  </si>
  <si>
    <t>Melting_Curves/meltCurve_O43837_IDH3B.pdf</t>
  </si>
  <si>
    <t>Melting_Curves/meltCurve_O43852_CALU.pdf</t>
  </si>
  <si>
    <t>Melting_Curves/meltCurve_O43861_2_ATP9B.pdf</t>
  </si>
  <si>
    <t>Melting_Curves/meltCurve_O43865_AHCYL1.pdf</t>
  </si>
  <si>
    <t>Melting_Curves/meltCurve_O43896_KIF1C.pdf</t>
  </si>
  <si>
    <t>Melting_Curves/meltCurve_O43913_ORC5.pdf</t>
  </si>
  <si>
    <t>Melting_Curves/meltCurve_O43920_NDUFS5.pdf</t>
  </si>
  <si>
    <t>Melting_Curves/meltCurve_O43924_PDE6D.pdf</t>
  </si>
  <si>
    <t>Melting_Curves/meltCurve_O43933_PEX1.pdf</t>
  </si>
  <si>
    <t>Melting_Curves/meltCurve_O60216_RAD21.pdf</t>
  </si>
  <si>
    <t>Melting_Curves/meltCurve_O60218_AKR1B10.pdf</t>
  </si>
  <si>
    <t>Melting_Curves/meltCurve_O60220_TIMM8A.pdf</t>
  </si>
  <si>
    <t>Melting_Curves/meltCurve_O60231_DHX16.pdf</t>
  </si>
  <si>
    <t>Melting_Curves/meltCurve_O60234_GMFG.pdf</t>
  </si>
  <si>
    <t>Melting_Curves/meltCurve_O60239_SH3BP5.pdf</t>
  </si>
  <si>
    <t>Melting_Curves/meltCurve_O60244_MED14.pdf</t>
  </si>
  <si>
    <t>Melting_Curves/meltCurve_O60256_PRPSAP2.pdf</t>
  </si>
  <si>
    <t>Melting_Curves/meltCurve_O60262_GNG7.pdf</t>
  </si>
  <si>
    <t>Melting_Curves/meltCurve_O60264_SMARCA5.pdf</t>
  </si>
  <si>
    <t>Melting_Curves/meltCurve_O60271_4_SPAG9.pdf</t>
  </si>
  <si>
    <t>Melting_Curves/meltCurve_O60287_URB1.pdf</t>
  </si>
  <si>
    <t>Melting_Curves/meltCurve_O60294_LCMT2.pdf</t>
  </si>
  <si>
    <t>Melting_Curves/meltCurve_O60306_AQR.pdf</t>
  </si>
  <si>
    <t>Melting_Curves/meltCurve_O60307_MAST3.pdf</t>
  </si>
  <si>
    <t>Melting_Curves/meltCurve_O60313_2_OPA1.pdf</t>
  </si>
  <si>
    <t>Melting_Curves/meltCurve_O60331_4_PIP5K1C.pdf</t>
  </si>
  <si>
    <t>Melting_Curves/meltCurve_O60333_2_KIF1B.pdf</t>
  </si>
  <si>
    <t>Melting_Curves/meltCurve_O60341_KDM1A.pdf</t>
  </si>
  <si>
    <t>Melting_Curves/meltCurve_O60343_2_TBC1D4.pdf</t>
  </si>
  <si>
    <t>Melting_Curves/meltCurve_O60344_4_ECE2.pdf</t>
  </si>
  <si>
    <t>Melting_Curves/meltCurve_O60353_2_FZD6.pdf</t>
  </si>
  <si>
    <t>Melting_Curves/meltCurve_O60361_NME2P1.pdf</t>
  </si>
  <si>
    <t>Melting_Curves/meltCurve_O60427_FADS1.pdf</t>
  </si>
  <si>
    <t>Melting_Curves/meltCurve_O60443_DFNA5.pdf</t>
  </si>
  <si>
    <t>Melting_Curves/meltCurve_O60476_MAN1A2.pdf</t>
  </si>
  <si>
    <t>Melting_Curves/meltCurve_O60488_2_ACSL4.pdf</t>
  </si>
  <si>
    <t>Melting_Curves/meltCurve_O60493_SNX3.pdf</t>
  </si>
  <si>
    <t>Melting_Curves/meltCurve_O60496_DOK2.pdf</t>
  </si>
  <si>
    <t>Melting_Curves/meltCurve_O60504_2_SORBS3.pdf</t>
  </si>
  <si>
    <t>Melting_Curves/meltCurve_O60506_3_SYNCRIP.pdf</t>
  </si>
  <si>
    <t>Melting_Curves/meltCurve_O60508_CDC40.pdf</t>
  </si>
  <si>
    <t>Melting_Curves/meltCurve_O60518_RANBP6.pdf</t>
  </si>
  <si>
    <t>Melting_Curves/meltCurve_O60524_4_NEMF.pdf</t>
  </si>
  <si>
    <t>Melting_Curves/meltCurve_O60547_GMDS.pdf</t>
  </si>
  <si>
    <t>Melting_Curves/meltCurve_O60551_NMT2.pdf</t>
  </si>
  <si>
    <t>Melting_Curves/meltCurve_O60563_CCNT1.pdf</t>
  </si>
  <si>
    <t>Melting_Curves/meltCurve_O60566_BUB1B.pdf</t>
  </si>
  <si>
    <t>Melting_Curves/meltCurve_O60568_PLOD3.pdf</t>
  </si>
  <si>
    <t>Melting_Curves/meltCurve_O60583_2_CCNT2.pdf</t>
  </si>
  <si>
    <t>Melting_Curves/meltCurve_O60613_SEP15.pdf</t>
  </si>
  <si>
    <t>Melting_Curves/meltCurve_O60645_3_EXOC3.pdf</t>
  </si>
  <si>
    <t>Melting_Curves/meltCurve_O60664_PLIN3.pdf</t>
  </si>
  <si>
    <t>Melting_Curves/meltCurve_O60671_RAD1.pdf</t>
  </si>
  <si>
    <t>Melting_Curves/meltCurve_O60678_PRMT3.pdf</t>
  </si>
  <si>
    <t>Melting_Curves/meltCurve_O60701_UGDH.pdf</t>
  </si>
  <si>
    <t>Melting_Curves/meltCurve_O60704_TPST2.pdf</t>
  </si>
  <si>
    <t>Melting_Curves/meltCurve_O60711_LPXN.pdf</t>
  </si>
  <si>
    <t>Melting_Curves/meltCurve_O60725_ICMT.pdf</t>
  </si>
  <si>
    <t>Melting_Curves/meltCurve_O60739_EIF1B.pdf</t>
  </si>
  <si>
    <t>Melting_Curves/meltCurve_O60749_SNX2.pdf</t>
  </si>
  <si>
    <t>Melting_Curves/meltCurve_O60763_USO1.pdf</t>
  </si>
  <si>
    <t>Melting_Curves/meltCurve_O60783_MRPS14.pdf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</si>
  <si>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</si>
  <si>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</si>
  <si>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</si>
  <si>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</si>
  <si>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Melting_Curves/meltCurve_O60832_DKC1.pdf</t>
  </si>
  <si>
    <t>Melting_Curves/meltCurve_O60841_EIF5B.pdf</t>
  </si>
  <si>
    <t>Melting_Curves/meltCurve_O60858_TRIM13.pdf</t>
  </si>
  <si>
    <t>Melting_Curves/meltCurve_O60861_GAS7.pdf</t>
  </si>
  <si>
    <t>Melting_Curves/meltCurve_O60869_EDF1.pdf</t>
  </si>
  <si>
    <t>Melting_Curves/meltCurve_O60870_KIN.pdf</t>
  </si>
  <si>
    <t>Melting_Curves/meltCurve_O60880_SH2D1A.pdf</t>
  </si>
  <si>
    <t>Melting_Curves/meltCurve_O60880_4_SH2D1A.pdf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</si>
  <si>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</si>
  <si>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</si>
  <si>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</si>
  <si>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</si>
  <si>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Melting_Curves/meltCurve_O60911_CTSL2.pdf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</si>
  <si>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</si>
  <si>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</si>
  <si>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</si>
  <si>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</si>
  <si>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</si>
  <si>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</si>
  <si>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Melting_Curves/meltCurve_O75054_IGSF3.pdf</t>
  </si>
  <si>
    <t>Melting_Curves/meltCurve_O75061_3_DNAJC6.pdf</t>
  </si>
  <si>
    <t>Melting_Curves/meltCurve_O75063_FAM20B.pdf</t>
  </si>
  <si>
    <t>Melting_Curves/meltCurve_O75071_EFCAB14.pdf</t>
  </si>
  <si>
    <t>Melting_Curves/meltCurve_O75083_WDR1.pdf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</si>
  <si>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</si>
  <si>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</si>
  <si>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</si>
  <si>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</si>
  <si>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Melting_Curves/meltCurve_O75145_2_PPFIA3.pdf</t>
  </si>
  <si>
    <t>Melting_Curves/meltCurve_O75146_HIP1R.pdf</t>
  </si>
  <si>
    <t>Melting_Curves/meltCurve_O75150_RNF40.pdf</t>
  </si>
  <si>
    <t>Melting_Curves/meltCurve_O75151_PHF2.pdf</t>
  </si>
  <si>
    <t>Melting_Curves/meltCurve_O75152_ZC3H11A.pdf</t>
  </si>
  <si>
    <t>Melting_Curves/meltCurve_O75155_CAND2.pdf</t>
  </si>
  <si>
    <t>Melting_Curves/meltCurve_O75157_2_TSC22D2.pdf</t>
  </si>
  <si>
    <t>Melting_Curves/meltCurve_O75164_KDM4A.pdf</t>
  </si>
  <si>
    <t>Melting_Curves/meltCurve_O75165_DNAJC13.pdf</t>
  </si>
  <si>
    <t>Melting_Curves/meltCurve_O75170_4_PPP6R2.pdf</t>
  </si>
  <si>
    <t>Melting_Curves/meltCurve_O75175_CNOT3.pdf</t>
  </si>
  <si>
    <t>Melting_Curves/meltCurve_O75177_SS18L1.pdf</t>
  </si>
  <si>
    <t>Melting_Curves/meltCurve_O75179_2_ANKRD17.pdf</t>
  </si>
  <si>
    <t>Melting_Curves/meltCurve_O75190_DNAJB6.pdf</t>
  </si>
  <si>
    <t>Melting_Curves/meltCurve_O75191_XYLB.pdf</t>
  </si>
  <si>
    <t>Melting_Curves/meltCurve_O75208_COQ9.pdf</t>
  </si>
  <si>
    <t>Melting_Curves/meltCurve_O75223_GGCT.pdf</t>
  </si>
  <si>
    <t>Melting_Curves/meltCurve_O75264_C19orf77.pdf</t>
  </si>
  <si>
    <t>Melting_Curves/meltCurve_O75306_NDUFS2.pdf</t>
  </si>
  <si>
    <t>Melting_Curves/meltCurve_O75312_ZNF259.pdf</t>
  </si>
  <si>
    <t>Melting_Curves/meltCurve_O75317_USP12.pdf</t>
  </si>
  <si>
    <t>Melting_Curves/meltCurve_O75323_GBAS.pdf</t>
  </si>
  <si>
    <t>Melting_Curves/meltCurve_O75326_SEMA7A.pdf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</si>
  <si>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</si>
  <si>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</si>
  <si>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</si>
  <si>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</si>
  <si>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</si>
  <si>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Melting_Curves/meltCurve_O75362_ZNF217.pdf</t>
  </si>
  <si>
    <t>Melting_Curves/meltCurve_O75367_2_H2AFY.pdf</t>
  </si>
  <si>
    <t>Melting_Curves/meltCurve_O75368_SH3BGRL.pdf</t>
  </si>
  <si>
    <t>Melting_Curves/meltCurve_O75369_8_FLNB.pdf</t>
  </si>
  <si>
    <t>Melting_Curves/meltCurve_O75376_NCOR1.pdf</t>
  </si>
  <si>
    <t>Melting_Curves/meltCurve_O75379_2_VAMP4.pdf</t>
  </si>
  <si>
    <t>Melting_Curves/meltCurve_O75380_NDUFS6.pdf</t>
  </si>
  <si>
    <t>Melting_Curves/meltCurve_O75381_2_PEX14.pdf</t>
  </si>
  <si>
    <t>Melting_Curves/meltCurve_O75385_ULK1.pdf</t>
  </si>
  <si>
    <t>Melting_Curves/meltCurve_O75391_SPAG7.pdf</t>
  </si>
  <si>
    <t>Melting_Curves/meltCurve_O75396_SEC22B.pdf</t>
  </si>
  <si>
    <t>Melting_Curves/meltCurve_O75400_PRPF40A.pdf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</si>
  <si>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</si>
  <si>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</si>
  <si>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</si>
  <si>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</si>
  <si>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</si>
  <si>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</si>
  <si>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Melting_Curves/meltCurve_O75446_SAP30.pdf</t>
  </si>
  <si>
    <t>Melting_Curves/meltCurve_O75449_KATNA1.pdf</t>
  </si>
  <si>
    <t>Melting_Curves/meltCurve_O75475_PSIP1.pdf</t>
  </si>
  <si>
    <t>Melting_Curves/meltCurve_O75477_ERLIN1.pdf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</si>
  <si>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</si>
  <si>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</si>
  <si>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</si>
  <si>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</si>
  <si>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Melting_Curves/meltCurve_O75525_KHDRBS3.pdf</t>
  </si>
  <si>
    <t>Melting_Curves/meltCurve_O75528_TADA3.pdf</t>
  </si>
  <si>
    <t>Melting_Curves/meltCurve_O75530_EED.pdf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</si>
  <si>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</si>
  <si>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</si>
  <si>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</si>
  <si>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</si>
  <si>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Melting_Curves/meltCurve_O75569_3_PRKRA.pdf</t>
  </si>
  <si>
    <t>Melting_Curves/meltCurve_O75570_MTRF1.pdf</t>
  </si>
  <si>
    <t>Melting_Curves/meltCurve_O75575_CRCP.pdf</t>
  </si>
  <si>
    <t>Melting_Curves/meltCurve_O75582_RPS6KA5.pdf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</si>
  <si>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</si>
  <si>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</si>
  <si>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</si>
  <si>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</si>
  <si>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</si>
  <si>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Melting_Curves/meltCurve_O75643_SNRNP200.pdf</t>
  </si>
  <si>
    <t>Melting_Curves/meltCurve_O75648_TRMU.pdf</t>
  </si>
  <si>
    <t>Melting_Curves/meltCurve_O75663_TIPRL.pdf</t>
  </si>
  <si>
    <t>Melting_Curves/meltCurve_O75683_SURF6.pdf</t>
  </si>
  <si>
    <t>Melting_Curves/meltCurve_O75688_PPM1B.pdf</t>
  </si>
  <si>
    <t>Melting_Curves/meltCurve_O75691_UTP20.pdf</t>
  </si>
  <si>
    <t>Melting_Curves/meltCurve_O75694_2_NUP155.pdf</t>
  </si>
  <si>
    <t>Melting_Curves/meltCurve_O75695_RP2.pdf</t>
  </si>
  <si>
    <t>Melting_Curves/meltCurve_O75717_WDHD1.pdf</t>
  </si>
  <si>
    <t>Melting_Curves/meltCurve_O75746_SLC25A12.pdf</t>
  </si>
  <si>
    <t>Melting_Curves/meltCurve_O75781_PALM.pdf</t>
  </si>
  <si>
    <t>Melting_Curves/meltCurve_O75791_GRAP2.pdf</t>
  </si>
  <si>
    <t>Melting_Curves/meltCurve_O75792_RNASEH2A.pdf</t>
  </si>
  <si>
    <t>Melting_Curves/meltCurve_O75794_CDC123.pdf</t>
  </si>
  <si>
    <t>Melting_Curves/meltCurve_O75808_SOLH.pdf</t>
  </si>
  <si>
    <t>Melting_Curves/meltCurve_O75818_RPP40.pdf</t>
  </si>
  <si>
    <t>Melting_Curves/meltCurve_O75821_EIF3G.pdf</t>
  </si>
  <si>
    <t>Melting_Curves/meltCurve_O75822_EIF3J.pdf</t>
  </si>
  <si>
    <t>Melting_Curves/meltCurve_O75828_CBR3.pdf</t>
  </si>
  <si>
    <t>Melting_Curves/meltCurve_O75843_AP1G2.pdf</t>
  </si>
  <si>
    <t>Melting_Curves/meltCurve_O75844_ZMPSTE24.pdf</t>
  </si>
  <si>
    <t>Melting_Curves/meltCurve_O75865_TRAPPC6A.pdf</t>
  </si>
  <si>
    <t>Melting_Curves/meltCurve_O75874_IDH1.pdf</t>
  </si>
  <si>
    <t>Melting_Curves/meltCurve_O75882_ATRN.pdf</t>
  </si>
  <si>
    <t>Melting_Curves/meltCurve_O75884_RBBP9.pdf</t>
  </si>
  <si>
    <t>Melting_Curves/meltCurve_O75886_STAM2.pdf</t>
  </si>
  <si>
    <t>Melting_Curves/meltCurve_O75896_TUSC2.pdf</t>
  </si>
  <si>
    <t>Melting_Curves/meltCurve_O75909_CCNK.pdf</t>
  </si>
  <si>
    <t>Melting_Curves/meltCurve_O75915_ARL6IP5.pdf</t>
  </si>
  <si>
    <t>Melting_Curves/meltCurve_O75925_PIAS1.pdf</t>
  </si>
  <si>
    <t>Melting_Curves/meltCurve_O75928_2_PIAS2.pdf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</si>
  <si>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</si>
  <si>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</si>
  <si>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</si>
  <si>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</si>
  <si>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Melting_Curves/meltCurve_O75943_4_RAD17.pdf</t>
  </si>
  <si>
    <t>Melting_Curves/meltCurve_O75947_ATP5H.pdf</t>
  </si>
  <si>
    <t>Melting_Curves/meltCurve_O75955_FLOT1.pdf</t>
  </si>
  <si>
    <t>Melting_Curves/meltCurve_O75964_ATP5L.pdf</t>
  </si>
  <si>
    <t>Melting_Curves/meltCurve_O75973_C1QL1.pdf</t>
  </si>
  <si>
    <t>Melting_Curves/meltCurve_O75976_CPD.pdf</t>
  </si>
  <si>
    <t>Melting_Curves/meltCurve_O75995_SASH3.pdf</t>
  </si>
  <si>
    <t>Melting_Curves/meltCurve_O76003_GLRX3.pdf</t>
  </si>
  <si>
    <t>Melting_Curves/meltCurve_O76021_RSL1D1.pdf</t>
  </si>
  <si>
    <t>Melting_Curves/meltCurve_O76024_WFS1.pdf</t>
  </si>
  <si>
    <t>Melting_Curves/meltCurve_O76031_CLPX.pdf</t>
  </si>
  <si>
    <t>Melting_Curves/meltCurve_O76054_4_SEC14L2.pdf</t>
  </si>
  <si>
    <t>Melting_Curves/meltCurve_O76071_CIAO1.pdf</t>
  </si>
  <si>
    <t>Melting_Curves/meltCurve_O76080_ZFAND5.pdf</t>
  </si>
  <si>
    <t>Melting_Curves/meltCurve_O76094_SRP72.pdf</t>
  </si>
  <si>
    <t>Melting_Curves/meltCurve_O76095_2_JTB.pdf</t>
  </si>
  <si>
    <t>Melting_Curves/meltCurve_O76096_CST7.pdf</t>
  </si>
  <si>
    <t>Melting_Curves/meltCurve_O94762_RECQL5.pdf</t>
  </si>
  <si>
    <t>Melting_Curves/meltCurve_O94763_URI1.pdf</t>
  </si>
  <si>
    <t>Melting_Curves/meltCurve_O94763_4_URI1.pdf</t>
  </si>
  <si>
    <t>Melting_Curves/meltCurve_O94766_B3GAT3.pdf</t>
  </si>
  <si>
    <t>Melting_Curves/meltCurve_O94776_MTA2.pdf</t>
  </si>
  <si>
    <t>Melting_Curves/meltCurve_O94782_USP1.pdf</t>
  </si>
  <si>
    <t>Melting_Curves/meltCurve_O94804_STK10.pdf</t>
  </si>
  <si>
    <t>Melting_Curves/meltCurve_O94819_KBTBD11.pdf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</si>
  <si>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</si>
  <si>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</si>
  <si>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</si>
  <si>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</si>
  <si>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Melting_Curves/meltCurve_O94855_SEC24D.pdf</t>
  </si>
  <si>
    <t>Melting_Curves/meltCurve_O94864_2_SUPT7L.pdf</t>
  </si>
  <si>
    <t>Melting_Curves/meltCurve_O94874_UFL1.pdf</t>
  </si>
  <si>
    <t>Melting_Curves/meltCurve_O94880_PHF14.pdf</t>
  </si>
  <si>
    <t>Melting_Curves/meltCurve_O94886_TMEM63A.pdf</t>
  </si>
  <si>
    <t>Melting_Curves/meltCurve_O94888_UBXN7.pdf</t>
  </si>
  <si>
    <t>Melting_Curves/meltCurve_O94900_TOX.pdf</t>
  </si>
  <si>
    <t>Melting_Curves/meltCurve_O94903_PROSC.pdf</t>
  </si>
  <si>
    <t>Melting_Curves/meltCurve_O94905_ERLIN2.pdf</t>
  </si>
  <si>
    <t>Melting_Curves/meltCurve_O94906_PRPF6.pdf</t>
  </si>
  <si>
    <t>Melting_Curves/meltCurve_O94913_PCF11.pdf</t>
  </si>
  <si>
    <t>Melting_Curves/meltCurve_O94919_ENDOD1.pdf</t>
  </si>
  <si>
    <t>Melting_Curves/meltCurve_O94925_GLS.pdf</t>
  </si>
  <si>
    <t>Melting_Curves/meltCurve_O94925_3_GLS.pdf</t>
  </si>
  <si>
    <t>Melting_Curves/meltCurve_O94927_HAUS5.pdf</t>
  </si>
  <si>
    <t>Melting_Curves/meltCurve_O94952_1_FBXO21.pdf</t>
  </si>
  <si>
    <t>Melting_Curves/meltCurve_O94966_7_USP19.pdf</t>
  </si>
  <si>
    <t>Melting_Curves/meltCurve_O94967_2_WDR47.pdf</t>
  </si>
  <si>
    <t>Melting_Curves/meltCurve_O94973_AP2A2.pdf</t>
  </si>
  <si>
    <t>Melting_Curves/meltCurve_O94973_2_AP2A2.pdf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</si>
  <si>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</si>
  <si>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</si>
  <si>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</si>
  <si>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</si>
  <si>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Melting_Curves/meltCurve_O95104_SCAF4.pdf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</si>
  <si>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</si>
  <si>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</si>
  <si>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</si>
  <si>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</si>
  <si>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</si>
  <si>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</si>
  <si>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</si>
  <si>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Melting_Curves/meltCurve_O95182_NDUFA7.pdf</t>
  </si>
  <si>
    <t>Melting_Curves/meltCurve_O95183_VAMP5.pdf</t>
  </si>
  <si>
    <t>Melting_Curves/meltCurve_O95196_2_CSPG5.pdf</t>
  </si>
  <si>
    <t>Melting_Curves/meltCurve_O95197_2_RTN3.pdf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</si>
  <si>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</si>
  <si>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</si>
  <si>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</si>
  <si>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</si>
  <si>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Melting_Curves/meltCurve_O95232_LUC7L3.pdf</t>
  </si>
  <si>
    <t>Melting_Curves/meltCurve_O95235_KIF20A.pdf</t>
  </si>
  <si>
    <t>Melting_Curves/meltCurve_O95239_KIF4A.pdf</t>
  </si>
  <si>
    <t>Melting_Curves/meltCurve_O95251_4_KAT7.pdf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</si>
  <si>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</si>
  <si>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</si>
  <si>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</si>
  <si>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</si>
  <si>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</si>
  <si>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</si>
  <si>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</si>
  <si>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</si>
  <si>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</si>
  <si>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</si>
  <si>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</si>
  <si>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</si>
  <si>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</si>
  <si>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</si>
  <si>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</si>
  <si>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</si>
  <si>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Melting_Curves/meltCurve_O95402_MED26.pdf</t>
  </si>
  <si>
    <t>Melting_Curves/meltCurve_O95405_ZFYVE9.pdf</t>
  </si>
  <si>
    <t>Melting_Curves/meltCurve_O95427_PIGN.pdf</t>
  </si>
  <si>
    <t>Melting_Curves/meltCurve_O95429_2_BAG4.pdf</t>
  </si>
  <si>
    <t>Melting_Curves/meltCurve_O95433_AHSA1.pdf</t>
  </si>
  <si>
    <t>Melting_Curves/meltCurve_O95453_2_PARN.pdf</t>
  </si>
  <si>
    <t>Melting_Curves/meltCurve_O95456_PSMG1.pdf</t>
  </si>
  <si>
    <t>Melting_Curves/meltCurve_O95466_2_FMNL1.pdf</t>
  </si>
  <si>
    <t>Melting_Curves/meltCurve_O95470_SGPL1.pdf</t>
  </si>
  <si>
    <t>Melting_Curves/meltCurve_O95473_SYNGR4.pdf</t>
  </si>
  <si>
    <t>Melting_Curves/meltCurve_O95475_SIX6.pdf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</si>
  <si>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</si>
  <si>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</si>
  <si>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</si>
  <si>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</si>
  <si>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Melting_Curves/meltCurve_O95568_METTL18.pdf</t>
  </si>
  <si>
    <t>Melting_Curves/meltCurve_O95571_ETHE1.pdf</t>
  </si>
  <si>
    <t>Melting_Curves/meltCurve_O95573_ACSL3.pdf</t>
  </si>
  <si>
    <t>Melting_Curves/meltCurve_O95602_POLR1A.pdf</t>
  </si>
  <si>
    <t>Melting_Curves/meltCurve_O95619_YEATS4.pdf</t>
  </si>
  <si>
    <t>Melting_Curves/meltCurve_O95620_DUS4L.pdf</t>
  </si>
  <si>
    <t>Melting_Curves/meltCurve_O95628_3_CNOT4.pdf</t>
  </si>
  <si>
    <t>Melting_Curves/meltCurve_O95630_STAMBP.pdf</t>
  </si>
  <si>
    <t>Melting_Curves/meltCurve_O95639_3_CPSF4.pdf</t>
  </si>
  <si>
    <t>Melting_Curves/meltCurve_O95671_2_ASMTL.pdf</t>
  </si>
  <si>
    <t>Melting_Curves/meltCurve_O95674_CDS2.pdf</t>
  </si>
  <si>
    <t>Melting_Curves/meltCurve_O95684_FGFR1OP.pdf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</si>
  <si>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</si>
  <si>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</si>
  <si>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</si>
  <si>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</si>
  <si>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Melting_Curves/meltCurve_O95777_NAA38.pdf</t>
  </si>
  <si>
    <t>Melting_Curves/meltCurve_O95782_2_AP2A1.pdf</t>
  </si>
  <si>
    <t>Melting_Curves/meltCurve_O95786_DDX58.pdf</t>
  </si>
  <si>
    <t>Melting_Curves/meltCurve_O95801_TTC4.pdf</t>
  </si>
  <si>
    <t>Melting_Curves/meltCurve_O95807_TMEM50A.pdf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</si>
  <si>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</si>
  <si>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</si>
  <si>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</si>
  <si>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</si>
  <si>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</si>
  <si>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Melting_Curves/meltCurve_O95834_2_EML2.pdf</t>
  </si>
  <si>
    <t>Melting_Curves/meltCurve_O95837_GNA14.pdf</t>
  </si>
  <si>
    <t>Melting_Curves/meltCurve_O95848_NUDT14.pdf</t>
  </si>
  <si>
    <t>Melting_Curves/meltCurve_O95861_BPNT1.pdf</t>
  </si>
  <si>
    <t>Melting_Curves/meltCurve_O95864_FADS2.pdf</t>
  </si>
  <si>
    <t>Melting_Curves/meltCurve_O95865_DDAH2.pdf</t>
  </si>
  <si>
    <t>Melting_Curves/meltCurve_O95873_C6orf47.pdf</t>
  </si>
  <si>
    <t>Melting_Curves/meltCurve_O95881_TXNDC12.pdf</t>
  </si>
  <si>
    <t>Melting_Curves/meltCurve_O95905_2_ECD.pdf</t>
  </si>
  <si>
    <t>Melting_Curves/meltCurve_O95926_SYF2.pdf</t>
  </si>
  <si>
    <t>Melting_Curves/meltCurve_O95980_RECK.pdf</t>
  </si>
  <si>
    <t>Melting_Curves/meltCurve_O95983_2_MBD3.pdf</t>
  </si>
  <si>
    <t>Melting_Curves/meltCurve_O95989_NUDT3.pdf</t>
  </si>
  <si>
    <t>Melting_Curves/meltCurve_O95997_PTTG1.pdf</t>
  </si>
  <si>
    <t>Melting_Curves/meltCurve_O95999_BCL10.pdf</t>
  </si>
  <si>
    <t>Melting_Curves/meltCurve_O96000_NDUFB10.pdf</t>
  </si>
  <si>
    <t>Melting_Curves/meltCurve_O96006_ZBED1.pdf</t>
  </si>
  <si>
    <t>Melting_Curves/meltCurve_O96007_MOCS2.pdf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</si>
  <si>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</si>
  <si>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</si>
  <si>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</si>
  <si>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</si>
  <si>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Melting_Curves/meltCurve_O96019_ACTL6A.pdf</t>
  </si>
  <si>
    <t>Melting_Curves/meltCurve_O96033_MOCS2.pdf</t>
  </si>
  <si>
    <t>Melting_Curves/meltCurve_P00167_2_CYB5A.pdf</t>
  </si>
  <si>
    <t>Melting_Curves/meltCurve_P00326_ADH1C.pdf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</si>
  <si>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</si>
  <si>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</si>
  <si>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</si>
  <si>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</si>
  <si>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</si>
  <si>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</si>
  <si>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</si>
  <si>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</si>
  <si>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</si>
  <si>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</si>
  <si>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</si>
  <si>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</si>
  <si>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Melting_Curves/meltCurve_P00558_PGK1.pdf</t>
  </si>
  <si>
    <t>Melting_Curves/meltCurve_P00813_ADA.pdf</t>
  </si>
  <si>
    <t>Melting_Curves/meltCurve_P00846_MT_ATP6.pdf</t>
  </si>
  <si>
    <t>Melting_Curves/meltCurve_P00966_ASS1.pdf</t>
  </si>
  <si>
    <t>Melting_Curves/meltCurve_P01009_2_SERPINA1.pdf</t>
  </si>
  <si>
    <t>Melting_Curves/meltCurve_P01023_A2M.pdf</t>
  </si>
  <si>
    <t>Melting_Curves/meltCurve_P01024_C3.pdf</t>
  </si>
  <si>
    <t>Melting_Curves/meltCurve_P01037_CST1.pdf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</si>
  <si>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</si>
  <si>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</si>
  <si>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</si>
  <si>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</si>
  <si>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Melting_Curves/meltCurve_P01730_CD4.pdf</t>
  </si>
  <si>
    <t>Melting_Curves/meltCurve_P01733_TRBV12_3.pdf</t>
  </si>
  <si>
    <t>Melting_Curves/meltCurve_P01737_.pdf</t>
  </si>
  <si>
    <t>Melting_Curves/meltCurve_P01833_PIGR.pdf</t>
  </si>
  <si>
    <t>Melting_Curves/meltCurve_P01834_IGKC.pdf</t>
  </si>
  <si>
    <t>Melting_Curves/meltCurve_P01848_TRAC.pdf</t>
  </si>
  <si>
    <t>Melting_Curves/meltCurve_P01850_TRBC1.pdf</t>
  </si>
  <si>
    <t>Melting_Curves/meltCurve_P01889_HLA_B.pdf</t>
  </si>
  <si>
    <t>Melting_Curves/meltCurve_P02008_HBZ.pdf</t>
  </si>
  <si>
    <t>Melting_Curves/meltCurve_P02545_LMNA.pdf</t>
  </si>
  <si>
    <t>Melting_Curves/meltCurve_P02747_C1QC.pdf</t>
  </si>
  <si>
    <t>Melting_Curves/meltCurve_P02763_ORM1.pdf</t>
  </si>
  <si>
    <t>Melting_Curves/meltCurve_P02766_TTR.pdf</t>
  </si>
  <si>
    <t>Melting_Curves/meltCurve_P02786_TFRC.pdf</t>
  </si>
  <si>
    <t>Melting_Curves/meltCurve_P02792_FTL.pdf</t>
  </si>
  <si>
    <t>Melting_Curves/meltCurve_P02794_FTH1.pdf</t>
  </si>
  <si>
    <t>Melting_Curves/meltCurve_P02795_MT2A.pdf</t>
  </si>
  <si>
    <t>Melting_Curves/meltCurve_P03897_MT_ND3.pdf</t>
  </si>
  <si>
    <t>Melting_Curves/meltCurve_P03928_MT_ATP8.pdf</t>
  </si>
  <si>
    <t>Melting_Curves/meltCurve_P04040_CAT.pdf</t>
  </si>
  <si>
    <t>Melting_Curves/meltCurve_P04053_2_DNTT.pdf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</si>
  <si>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</si>
  <si>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</si>
  <si>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</si>
  <si>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</si>
  <si>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Melting_Curves/meltCurve_P04114_APOB.pdf</t>
  </si>
  <si>
    <t>Melting_Curves/meltCurve_P04150_7_NR3C1.pdf</t>
  </si>
  <si>
    <t>Melting_Curves/meltCurve_P04181_OAT.pdf</t>
  </si>
  <si>
    <t>Melting_Curves/meltCurve_P04183_TK1.pdf</t>
  </si>
  <si>
    <t>Melting_Curves/meltCurve_P04234_CD3D.pdf</t>
  </si>
  <si>
    <t>Melting_Curves/meltCurve_P04264_KRT1.pdf</t>
  </si>
  <si>
    <t>Melting_Curves/meltCurve_P04275_VWF.pdf</t>
  </si>
  <si>
    <t>Melting_Curves/meltCurve_P04350_TUBB4A.pdf</t>
  </si>
  <si>
    <t>Melting_Curves/meltCurve_P04406_GAPDH.pdf</t>
  </si>
  <si>
    <t>Melting_Curves/meltCurve_P04406_2_GAPDH.pdf</t>
  </si>
  <si>
    <t>Melting_Curves/meltCurve_P04424_ASL.pdf</t>
  </si>
  <si>
    <t>Melting_Curves/meltCurve_P04632_CAPNS1.pdf</t>
  </si>
  <si>
    <t>Melting_Curves/meltCurve_P04745_AMY1A.pdf</t>
  </si>
  <si>
    <t>Melting_Curves/meltCurve_P04818_TYMS.pdf</t>
  </si>
  <si>
    <t>Melting_Curves/meltCurve_P04843_RPN1.pdf</t>
  </si>
  <si>
    <t>Melting_Curves/meltCurve_P04844_RPN2.pdf</t>
  </si>
  <si>
    <t>Melting_Curves/meltCurve_P04899_GNAI2.pdf</t>
  </si>
  <si>
    <t>Melting_Curves/meltCurve_P04920_2_SLC4A2.pdf</t>
  </si>
  <si>
    <t>Melting_Curves/meltCurve_P04921_2_GYPC.pdf</t>
  </si>
  <si>
    <t>Melting_Curves/meltCurve_P05023_4_ATP1A1.pdf</t>
  </si>
  <si>
    <t>Melting_Curves/meltCurve_P05062_ALDOB.pdf</t>
  </si>
  <si>
    <t>Melting_Curves/meltCurve_P05089_3_ARG1.pdf</t>
  </si>
  <si>
    <t>Melting_Curves/meltCurve_P05106_ITGB3.pdf</t>
  </si>
  <si>
    <t>Melting_Curves/meltCurve_P05107_ITGB2.pdf</t>
  </si>
  <si>
    <t>Melting_Curves/meltCurve_P05109_S100A8.pdf</t>
  </si>
  <si>
    <t>Melting_Curves/meltCurve_P05114_HMGN1.pdf</t>
  </si>
  <si>
    <t>Melting_Curves/meltCurve_P05120_SERPINB2.pdf</t>
  </si>
  <si>
    <t>Melting_Curves/meltCurve_P05121_2_SERPINE1.pdf</t>
  </si>
  <si>
    <t>Melting_Curves/meltCurve_P05141_SLC25A5.pdf</t>
  </si>
  <si>
    <t>Melting_Curves/meltCurve_P05161_ISG15.pdf</t>
  </si>
  <si>
    <t>Melting_Curves/meltCurve_P05165_2_PCCA.pdf</t>
  </si>
  <si>
    <t>Melting_Curves/meltCurve_P05198_EIF2S1.pdf</t>
  </si>
  <si>
    <t>Melting_Curves/meltCurve_P05204_HMGN2.pdf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</si>
  <si>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</si>
  <si>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</si>
  <si>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</si>
  <si>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</si>
  <si>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</si>
  <si>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Melting_Curves/meltCurve_P05423_POLR3D.pdf</t>
  </si>
  <si>
    <t>Melting_Curves/meltCurve_P05455_SSB.pdf</t>
  </si>
  <si>
    <t>Melting_Curves/meltCurve_P05556_ITGB1.pdf</t>
  </si>
  <si>
    <t>Melting_Curves/meltCurve_P05771_2_PRKCB.pdf</t>
  </si>
  <si>
    <t>Melting_Curves/meltCurve_P06126_CD1A.pdf</t>
  </si>
  <si>
    <t>Melting_Curves/meltCurve_P06127_CD5.pdf</t>
  </si>
  <si>
    <t>Melting_Curves/meltCurve_P06132_UROD.pdf</t>
  </si>
  <si>
    <t>Melting_Curves/meltCurve_P06239_LCK.pdf</t>
  </si>
  <si>
    <t>Melting_Curves/meltCurve_P06241_2_FYN.pdf</t>
  </si>
  <si>
    <t>Melting_Curves/meltCurve_P06280_GLA.pdf</t>
  </si>
  <si>
    <t>Melting_Curves/meltCurve_P06396_2_GSN.pdf</t>
  </si>
  <si>
    <t>Melting_Curves/meltCurve_P06400_RB1.pdf</t>
  </si>
  <si>
    <t>Melting_Curves/meltCurve_P06493_CDK1.pdf</t>
  </si>
  <si>
    <t>Melting_Curves/meltCurve_P06576_ATP5B.pdf</t>
  </si>
  <si>
    <t>Melting_Curves/meltCurve_P06702_S100A9.pdf</t>
  </si>
  <si>
    <t>Melting_Curves/meltCurve_P06729_CD2.pdf</t>
  </si>
  <si>
    <t>Melting_Curves/meltCurve_P06733_ENO1.pdf</t>
  </si>
  <si>
    <t>Melting_Curves/meltCurve_P06733_2_ENO1.pdf</t>
  </si>
  <si>
    <t>Melting_Curves/meltCurve_P06744_GPI.pdf</t>
  </si>
  <si>
    <t>Melting_Curves/meltCurve_P06746_POLB.pdf</t>
  </si>
  <si>
    <t>Melting_Curves/meltCurve_P06748_NPM1.pdf</t>
  </si>
  <si>
    <t>Melting_Curves/meltCurve_P06753_2_TPM3.pdf</t>
  </si>
  <si>
    <t>Melting_Curves/meltCurve_P06753_3_TPM3.pdf</t>
  </si>
  <si>
    <t>Melting_Curves/meltCurve_P06753_5_TPM3.pdf</t>
  </si>
  <si>
    <t>Melting_Curves/meltCurve_P06756_3_ITGAV.pdf</t>
  </si>
  <si>
    <t>Melting_Curves/meltCurve_P07099_EPHX1.pdf</t>
  </si>
  <si>
    <t>Melting_Curves/meltCurve_P07108_DBI.pdf</t>
  </si>
  <si>
    <t>Melting_Curves/meltCurve_P07195_LDHB.pdf</t>
  </si>
  <si>
    <t>Melting_Curves/meltCurve_P07203_GPX1.pdf</t>
  </si>
  <si>
    <t>Melting_Curves/meltCurve_P07205_PGK2.pdf</t>
  </si>
  <si>
    <t>Melting_Curves/meltCurve_P07237_P4HB.pdf</t>
  </si>
  <si>
    <t>Melting_Curves/meltCurve_P07305_2_H1F0.pdf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</si>
  <si>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</si>
  <si>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</si>
  <si>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</si>
  <si>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</si>
  <si>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</si>
  <si>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</si>
  <si>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</si>
  <si>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</si>
  <si>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</si>
  <si>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</si>
  <si>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</si>
  <si>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</si>
  <si>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Melting_Curves/meltCurve_P07954_2_FH.pdf</t>
  </si>
  <si>
    <t>Melting_Curves/meltCurve_P08047_SP1.pdf</t>
  </si>
  <si>
    <t>Melting_Curves/meltCurve_P08107_HSPA1A.pdf</t>
  </si>
  <si>
    <t>Melting_Curves/meltCurve_P08133_ANXA6.pdf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</si>
  <si>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</si>
  <si>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</si>
  <si>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</si>
  <si>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</si>
  <si>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Melting_Curves/meltCurve_P08559_PDHA1.pdf</t>
  </si>
  <si>
    <t>Melting_Curves/meltCurve_P08567_PLEK.pdf</t>
  </si>
  <si>
    <t>Melting_Curves/meltCurve_P08571_CD14.pdf</t>
  </si>
  <si>
    <t>Melting_Curves/meltCurve_P08574_CYC1.pdf</t>
  </si>
  <si>
    <t>Melting_Curves/meltCurve_P08575_PTPRC.pdf</t>
  </si>
  <si>
    <t>Melting_Curves/meltCurve_P08579_SNRPB2.pdf</t>
  </si>
  <si>
    <t>Melting_Curves/meltCurve_P08582_MFI2.pdf</t>
  </si>
  <si>
    <t>Melting_Curves/meltCurve_P08590_MYL3.pdf</t>
  </si>
  <si>
    <t>Melting_Curves/meltCurve_P08621_2_SNRNP70.pdf</t>
  </si>
  <si>
    <t>Melting_Curves/meltCurve_P08648_ITGA5.pdf</t>
  </si>
  <si>
    <t>Melting_Curves/meltCurve_P08651_4_NFIC.pdf</t>
  </si>
  <si>
    <t>Melting_Curves/meltCurve_P08670_VIM.pdf</t>
  </si>
  <si>
    <t>Melting_Curves/meltCurve_P08754_GNAI3.pdf</t>
  </si>
  <si>
    <t>Melting_Curves/meltCurve_P08758_ANXA5.pdf</t>
  </si>
  <si>
    <t>Melting_Curves/meltCurve_P09012_SNRPA.pdf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</si>
  <si>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</si>
  <si>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</si>
  <si>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</si>
  <si>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</si>
  <si>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</si>
  <si>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Melting_Curves/meltCurve_P09326_CD48.pdf</t>
  </si>
  <si>
    <t>Melting_Curves/meltCurve_P09382_LGALS1.pdf</t>
  </si>
  <si>
    <t>Melting_Curves/meltCurve_P09417_QDPR.pdf</t>
  </si>
  <si>
    <t>Melting_Curves/meltCurve_P09429_HMGB1.pdf</t>
  </si>
  <si>
    <t>Melting_Curves/meltCurve_P09471_2_GNAO1.pdf</t>
  </si>
  <si>
    <t>Melting_Curves/meltCurve_P09488_GSTM1.pdf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</si>
  <si>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</si>
  <si>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</si>
  <si>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</si>
  <si>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</si>
  <si>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Melting_Curves/meltCurve_P09564_CD7.pdf</t>
  </si>
  <si>
    <t>Melting_Curves/meltCurve_P09622_DLD.pdf</t>
  </si>
  <si>
    <t>Melting_Curves/meltCurve_P09661_SNRPA1.pdf</t>
  </si>
  <si>
    <t>Melting_Curves/meltCurve_P09668_CTSH.pdf</t>
  </si>
  <si>
    <t>Melting_Curves/meltCurve_P09669_COX6C.pdf</t>
  </si>
  <si>
    <t>Melting_Curves/meltCurve_P09693_CD3G.pdf</t>
  </si>
  <si>
    <t>Melting_Curves/meltCurve_P09874_PARP1.pdf</t>
  </si>
  <si>
    <t>Melting_Curves/meltCurve_P09960_LTA4H.pdf</t>
  </si>
  <si>
    <t>Melting_Curves/meltCurve_P09972_ALDOC.pdf</t>
  </si>
  <si>
    <t>Melting_Curves/meltCurve_P0C2W1_FBXO45.pdf</t>
  </si>
  <si>
    <t>Melting_Curves/meltCurve_P0C7P0_CISD3.pdf</t>
  </si>
  <si>
    <t>Melting_Curves/meltCurve_P0C7P4_UQCRFS1P1.pdf</t>
  </si>
  <si>
    <t>Melting_Curves/meltCurve_P0C7T5_ATXN1L.pdf</t>
  </si>
  <si>
    <t>Melting_Curves/meltCurve_P0CAP2_POLR2M.pdf</t>
  </si>
  <si>
    <t>Melting_Curves/meltCurve_P0CG12_CHTF8.pdf</t>
  </si>
  <si>
    <t>Melting_Curves/meltCurve_P0CG13_CHTF8.pdf</t>
  </si>
  <si>
    <t>Melting_Curves/meltCurve_P0CW22_RPS17L.pdf</t>
  </si>
  <si>
    <t>Melting_Curves/meltCurve_P0DJ93_SMIM13.pdf</t>
  </si>
  <si>
    <t>Melting_Curves/meltCurve_P10109_FDX1.pdf</t>
  </si>
  <si>
    <t>Melting_Curves/meltCurve_P10155_TROVE2.pdf</t>
  </si>
  <si>
    <t>Melting_Curves/meltCurve_P10176_COX8A.pdf</t>
  </si>
  <si>
    <t>Melting_Curves/meltCurve_P10253_GAA.pdf</t>
  </si>
  <si>
    <t>Melting_Curves/meltCurve_P10301_RRAS.pdf</t>
  </si>
  <si>
    <t>Melting_Curves/meltCurve_P10398_ARAF.pdf</t>
  </si>
  <si>
    <t>Melting_Curves/meltCurve_P10412_HIST1H1E.pdf</t>
  </si>
  <si>
    <t>Melting_Curves/meltCurve_P10515_DLAT.pdf</t>
  </si>
  <si>
    <t>Melting_Curves/meltCurve_P10586_2_PTPRF.pdf</t>
  </si>
  <si>
    <t>Melting_Curves/meltCurve_P10599_TXN.pdf</t>
  </si>
  <si>
    <t>Melting_Curves/meltCurve_P10606_COX5B.pdf</t>
  </si>
  <si>
    <t>Melting_Curves/meltCurve_P10619_CTSA.pdf</t>
  </si>
  <si>
    <t>Melting_Curves/meltCurve_P10636_4_MAPT.pdf</t>
  </si>
  <si>
    <t>Melting_Curves/meltCurve_P10644_PRKAR1A.pdf</t>
  </si>
  <si>
    <t>Melting_Curves/meltCurve_P10721_2_KIT.pdf</t>
  </si>
  <si>
    <t>Melting_Curves/meltCurve_P10746_UROS.pdf</t>
  </si>
  <si>
    <t>Melting_Curves/meltCurve_P10747_CD28.pdf</t>
  </si>
  <si>
    <t>Melting_Curves/meltCurve_P10768_ESD.pdf</t>
  </si>
  <si>
    <t>Melting_Curves/meltCurve_P10809_HSPD1.pdf</t>
  </si>
  <si>
    <t>Melting_Curves/meltCurve_P11021_HSPA5.pdf</t>
  </si>
  <si>
    <t>Melting_Curves/meltCurve_P11142_HSPA8.pdf</t>
  </si>
  <si>
    <t>Melting_Curves/meltCurve_P11166_SLC2A1.pdf</t>
  </si>
  <si>
    <t>Melting_Curves/meltCurve_P11169_SLC2A3.pdf</t>
  </si>
  <si>
    <t>Melting_Curves/meltCurve_P11171_2_EPB41.pdf</t>
  </si>
  <si>
    <t>Melting_Curves/meltCurve_P11171_4_EPB41.pdf</t>
  </si>
  <si>
    <t>Melting_Curves/meltCurve_P11172_UMPS.pdf</t>
  </si>
  <si>
    <t>Melting_Curves/meltCurve_P11177_2_PDHB.pdf</t>
  </si>
  <si>
    <t>Melting_Curves/meltCurve_P11182_DBT.pdf</t>
  </si>
  <si>
    <t>Melting_Curves/meltCurve_P11216_PYGB.pdf</t>
  </si>
  <si>
    <t>Melting_Curves/meltCurve_P11233_RALA.pdf</t>
  </si>
  <si>
    <t>Melting_Curves/meltCurve_P11234_RALB.pdf</t>
  </si>
  <si>
    <t>Melting_Curves/meltCurve_P11274_BCR.pdf</t>
  </si>
  <si>
    <t>Melting_Curves/meltCurve_P11279_LAMP1.pdf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</si>
  <si>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</si>
  <si>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</si>
  <si>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</si>
  <si>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</si>
  <si>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</si>
  <si>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</si>
  <si>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</si>
  <si>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</si>
  <si>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</si>
  <si>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</si>
  <si>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Melting_Curves/meltCurve_P11908_2_PRPS2.pdf</t>
  </si>
  <si>
    <t>Melting_Curves/meltCurve_P11926_ODC1.pdf</t>
  </si>
  <si>
    <t>Melting_Curves/meltCurve_P11940_PABPC1.pdf</t>
  </si>
  <si>
    <t>Melting_Curves/meltCurve_P12004_PCNA.pdf</t>
  </si>
  <si>
    <t>Melting_Curves/meltCurve_P12081_HARS.pdf</t>
  </si>
  <si>
    <t>Melting_Curves/meltCurve_P12235_SLC25A4.pdf</t>
  </si>
  <si>
    <t>Melting_Curves/meltCurve_P12236_SLC25A6.pdf</t>
  </si>
  <si>
    <t>Melting_Curves/meltCurve_P12268_IMPDH2.pdf</t>
  </si>
  <si>
    <t>Melting_Curves/meltCurve_P12270_TPR.pdf</t>
  </si>
  <si>
    <t>Melting_Curves/meltCurve_P12273_PIP.pdf</t>
  </si>
  <si>
    <t>Melting_Curves/meltCurve_P12277_CKB.pdf</t>
  </si>
  <si>
    <t>Melting_Curves/meltCurve_P12429_ANXA3.pdf</t>
  </si>
  <si>
    <t>Melting_Curves/meltCurve_P12532_CKMT1A.pdf</t>
  </si>
  <si>
    <t>Melting_Curves/meltCurve_P12544_2_GZMA.pdf</t>
  </si>
  <si>
    <t>Melting_Curves/meltCurve_P12814_ACTN1.pdf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</si>
  <si>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</si>
  <si>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</si>
  <si>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</si>
  <si>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</si>
  <si>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Melting_Curves/meltCurve_P13051_UNG.pdf</t>
  </si>
  <si>
    <t>Melting_Curves/meltCurve_P13051_2_UNG.pdf</t>
  </si>
  <si>
    <t>Melting_Curves/meltCurve_P13056_NR2C1.pdf</t>
  </si>
  <si>
    <t>Melting_Curves/meltCurve_P13073_COX4I1.pdf</t>
  </si>
  <si>
    <t>Melting_Curves/meltCurve_P13196_ALAS1.pdf</t>
  </si>
  <si>
    <t>Melting_Curves/meltCurve_P13284_IFI30.pdf</t>
  </si>
  <si>
    <t>Melting_Curves/meltCurve_P13489_RNH1.pdf</t>
  </si>
  <si>
    <t>Melting_Curves/meltCurve_P13598_ICAM2.pdf</t>
  </si>
  <si>
    <t>Melting_Curves/meltCurve_P13612_ITGA4.pdf</t>
  </si>
  <si>
    <t>Melting_Curves/meltCurve_P13637_ATP1A3.pdf</t>
  </si>
  <si>
    <t>Melting_Curves/meltCurve_P13639_EEF2.pdf</t>
  </si>
  <si>
    <t>Melting_Curves/meltCurve_P13667_PDIA4.pdf</t>
  </si>
  <si>
    <t>Melting_Curves/meltCurve_P13674_2_P4HA1.pdf</t>
  </si>
  <si>
    <t>Melting_Curves/meltCurve_P13693_TPT1.pdf</t>
  </si>
  <si>
    <t>Melting_Curves/meltCurve_P13796_LCP1.pdf</t>
  </si>
  <si>
    <t>Melting_Curves/meltCurve_P13804_ETFA.pdf</t>
  </si>
  <si>
    <t>Melting_Curves/meltCurve_P13807_2_GYS1.pdf</t>
  </si>
  <si>
    <t>Melting_Curves/meltCurve_P13861_PRKAR2A.pdf</t>
  </si>
  <si>
    <t>Melting_Curves/meltCurve_P13929_2_ENO3.pdf</t>
  </si>
  <si>
    <t>Melting_Curves/meltCurve_P13984_GTF2F2.pdf</t>
  </si>
  <si>
    <t>Melting_Curves/meltCurve_P13995_MTHFD2.pdf</t>
  </si>
  <si>
    <t>Melting_Curves/meltCurve_P14136_3_GFAP.pdf</t>
  </si>
  <si>
    <t>Melting_Curves/meltCurve_P14151_SELL.pdf</t>
  </si>
  <si>
    <t>Melting_Curves/meltCurve_P14174_MIF.pdf</t>
  </si>
  <si>
    <t>Melting_Curves/meltCurve_P14209_3_CD99.pdf</t>
  </si>
  <si>
    <t>Melting_Curves/meltCurve_P14317_HCLS1.pdf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</si>
  <si>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</si>
  <si>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</si>
  <si>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</si>
  <si>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</si>
  <si>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Melting_Curves/meltCurve_P14621_ACYP2.pdf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</si>
  <si>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</si>
  <si>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</si>
  <si>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</si>
  <si>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</si>
  <si>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</si>
  <si>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</si>
  <si>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</si>
  <si>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</si>
  <si>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Melting_Curves/meltCurve_P14921_ETS1.pdf</t>
  </si>
  <si>
    <t>Melting_Curves/meltCurve_P14923_JUP.pdf</t>
  </si>
  <si>
    <t>Melting_Curves/meltCurve_P14927_UQCRB.pdf</t>
  </si>
  <si>
    <t>Melting_Curves/meltCurve_P15056_BRAF.pdf</t>
  </si>
  <si>
    <t>Melting_Curves/meltCurve_P15104_GLUL.pdf</t>
  </si>
  <si>
    <t>Melting_Curves/meltCurve_P15121_AKR1B1.pdf</t>
  </si>
  <si>
    <t>Melting_Curves/meltCurve_P15151_3_PVR.pdf</t>
  </si>
  <si>
    <t>Melting_Curves/meltCurve_P15153_RAC2.pdf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</si>
  <si>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</si>
  <si>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</si>
  <si>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</si>
  <si>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</si>
  <si>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Melting_Curves/meltCurve_P15428_HPGD.pdf</t>
  </si>
  <si>
    <t>Melting_Curves/meltCurve_P15498_VAV1.pdf</t>
  </si>
  <si>
    <t>Melting_Curves/meltCurve_P15529_15_CD46.pdf</t>
  </si>
  <si>
    <t>Melting_Curves/meltCurve_P15529_16_CD46.pdf</t>
  </si>
  <si>
    <t>Melting_Curves/meltCurve_P15531_NME1.pdf</t>
  </si>
  <si>
    <t>Melting_Curves/meltCurve_P15813_CD1D.pdf</t>
  </si>
  <si>
    <t>Melting_Curves/meltCurve_P15848_ARSB.pdf</t>
  </si>
  <si>
    <t>Melting_Curves/meltCurve_P15880_RPS2.pdf</t>
  </si>
  <si>
    <t>Melting_Curves/meltCurve_P15882_CHN1.pdf</t>
  </si>
  <si>
    <t>Melting_Curves/meltCurve_P15907_ST6GAL1.pdf</t>
  </si>
  <si>
    <t>Melting_Curves/meltCurve_P15923_2_TCF3.pdf</t>
  </si>
  <si>
    <t>Melting_Curves/meltCurve_P15927_RPA2.pdf</t>
  </si>
  <si>
    <t>Melting_Curves/meltCurve_P16035_TIMP2.pdf</t>
  </si>
  <si>
    <t>Melting_Curves/meltCurve_P16150_SPN.pdf</t>
  </si>
  <si>
    <t>Melting_Curves/meltCurve_P16219_ACADS.pdf</t>
  </si>
  <si>
    <t>Melting_Curves/meltCurve_P16220_CREB1.pdf</t>
  </si>
  <si>
    <t>Melting_Curves/meltCurve_P16278_3_GLB1.pdf</t>
  </si>
  <si>
    <t>Melting_Curves/meltCurve_P16284_3_PECAM1.pdf</t>
  </si>
  <si>
    <t>Melting_Curves/meltCurve_P16298_PPP3CB.pdf</t>
  </si>
  <si>
    <t>Melting_Curves/meltCurve_P16333_NCK1.pdf</t>
  </si>
  <si>
    <t>Melting_Curves/meltCurve_P16383_GCFC2.pdf</t>
  </si>
  <si>
    <t>Melting_Curves/meltCurve_P16389_2_KCNA2.pdf</t>
  </si>
  <si>
    <t>Melting_Curves/meltCurve_P16401_HIST1H1B.pdf</t>
  </si>
  <si>
    <t>Melting_Curves/meltCurve_P16435_POR.pdf</t>
  </si>
  <si>
    <t>Melting_Curves/meltCurve_P16455_MGMT.pdf</t>
  </si>
  <si>
    <t>Melting_Curves/meltCurve_P16473_TSHR.pdf</t>
  </si>
  <si>
    <t>Melting_Curves/meltCurve_P16591_3_FER.pdf</t>
  </si>
  <si>
    <t>Melting_Curves/meltCurve_P16615_ATP2A2.pdf</t>
  </si>
  <si>
    <t>Melting_Curves/meltCurve_P16885_PLCG2.pdf</t>
  </si>
  <si>
    <t>Melting_Curves/meltCurve_P16930_FAH.pdf</t>
  </si>
  <si>
    <t>Melting_Curves/meltCurve_P16949_STMN1.pdf</t>
  </si>
  <si>
    <t>Melting_Curves/meltCurve_P16989_YBX3.pdf</t>
  </si>
  <si>
    <t>Melting_Curves/meltCurve_P17026_ZNF22.pdf</t>
  </si>
  <si>
    <t>Melting_Curves/meltCurve_P17028_ZNF24.pdf</t>
  </si>
  <si>
    <t>Melting_Curves/meltCurve_P17050_NAGA.pdf</t>
  </si>
  <si>
    <t>Melting_Curves/meltCurve_P17066_HSPA6.pdf</t>
  </si>
  <si>
    <t>Melting_Curves/meltCurve_P17096_HMGA1.pdf</t>
  </si>
  <si>
    <t>Melting_Curves/meltCurve_P17098_ZNF8.pdf</t>
  </si>
  <si>
    <t>Melting_Curves/meltCurve_P17152_TMEM11.pdf</t>
  </si>
  <si>
    <t>Melting_Curves/meltCurve_P17174_GOT1.pdf</t>
  </si>
  <si>
    <t>Melting_Curves/meltCurve_P17181_IFNAR1.pdf</t>
  </si>
  <si>
    <t>Melting_Curves/meltCurve_P17252_PRKCA.pdf</t>
  </si>
  <si>
    <t>Melting_Curves/meltCurve_P17275_JUNB.pdf</t>
  </si>
  <si>
    <t>Melting_Curves/meltCurve_P17480_UBTF.pdf</t>
  </si>
  <si>
    <t>Melting_Curves/meltCurve_P17535_JUND.pdf</t>
  </si>
  <si>
    <t>Melting_Curves/meltCurve_P17542_3_TAL1.pdf</t>
  </si>
  <si>
    <t>Melting_Curves/meltCurve_P17544_4_ATF7.pdf</t>
  </si>
  <si>
    <t>Melting_Curves/meltCurve_P17568_NDUFB7.pdf</t>
  </si>
  <si>
    <t>Melting_Curves/meltCurve_P17600_2_SYN1.pdf</t>
  </si>
  <si>
    <t>Melting_Curves/meltCurve_P17612_PRKACA.pdf</t>
  </si>
  <si>
    <t>Melting_Curves/meltCurve_P17706_2_PTPN2.pdf</t>
  </si>
  <si>
    <t>Melting_Curves/meltCurve_P17707_AMD1.pdf</t>
  </si>
  <si>
    <t>Melting_Curves/meltCurve_P17812_CTPS1.pdf</t>
  </si>
  <si>
    <t>Melting_Curves/meltCurve_P17844_DDX5.pdf</t>
  </si>
  <si>
    <t>Melting_Curves/meltCurve_P17858_PFKL.pdf</t>
  </si>
  <si>
    <t>Melting_Curves/meltCurve_P17900_GM2A.pdf</t>
  </si>
  <si>
    <t>Melting_Curves/meltCurve_P17987_TCP1.pdf</t>
  </si>
  <si>
    <t>Melting_Curves/meltCurve_P18031_PTPN1.pdf</t>
  </si>
  <si>
    <t>Melting_Curves/meltCurve_P18065_IGFBP2.pdf</t>
  </si>
  <si>
    <t>Melting_Curves/meltCurve_P18074_ERCC2.pdf</t>
  </si>
  <si>
    <t>Melting_Curves/meltCurve_P18077_RPL35A.pdf</t>
  </si>
  <si>
    <t>Melting_Curves/meltCurve_P18084_ITGB5.pdf</t>
  </si>
  <si>
    <t>Melting_Curves/meltCurve_P18085_ARF4.pdf</t>
  </si>
  <si>
    <t>Melting_Curves/meltCurve_P18124_RPL7.pdf</t>
  </si>
  <si>
    <t>Melting_Curves/meltCurve_P18146_EGR1.pdf</t>
  </si>
  <si>
    <t>Melting_Curves/meltCurve_P18206_2_VCL.pdf</t>
  </si>
  <si>
    <t>Melting_Curves/meltCurve_P18615_NELFE.pdf</t>
  </si>
  <si>
    <t>Melting_Curves/meltCurve_P18669_PGAM1.pdf</t>
  </si>
  <si>
    <t>Melting_Curves/meltCurve_P18754_2_RCC1.pdf</t>
  </si>
  <si>
    <t>Melting_Curves/meltCurve_P18846_ATF1.pdf</t>
  </si>
  <si>
    <t>Melting_Curves/meltCurve_P18858_LIG1.pdf</t>
  </si>
  <si>
    <t>Melting_Curves/meltCurve_P18859_ATP5J.pdf</t>
  </si>
  <si>
    <t>Melting_Curves/meltCurve_P18887_XRCC1.pdf</t>
  </si>
  <si>
    <t>Melting_Curves/meltCurve_P19022_CDH2.pdf</t>
  </si>
  <si>
    <t>Melting_Curves/meltCurve_P19174_PLCG1.pdf</t>
  </si>
  <si>
    <t>Melting_Curves/meltCurve_P19174_2_PLCG1.pdf</t>
  </si>
  <si>
    <t>Melting_Curves/meltCurve_P19338_NCL.pdf</t>
  </si>
  <si>
    <t>Melting_Curves/meltCurve_P19387_POLR2C.pdf</t>
  </si>
  <si>
    <t>Melting_Curves/meltCurve_P19388_POLR2E.pdf</t>
  </si>
  <si>
    <t>Melting_Curves/meltCurve_P19397_CD53.pdf</t>
  </si>
  <si>
    <t>Melting_Curves/meltCurve_P19447_ERCC3.pdf</t>
  </si>
  <si>
    <t>Melting_Curves/meltCurve_P19525_EIF2AK2.pdf</t>
  </si>
  <si>
    <t>Melting_Curves/meltCurve_P19532_TFE3.pdf</t>
  </si>
  <si>
    <t>Melting_Curves/meltCurve_P19623_SRM.pdf</t>
  </si>
  <si>
    <t>Melting_Curves/meltCurve_P19784_CSNK2A2.pdf</t>
  </si>
  <si>
    <t>Melting_Curves/meltCurve_P19835_CEL.pdf</t>
  </si>
  <si>
    <t>Melting_Curves/meltCurve_P19838_NFKB1.pdf</t>
  </si>
  <si>
    <t>Melting_Curves/meltCurve_P20020_5_ATP2B1.pdf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</si>
  <si>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</si>
  <si>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</si>
  <si>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</si>
  <si>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</si>
  <si>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Melting_Curves/meltCurve_P20292_ALOX5AP.pdf</t>
  </si>
  <si>
    <t>Melting_Curves/meltCurve_P20336_RAB3A.pdf</t>
  </si>
  <si>
    <t>Melting_Curves/meltCurve_P20337_RAB3B.pdf</t>
  </si>
  <si>
    <t>Melting_Curves/meltCurve_P20338_RAB4A.pdf</t>
  </si>
  <si>
    <t>Melting_Curves/meltCurve_P20340_RAB6A.pdf</t>
  </si>
  <si>
    <t>Melting_Curves/meltCurve_P20340_2_RAB6A.pdf</t>
  </si>
  <si>
    <t>Melting_Curves/meltCurve_P20618_PSMB1.pdf</t>
  </si>
  <si>
    <t>Melting_Curves/meltCurve_P20645_M6PR.pdf</t>
  </si>
  <si>
    <t>Melting_Curves/meltCurve_P20671_HIST1H2AD.pdf</t>
  </si>
  <si>
    <t>Melting_Curves/meltCurve_P20674_COX5A.pdf</t>
  </si>
  <si>
    <t>Melting_Curves/meltCurve_P20700_LMNB1.pdf</t>
  </si>
  <si>
    <t>Melting_Curves/meltCurve_P20701_ITGAL.pdf</t>
  </si>
  <si>
    <t>Melting_Curves/meltCurve_P20774_OGN.pdf</t>
  </si>
  <si>
    <t>Melting_Curves/meltCurve_P20962_PTMS.pdf</t>
  </si>
  <si>
    <t>Melting_Curves/meltCurve_P20963_CD247.pdf</t>
  </si>
  <si>
    <t>Melting_Curves/meltCurve_P21127_8_CDK11B.pdf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</si>
  <si>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</si>
  <si>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</si>
  <si>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</si>
  <si>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</si>
  <si>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</si>
  <si>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Melting_Curves/meltCurve_P21399_ACO1.pdf</t>
  </si>
  <si>
    <t>Melting_Curves/meltCurve_P21549_AGXT.pdf</t>
  </si>
  <si>
    <t>Melting_Curves/meltCurve_P21580_TNFAIP3.pdf</t>
  </si>
  <si>
    <t>Melting_Curves/meltCurve_P21675_TAF1.pdf</t>
  </si>
  <si>
    <t>Melting_Curves/meltCurve_P21796_VDAC1.pdf</t>
  </si>
  <si>
    <t>Melting_Curves/meltCurve_P21912_SDHB.pdf</t>
  </si>
  <si>
    <t>Melting_Curves/meltCurve_P21953_BCKDHB.pdf</t>
  </si>
  <si>
    <t>Melting_Curves/meltCurve_P21964_2_COMT.pdf</t>
  </si>
  <si>
    <t>Melting_Curves/meltCurve_P22033_MUT.pdf</t>
  </si>
  <si>
    <t>Melting_Curves/meltCurve_P22059_OSBP.pdf</t>
  </si>
  <si>
    <t>Melting_Curves/meltCurve_P22087_FBL.pdf</t>
  </si>
  <si>
    <t>Melting_Curves/meltCurve_P22102_GART.pdf</t>
  </si>
  <si>
    <t>Melting_Curves/meltCurve_P22234_PAICS.pdf</t>
  </si>
  <si>
    <t>Melting_Curves/meltCurve_P22307_SCP2.pdf</t>
  </si>
  <si>
    <t>Melting_Curves/meltCurve_P22314_UBA1.pdf</t>
  </si>
  <si>
    <t>Melting_Curves/meltCurve_P22570_5_FDXR.pdf</t>
  </si>
  <si>
    <t>Melting_Curves/meltCurve_P22626_HNRNPA2B1.pdf</t>
  </si>
  <si>
    <t>Melting_Curves/meltCurve_P22670_RFX1.pdf</t>
  </si>
  <si>
    <t>Melting_Curves/meltCurve_P22681_CBL.pdf</t>
  </si>
  <si>
    <t>Melting_Curves/meltCurve_P22694_4_PRKACB.pdf</t>
  </si>
  <si>
    <t>Melting_Curves/meltCurve_P22695_UQCRC2.pdf</t>
  </si>
  <si>
    <t>Melting_Curves/meltCurve_P22830_FECH.pdf</t>
  </si>
  <si>
    <t>Melting_Curves/meltCurve_P23025_XPA.pdf</t>
  </si>
  <si>
    <t>Melting_Curves/meltCurve_P23109_2_AMPD1.pdf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</si>
  <si>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</si>
  <si>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</si>
  <si>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</si>
  <si>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</si>
  <si>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</si>
  <si>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</si>
  <si>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</si>
  <si>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</si>
  <si>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Melting_Curves/meltCurve_P23434_GCSH.pdf</t>
  </si>
  <si>
    <t>Melting_Curves/meltCurve_P23469_3_PTPRE.pdf</t>
  </si>
  <si>
    <t>Melting_Curves/meltCurve_P23497_SP100.pdf</t>
  </si>
  <si>
    <t>Melting_Curves/meltCurve_P23511_2_NFYA.pdf</t>
  </si>
  <si>
    <t>Melting_Curves/meltCurve_P23526_AHCY.pdf</t>
  </si>
  <si>
    <t>Melting_Curves/meltCurve_P23527_HIST1H2BO.pdf</t>
  </si>
  <si>
    <t>Melting_Curves/meltCurve_P23528_CFL1.pdf</t>
  </si>
  <si>
    <t>Melting_Curves/meltCurve_P23610_F8A1.pdf</t>
  </si>
  <si>
    <t>Melting_Curves/meltCurve_P23634_7_ATP2B4.pdf</t>
  </si>
  <si>
    <t>Melting_Curves/meltCurve_P23743_DGKA.pdf</t>
  </si>
  <si>
    <t>Melting_Curves/meltCurve_P23771_GATA3.pdf</t>
  </si>
  <si>
    <t>Melting_Curves/meltCurve_P23786_CPT2.pdf</t>
  </si>
  <si>
    <t>Melting_Curves/meltCurve_P23919_DTYMK.pdf</t>
  </si>
  <si>
    <t>Melting_Curves/meltCurve_P23921_RRM1.pdf</t>
  </si>
  <si>
    <t>Melting_Curves/meltCurve_P24001_2_IL32.pdf</t>
  </si>
  <si>
    <t>Melting_Curves/meltCurve_P24311_COX7B.pdf</t>
  </si>
  <si>
    <t>Melting_Curves/meltCurve_P24534_EEF1B2.pdf</t>
  </si>
  <si>
    <t>Melting_Curves/meltCurve_P24588_AKAP5.pdf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</si>
  <si>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</si>
  <si>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</si>
  <si>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</si>
  <si>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</si>
  <si>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Melting_Curves/meltCurve_P25098_ADRBK1.pdf</t>
  </si>
  <si>
    <t>Melting_Curves/meltCurve_P25205_MCM3.pdf</t>
  </si>
  <si>
    <t>Melting_Curves/meltCurve_P25325_MPST.pdf</t>
  </si>
  <si>
    <t>Melting_Curves/meltCurve_P25398_RPS12.pdf</t>
  </si>
  <si>
    <t>Melting_Curves/meltCurve_P25445_6_FAS.pdf</t>
  </si>
  <si>
    <t>Melting_Curves/meltCurve_P25490_YY1.pdf</t>
  </si>
  <si>
    <t>Melting_Curves/meltCurve_P25685_DNAJB1.pdf</t>
  </si>
  <si>
    <t>Melting_Curves/meltCurve_P25686_DNAJB2.pdf</t>
  </si>
  <si>
    <t>Melting_Curves/meltCurve_P25705_ATP5A1.pdf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</si>
  <si>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</si>
  <si>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</si>
  <si>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</si>
  <si>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</si>
  <si>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Melting_Curves/meltCurve_P26010_2_ITGB7.pdf</t>
  </si>
  <si>
    <t>Melting_Curves/meltCurve_P26038_MSN.pdf</t>
  </si>
  <si>
    <t>Melting_Curves/meltCurve_P26196_DDX6.pdf</t>
  </si>
  <si>
    <t>Melting_Curves/meltCurve_P26358_DNMT1.pdf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</si>
  <si>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</si>
  <si>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</si>
  <si>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</si>
  <si>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</si>
  <si>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</si>
  <si>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</si>
  <si>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</si>
  <si>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</si>
  <si>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</si>
  <si>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</si>
  <si>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</si>
  <si>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</si>
  <si>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</si>
  <si>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Melting_Curves/meltCurve_P27540_2_ARNT.pdf</t>
  </si>
  <si>
    <t>Melting_Curves/meltCurve_P27635_RPL10.pdf</t>
  </si>
  <si>
    <t>Melting_Curves/meltCurve_P27694_RPA1.pdf</t>
  </si>
  <si>
    <t>Melting_Curves/meltCurve_P27695_APEX1.pdf</t>
  </si>
  <si>
    <t>Melting_Curves/meltCurve_P27701_CD82.pdf</t>
  </si>
  <si>
    <t>Melting_Curves/meltCurve_P27797_CALR.pdf</t>
  </si>
  <si>
    <t>Melting_Curves/meltCurve_P27815_PDE4A.pdf</t>
  </si>
  <si>
    <t>Melting_Curves/meltCurve_P27816_5_MAP4.pdf</t>
  </si>
  <si>
    <t>Melting_Curves/meltCurve_P27824_CANX.pdf</t>
  </si>
  <si>
    <t>Melting_Curves/meltCurve_P27986_PIK3R1.pdf</t>
  </si>
  <si>
    <t>Melting_Curves/meltCurve_P27987_2_ITPKB.pdf</t>
  </si>
  <si>
    <t>Melting_Curves/meltCurve_P28062_PSMB8.pdf</t>
  </si>
  <si>
    <t>Melting_Curves/meltCurve_P28065_PSMB9.pdf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</si>
  <si>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</si>
  <si>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</si>
  <si>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</si>
  <si>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</si>
  <si>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Melting_Curves/meltCurve_P28074_3_PSMB5.pdf</t>
  </si>
  <si>
    <t>Melting_Curves/meltCurve_P28161_GSTM2.pdf</t>
  </si>
  <si>
    <t>Melting_Curves/meltCurve_P28331_4_NDUFS1.pdf</t>
  </si>
  <si>
    <t>Melting_Curves/meltCurve_P28482_MAPK1.pdf</t>
  </si>
  <si>
    <t>Melting_Curves/meltCurve_P28702_RXRB.pdf</t>
  </si>
  <si>
    <t>Melting_Curves/meltCurve_P28715_ERCC5.pdf</t>
  </si>
  <si>
    <t>Melting_Curves/meltCurve_P28799_GRN.pdf</t>
  </si>
  <si>
    <t>Melting_Curves/meltCurve_P28838_LAP3.pdf</t>
  </si>
  <si>
    <t>Melting_Curves/meltCurve_P28907_CD38.pdf</t>
  </si>
  <si>
    <t>Melting_Curves/meltCurve_P28908_TNFRSF8.pdf</t>
  </si>
  <si>
    <t>Melting_Curves/meltCurve_P29016_CD1B.pdf</t>
  </si>
  <si>
    <t>Melting_Curves/meltCurve_P29083_GTF2E1.pdf</t>
  </si>
  <si>
    <t>Melting_Curves/meltCurve_P29084_GTF2E2.pdf</t>
  </si>
  <si>
    <t>Melting_Curves/meltCurve_P29144_TPP2.pdf</t>
  </si>
  <si>
    <t>Melting_Curves/meltCurve_P29218_IMPA1.pdf</t>
  </si>
  <si>
    <t>Melting_Curves/meltCurve_P29350_PTPN6.pdf</t>
  </si>
  <si>
    <t>Melting_Curves/meltCurve_P29353_7_SHC1.pdf</t>
  </si>
  <si>
    <t>Melting_Curves/meltCurve_P29372_5_MPG.pdf</t>
  </si>
  <si>
    <t>Melting_Curves/meltCurve_P29401_TKT.pdf</t>
  </si>
  <si>
    <t>Melting_Curves/meltCurve_P29590_PML.pdf</t>
  </si>
  <si>
    <t>Melting_Curves/meltCurve_P29965_CD40LG.pdf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</si>
  <si>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</si>
  <si>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</si>
  <si>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</si>
  <si>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</si>
  <si>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</si>
  <si>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</si>
  <si>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</si>
  <si>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</si>
  <si>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</si>
  <si>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</si>
  <si>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</si>
  <si>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</si>
  <si>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</si>
  <si>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</si>
  <si>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</si>
  <si>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Melting_Curves/meltCurve_P30203_5_CD6.pdf</t>
  </si>
  <si>
    <t>Melting_Curves/meltCurve_P30260_CDC27.pdf</t>
  </si>
  <si>
    <t>Melting_Curves/meltCurve_P30281_CCND3.pdf</t>
  </si>
  <si>
    <t>Melting_Curves/meltCurve_P30291_WEE1.pdf</t>
  </si>
  <si>
    <t>Melting_Curves/meltCurve_P30405_PPIF.pdf</t>
  </si>
  <si>
    <t>Melting_Curves/meltCurve_P30419_NMT1.pdf</t>
  </si>
  <si>
    <t>Melting_Curves/meltCurve_P30480_HLA_B.pdf</t>
  </si>
  <si>
    <t>Melting_Curves/meltCurve_P30493_HLA_B.pdf</t>
  </si>
  <si>
    <t>Melting_Curves/meltCurve_P30495_HLA_B.pdf</t>
  </si>
  <si>
    <t>Melting_Curves/meltCurve_P30504_HLA_C.pdf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</si>
  <si>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</si>
  <si>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</si>
  <si>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</si>
  <si>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</si>
  <si>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Melting_Curves/meltCurve_P30613_2_PKLR.pdf</t>
  </si>
  <si>
    <t>Melting_Curves/meltCurve_P30622_2_CLIP1.pdf</t>
  </si>
  <si>
    <t>Melting_Curves/meltCurve_P30679_GNA15.pdf</t>
  </si>
  <si>
    <t>Melting_Curves/meltCurve_P30685_HLA_B.pdf</t>
  </si>
  <si>
    <t>Melting_Curves/meltCurve_P30740_SERPINB1.pdf</t>
  </si>
  <si>
    <t>Melting_Curves/meltCurve_P30793_GCH1.pdf</t>
  </si>
  <si>
    <t>Melting_Curves/meltCurve_P30825_SLC7A1.pdf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</si>
  <si>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</si>
  <si>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</si>
  <si>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</si>
  <si>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</si>
  <si>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</si>
  <si>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Melting_Curves/meltCurve_P31327_CPS1.pdf</t>
  </si>
  <si>
    <t>Melting_Curves/meltCurve_P31350_RRM2.pdf</t>
  </si>
  <si>
    <t>Melting_Curves/meltCurve_P31641_SLC6A6.pdf</t>
  </si>
  <si>
    <t>Melting_Curves/meltCurve_P31689_DNAJA1.pdf</t>
  </si>
  <si>
    <t>Melting_Curves/meltCurve_P31749_AKT1.pdf</t>
  </si>
  <si>
    <t>Melting_Curves/meltCurve_P31751_AKT2.pdf</t>
  </si>
  <si>
    <t>Melting_Curves/meltCurve_P31785_IL2RG.pdf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</si>
  <si>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</si>
  <si>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</si>
  <si>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</si>
  <si>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</si>
  <si>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Melting_Curves/meltCurve_P31946_2_YWHAB.pdf</t>
  </si>
  <si>
    <t>Melting_Curves/meltCurve_P31947_2_SFN.pdf</t>
  </si>
  <si>
    <t>Melting_Curves/meltCurve_P31948_STIP1.pdf</t>
  </si>
  <si>
    <t>Melting_Curves/meltCurve_P32019_3_INPP5B.pdf</t>
  </si>
  <si>
    <t>Melting_Curves/meltCurve_P32119_PRDX2.pdf</t>
  </si>
  <si>
    <t>Melting_Curves/meltCurve_P32121_ARRB2.pdf</t>
  </si>
  <si>
    <t>Melting_Curves/meltCurve_P32189_1_GK.pdf</t>
  </si>
  <si>
    <t>Melting_Curves/meltCurve_P32321_2_DCTD.pdf</t>
  </si>
  <si>
    <t>Melting_Curves/meltCurve_P32322_PYCR1.pdf</t>
  </si>
  <si>
    <t>Melting_Curves/meltCurve_P32455_GBP1.pdf</t>
  </si>
  <si>
    <t>Melting_Curves/meltCurve_P32519_2_ELF1.pdf</t>
  </si>
  <si>
    <t>Melting_Curves/meltCurve_P32780_GTF2H1.pdf</t>
  </si>
  <si>
    <t>Melting_Curves/meltCurve_P32856_3_STX2.pdf</t>
  </si>
  <si>
    <t>Melting_Curves/meltCurve_P32929_CTH.pdf</t>
  </si>
  <si>
    <t>Melting_Curves/meltCurve_P32942_ICAM3.pdf</t>
  </si>
  <si>
    <t>Melting_Curves/meltCurve_P32969_RPL9.pdf</t>
  </si>
  <si>
    <t>Melting_Curves/meltCurve_P33121_ACSL1.pdf</t>
  </si>
  <si>
    <t>Melting_Curves/meltCurve_P33176_KIF5B.pdf</t>
  </si>
  <si>
    <t>Melting_Curves/meltCurve_P33240_2_CSTF2.pdf</t>
  </si>
  <si>
    <t>Melting_Curves/meltCurve_P33241_LSP1.pdf</t>
  </si>
  <si>
    <t>Melting_Curves/meltCurve_P33316_2_DUT.pdf</t>
  </si>
  <si>
    <t>Melting_Curves/meltCurve_P33527_ABCC1.pdf</t>
  </si>
  <si>
    <t>Melting_Curves/meltCurve_P33552_CKS2.pdf</t>
  </si>
  <si>
    <t>Melting_Curves/meltCurve_P33897_ABCD1.pdf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</si>
  <si>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</si>
  <si>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</si>
  <si>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</si>
  <si>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</si>
  <si>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</si>
  <si>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</si>
  <si>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</si>
  <si>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</si>
  <si>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Melting_Curves/meltCurve_P34932_HSPA4.pdf</t>
  </si>
  <si>
    <t>Melting_Curves/meltCurve_P34947_GRK5.pdf</t>
  </si>
  <si>
    <t>Melting_Curves/meltCurve_P34972_CNR2.pdf</t>
  </si>
  <si>
    <t>Melting_Curves/meltCurve_P35219_CA8.pdf</t>
  </si>
  <si>
    <t>Melting_Curves/meltCurve_P35221_CTNNA1.pdf</t>
  </si>
  <si>
    <t>Melting_Curves/meltCurve_P35232_PHB.pdf</t>
  </si>
  <si>
    <t>Melting_Curves/meltCurve_P35236_2_PTPN7.pdf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</si>
  <si>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</si>
  <si>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</si>
  <si>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</si>
  <si>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</si>
  <si>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</si>
  <si>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</si>
  <si>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</si>
  <si>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</si>
  <si>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</si>
  <si>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</si>
  <si>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Melting_Curves/meltCurve_P35408_PTGER4.pdf</t>
  </si>
  <si>
    <t>Melting_Curves/meltCurve_P35520_CBS.pdf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</si>
  <si>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</si>
  <si>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</si>
  <si>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</si>
  <si>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</si>
  <si>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Melting_Curves/meltCurve_P35610_SOAT1.pdf</t>
  </si>
  <si>
    <t>Melting_Curves/meltCurve_P35611_ADD1.pdf</t>
  </si>
  <si>
    <t>Melting_Curves/meltCurve_P35612_ADD2.pdf</t>
  </si>
  <si>
    <t>Melting_Curves/meltCurve_P35613_2_BSG.pdf</t>
  </si>
  <si>
    <t>Melting_Curves/meltCurve_P35626_ADRBK2.pdf</t>
  </si>
  <si>
    <t>Melting_Curves/meltCurve_P35637_2_FUS.pdf</t>
  </si>
  <si>
    <t>Melting_Curves/meltCurve_P35658_2_NUP214.pdf</t>
  </si>
  <si>
    <t>Melting_Curves/meltCurve_P35659_DEK.pdf</t>
  </si>
  <si>
    <t>Melting_Curves/meltCurve_P35754_GLRX.pdf</t>
  </si>
  <si>
    <t>Melting_Curves/meltCurve_P35790_CHKA.pdf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</si>
  <si>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</si>
  <si>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</si>
  <si>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</si>
  <si>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</si>
  <si>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</si>
  <si>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</si>
  <si>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</si>
  <si>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</si>
  <si>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</si>
  <si>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</si>
  <si>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</si>
  <si>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Melting_Curves/meltCurve_P36873_2_PPP1CC.pdf</t>
  </si>
  <si>
    <t>Melting_Curves/meltCurve_P36915_GNL1.pdf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</si>
  <si>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</si>
  <si>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</si>
  <si>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</si>
  <si>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</si>
  <si>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</si>
  <si>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</si>
  <si>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Melting_Curves/meltCurve_P37268_FDFT1.pdf</t>
  </si>
  <si>
    <t>Melting_Curves/meltCurve_P37275_3_ZEB1.pdf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</si>
  <si>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</si>
  <si>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</si>
  <si>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</si>
  <si>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</si>
  <si>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Melting_Curves/meltCurve_P38159_2_RBMX.pdf</t>
  </si>
  <si>
    <t>Melting_Curves/meltCurve_P38571_2_LIPA.pdf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</si>
  <si>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</si>
  <si>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</si>
  <si>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</si>
  <si>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</si>
  <si>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</si>
  <si>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</si>
  <si>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</si>
  <si>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</si>
  <si>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</si>
  <si>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Melting_Curves/meltCurve_P40121_CAPG.pdf</t>
  </si>
  <si>
    <t>Melting_Curves/meltCurve_P40222_TXLNA.pdf</t>
  </si>
  <si>
    <t>Melting_Curves/meltCurve_P40227_CCT6A.pdf</t>
  </si>
  <si>
    <t>Melting_Curves/meltCurve_P40306_PSMB10.pdf</t>
  </si>
  <si>
    <t>Melting_Curves/meltCurve_P40337_3_VHL.pdf</t>
  </si>
  <si>
    <t>Melting_Curves/meltCurve_P40425_PBX2.pdf</t>
  </si>
  <si>
    <t>Melting_Curves/meltCurve_P40692_MLH1.pdf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</si>
  <si>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</si>
  <si>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</si>
  <si>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</si>
  <si>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</si>
  <si>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</si>
  <si>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</si>
  <si>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</si>
  <si>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</si>
  <si>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Melting_Curves/meltCurve_P41134_ID1.pdf</t>
  </si>
  <si>
    <t>Melting_Curves/meltCurve_P41208_CETN2.pdf</t>
  </si>
  <si>
    <t>Melting_Curves/meltCurve_P41212_ETV6.pdf</t>
  </si>
  <si>
    <t>Melting_Curves/meltCurve_P41214_EIF2D.pdf</t>
  </si>
  <si>
    <t>Melting_Curves/meltCurve_P41223_BUD31.pdf</t>
  </si>
  <si>
    <t>Melting_Curves/meltCurve_P41227_NAA10.pdf</t>
  </si>
  <si>
    <t>Melting_Curves/meltCurve_P41229_3_KDM5C.pdf</t>
  </si>
  <si>
    <t>Melting_Curves/meltCurve_P41240_CSK.pdf</t>
  </si>
  <si>
    <t>Melting_Curves/meltCurve_P41250_GARS.pdf</t>
  </si>
  <si>
    <t>Melting_Curves/meltCurve_P41252_IARS.pdf</t>
  </si>
  <si>
    <t>Melting_Curves/meltCurve_P41440_SLC19A1.pdf</t>
  </si>
  <si>
    <t>Melting_Curves/meltCurve_P41567_EIF1.pdf</t>
  </si>
  <si>
    <t>Melting_Curves/meltCurve_P41743_PRKCI.pdf</t>
  </si>
  <si>
    <t>Melting_Curves/meltCurve_P42025_ACTR1B.pdf</t>
  </si>
  <si>
    <t>Melting_Curves/meltCurve_P42166_TMPO.pdf</t>
  </si>
  <si>
    <t>Melting_Curves/meltCurve_P42167_TMPO.pdf</t>
  </si>
  <si>
    <t>Melting_Curves/meltCurve_P42167_2_TMPO.pdf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</si>
  <si>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</si>
  <si>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</si>
  <si>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</si>
  <si>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</si>
  <si>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Melting_Curves/meltCurve_P42331_5_ARHGAP25.pdf</t>
  </si>
  <si>
    <t>Melting_Curves/meltCurve_P42336_PIK3CA.pdf</t>
  </si>
  <si>
    <t>Melting_Curves/meltCurve_P42338_PIK3CB.pdf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</si>
  <si>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</si>
  <si>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</si>
  <si>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</si>
  <si>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</si>
  <si>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</si>
  <si>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</si>
  <si>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</si>
  <si>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</si>
  <si>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</si>
  <si>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Melting_Curves/meltCurve_P42768_WAS.pdf</t>
  </si>
  <si>
    <t>Melting_Curves/meltCurve_P42773_CDKN2C.pdf</t>
  </si>
  <si>
    <t>Melting_Curves/meltCurve_P42785_PRCP.pdf</t>
  </si>
  <si>
    <t>Melting_Curves/meltCurve_P42858_HTT.pdf</t>
  </si>
  <si>
    <t>Melting_Curves/meltCurve_P42892_3_ECE1.pdf</t>
  </si>
  <si>
    <t>Melting_Curves/meltCurve_P42898_MTHFR.pdf</t>
  </si>
  <si>
    <t>Melting_Curves/meltCurve_P43003_2_SLC1A3.pdf</t>
  </si>
  <si>
    <t>Melting_Curves/meltCurve_P43007_SLC1A4.pdf</t>
  </si>
  <si>
    <t>Melting_Curves/meltCurve_P43034_PAFAH1B1.pdf</t>
  </si>
  <si>
    <t>Melting_Curves/meltCurve_P43155_2_CRAT.pdf</t>
  </si>
  <si>
    <t>Melting_Curves/meltCurve_P43250_2_GRK6.pdf</t>
  </si>
  <si>
    <t>Melting_Curves/meltCurve_P43307_SSR1.pdf</t>
  </si>
  <si>
    <t>Melting_Curves/meltCurve_P43378_PTPN9.pdf</t>
  </si>
  <si>
    <t>Melting_Curves/meltCurve_P43403_ZAP70.pdf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</si>
  <si>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</si>
  <si>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</si>
  <si>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</si>
  <si>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</si>
  <si>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</si>
  <si>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</si>
  <si>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</si>
  <si>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</si>
  <si>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</si>
  <si>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</si>
  <si>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</si>
  <si>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Melting_Curves/meltCurve_P46013_MKI67.pdf</t>
  </si>
  <si>
    <t>Melting_Curves/meltCurve_P46060_RANGAP1.pdf</t>
  </si>
  <si>
    <t>Melting_Curves/meltCurve_P46063_RECQL.pdf</t>
  </si>
  <si>
    <t>Melting_Curves/meltCurve_P46087_NOP2.pdf</t>
  </si>
  <si>
    <t>Melting_Curves/meltCurve_P46100_4_ATRX.pdf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</si>
  <si>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</si>
  <si>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</si>
  <si>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</si>
  <si>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</si>
  <si>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</si>
  <si>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</si>
  <si>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</si>
  <si>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</si>
  <si>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</si>
  <si>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Melting_Curves/meltCurve_P46779_RPL28.pdf</t>
  </si>
  <si>
    <t>Melting_Curves/meltCurve_P46781_RPS9.pdf</t>
  </si>
  <si>
    <t>Melting_Curves/meltCurve_P46783_RPS10.pdf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</si>
  <si>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</si>
  <si>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</si>
  <si>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</si>
  <si>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</si>
  <si>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</si>
  <si>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</si>
  <si>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Melting_Curves/meltCurve_P47755_CAPZA2.pdf</t>
  </si>
  <si>
    <t>Melting_Curves/meltCurve_P47756_2_CAPZB.pdf</t>
  </si>
  <si>
    <t>Melting_Curves/meltCurve_P47813_EIF1AX.pdf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</si>
  <si>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</si>
  <si>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</si>
  <si>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</si>
  <si>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</si>
  <si>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Melting_Curves/meltCurve_P48047_ATP5O.pdf</t>
  </si>
  <si>
    <t>Melting_Curves/meltCurve_P48059_5_LIMS1.pdf</t>
  </si>
  <si>
    <t>Melting_Curves/meltCurve_P48147_PREP.pdf</t>
  </si>
  <si>
    <t>Melting_Curves/meltCurve_P48200_IREB2.pdf</t>
  </si>
  <si>
    <t>Melting_Curves/meltCurve_P48380_3_RFX3.pdf</t>
  </si>
  <si>
    <t>Melting_Curves/meltCurve_P48444_ARCN1.pdf</t>
  </si>
  <si>
    <t>Melting_Curves/meltCurve_P48449_LSS.pdf</t>
  </si>
  <si>
    <t>Melting_Curves/meltCurve_P48454_PPP3CC.pdf</t>
  </si>
  <si>
    <t>Melting_Curves/meltCurve_P48506_GCLC.pdf</t>
  </si>
  <si>
    <t>Melting_Curves/meltCurve_P48507_GCLM.pdf</t>
  </si>
  <si>
    <t>Melting_Curves/meltCurve_P48553_TRAPPC10.pdf</t>
  </si>
  <si>
    <t>Melting_Curves/meltCurve_P48634_PRRC2A.pdf</t>
  </si>
  <si>
    <t>Melting_Curves/meltCurve_P48637_GSS.pdf</t>
  </si>
  <si>
    <t>Melting_Curves/meltCurve_P48643_CCT5.pdf</t>
  </si>
  <si>
    <t>Melting_Curves/meltCurve_P48723_HSPA13.pdf</t>
  </si>
  <si>
    <t>Melting_Curves/meltCurve_P48729_CSNK1A1.pdf</t>
  </si>
  <si>
    <t>Melting_Curves/meltCurve_P48730_2_CSNK1D.pdf</t>
  </si>
  <si>
    <t>Melting_Curves/meltCurve_P48735_IDH2.pdf</t>
  </si>
  <si>
    <t>Melting_Curves/meltCurve_P48739_PITPNB.pdf</t>
  </si>
  <si>
    <t>Melting_Curves/meltCurve_P48960_2_CD97.pdf</t>
  </si>
  <si>
    <t>Melting_Curves/meltCurve_P49005_POLD2.pdf</t>
  </si>
  <si>
    <t>Melting_Curves/meltCurve_P49006_MARCKSL1.pdf</t>
  </si>
  <si>
    <t>Melting_Curves/meltCurve_P49069_CAMLG.pdf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</si>
  <si>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</si>
  <si>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</si>
  <si>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</si>
  <si>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</si>
  <si>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</si>
  <si>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</si>
  <si>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Melting_Curves/meltCurve_P49281_2_SLC11A2.pdf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</si>
  <si>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</si>
  <si>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</si>
  <si>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</si>
  <si>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</si>
  <si>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</si>
  <si>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</si>
  <si>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Melting_Curves/meltCurve_P49406_MRPL19.pdf</t>
  </si>
  <si>
    <t>Melting_Curves/meltCurve_P49411_TUFM.pdf</t>
  </si>
  <si>
    <t>Melting_Curves/meltCurve_P49427_CDC34.pdf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</si>
  <si>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</si>
  <si>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</si>
  <si>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</si>
  <si>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</si>
  <si>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</si>
  <si>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</si>
  <si>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</si>
  <si>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Melting_Curves/meltCurve_P49642_PRIM1.pdf</t>
  </si>
  <si>
    <t>Melting_Curves/meltCurve_P49643_PRIM2.pdf</t>
  </si>
  <si>
    <t>Melting_Curves/meltCurve_P49674_CSNK1E.pdf</t>
  </si>
  <si>
    <t>Melting_Curves/meltCurve_P49711_CTCF.pdf</t>
  </si>
  <si>
    <t>Melting_Curves/meltCurve_P49720_PSMB3.pdf</t>
  </si>
  <si>
    <t>Melting_Curves/meltCurve_P49721_PSMB2.pdf</t>
  </si>
  <si>
    <t>Melting_Curves/meltCurve_P49736_MCM2.pdf</t>
  </si>
  <si>
    <t>Melting_Curves/meltCurve_P49748_ACADVL.pdf</t>
  </si>
  <si>
    <t>Melting_Curves/meltCurve_P49750_4_YLPM1.pdf</t>
  </si>
  <si>
    <t>Melting_Curves/meltCurve_P49754_2_VPS41.pdf</t>
  </si>
  <si>
    <t>Melting_Curves/meltCurve_P49755_TMED10.pdf</t>
  </si>
  <si>
    <t>Melting_Curves/meltCurve_P49756_RBM25.pdf</t>
  </si>
  <si>
    <t>Melting_Curves/meltCurve_P49757_4_NUMB.pdf</t>
  </si>
  <si>
    <t>Melting_Curves/meltCurve_P49768_2_PSEN1.pdf</t>
  </si>
  <si>
    <t>Melting_Curves/meltCurve_P49770_EIF2B2.pdf</t>
  </si>
  <si>
    <t>Melting_Curves/meltCurve_P49773_HINT1.pdf</t>
  </si>
  <si>
    <t>Melting_Curves/meltCurve_P49789_FHIT.pdf</t>
  </si>
  <si>
    <t>Melting_Curves/meltCurve_P49790_NUP153.pdf</t>
  </si>
  <si>
    <t>Melting_Curves/meltCurve_P49792_RANBP2.pdf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</si>
  <si>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</si>
  <si>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</si>
  <si>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</si>
  <si>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</si>
  <si>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</si>
  <si>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</si>
  <si>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Melting_Curves/meltCurve_P49916_LIG3.pdf</t>
  </si>
  <si>
    <t>Melting_Curves/meltCurve_P49917_LIG4.pdf</t>
  </si>
  <si>
    <t>Melting_Curves/meltCurve_P49959_MRE11A.pdf</t>
  </si>
  <si>
    <t>Melting_Curves/meltCurve_P50053_KHK.pdf</t>
  </si>
  <si>
    <t>Melting_Curves/meltCurve_P50148_GNAQ.pdf</t>
  </si>
  <si>
    <t>Melting_Curves/meltCurve_P50150_GNG4.pdf</t>
  </si>
  <si>
    <t>Melting_Curves/meltCurve_P50151_GNG10.pdf</t>
  </si>
  <si>
    <t>Melting_Curves/meltCurve_P50213_IDH3A.pdf</t>
  </si>
  <si>
    <t>Melting_Curves/meltCurve_P50238_CRIP1.pdf</t>
  </si>
  <si>
    <t>Melting_Curves/meltCurve_P50336_PPOX.pdf</t>
  </si>
  <si>
    <t>Melting_Curves/meltCurve_P50402_EMD.pdf</t>
  </si>
  <si>
    <t>Melting_Curves/meltCurve_P50416_CPT1A.pdf</t>
  </si>
  <si>
    <t>Melting_Curves/meltCurve_P50440_3_GATM.pdf</t>
  </si>
  <si>
    <t>Melting_Curves/meltCurve_P50452_SERPINB8.pdf</t>
  </si>
  <si>
    <t>Melting_Curves/meltCurve_P50454_SERPINH1.pdf</t>
  </si>
  <si>
    <t>Melting_Curves/meltCurve_P50502_ST13.pdf</t>
  </si>
  <si>
    <t>Melting_Curves/meltCurve_P50552_VASP.pdf</t>
  </si>
  <si>
    <t>Melting_Curves/meltCurve_P50570_4_DNM2.pdf</t>
  </si>
  <si>
    <t>Melting_Curves/meltCurve_P50579_METAP2.pdf</t>
  </si>
  <si>
    <t>Melting_Curves/meltCurve_P50583_NUDT2.pdf</t>
  </si>
  <si>
    <t>Melting_Curves/meltCurve_P50747_HLCS.pdf</t>
  </si>
  <si>
    <t>Melting_Curves/meltCurve_P50748_KNTC1.pdf</t>
  </si>
  <si>
    <t>Melting_Curves/meltCurve_P50749_RASSF2.pdf</t>
  </si>
  <si>
    <t>Melting_Curves/meltCurve_P50750_CDK9.pdf</t>
  </si>
  <si>
    <t>Melting_Curves/meltCurve_P50851_LRBA.pdf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</si>
  <si>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</si>
  <si>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</si>
  <si>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</si>
  <si>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</si>
  <si>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</si>
  <si>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</si>
  <si>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</si>
  <si>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</si>
  <si>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</si>
  <si>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Melting_Curves/meltCurve_P51157_RAB28.pdf</t>
  </si>
  <si>
    <t>Melting_Curves/meltCurve_P51159_RAB27A.pdf</t>
  </si>
  <si>
    <t>Melting_Curves/meltCurve_P51398_2_DAP3.pdf</t>
  </si>
  <si>
    <t>Melting_Curves/meltCurve_P51452_DUSP3.pdf</t>
  </si>
  <si>
    <t>Melting_Curves/meltCurve_P51513_5_NOVA1.pdf</t>
  </si>
  <si>
    <t>Melting_Curves/meltCurve_P51531_SMARCA2.pdf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</si>
  <si>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</si>
  <si>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</si>
  <si>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</si>
  <si>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</si>
  <si>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</si>
  <si>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</si>
  <si>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</si>
  <si>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Melting_Curves/meltCurve_P51649_ALDH5A1.pdf</t>
  </si>
  <si>
    <t>Melting_Curves/meltCurve_P51659_HSD17B4.pdf</t>
  </si>
  <si>
    <t>Melting_Curves/meltCurve_P51665_PSMD7.pdf</t>
  </si>
  <si>
    <t>Melting_Curves/meltCurve_P51668_UBE2D1.pdf</t>
  </si>
  <si>
    <t>Melting_Curves/meltCurve_P51688_SGSH.pdf</t>
  </si>
  <si>
    <t>Melting_Curves/meltCurve_P51692_STAT5B.pdf</t>
  </si>
  <si>
    <t>Melting_Curves/meltCurve_P51790_4_CLCN3.pdf</t>
  </si>
  <si>
    <t>Melting_Curves/meltCurve_P51795_CLCN5.pdf</t>
  </si>
  <si>
    <t>Melting_Curves/meltCurve_P51797_CLCN6.pdf</t>
  </si>
  <si>
    <t>Melting_Curves/meltCurve_P51798_2_CLCN7.pdf</t>
  </si>
  <si>
    <t>Melting_Curves/meltCurve_P51809_VAMP7.pdf</t>
  </si>
  <si>
    <t>Melting_Curves/meltCurve_P51813_BMX.pdf</t>
  </si>
  <si>
    <t>Melting_Curves/meltCurve_P51858_HDGF.pdf</t>
  </si>
  <si>
    <t>Melting_Curves/meltCurve_P51948_2_MNAT1.pdf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</si>
  <si>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</si>
  <si>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</si>
  <si>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</si>
  <si>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</si>
  <si>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</si>
  <si>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</si>
  <si>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</si>
  <si>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Melting_Curves/meltCurve_P52435_POLR2J.pdf</t>
  </si>
  <si>
    <t>Melting_Curves/meltCurve_P52564_MAP2K6.pdf</t>
  </si>
  <si>
    <t>Melting_Curves/meltCurve_P52565_ARHGDIA.pdf</t>
  </si>
  <si>
    <t>Melting_Curves/meltCurve_P52566_ARHGDIB.pdf</t>
  </si>
  <si>
    <t>Melting_Curves/meltCurve_P52594_2_AGFG1.pdf</t>
  </si>
  <si>
    <t>Melting_Curves/meltCurve_P52597_HNRNPF.pdf</t>
  </si>
  <si>
    <t>Melting_Curves/meltCurve_P52630_4_STAT2.pdf</t>
  </si>
  <si>
    <t>Melting_Curves/meltCurve_P52655_GTF2A1.pdf</t>
  </si>
  <si>
    <t>Melting_Curves/meltCurve_P52732_KIF11.pdf</t>
  </si>
  <si>
    <t>Melting_Curves/meltCurve_P52735_3_VAV2.pdf</t>
  </si>
  <si>
    <t>Melting_Curves/meltCurve_P52756_RBM5.pdf</t>
  </si>
  <si>
    <t>Melting_Curves/meltCurve_P52758_HRSP12.pdf</t>
  </si>
  <si>
    <t>Melting_Curves/meltCurve_P52788_SMS.pdf</t>
  </si>
  <si>
    <t>Melting_Curves/meltCurve_P52789_HK2.pdf</t>
  </si>
  <si>
    <t>Melting_Curves/meltCurve_P52798_2_EFNA4.pdf</t>
  </si>
  <si>
    <t>Melting_Curves/meltCurve_P52815_MRPL12.pdf</t>
  </si>
  <si>
    <t>Melting_Curves/meltCurve_P52888_THOP1.pdf</t>
  </si>
  <si>
    <t>Melting_Curves/meltCurve_P52907_CAPZA1.pdf</t>
  </si>
  <si>
    <t>Melting_Curves/meltCurve_P52943_CRIP2.pdf</t>
  </si>
  <si>
    <t>Melting_Curves/meltCurve_P52948_5_NUP98.pdf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</si>
  <si>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</si>
  <si>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</si>
  <si>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</si>
  <si>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</si>
  <si>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</si>
  <si>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</si>
  <si>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</si>
  <si>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</si>
  <si>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Melting_Curves/meltCurve_P53567_CEBPG.pdf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</si>
  <si>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</si>
  <si>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</si>
  <si>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</si>
  <si>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</si>
  <si>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</si>
  <si>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</si>
  <si>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</si>
  <si>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</si>
  <si>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Melting_Curves/meltCurve_P53701_HCCS.pdf</t>
  </si>
  <si>
    <t>Melting_Curves/meltCurve_P53778_MAPK12.pdf</t>
  </si>
  <si>
    <t>Melting_Curves/meltCurve_P53794_SLC5A3.pdf</t>
  </si>
  <si>
    <t>Melting_Curves/meltCurve_P53801_PTTG1IP.pdf</t>
  </si>
  <si>
    <t>Melting_Curves/meltCurve_P53803_POLR2K.pdf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</si>
  <si>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</si>
  <si>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</si>
  <si>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</si>
  <si>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</si>
  <si>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Melting_Curves/meltCurve_P54098_POLG.pdf</t>
  </si>
  <si>
    <t>Melting_Curves/meltCurve_P54136_RARS.pdf</t>
  </si>
  <si>
    <t>Melting_Curves/meltCurve_P54259_ATN1.pdf</t>
  </si>
  <si>
    <t>Melting_Curves/meltCurve_P54278_PMS2.pdf</t>
  </si>
  <si>
    <t>Melting_Curves/meltCurve_P54577_YARS.pdf</t>
  </si>
  <si>
    <t>Melting_Curves/meltCurve_P54578_USP14.pdf</t>
  </si>
  <si>
    <t>Melting_Curves/meltCurve_P54619_2_PRKAG1.pdf</t>
  </si>
  <si>
    <t>Melting_Curves/meltCurve_P54652_HSPA2.pdf</t>
  </si>
  <si>
    <t>Melting_Curves/meltCurve_P54687_BCAT1.pdf</t>
  </si>
  <si>
    <t>Melting_Curves/meltCurve_P54709_ATP1B3.pdf</t>
  </si>
  <si>
    <t>Melting_Curves/meltCurve_P54710_2_FXYD2.pdf</t>
  </si>
  <si>
    <t>Melting_Curves/meltCurve_P54727_RAD23B.pdf</t>
  </si>
  <si>
    <t>Melting_Curves/meltCurve_P54819_AK2.pdf</t>
  </si>
  <si>
    <t>Melting_Curves/meltCurve_P54868_HMGCS2.pdf</t>
  </si>
  <si>
    <t>Melting_Curves/meltCurve_P54886_ALDH18A1.pdf</t>
  </si>
  <si>
    <t>Melting_Curves/meltCurve_P54920_NAPA.pdf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</si>
  <si>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</si>
  <si>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</si>
  <si>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</si>
  <si>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</si>
  <si>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</si>
  <si>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</si>
  <si>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</si>
  <si>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Melting_Curves/meltCurve_P55084_HADHB.pdf</t>
  </si>
  <si>
    <t>Melting_Curves/meltCurve_P55145_MANF.pdf</t>
  </si>
  <si>
    <t>Melting_Curves/meltCurve_P55160_NCKAP1L.pdf</t>
  </si>
  <si>
    <t>Melting_Curves/meltCurve_P55199_ELL.pdf</t>
  </si>
  <si>
    <t>Melting_Curves/meltCurve_P55210_CASP7.pdf</t>
  </si>
  <si>
    <t>Melting_Curves/meltCurve_P55212_CASP6.pdf</t>
  </si>
  <si>
    <t>Melting_Curves/meltCurve_P55263_ADK.pdf</t>
  </si>
  <si>
    <t>Melting_Curves/meltCurve_P55273_CDKN2D.pdf</t>
  </si>
  <si>
    <t>Melting_Curves/meltCurve_P55283_CDH4.pdf</t>
  </si>
  <si>
    <t>Melting_Curves/meltCurve_P55327_2_TPD52.pdf</t>
  </si>
  <si>
    <t>Melting_Curves/meltCurve_P55735_SEC13.pdf</t>
  </si>
  <si>
    <t>Melting_Curves/meltCurve_P55789_GFER.pdf</t>
  </si>
  <si>
    <t>Melting_Curves/meltCurve_P55795_HNRNPH2.pdf</t>
  </si>
  <si>
    <t>Melting_Curves/meltCurve_P55809_OXCT1.pdf</t>
  </si>
  <si>
    <t>Melting_Curves/meltCurve_P55884_EIF3B.pdf</t>
  </si>
  <si>
    <t>Melting_Curves/meltCurve_P55899_FCGRT.pdf</t>
  </si>
  <si>
    <t>Melting_Curves/meltCurve_P55957_BID.pdf</t>
  </si>
  <si>
    <t>Melting_Curves/meltCurve_P56134_3_ATP5J2.pdf</t>
  </si>
  <si>
    <t>Melting_Curves/meltCurve_P56159_2_GFRA1.pdf</t>
  </si>
  <si>
    <t>Melting_Curves/meltCurve_P56181_NDUFV3.pdf</t>
  </si>
  <si>
    <t>Melting_Curves/meltCurve_P56181_2_NDUFV3.pdf</t>
  </si>
  <si>
    <t>Melting_Curves/meltCurve_P56182_RRP1.pdf</t>
  </si>
  <si>
    <t>Melting_Curves/meltCurve_P56192_MARS.pdf</t>
  </si>
  <si>
    <t>Melting_Curves/meltCurve_P56199_ITGA1.pdf</t>
  </si>
  <si>
    <t>Melting_Curves/meltCurve_P56211_ARPP19.pdf</t>
  </si>
  <si>
    <t>Melting_Curves/meltCurve_P56270_2_MAZ.pdf</t>
  </si>
  <si>
    <t>Melting_Curves/meltCurve_P56277_CMC4.pdf</t>
  </si>
  <si>
    <t>Melting_Curves/meltCurve_P56282_POLE2.pdf</t>
  </si>
  <si>
    <t>Melting_Curves/meltCurve_P56377_AP1S2.pdf</t>
  </si>
  <si>
    <t>Melting_Curves/meltCurve_P56378_MP68.pdf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</si>
  <si>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</si>
  <si>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</si>
  <si>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</si>
  <si>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</si>
  <si>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Melting_Curves/meltCurve_P56556_NDUFA6.pdf</t>
  </si>
  <si>
    <t>Melting_Curves/meltCurve_P56559_ARL4C.pdf</t>
  </si>
  <si>
    <t>Melting_Curves/meltCurve_P56589_PEX3.pdf</t>
  </si>
  <si>
    <t>Melting_Curves/meltCurve_P56937_3_HSD17B7.pdf</t>
  </si>
  <si>
    <t>Melting_Curves/meltCurve_P56962_STX17.pdf</t>
  </si>
  <si>
    <t>Melting_Curves/meltCurve_P57075_2_UBASH3A.pdf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</si>
  <si>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</si>
  <si>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</si>
  <si>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</si>
  <si>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</si>
  <si>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</si>
  <si>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Melting_Curves/meltCurve_P57740_NUP107.pdf</t>
  </si>
  <si>
    <t>Melting_Curves/meltCurve_P57768_SNX16.pdf</t>
  </si>
  <si>
    <t>Melting_Curves/meltCurve_P57772_EEFSEC.pdf</t>
  </si>
  <si>
    <t>Melting_Curves/meltCurve_P58004_SESN2.pdf</t>
  </si>
  <si>
    <t>Melting_Curves/meltCurve_P58546_MTPN.pdf</t>
  </si>
  <si>
    <t>Melting_Curves/meltCurve_P58557_2_YBEY.pdf</t>
  </si>
  <si>
    <t>Melting_Curves/meltCurve_P59190_RAB15.pdf</t>
  </si>
  <si>
    <t>Melting_Curves/meltCurve_P60059_SEC61G.pdf</t>
  </si>
  <si>
    <t>Melting_Curves/meltCurve_P60174_TPI1.pdf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</si>
  <si>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</si>
  <si>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</si>
  <si>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</si>
  <si>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</si>
  <si>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</si>
  <si>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</si>
  <si>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</si>
  <si>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</si>
  <si>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</si>
  <si>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</si>
  <si>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Melting_Curves/meltCurve_P60880_2_SNAP25.pdf</t>
  </si>
  <si>
    <t>Melting_Curves/meltCurve_P60891_PRPS1.pdf</t>
  </si>
  <si>
    <t>Melting_Curves/meltCurve_P60896_SHFM1.pdf</t>
  </si>
  <si>
    <t>Melting_Curves/meltCurve_P60900_PSMA6.pdf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</si>
  <si>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</si>
  <si>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</si>
  <si>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</si>
  <si>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</si>
  <si>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</si>
  <si>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</si>
  <si>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</si>
  <si>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</si>
  <si>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</si>
  <si>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</si>
  <si>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</si>
  <si>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</si>
  <si>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</si>
  <si>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</si>
  <si>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</si>
  <si>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</si>
  <si>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</si>
  <si>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</si>
  <si>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</si>
  <si>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</si>
  <si>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</si>
  <si>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</si>
  <si>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</si>
  <si>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Melting_Curves/meltCurve_P61204_ARF3.pdf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</si>
  <si>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</si>
  <si>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</si>
  <si>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</si>
  <si>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</si>
  <si>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</si>
  <si>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</si>
  <si>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</si>
  <si>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</si>
  <si>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</si>
  <si>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</si>
  <si>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Melting_Curves/meltCurve_P61513_RPL37A.pdf</t>
  </si>
  <si>
    <t>Melting_Curves/meltCurve_P61586_RHOA.pdf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</si>
  <si>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</si>
  <si>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</si>
  <si>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</si>
  <si>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</si>
  <si>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Melting_Curves/meltCurve_P61769_B2M.pdf</t>
  </si>
  <si>
    <t>Melting_Curves/meltCurve_P61925_PKIA.pdf</t>
  </si>
  <si>
    <t>Melting_Curves/meltCurve_P61927_RPL37.pdf</t>
  </si>
  <si>
    <t>Melting_Curves/meltCurve_P61962_DCAF7.pdf</t>
  </si>
  <si>
    <t>Melting_Curves/meltCurve_P61964_WDR5.pdf</t>
  </si>
  <si>
    <t>Melting_Curves/meltCurve_P61966_AP1S1.pdf</t>
  </si>
  <si>
    <t>Melting_Curves/meltCurve_P61968_LMO4.pdf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</si>
  <si>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</si>
  <si>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</si>
  <si>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</si>
  <si>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</si>
  <si>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</si>
  <si>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</si>
  <si>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</si>
  <si>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</si>
  <si>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</si>
  <si>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</si>
  <si>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</si>
  <si>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</si>
  <si>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</si>
  <si>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</si>
  <si>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</si>
  <si>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</si>
  <si>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</si>
  <si>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</si>
  <si>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</si>
  <si>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</si>
  <si>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</si>
  <si>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</si>
  <si>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</si>
  <si>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</si>
  <si>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</si>
  <si>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</si>
  <si>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</si>
  <si>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</si>
  <si>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</si>
  <si>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</si>
  <si>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</si>
  <si>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Melting_Curves/meltCurve_P62341_SELT.pdf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</si>
  <si>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</si>
  <si>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</si>
  <si>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</si>
  <si>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</si>
  <si>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</si>
  <si>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</si>
  <si>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Melting_Curves/meltCurve_P62633_4_CNBP.pdf</t>
  </si>
  <si>
    <t>Melting_Curves/meltCurve_P62633_5_CNBP.pdf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</si>
  <si>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</si>
  <si>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</si>
  <si>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</si>
  <si>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</si>
  <si>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</si>
  <si>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</si>
  <si>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</si>
  <si>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</si>
  <si>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</si>
  <si>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</si>
  <si>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</si>
  <si>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</si>
  <si>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</si>
  <si>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</si>
  <si>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Melting_Curves/meltCurve_P62875_POLR2L.pdf</t>
  </si>
  <si>
    <t>Melting_Curves/meltCurve_P62877_RBX1.pdf</t>
  </si>
  <si>
    <t>Melting_Curves/meltCurve_P62879_GNB2.pdf</t>
  </si>
  <si>
    <t>Melting_Curves/meltCurve_P62888_RPL30.pdf</t>
  </si>
  <si>
    <t>Melting_Curves/meltCurve_P62899_RPL31.pdf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</si>
  <si>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</si>
  <si>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</si>
  <si>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</si>
  <si>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</si>
  <si>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</si>
  <si>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</si>
  <si>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</si>
  <si>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</si>
  <si>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</si>
  <si>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</si>
  <si>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</si>
  <si>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Melting_Curves/meltCurve_P63092_3_GNAS.pdf</t>
  </si>
  <si>
    <t>Melting_Curves/meltCurve_P63104_YWHAZ.pdf</t>
  </si>
  <si>
    <t>Melting_Curves/meltCurve_P63146_UBE2B.pdf</t>
  </si>
  <si>
    <t>Melting_Curves/meltCurve_P63151_PPP2R2A.pdf</t>
  </si>
  <si>
    <t>Melting_Curves/meltCurve_P63167_DYNLL1.pdf</t>
  </si>
  <si>
    <t>Melting_Curves/meltCurve_P63172_DYNLT1.pdf</t>
  </si>
  <si>
    <t>Melting_Curves/meltCurve_P63173_RPL38.pdf</t>
  </si>
  <si>
    <t>Melting_Curves/meltCurve_P63218_GNG5.pdf</t>
  </si>
  <si>
    <t>Melting_Curves/meltCurve_P63220_RPS21.pdf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</si>
  <si>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</si>
  <si>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</si>
  <si>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</si>
  <si>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</si>
  <si>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Melting_Curves/meltCurve_P67775_PPP2CA.pdf</t>
  </si>
  <si>
    <t>Melting_Curves/meltCurve_P67809_YBX1.pdf</t>
  </si>
  <si>
    <t>Melting_Curves/meltCurve_P67936_TPM4.pdf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</si>
  <si>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</si>
  <si>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</si>
  <si>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</si>
  <si>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</si>
  <si>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</si>
  <si>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</si>
  <si>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Melting_Curves/meltCurve_P68871_HBB.pdf</t>
  </si>
  <si>
    <t>Melting_Curves/meltCurve_P69905_HBA1.pdf</t>
  </si>
  <si>
    <t>Melting_Curves/meltCurve_P78316_NOP14.pdf</t>
  </si>
  <si>
    <t>Melting_Curves/meltCurve_P78318_IGBP1.pdf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</si>
  <si>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</si>
  <si>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</si>
  <si>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</si>
  <si>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</si>
  <si>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</si>
  <si>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</si>
  <si>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Melting_Curves/meltCurve_P78362_SRPK2.pdf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</si>
  <si>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</si>
  <si>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</si>
  <si>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</si>
  <si>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</si>
  <si>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Melting_Curves/meltCurve_P78536_ADAM17.pdf</t>
  </si>
  <si>
    <t>Melting_Curves/meltCurve_P78537_2_BLOC1S1.pdf</t>
  </si>
  <si>
    <t>Melting_Curves/meltCurve_P78540_ARG2.pdf</t>
  </si>
  <si>
    <t>Melting_Curves/meltCurve_P78549_NTHL1.pdf</t>
  </si>
  <si>
    <t>Melting_Curves/meltCurve_P79522_2_PRR3.pdf</t>
  </si>
  <si>
    <t>Melting_Curves/meltCurve_P80217_IFI35.pdf</t>
  </si>
  <si>
    <t>Melting_Curves/meltCurve_P80297_MT1X.pdf</t>
  </si>
  <si>
    <t>Melting_Curves/meltCurve_P80303_NUCB2.pdf</t>
  </si>
  <si>
    <t>Melting_Curves/meltCurve_P81605_DCD.pdf</t>
  </si>
  <si>
    <t>Melting_Curves/meltCurve_P82094_TMF1.pdf</t>
  </si>
  <si>
    <t>Melting_Curves/meltCurve_P82664_MRPS10.pdf</t>
  </si>
  <si>
    <t>Melting_Curves/meltCurve_P82673_MRPS35.pdf</t>
  </si>
  <si>
    <t>Melting_Curves/meltCurve_P82909_MRPS36.pdf</t>
  </si>
  <si>
    <t>Melting_Curves/meltCurve_P82912_2_MRPS11.pdf</t>
  </si>
  <si>
    <t>Melting_Curves/meltCurve_P82921_MRPS21.pdf</t>
  </si>
  <si>
    <t>Melting_Curves/meltCurve_P82932_MRPS6.pdf</t>
  </si>
  <si>
    <t>Melting_Curves/meltCurve_P82933_MRPS9.pdf</t>
  </si>
  <si>
    <t>Melting_Curves/meltCurve_P82979_SARNP.pdf</t>
  </si>
  <si>
    <t>Melting_Curves/meltCurve_P83111_LACTB.pdf</t>
  </si>
  <si>
    <t>Melting_Curves/meltCurve_P83436_COG7.pdf</t>
  </si>
  <si>
    <t>Melting_Curves/meltCurve_P83876_TXNL4A.pdf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</si>
  <si>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</si>
  <si>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</si>
  <si>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</si>
  <si>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</si>
  <si>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Melting_Curves/meltCurve_P84157_2_MXRA7.pdf</t>
  </si>
  <si>
    <t>Melting_Curves/meltCurve_P85037_FOXK1.pdf</t>
  </si>
  <si>
    <t>Melting_Curves/meltCurve_P86791_CCZ1.pdf</t>
  </si>
  <si>
    <t>Melting_Curves/meltCurve_P98155_2_VLDLR.pdf</t>
  </si>
  <si>
    <t>Melting_Curves/meltCurve_P98160_HSPG2.pdf</t>
  </si>
  <si>
    <t>Melting_Curves/meltCurve_P98170_XIAP.pdf</t>
  </si>
  <si>
    <t>Melting_Curves/meltCurve_P98172_EFNB1.pdf</t>
  </si>
  <si>
    <t>Melting_Curves/meltCurve_P98175_2_RBM10.pdf</t>
  </si>
  <si>
    <t>Melting_Curves/meltCurve_P98179_RBM3.pdf</t>
  </si>
  <si>
    <t>Melting_Curves/meltCurve_Q00013_2_MPP1.pdf</t>
  </si>
  <si>
    <t>Melting_Curves/meltCurve_Q00059_TFAM.pdf</t>
  </si>
  <si>
    <t>Melting_Curves/meltCurve_Q00169_PITPNA.pdf</t>
  </si>
  <si>
    <t>Melting_Curves/meltCurve_Q00266_MAT1A.pdf</t>
  </si>
  <si>
    <t>Melting_Curves/meltCurve_Q00325_2_SLC25A3.pdf</t>
  </si>
  <si>
    <t>Melting_Curves/meltCurve_Q00341_HDLBP.pdf</t>
  </si>
  <si>
    <t>Melting_Curves/meltCurve_Q00403_GTF2B.pdf</t>
  </si>
  <si>
    <t>Melting_Curves/meltCurve_Q00526_CDK3.pdf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</si>
  <si>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</si>
  <si>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</si>
  <si>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</si>
  <si>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</si>
  <si>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</si>
  <si>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</si>
  <si>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</si>
  <si>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</si>
  <si>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</si>
  <si>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</si>
  <si>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</si>
  <si>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</si>
  <si>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</si>
  <si>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</si>
  <si>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Melting_Curves/meltCurve_Q01105_2_SET.pdf</t>
  </si>
  <si>
    <t>Melting_Curves/meltCurve_Q01151_CD83.pdf</t>
  </si>
  <si>
    <t>Melting_Curves/meltCurve_Q01167_FOXK2.pdf</t>
  </si>
  <si>
    <t>Melting_Curves/meltCurve_Q01196_RUNX1.pdf</t>
  </si>
  <si>
    <t>Melting_Curves/meltCurve_Q01415_GALK2.pdf</t>
  </si>
  <si>
    <t>Melting_Curves/meltCurve_Q01432_AMPD3.pdf</t>
  </si>
  <si>
    <t>Melting_Curves/meltCurve_Q01433_AMPD2.pdf</t>
  </si>
  <si>
    <t>Melting_Curves/meltCurve_Q01459_CTBS.pdf</t>
  </si>
  <si>
    <t>Melting_Curves/meltCurve_Q01469_FABP5.pdf</t>
  </si>
  <si>
    <t>Melting_Curves/meltCurve_Q01518_2_CAP1.pdf</t>
  </si>
  <si>
    <t>Melting_Curves/meltCurve_Q01543_FLI1.pdf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</si>
  <si>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</si>
  <si>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</si>
  <si>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</si>
  <si>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</si>
  <si>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</si>
  <si>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Melting_Curves/meltCurve_Q01813_PFKP.pdf</t>
  </si>
  <si>
    <t>Melting_Curves/meltCurve_Q01826_SATB1.pdf</t>
  </si>
  <si>
    <t>Melting_Curves/meltCurve_Q01968_OCRL.pdf</t>
  </si>
  <si>
    <t>Melting_Curves/meltCurve_Q01970_PLCB3.pdf</t>
  </si>
  <si>
    <t>Melting_Curves/meltCurve_Q02040_AKAP17A.pdf</t>
  </si>
  <si>
    <t>Melting_Curves/meltCurve_Q02078_3_MEF2A.pdf</t>
  </si>
  <si>
    <t>Melting_Curves/meltCurve_Q02083_2_NAAA.pdf</t>
  </si>
  <si>
    <t>Melting_Curves/meltCurve_Q02108_2_GUCY1A3.pdf</t>
  </si>
  <si>
    <t>Melting_Curves/meltCurve_Q02127_DHODH.pdf</t>
  </si>
  <si>
    <t>Melting_Curves/meltCurve_Q02224_3_CENPE.pdf</t>
  </si>
  <si>
    <t>Melting_Curves/meltCurve_Q02241_KIF23.pdf</t>
  </si>
  <si>
    <t>Melting_Curves/meltCurve_Q02252_ALDH6A1.pdf</t>
  </si>
  <si>
    <t>Melting_Curves/meltCurve_Q02338_BDH1.pdf</t>
  </si>
  <si>
    <t>Melting_Curves/meltCurve_Q02383_SEMG2.pdf</t>
  </si>
  <si>
    <t>Melting_Curves/meltCurve_Q02410_APBA1.pdf</t>
  </si>
  <si>
    <t>Melting_Curves/meltCurve_Q02446_SP4.pdf</t>
  </si>
  <si>
    <t>Melting_Curves/meltCurve_Q02447_3_SP3.pdf</t>
  </si>
  <si>
    <t>Melting_Curves/meltCurve_Q02535_ID3.pdf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</si>
  <si>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</si>
  <si>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</si>
  <si>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</si>
  <si>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</si>
  <si>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</si>
  <si>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Melting_Curves/meltCurve_Q02880_2_TOP2B.pdf</t>
  </si>
  <si>
    <t>Melting_Curves/meltCurve_Q03013_GSTM4.pdf</t>
  </si>
  <si>
    <t>Melting_Curves/meltCurve_Q03111_MLLT1.pdf</t>
  </si>
  <si>
    <t>Melting_Curves/meltCurve_Q03405_PLAUR.pdf</t>
  </si>
  <si>
    <t>Melting_Curves/meltCurve_Q03519_TAP2.pdf</t>
  </si>
  <si>
    <t>Melting_Curves/meltCurve_Q04446_GBE1.pdf</t>
  </si>
  <si>
    <t>Melting_Curves/meltCurve_Q04656_5_ATP7A.pdf</t>
  </si>
  <si>
    <t>Melting_Curves/meltCurve_Q04721_NOTCH2.pdf</t>
  </si>
  <si>
    <t>Melting_Curves/meltCurve_Q04759_PRKCQ.pdf</t>
  </si>
  <si>
    <t>Melting_Curves/meltCurve_Q04760_2_GLO1.pdf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</si>
  <si>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</si>
  <si>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</si>
  <si>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</si>
  <si>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</si>
  <si>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</si>
  <si>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Melting_Curves/meltCurve_Q05193_3_DNM1.pdf</t>
  </si>
  <si>
    <t>Melting_Curves/meltCurve_Q05519_2_SRSF11.pdf</t>
  </si>
  <si>
    <t>Melting_Curves/meltCurve_Q05639_EEF1A2.pdf</t>
  </si>
  <si>
    <t>Melting_Curves/meltCurve_Q05655_PRKCD.pdf</t>
  </si>
  <si>
    <t>Melting_Curves/meltCurve_Q05932_3_FPGS.pdf</t>
  </si>
  <si>
    <t>Melting_Curves/meltCurve_Q06124_PTPN11.pdf</t>
  </si>
  <si>
    <t>Melting_Curves/meltCurve_Q06136_KDSR.pdf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</si>
  <si>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</si>
  <si>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</si>
  <si>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</si>
  <si>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</si>
  <si>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Melting_Curves/meltCurve_Q06330_4_RBPJ.pdf</t>
  </si>
  <si>
    <t>Melting_Curves/meltCurve_Q06481_APLP2.pdf</t>
  </si>
  <si>
    <t>Melting_Curves/meltCurve_Q06546_GABPA.pdf</t>
  </si>
  <si>
    <t>Melting_Curves/meltCurve_Q06547_2_GABPB1.pdf</t>
  </si>
  <si>
    <t>Melting_Curves/meltCurve_Q06587_RING1.pdf</t>
  </si>
  <si>
    <t>Melting_Curves/meltCurve_Q06609_RAD51.pdf</t>
  </si>
  <si>
    <t>Melting_Curves/meltCurve_Q06787_6_FMR1.pdf</t>
  </si>
  <si>
    <t>Melting_Curves/meltCurve_Q06830_PRDX1.pdf</t>
  </si>
  <si>
    <t>Melting_Curves/meltCurve_Q06945_SOX4.pdf</t>
  </si>
  <si>
    <t>Melting_Curves/meltCurve_Q07021_C1QBP.pdf</t>
  </si>
  <si>
    <t>Melting_Curves/meltCurve_Q07065_CKAP4.pdf</t>
  </si>
  <si>
    <t>Melting_Curves/meltCurve_Q07108_CD69.pdf</t>
  </si>
  <si>
    <t>Melting_Curves/meltCurve_Q07617_SPAG1.pdf</t>
  </si>
  <si>
    <t>Melting_Curves/meltCurve_Q07666_KHDRBS1.pdf</t>
  </si>
  <si>
    <t>Melting_Curves/meltCurve_Q07812_5_BAX.pdf</t>
  </si>
  <si>
    <t>Melting_Curves/meltCurve_Q07820_2_MCL1.pdf</t>
  </si>
  <si>
    <t>Melting_Curves/meltCurve_Q07866_3_KLC1.pdf</t>
  </si>
  <si>
    <t>Melting_Curves/meltCurve_Q07866_6_KLC1.pdf</t>
  </si>
  <si>
    <t>Melting_Curves/meltCurve_Q07954_LRP1.pdf</t>
  </si>
  <si>
    <t>Melting_Curves/meltCurve_Q07960_ARHGAP1.pdf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</si>
  <si>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</si>
  <si>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</si>
  <si>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</si>
  <si>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</si>
  <si>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Melting_Curves/meltCurve_Q08357_SLC20A2.pdf</t>
  </si>
  <si>
    <t>Melting_Curves/meltCurve_Q08378_GOLGA3.pdf</t>
  </si>
  <si>
    <t>Melting_Curves/meltCurve_Q08379_GOLGA2.pdf</t>
  </si>
  <si>
    <t>Melting_Curves/meltCurve_Q08380_LGALS3BP.pdf</t>
  </si>
  <si>
    <t>Melting_Curves/meltCurve_Q08554_2_DSC1.pdf</t>
  </si>
  <si>
    <t>Melting_Curves/meltCurve_Q08722_CD47.pdf</t>
  </si>
  <si>
    <t>Melting_Curves/meltCurve_Q08752_PPID.pdf</t>
  </si>
  <si>
    <t>Melting_Curves/meltCurve_Q08881_ITK.pdf</t>
  </si>
  <si>
    <t>Melting_Curves/meltCurve_Q08945_SSRP1.pdf</t>
  </si>
  <si>
    <t>Melting_Curves/meltCurve_Q08AD1_2_CAMSAP2.pdf</t>
  </si>
  <si>
    <t>Melting_Curves/meltCurve_Q08AF3_SLFN5.pdf</t>
  </si>
  <si>
    <t>Melting_Curves/meltCurve_Q08AG7_MZT1.pdf</t>
  </si>
  <si>
    <t>Melting_Curves/meltCurve_Q08AM6_VAC14.pdf</t>
  </si>
  <si>
    <t>Melting_Curves/meltCurve_Q08J23_NSUN2.pdf</t>
  </si>
  <si>
    <t>Melting_Curves/meltCurve_Q09028_3_RBBP4.pdf</t>
  </si>
  <si>
    <t>Melting_Curves/meltCurve_Q09161_NCBP1.pdf</t>
  </si>
  <si>
    <t>Melting_Curves/meltCurve_Q09328_MGAT5.pdf</t>
  </si>
  <si>
    <t>Melting_Curves/meltCurve_Q09472_EP300.pdf</t>
  </si>
  <si>
    <t>Melting_Curves/meltCurve_Q09666_AHNAK.pdf</t>
  </si>
  <si>
    <t>Melting_Curves/meltCurve_Q0PNE2_ELP6.pdf</t>
  </si>
  <si>
    <t>Melting_Curves/meltCurve_Q0VD83_APOBR.pdf</t>
  </si>
  <si>
    <t>Melting_Curves/meltCurve_Q0VDF9_HSPA14.pdf</t>
  </si>
  <si>
    <t>Melting_Curves/meltCurve_Q0VDG4_SCRN3.pdf</t>
  </si>
  <si>
    <t>Melting_Curves/meltCurve_Q0VGL1_LAMTOR4.pdf</t>
  </si>
  <si>
    <t>Melting_Curves/meltCurve_Q10469_MGAT2.pdf</t>
  </si>
  <si>
    <t>Melting_Curves/meltCurve_Q10471_GALNT2.pdf</t>
  </si>
  <si>
    <t>Melting_Curves/meltCurve_Q10567_2_AP1B1.pdf</t>
  </si>
  <si>
    <t>Melting_Curves/meltCurve_Q10570_CPSF1.pdf</t>
  </si>
  <si>
    <t>Melting_Curves/meltCurve_Q10589_BST2.pdf</t>
  </si>
  <si>
    <t>Melting_Curves/meltCurve_Q10713_PMPCA.pdf</t>
  </si>
  <si>
    <t>Melting_Curves/meltCurve_Q12765_SCRN1.pdf</t>
  </si>
  <si>
    <t>Melting_Curves/meltCurve_Q12768_KIAA0196.pdf</t>
  </si>
  <si>
    <t>Melting_Curves/meltCurve_Q12769_NUP160.pdf</t>
  </si>
  <si>
    <t>Melting_Curves/meltCurve_Q12788_TBL3.pdf</t>
  </si>
  <si>
    <t>Melting_Curves/meltCurve_Q12789_3_GTF3C1.pdf</t>
  </si>
  <si>
    <t>Melting_Curves/meltCurve_Q12792_TWF1.pdf</t>
  </si>
  <si>
    <t>Melting_Curves/meltCurve_Q12797_10_ASPH.pdf</t>
  </si>
  <si>
    <t>Melting_Curves/meltCurve_Q12802_4_AKAP13.pdf</t>
  </si>
  <si>
    <t>Melting_Curves/meltCurve_Q12824_2_SMARCB1.pdf</t>
  </si>
  <si>
    <t>Melting_Curves/meltCurve_Q12834_CDC20.pdf</t>
  </si>
  <si>
    <t>Melting_Curves/meltCurve_Q12846_STX4.pdf</t>
  </si>
  <si>
    <t>Melting_Curves/meltCurve_Q12872_SFSWAP.pdf</t>
  </si>
  <si>
    <t>Melting_Curves/meltCurve_Q12874_SF3A3.pdf</t>
  </si>
  <si>
    <t>Melting_Curves/meltCurve_Q12882_DPYD.pdf</t>
  </si>
  <si>
    <t>Melting_Curves/meltCurve_Q12888_TP53BP1.pdf</t>
  </si>
  <si>
    <t>Melting_Curves/meltCurve_Q12893_TMEM115.pdf</t>
  </si>
  <si>
    <t>Melting_Curves/meltCurve_Q12899_TRIM26.pdf</t>
  </si>
  <si>
    <t>Melting_Curves/meltCurve_Q12904_AIMP1.pdf</t>
  </si>
  <si>
    <t>Melting_Curves/meltCurve_Q12905_ILF2.pdf</t>
  </si>
  <si>
    <t>Melting_Curves/meltCurve_Q12906_7_ILF3.pdf</t>
  </si>
  <si>
    <t>Melting_Curves/meltCurve_Q12907_LMAN2.pdf</t>
  </si>
  <si>
    <t>Melting_Curves/meltCurve_Q12912_2_LRMP.pdf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</si>
  <si>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</si>
  <si>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</si>
  <si>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</si>
  <si>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</si>
  <si>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</si>
  <si>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</si>
  <si>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</si>
  <si>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</si>
  <si>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Melting_Curves/meltCurve_Q12996_CSTF3.pdf</t>
  </si>
  <si>
    <t>Melting_Curves/meltCurve_Q13011_ECH1.pdf</t>
  </si>
  <si>
    <t>Melting_Curves/meltCurve_Q13015_MLLT11.pdf</t>
  </si>
  <si>
    <t>Melting_Curves/meltCurve_Q13017_2_ARHGAP5.pdf</t>
  </si>
  <si>
    <t>Melting_Curves/meltCurve_Q13033_2_STRN3.pdf</t>
  </si>
  <si>
    <t>Melting_Curves/meltCurve_Q13042_3_CDC16.pdf</t>
  </si>
  <si>
    <t>Melting_Curves/meltCurve_Q13043_STK4.pdf</t>
  </si>
  <si>
    <t>Melting_Curves/meltCurve_Q13045_2_FLII.pdf</t>
  </si>
  <si>
    <t>Melting_Curves/meltCurve_Q13049_TRIM32.pdf</t>
  </si>
  <si>
    <t>Melting_Curves/meltCurve_Q13057_COASY.pdf</t>
  </si>
  <si>
    <t>Melting_Curves/meltCurve_Q13085_ACACA.pdf</t>
  </si>
  <si>
    <t>Melting_Curves/meltCurve_Q13094_LCP2.pdf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</si>
  <si>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</si>
  <si>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</si>
  <si>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</si>
  <si>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</si>
  <si>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</si>
  <si>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</si>
  <si>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</si>
  <si>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</si>
  <si>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Melting_Curves/meltCurve_Q13153_PAK1.pdf</t>
  </si>
  <si>
    <t>Melting_Curves/meltCurve_Q13155_AIMP2.pdf</t>
  </si>
  <si>
    <t>Melting_Curves/meltCurve_Q13158_FADD.pdf</t>
  </si>
  <si>
    <t>Melting_Curves/meltCurve_Q13162_PRDX4.pdf</t>
  </si>
  <si>
    <t>Melting_Curves/meltCurve_Q13163_4_MAP2K5.pdf</t>
  </si>
  <si>
    <t>Melting_Curves/meltCurve_Q13177_PAK2.pdf</t>
  </si>
  <si>
    <t>Melting_Curves/meltCurve_Q13185_CBX3.pdf</t>
  </si>
  <si>
    <t>Melting_Curves/meltCurve_Q13188_STK3.pdf</t>
  </si>
  <si>
    <t>Melting_Curves/meltCurve_Q13190_2_STX5.pdf</t>
  </si>
  <si>
    <t>Melting_Curves/meltCurve_Q13200_PSMD2.pdf</t>
  </si>
  <si>
    <t>Melting_Curves/meltCurve_Q13216_ERCC8.pdf</t>
  </si>
  <si>
    <t>Melting_Curves/meltCurve_Q13217_DNAJC3.pdf</t>
  </si>
  <si>
    <t>Melting_Curves/meltCurve_Q13242_SRSF9.pdf</t>
  </si>
  <si>
    <t>Melting_Curves/meltCurve_Q13243_SRSF5.pdf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</si>
  <si>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</si>
  <si>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</si>
  <si>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</si>
  <si>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</si>
  <si>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</si>
  <si>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</si>
  <si>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Melting_Curves/meltCurve_Q13303_KCNAB2.pdf</t>
  </si>
  <si>
    <t>Melting_Curves/meltCurve_Q13303_3_KCNAB2.pdf</t>
  </si>
  <si>
    <t>Melting_Curves/meltCurve_Q13308_PTK7.pdf</t>
  </si>
  <si>
    <t>Melting_Curves/meltCurve_Q13309_SKP2.pdf</t>
  </si>
  <si>
    <t>Melting_Curves/meltCurve_Q13310_3_PABPC4.pdf</t>
  </si>
  <si>
    <t>Melting_Curves/meltCurve_Q13325_IFIT5.pdf</t>
  </si>
  <si>
    <t>Melting_Curves/meltCurve_Q13330_3_MTA1.pdf</t>
  </si>
  <si>
    <t>Melting_Curves/meltCurve_Q13332_6_PTPRS.pdf</t>
  </si>
  <si>
    <t>Melting_Curves/meltCurve_Q13347_EIF3I.pdf</t>
  </si>
  <si>
    <t>Melting_Curves/meltCurve_Q13356_PPIL2.pdf</t>
  </si>
  <si>
    <t>Melting_Curves/meltCurve_Q13362_3_PPP2R5C.pdf</t>
  </si>
  <si>
    <t>Melting_Curves/meltCurve_Q13362_4_PPP2R5C.pdf</t>
  </si>
  <si>
    <t>Melting_Curves/meltCurve_Q13363_CTBP1.pdf</t>
  </si>
  <si>
    <t>Melting_Curves/meltCurve_Q13367_AP3B2.pdf</t>
  </si>
  <si>
    <t>Melting_Curves/meltCurve_Q13371_PDCL.pdf</t>
  </si>
  <si>
    <t>Melting_Curves/meltCurve_Q13395_TARBP1.pdf</t>
  </si>
  <si>
    <t>Melting_Curves/meltCurve_Q13405_MRPL49.pdf</t>
  </si>
  <si>
    <t>Melting_Curves/meltCurve_Q13409_3_DYNC1I2.pdf</t>
  </si>
  <si>
    <t>Melting_Curves/meltCurve_Q13416_ORC2.pdf</t>
  </si>
  <si>
    <t>Melting_Curves/meltCurve_Q13418_ILK.pdf</t>
  </si>
  <si>
    <t>Melting_Curves/meltCurve_Q13422_IKZF1.pdf</t>
  </si>
  <si>
    <t>Melting_Curves/meltCurve_Q13423_NNT.pdf</t>
  </si>
  <si>
    <t>Melting_Curves/meltCurve_Q13425_SNTB2.pdf</t>
  </si>
  <si>
    <t>Melting_Curves/meltCurve_Q13426_XRCC4.pdf</t>
  </si>
  <si>
    <t>Melting_Curves/meltCurve_Q13427_PPIG.pdf</t>
  </si>
  <si>
    <t>Melting_Curves/meltCurve_Q13428_3_TCOF1.pdf</t>
  </si>
  <si>
    <t>Melting_Curves/meltCurve_Q13432_2_UNC119.pdf</t>
  </si>
  <si>
    <t>Melting_Curves/meltCurve_Q13433_SLC39A6.pdf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</si>
  <si>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</si>
  <si>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</si>
  <si>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</si>
  <si>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</si>
  <si>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Melting_Curves/meltCurve_Q13443_ADAM9.pdf</t>
  </si>
  <si>
    <t>Melting_Curves/meltCurve_Q13445_TMED1.pdf</t>
  </si>
  <si>
    <t>Melting_Curves/meltCurve_Q13451_FKBP5.pdf</t>
  </si>
  <si>
    <t>Melting_Curves/meltCurve_Q13464_ROCK1.pdf</t>
  </si>
  <si>
    <t>Melting_Curves/meltCurve_Q13469_3_NFATC2.pdf</t>
  </si>
  <si>
    <t>Melting_Curves/meltCurve_Q13472_2_TOP3A.pdf</t>
  </si>
  <si>
    <t>Melting_Curves/meltCurve_Q13492_2_PICALM.pdf</t>
  </si>
  <si>
    <t>Melting_Curves/meltCurve_Q13496_MTM1.pdf</t>
  </si>
  <si>
    <t>Melting_Curves/meltCurve_Q13501_SQSTM1.pdf</t>
  </si>
  <si>
    <t>Melting_Curves/meltCurve_Q13503_MED21.pdf</t>
  </si>
  <si>
    <t>Melting_Curves/meltCurve_Q13505_3_MTX1.pdf</t>
  </si>
  <si>
    <t>Melting_Curves/meltCurve_Q13506_NAB1.pdf</t>
  </si>
  <si>
    <t>Melting_Curves/meltCurve_Q13509_TUBB3.pdf</t>
  </si>
  <si>
    <t>Melting_Curves/meltCurve_Q13526_PIN1.pdf</t>
  </si>
  <si>
    <t>Melting_Curves/meltCurve_Q13541_EIF4EBP1.pdf</t>
  </si>
  <si>
    <t>Melting_Curves/meltCurve_Q13542_EIF4EBP2.pdf</t>
  </si>
  <si>
    <t>Melting_Curves/meltCurve_Q13547_HDAC1.pdf</t>
  </si>
  <si>
    <t>Melting_Curves/meltCurve_Q13564_NAE1.pdf</t>
  </si>
  <si>
    <t>Melting_Curves/meltCurve_Q13571_LAPTM5.pdf</t>
  </si>
  <si>
    <t>Melting_Curves/meltCurve_Q13572_ITPK1.pdf</t>
  </si>
  <si>
    <t>Melting_Curves/meltCurve_Q13573_SNW1.pdf</t>
  </si>
  <si>
    <t>Melting_Curves/meltCurve_Q13574_DGKZ.pdf</t>
  </si>
  <si>
    <t>Melting_Curves/meltCurve_Q13576_IQGAP2.pdf</t>
  </si>
  <si>
    <t>Melting_Curves/meltCurve_Q13586_STIM1.pdf</t>
  </si>
  <si>
    <t>Melting_Curves/meltCurve_Q13588_GRAP.pdf</t>
  </si>
  <si>
    <t>Melting_Curves/meltCurve_Q13596_SNX1.pdf</t>
  </si>
  <si>
    <t>Melting_Curves/meltCurve_Q13608_PEX6.pdf</t>
  </si>
  <si>
    <t>Melting_Curves/meltCurve_Q13610_PWP1.pdf</t>
  </si>
  <si>
    <t>Melting_Curves/meltCurve_Q13614_MTMR2.pdf</t>
  </si>
  <si>
    <t>Melting_Curves/meltCurve_Q13615_3_MTMR3.pdf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</si>
  <si>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</si>
  <si>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</si>
  <si>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</si>
  <si>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</si>
  <si>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Melting_Curves/meltCurve_Q13625_2_TP53BP2.pdf</t>
  </si>
  <si>
    <t>Melting_Curves/meltCurve_Q13627_2_DYRK1A.pdf</t>
  </si>
  <si>
    <t>Melting_Curves/meltCurve_Q13630_TSTA3.pdf</t>
  </si>
  <si>
    <t>Melting_Curves/meltCurve_Q13642_1_FHL1.pdf</t>
  </si>
  <si>
    <t>Melting_Curves/meltCurve_Q13643_FHL3.pdf</t>
  </si>
  <si>
    <t>Melting_Curves/meltCurve_Q13686_ALKBH1.pdf</t>
  </si>
  <si>
    <t>Melting_Curves/meltCurve_Q13724_MOGS.pdf</t>
  </si>
  <si>
    <t>Melting_Curves/meltCurve_Q13740_2_ALCAM.pdf</t>
  </si>
  <si>
    <t>Melting_Curves/meltCurve_Q13769_THOC5.pdf</t>
  </si>
  <si>
    <t>Melting_Curves/meltCurve_Q13795_ARFRP1.pdf</t>
  </si>
  <si>
    <t>Melting_Curves/meltCurve_Q13813_SPTAN1.pdf</t>
  </si>
  <si>
    <t>Melting_Curves/meltCurve_Q13813_2_SPTAN1.pdf</t>
  </si>
  <si>
    <t>Melting_Curves/meltCurve_Q13825_AUH.pdf</t>
  </si>
  <si>
    <t>Melting_Curves/meltCurve_Q13838_DDX39B.pdf</t>
  </si>
  <si>
    <t>Melting_Curves/meltCurve_Q13867_BLMH.pdf</t>
  </si>
  <si>
    <t>Melting_Curves/meltCurve_Q13868_EXOSC2.pdf</t>
  </si>
  <si>
    <t>Melting_Curves/meltCurve_Q13884_SNTB1.pdf</t>
  </si>
  <si>
    <t>Melting_Curves/meltCurve_Q13885_TUBB2A.pdf</t>
  </si>
  <si>
    <t>Melting_Curves/meltCurve_Q13895_BYSL.pdf</t>
  </si>
  <si>
    <t>Melting_Curves/meltCurve_Q13905_RAPGEF1.pdf</t>
  </si>
  <si>
    <t>Melting_Curves/meltCurve_Q13907_IDI1.pdf</t>
  </si>
  <si>
    <t>Melting_Curves/meltCurve_Q13948_CUX1.pdf</t>
  </si>
  <si>
    <t>Melting_Curves/meltCurve_Q13951_CBFB.pdf</t>
  </si>
  <si>
    <t>Melting_Curves/meltCurve_Q13951_2_CBFB.pdf</t>
  </si>
  <si>
    <t>Melting_Curves/meltCurve_Q13952_3_NFYC.pdf</t>
  </si>
  <si>
    <t>Melting_Curves/meltCurve_Q14005_3_IL16.pdf</t>
  </si>
  <si>
    <t>Melting_Curves/meltCurve_Q14008_2_CKAP5.pdf</t>
  </si>
  <si>
    <t>Melting_Curves/meltCurve_Q14011_CIRBP.pdf</t>
  </si>
  <si>
    <t>Melting_Curves/meltCurve_Q14019_COTL1.pdf</t>
  </si>
  <si>
    <t>Melting_Curves/meltCurve_Q14061_COX17.pdf</t>
  </si>
  <si>
    <t>Melting_Curves/meltCurve_Q14088_RAB33A.pdf</t>
  </si>
  <si>
    <t>Melting_Curves/meltCurve_Q14103_3_HNRNPD.pdf</t>
  </si>
  <si>
    <t>Melting_Curves/meltCurve_Q14103_4_HNRNPD.pdf</t>
  </si>
  <si>
    <t>Melting_Curves/meltCurve_Q14108_SCARB2.pdf</t>
  </si>
  <si>
    <t>Melting_Curves/meltCurve_Q14114_LRP8.pdf</t>
  </si>
  <si>
    <t>Melting_Curves/meltCurve_Q14117_DPYS.pdf</t>
  </si>
  <si>
    <t>Melting_Curves/meltCurve_Q14118_DAG1.pdf</t>
  </si>
  <si>
    <t>Melting_Curves/meltCurve_Q14126_DSG2.pdf</t>
  </si>
  <si>
    <t>Melting_Curves/meltCurve_Q14135_VGLL4.pdf</t>
  </si>
  <si>
    <t>Melting_Curves/meltCurve_Q14137_BOP1.pdf</t>
  </si>
  <si>
    <t>Melting_Curves/meltCurve_Q14139_UBE4A.pdf</t>
  </si>
  <si>
    <t>Melting_Curves/meltCurve_Q14145_KEAP1.pdf</t>
  </si>
  <si>
    <t>Melting_Curves/meltCurve_Q14146_URB2.pdf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</si>
  <si>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</si>
  <si>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</si>
  <si>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</si>
  <si>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</si>
  <si>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Melting_Curves/meltCurve_Q14153_FAM53B.pdf</t>
  </si>
  <si>
    <t>Melting_Curves/meltCurve_Q14157_1_UBAP2L.pdf</t>
  </si>
  <si>
    <t>Melting_Curves/meltCurve_Q14157_3_UBAP2L.pdf</t>
  </si>
  <si>
    <t>Melting_Curves/meltCurve_Q14160_SCRIB.pdf</t>
  </si>
  <si>
    <t>Melting_Curves/meltCurve_Q14161_GIT2.pdf</t>
  </si>
  <si>
    <t>Melting_Curves/meltCurve_Q14165_MLEC.pdf</t>
  </si>
  <si>
    <t>Melting_Curves/meltCurve_Q14166_TTLL12.pdf</t>
  </si>
  <si>
    <t>Melting_Curves/meltCurve_Q14181_POLA2.pdf</t>
  </si>
  <si>
    <t>Melting_Curves/meltCurve_Q14183_DOC2A.pdf</t>
  </si>
  <si>
    <t>Melting_Curves/meltCurve_Q14186_TFDP1.pdf</t>
  </si>
  <si>
    <t>Melting_Curves/meltCurve_Q14188_TFDP2.pdf</t>
  </si>
  <si>
    <t>Melting_Curves/meltCurve_Q14204_DYNC1H1.pdf</t>
  </si>
  <si>
    <t>Melting_Curves/meltCurve_Q14232_EIF2B1.pdf</t>
  </si>
  <si>
    <t>Melting_Curves/meltCurve_Q14240_EIF4A2.pdf</t>
  </si>
  <si>
    <t>Melting_Curves/meltCurve_Q14241_TCEB3.pdf</t>
  </si>
  <si>
    <t>Melting_Curves/meltCurve_Q14242_SELPLG.pdf</t>
  </si>
  <si>
    <t>Melting_Curves/meltCurve_Q14247_CTTN.pdf</t>
  </si>
  <si>
    <t>Melting_Curves/meltCurve_Q14247_2_CTTN.pdf</t>
  </si>
  <si>
    <t>Melting_Curves/meltCurve_Q14249_ENDOG.pdf</t>
  </si>
  <si>
    <t>Melting_Curves/meltCurve_Q14254_FLOT2.pdf</t>
  </si>
  <si>
    <t>Melting_Curves/meltCurve_Q14257_RCN2.pdf</t>
  </si>
  <si>
    <t>Melting_Curves/meltCurve_Q14258_TRIM25.pdf</t>
  </si>
  <si>
    <t>Melting_Curves/meltCurve_Q14289_2_PTK2B.pdf</t>
  </si>
  <si>
    <t>Melting_Curves/meltCurve_Q14318_2_FKBP8.pdf</t>
  </si>
  <si>
    <t>Melting_Curves/meltCurve_Q14320_FAM50A.pdf</t>
  </si>
  <si>
    <t>Melting_Curves/meltCurve_Q14331_FRG1.pdf</t>
  </si>
  <si>
    <t>Melting_Curves/meltCurve_Q14344_GNA13.pdf</t>
  </si>
  <si>
    <t>Melting_Curves/meltCurve_Q14353_GAMT.pdf</t>
  </si>
  <si>
    <t>Melting_Curves/meltCurve_Q14376_GALE.pdf</t>
  </si>
  <si>
    <t>Melting_Curves/meltCurve_Q14444_CAPRIN1.pdf</t>
  </si>
  <si>
    <t>Melting_Curves/meltCurve_Q14457_BECN1.pdf</t>
  </si>
  <si>
    <t>Melting_Curves/meltCurve_Q14469_HES1.pdf</t>
  </si>
  <si>
    <t>Melting_Curves/meltCurve_Q14498_2_RBM39.pdf</t>
  </si>
  <si>
    <t>Melting_Curves/meltCurve_Q14517_FAT1.pdf</t>
  </si>
  <si>
    <t>Melting_Curves/meltCurve_Q14520_2_HABP2.pdf</t>
  </si>
  <si>
    <t>Melting_Curves/meltCurve_Q14527_HLTF.pdf</t>
  </si>
  <si>
    <t>Melting_Curves/meltCurve_Q14534_SQLE.pdf</t>
  </si>
  <si>
    <t>Melting_Curves/meltCurve_Q14554_PDIA5.pdf</t>
  </si>
  <si>
    <t>Melting_Curves/meltCurve_Q14558_2_PRPSAP1.pdf</t>
  </si>
  <si>
    <t>Melting_Curves/meltCurve_Q14562_DHX8.pdf</t>
  </si>
  <si>
    <t>Melting_Curves/meltCurve_Q14566_MCM6.pdf</t>
  </si>
  <si>
    <t>Melting_Curves/meltCurve_Q14644_RASA3.pdf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</si>
  <si>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</si>
  <si>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</si>
  <si>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</si>
  <si>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</si>
  <si>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Melting_Curves/meltCurve_Q14676_MDC1.pdf</t>
  </si>
  <si>
    <t>Melting_Curves/meltCurve_Q14677_CLINT1.pdf</t>
  </si>
  <si>
    <t>Melting_Curves/meltCurve_Q14677_3_CLINT1.pdf</t>
  </si>
  <si>
    <t>Melting_Curves/meltCurve_Q14681_KCTD2.pdf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</si>
  <si>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</si>
  <si>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</si>
  <si>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</si>
  <si>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</si>
  <si>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Melting_Curves/meltCurve_Q14690_PDCD11.pdf</t>
  </si>
  <si>
    <t>Melting_Curves/meltCurve_Q14691_GINS1.pdf</t>
  </si>
  <si>
    <t>Melting_Curves/meltCurve_Q14692_BMS1.pdf</t>
  </si>
  <si>
    <t>Melting_Curves/meltCurve_Q14693_LPIN1.pdf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</si>
  <si>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</si>
  <si>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</si>
  <si>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</si>
  <si>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</si>
  <si>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Melting_Curves/meltCurve_Q14699_RFTN1.pdf</t>
  </si>
  <si>
    <t>Melting_Curves/meltCurve_Q14739_LBR.pdf</t>
  </si>
  <si>
    <t>Melting_Curves/meltCurve_Q14746_2_COG2.pdf</t>
  </si>
  <si>
    <t>Melting_Curves/meltCurve_Q14761_PTPRCAP.pdf</t>
  </si>
  <si>
    <t>Melting_Curves/meltCurve_Q14764_MVP.pdf</t>
  </si>
  <si>
    <t>Melting_Curves/meltCurve_Q14789_GOLGB1.pdf</t>
  </si>
  <si>
    <t>Melting_Curves/meltCurve_Q14790_2_CASP8.pdf</t>
  </si>
  <si>
    <t>Melting_Curves/meltCurve_Q147X3_NAA30.pdf</t>
  </si>
  <si>
    <t>Melting_Curves/meltCurve_Q14807_KIF22.pdf</t>
  </si>
  <si>
    <t>Melting_Curves/meltCurve_Q14847_LASP1.pdf</t>
  </si>
  <si>
    <t>Melting_Curves/meltCurve_Q14894_CRYM.pdf</t>
  </si>
  <si>
    <t>Melting_Curves/meltCurve_Q14964_RAB39A.pdf</t>
  </si>
  <si>
    <t>Melting_Curves/meltCurve_Q14966_ZNF638.pdf</t>
  </si>
  <si>
    <t>Melting_Curves/meltCurve_Q14974_KPNB1.pdf</t>
  </si>
  <si>
    <t>Melting_Curves/meltCurve_Q14978_2_NOLC1.pdf</t>
  </si>
  <si>
    <t>Melting_Curves/meltCurve_Q14980_2_NUMA1.pdf</t>
  </si>
  <si>
    <t>Melting_Curves/meltCurve_Q14990_ODF1.pdf</t>
  </si>
  <si>
    <t>Melting_Curves/meltCurve_Q14997_PSME4.pdf</t>
  </si>
  <si>
    <t>Melting_Curves/meltCurve_Q14BN4_2_SLMAP.pdf</t>
  </si>
  <si>
    <t>Melting_Curves/meltCurve_Q14C86_5_GAPVD1.pdf</t>
  </si>
  <si>
    <t>Melting_Curves/meltCurve_Q14CX7_NAA25.pdf</t>
  </si>
  <si>
    <t>Melting_Curves/meltCurve_Q15003_NCAPH.pdf</t>
  </si>
  <si>
    <t>Melting_Curves/meltCurve_Q15004_KIAA0101.pdf</t>
  </si>
  <si>
    <t>Melting_Curves/meltCurve_Q15006_EMC2.pdf</t>
  </si>
  <si>
    <t>Melting_Curves/meltCurve_Q15007_WTAP.pdf</t>
  </si>
  <si>
    <t>Melting_Curves/meltCurve_Q15008_PSMD6.pdf</t>
  </si>
  <si>
    <t>Melting_Curves/meltCurve_Q15011_3_HERPUD1.pdf</t>
  </si>
  <si>
    <t>Melting_Curves/meltCurve_Q15013_MAD2L1BP.pdf</t>
  </si>
  <si>
    <t>Melting_Curves/meltCurve_Q15014_MORF4L2.pdf</t>
  </si>
  <si>
    <t>Melting_Curves/meltCurve_Q15018_FAM175B.pdf</t>
  </si>
  <si>
    <t>Melting_Curves/meltCurve_Q15019_2_SEPT2.pdf</t>
  </si>
  <si>
    <t>Melting_Curves/meltCurve_Q15020_SART3.pdf</t>
  </si>
  <si>
    <t>Melting_Curves/meltCurve_Q15021_NCAPD2.pdf</t>
  </si>
  <si>
    <t>Melting_Curves/meltCurve_Q15022_SUZ12.pdf</t>
  </si>
  <si>
    <t>Melting_Curves/meltCurve_Q15024_EXOSC7.pdf</t>
  </si>
  <si>
    <t>Melting_Curves/meltCurve_Q15027_ACAP1.pdf</t>
  </si>
  <si>
    <t>Melting_Curves/meltCurve_Q15029_2_EFTUD2.pdf</t>
  </si>
  <si>
    <t>Melting_Curves/meltCurve_Q15031_LARS2.pdf</t>
  </si>
  <si>
    <t>Melting_Curves/meltCurve_Q15032_2_R3HDM1.pdf</t>
  </si>
  <si>
    <t>Melting_Curves/meltCurve_Q15036_2_SNX17.pdf</t>
  </si>
  <si>
    <t>Melting_Curves/meltCurve_Q15042_RAB3GAP1.pdf</t>
  </si>
  <si>
    <t>Melting_Curves/meltCurve_Q15043_2_SLC39A14.pdf</t>
  </si>
  <si>
    <t>Melting_Curves/meltCurve_Q15046_KARS.pdf</t>
  </si>
  <si>
    <t>Melting_Curves/meltCurve_Q15050_RRS1.pdf</t>
  </si>
  <si>
    <t>Melting_Curves/meltCurve_Q15052_ARHGEF6.pdf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</si>
  <si>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</si>
  <si>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</si>
  <si>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</si>
  <si>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</si>
  <si>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</si>
  <si>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</si>
  <si>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</si>
  <si>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</si>
  <si>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</si>
  <si>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Melting_Curves/meltCurve_Q15118_PDK1.pdf</t>
  </si>
  <si>
    <t>Melting_Curves/meltCurve_Q15119_PDK2.pdf</t>
  </si>
  <si>
    <t>Melting_Curves/meltCurve_Q15120_PDK3.pdf</t>
  </si>
  <si>
    <t>Melting_Curves/meltCurve_Q15125_EBP.pdf</t>
  </si>
  <si>
    <t>Melting_Curves/meltCurve_Q15126_PMVK.pdf</t>
  </si>
  <si>
    <t>Melting_Curves/meltCurve_Q15149_PLEC.pdf</t>
  </si>
  <si>
    <t>Melting_Curves/meltCurve_Q15149_3_PLEC.pdf</t>
  </si>
  <si>
    <t>Melting_Curves/meltCurve_Q15154_2_PCM1.pdf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</si>
  <si>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</si>
  <si>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</si>
  <si>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</si>
  <si>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</si>
  <si>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</si>
  <si>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</si>
  <si>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Melting_Curves/meltCurve_Q15223_PVRL1.pdf</t>
  </si>
  <si>
    <t>Melting_Curves/meltCurve_Q15233_NONO.pdf</t>
  </si>
  <si>
    <t>Melting_Curves/meltCurve_Q15257_PPP2R4.pdf</t>
  </si>
  <si>
    <t>Melting_Curves/meltCurve_Q15269_PWP2.pdf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</si>
  <si>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</si>
  <si>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</si>
  <si>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</si>
  <si>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</si>
  <si>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</si>
  <si>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</si>
  <si>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</si>
  <si>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</si>
  <si>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</si>
  <si>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Melting_Curves/meltCurve_Q15363_TMED2.pdf</t>
  </si>
  <si>
    <t>Melting_Curves/meltCurve_Q15365_PCBP1.pdf</t>
  </si>
  <si>
    <t>Melting_Curves/meltCurve_Q15366_2_PCBP2.pdf</t>
  </si>
  <si>
    <t>Melting_Curves/meltCurve_Q15366_3_PCBP2.pdf</t>
  </si>
  <si>
    <t>Melting_Curves/meltCurve_Q15370_TCEB2.pdf</t>
  </si>
  <si>
    <t>Melting_Curves/meltCurve_Q15382_RHEB.pdf</t>
  </si>
  <si>
    <t>Melting_Curves/meltCurve_Q15386_UBE3C.pdf</t>
  </si>
  <si>
    <t>Melting_Curves/meltCurve_Q15393_SF3B3.pdf</t>
  </si>
  <si>
    <t>Melting_Curves/meltCurve_Q15398_3_DLGAP5.pdf</t>
  </si>
  <si>
    <t>Melting_Curves/meltCurve_Q15404_RSU1.pdf</t>
  </si>
  <si>
    <t>Melting_Curves/meltCurve_Q15417_CNN3.pdf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</si>
  <si>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</si>
  <si>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</si>
  <si>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</si>
  <si>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</si>
  <si>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</si>
  <si>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</si>
  <si>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</si>
  <si>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Melting_Curves/meltCurve_Q15477_SKIV2L.pdf</t>
  </si>
  <si>
    <t>Melting_Curves/meltCurve_Q15506_SPA17.pdf</t>
  </si>
  <si>
    <t>Melting_Curves/meltCurve_Q15526_2_SURF1.pdf</t>
  </si>
  <si>
    <t>Melting_Curves/meltCurve_Q15527_SURF2.pdf</t>
  </si>
  <si>
    <t>Melting_Curves/meltCurve_Q15542_TAF5.pdf</t>
  </si>
  <si>
    <t>Melting_Curves/meltCurve_Q15544_TAF11.pdf</t>
  </si>
  <si>
    <t>Melting_Curves/meltCurve_Q15545_TAF7.pdf</t>
  </si>
  <si>
    <t>Melting_Curves/meltCurve_Q15554_TERF2.pdf</t>
  </si>
  <si>
    <t>Melting_Curves/meltCurve_Q15555_4_MAPRE2.pdf</t>
  </si>
  <si>
    <t>Melting_Curves/meltCurve_Q15560_2_TCEA2.pdf</t>
  </si>
  <si>
    <t>Melting_Curves/meltCurve_Q15596_NCOA2.pdf</t>
  </si>
  <si>
    <t>Melting_Curves/meltCurve_Q15599_SLC9A3R2.pdf</t>
  </si>
  <si>
    <t>Melting_Curves/meltCurve_Q15628_TRADD.pdf</t>
  </si>
  <si>
    <t>Melting_Curves/meltCurve_Q15637_5_SF1.pdf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</si>
  <si>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</si>
  <si>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</si>
  <si>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</si>
  <si>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</si>
  <si>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</si>
  <si>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</si>
  <si>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Melting_Curves/meltCurve_Q15652_3_JMJD1C.pdf</t>
  </si>
  <si>
    <t>Melting_Curves/meltCurve_Q15691_MAPRE1.pdf</t>
  </si>
  <si>
    <t>Melting_Curves/meltCurve_Q15714_TSC22D1.pdf</t>
  </si>
  <si>
    <t>Melting_Curves/meltCurve_Q15717_ELAVL1.pdf</t>
  </si>
  <si>
    <t>Melting_Curves/meltCurve_Q15738_NSDHL.pdf</t>
  </si>
  <si>
    <t>Melting_Curves/meltCurve_Q15742_3_NAB2.pdf</t>
  </si>
  <si>
    <t>Melting_Curves/meltCurve_Q15743_GPR68.pdf</t>
  </si>
  <si>
    <t>Melting_Curves/meltCurve_Q15746_4_MYLK.pdf</t>
  </si>
  <si>
    <t>Melting_Curves/meltCurve_Q15750_2_TAB1.pdf</t>
  </si>
  <si>
    <t>Melting_Curves/meltCurve_Q15751_HERC1.pdf</t>
  </si>
  <si>
    <t>Melting_Curves/meltCurve_Q15758_SLC1A5.pdf</t>
  </si>
  <si>
    <t>Melting_Curves/meltCurve_Q15759_MAPK11.pdf</t>
  </si>
  <si>
    <t>Melting_Curves/meltCurve_Q15773_MLF2.pdf</t>
  </si>
  <si>
    <t>Melting_Curves/meltCurve_Q15777_2_MPPED2.pdf</t>
  </si>
  <si>
    <t>Melting_Curves/meltCurve_Q15785_TOMM34.pdf</t>
  </si>
  <si>
    <t>Melting_Curves/meltCurve_Q15796_2_SMAD2.pdf</t>
  </si>
  <si>
    <t>Melting_Curves/meltCurve_Q15800_MSMO1.pdf</t>
  </si>
  <si>
    <t>Melting_Curves/meltCurve_Q15813_TBCE.pdf</t>
  </si>
  <si>
    <t>Melting_Curves/meltCurve_Q15814_TBCC.pdf</t>
  </si>
  <si>
    <t>Melting_Curves/meltCurve_Q15819_UBE2V2.pdf</t>
  </si>
  <si>
    <t>Melting_Curves/meltCurve_Q15831_2_STK11.pdf</t>
  </si>
  <si>
    <t>Melting_Curves/meltCurve_Q15833_STXBP2.pdf</t>
  </si>
  <si>
    <t>Melting_Curves/meltCurve_Q15834_CCDC85B.pdf</t>
  </si>
  <si>
    <t>Melting_Curves/meltCurve_Q15836_VAMP3.pdf</t>
  </si>
  <si>
    <t>Melting_Curves/meltCurve_Q15853_2_USF2.pdf</t>
  </si>
  <si>
    <t>Melting_Curves/meltCurve_Q15904_ATP6AP1.pdf</t>
  </si>
  <si>
    <t>Melting_Curves/meltCurve_Q15906_VPS72.pdf</t>
  </si>
  <si>
    <t>Melting_Curves/meltCurve_Q15907_RAB11B.pdf</t>
  </si>
  <si>
    <t>Melting_Curves/meltCurve_Q15910_EZH2.pdf</t>
  </si>
  <si>
    <t>Melting_Curves/meltCurve_Q15942_ZYX.pdf</t>
  </si>
  <si>
    <t>Melting_Curves/meltCurve_Q15973_4_ZNF124.pdf</t>
  </si>
  <si>
    <t>Melting_Curves/meltCurve_Q16134_ETFDH.pdf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</si>
  <si>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</si>
  <si>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</si>
  <si>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</si>
  <si>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</si>
  <si>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</si>
  <si>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</si>
  <si>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Melting_Curves/meltCurve_Q16401_2_PSMD5.pdf</t>
  </si>
  <si>
    <t>Melting_Curves/meltCurve_Q16512_PKN1.pdf</t>
  </si>
  <si>
    <t>Melting_Curves/meltCurve_Q16513_2_PKN2.pdf</t>
  </si>
  <si>
    <t>Melting_Curves/meltCurve_Q16514_2_TAF12.pdf</t>
  </si>
  <si>
    <t>Melting_Curves/meltCurve_Q16526_CRY1.pdf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</si>
  <si>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</si>
  <si>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</si>
  <si>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</si>
  <si>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</si>
  <si>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Melting_Curves/meltCurve_Q16566_CAMK4.pdf</t>
  </si>
  <si>
    <t>Melting_Curves/meltCurve_Q16576_RBBP7.pdf</t>
  </si>
  <si>
    <t>Melting_Curves/meltCurve_Q16587_5_ZNF74.pdf</t>
  </si>
  <si>
    <t>Melting_Curves/meltCurve_Q16594_TAF9.pdf</t>
  </si>
  <si>
    <t>Melting_Curves/meltCurve_Q16625_4_OCLN.pdf</t>
  </si>
  <si>
    <t>Melting_Curves/meltCurve_Q16626_MEA1.pdf</t>
  </si>
  <si>
    <t>Melting_Curves/meltCurve_Q16643_DBN1.pdf</t>
  </si>
  <si>
    <t>Melting_Curves/meltCurve_Q16644_MAPKAPK3.pdf</t>
  </si>
  <si>
    <t>Melting_Curves/meltCurve_Q16656_2_NRF1.pdf</t>
  </si>
  <si>
    <t>Melting_Curves/meltCurve_Q16658_FSCN1.pdf</t>
  </si>
  <si>
    <t>Melting_Curves/meltCurve_Q16666_2_IFI16.pdf</t>
  </si>
  <si>
    <t>Melting_Curves/meltCurve_Q16670_2_ZSCAN26.pdf</t>
  </si>
  <si>
    <t>Melting_Curves/meltCurve_Q16706_MAN2A1.pdf</t>
  </si>
  <si>
    <t>Melting_Curves/meltCurve_Q16718_NDUFA5.pdf</t>
  </si>
  <si>
    <t>Melting_Curves/meltCurve_Q16740_CLPP.pdf</t>
  </si>
  <si>
    <t>Melting_Curves/meltCurve_Q16762_TST.pdf</t>
  </si>
  <si>
    <t>Melting_Curves/meltCurve_Q16763_UBE2S.pdf</t>
  </si>
  <si>
    <t>Melting_Curves/meltCurve_Q16775_HAGH.pdf</t>
  </si>
  <si>
    <t>Melting_Curves/meltCurve_Q16778_HIST2H2BE.pdf</t>
  </si>
  <si>
    <t>Melting_Curves/meltCurve_Q16795_NDUFA9.pdf</t>
  </si>
  <si>
    <t>Melting_Curves/meltCurve_Q16822_PCK2.pdf</t>
  </si>
  <si>
    <t>Melting_Curves/meltCurve_Q16854_DGUOK.pdf</t>
  </si>
  <si>
    <t>Melting_Curves/meltCurve_Q16864_ATP6V1F.pdf</t>
  </si>
  <si>
    <t>Melting_Curves/meltCurve_Q16891_2_IMMT.pdf</t>
  </si>
  <si>
    <t>Melting_Curves/meltCurve_Q17R31_2_TATDN3.pdf</t>
  </si>
  <si>
    <t>Melting_Curves/meltCurve_Q17RN3_FAM98C.pdf</t>
  </si>
  <si>
    <t>Melting_Curves/meltCurve_Q17RU2_REL.pdf</t>
  </si>
  <si>
    <t>Melting_Curves/meltCurve_Q1KMD3_HNRNPUL2.pdf</t>
  </si>
  <si>
    <t>Melting_Curves/meltCurve_Q1MSJ5_1_CSPP1.pdf</t>
  </si>
  <si>
    <t>Melting_Curves/meltCurve_Q27J81_2_INF2.pdf</t>
  </si>
  <si>
    <t>Melting_Curves/meltCurve_Q29718_HLA_B.pdf</t>
  </si>
  <si>
    <t>Melting_Curves/meltCurve_Q29940_HLA_B.pdf</t>
  </si>
  <si>
    <t>Melting_Curves/meltCurve_Q29963_HLA_C.pdf</t>
  </si>
  <si>
    <t>Melting_Curves/meltCurve_Q29RF7_PDS5A.pdf</t>
  </si>
  <si>
    <t>Melting_Curves/meltCurve_Q2KHT3_CLEC16A.pdf</t>
  </si>
  <si>
    <t>Melting_Curves/meltCurve_Q2M296_2_MTHFSD.pdf</t>
  </si>
  <si>
    <t>Melting_Curves/meltCurve_Q2M2I8_2_AAK1.pdf</t>
  </si>
  <si>
    <t>Melting_Curves/meltCurve_Q2M389_KIAA1033.pdf</t>
  </si>
  <si>
    <t>Melting_Curves/meltCurve_Q2NKX8_ERCC6L.pdf</t>
  </si>
  <si>
    <t>Melting_Curves/meltCurve_Q2NL82_TSR1.pdf</t>
  </si>
  <si>
    <t>Melting_Curves/meltCurve_Q2NL98_VMAC.pdf</t>
  </si>
  <si>
    <t>Melting_Curves/meltCurve_Q2PZI1_DPY19L1.pdf</t>
  </si>
  <si>
    <t>Melting_Curves/meltCurve_Q2T9J0_TYSND1.pdf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</si>
  <si>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</si>
  <si>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</si>
  <si>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</si>
  <si>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</si>
  <si>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Melting_Curves/meltCurve_Q2VPB7_AP5B1.pdf</t>
  </si>
  <si>
    <t>Melting_Curves/meltCurve_Q2VPS2_STX1B.pdf</t>
  </si>
  <si>
    <t>Melting_Curves/meltCurve_Q32MZ4_2_LRRFIP1.pdf</t>
  </si>
  <si>
    <t>Melting_Curves/meltCurve_Q32MZ4_3_LRRFIP1.pdf</t>
  </si>
  <si>
    <t>Melting_Curves/meltCurve_Q32MZ4_4_LRRFIP1.pdf</t>
  </si>
  <si>
    <t>Melting_Curves/meltCurve_Q32MZ9_POLD3.pdf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</si>
  <si>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</si>
  <si>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</si>
  <si>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</si>
  <si>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</si>
  <si>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Melting_Curves/meltCurve_Q3B7J2_GFOD2.pdf</t>
  </si>
  <si>
    <t>Melting_Curves/meltCurve_Q3B7T1_5_EDRF1.pdf</t>
  </si>
  <si>
    <t>Melting_Curves/meltCurve_Q3KQU3_4_MAP7D1.pdf</t>
  </si>
  <si>
    <t>Melting_Curves/meltCurve_Q3KQV9_UAP1L1.pdf</t>
  </si>
  <si>
    <t>Melting_Curves/meltCurve_Q3KRA6_C2orf76.pdf</t>
  </si>
  <si>
    <t>Melting_Curves/meltCurve_Q3KRA9_ALKBH6.pdf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</si>
  <si>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</si>
  <si>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</si>
  <si>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</si>
  <si>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</si>
  <si>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</si>
  <si>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Melting_Curves/meltCurve_Q3SXY8_ARL13B.pdf</t>
  </si>
  <si>
    <t>Melting_Curves/meltCurve_Q3T906_GNPTAB.pdf</t>
  </si>
  <si>
    <t>Melting_Curves/meltCurve_Q3V6T2_2_CCDC88A.pdf</t>
  </si>
  <si>
    <t>Melting_Curves/meltCurve_Q3YEC7_RABL6.pdf</t>
  </si>
  <si>
    <t>Melting_Curves/meltCurve_Q3ZAQ7_VMA21.pdf</t>
  </si>
  <si>
    <t>Melting_Curves/meltCurve_Q3ZCM7_TUBB8.pdf</t>
  </si>
  <si>
    <t>Melting_Curves/meltCurve_Q3ZCQ8_TIMM50.pdf</t>
  </si>
  <si>
    <t>Melting_Curves/meltCurve_Q3ZCW2_LGALSL.pdf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</si>
  <si>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</si>
  <si>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</si>
  <si>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</si>
  <si>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</si>
  <si>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</si>
  <si>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</si>
  <si>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</si>
  <si>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</si>
  <si>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</si>
  <si>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</si>
  <si>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</si>
  <si>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Melting_Curves/meltCurve_Q4KWH8_3_PLCH1.pdf</t>
  </si>
  <si>
    <t>Melting_Curves/meltCurve_Q4LDG9_DNAL1.pdf</t>
  </si>
  <si>
    <t>Melting_Curves/meltCurve_Q4LE39_3_ARID4B.pdf</t>
  </si>
  <si>
    <t>Melting_Curves/meltCurve_Q4TT34_NME4.pdf</t>
  </si>
  <si>
    <t>Melting_Curves/meltCurve_Q4V328_GRIPAP1.pdf</t>
  </si>
  <si>
    <t>Melting_Curves/meltCurve_Q4VC05_BCL7A.pdf</t>
  </si>
  <si>
    <t>Melting_Curves/meltCurve_Q4VC05_2_BCL7A.pdf</t>
  </si>
  <si>
    <t>Melting_Curves/meltCurve_Q4VXZ8_DECR2.pdf</t>
  </si>
  <si>
    <t>Melting_Curves/meltCurve_Q4ZIN3_2_TMEM259.pdf</t>
  </si>
  <si>
    <t>Melting_Curves/meltCurve_Q504Q3_2_PAN2.pdf</t>
  </si>
  <si>
    <t>Melting_Curves/meltCurve_Q504U0_C4orf46.pdf</t>
  </si>
  <si>
    <t>Melting_Curves/meltCurve_Q52LA3_LIN52.pdf</t>
  </si>
  <si>
    <t>Melting_Curves/meltCurve_Q52LJ0_2_FAM98B.pdf</t>
  </si>
  <si>
    <t>Melting_Curves/meltCurve_Q53EL6_2_PDCD4.pdf</t>
  </si>
  <si>
    <t>Melting_Curves/meltCurve_Q53ET0_CRTC2.pdf</t>
  </si>
  <si>
    <t>Melting_Curves/meltCurve_Q53EU6_AGPAT9.pdf</t>
  </si>
  <si>
    <t>Melting_Curves/meltCurve_Q53EZ4_CEP55.pdf</t>
  </si>
  <si>
    <t>Melting_Curves/meltCurve_Q53F19_C17orf85.pdf</t>
  </si>
  <si>
    <t>Melting_Curves/meltCurve_Q53FA7_TP53I3.pdf</t>
  </si>
  <si>
    <t>Melting_Curves/meltCurve_Q53GL0_2_PLEKHO1.pdf</t>
  </si>
  <si>
    <t>Melting_Curves/meltCurve_Q53GQ0_HSD17B12.pdf</t>
  </si>
  <si>
    <t>Melting_Curves/meltCurve_Q53GS7_2_GLE1.pdf</t>
  </si>
  <si>
    <t>Melting_Curves/meltCurve_Q53H12_AGK.pdf</t>
  </si>
  <si>
    <t>Melting_Curves/meltCurve_Q53H47_SETMAR.pdf</t>
  </si>
  <si>
    <t>Melting_Curves/meltCurve_Q53H80_AKIRIN2.pdf</t>
  </si>
  <si>
    <t>Melting_Curves/meltCurve_Q53H82_LACTB2.pdf</t>
  </si>
  <si>
    <t>Melting_Curves/meltCurve_Q53H96_PYCRL.pdf</t>
  </si>
  <si>
    <t>Melting_Curves/meltCurve_Q53QZ3_ARHGAP15.pdf</t>
  </si>
  <si>
    <t>Melting_Curves/meltCurve_Q53R41_FASTKD1.pdf</t>
  </si>
  <si>
    <t>Melting_Curves/meltCurve_Q53S33_BOLA3.pdf</t>
  </si>
  <si>
    <t>Melting_Curves/meltCurve_Q53T59_HS1BP3.pdf</t>
  </si>
  <si>
    <t>Melting_Curves/meltCurve_Q53TN4_3_CYBRD1.pdf</t>
  </si>
  <si>
    <t>Melting_Curves/meltCurve_Q562F6_2_SGOL2.pdf</t>
  </si>
  <si>
    <t>Melting_Curves/meltCurve_Q562R1_ACTBL2.pdf</t>
  </si>
  <si>
    <t>Melting_Curves/meltCurve_Q567Q0_PPIA.pdf</t>
  </si>
  <si>
    <t>Melting_Curves/meltCurve_Q567V2_2_MPV17L2.pdf</t>
  </si>
  <si>
    <t>Melting_Curves/meltCurve_Q56VL3_OCIAD2.pdf</t>
  </si>
  <si>
    <t>Melting_Curves/meltCurve_Q587I9_SFT2D3.pdf</t>
  </si>
  <si>
    <t>Melting_Curves/meltCurve_Q58FF8_HSP90AB2P.pdf</t>
  </si>
  <si>
    <t>Melting_Curves/meltCurve_Q58FG1_HSP90AA4P.pdf</t>
  </si>
  <si>
    <t>Melting_Curves/meltCurve_Q58WW2_DCAF6.pdf</t>
  </si>
  <si>
    <t>Melting_Curves/meltCurve_Q5BJF2_TMEM97.pdf</t>
  </si>
  <si>
    <t>Melting_Curves/meltCurve_Q5BKU9_OXLD1.pdf</t>
  </si>
  <si>
    <t>Melting_Curves/meltCurve_Q5BKX5_C19orf54.pdf</t>
  </si>
  <si>
    <t>Melting_Curves/meltCurve_Q5BKZ1_ZNF326.pdf</t>
  </si>
  <si>
    <t>Melting_Curves/meltCurve_Q5CZ79_ANKRD20A8P.pdf</t>
  </si>
  <si>
    <t>Melting_Curves/meltCurve_Q5D1E8_ZC3H12A.pdf</t>
  </si>
  <si>
    <t>Melting_Curves/meltCurve_Q5EBL4_RILPL1.pdf</t>
  </si>
  <si>
    <t>Melting_Curves/meltCurve_Q5EBL8_PDZD11.pdf</t>
  </si>
  <si>
    <t>Melting_Curves/meltCurve_Q5EBM0_CMPK2.pdf</t>
  </si>
  <si>
    <t>Melting_Curves/meltCurve_Q5F1R6_DNAJC21.pdf</t>
  </si>
  <si>
    <t>Melting_Curves/meltCurve_Q5FBB7_5_SGOL1.pdf</t>
  </si>
  <si>
    <t>Melting_Curves/meltCurve_Q5GLZ8_3_HERC4.pdf</t>
  </si>
  <si>
    <t>Melting_Curves/meltCurve_Q5H8X8_UTS2.pdf</t>
  </si>
  <si>
    <t>Melting_Curves/meltCurve_Q5H937_PKIG.pdf</t>
  </si>
  <si>
    <t>Melting_Curves/meltCurve_Q5HY62_CXorf40B.pdf</t>
  </si>
  <si>
    <t>Melting_Curves/meltCurve_Q5HYI8_RABL3.pdf</t>
  </si>
  <si>
    <t>Melting_Curves/meltCurve_Q5HYK3_COQ5.pdf</t>
  </si>
  <si>
    <t>Melting_Curves/meltCurve_Q5JP53_TUBB.pdf</t>
  </si>
  <si>
    <t>Melting_Curves/meltCurve_Q5JPE7_2_NOMO2.pdf</t>
  </si>
  <si>
    <t>Melting_Curves/meltCurve_Q5JPI9_METTL10.pdf</t>
  </si>
  <si>
    <t>Melting_Curves/meltCurve_Q5JR08_RHOC.pdf</t>
  </si>
  <si>
    <t>Melting_Curves/meltCurve_Q5JRA6_MIA3.pdf</t>
  </si>
  <si>
    <t>Melting_Curves/meltCurve_Q5JRI1_SRSF10.pdf</t>
  </si>
  <si>
    <t>Melting_Curves/meltCurve_Q5JRX3_PITRM1.pdf</t>
  </si>
  <si>
    <t>Melting_Curves/meltCurve_Q5JS37_2_NHLRC3.pdf</t>
  </si>
  <si>
    <t>Melting_Curves/meltCurve_Q5JS54_PSMG4.pdf</t>
  </si>
  <si>
    <t>Melting_Curves/meltCurve_Q5JSH3_2_WDR44.pdf</t>
  </si>
  <si>
    <t>Melting_Curves/meltCurve_Q5JSL0_HMGN5.pdf</t>
  </si>
  <si>
    <t>Melting_Curves/meltCurve_Q5JSP0_FGD3.pdf</t>
  </si>
  <si>
    <t>Melting_Curves/meltCurve_Q5JSZ5_PRRC2B.pdf</t>
  </si>
  <si>
    <t>Melting_Curves/meltCurve_Q5JTD0_2_TJAP1.pdf</t>
  </si>
  <si>
    <t>Melting_Curves/meltCurve_Q5JTH9_2_RRP12.pdf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</si>
  <si>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</si>
  <si>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</si>
  <si>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</si>
  <si>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</si>
  <si>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</si>
  <si>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Melting_Curves/meltCurve_Q5JUL1_PAGE5.pdf</t>
  </si>
  <si>
    <t>Melting_Curves/meltCurve_Q5JUR7_TEX30.pdf</t>
  </si>
  <si>
    <t>Melting_Curves/meltCurve_Q5JUW8_DLG3.pdf</t>
  </si>
  <si>
    <t>Melting_Curves/meltCurve_Q5JVF3_3_PCID2.pdf</t>
  </si>
  <si>
    <t>Melting_Curves/meltCurve_Q5JVS0_HABP4.pdf</t>
  </si>
  <si>
    <t>Melting_Curves/meltCurve_Q5JVZ5_ELMO2.pdf</t>
  </si>
  <si>
    <t>Melting_Curves/meltCurve_Q5JWB9_TMEM230.pdf</t>
  </si>
  <si>
    <t>Melting_Curves/meltCurve_Q5JWT2_MED23.pdf</t>
  </si>
  <si>
    <t>Melting_Curves/meltCurve_Q5JY65_CRNKL1.pdf</t>
  </si>
  <si>
    <t>Melting_Curves/meltCurve_Q5K651_SAMD9.pdf</t>
  </si>
  <si>
    <t>Melting_Curves/meltCurve_Q5M775_5_SPECC1.pdf</t>
  </si>
  <si>
    <t>Melting_Curves/meltCurve_Q5MIZ7_3_SMEK2.pdf</t>
  </si>
  <si>
    <t>Melting_Curves/meltCurve_Q5MNZ6_WDR45B.pdf</t>
  </si>
  <si>
    <t>Melting_Curves/meltCurve_Q5QJE6_DNTTIP2.pdf</t>
  </si>
  <si>
    <t>Melting_Curves/meltCurve_Q5QNY5_PEX19.pdf</t>
  </si>
  <si>
    <t>Melting_Curves/meltCurve_Q5QNZ2_ATP5F1.pdf</t>
  </si>
  <si>
    <t>Melting_Curves/meltCurve_Q5QP56_BCL2L1.pdf</t>
  </si>
  <si>
    <t>Melting_Curves/meltCurve_Q5QP82_2_DCAF10.pdf</t>
  </si>
  <si>
    <t>Melting_Curves/meltCurve_Q5QPK2_DPM1.pdf</t>
  </si>
  <si>
    <t>Melting_Curves/meltCurve_Q5QPM7_PSMF1.pdf</t>
  </si>
  <si>
    <t>Melting_Curves/meltCurve_Q5R372_4_RABGAP1L.pdf</t>
  </si>
  <si>
    <t>Melting_Curves/meltCurve_Q5R3B4_MPC2.pdf</t>
  </si>
  <si>
    <t>Melting_Curves/meltCurve_Q5RI15_COX20.pdf</t>
  </si>
  <si>
    <t>Melting_Curves/meltCurve_Q5RJ85_HLA_G.pdf</t>
  </si>
  <si>
    <t>Melting_Curves/meltCurve_Q5RKV6_EXOSC6.pdf</t>
  </si>
  <si>
    <t>Melting_Curves/meltCurve_Q5SGD2_PPM1L.pdf</t>
  </si>
  <si>
    <t>Melting_Curves/meltCurve_Q5SPT7_HLA_F.pdf</t>
  </si>
  <si>
    <t>Melting_Curves/meltCurve_Q5SQI0_5_ATAT1.pdf</t>
  </si>
  <si>
    <t>Melting_Curves/meltCurve_Q5SR47_CR2.pdf</t>
  </si>
  <si>
    <t>Melting_Curves/meltCurve_Q5SR56_HIATL1.pdf</t>
  </si>
  <si>
    <t>Melting_Curves/meltCurve_Q5SRE5_NUP188.pdf</t>
  </si>
  <si>
    <t>Melting_Curves/meltCurve_Q5SRN5_HLA_A.pdf</t>
  </si>
  <si>
    <t>Melting_Curves/meltCurve_Q5SRQ6_CSNK2B.pdf</t>
  </si>
  <si>
    <t>Melting_Curves/meltCurve_Q5SSJ5_HP1BP3.pdf</t>
  </si>
  <si>
    <t>Melting_Curves/meltCurve_Q5ST30_VARS2.pdf</t>
  </si>
  <si>
    <t>Melting_Curves/meltCurve_Q5STX8_AIF1.pdf</t>
  </si>
  <si>
    <t>Melting_Curves/meltCurve_Q5SVK8_DNMBP.pdf</t>
  </si>
  <si>
    <t>Melting_Curves/meltCurve_Q5SW79_CEP170.pdf</t>
  </si>
  <si>
    <t>Melting_Curves/meltCurve_Q5SW96_LDLRAP1.pdf</t>
  </si>
  <si>
    <t>Melting_Curves/meltCurve_Q5SWX3_CAMK2G.pdf</t>
  </si>
  <si>
    <t>Melting_Curves/meltCurve_Q5SWX8_3_ODR4.pdf</t>
  </si>
  <si>
    <t>Melting_Curves/meltCurve_Q5SXM2_SNAPC4.pdf</t>
  </si>
  <si>
    <t>Melting_Curves/meltCurve_Q5SXM8_DNLZ.pdf</t>
  </si>
  <si>
    <t>Melting_Curves/meltCurve_Q5SZE3_CERS2.pdf</t>
  </si>
  <si>
    <t>Melting_Curves/meltCurve_Q5SZG2_GABPB2.pdf</t>
  </si>
  <si>
    <t>Melting_Curves/meltCurve_Q5SZR4_TDRKH.pdf</t>
  </si>
  <si>
    <t>Melting_Curves/meltCurve_Q5T0D9_TPRG1L.pdf</t>
  </si>
  <si>
    <t>Melting_Curves/meltCurve_Q5T0N5_3_FNBP1L.pdf</t>
  </si>
  <si>
    <t>Melting_Curves/meltCurve_Q5T0Q6_DPYSL4.pdf</t>
  </si>
  <si>
    <t>Melting_Curves/meltCurve_Q5T0V0_SLIT1.pdf</t>
  </si>
  <si>
    <t>Melting_Curves/meltCurve_Q5T114_C9orf156.pdf</t>
  </si>
  <si>
    <t>Melting_Curves/meltCurve_Q5T123_SH3BGRL3.pdf</t>
  </si>
  <si>
    <t>Melting_Curves/meltCurve_Q5T160_RARS2.pdf</t>
  </si>
  <si>
    <t>Melting_Curves/meltCurve_Q5T171_PYGO2.pdf</t>
  </si>
  <si>
    <t>Melting_Curves/meltCurve_Q5T1M5_FKBP15.pdf</t>
  </si>
  <si>
    <t>Melting_Curves/meltCurve_Q5T1V6_DDX59.pdf</t>
  </si>
  <si>
    <t>Melting_Curves/meltCurve_Q5T1Z4_PUM1.pdf</t>
  </si>
  <si>
    <t>Melting_Curves/meltCurve_Q5T200_ZC3H13.pdf</t>
  </si>
  <si>
    <t>Melting_Curves/meltCurve_Q5T280_C9orf114.pdf</t>
  </si>
  <si>
    <t>Melting_Curves/meltCurve_Q5T2E6_C10orf76.pdf</t>
  </si>
  <si>
    <t>Melting_Curves/meltCurve_Q5T2R2_3_PDSS1.pdf</t>
  </si>
  <si>
    <t>Melting_Curves/meltCurve_Q5T3J3_2_LRIF1.pdf</t>
  </si>
  <si>
    <t>Melting_Curves/meltCurve_Q5T427_ZNF438.pdf</t>
  </si>
  <si>
    <t>Melting_Curves/meltCurve_Q5T440_IBA57.pdf</t>
  </si>
  <si>
    <t>Melting_Curves/meltCurve_Q5T447_HECTD3.pdf</t>
  </si>
  <si>
    <t>Melting_Curves/meltCurve_Q5T4F4_7_ZFYVE27.pdf</t>
  </si>
  <si>
    <t>Melting_Curves/meltCurve_Q5T4K2_SLC39A1.pdf</t>
  </si>
  <si>
    <t>Melting_Curves/meltCurve_Q5T4S7_3_UBR4.pdf</t>
  </si>
  <si>
    <t>Melting_Curves/meltCurve_Q5T4U5_ACADM.pdf</t>
  </si>
  <si>
    <t>Melting_Curves/meltCurve_Q5T593_FAM219A.pdf</t>
  </si>
  <si>
    <t>Melting_Curves/meltCurve_Q5T5C0_3_STXBP5.pdf</t>
  </si>
  <si>
    <t>Melting_Curves/meltCurve_Q5T5Y3_CAMSAP1.pdf</t>
  </si>
  <si>
    <t>Melting_Curves/meltCurve_Q5T6F2_UBAP2.pdf</t>
  </si>
  <si>
    <t>Melting_Curves/meltCurve_Q5T6J7_IDNK.pdf</t>
  </si>
  <si>
    <t>Melting_Curves/meltCurve_Q5T6N4_ABLIM1.pdf</t>
  </si>
  <si>
    <t>Melting_Curves/meltCurve_Q5T6V5_C9orf64.pdf</t>
  </si>
  <si>
    <t>Melting_Curves/meltCurve_Q5T7A4_ADCK3.pdf</t>
  </si>
  <si>
    <t>Melting_Curves/meltCurve_Q5T8D3_2_ACBD5.pdf</t>
  </si>
  <si>
    <t>Melting_Curves/meltCurve_Q5T8I0_COX6A1P2.pdf</t>
  </si>
  <si>
    <t>Melting_Curves/meltCurve_Q5T8P6_3_RBM26.pdf</t>
  </si>
  <si>
    <t>Melting_Curves/meltCurve_Q5T8T7_MED22.pdf</t>
  </si>
  <si>
    <t>Melting_Curves/meltCurve_Q5T8U5_SURF4.pdf</t>
  </si>
  <si>
    <t>Melting_Curves/meltCurve_Q5T911_MED4.pdf</t>
  </si>
  <si>
    <t>Melting_Curves/meltCurve_Q5T9A4_ATAD3B.pdf</t>
  </si>
  <si>
    <t>Melting_Curves/meltCurve_Q5TA02_GSTO1.pdf</t>
  </si>
  <si>
    <t>Melting_Curves/meltCurve_Q5TA45_3_CPSF3L.pdf</t>
  </si>
  <si>
    <t>Melting_Curves/meltCurve_Q5TAL2_SNRPC.pdf</t>
  </si>
  <si>
    <t>Melting_Curves/meltCurve_Q5TAX3_ZCCHC11.pdf</t>
  </si>
  <si>
    <t>Melting_Curves/meltCurve_Q5TBB1_RNASEH2B.pdf</t>
  </si>
  <si>
    <t>Melting_Curves/meltCurve_Q5TBP5_TAF4.pdf</t>
  </si>
  <si>
    <t>Melting_Curves/meltCurve_Q5TD07_NQO2.pdf</t>
  </si>
  <si>
    <t>Melting_Curves/meltCurve_Q5TDG9_DNAJC16.pdf</t>
  </si>
  <si>
    <t>Melting_Curves/meltCurve_Q5TDH0_DDI2.pdf</t>
  </si>
  <si>
    <t>Melting_Curves/meltCurve_Q5TE25_SMOX.pdf</t>
  </si>
  <si>
    <t>Melting_Curves/meltCurve_Q5TEU4_NDUFAF5.pdf</t>
  </si>
  <si>
    <t>Melting_Curves/meltCurve_Q5TF39_NAGLT1.pdf</t>
  </si>
  <si>
    <t>Melting_Curves/meltCurve_Q5TFA5_GINM1.pdf</t>
  </si>
  <si>
    <t>Melting_Curves/meltCurve_Q5TFE4_NT5DC1.pdf</t>
  </si>
  <si>
    <t>Melting_Curves/meltCurve_Q5THJ4_2_VPS13D.pdf</t>
  </si>
  <si>
    <t>Melting_Curves/meltCurve_Q5THK1_3_PRR14L.pdf</t>
  </si>
  <si>
    <t>Melting_Curves/meltCurve_Q5THR1_DHX35.pdf</t>
  </si>
  <si>
    <t>Melting_Curves/meltCurve_Q5TIE1_SLC19A2.pdf</t>
  </si>
  <si>
    <t>Melting_Curves/meltCurve_Q5TIH2_SFT2D2.pdf</t>
  </si>
  <si>
    <t>Melting_Curves/meltCurve_Q5TZA2_CROCC.pdf</t>
  </si>
  <si>
    <t>Melting_Curves/meltCurve_Q5U5Q3_MEX3C.pdf</t>
  </si>
  <si>
    <t>Melting_Curves/meltCurve_Q5U5X0_LYRM7.pdf</t>
  </si>
  <si>
    <t>Melting_Curves/meltCurve_Q5UIP0_2_RIF1.pdf</t>
  </si>
  <si>
    <t>Melting_Curves/meltCurve_Q5VIR6_4_VPS53.pdf</t>
  </si>
  <si>
    <t>Melting_Curves/meltCurve_Q5VSL9_STRIP1.pdf</t>
  </si>
  <si>
    <t>Melting_Curves/meltCurve_Q5VST6_ABHD17B.pdf</t>
  </si>
  <si>
    <t>Melting_Curves/meltCurve_Q5VSY0_2_GKAP1.pdf</t>
  </si>
  <si>
    <t>Melting_Curves/meltCurve_Q5VT06_CEP350.pdf</t>
  </si>
  <si>
    <t>Melting_Curves/meltCurve_Q5VT52_RPRD2.pdf</t>
  </si>
  <si>
    <t>Melting_Curves/meltCurve_Q5VT94_GHITM.pdf</t>
  </si>
  <si>
    <t>Melting_Curves/meltCurve_Q5VT99_LRRC38.pdf</t>
  </si>
  <si>
    <t>Melting_Curves/meltCurve_Q5VTL8_PRPF38B.pdf</t>
  </si>
  <si>
    <t>Melting_Curves/meltCurve_Q5VTR2_RNF20.pdf</t>
  </si>
  <si>
    <t>Melting_Curves/meltCurve_Q5VU58_TPM3.pdf</t>
  </si>
  <si>
    <t>Melting_Curves/meltCurve_Q5VUD6_2_FAM69B.pdf</t>
  </si>
  <si>
    <t>Melting_Curves/meltCurve_Q5VUE5_C1orf53.pdf</t>
  </si>
  <si>
    <t>Melting_Curves/meltCurve_Q5VUM1_C6orf57.pdf</t>
  </si>
  <si>
    <t>Melting_Curves/meltCurve_Q5VV42_CDKAL1.pdf</t>
  </si>
  <si>
    <t>Melting_Curves/meltCurve_Q5VV50_ZNF691.pdf</t>
  </si>
  <si>
    <t>Melting_Curves/meltCurve_Q5VVD7_PLEKHM2.pdf</t>
  </si>
  <si>
    <t>Melting_Curves/meltCurve_Q5VVQ6_2_YOD1.pdf</t>
  </si>
  <si>
    <t>Melting_Curves/meltCurve_Q5VW32_BROX.pdf</t>
  </si>
  <si>
    <t>Melting_Curves/meltCurve_Q5VW36_FOCAD.pdf</t>
  </si>
  <si>
    <t>Melting_Curves/meltCurve_Q5VWC4_PSMD4.pdf</t>
  </si>
  <si>
    <t>Melting_Curves/meltCurve_Q5VWG9_TAF3.pdf</t>
  </si>
  <si>
    <t>Melting_Curves/meltCurve_Q5VWP2_FAM46C.pdf</t>
  </si>
  <si>
    <t>Melting_Curves/meltCurve_Q5VWQ0_RSBN1.pdf</t>
  </si>
  <si>
    <t>Melting_Curves/meltCurve_Q5VWZ2_LYPLAL1.pdf</t>
  </si>
  <si>
    <t>Melting_Curves/meltCurve_Q5VY93_ARHGEF2.pdf</t>
  </si>
  <si>
    <t>Melting_Curves/meltCurve_Q5VYH8_LY9.pdf</t>
  </si>
  <si>
    <t>Melting_Curves/meltCurve_Q5VYS8_6_ZCCHC6.pdf</t>
  </si>
  <si>
    <t>Melting_Curves/meltCurve_Q5VZ66_JAKMIP3.pdf</t>
  </si>
  <si>
    <t>Melting_Curves/meltCurve_Q5VZE5_NAA35.pdf</t>
  </si>
  <si>
    <t>Melting_Curves/meltCurve_Q5VZI3_2_C9orf91.pdf</t>
  </si>
  <si>
    <t>Melting_Curves/meltCurve_Q5VZK9_LRRC16A.pdf</t>
  </si>
  <si>
    <t>Melting_Curves/meltCurve_Q5W015_PFKFB3.pdf</t>
  </si>
  <si>
    <t>Melting_Curves/meltCurve_Q5W0V3_FAM160B1.pdf</t>
  </si>
  <si>
    <t>Melting_Curves/meltCurve_Q5W0Z9_3_ZDHHC20.pdf</t>
  </si>
  <si>
    <t>Melting_Curves/meltCurve_Q5W145_NDUFB8.pdf</t>
  </si>
  <si>
    <t>Melting_Curves/meltCurve_Q5XKP0_QIL1.pdf</t>
  </si>
  <si>
    <t>Melting_Curves/meltCurve_Q5XUX1_3_FBXW9.pdf</t>
  </si>
  <si>
    <t>Melting_Curves/meltCurve_Q63HN8_RNF213.pdf</t>
  </si>
  <si>
    <t>Melting_Curves/meltCurve_Q63HQ0_AP1AR.pdf</t>
  </si>
  <si>
    <t>Melting_Curves/meltCurve_Q641Q2_FAM21A.pdf</t>
  </si>
  <si>
    <t>Melting_Curves/meltCurve_Q658Y4_FAM91A1.pdf</t>
  </si>
  <si>
    <t>Melting_Curves/meltCurve_Q659C4_LARP1B.pdf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</si>
  <si>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</si>
  <si>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</si>
  <si>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</si>
  <si>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</si>
  <si>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</si>
  <si>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Melting_Curves/meltCurve_Q66S35_PFKFB4.pdf</t>
  </si>
  <si>
    <t>Melting_Curves/meltCurve_Q674X7_3_KAZN.pdf</t>
  </si>
  <si>
    <t>Melting_Curves/meltCurve_Q684P5_3_RAP1GAP2.pdf</t>
  </si>
  <si>
    <t>Melting_Curves/meltCurve_Q68CP9_3_ARID2.pdf</t>
  </si>
  <si>
    <t>Melting_Curves/meltCurve_Q68CQ4_DIEXF.pdf</t>
  </si>
  <si>
    <t>Melting_Curves/meltCurve_Q68D10_2_SPTY2D1.pdf</t>
  </si>
  <si>
    <t>Melting_Curves/meltCurve_Q68D91_MBLAC2.pdf</t>
  </si>
  <si>
    <t>Melting_Curves/meltCurve_Q68DH5_LMBRD2.pdf</t>
  </si>
  <si>
    <t>Melting_Curves/meltCurve_Q68E01_2_INTS3.pdf</t>
  </si>
  <si>
    <t>Melting_Curves/meltCurve_Q68EM7_ARHGAP17.pdf</t>
  </si>
  <si>
    <t>Melting_Curves/meltCurve_Q69YH5_CDCA2.pdf</t>
  </si>
  <si>
    <t>Melting_Curves/meltCurve_Q69YL0_.pdf</t>
  </si>
  <si>
    <t>Melting_Curves/meltCurve_Q69YN2_CWF19L1.pdf</t>
  </si>
  <si>
    <t>Melting_Curves/meltCurve_Q69YN4_KIAA1429.pdf</t>
  </si>
  <si>
    <t>Melting_Curves/meltCurve_Q69YQ0_2_SPECC1L.pdf</t>
  </si>
  <si>
    <t>Melting_Curves/meltCurve_Q69YU5_C12orf73.pdf</t>
  </si>
  <si>
    <t>Melting_Curves/meltCurve_Q6BDS2_UHRF1BP1.pdf</t>
  </si>
  <si>
    <t>Melting_Curves/meltCurve_Q6DCA0_AMMECR1L.pdf</t>
  </si>
  <si>
    <t>Melting_Curves/meltCurve_Q6DD87_ZNF787.pdf</t>
  </si>
  <si>
    <t>Melting_Curves/meltCurve_Q6DD88_ATL3.pdf</t>
  </si>
  <si>
    <t>Melting_Curves/meltCurve_Q6DHV7_ADAL.pdf</t>
  </si>
  <si>
    <t>Melting_Curves/meltCurve_Q6DKI7_PVRIG.pdf</t>
  </si>
  <si>
    <t>Melting_Curves/meltCurve_Q6DKJ4_NXN.pdf</t>
  </si>
  <si>
    <t>Melting_Curves/meltCurve_Q6DKK2_TTC19.pdf</t>
  </si>
  <si>
    <t>Melting_Curves/meltCurve_Q6EEV4_2_POLR2M.pdf</t>
  </si>
  <si>
    <t>Melting_Curves/meltCurve_Q6FI81_CIAPIN1.pdf</t>
  </si>
  <si>
    <t>Melting_Curves/meltCurve_Q6FIF0_2_ZFAND6.pdf</t>
  </si>
  <si>
    <t>Melting_Curves/meltCurve_Q6GMR7_FAAH2.pdf</t>
  </si>
  <si>
    <t>Melting_Curves/meltCurve_Q6GMV2_SMYD5.pdf</t>
  </si>
  <si>
    <t>Melting_Curves/meltCurve_Q6GMV3_PTRHD1.pdf</t>
  </si>
  <si>
    <t>Melting_Curves/meltCurve_Q6GQQ9_2_OTUD7B.pdf</t>
  </si>
  <si>
    <t>Melting_Curves/meltCurve_Q6GYA4_SELS.pdf</t>
  </si>
  <si>
    <t>Melting_Curves/meltCurve_Q6GYQ0_4_RALGAPA1.pdf</t>
  </si>
  <si>
    <t>Melting_Curves/meltCurve_Q6I9Y2_THOC7.pdf</t>
  </si>
  <si>
    <t>Melting_Curves/meltCurve_Q6IA17_SIGIRR.pdf</t>
  </si>
  <si>
    <t>Melting_Curves/meltCurve_Q6IA69_NADSYN1.pdf</t>
  </si>
  <si>
    <t>Melting_Curves/meltCurve_Q6IA86_3_ELP2.pdf</t>
  </si>
  <si>
    <t>Melting_Curves/meltCurve_Q6IAA8_LAMTOR1.pdf</t>
  </si>
  <si>
    <t>Melting_Curves/meltCurve_Q6IAN0_DHRS7B.pdf</t>
  </si>
  <si>
    <t>Melting_Curves/meltCurve_Q6IBS0_TWF2.pdf</t>
  </si>
  <si>
    <t>Melting_Curves/meltCurve_Q6IBW4_2_NCAPH2.pdf</t>
  </si>
  <si>
    <t>Melting_Curves/meltCurve_Q6IC98_GRAMD4.pdf</t>
  </si>
  <si>
    <t>Melting_Curves/meltCurve_Q6ICB0_DESI1.pdf</t>
  </si>
  <si>
    <t>Melting_Curves/meltCurve_Q6ICH7_ASPHD2.pdf</t>
  </si>
  <si>
    <t>Melting_Curves/meltCurve_Q6IN85_SMEK1.pdf</t>
  </si>
  <si>
    <t>Melting_Curves/meltCurve_Q6IPR3_TYW3.pdf</t>
  </si>
  <si>
    <t>Melting_Curves/meltCurve_Q6IPU0_CENPP.pdf</t>
  </si>
  <si>
    <t>Melting_Curves/meltCurve_Q6IQ22_RAB12.pdf</t>
  </si>
  <si>
    <t>Melting_Curves/meltCurve_Q6IQ49_2_SDE2.pdf</t>
  </si>
  <si>
    <t>Melting_Curves/meltCurve_Q6J164_GRM5.pdf</t>
  </si>
  <si>
    <t>Melting_Curves/meltCurve_Q6JBY9_RCSD1.pdf</t>
  </si>
  <si>
    <t>Melting_Curves/meltCurve_Q6JHV3_USP3.pdf</t>
  </si>
  <si>
    <t>Melting_Curves/meltCurve_Q6JQN1_ACAD10.pdf</t>
  </si>
  <si>
    <t>Melting_Curves/meltCurve_Q6KC79_2_NIPBL.pdf</t>
  </si>
  <si>
    <t>Melting_Curves/meltCurve_Q6KCM7_2_SLC25A25.pdf</t>
  </si>
  <si>
    <t>Melting_Curves/meltCurve_Q6MZP7_LIN54.pdf</t>
  </si>
  <si>
    <t>Melting_Curves/meltCurve_Q6MZW2_2_FSTL4.pdf</t>
  </si>
  <si>
    <t>Melting_Curves/meltCurve_Q6N043_2_ZNF280D.pdf</t>
  </si>
  <si>
    <t>Melting_Curves/meltCurve_Q6N069_NAA16.pdf</t>
  </si>
  <si>
    <t>Melting_Curves/meltCurve_Q6NS38_ALKBH2.pdf</t>
  </si>
  <si>
    <t>Melting_Curves/meltCurve_Q6NSJ5_LRRC8E.pdf</t>
  </si>
  <si>
    <t>Melting_Curves/meltCurve_Q6NT16_SLC18B1.pdf</t>
  </si>
  <si>
    <t>Melting_Curves/meltCurve_Q6NUK1_SLC25A24.pdf</t>
  </si>
  <si>
    <t>Melting_Curves/meltCurve_Q6NUK4_REEP3.pdf</t>
  </si>
  <si>
    <t>Melting_Curves/meltCurve_Q6NUM9_RETSAT.pdf</t>
  </si>
  <si>
    <t>Melting_Curves/meltCurve_Q6NUQ1_RINT1.pdf</t>
  </si>
  <si>
    <t>Melting_Curves/meltCurve_Q6NUQ4_2_TMEM214.pdf</t>
  </si>
  <si>
    <t>Melting_Curves/meltCurve_Q6NUS6_TCTN3.pdf</t>
  </si>
  <si>
    <t>Melting_Curves/meltCurve_Q6NVY1_HIBCH.pdf</t>
  </si>
  <si>
    <t>Melting_Curves/meltCurve_Q6NXE6_2_ARMC6.pdf</t>
  </si>
  <si>
    <t>Melting_Curves/meltCurve_Q6NXT1_ANKRD54.pdf</t>
  </si>
  <si>
    <t>Melting_Curves/meltCurve_Q6NXT6_TAPT1.pdf</t>
  </si>
  <si>
    <t>Melting_Curves/meltCurve_Q6NYC8_PPP1R18.pdf</t>
  </si>
  <si>
    <t>Melting_Curves/meltCurve_Q6NZI2_PTRF.pdf</t>
  </si>
  <si>
    <t>Melting_Curves/meltCurve_Q6NZY4_ZCCHC8.pdf</t>
  </si>
  <si>
    <t>Melting_Curves/meltCurve_Q6P087_2_RPUSD3.pdf</t>
  </si>
  <si>
    <t>Melting_Curves/meltCurve_Q6P161_MRPL54.pdf</t>
  </si>
  <si>
    <t>Melting_Curves/meltCurve_Q6P179_ERAP2.pdf</t>
  </si>
  <si>
    <t>Melting_Curves/meltCurve_Q6P1J9_CDC73.pdf</t>
  </si>
  <si>
    <t>Melting_Curves/meltCurve_Q6P1K2_4_PMF1.pdf</t>
  </si>
  <si>
    <t>Melting_Curves/meltCurve_Q6P1K8_GTF2H2C.pdf</t>
  </si>
  <si>
    <t>Melting_Curves/meltCurve_Q6P1L5_FAM117B.pdf</t>
  </si>
  <si>
    <t>Melting_Curves/meltCurve_Q6P1L8_MRPL14.pdf</t>
  </si>
  <si>
    <t>Melting_Curves/meltCurve_Q6P1M0_SLC27A4.pdf</t>
  </si>
  <si>
    <t>Melting_Curves/meltCurve_Q6P1N0_2_CC2D1A.pdf</t>
  </si>
  <si>
    <t>Melting_Curves/meltCurve_Q6P1Q9_METTL2B.pdf</t>
  </si>
  <si>
    <t>Melting_Curves/meltCurve_Q6P1R4_DUS1L.pdf</t>
  </si>
  <si>
    <t>Melting_Curves/meltCurve_Q6P275_STAG1.pdf</t>
  </si>
  <si>
    <t>Melting_Curves/meltCurve_Q6P2C8_MED27.pdf</t>
  </si>
  <si>
    <t>Melting_Curves/meltCurve_Q6P2E9_EDC4.pdf</t>
  </si>
  <si>
    <t>Melting_Curves/meltCurve_Q6P2H3_2_CEP85.pdf</t>
  </si>
  <si>
    <t>Melting_Curves/meltCurve_Q6P2I3_FAHD2B.pdf</t>
  </si>
  <si>
    <t>Melting_Curves/meltCurve_Q6P2P2_PRMT10.pdf</t>
  </si>
  <si>
    <t>Melting_Curves/meltCurve_Q6P2Q9_PRPF8.pdf</t>
  </si>
  <si>
    <t>Melting_Curves/meltCurve_Q6P3S1_5_DENND1B.pdf</t>
  </si>
  <si>
    <t>Melting_Curves/meltCurve_Q6P3S6_FBXO42.pdf</t>
  </si>
  <si>
    <t>Melting_Curves/meltCurve_Q6P3W7_SCYL2.pdf</t>
  </si>
  <si>
    <t>Melting_Curves/meltCurve_Q6P3X3_TTC27.pdf</t>
  </si>
  <si>
    <t>Melting_Curves/meltCurve_Q6P499_2_NIPAL3.pdf</t>
  </si>
  <si>
    <t>Melting_Curves/meltCurve_Q6P4A7_SFXN4.pdf</t>
  </si>
  <si>
    <t>Melting_Curves/meltCurve_Q6P4E1_2_CASC4.pdf</t>
  </si>
  <si>
    <t>Melting_Curves/meltCurve_Q6P4F2_FDX1L.pdf</t>
  </si>
  <si>
    <t>Melting_Curves/meltCurve_Q6P4I2_WDR73.pdf</t>
  </si>
  <si>
    <t>Melting_Curves/meltCurve_Q6P4Q7_CNNM4.pdf</t>
  </si>
  <si>
    <t>Melting_Curves/meltCurve_Q6P4R8_3_NFRKB.pdf</t>
  </si>
  <si>
    <t>Melting_Curves/meltCurve_Q6P582_MZT2A.pdf</t>
  </si>
  <si>
    <t>Melting_Curves/meltCurve_Q6P587_FAHD1.pdf</t>
  </si>
  <si>
    <t>Melting_Curves/meltCurve_Q6P5X5_C22orf39.pdf</t>
  </si>
  <si>
    <t>Melting_Curves/meltCurve_Q6P6B1_C8orf47.pdf</t>
  </si>
  <si>
    <t>Melting_Curves/meltCurve_Q6P6B7_2_ANKRD16.pdf</t>
  </si>
  <si>
    <t>Melting_Curves/meltCurve_Q6P6C2_3_ALKBH5.pdf</t>
  </si>
  <si>
    <t>Melting_Curves/meltCurve_Q6P9B6_KIAA1609.pdf</t>
  </si>
  <si>
    <t>Melting_Curves/meltCurve_Q6P9B9_INTS5.pdf</t>
  </si>
  <si>
    <t>Melting_Curves/meltCurve_Q6P9H5_GIMAP6.pdf</t>
  </si>
  <si>
    <t>Melting_Curves/meltCurve_Q6PCB5_RSBN1L.pdf</t>
  </si>
  <si>
    <t>Melting_Curves/meltCurve_Q6PCE3_PGM2L1.pdf</t>
  </si>
  <si>
    <t>Melting_Curves/meltCurve_Q6PD62_CTR9.pdf</t>
  </si>
  <si>
    <t>Melting_Curves/meltCurve_Q6PD74_AAGAB.pdf</t>
  </si>
  <si>
    <t>Melting_Curves/meltCurve_Q6PGP7_TTC37.pdf</t>
  </si>
  <si>
    <t>Melting_Curves/meltCurve_Q6PH81_C16orf87.pdf</t>
  </si>
  <si>
    <t>Melting_Curves/meltCurve_Q6PHR2_ULK3.pdf</t>
  </si>
  <si>
    <t>Melting_Curves/meltCurve_Q6PI48_DARS2.pdf</t>
  </si>
  <si>
    <t>Melting_Curves/meltCurve_Q6PI78_TMEM65.pdf</t>
  </si>
  <si>
    <t>Melting_Curves/meltCurve_Q6PID6_TTC33.pdf</t>
  </si>
  <si>
    <t>Melting_Curves/meltCurve_Q6PII3_CCDC174.pdf</t>
  </si>
  <si>
    <t>Melting_Curves/meltCurve_Q6PIJ6_2_FBXO38.pdf</t>
  </si>
  <si>
    <t>Melting_Curves/meltCurve_Q6PIW4_2_FIGNL1.pdf</t>
  </si>
  <si>
    <t>Melting_Curves/meltCurve_Q6PJ61_FBXO46.pdf</t>
  </si>
  <si>
    <t>Melting_Curves/meltCurve_Q6PJ69_TRIM65.pdf</t>
  </si>
  <si>
    <t>Melting_Curves/meltCurve_Q6PJG2_ELMSAN1.pdf</t>
  </si>
  <si>
    <t>Melting_Curves/meltCurve_Q6PJG6_BRAT1.pdf</t>
  </si>
  <si>
    <t>Melting_Curves/meltCurve_Q6PJT7_3_ZC3H14.pdf</t>
  </si>
  <si>
    <t>Melting_Curves/meltCurve_Q6PJT7_9_ZC3H14.pdf</t>
  </si>
  <si>
    <t>Melting_Curves/meltCurve_Q6PJW8_CNST.pdf</t>
  </si>
  <si>
    <t>Melting_Curves/meltCurve_Q6PK18_OGFOD3.pdf</t>
  </si>
  <si>
    <t>Melting_Curves/meltCurve_Q6PKG0_LARP1.pdf</t>
  </si>
  <si>
    <t>Melting_Curves/meltCurve_Q6PL24_TMED8.pdf</t>
  </si>
  <si>
    <t>Melting_Curves/meltCurve_Q6PML9_SLC30A9.pdf</t>
  </si>
  <si>
    <t>Melting_Curves/meltCurve_Q6QNY0_BLOC1S3.pdf</t>
  </si>
  <si>
    <t>Melting_Curves/meltCurve_Q6QNY1_BLOC1S2.pdf</t>
  </si>
  <si>
    <t>Melting_Curves/meltCurve_Q6RFH5_WDR74.pdf</t>
  </si>
  <si>
    <t>Melting_Curves/meltCurve_Q6RW13_2_AGTRAP.pdf</t>
  </si>
  <si>
    <t>Melting_Curves/meltCurve_Q6S8J3_POTEE.pdf</t>
  </si>
  <si>
    <t>Melting_Curves/meltCurve_Q6STE5_2_SMARCD3.pdf</t>
  </si>
  <si>
    <t>Melting_Curves/meltCurve_Q6SZW1_2_SARM1.pdf</t>
  </si>
  <si>
    <t>Melting_Curves/meltCurve_Q6UB35_MTHFD1L.pdf</t>
  </si>
  <si>
    <t>Melting_Curves/meltCurve_Q6ULP2_5_AFTPH.pdf</t>
  </si>
  <si>
    <t>Melting_Curves/meltCurve_Q6UN15_FIP1L1.pdf</t>
  </si>
  <si>
    <t>Melting_Curves/meltCurve_Q6UUV9_3_CRTC1.pdf</t>
  </si>
  <si>
    <t>Melting_Curves/meltCurve_Q6UVJ0_SASS6.pdf</t>
  </si>
  <si>
    <t>Melting_Curves/meltCurve_Q6UW56_ATRAID.pdf</t>
  </si>
  <si>
    <t>Melting_Curves/meltCurve_Q6UW63_KDELC1.pdf</t>
  </si>
  <si>
    <t>Melting_Curves/meltCurve_Q6UWD8_C16orf54.pdf</t>
  </si>
  <si>
    <t>Melting_Curves/meltCurve_Q6UWE0_LRSAM1.pdf</t>
  </si>
  <si>
    <t>Melting_Curves/meltCurve_Q6UWI4_SHISA2.pdf</t>
  </si>
  <si>
    <t>Melting_Curves/meltCurve_Q6UWP2_DHRS11.pdf</t>
  </si>
  <si>
    <t>Melting_Curves/meltCurve_Q6UWP7_3_LCLAT1.pdf</t>
  </si>
  <si>
    <t>Melting_Curves/meltCurve_Q6UWS5_PET117.pdf</t>
  </si>
  <si>
    <t>Melting_Curves/meltCurve_Q6UWU4_C6orf89.pdf</t>
  </si>
  <si>
    <t>Melting_Curves/meltCurve_Q6UX04_CWC27.pdf</t>
  </si>
  <si>
    <t>Melting_Curves/meltCurve_Q6UX07_DHRS13.pdf</t>
  </si>
  <si>
    <t>Melting_Curves/meltCurve_Q6UX98_ZDHHC24.pdf</t>
  </si>
  <si>
    <t>Melting_Curves/meltCurve_Q6UXB8_2_PI16.pdf</t>
  </si>
  <si>
    <t>Melting_Curves/meltCurve_Q6UXD5_3_SEZ6L2.pdf</t>
  </si>
  <si>
    <t>Melting_Curves/meltCurve_Q6UXH1_4_CRELD2.pdf</t>
  </si>
  <si>
    <t>Melting_Curves/meltCurve_Q6UXN9_WDR82.pdf</t>
  </si>
  <si>
    <t>Melting_Curves/meltCurve_Q6UXV4_APOOL.pdf</t>
  </si>
  <si>
    <t>Melting_Curves/meltCurve_Q6V1X1_3_DPP8.pdf</t>
  </si>
  <si>
    <t>Melting_Curves/meltCurve_Q6VY07_PACS1.pdf</t>
  </si>
  <si>
    <t>Melting_Curves/meltCurve_Q6W2J9_4_BCOR.pdf</t>
  </si>
  <si>
    <t>Melting_Curves/meltCurve_Q6WCQ1_2_MPRIP.pdf</t>
  </si>
  <si>
    <t>Melting_Curves/meltCurve_Q6WKZ4_RAB11FIP1.pdf</t>
  </si>
  <si>
    <t>Melting_Curves/meltCurve_Q6XQN6_NAPRT1.pdf</t>
  </si>
  <si>
    <t>Melting_Curves/meltCurve_Q6Y1H2_PTPLB.pdf</t>
  </si>
  <si>
    <t>Melting_Curves/meltCurve_Q6Y288_B3GALTL.pdf</t>
  </si>
  <si>
    <t>Melting_Curves/meltCurve_Q6Y7W6_4_GIGYF2.pdf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</si>
  <si>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</si>
  <si>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</si>
  <si>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</si>
  <si>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</si>
  <si>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Melting_Curves/meltCurve_Q6ZMI0_PPP1R21.pdf</t>
  </si>
  <si>
    <t>Melting_Curves/meltCurve_Q6ZN18_2_AEBP2.pdf</t>
  </si>
  <si>
    <t>Melting_Curves/meltCurve_Q6ZNB6_NFXL1.pdf</t>
  </si>
  <si>
    <t>Melting_Curves/meltCurve_Q6ZNW5_GDPGP1.pdf</t>
  </si>
  <si>
    <t>Melting_Curves/meltCurve_Q6ZPD9_DPY19L3.pdf</t>
  </si>
  <si>
    <t>Melting_Curves/meltCurve_Q6ZRI6_2_C15orf39.pdf</t>
  </si>
  <si>
    <t>Melting_Curves/meltCurve_Q6ZRP7_QSOX2.pdf</t>
  </si>
  <si>
    <t>Melting_Curves/meltCurve_Q6ZRS2_3_SRCAP.pdf</t>
  </si>
  <si>
    <t>Melting_Curves/meltCurve_Q6ZS86_GK5.pdf</t>
  </si>
  <si>
    <t>Melting_Curves/meltCurve_Q6ZSJ8_C1orf122.pdf</t>
  </si>
  <si>
    <t>Melting_Curves/meltCurve_Q6ZSS7_MFSD6.pdf</t>
  </si>
  <si>
    <t>Melting_Curves/meltCurve_Q6ZT12_UBR3.pdf</t>
  </si>
  <si>
    <t>Melting_Curves/meltCurve_Q6ZT21_2_TMPPE.pdf</t>
  </si>
  <si>
    <t>Melting_Curves/meltCurve_Q6ZT62_SH3BP1.pdf</t>
  </si>
  <si>
    <t>Melting_Curves/meltCurve_Q6ZTN6_ANKRD13D.pdf</t>
  </si>
  <si>
    <t>Melting_Curves/meltCurve_Q6ZUT1_C11orf57.pdf</t>
  </si>
  <si>
    <t>Melting_Curves/meltCurve_Q6ZVK8_NUDT18.pdf</t>
  </si>
  <si>
    <t>Melting_Curves/meltCurve_Q6ZVM7_TOM1L2.pdf</t>
  </si>
  <si>
    <t>Melting_Curves/meltCurve_Q6ZXV5_2_TMTC3.pdf</t>
  </si>
  <si>
    <t>Melting_Curves/meltCurve_Q6ZYL4_GTF2H5.pdf</t>
  </si>
  <si>
    <t>Melting_Curves/meltCurve_Q709C8_3_VPS13C.pdf</t>
  </si>
  <si>
    <t>Melting_Curves/meltCurve_Q70CQ2_USP34.pdf</t>
  </si>
  <si>
    <t>Melting_Curves/meltCurve_Q70IA6_MOB2.pdf</t>
  </si>
  <si>
    <t>Melting_Curves/meltCurve_Q70J99_UNC13D.pdf</t>
  </si>
  <si>
    <t>Melting_Curves/meltCurve_Q70UQ0_IKBIP.pdf</t>
  </si>
  <si>
    <t>Melting_Curves/meltCurve_Q70UQ0_4_IKBIP.pdf</t>
  </si>
  <si>
    <t>Melting_Curves/meltCurve_Q70Z53_2_FRA10AC1.pdf</t>
  </si>
  <si>
    <t>Melting_Curves/meltCurve_Q712K3_UBE2R2.pdf</t>
  </si>
  <si>
    <t>Melting_Curves/meltCurve_Q71F23_MLF1IP.pdf</t>
  </si>
  <si>
    <t>Melting_Curves/meltCurve_Q71RC2_6_LARP4.pdf</t>
  </si>
  <si>
    <t>Melting_Curves/meltCurve_Q71SY5_2_MED25.pdf</t>
  </si>
  <si>
    <t>Melting_Curves/meltCurve_Q71U36_2_TUBA1A.pdf</t>
  </si>
  <si>
    <t>Melting_Curves/meltCurve_Q71UI9_H2AFV.pdf</t>
  </si>
  <si>
    <t>Melting_Curves/meltCurve_Q75QN2_INTS8.pdf</t>
  </si>
  <si>
    <t>Melting_Curves/meltCurve_Q76FK4_4_NOL8.pdf</t>
  </si>
  <si>
    <t>Melting_Curves/meltCurve_Q7KYR7_BTN2A1.pdf</t>
  </si>
  <si>
    <t>Melting_Curves/meltCurve_Q7KZ85_SUPT6H.pdf</t>
  </si>
  <si>
    <t>Melting_Curves/meltCurve_Q7KZ85_2_SUPT6H.pdf</t>
  </si>
  <si>
    <t>Melting_Curves/meltCurve_Q7KZF4_SND1.pdf</t>
  </si>
  <si>
    <t>Melting_Curves/meltCurve_Q7KZN9_2_COX15.pdf</t>
  </si>
  <si>
    <t>Melting_Curves/meltCurve_Q7L014_DDX46.pdf</t>
  </si>
  <si>
    <t>Melting_Curves/meltCurve_Q7L099_2_RUFY3.pdf</t>
  </si>
  <si>
    <t>Melting_Curves/meltCurve_Q7L099_4_RUFY3.pdf</t>
  </si>
  <si>
    <t>Melting_Curves/meltCurve_Q7L0J3_2_SV2A.pdf</t>
  </si>
  <si>
    <t>Melting_Curves/meltCurve_Q7L0Y3_TRMT10C.pdf</t>
  </si>
  <si>
    <t>Melting_Curves/meltCurve_Q7L1Q6_BZW1.pdf</t>
  </si>
  <si>
    <t>Melting_Curves/meltCurve_Q7L1T6_CYB5R4.pdf</t>
  </si>
  <si>
    <t>Melting_Curves/meltCurve_Q7L211_ABHD13.pdf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</si>
  <si>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</si>
  <si>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</si>
  <si>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</si>
  <si>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</si>
  <si>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</si>
  <si>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Melting_Curves/meltCurve_Q7L3T8_PARS2.pdf</t>
  </si>
  <si>
    <t>Melting_Curves/meltCurve_Q7L4I2_RSRC2.pdf</t>
  </si>
  <si>
    <t>Melting_Curves/meltCurve_Q7L4P6_2_BEND5.pdf</t>
  </si>
  <si>
    <t>Melting_Curves/meltCurve_Q7L523_RRAGA.pdf</t>
  </si>
  <si>
    <t>Melting_Curves/meltCurve_Q7L576_CYFIP1.pdf</t>
  </si>
  <si>
    <t>Melting_Curves/meltCurve_Q7L5D6_GET4.pdf</t>
  </si>
  <si>
    <t>Melting_Curves/meltCurve_Q7L5N7_LPCAT2.pdf</t>
  </si>
  <si>
    <t>Melting_Curves/meltCurve_Q7L5Y1_ENOSF1.pdf</t>
  </si>
  <si>
    <t>Melting_Curves/meltCurve_Q7L5Y9_MAEA.pdf</t>
  </si>
  <si>
    <t>Melting_Curves/meltCurve_Q7L775_EPM2AIP1.pdf</t>
  </si>
  <si>
    <t>Melting_Curves/meltCurve_Q7L7L0_HIST3H2A.pdf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</si>
  <si>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</si>
  <si>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</si>
  <si>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</si>
  <si>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</si>
  <si>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Melting_Curves/meltCurve_Q7L9B9_EEPD1.pdf</t>
  </si>
  <si>
    <t>Melting_Curves/meltCurve_Q7LBC6_KDM3B.pdf</t>
  </si>
  <si>
    <t>Melting_Curves/meltCurve_Q7LBR1_CHMP1B.pdf</t>
  </si>
  <si>
    <t>Melting_Curves/meltCurve_Q7LDG7_RASGRP2.pdf</t>
  </si>
  <si>
    <t>Melting_Curves/meltCurve_Q7LGA3_HS2ST1.pdf</t>
  </si>
  <si>
    <t>Melting_Curves/meltCurve_Q7RTN6_6_STRADA.pdf</t>
  </si>
  <si>
    <t>Melting_Curves/meltCurve_Q7RTP0_NIPA1.pdf</t>
  </si>
  <si>
    <t>Melting_Curves/meltCurve_Q7RTP6_MICAL3.pdf</t>
  </si>
  <si>
    <t>Melting_Curves/meltCurve_Q7RTV0_PHF5A.pdf</t>
  </si>
  <si>
    <t>Melting_Curves/meltCurve_Q7Z2E3_7_APTX.pdf</t>
  </si>
  <si>
    <t>Melting_Curves/meltCurve_Q7Z2K6_ERMP1.pdf</t>
  </si>
  <si>
    <t>Melting_Curves/meltCurve_Q7Z2K8_GPRIN1.pdf</t>
  </si>
  <si>
    <t>Melting_Curves/meltCurve_Q7Z2T5_TRMT1L.pdf</t>
  </si>
  <si>
    <t>Melting_Curves/meltCurve_Q7Z2W4_ZC3HAV1.pdf</t>
  </si>
  <si>
    <t>Melting_Curves/meltCurve_Q7Z2Z2_EFTUD1.pdf</t>
  </si>
  <si>
    <t>Melting_Curves/meltCurve_Q7Z309_FAM122B.pdf</t>
  </si>
  <si>
    <t>Melting_Curves/meltCurve_Q7Z392_TRAPPC11.pdf</t>
  </si>
  <si>
    <t>Melting_Curves/meltCurve_Q7Z3C6_2_ATG9A.pdf</t>
  </si>
  <si>
    <t>Melting_Curves/meltCurve_Q7Z3D4_LYSMD3.pdf</t>
  </si>
  <si>
    <t>Melting_Curves/meltCurve_Q7Z3D6_2_C14orf159.pdf</t>
  </si>
  <si>
    <t>Melting_Curves/meltCurve_Q7Z3K3_5_POGZ.pdf</t>
  </si>
  <si>
    <t>Melting_Curves/meltCurve_Q7Z3T8_ZFYVE16.pdf</t>
  </si>
  <si>
    <t>Melting_Curves/meltCurve_Q7Z3Z2_RD3.pdf</t>
  </si>
  <si>
    <t>Melting_Curves/meltCurve_Q7Z403_3_TMC6.pdf</t>
  </si>
  <si>
    <t>Melting_Curves/meltCurve_Q7Z417_NUFIP2.pdf</t>
  </si>
  <si>
    <t>Melting_Curves/meltCurve_Q7Z422_2_SZRD1.pdf</t>
  </si>
  <si>
    <t>Melting_Curves/meltCurve_Q7Z434_MAVS.pdf</t>
  </si>
  <si>
    <t>Melting_Curves/meltCurve_Q7Z449_CYP2U1.pdf</t>
  </si>
  <si>
    <t>Melting_Curves/meltCurve_Q7Z478_DHX29.pdf</t>
  </si>
  <si>
    <t>Melting_Curves/meltCurve_Q7Z4G1_COMMD6.pdf</t>
  </si>
  <si>
    <t>Melting_Curves/meltCurve_Q7Z4G4_2_TRMT11.pdf</t>
  </si>
  <si>
    <t>Melting_Curves/meltCurve_Q7Z4H3_HDDC2.pdf</t>
  </si>
  <si>
    <t>Melting_Curves/meltCurve_Q7Z4H7_3_HAUS6.pdf</t>
  </si>
  <si>
    <t>Melting_Curves/meltCurve_Q7Z4Q2_HEATR3.pdf</t>
  </si>
  <si>
    <t>Melting_Curves/meltCurve_Q7Z4V5_HDGFRP2.pdf</t>
  </si>
  <si>
    <t>Melting_Curves/meltCurve_Q7Z4V5_2_HDGFRP2.pdf</t>
  </si>
  <si>
    <t>Melting_Curves/meltCurve_Q7Z4W1_DCXR.pdf</t>
  </si>
  <si>
    <t>Melting_Curves/meltCurve_Q7Z5G4_GOLGA7.pdf</t>
  </si>
  <si>
    <t>Melting_Curves/meltCurve_Q7Z5K2_WAPAL.pdf</t>
  </si>
  <si>
    <t>Melting_Curves/meltCurve_Q7Z5L9_2_IRF2BP2.pdf</t>
  </si>
  <si>
    <t>Melting_Curves/meltCurve_Q7Z5R6_APBB1IP.pdf</t>
  </si>
  <si>
    <t>Melting_Curves/meltCurve_Q7Z5W3_BCDIN3D.pdf</t>
  </si>
  <si>
    <t>Melting_Curves/meltCurve_Q7Z5Y7_KCTD20.pdf</t>
  </si>
  <si>
    <t>Melting_Curves/meltCurve_Q7Z6B0_2_CCDC91.pdf</t>
  </si>
  <si>
    <t>Melting_Curves/meltCurve_Q7Z6E9_RBBP6.pdf</t>
  </si>
  <si>
    <t>Melting_Curves/meltCurve_Q7Z6I6_ARHGAP30.pdf</t>
  </si>
  <si>
    <t>Melting_Curves/meltCurve_Q7Z6I8_C5orf24.pdf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</si>
  <si>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</si>
  <si>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</si>
  <si>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</si>
  <si>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</si>
  <si>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</si>
  <si>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Melting_Curves/meltCurve_Q7Z6M2_FBXO33.pdf</t>
  </si>
  <si>
    <t>Melting_Curves/meltCurve_Q7Z6M4_MTERFD2.pdf</t>
  </si>
  <si>
    <t>Melting_Curves/meltCurve_Q7Z6V5_ADAT2.pdf</t>
  </si>
  <si>
    <t>Melting_Curves/meltCurve_Q7Z6Z7_2_HUWE1.pdf</t>
  </si>
  <si>
    <t>Melting_Curves/meltCurve_Q7Z7A3_CTU1.pdf</t>
  </si>
  <si>
    <t>Melting_Curves/meltCurve_Q7Z7A4_2_PXK.pdf</t>
  </si>
  <si>
    <t>Melting_Curves/meltCurve_Q7Z7C8_TAF8.pdf</t>
  </si>
  <si>
    <t>Melting_Curves/meltCurve_Q7Z7E8_UBE2Q1.pdf</t>
  </si>
  <si>
    <t>Melting_Curves/meltCurve_Q7Z7F0_KIAA0907.pdf</t>
  </si>
  <si>
    <t>Melting_Curves/meltCurve_Q7Z7H5_3_TMED4.pdf</t>
  </si>
  <si>
    <t>Melting_Curves/meltCurve_Q7Z7H8_MRPL10.pdf</t>
  </si>
  <si>
    <t>Melting_Curves/meltCurve_Q7Z7K6_3_CENPV.pdf</t>
  </si>
  <si>
    <t>Melting_Curves/meltCurve_Q7Z7L1_SLFN11.pdf</t>
  </si>
  <si>
    <t>Melting_Curves/meltCurve_Q7Z7N9_TMEM179B.pdf</t>
  </si>
  <si>
    <t>Melting_Curves/meltCurve_Q86SE8_NPM2.pdf</t>
  </si>
  <si>
    <t>Melting_Curves/meltCurve_Q86SF2_GALNT7.pdf</t>
  </si>
  <si>
    <t>Melting_Curves/meltCurve_Q86SK9_2_SCD5.pdf</t>
  </si>
  <si>
    <t>Melting_Curves/meltCurve_Q86SX6_GLRX5.pdf</t>
  </si>
  <si>
    <t>Melting_Curves/meltCurve_Q86SZ2_TRAPPC6B.pdf</t>
  </si>
  <si>
    <t>Melting_Curves/meltCurve_Q86T03_TMEM55B.pdf</t>
  </si>
  <si>
    <t>Melting_Curves/meltCurve_Q86TB9_4_PATL1.pdf</t>
  </si>
  <si>
    <t>Melting_Curves/meltCurve_Q86TI0_2_TBC1D1.pdf</t>
  </si>
  <si>
    <t>Melting_Curves/meltCurve_Q86TI2_2_DPP9.pdf</t>
  </si>
  <si>
    <t>Melting_Curves/meltCurve_Q86TM6_2_SYVN1.pdf</t>
  </si>
  <si>
    <t>Melting_Curves/meltCurve_Q86TN4_TRPT1.pdf</t>
  </si>
  <si>
    <t>Melting_Curves/meltCurve_Q86TP1_PRUNE.pdf</t>
  </si>
  <si>
    <t>Melting_Curves/meltCurve_Q86TU7_SETD3.pdf</t>
  </si>
  <si>
    <t>Melting_Curves/meltCurve_Q86TV2_LGMN.pdf</t>
  </si>
  <si>
    <t>Melting_Curves/meltCurve_Q86TW2_2_ADCK1.pdf</t>
  </si>
  <si>
    <t>Melting_Curves/meltCurve_Q86U06_4_RBM23.pdf</t>
  </si>
  <si>
    <t>Melting_Curves/meltCurve_Q86U28_ISCA2.pdf</t>
  </si>
  <si>
    <t>Melting_Curves/meltCurve_Q86U38_NOP9.pdf</t>
  </si>
  <si>
    <t>Melting_Curves/meltCurve_Q86U44_METTL3.pdf</t>
  </si>
  <si>
    <t>Melting_Curves/meltCurve_Q86U70_3_LDB1.pdf</t>
  </si>
  <si>
    <t>Melting_Curves/meltCurve_Q86U86_5_PBRM1.pdf</t>
  </si>
  <si>
    <t>Melting_Curves/meltCurve_Q86U90_YRDC.pdf</t>
  </si>
  <si>
    <t>Melting_Curves/meltCurve_Q86UA1_PRPF39.pdf</t>
  </si>
  <si>
    <t>Melting_Curves/meltCurve_Q86UA6_3_RPAIN.pdf</t>
  </si>
  <si>
    <t>Melting_Curves/meltCurve_Q86UE4_MTDH.pdf</t>
  </si>
  <si>
    <t>Melting_Curves/meltCurve_Q86UE8_2_TLK2.pdf</t>
  </si>
  <si>
    <t>Melting_Curves/meltCurve_Q86UF1_TSPAN33.pdf</t>
  </si>
  <si>
    <t>Melting_Curves/meltCurve_Q86UK7_2_ZNF598.pdf</t>
  </si>
  <si>
    <t>Melting_Curves/meltCurve_Q86UL3_AGPAT6.pdf</t>
  </si>
  <si>
    <t>Melting_Curves/meltCurve_Q86UN3_RTN4RL2.pdf</t>
  </si>
  <si>
    <t>Melting_Curves/meltCurve_Q86UP2_KTN1.pdf</t>
  </si>
  <si>
    <t>Melting_Curves/meltCurve_Q86US8_SMG6.pdf</t>
  </si>
  <si>
    <t>Melting_Curves/meltCurve_Q86UU0_4_BCL9L.pdf</t>
  </si>
  <si>
    <t>Melting_Curves/meltCurve_Q86UV5_USP48.pdf</t>
  </si>
  <si>
    <t>Melting_Curves/meltCurve_Q86UX3_ABCC5.pdf</t>
  </si>
  <si>
    <t>Melting_Curves/meltCurve_Q86UX7_2_FERMT3.pdf</t>
  </si>
  <si>
    <t>Melting_Curves/meltCurve_Q86UY0_TXNDC5.pdf</t>
  </si>
  <si>
    <t>Melting_Curves/meltCurve_Q86UY6_NAA40.pdf</t>
  </si>
  <si>
    <t>Melting_Curves/meltCurve_Q86UY8_2_NT5DC3.pdf</t>
  </si>
  <si>
    <t>Melting_Curves/meltCurve_Q86V21_AACS.pdf</t>
  </si>
  <si>
    <t>Melting_Curves/meltCurve_Q86V48_2_LUZP1.pdf</t>
  </si>
  <si>
    <t>Melting_Curves/meltCurve_Q86V59_2_PNMAL1.pdf</t>
  </si>
  <si>
    <t>Melting_Curves/meltCurve_Q86V85_GPR180.pdf</t>
  </si>
  <si>
    <t>Melting_Curves/meltCurve_Q86V87_FAM160B2.pdf</t>
  </si>
  <si>
    <t>Melting_Curves/meltCurve_Q86V88_MDP1.pdf</t>
  </si>
  <si>
    <t>Melting_Curves/meltCurve_Q86VN1_2_VPS36.pdf</t>
  </si>
  <si>
    <t>Melting_Curves/meltCurve_Q86VP1_2_TAX1BP1.pdf</t>
  </si>
  <si>
    <t>Melting_Curves/meltCurve_Q86VP6_CAND1.pdf</t>
  </si>
  <si>
    <t>Melting_Curves/meltCurve_Q86VQ1_GLCCI1.pdf</t>
  </si>
  <si>
    <t>Melting_Curves/meltCurve_Q86VQ2_WASF3.pdf</t>
  </si>
  <si>
    <t>Melting_Curves/meltCurve_Q86VR2_FAM134C.pdf</t>
  </si>
  <si>
    <t>Melting_Curves/meltCurve_Q86VS8_HOOK3.pdf</t>
  </si>
  <si>
    <t>Melting_Curves/meltCurve_Q86VU5_COMTD1.pdf</t>
  </si>
  <si>
    <t>Melting_Curves/meltCurve_Q86VW0_SESTD1.pdf</t>
  </si>
  <si>
    <t>Melting_Curves/meltCurve_Q86VX2_2_COMMD7.pdf</t>
  </si>
  <si>
    <t>Melting_Curves/meltCurve_Q86VX9_MON1A.pdf</t>
  </si>
  <si>
    <t>Melting_Curves/meltCurve_Q86VY4_TSPYL5.pdf</t>
  </si>
  <si>
    <t>Melting_Curves/meltCurve_Q86VZ1_P2RY8.pdf</t>
  </si>
  <si>
    <t>Melting_Curves/meltCurve_Q86W33_TPRA1.pdf</t>
  </si>
  <si>
    <t>Melting_Curves/meltCurve_Q86W42_THOC6.pdf</t>
  </si>
  <si>
    <t>Melting_Curves/meltCurve_Q86W50_METTL16.pdf</t>
  </si>
  <si>
    <t>Melting_Curves/meltCurve_Q86W56_PARG.pdf</t>
  </si>
  <si>
    <t>Melting_Curves/meltCurve_Q86WA6_2_BPHL.pdf</t>
  </si>
  <si>
    <t>Melting_Curves/meltCurve_Q86WA8_LONP2.pdf</t>
  </si>
  <si>
    <t>Melting_Curves/meltCurve_Q86WC4_OSTM1.pdf</t>
  </si>
  <si>
    <t>Melting_Curves/meltCurve_Q86WJ1_CHD1L.pdf</t>
  </si>
  <si>
    <t>Melting_Curves/meltCurve_Q86WQ0_NR2C2AP.pdf</t>
  </si>
  <si>
    <t>Melting_Curves/meltCurve_Q86WR0_CCDC25.pdf</t>
  </si>
  <si>
    <t>Melting_Curves/meltCurve_Q86WV1_2_SKAP1.pdf</t>
  </si>
  <si>
    <t>Melting_Curves/meltCurve_Q86WV6_TMEM173.pdf</t>
  </si>
  <si>
    <t>Melting_Curves/meltCurve_Q86WV7_CCDC43.pdf</t>
  </si>
  <si>
    <t>Melting_Curves/meltCurve_Q86WX3_RPS19BP1.pdf</t>
  </si>
  <si>
    <t>Melting_Curves/meltCurve_Q86X02_CDR2L.pdf</t>
  </si>
  <si>
    <t>Melting_Curves/meltCurve_Q86X10_RALGAPB.pdf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</si>
  <si>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</si>
  <si>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</si>
  <si>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</si>
  <si>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</si>
  <si>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Melting_Curves/meltCurve_Q86X95_CIR1.pdf</t>
  </si>
  <si>
    <t>Melting_Curves/meltCurve_Q86XI2_NCAPG2.pdf</t>
  </si>
  <si>
    <t>Melting_Curves/meltCurve_Q86XK3_3_SFR1.pdf</t>
  </si>
  <si>
    <t>Melting_Curves/meltCurve_Q86XP3_DDX42.pdf</t>
  </si>
  <si>
    <t>Melting_Curves/meltCurve_Q86XZ4_SPATS2.pdf</t>
  </si>
  <si>
    <t>Melting_Curves/meltCurve_Q86Y07_4_VRK2.pdf</t>
  </si>
  <si>
    <t>Melting_Curves/meltCurve_Q86Y37_CACUL1.pdf</t>
  </si>
  <si>
    <t>Melting_Curves/meltCurve_Q86Y39_NDUFA11.pdf</t>
  </si>
  <si>
    <t>Melting_Curves/meltCurve_Q86Y56_HEATR2.pdf</t>
  </si>
  <si>
    <t>Melting_Curves/meltCurve_Q86Y79_PTRH1.pdf</t>
  </si>
  <si>
    <t>Melting_Curves/meltCurve_Q86Y82_STX12.pdf</t>
  </si>
  <si>
    <t>Melting_Curves/meltCurve_Q86YC3_LRRC33.pdf</t>
  </si>
  <si>
    <t>Melting_Curves/meltCurve_Q86YH6_PDSS2.pdf</t>
  </si>
  <si>
    <t>Melting_Curves/meltCurve_Q86YM7_HOMER1.pdf</t>
  </si>
  <si>
    <t>Melting_Curves/meltCurve_Q86YP4_GATAD2A.pdf</t>
  </si>
  <si>
    <t>Melting_Curves/meltCurve_Q86YR5_4_GPSM1.pdf</t>
  </si>
  <si>
    <t>Melting_Curves/meltCurve_Q86YS6_RAB43.pdf</t>
  </si>
  <si>
    <t>Melting_Curves/meltCurve_Q86YS7_C2CD5.pdf</t>
  </si>
  <si>
    <t>Melting_Curves/meltCurve_Q86YT6_MIB1.pdf</t>
  </si>
  <si>
    <t>Melting_Curves/meltCurve_Q86YV0_RASAL3.pdf</t>
  </si>
  <si>
    <t>Melting_Curves/meltCurve_Q8IU81_IRF2BP1.pdf</t>
  </si>
  <si>
    <t>Melting_Curves/meltCurve_Q8IU85_2_CAMK1D.pdf</t>
  </si>
  <si>
    <t>Melting_Curves/meltCurve_Q8IUE6_HIST2H2AB.pdf</t>
  </si>
  <si>
    <t>Melting_Curves/meltCurve_Q8IUF8_MINA.pdf</t>
  </si>
  <si>
    <t>Melting_Curves/meltCurve_Q8IUH4_ZDHHC13.pdf</t>
  </si>
  <si>
    <t>Melting_Curves/meltCurve_Q8IUH5_ZDHHC17.pdf</t>
  </si>
  <si>
    <t>Melting_Curves/meltCurve_Q8IUI8_CRLF3.pdf</t>
  </si>
  <si>
    <t>Melting_Curves/meltCurve_Q8IUR0_TRAPPC5.pdf</t>
  </si>
  <si>
    <t>Melting_Curves/meltCurve_Q8IUW5_RELL1.pdf</t>
  </si>
  <si>
    <t>Melting_Curves/meltCurve_Q8IUX1_4_TMEM126B.pdf</t>
  </si>
  <si>
    <t>Melting_Curves/meltCurve_Q8IUX7_AEBP1.pdf</t>
  </si>
  <si>
    <t>Melting_Curves/meltCurve_Q8IUZ5_AGXT2L2.pdf</t>
  </si>
  <si>
    <t>Melting_Curves/meltCurve_Q8IV08_PLD3.pdf</t>
  </si>
  <si>
    <t>Melting_Curves/meltCurve_Q8IV38_ANKMY2.pdf</t>
  </si>
  <si>
    <t>Melting_Curves/meltCurve_Q8IV48_ERI1.pdf</t>
  </si>
  <si>
    <t>Melting_Curves/meltCurve_Q8IV50_LYSMD2.pdf</t>
  </si>
  <si>
    <t>Melting_Curves/meltCurve_Q8IV53_2_DENND1C.pdf</t>
  </si>
  <si>
    <t>Melting_Curves/meltCurve_Q8IV63_3_VRK3.pdf</t>
  </si>
  <si>
    <t>Melting_Curves/meltCurve_Q8IVB5_LIX1L.pdf</t>
  </si>
  <si>
    <t>Melting_Curves/meltCurve_Q8IVD9_NUDCD3.pdf</t>
  </si>
  <si>
    <t>Melting_Curves/meltCurve_Q8IVF2_3_AHNAK2.pdf</t>
  </si>
  <si>
    <t>Melting_Curves/meltCurve_Q8IVH4_MMAA.pdf</t>
  </si>
  <si>
    <t>Melting_Curves/meltCurve_Q8IVP5_FUNDC1.pdf</t>
  </si>
  <si>
    <t>Melting_Curves/meltCurve_Q8IVS2_MCAT.pdf</t>
  </si>
  <si>
    <t>Melting_Curves/meltCurve_Q8IVV7_GID4.pdf</t>
  </si>
  <si>
    <t>Melting_Curves/meltCurve_Q8IW19_APLF.pdf</t>
  </si>
  <si>
    <t>Melting_Curves/meltCurve_Q8IW45_CARKD.pdf</t>
  </si>
  <si>
    <t>Melting_Curves/meltCurve_Q8IWA0_WDR75.pdf</t>
  </si>
  <si>
    <t>Melting_Curves/meltCurve_Q8IWA4_MFN1.pdf</t>
  </si>
  <si>
    <t>Melting_Curves/meltCurve_Q8IWB1_ITPRIP.pdf</t>
  </si>
  <si>
    <t>Melting_Curves/meltCurve_Q8IWB7_WDFY1.pdf</t>
  </si>
  <si>
    <t>Melting_Curves/meltCurve_Q8IWD4_CCDC117.pdf</t>
  </si>
  <si>
    <t>Melting_Curves/meltCurve_Q8IWJ2_GCC2.pdf</t>
  </si>
  <si>
    <t>Melting_Curves/meltCurve_Q8IWS0_PHF6.pdf</t>
  </si>
  <si>
    <t>Melting_Curves/meltCurve_Q8IWT6_LRRC8A.pdf</t>
  </si>
  <si>
    <t>Melting_Curves/meltCurve_Q8IWV7_UBR1.pdf</t>
  </si>
  <si>
    <t>Melting_Curves/meltCurve_Q8IWV8_UBR2.pdf</t>
  </si>
  <si>
    <t>Melting_Curves/meltCurve_Q8IWW6_3_ARHGAP12.pdf</t>
  </si>
  <si>
    <t>Melting_Curves/meltCurve_Q8IWY9_CDAN1.pdf</t>
  </si>
  <si>
    <t>Melting_Curves/meltCurve_Q8IWZ3_6_ANKHD1.pdf</t>
  </si>
  <si>
    <t>Melting_Curves/meltCurve_Q8IWZ8_SUGP1.pdf</t>
  </si>
  <si>
    <t>Melting_Curves/meltCurve_Q8IX12_2_CCAR1.pdf</t>
  </si>
  <si>
    <t>Melting_Curves/meltCurve_Q8IX18_3_DHX40.pdf</t>
  </si>
  <si>
    <t>Melting_Curves/meltCurve_Q8IX90_SKA3.pdf</t>
  </si>
  <si>
    <t>Melting_Curves/meltCurve_Q8IXB1_DNAJC10.pdf</t>
  </si>
  <si>
    <t>Melting_Curves/meltCurve_Q8IXI1_RHOT2.pdf</t>
  </si>
  <si>
    <t>Melting_Curves/meltCurve_Q8IXI2_2_RHOT1.pdf</t>
  </si>
  <si>
    <t>Melting_Curves/meltCurve_Q8IXJ6_2_SIRT2.pdf</t>
  </si>
  <si>
    <t>Melting_Curves/meltCurve_Q8IXK2_GALNT12.pdf</t>
  </si>
  <si>
    <t>Melting_Curves/meltCurve_Q8IXM6_NRM.pdf</t>
  </si>
  <si>
    <t>Melting_Curves/meltCurve_Q8IXN7_RIMKLA.pdf</t>
  </si>
  <si>
    <t>Melting_Curves/meltCurve_Q8IXQ3_C9orf40.pdf</t>
  </si>
  <si>
    <t>Melting_Curves/meltCurve_Q8IXQ4_KIAA1704.pdf</t>
  </si>
  <si>
    <t>Melting_Curves/meltCurve_Q8IXQ5_2_KLHL7.pdf</t>
  </si>
  <si>
    <t>Melting_Curves/meltCurve_Q8IXQ6_2_PARP9.pdf</t>
  </si>
  <si>
    <t>Melting_Curves/meltCurve_Q8IXT5_RBM12B.pdf</t>
  </si>
  <si>
    <t>Melting_Curves/meltCurve_Q8IY17_2_PNPLA6.pdf</t>
  </si>
  <si>
    <t>Melting_Curves/meltCurve_Q8IY18_SMC5.pdf</t>
  </si>
  <si>
    <t>Melting_Curves/meltCurve_Q8IY21_DDX60.pdf</t>
  </si>
  <si>
    <t>Melting_Curves/meltCurve_Q8IY26_PPAPDC2.pdf</t>
  </si>
  <si>
    <t>Melting_Curves/meltCurve_Q8IY37_DHX37.pdf</t>
  </si>
  <si>
    <t>Melting_Curves/meltCurve_Q8IY47_KBTBD2.pdf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</si>
  <si>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</si>
  <si>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</si>
  <si>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</si>
  <si>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</si>
  <si>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</si>
  <si>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</si>
  <si>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Melting_Curves/meltCurve_Q8IYH5_4_ZZZ3.pdf</t>
  </si>
  <si>
    <t>Melting_Curves/meltCurve_Q8IYI6_EXOC8.pdf</t>
  </si>
  <si>
    <t>Melting_Curves/meltCurve_Q8IYJ3_SYTL1.pdf</t>
  </si>
  <si>
    <t>Melting_Curves/meltCurve_Q8IYL3_C1orf174.pdf</t>
  </si>
  <si>
    <t>Melting_Curves/meltCurve_Q8IYN2_TCEAL8.pdf</t>
  </si>
  <si>
    <t>Melting_Curves/meltCurve_Q8IYQ7_THNSL1.pdf</t>
  </si>
  <si>
    <t>Melting_Curves/meltCurve_Q8IYS1_PM20D2.pdf</t>
  </si>
  <si>
    <t>Melting_Curves/meltCurve_Q8IYS2_KIAA2013.pdf</t>
  </si>
  <si>
    <t>Melting_Curves/meltCurve_Q8IYT2_FTSJD1.pdf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</si>
  <si>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</si>
  <si>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</si>
  <si>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</si>
  <si>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</si>
  <si>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Melting_Curves/meltCurve_Q8IZ40_RCOR2.pdf</t>
  </si>
  <si>
    <t>Melting_Curves/meltCurve_Q8IZ68_MTX2.pdf</t>
  </si>
  <si>
    <t>Melting_Curves/meltCurve_Q8IZ73_RPUSD2.pdf</t>
  </si>
  <si>
    <t>Melting_Curves/meltCurve_Q8IZ81_ELMOD2.pdf</t>
  </si>
  <si>
    <t>Melting_Curves/meltCurve_Q8IZ83_ALDH16A1.pdf</t>
  </si>
  <si>
    <t>Melting_Curves/meltCurve_Q8IZD4_DCP1B.pdf</t>
  </si>
  <si>
    <t>Melting_Curves/meltCurve_Q8IZE3_2_SCYL3.pdf</t>
  </si>
  <si>
    <t>Melting_Curves/meltCurve_Q8IZH2_2_XRN1.pdf</t>
  </si>
  <si>
    <t>Melting_Curves/meltCurve_Q8IZQ5_SELH.pdf</t>
  </si>
  <si>
    <t>Melting_Curves/meltCurve_Q8IZR5_3_CMTM4.pdf</t>
  </si>
  <si>
    <t>Melting_Curves/meltCurve_Q8N0T1_C8orf59.pdf</t>
  </si>
  <si>
    <t>Melting_Curves/meltCurve_Q8N0U8_VKORC1L1.pdf</t>
  </si>
  <si>
    <t>Melting_Curves/meltCurve_Q8N0V3_RBFA.pdf</t>
  </si>
  <si>
    <t>Melting_Curves/meltCurve_Q8N0W3_FUK.pdf</t>
  </si>
  <si>
    <t>Melting_Curves/meltCurve_Q8N0X4_CLYBL.pdf</t>
  </si>
  <si>
    <t>Melting_Curves/meltCurve_Q8N0Y7_PGAM4.pdf</t>
  </si>
  <si>
    <t>Melting_Curves/meltCurve_Q8N0Z6_TTC5.pdf</t>
  </si>
  <si>
    <t>Melting_Curves/meltCurve_Q8N108_17_MIER1.pdf</t>
  </si>
  <si>
    <t>Melting_Curves/meltCurve_Q8N122_RPTOR.pdf</t>
  </si>
  <si>
    <t>Melting_Curves/meltCurve_Q8N129_CNPY4.pdf</t>
  </si>
  <si>
    <t>Melting_Curves/meltCurve_Q8N163_KIAA1967.pdf</t>
  </si>
  <si>
    <t>Melting_Curves/meltCurve_Q8N183_NDUFAF2.pdf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</si>
  <si>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</si>
  <si>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</si>
  <si>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</si>
  <si>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</si>
  <si>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Melting_Curves/meltCurve_Q8N1K5_THEMIS.pdf</t>
  </si>
  <si>
    <t>Melting_Curves/meltCurve_Q8N1S5_2_SLC39A11.pdf</t>
  </si>
  <si>
    <t>Melting_Curves/meltCurve_Q8N201_INTS1.pdf</t>
  </si>
  <si>
    <t>Melting_Curves/meltCurve_Q8N2F6_3_ARMC10.pdf</t>
  </si>
  <si>
    <t>Melting_Curves/meltCurve_Q8N2G8_3_GHDC.pdf</t>
  </si>
  <si>
    <t>Melting_Curves/meltCurve_Q8N2K0_ABHD12.pdf</t>
  </si>
  <si>
    <t>Melting_Curves/meltCurve_Q8N2W9_PIAS4.pdf</t>
  </si>
  <si>
    <t>Melting_Curves/meltCurve_Q8N2Z9_APITD1.pdf</t>
  </si>
  <si>
    <t>Melting_Curves/meltCurve_Q8N300_CCDC23.pdf</t>
  </si>
  <si>
    <t>Melting_Curves/meltCurve_Q8N302_AGGF1.pdf</t>
  </si>
  <si>
    <t>Melting_Curves/meltCurve_Q8N335_GPD1L.pdf</t>
  </si>
  <si>
    <t>Melting_Curves/meltCurve_Q8N344_MIER2.pdf</t>
  </si>
  <si>
    <t>Melting_Curves/meltCurve_Q8N357_SLC35F6.pdf</t>
  </si>
  <si>
    <t>Melting_Curves/meltCurve_Q8N371_KDM8.pdf</t>
  </si>
  <si>
    <t>Melting_Curves/meltCurve_Q8N3D4_EHBP1L1.pdf</t>
  </si>
  <si>
    <t>Melting_Curves/meltCurve_Q8N3F8_MICALL1.pdf</t>
  </si>
  <si>
    <t>Melting_Curves/meltCurve_Q8N3X1_FNBP4.pdf</t>
  </si>
  <si>
    <t>Melting_Curves/meltCurve_Q8N3Z3_GTPBP8.pdf</t>
  </si>
  <si>
    <t>Melting_Curves/meltCurve_Q8N442_GUF1.pdf</t>
  </si>
  <si>
    <t>Melting_Curves/meltCurve_Q8N465_D2HGDH.pdf</t>
  </si>
  <si>
    <t>Melting_Curves/meltCurve_Q8N488_RYBP.pdf</t>
  </si>
  <si>
    <t>Melting_Curves/meltCurve_Q8N490_PNKD.pdf</t>
  </si>
  <si>
    <t>Melting_Curves/meltCurve_Q8N490_2_PNKD.pdf</t>
  </si>
  <si>
    <t>Melting_Curves/meltCurve_Q8N4C8_5_MINK1.pdf</t>
  </si>
  <si>
    <t>Melting_Curves/meltCurve_Q8N4H5_TOMM5.pdf</t>
  </si>
  <si>
    <t>Melting_Curves/meltCurve_Q8N4P3_HDDC3.pdf</t>
  </si>
  <si>
    <t>Melting_Curves/meltCurve_Q8N4Q0_ZADH2.pdf</t>
  </si>
  <si>
    <t>Melting_Curves/meltCurve_Q8N4Q1_CHCHD4.pdf</t>
  </si>
  <si>
    <t>Melting_Curves/meltCurve_Q8N4T8_CBR4.pdf</t>
  </si>
  <si>
    <t>Melting_Curves/meltCurve_Q8N4V1_MMGT1.pdf</t>
  </si>
  <si>
    <t>Melting_Curves/meltCurve_Q8N543_OGFOD1.pdf</t>
  </si>
  <si>
    <t>Melting_Curves/meltCurve_Q8N567_ZCCHC9.pdf</t>
  </si>
  <si>
    <t>Melting_Curves/meltCurve_Q8N573_2_OXR1.pdf</t>
  </si>
  <si>
    <t>Melting_Curves/meltCurve_Q8N584_2_TTC39C.pdf</t>
  </si>
  <si>
    <t>Melting_Curves/meltCurve_Q8N5A5_2_ZGPAT.pdf</t>
  </si>
  <si>
    <t>Melting_Curves/meltCurve_Q8N5C7_DTWD1.pdf</t>
  </si>
  <si>
    <t>Melting_Curves/meltCurve_Q8N5F7_NKAP.pdf</t>
  </si>
  <si>
    <t>Melting_Curves/meltCurve_Q8N5G0_2_SMIM20.pdf</t>
  </si>
  <si>
    <t>Melting_Curves/meltCurve_Q8N5G2_TMEM57.pdf</t>
  </si>
  <si>
    <t>Melting_Curves/meltCurve_Q8N5I4_DHRSX.pdf</t>
  </si>
  <si>
    <t>Melting_Curves/meltCurve_Q8N5I9_C12orf45.pdf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</si>
  <si>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</si>
  <si>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</si>
  <si>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</si>
  <si>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</si>
  <si>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</si>
  <si>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Melting_Curves/meltCurve_Q8N5P1_ZC3H8.pdf</t>
  </si>
  <si>
    <t>Melting_Curves/meltCurve_Q8N5Y8_PARP16.pdf</t>
  </si>
  <si>
    <t>Melting_Curves/meltCurve_Q8N5Z5_2_KCTD17.pdf</t>
  </si>
  <si>
    <t>Melting_Curves/meltCurve_Q8N608_4_DPP10.pdf</t>
  </si>
  <si>
    <t>Melting_Curves/meltCurve_Q8N668_COMMD1.pdf</t>
  </si>
  <si>
    <t>Melting_Curves/meltCurve_Q8N684_CPSF7.pdf</t>
  </si>
  <si>
    <t>Melting_Curves/meltCurve_Q8N697_SLC15A4.pdf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</si>
  <si>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</si>
  <si>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</si>
  <si>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</si>
  <si>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</si>
  <si>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Melting_Curves/meltCurve_Q8N6Q8_METTL25.pdf</t>
  </si>
  <si>
    <t>Melting_Curves/meltCurve_Q8N6S5_ARL6IP6.pdf</t>
  </si>
  <si>
    <t>Melting_Curves/meltCurve_Q8N6T3_ARFGAP1.pdf</t>
  </si>
  <si>
    <t>Melting_Curves/meltCurve_Q8N6T7_SIRT6.pdf</t>
  </si>
  <si>
    <t>Melting_Curves/meltCurve_Q8N766_3_EMC1.pdf</t>
  </si>
  <si>
    <t>Melting_Curves/meltCurve_Q8N806_UBR7.pdf</t>
  </si>
  <si>
    <t>Melting_Curves/meltCurve_Q8N8A6_DDX51.pdf</t>
  </si>
  <si>
    <t>Melting_Curves/meltCurve_Q8N8J7_C4orf32.pdf</t>
  </si>
  <si>
    <t>Melting_Curves/meltCurve_Q8N8R3_SLC25A29.pdf</t>
  </si>
  <si>
    <t>Melting_Curves/meltCurve_Q8N8R5_C2orf69.pdf</t>
  </si>
  <si>
    <t>Melting_Curves/meltCurve_Q8N8S7_2_ENAH.pdf</t>
  </si>
  <si>
    <t>Melting_Curves/meltCurve_Q8N8Y2_ATP6V0D2.pdf</t>
  </si>
  <si>
    <t>Melting_Curves/meltCurve_Q8N8Z6_2_DCBLD1.pdf</t>
  </si>
  <si>
    <t>Melting_Curves/meltCurve_Q8N954_GPATCH11.pdf</t>
  </si>
  <si>
    <t>Melting_Curves/meltCurve_Q8N999_C12orf29.pdf</t>
  </si>
  <si>
    <t>Melting_Curves/meltCurve_Q8N9A8_2_CNEP1R1.pdf</t>
  </si>
  <si>
    <t>Melting_Curves/meltCurve_Q8N9F7_GDPD1.pdf</t>
  </si>
  <si>
    <t>Melting_Curves/meltCurve_Q8N9M1_C19orf47.pdf</t>
  </si>
  <si>
    <t>Melting_Curves/meltCurve_Q8N9M5_TMEM102.pdf</t>
  </si>
  <si>
    <t>Melting_Curves/meltCurve_Q8N9N7_LRRC57.pdf</t>
  </si>
  <si>
    <t>Melting_Curves/meltCurve_Q8N9N8_EIF1AD.pdf</t>
  </si>
  <si>
    <t>Melting_Curves/meltCurve_Q8N9Q2_SREK1IP1.pdf</t>
  </si>
  <si>
    <t>Melting_Curves/meltCurve_Q8N9R8_SCAI.pdf</t>
  </si>
  <si>
    <t>Melting_Curves/meltCurve_Q8N9V3_2_WDSUB1.pdf</t>
  </si>
  <si>
    <t>Melting_Curves/meltCurve_Q8NAF0_ZNF579.pdf</t>
  </si>
  <si>
    <t>Melting_Curves/meltCurve_Q8NAV1_PRPF38A.pdf</t>
  </si>
  <si>
    <t>Melting_Curves/meltCurve_Q8NB15_2_ZNF511.pdf</t>
  </si>
  <si>
    <t>Melting_Curves/meltCurve_Q8NB16_MLKL.pdf</t>
  </si>
  <si>
    <t>Melting_Curves/meltCurve_Q8NB37_PDDC1.pdf</t>
  </si>
  <si>
    <t>Melting_Curves/meltCurve_Q8NB42_2_ZNF527.pdf</t>
  </si>
  <si>
    <t>Melting_Curves/meltCurve_Q8NB46_ANKRD52.pdf</t>
  </si>
  <si>
    <t>Melting_Curves/meltCurve_Q8NB49_3_ATP11C.pdf</t>
  </si>
  <si>
    <t>Melting_Curves/meltCurve_Q8NB90_SPATA5.pdf</t>
  </si>
  <si>
    <t>Melting_Curves/meltCurve_Q8NBA8_DTWD2.pdf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</si>
  <si>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</si>
  <si>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</si>
  <si>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</si>
  <si>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</si>
  <si>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</si>
  <si>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Melting_Curves/meltCurve_Q8NBK3_4_SUMF1.pdf</t>
  </si>
  <si>
    <t>Melting_Curves/meltCurve_Q8NBL1_POGLUT1.pdf</t>
  </si>
  <si>
    <t>Melting_Curves/meltCurve_Q8NBM4_4_UBAC2.pdf</t>
  </si>
  <si>
    <t>Melting_Curves/meltCurve_Q8NBM8_PCYOX1L.pdf</t>
  </si>
  <si>
    <t>Melting_Curves/meltCurve_Q8NBN3_TMEM87A.pdf</t>
  </si>
  <si>
    <t>Melting_Curves/meltCurve_Q8NBP0_TTC13.pdf</t>
  </si>
  <si>
    <t>Melting_Curves/meltCurve_Q8NBU5_ATAD1.pdf</t>
  </si>
  <si>
    <t>Melting_Curves/meltCurve_Q8NBX0_SCCPDH.pdf</t>
  </si>
  <si>
    <t>Melting_Curves/meltCurve_Q8NBZ0_INO80E.pdf</t>
  </si>
  <si>
    <t>Melting_Curves/meltCurve_Q8NBZ7_UXS1.pdf</t>
  </si>
  <si>
    <t>Melting_Curves/meltCurve_Q8NC51_SERBP1.pdf</t>
  </si>
  <si>
    <t>Melting_Curves/meltCurve_Q8NC56_LEMD2.pdf</t>
  </si>
  <si>
    <t>Melting_Curves/meltCurve_Q8NC60_NOA1.pdf</t>
  </si>
  <si>
    <t>Melting_Curves/meltCurve_Q8NC96_NECAP1.pdf</t>
  </si>
  <si>
    <t>Melting_Curves/meltCurve_Q8NCA5_2_FAM98A.pdf</t>
  </si>
  <si>
    <t>Melting_Curves/meltCurve_Q8NCC3_PLA2G15.pdf</t>
  </si>
  <si>
    <t>Melting_Curves/meltCurve_Q8NCE2_2_MTMR14.pdf</t>
  </si>
  <si>
    <t>Melting_Curves/meltCurve_Q8NCF5_NFATC2IP.pdf</t>
  </si>
  <si>
    <t>Melting_Curves/meltCurve_Q8NCG7_4_DAGLB.pdf</t>
  </si>
  <si>
    <t>Melting_Curves/meltCurve_Q8NCN4_RNF169.pdf</t>
  </si>
  <si>
    <t>Melting_Curves/meltCurve_Q8NCN5_PDPR.pdf</t>
  </si>
  <si>
    <t>Melting_Curves/meltCurve_Q8NCW5_APOA1BP.pdf</t>
  </si>
  <si>
    <t>Melting_Curves/meltCurve_Q8ND04_SMG8.pdf</t>
  </si>
  <si>
    <t>Melting_Curves/meltCurve_Q8ND24_RNF214.pdf</t>
  </si>
  <si>
    <t>Melting_Curves/meltCurve_Q8ND25_ZNRF1.pdf</t>
  </si>
  <si>
    <t>Melting_Curves/meltCurve_Q8ND30_PPFIBP2.pdf</t>
  </si>
  <si>
    <t>Melting_Curves/meltCurve_Q8ND56_2_LSM14A.pdf</t>
  </si>
  <si>
    <t>Melting_Curves/meltCurve_Q8ND76_3_CCNY.pdf</t>
  </si>
  <si>
    <t>Melting_Curves/meltCurve_Q8NDC0_MAPK1IP1L.pdf</t>
  </si>
  <si>
    <t>Melting_Curves/meltCurve_Q8NDD1_2_C1orf131.pdf</t>
  </si>
  <si>
    <t>Melting_Curves/meltCurve_Q8NDD1_3_C1orf131.pdf</t>
  </si>
  <si>
    <t>Melting_Curves/meltCurve_Q8NDI1_3_EHBP1.pdf</t>
  </si>
  <si>
    <t>Melting_Curves/meltCurve_Q8NDT2_RBM15B.pdf</t>
  </si>
  <si>
    <t>Melting_Curves/meltCurve_Q8NDV3_2_SMC1B.pdf</t>
  </si>
  <si>
    <t>Melting_Curves/meltCurve_Q8NDZ4_C3orf58.pdf</t>
  </si>
  <si>
    <t>Melting_Curves/meltCurve_Q8NE01_CNNM3.pdf</t>
  </si>
  <si>
    <t>Melting_Curves/meltCurve_Q8NE71_ABCF1.pdf</t>
  </si>
  <si>
    <t>Melting_Curves/meltCurve_Q8NE86_3_MCU.pdf</t>
  </si>
  <si>
    <t>Melting_Curves/meltCurve_Q8NEB9_PIK3C3.pdf</t>
  </si>
  <si>
    <t>Melting_Curves/meltCurve_Q8NEC7_GSTCD.pdf</t>
  </si>
  <si>
    <t>Melting_Curves/meltCurve_Q8NEF9_SRFBP1.pdf</t>
  </si>
  <si>
    <t>Melting_Curves/meltCurve_Q8NEL9_2_DDHD1.pdf</t>
  </si>
  <si>
    <t>Melting_Curves/meltCurve_Q8NEM2_SHCBP1.pdf</t>
  </si>
  <si>
    <t>Melting_Curves/meltCurve_Q8NEN9_PDZD8.pdf</t>
  </si>
  <si>
    <t>Melting_Curves/meltCurve_Q8NEW0_SLC30A7.pdf</t>
  </si>
  <si>
    <t>Melting_Curves/meltCurve_Q8NEZ2_2_VPS37A.pdf</t>
  </si>
  <si>
    <t>Melting_Curves/meltCurve_Q8NEZ4_MLL3.pdf</t>
  </si>
  <si>
    <t>Melting_Curves/meltCurve_Q8NEZ5_FBXO22.pdf</t>
  </si>
  <si>
    <t>Melting_Curves/meltCurve_Q8NF37_LPCAT1.pdf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</si>
  <si>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</si>
  <si>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</si>
  <si>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</si>
  <si>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</si>
  <si>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</si>
  <si>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</si>
  <si>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</si>
  <si>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Melting_Curves/meltCurve_Q8NFU3_TSTD1.pdf</t>
  </si>
  <si>
    <t>Melting_Curves/meltCurve_Q8NFU3_4_TSTD1.pdf</t>
  </si>
  <si>
    <t>Melting_Curves/meltCurve_Q8NFU5_IPMK.pdf</t>
  </si>
  <si>
    <t>Melting_Curves/meltCurve_Q8NFV4_4_ABHD11.pdf</t>
  </si>
  <si>
    <t>Melting_Curves/meltCurve_Q8NFW8_CMAS.pdf</t>
  </si>
  <si>
    <t>Melting_Curves/meltCurve_Q8NFY9_KBTBD8.pdf</t>
  </si>
  <si>
    <t>Melting_Curves/meltCurve_Q8NFZ8_CADM4.pdf</t>
  </si>
  <si>
    <t>Melting_Curves/meltCurve_Q8NG11_2_TSPAN14.pdf</t>
  </si>
  <si>
    <t>Melting_Curves/meltCurve_Q8NG68_TTL.pdf</t>
  </si>
  <si>
    <t>Melting_Curves/meltCurve_Q8NHG7_SVIP.pdf</t>
  </si>
  <si>
    <t>Melting_Curves/meltCurve_Q8NHG8_ZNRF2.pdf</t>
  </si>
  <si>
    <t>Melting_Curves/meltCurve_Q8NHP6_MOSPD2.pdf</t>
  </si>
  <si>
    <t>Melting_Curves/meltCurve_Q8NHP8_PLBD2.pdf</t>
  </si>
  <si>
    <t>Melting_Curves/meltCurve_Q8NHQ9_DDX55.pdf</t>
  </si>
  <si>
    <t>Melting_Curves/meltCurve_Q8NHU6_TDRD7.pdf</t>
  </si>
  <si>
    <t>Melting_Curves/meltCurve_Q8NHV1_GIMAP7.pdf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</si>
  <si>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</si>
  <si>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</si>
  <si>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</si>
  <si>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</si>
  <si>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</si>
  <si>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</si>
  <si>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Melting_Curves/meltCurve_Q8NI37_PPTC7.pdf</t>
  </si>
  <si>
    <t>Melting_Curves/meltCurve_Q8TA86_RP9.pdf</t>
  </si>
  <si>
    <t>Melting_Curves/meltCurve_Q8TAA3_5_PSMA8.pdf</t>
  </si>
  <si>
    <t>Melting_Curves/meltCurve_Q8TAA5_GRPEL2.pdf</t>
  </si>
  <si>
    <t>Melting_Curves/meltCurve_Q8TAA9_2_VANGL1.pdf</t>
  </si>
  <si>
    <t>Melting_Curves/meltCurve_Q8TAC1_RFESD.pdf</t>
  </si>
  <si>
    <t>Melting_Curves/meltCurve_Q8TAD8_SNIP1.pdf</t>
  </si>
  <si>
    <t>Melting_Curves/meltCurve_Q8TAE8_GADD45GIP1.pdf</t>
  </si>
  <si>
    <t>Melting_Curves/meltCurve_Q8TAF3_WDR48.pdf</t>
  </si>
  <si>
    <t>Melting_Curves/meltCurve_Q8TAP6_CEP76.pdf</t>
  </si>
  <si>
    <t>Melting_Curves/meltCurve_Q8TAP8_PPP1R35.pdf</t>
  </si>
  <si>
    <t>Melting_Curves/meltCurve_Q8TAQ2_SMARCC2.pdf</t>
  </si>
  <si>
    <t>Melting_Curves/meltCurve_Q8TAT6_NPLOC4.pdf</t>
  </si>
  <si>
    <t>Melting_Curves/meltCurve_Q8TAV0_FAM76A.pdf</t>
  </si>
  <si>
    <t>Melting_Curves/meltCurve_Q8TAY7_FAM110D.pdf</t>
  </si>
  <si>
    <t>Melting_Curves/meltCurve_Q8TB03_CXorf38.pdf</t>
  </si>
  <si>
    <t>Melting_Curves/meltCurve_Q8TB36_GDAP1.pdf</t>
  </si>
  <si>
    <t>Melting_Curves/meltCurve_Q8TB37_NUBPL.pdf</t>
  </si>
  <si>
    <t>Melting_Curves/meltCurve_Q8TB61_3_SLC35B2.pdf</t>
  </si>
  <si>
    <t>Melting_Curves/meltCurve_Q8TB72_3_PUM2.pdf</t>
  </si>
  <si>
    <t>Melting_Curves/meltCurve_Q8TB96_ITFG1.pdf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</si>
  <si>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</si>
  <si>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</si>
  <si>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</si>
  <si>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</si>
  <si>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Melting_Curves/meltCurve_Q8TBF4_ZCRB1.pdf</t>
  </si>
  <si>
    <t>Melting_Curves/meltCurve_Q8TBM8_DNAJB14.pdf</t>
  </si>
  <si>
    <t>Melting_Curves/meltCurve_Q8TBN0_RAB3IL1.pdf</t>
  </si>
  <si>
    <t>Melting_Curves/meltCurve_Q8TBP6_SLC25A40.pdf</t>
  </si>
  <si>
    <t>Melting_Curves/meltCurve_Q8TBQ9_TMEM167A.pdf</t>
  </si>
  <si>
    <t>Melting_Curves/meltCurve_Q8TBX8_PIP4K2C.pdf</t>
  </si>
  <si>
    <t>Melting_Curves/meltCurve_Q8TBZ3_WDR20.pdf</t>
  </si>
  <si>
    <t>Melting_Curves/meltCurve_Q8TBZ6_TRMT10A.pdf</t>
  </si>
  <si>
    <t>Melting_Curves/meltCurve_Q8TC07_2_TBC1D15.pdf</t>
  </si>
  <si>
    <t>Melting_Curves/meltCurve_Q8TC12_RDH11.pdf</t>
  </si>
  <si>
    <t>Melting_Curves/meltCurve_Q8TC24_SEC61A2.pdf</t>
  </si>
  <si>
    <t>Melting_Curves/meltCurve_Q8TCA0_LRRC20.pdf</t>
  </si>
  <si>
    <t>Melting_Curves/meltCurve_Q8TCD1_C18orf32.pdf</t>
  </si>
  <si>
    <t>Melting_Curves/meltCurve_Q8TCD5_NT5C.pdf</t>
  </si>
  <si>
    <t>Melting_Curves/meltCurve_Q8TCE6_2_FAM45A.pdf</t>
  </si>
  <si>
    <t>Melting_Curves/meltCurve_Q8TCG1_KIAA1524.pdf</t>
  </si>
  <si>
    <t>Melting_Curves/meltCurve_Q8TCG2_PI4K2B.pdf</t>
  </si>
  <si>
    <t>Melting_Curves/meltCurve_Q8TCJ2_STT3B.pdf</t>
  </si>
  <si>
    <t>Melting_Curves/meltCurve_Q8TCS8_PNPT1.pdf</t>
  </si>
  <si>
    <t>Melting_Curves/meltCurve_Q8TCT7_4_SPPL2B.pdf</t>
  </si>
  <si>
    <t>Melting_Curves/meltCurve_Q8TCT8_SPPL2A.pdf</t>
  </si>
  <si>
    <t>Melting_Curves/meltCurve_Q8TCT9_5_HM13.pdf</t>
  </si>
  <si>
    <t>Melting_Curves/meltCurve_Q8TCZ2_6_CD99L2.pdf</t>
  </si>
  <si>
    <t>Melting_Curves/meltCurve_Q8TD08_2_MAPK15.pdf</t>
  </si>
  <si>
    <t>Melting_Curves/meltCurve_Q8TD16_2_BICD2.pdf</t>
  </si>
  <si>
    <t>Melting_Curves/meltCurve_Q8TD19_NEK9.pdf</t>
  </si>
  <si>
    <t>Melting_Curves/meltCurve_Q8TD30_GPT2.pdf</t>
  </si>
  <si>
    <t>Melting_Curves/meltCurve_Q8TD55_2_PLEKHO2.pdf</t>
  </si>
  <si>
    <t>Melting_Curves/meltCurve_Q8TDB6_DTX3L.pdf</t>
  </si>
  <si>
    <t>Melting_Curves/meltCurve_Q8TDD1_DDX54.pdf</t>
  </si>
  <si>
    <t>Melting_Curves/meltCurve_Q8TDH9_BLOC1S5.pdf</t>
  </si>
  <si>
    <t>Melting_Curves/meltCurve_Q8TDI0_CHD5.pdf</t>
  </si>
  <si>
    <t>Melting_Curves/meltCurve_Q8TDQ7_GNPDA2.pdf</t>
  </si>
  <si>
    <t>Melting_Curves/meltCurve_Q8TDW0_LRRC8C.pdf</t>
  </si>
  <si>
    <t>Melting_Curves/meltCurve_Q8TDX7_NEK7.pdf</t>
  </si>
  <si>
    <t>Melting_Curves/meltCurve_Q8TDY2_2_RB1CC1.pdf</t>
  </si>
  <si>
    <t>Melting_Curves/meltCurve_Q8TDZ2_MICAL1.pdf</t>
  </si>
  <si>
    <t>Melting_Curves/meltCurve_Q8TE04_2_PANK1.pdf</t>
  </si>
  <si>
    <t>Melting_Curves/meltCurve_Q8TEA1_NSUN6.pdf</t>
  </si>
  <si>
    <t>Melting_Curves/meltCurve_Q8TEA8_DTD1.pdf</t>
  </si>
  <si>
    <t>Melting_Curves/meltCurve_Q8TEB1_2_DCAF11.pdf</t>
  </si>
  <si>
    <t>Melting_Curves/meltCurve_Q8TED0_UTP15.pdf</t>
  </si>
  <si>
    <t>Melting_Curves/meltCurve_Q8TEH3_DENND1A.pdf</t>
  </si>
  <si>
    <t>Melting_Curves/meltCurve_Q8TEM1_NUP210.pdf</t>
  </si>
  <si>
    <t>Melting_Curves/meltCurve_Q8TEQ0_2_SNX29.pdf</t>
  </si>
  <si>
    <t>Melting_Curves/meltCurve_Q8TEQ6_GEMIN5.pdf</t>
  </si>
  <si>
    <t>Melting_Curves/meltCurve_Q8TEW0_7_PARD3.pdf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</si>
  <si>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</si>
  <si>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</si>
  <si>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</si>
  <si>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</si>
  <si>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Melting_Curves/meltCurve_Q8TF71_SLC16A10.pdf</t>
  </si>
  <si>
    <t>Melting_Curves/meltCurve_Q8TF74_WIPF2.pdf</t>
  </si>
  <si>
    <t>Melting_Curves/meltCurve_Q8WTS1_ABHD5.pdf</t>
  </si>
  <si>
    <t>Melting_Curves/meltCurve_Q8WTS6_SETD7.pdf</t>
  </si>
  <si>
    <t>Melting_Curves/meltCurve_Q8WTW3_COG1.pdf</t>
  </si>
  <si>
    <t>Melting_Curves/meltCurve_Q8WU10_PYROXD1.pdf</t>
  </si>
  <si>
    <t>Melting_Curves/meltCurve_Q8WU39_MZB1.pdf</t>
  </si>
  <si>
    <t>Melting_Curves/meltCurve_Q8WU76_2_SCFD2.pdf</t>
  </si>
  <si>
    <t>Melting_Curves/meltCurve_Q8WU79_SMAP2.pdf</t>
  </si>
  <si>
    <t>Melting_Curves/meltCurve_Q8WU90_ZC3H15.pdf</t>
  </si>
  <si>
    <t>Melting_Curves/meltCurve_Q8WUA2_PPIL4.pdf</t>
  </si>
  <si>
    <t>Melting_Curves/meltCurve_Q8WUA4_GTF3C2.pdf</t>
  </si>
  <si>
    <t>Melting_Curves/meltCurve_Q8WUA8_TSKU.pdf</t>
  </si>
  <si>
    <t>Melting_Curves/meltCurve_Q8WUB8_3_PHF10.pdf</t>
  </si>
  <si>
    <t>Melting_Curves/meltCurve_Q8WUD1_RAB2B.pdf</t>
  </si>
  <si>
    <t>Melting_Curves/meltCurve_Q8WUF5_PPP1R13L.pdf</t>
  </si>
  <si>
    <t>Melting_Curves/meltCurve_Q8WUF8_3_FAM172A.pdf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</si>
  <si>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</si>
  <si>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</si>
  <si>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</si>
  <si>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</si>
  <si>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</si>
  <si>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Melting_Curves/meltCurve_Q8WUK0_PTPMT1.pdf</t>
  </si>
  <si>
    <t>Melting_Curves/meltCurve_Q8WUM0_NUP133.pdf</t>
  </si>
  <si>
    <t>Melting_Curves/meltCurve_Q8WUM4_PDCD6IP.pdf</t>
  </si>
  <si>
    <t>Melting_Curves/meltCurve_Q8WUM9_SLC20A1.pdf</t>
  </si>
  <si>
    <t>Melting_Curves/meltCurve_Q8WUN7_UBTD2.pdf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</si>
  <si>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</si>
  <si>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</si>
  <si>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</si>
  <si>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</si>
  <si>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Melting_Curves/meltCurve_Q8WUY8_NAT14.pdf</t>
  </si>
  <si>
    <t>Melting_Curves/meltCurve_Q8WV22_NSMCE1.pdf</t>
  </si>
  <si>
    <t>Melting_Curves/meltCurve_Q8WV74_NUDT8.pdf</t>
  </si>
  <si>
    <t>Melting_Curves/meltCurve_Q8WV92_MITD1.pdf</t>
  </si>
  <si>
    <t>Melting_Curves/meltCurve_Q8WVB6_CHTF18.pdf</t>
  </si>
  <si>
    <t>Melting_Curves/meltCurve_Q8WVC0_LEO1.pdf</t>
  </si>
  <si>
    <t>Melting_Curves/meltCurve_Q8WVD3_RNF138.pdf</t>
  </si>
  <si>
    <t>Melting_Curves/meltCurve_Q8WVE0_N6AMT2.pdf</t>
  </si>
  <si>
    <t>Melting_Curves/meltCurve_Q8WVJ2_NUDCD2.pdf</t>
  </si>
  <si>
    <t>Melting_Curves/meltCurve_Q8WVK2_SNRNP27.pdf</t>
  </si>
  <si>
    <t>Melting_Curves/meltCurve_Q8WVK7_SKA2.pdf</t>
  </si>
  <si>
    <t>Melting_Curves/meltCurve_Q8WVL7_ANKRD49.pdf</t>
  </si>
  <si>
    <t>Melting_Curves/meltCurve_Q8WVM0_TFB1M.pdf</t>
  </si>
  <si>
    <t>Melting_Curves/meltCurve_Q8WVM8_SCFD1.pdf</t>
  </si>
  <si>
    <t>Melting_Curves/meltCurve_Q8WVQ1_CANT1.pdf</t>
  </si>
  <si>
    <t>Melting_Curves/meltCurve_Q8WVT3_TRAPPC12.pdf</t>
  </si>
  <si>
    <t>Melting_Curves/meltCurve_Q8WVX9_FAR1.pdf</t>
  </si>
  <si>
    <t>Melting_Curves/meltCurve_Q8WVY7_UBLCP1.pdf</t>
  </si>
  <si>
    <t>Melting_Curves/meltCurve_Q8WVZ9_KBTBD7.pdf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</si>
  <si>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</si>
  <si>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</si>
  <si>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</si>
  <si>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</si>
  <si>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</si>
  <si>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</si>
  <si>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Melting_Curves/meltCurve_Q8WWI5_SLC44A1.pdf</t>
  </si>
  <si>
    <t>Melting_Curves/meltCurve_Q8WWK9_5_CKAP2.pdf</t>
  </si>
  <si>
    <t>Melting_Curves/meltCurve_Q8WWM7_ATXN2L.pdf</t>
  </si>
  <si>
    <t>Melting_Curves/meltCurve_Q8WWP7_GIMAP1.pdf</t>
  </si>
  <si>
    <t>Melting_Curves/meltCurve_Q8WWV3_RTN4IP1.pdf</t>
  </si>
  <si>
    <t>Melting_Curves/meltCurve_Q8WWW0_2_RASSF5.pdf</t>
  </si>
  <si>
    <t>Melting_Curves/meltCurve_Q8WWX9_SELM.pdf</t>
  </si>
  <si>
    <t>Melting_Curves/meltCurve_Q8WWY3_PRPF31.pdf</t>
  </si>
  <si>
    <t>Melting_Curves/meltCurve_Q8WX92_NELFB.pdf</t>
  </si>
  <si>
    <t>Melting_Curves/meltCurve_Q8WX93_3_PALLD.pdf</t>
  </si>
  <si>
    <t>Melting_Curves/meltCurve_Q8WXA9_2_SREK1.pdf</t>
  </si>
  <si>
    <t>Melting_Curves/meltCurve_Q8WXD5_GEMIN6.pdf</t>
  </si>
  <si>
    <t>Melting_Curves/meltCurve_Q8WXE0_CASKIN2.pdf</t>
  </si>
  <si>
    <t>Melting_Curves/meltCurve_Q8WXE1_5_ATRIP.pdf</t>
  </si>
  <si>
    <t>Melting_Curves/meltCurve_Q8WXF1_PSPC1.pdf</t>
  </si>
  <si>
    <t>Melting_Curves/meltCurve_Q8WXH0_SYNE2.pdf</t>
  </si>
  <si>
    <t>Melting_Curves/meltCurve_Q8WXI9_GATAD2B.pdf</t>
  </si>
  <si>
    <t>Melting_Curves/meltCurve_Q8WXX0_DNAH7.pdf</t>
  </si>
  <si>
    <t>Melting_Curves/meltCurve_Q8WXX5_DNAJC9.pdf</t>
  </si>
  <si>
    <t>Melting_Curves/meltCurve_Q8WY22_BRI3BP.pdf</t>
  </si>
  <si>
    <t>Melting_Curves/meltCurve_Q8WY54_2_PPM1E.pdf</t>
  </si>
  <si>
    <t>Melting_Curves/meltCurve_Q8WY91_THAP4.pdf</t>
  </si>
  <si>
    <t>Melting_Curves/meltCurve_Q8WYA6_CTNNBL1.pdf</t>
  </si>
  <si>
    <t>Melting_Curves/meltCurve_Q8WYQ5_3_DGCR8.pdf</t>
  </si>
  <si>
    <t>Melting_Curves/meltCurve_Q8WYQ7_LGALS9.pdf</t>
  </si>
  <si>
    <t>Melting_Curves/meltCurve_Q8WZ82_OVCA2.pdf</t>
  </si>
  <si>
    <t>Melting_Curves/meltCurve_Q8WZA0_LZIC.pdf</t>
  </si>
  <si>
    <t>Melting_Curves/meltCurve_Q8WZA9_IRGQ.pdf</t>
  </si>
  <si>
    <t>Melting_Curves/meltCurve_Q92466_DDB2.pdf</t>
  </si>
  <si>
    <t>Melting_Curves/meltCurve_Q92482_2_AQP3.pdf</t>
  </si>
  <si>
    <t>Melting_Curves/meltCurve_Q92499_DDX1.pdf</t>
  </si>
  <si>
    <t>Melting_Curves/meltCurve_Q92503_3_SEC14L1.pdf</t>
  </si>
  <si>
    <t>Melting_Curves/meltCurve_Q92504_SLC39A7.pdf</t>
  </si>
  <si>
    <t>Melting_Curves/meltCurve_Q92506_HSD17B8.pdf</t>
  </si>
  <si>
    <t>Melting_Curves/meltCurve_Q92508_PIEZO1.pdf</t>
  </si>
  <si>
    <t>Melting_Curves/meltCurve_Q92520_FAM3C.pdf</t>
  </si>
  <si>
    <t>Melting_Curves/meltCurve_Q92522_H1FX.pdf</t>
  </si>
  <si>
    <t>Melting_Curves/meltCurve_Q92526_CCT6B.pdf</t>
  </si>
  <si>
    <t>Melting_Curves/meltCurve_Q92536_SLC7A6.pdf</t>
  </si>
  <si>
    <t>Melting_Curves/meltCurve_Q92538_GBF1.pdf</t>
  </si>
  <si>
    <t>Melting_Curves/meltCurve_Q92541_RTF1.pdf</t>
  </si>
  <si>
    <t>Melting_Curves/meltCurve_Q92544_TM9SF4.pdf</t>
  </si>
  <si>
    <t>Melting_Curves/meltCurve_Q92546_RGP1.pdf</t>
  </si>
  <si>
    <t>Melting_Curves/meltCurve_Q92547_TOPBP1.pdf</t>
  </si>
  <si>
    <t>Melting_Curves/meltCurve_Q92551_IP6K1.pdf</t>
  </si>
  <si>
    <t>Melting_Curves/meltCurve_Q92552_MRPS27.pdf</t>
  </si>
  <si>
    <t>Melting_Curves/meltCurve_Q92556_ELMO1.pdf</t>
  </si>
  <si>
    <t>Melting_Curves/meltCurve_Q92558_WASF1.pdf</t>
  </si>
  <si>
    <t>Melting_Curves/meltCurve_Q92572_AP3S1.pdf</t>
  </si>
  <si>
    <t>Melting_Curves/meltCurve_Q92575_UBXN4.pdf</t>
  </si>
  <si>
    <t>Melting_Curves/meltCurve_Q92576_2_PHF3.pdf</t>
  </si>
  <si>
    <t>Melting_Curves/meltCurve_Q92581_2_SLC9A6.pdf</t>
  </si>
  <si>
    <t>Melting_Curves/meltCurve_Q92585_MAML1.pdf</t>
  </si>
  <si>
    <t>Melting_Curves/meltCurve_Q92597_NDRG1.pdf</t>
  </si>
  <si>
    <t>Melting_Curves/meltCurve_Q92598_2_HSPH1.pdf</t>
  </si>
  <si>
    <t>Melting_Curves/meltCurve_Q92600_RQCD1.pdf</t>
  </si>
  <si>
    <t>Melting_Curves/meltCurve_Q92604_LPGAT1.pdf</t>
  </si>
  <si>
    <t>Melting_Curves/meltCurve_Q92608_DOCK2.pdf</t>
  </si>
  <si>
    <t>Melting_Curves/meltCurve_Q92609_TBC1D5.pdf</t>
  </si>
  <si>
    <t>Melting_Curves/meltCurve_Q92610_ZNF592.pdf</t>
  </si>
  <si>
    <t>Melting_Curves/meltCurve_Q92611_EDEM1.pdf</t>
  </si>
  <si>
    <t>Melting_Curves/meltCurve_Q92614_2_MYO18A.pdf</t>
  </si>
  <si>
    <t>Melting_Curves/meltCurve_Q92615_LARP4B.pdf</t>
  </si>
  <si>
    <t>Melting_Curves/meltCurve_Q92616_GCN1L1.pdf</t>
  </si>
  <si>
    <t>Melting_Curves/meltCurve_Q92619_HMHA1.pdf</t>
  </si>
  <si>
    <t>Melting_Curves/meltCurve_Q92620_DHX38.pdf</t>
  </si>
  <si>
    <t>Melting_Curves/meltCurve_Q92621_NUP205.pdf</t>
  </si>
  <si>
    <t>Melting_Curves/meltCurve_Q92623_TTC9.pdf</t>
  </si>
  <si>
    <t>Melting_Curves/meltCurve_Q92625_ANKS1A.pdf</t>
  </si>
  <si>
    <t>Melting_Curves/meltCurve_Q92626_PXDN.pdf</t>
  </si>
  <si>
    <t>Melting_Curves/meltCurve_Q92636_NSMAF.pdf</t>
  </si>
  <si>
    <t>Melting_Curves/meltCurve_Q92665_MRPS31.pdf</t>
  </si>
  <si>
    <t>Melting_Curves/meltCurve_Q92667_AKAP1.pdf</t>
  </si>
  <si>
    <t>Melting_Curves/meltCurve_Q92673_SORL1.pdf</t>
  </si>
  <si>
    <t>Melting_Curves/meltCurve_Q92686_NRGN.pdf</t>
  </si>
  <si>
    <t>Melting_Curves/meltCurve_Q92688_2_ANP32B.pdf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</si>
  <si>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</si>
  <si>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</si>
  <si>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</si>
  <si>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</si>
  <si>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Melting_Curves/meltCurve_Q92747_ARPC1A.pdf</t>
  </si>
  <si>
    <t>Melting_Curves/meltCurve_Q92759_GTF2H4.pdf</t>
  </si>
  <si>
    <t>Melting_Curves/meltCurve_Q92766_RREB1.pdf</t>
  </si>
  <si>
    <t>Melting_Curves/meltCurve_Q92783_2_STAM.pdf</t>
  </si>
  <si>
    <t>Melting_Curves/meltCurve_Q92784_DPF3.pdf</t>
  </si>
  <si>
    <t>Melting_Curves/meltCurve_Q92785_DPF2.pdf</t>
  </si>
  <si>
    <t>Melting_Curves/meltCurve_Q92793_CREBBP.pdf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</si>
  <si>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</si>
  <si>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</si>
  <si>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</si>
  <si>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</si>
  <si>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Melting_Curves/meltCurve_Q92828_CORO2A.pdf</t>
  </si>
  <si>
    <t>Melting_Curves/meltCurve_Q92834_4_RPGR.pdf</t>
  </si>
  <si>
    <t>Melting_Curves/meltCurve_Q92838_2_EDA.pdf</t>
  </si>
  <si>
    <t>Melting_Curves/meltCurve_Q92843_2_BCL2L2.pdf</t>
  </si>
  <si>
    <t>Melting_Curves/meltCurve_Q92844_TANK.pdf</t>
  </si>
  <si>
    <t>Melting_Curves/meltCurve_Q92851_4_CASP10.pdf</t>
  </si>
  <si>
    <t>Melting_Curves/meltCurve_Q92854_SEMA4D.pdf</t>
  </si>
  <si>
    <t>Melting_Curves/meltCurve_Q92859_3_NEO1.pdf</t>
  </si>
  <si>
    <t>Melting_Curves/meltCurve_Q92871_PMM1.pdf</t>
  </si>
  <si>
    <t>Melting_Curves/meltCurve_Q92878_RAD50.pdf</t>
  </si>
  <si>
    <t>Melting_Curves/meltCurve_Q92882_OSTF1.pdf</t>
  </si>
  <si>
    <t>Melting_Curves/meltCurve_Q92889_ERCC4.pdf</t>
  </si>
  <si>
    <t>Melting_Curves/meltCurve_Q92890_UFD1L.pdf</t>
  </si>
  <si>
    <t>Melting_Curves/meltCurve_Q92896_GLG1.pdf</t>
  </si>
  <si>
    <t>Melting_Curves/meltCurve_Q92900_UPF1.pdf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</si>
  <si>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</si>
  <si>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</si>
  <si>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</si>
  <si>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</si>
  <si>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</si>
  <si>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</si>
  <si>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</si>
  <si>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</si>
  <si>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</si>
  <si>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</si>
  <si>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</si>
  <si>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Melting_Curves/meltCurve_Q92994_5_BRF1.pdf</t>
  </si>
  <si>
    <t>Melting_Curves/meltCurve_Q92995_USP13.pdf</t>
  </si>
  <si>
    <t>Melting_Curves/meltCurve_Q93008_1_USP9X.pdf</t>
  </si>
  <si>
    <t>Melting_Curves/meltCurve_Q93015_NAT6.pdf</t>
  </si>
  <si>
    <t>Melting_Curves/meltCurve_Q93034_CUL5.pdf</t>
  </si>
  <si>
    <t>Melting_Curves/meltCurve_Q93052_LPP.pdf</t>
  </si>
  <si>
    <t>Melting_Curves/meltCurve_Q93084_2_ATP2A3.pdf</t>
  </si>
  <si>
    <t>Melting_Curves/meltCurve_Q93096_PTP4A1.pdf</t>
  </si>
  <si>
    <t>Melting_Curves/meltCurve_Q93100_4_PHKB.pdf</t>
  </si>
  <si>
    <t>Melting_Curves/meltCurve_Q969E2_2_SCAMP4.pdf</t>
  </si>
  <si>
    <t>Melting_Curves/meltCurve_Q969E4_TCEAL3.pdf</t>
  </si>
  <si>
    <t>Melting_Curves/meltCurve_Q969E8_TSR2.pdf</t>
  </si>
  <si>
    <t>Melting_Curves/meltCurve_Q969G3_2_SMARCE1.pdf</t>
  </si>
  <si>
    <t>Melting_Curves/meltCurve_Q969G6_RFK.pdf</t>
  </si>
  <si>
    <t>Melting_Curves/meltCurve_Q969H6_POP5.pdf</t>
  </si>
  <si>
    <t>Melting_Curves/meltCurve_Q969H8_C19orf10.pdf</t>
  </si>
  <si>
    <t>Melting_Curves/meltCurve_Q969K3_RNF34.pdf</t>
  </si>
  <si>
    <t>Melting_Curves/meltCurve_Q969M1_TOMM40L.pdf</t>
  </si>
  <si>
    <t>Melting_Curves/meltCurve_Q969M3_YIPF5.pdf</t>
  </si>
  <si>
    <t>Melting_Curves/meltCurve_Q969N2_5_PIGT.pdf</t>
  </si>
  <si>
    <t>Melting_Curves/meltCurve_Q969P0_3_IGSF8.pdf</t>
  </si>
  <si>
    <t>Melting_Curves/meltCurve_Q969Q0_RPL36AL.pdf</t>
  </si>
  <si>
    <t>Melting_Curves/meltCurve_Q969Q5_RAB24.pdf</t>
  </si>
  <si>
    <t>Melting_Curves/meltCurve_Q969R8_ITFG2.pdf</t>
  </si>
  <si>
    <t>Melting_Curves/meltCurve_Q969S3_ZNF622.pdf</t>
  </si>
  <si>
    <t>Melting_Curves/meltCurve_Q969S9_2_GFM2.pdf</t>
  </si>
  <si>
    <t>Melting_Curves/meltCurve_Q969T7_2_NT5C3B.pdf</t>
  </si>
  <si>
    <t>Melting_Curves/meltCurve_Q969V3_2_NCLN.pdf</t>
  </si>
  <si>
    <t>Melting_Curves/meltCurve_Q969V5_MUL1.pdf</t>
  </si>
  <si>
    <t>Melting_Curves/meltCurve_Q969X0_RILPL2.pdf</t>
  </si>
  <si>
    <t>Melting_Curves/meltCurve_Q969X5_2_ERGIC1.pdf</t>
  </si>
  <si>
    <t>Melting_Curves/meltCurve_Q969X6_CIRH1A.pdf</t>
  </si>
  <si>
    <t>Melting_Curves/meltCurve_Q969Y2_3_GTPBP3.pdf</t>
  </si>
  <si>
    <t>Melting_Curves/meltCurve_Q969Z0_TBRG4.pdf</t>
  </si>
  <si>
    <t>Melting_Curves/meltCurve_Q96A33_CCDC47.pdf</t>
  </si>
  <si>
    <t>Melting_Curves/meltCurve_Q96A47_ISL2.pdf</t>
  </si>
  <si>
    <t>Melting_Curves/meltCurve_Q96A49_SYAP1.pdf</t>
  </si>
  <si>
    <t>Melting_Curves/meltCurve_Q96A65_EXOC4.pdf</t>
  </si>
  <si>
    <t>Melting_Curves/meltCurve_Q96A73_KIAA1191.pdf</t>
  </si>
  <si>
    <t>Melting_Curves/meltCurve_Q96AB6_NTAN1.pdf</t>
  </si>
  <si>
    <t>Melting_Curves/meltCurve_Q96AC1_FERMT2.pdf</t>
  </si>
  <si>
    <t>Melting_Curves/meltCurve_Q96AE4_FUBP1.pdf</t>
  </si>
  <si>
    <t>Melting_Curves/meltCurve_Q96AE4_2_FUBP1.pdf</t>
  </si>
  <si>
    <t>Melting_Curves/meltCurve_Q96AG3_SLC25A46.pdf</t>
  </si>
  <si>
    <t>Melting_Curves/meltCurve_Q96AG4_LRRC59.pdf</t>
  </si>
  <si>
    <t>Melting_Curves/meltCurve_Q96AJ9_1_VTI1A.pdf</t>
  </si>
  <si>
    <t>Melting_Curves/meltCurve_Q96AP0_2_ACD.pdf</t>
  </si>
  <si>
    <t>Melting_Curves/meltCurve_Q96AQ6_2_PBXIP1.pdf</t>
  </si>
  <si>
    <t>Melting_Curves/meltCurve_Q96AQ8_MCUR1.pdf</t>
  </si>
  <si>
    <t>Melting_Curves/meltCurve_Q96AT1_KIAA1143.pdf</t>
  </si>
  <si>
    <t>Melting_Curves/meltCurve_Q96AT9_RPE.pdf</t>
  </si>
  <si>
    <t>Melting_Curves/meltCurve_Q96AX2_4_RAB37.pdf</t>
  </si>
  <si>
    <t>Melting_Curves/meltCurve_Q96B01_RAD51AP1.pdf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</si>
  <si>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</si>
  <si>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</si>
  <si>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</si>
  <si>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</si>
  <si>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</si>
  <si>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Melting_Curves/meltCurve_Q96B70_LENG9.pdf</t>
  </si>
  <si>
    <t>Melting_Curves/meltCurve_Q96B97_SH3KBP1.pdf</t>
  </si>
  <si>
    <t>Melting_Curves/meltCurve_Q96BD8_2_SKA1.pdf</t>
  </si>
  <si>
    <t>Melting_Curves/meltCurve_Q96BH1_RNF25.pdf</t>
  </si>
  <si>
    <t>Melting_Curves/meltCurve_Q96BI3_APH1A.pdf</t>
  </si>
  <si>
    <t>Melting_Curves/meltCurve_Q96BK5_PINX1.pdf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</si>
  <si>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</si>
  <si>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</si>
  <si>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</si>
  <si>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</si>
  <si>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Melting_Curves/meltCurve_Q96BQ5_CCDC127.pdf</t>
  </si>
  <si>
    <t>Melting_Curves/meltCurve_Q96BR5_SELRC1.pdf</t>
  </si>
  <si>
    <t>Melting_Curves/meltCurve_Q96BT7_ALKBH8.pdf</t>
  </si>
  <si>
    <t>Melting_Curves/meltCurve_Q96BW1_UPRT.pdf</t>
  </si>
  <si>
    <t>Melting_Curves/meltCurve_Q96BW5_2_PTER.pdf</t>
  </si>
  <si>
    <t>Melting_Curves/meltCurve_Q96BX8_MOB3A.pdf</t>
  </si>
  <si>
    <t>Melting_Curves/meltCurve_Q96BZ8_LENG1.pdf</t>
  </si>
  <si>
    <t>Melting_Curves/meltCurve_Q96BZ9_TBC1D20.pdf</t>
  </si>
  <si>
    <t>Melting_Curves/meltCurve_Q96C01_FAM136A.pdf</t>
  </si>
  <si>
    <t>Melting_Curves/meltCurve_Q96C19_EFHD2.pdf</t>
  </si>
  <si>
    <t>Melting_Curves/meltCurve_Q96C36_PYCR2.pdf</t>
  </si>
  <si>
    <t>Melting_Curves/meltCurve_Q96C55_ZNF524.pdf</t>
  </si>
  <si>
    <t>Melting_Curves/meltCurve_Q96C57_C12orf43.pdf</t>
  </si>
  <si>
    <t>Melting_Curves/meltCurve_Q96C86_DCPS.pdf</t>
  </si>
  <si>
    <t>Melting_Curves/meltCurve_Q96C90_PPP1R14B.pdf</t>
  </si>
  <si>
    <t>Melting_Curves/meltCurve_Q96CB8_INTS12.pdf</t>
  </si>
  <si>
    <t>Melting_Curves/meltCurve_Q96CB9_NSUN4.pdf</t>
  </si>
  <si>
    <t>Melting_Curves/meltCurve_Q96CD0_FBXL8.pdf</t>
  </si>
  <si>
    <t>Melting_Curves/meltCurve_Q96CD2_PPCDC.pdf</t>
  </si>
  <si>
    <t>Melting_Curves/meltCurve_Q96CG3_TIFA.pdf</t>
  </si>
  <si>
    <t>Melting_Curves/meltCurve_Q96CG8_3_CTHRC1.pdf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</si>
  <si>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</si>
  <si>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</si>
  <si>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</si>
  <si>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</si>
  <si>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</si>
  <si>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</si>
  <si>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Melting_Curves/meltCurve_Q96CU9_FOXRED1.pdf</t>
  </si>
  <si>
    <t>Melting_Curves/meltCurve_Q96CW1_2_AP2M1.pdf</t>
  </si>
  <si>
    <t>Melting_Curves/meltCurve_Q96CW5_TUBGCP3.pdf</t>
  </si>
  <si>
    <t>Melting_Curves/meltCurve_Q96CW6_SLC7A6OS.pdf</t>
  </si>
  <si>
    <t>Melting_Curves/meltCurve_Q96CX2_KCTD12.pdf</t>
  </si>
  <si>
    <t>Melting_Curves/meltCurve_Q96CX6_LRRC58.pdf</t>
  </si>
  <si>
    <t>Melting_Curves/meltCurve_Q96D05_C10orf35.pdf</t>
  </si>
  <si>
    <t>Melting_Curves/meltCurve_Q96D31_2_ORAI1.pdf</t>
  </si>
  <si>
    <t>Melting_Curves/meltCurve_Q96D53_ADCK4.pdf</t>
  </si>
  <si>
    <t>Melting_Curves/meltCurve_Q96D71_3_REPS1.pdf</t>
  </si>
  <si>
    <t>Melting_Curves/meltCurve_Q96D96_4_HVCN1.pdf</t>
  </si>
  <si>
    <t>Melting_Curves/meltCurve_Q96DA2_RAB39B.pdf</t>
  </si>
  <si>
    <t>Melting_Curves/meltCurve_Q96DA6_DNAJC19.pdf</t>
  </si>
  <si>
    <t>Melting_Curves/meltCurve_Q96DB5_RMDN1.pdf</t>
  </si>
  <si>
    <t>Melting_Curves/meltCurve_Q96DC7_TMCO6.pdf</t>
  </si>
  <si>
    <t>Melting_Curves/meltCurve_Q96DC9_OTUB2.pdf</t>
  </si>
  <si>
    <t>Melting_Curves/meltCurve_Q96DE5_ANAPC16.pdf</t>
  </si>
  <si>
    <t>Melting_Curves/meltCurve_Q96DF8_DGCR14.pdf</t>
  </si>
  <si>
    <t>Melting_Curves/meltCurve_Q96DH6_2_MSI2.pdf</t>
  </si>
  <si>
    <t>Melting_Curves/meltCurve_Q96DI7_SNRNP40.pdf</t>
  </si>
  <si>
    <t>Melting_Curves/meltCurve_Q96DT6_ATG4C.pdf</t>
  </si>
  <si>
    <t>Melting_Curves/meltCurve_Q96DU3_2_SLAMF6.pdf</t>
  </si>
  <si>
    <t>Melting_Curves/meltCurve_Q96DV4_MRPL38.pdf</t>
  </si>
  <si>
    <t>Melting_Curves/meltCurve_Q96DX4_RSPRY1.pdf</t>
  </si>
  <si>
    <t>Melting_Curves/meltCurve_Q96DX7_TRIM44.pdf</t>
  </si>
  <si>
    <t>Melting_Curves/meltCurve_Q96DZ1_ERLEC1.pdf</t>
  </si>
  <si>
    <t>Melting_Curves/meltCurve_Q96E09_FAM122A.pdf</t>
  </si>
  <si>
    <t>Melting_Curves/meltCurve_Q96E11_3_MRRF.pdf</t>
  </si>
  <si>
    <t>Melting_Curves/meltCurve_Q96E14_RMI2.pdf</t>
  </si>
  <si>
    <t>Melting_Curves/meltCurve_Q96E40_2_C9orf9.pdf</t>
  </si>
  <si>
    <t>Melting_Curves/meltCurve_Q96E52_OMA1.pdf</t>
  </si>
  <si>
    <t>Melting_Curves/meltCurve_Q96EA4_SPDL1.pdf</t>
  </si>
  <si>
    <t>Melting_Curves/meltCurve_Q96EB1_ELP4.pdf</t>
  </si>
  <si>
    <t>Melting_Curves/meltCurve_Q96EB6_SIRT1.pdf</t>
  </si>
  <si>
    <t>Melting_Curves/meltCurve_Q96EC8_YIPF6.pdf</t>
  </si>
  <si>
    <t>Melting_Curves/meltCurve_Q96EE3_SEH1L.pdf</t>
  </si>
  <si>
    <t>Melting_Curves/meltCurve_Q96EH3_MALSU1.pdf</t>
  </si>
  <si>
    <t>Melting_Curves/meltCurve_Q96EK5_KIAA1279.pdf</t>
  </si>
  <si>
    <t>Melting_Curves/meltCurve_Q96EK6_GNPNAT1.pdf</t>
  </si>
  <si>
    <t>Melting_Curves/meltCurve_Q96EK9_KTI12.pdf</t>
  </si>
  <si>
    <t>Melting_Curves/meltCurve_Q96EL2_MRPS24.pdf</t>
  </si>
  <si>
    <t>Melting_Curves/meltCurve_Q96EL3_MRPL53.pdf</t>
  </si>
  <si>
    <t>Melting_Curves/meltCurve_Q96EM0_L3HYPDH.pdf</t>
  </si>
  <si>
    <t>Melting_Curves/meltCurve_Q96EP0_RNF31.pdf</t>
  </si>
  <si>
    <t>Melting_Curves/meltCurve_Q96EP5_DAZAP1.pdf</t>
  </si>
  <si>
    <t>Melting_Curves/meltCurve_Q96EQ0_SGTB.pdf</t>
  </si>
  <si>
    <t>Melting_Curves/meltCurve_Q96ER3_SAAL1.pdf</t>
  </si>
  <si>
    <t>Melting_Curves/meltCurve_Q96ER9_CCDC51.pdf</t>
  </si>
  <si>
    <t>Melting_Curves/meltCurve_Q96ES7_CCDC101.pdf</t>
  </si>
  <si>
    <t>Melting_Curves/meltCurve_Q96EU6_2_RRP36.pdf</t>
  </si>
  <si>
    <t>Melting_Curves/meltCurve_Q96EV2_RBM33.pdf</t>
  </si>
  <si>
    <t>Melting_Curves/meltCurve_Q96EV8_2_DTNBP1.pdf</t>
  </si>
  <si>
    <t>Melting_Curves/meltCurve_Q96EW2_HSPBAP1.pdf</t>
  </si>
  <si>
    <t>Melting_Curves/meltCurve_Q96EX1_SMIM12.pdf</t>
  </si>
  <si>
    <t>Melting_Curves/meltCurve_Q96EX3_WDR34.pdf</t>
  </si>
  <si>
    <t>Melting_Curves/meltCurve_Q96EY1_DNAJA3.pdf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</si>
  <si>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</si>
  <si>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</si>
  <si>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</si>
  <si>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</si>
  <si>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Melting_Curves/meltCurve_Q96F15_GIMAP5.pdf</t>
  </si>
  <si>
    <t>Melting_Curves/meltCurve_Q96F24_2_NRBF2.pdf</t>
  </si>
  <si>
    <t>Melting_Curves/meltCurve_Q96F25_ALG14.pdf</t>
  </si>
  <si>
    <t>Melting_Curves/meltCurve_Q96F44_3_TRIM11.pdf</t>
  </si>
  <si>
    <t>Melting_Curves/meltCurve_Q96F63_CCDC97.pdf</t>
  </si>
  <si>
    <t>Melting_Curves/meltCurve_Q96F86_EDC3.pdf</t>
  </si>
  <si>
    <t>Melting_Curves/meltCurve_Q96FA3_PELI1.pdf</t>
  </si>
  <si>
    <t>Melting_Curves/meltCurve_Q96FC9_3_DDX11.pdf</t>
  </si>
  <si>
    <t>Melting_Curves/meltCurve_Q96FH0_MEF2BNB.pdf</t>
  </si>
  <si>
    <t>Melting_Curves/meltCurve_Q96FJ0_STAMBPL1.pdf</t>
  </si>
  <si>
    <t>Melting_Curves/meltCurve_Q96FJ2_DYNLL2.pdf</t>
  </si>
  <si>
    <t>Melting_Curves/meltCurve_Q96FK6_WDR89.pdf</t>
  </si>
  <si>
    <t>Melting_Curves/meltCurve_Q96FN4_CPNE2.pdf</t>
  </si>
  <si>
    <t>Melting_Curves/meltCurve_Q96FN9_DTD2.pdf</t>
  </si>
  <si>
    <t>Melting_Curves/meltCurve_Q96FS4_SIPA1.pdf</t>
  </si>
  <si>
    <t>Melting_Curves/meltCurve_Q96FV9_THOC1.pdf</t>
  </si>
  <si>
    <t>Melting_Curves/meltCurve_Q96FX2_DPH3.pdf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</si>
  <si>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</si>
  <si>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</si>
  <si>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</si>
  <si>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</si>
  <si>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</si>
  <si>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</si>
  <si>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</si>
  <si>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</si>
  <si>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</si>
  <si>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Melting_Curves/meltCurve_Q96GA3_LTV1.pdf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</si>
  <si>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</si>
  <si>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</si>
  <si>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</si>
  <si>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</si>
  <si>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</si>
  <si>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</si>
  <si>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</si>
  <si>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</si>
  <si>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Melting_Curves/meltCurve_Q96GS6_ABHD17A.pdf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</si>
  <si>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</si>
  <si>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</si>
  <si>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</si>
  <si>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</si>
  <si>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Melting_Curves/meltCurve_Q96GX9_3_APIP.pdf</t>
  </si>
  <si>
    <t>Melting_Curves/meltCurve_Q96GY0_ZC2HC1A.pdf</t>
  </si>
  <si>
    <t>Melting_Curves/meltCurve_Q96GZ6_6_SLC41A3.pdf</t>
  </si>
  <si>
    <t>Melting_Curves/meltCurve_Q96H20_SNF8.pdf</t>
  </si>
  <si>
    <t>Melting_Curves/meltCurve_Q96H22_4_CENPN.pdf</t>
  </si>
  <si>
    <t>Melting_Curves/meltCurve_Q96H79_ZC3HAV1L.pdf</t>
  </si>
  <si>
    <t>Melting_Curves/meltCurve_Q96H86_2_ZNF764.pdf</t>
  </si>
  <si>
    <t>Melting_Curves/meltCurve_Q96HA4_4_C1orf159.pdf</t>
  </si>
  <si>
    <t>Melting_Curves/meltCurve_Q96HA8_WDYHV1.pdf</t>
  </si>
  <si>
    <t>Melting_Curves/meltCurve_Q96HC4_PDLIM5.pdf</t>
  </si>
  <si>
    <t>Melting_Curves/meltCurve_Q96HD1_CRELD1.pdf</t>
  </si>
  <si>
    <t>Melting_Curves/meltCurve_Q96HE7_ERO1L.pdf</t>
  </si>
  <si>
    <t>Melting_Curves/meltCurve_Q96HJ9_C7orf55.pdf</t>
  </si>
  <si>
    <t>Melting_Curves/meltCurve_Q96HJ9_2_C7orf55.pdf</t>
  </si>
  <si>
    <t>Melting_Curves/meltCurve_Q96HN2_AHCYL2.pdf</t>
  </si>
  <si>
    <t>Melting_Curves/meltCurve_Q96HQ2_CDKN2AIPNL.pdf</t>
  </si>
  <si>
    <t>Melting_Curves/meltCurve_Q96HR3_MED30.pdf</t>
  </si>
  <si>
    <t>Melting_Curves/meltCurve_Q96HR8_2_NAF1.pdf</t>
  </si>
  <si>
    <t>Melting_Curves/meltCurve_Q96HR9_REEP6.pdf</t>
  </si>
  <si>
    <t>Melting_Curves/meltCurve_Q96HS1_PGAM5.pdf</t>
  </si>
  <si>
    <t>Melting_Curves/meltCurve_Q96HW7_INTS4.pdf</t>
  </si>
  <si>
    <t>Melting_Curves/meltCurve_Q96HY6_DDRGK1.pdf</t>
  </si>
  <si>
    <t>Melting_Curves/meltCurve_Q96HY7_DHTKD1.pdf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</si>
  <si>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</si>
  <si>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</si>
  <si>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</si>
  <si>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</si>
  <si>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Melting_Curves/meltCurve_Q96I59_NARS2.pdf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</si>
  <si>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</si>
  <si>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</si>
  <si>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</si>
  <si>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</si>
  <si>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Melting_Curves/meltCurve_Q96IR2_ZNF845.pdf</t>
  </si>
  <si>
    <t>Melting_Curves/meltCurve_Q96IU4_ABHD14B.pdf</t>
  </si>
  <si>
    <t>Melting_Curves/meltCurve_Q96IV0_5_NGLY1.pdf</t>
  </si>
  <si>
    <t>Melting_Curves/meltCurve_Q96IX5_USMG5.pdf</t>
  </si>
  <si>
    <t>Melting_Curves/meltCurve_Q96IY1_NSL1.pdf</t>
  </si>
  <si>
    <t>Melting_Curves/meltCurve_Q96IZ0_PAWR.pdf</t>
  </si>
  <si>
    <t>Melting_Curves/meltCurve_Q96IZ7_2_RSRC1.pdf</t>
  </si>
  <si>
    <t>Melting_Curves/meltCurve_Q96J01_THOC3.pdf</t>
  </si>
  <si>
    <t>Melting_Curves/meltCurve_Q96J02_2_ITCH.pdf</t>
  </si>
  <si>
    <t>Melting_Curves/meltCurve_Q96J84_2_KIRREL.pdf</t>
  </si>
  <si>
    <t>Melting_Curves/meltCurve_Q96J88_2_EPSTI1.pdf</t>
  </si>
  <si>
    <t>Melting_Curves/meltCurve_Q96JB2_COG3.pdf</t>
  </si>
  <si>
    <t>Melting_Curves/meltCurve_Q96JB5_CDK5RAP3.pdf</t>
  </si>
  <si>
    <t>Melting_Curves/meltCurve_Q96JC1_2_VPS39.pdf</t>
  </si>
  <si>
    <t>Melting_Curves/meltCurve_Q96JC9_EAF1.pdf</t>
  </si>
  <si>
    <t>Melting_Curves/meltCurve_Q96JG6_CCDC132.pdf</t>
  </si>
  <si>
    <t>Melting_Curves/meltCurve_Q96JH7_VCPIP1.pdf</t>
  </si>
  <si>
    <t>Melting_Curves/meltCurve_Q96JJ7_TMX3.pdf</t>
  </si>
  <si>
    <t>Melting_Curves/meltCurve_Q96JM3_CHAMP1.pdf</t>
  </si>
  <si>
    <t>Melting_Curves/meltCurve_Q96JP5_ZFP91.pdf</t>
  </si>
  <si>
    <t>Melting_Curves/meltCurve_Q96JQ2_CLMN.pdf</t>
  </si>
  <si>
    <t>Melting_Curves/meltCurve_Q96JY6_PDLIM2.pdf</t>
  </si>
  <si>
    <t>Melting_Curves/meltCurve_Q96K19_2_RNF170.pdf</t>
  </si>
  <si>
    <t>Melting_Curves/meltCurve_Q96K31_C8orf76.pdf</t>
  </si>
  <si>
    <t>Melting_Curves/meltCurve_Q96K80_ZC3H10.pdf</t>
  </si>
  <si>
    <t>Melting_Curves/meltCurve_Q96KA5_2_CLPTM1L.pdf</t>
  </si>
  <si>
    <t>Melting_Curves/meltCurve_Q96KB5_PBK.pdf</t>
  </si>
  <si>
    <t>Melting_Curves/meltCurve_Q96KC8_DNAJC1.pdf</t>
  </si>
  <si>
    <t>Melting_Curves/meltCurve_Q96KM6_ZNF512B.pdf</t>
  </si>
  <si>
    <t>Melting_Curves/meltCurve_Q96KP1_EXOC2.pdf</t>
  </si>
  <si>
    <t>Melting_Curves/meltCurve_Q96KP4_CNDP2.pdf</t>
  </si>
  <si>
    <t>Melting_Curves/meltCurve_Q96KQ4_PPP1R13B.pdf</t>
  </si>
  <si>
    <t>Melting_Curves/meltCurve_Q96KR1_ZFR.pdf</t>
  </si>
  <si>
    <t>Melting_Curves/meltCurve_Q96L50_LRR1.pdf</t>
  </si>
  <si>
    <t>Melting_Curves/meltCurve_Q96L92_3_SNX27.pdf</t>
  </si>
  <si>
    <t>Melting_Curves/meltCurve_Q96L93_6_KIF16B.pdf</t>
  </si>
  <si>
    <t>Melting_Curves/meltCurve_Q96LA8_PRMT6.pdf</t>
  </si>
  <si>
    <t>Melting_Curves/meltCurve_Q96LD8_SENP8.pdf</t>
  </si>
  <si>
    <t>Melting_Curves/meltCurve_Q96LJ7_DHRS1.pdf</t>
  </si>
  <si>
    <t>Melting_Curves/meltCurve_Q96LR5_UBE2E2.pdf</t>
  </si>
  <si>
    <t>Melting_Curves/meltCurve_Q96LT7_C9orf72.pdf</t>
  </si>
  <si>
    <t>Melting_Curves/meltCurve_Q96M20_2_CNBD2.pdf</t>
  </si>
  <si>
    <t>Melting_Curves/meltCurve_Q96M27_PRRC1.pdf</t>
  </si>
  <si>
    <t>Melting_Curves/meltCurve_Q96ME1_4_FBXL18.pdf</t>
  </si>
  <si>
    <t>Melting_Curves/meltCurve_Q96MG7_NDNL2.pdf</t>
  </si>
  <si>
    <t>Melting_Curves/meltCurve_Q96MH2_HEXIM2.pdf</t>
  </si>
  <si>
    <t>Melting_Curves/meltCurve_Q96MH6_TMEM68.pdf</t>
  </si>
  <si>
    <t>Melting_Curves/meltCurve_Q96MX3_ZNF48.pdf</t>
  </si>
  <si>
    <t>Melting_Curves/meltCurve_Q96MX6_WDR92.pdf</t>
  </si>
  <si>
    <t>Melting_Curves/meltCurve_Q96N11_2_C7orf26.pdf</t>
  </si>
  <si>
    <t>Melting_Curves/meltCurve_Q96N16_JAKMIP1.pdf</t>
  </si>
  <si>
    <t>Melting_Curves/meltCurve_Q96N21_2_ENTHD2.pdf</t>
  </si>
  <si>
    <t>Melting_Curves/meltCurve_Q96N46_TTC14.pdf</t>
  </si>
  <si>
    <t>Melting_Curves/meltCurve_Q96N66_2_MBOAT7.pdf</t>
  </si>
  <si>
    <t>Melting_Curves/meltCurve_Q96N67_4_DOCK7.pdf</t>
  </si>
  <si>
    <t>Melting_Curves/meltCurve_Q96NB1_FOPNL.pdf</t>
  </si>
  <si>
    <t>Melting_Curves/meltCurve_Q96NB2_SFXN2.pdf</t>
  </si>
  <si>
    <t>Melting_Curves/meltCurve_Q96NB3_ZNF830.pdf</t>
  </si>
  <si>
    <t>Melting_Curves/meltCurve_Q96NC0_ZMAT2.pdf</t>
  </si>
  <si>
    <t>Melting_Curves/meltCurve_Q96NT0_CCDC115.pdf</t>
  </si>
  <si>
    <t>Melting_Curves/meltCurve_Q96NT1_NAP1L5.pdf</t>
  </si>
  <si>
    <t>Melting_Curves/meltCurve_Q96P11_2_NSUN5.pdf</t>
  </si>
  <si>
    <t>Melting_Curves/meltCurve_Q96P16_RPRD1A.pdf</t>
  </si>
  <si>
    <t>Melting_Curves/meltCurve_Q96P70_IPO9.pdf</t>
  </si>
  <si>
    <t>Melting_Curves/meltCurve_Q96PD2_DCBLD2.pdf</t>
  </si>
  <si>
    <t>Melting_Curves/meltCurve_Q96PE7_MCEE.pdf</t>
  </si>
  <si>
    <t>Melting_Curves/meltCurve_Q96PK6_RBM14.pdf</t>
  </si>
  <si>
    <t>Melting_Curves/meltCurve_Q96PM5_RCHY1.pdf</t>
  </si>
  <si>
    <t>Melting_Curves/meltCurve_Q96PU4_UHRF2.pdf</t>
  </si>
  <si>
    <t>Melting_Curves/meltCurve_Q96PU5_2_NEDD4L.pdf</t>
  </si>
  <si>
    <t>Melting_Curves/meltCurve_Q96PU8_9_QKI.pdf</t>
  </si>
  <si>
    <t>Melting_Curves/meltCurve_Q96PV6_2_LENG8.pdf</t>
  </si>
  <si>
    <t>Melting_Curves/meltCurve_Q96PZ0_PUS7.pdf</t>
  </si>
  <si>
    <t>Melting_Curves/meltCurve_Q96PZ2_FAM111A.pdf</t>
  </si>
  <si>
    <t>Melting_Curves/meltCurve_Q96Q05_3_TRAPPC9.pdf</t>
  </si>
  <si>
    <t>Melting_Curves/meltCurve_Q96Q11_2_TRNT1.pdf</t>
  </si>
  <si>
    <t>Melting_Curves/meltCurve_Q96Q45_2_TMEM237.pdf</t>
  </si>
  <si>
    <t>Melting_Curves/meltCurve_Q96Q83_ALKBH3.pdf</t>
  </si>
  <si>
    <t>Melting_Curves/meltCurve_Q96QC0_PPP1R10.pdf</t>
  </si>
  <si>
    <t>Melting_Curves/meltCurve_Q96QD8_SLC38A2.pdf</t>
  </si>
  <si>
    <t>Melting_Curves/meltCurve_Q96QE2_SLC2A13.pdf</t>
  </si>
  <si>
    <t>Melting_Curves/meltCurve_Q96QF0_2_RAB3IP.pdf</t>
  </si>
  <si>
    <t>Melting_Curves/meltCurve_Q96QK1_VPS35.pdf</t>
  </si>
  <si>
    <t>Melting_Curves/meltCurve_Q96QR8_PURB.pdf</t>
  </si>
  <si>
    <t>Melting_Curves/meltCurve_Q96QZ7_6_MAGI1.pdf</t>
  </si>
  <si>
    <t>Melting_Curves/meltCurve_Q96R06_SPAG5.pdf</t>
  </si>
  <si>
    <t>Melting_Curves/meltCurve_Q96RD7_2_PANX1.pdf</t>
  </si>
  <si>
    <t>Melting_Curves/meltCurve_Q96RE7_NACC1.pdf</t>
  </si>
  <si>
    <t>Melting_Curves/meltCurve_Q96RG2_PASK.pdf</t>
  </si>
  <si>
    <t>Melting_Curves/meltCurve_Q96RL7_4_VPS13A.pdf</t>
  </si>
  <si>
    <t>Melting_Curves/meltCurve_Q96RN5_3_MED15.pdf</t>
  </si>
  <si>
    <t>Melting_Curves/meltCurve_Q96RP9_GFM1.pdf</t>
  </si>
  <si>
    <t>Melting_Curves/meltCurve_Q96RR1_PEO1.pdf</t>
  </si>
  <si>
    <t>Melting_Curves/meltCurve_Q96RR4_2_CAMKK2.pdf</t>
  </si>
  <si>
    <t>Melting_Curves/meltCurve_Q96RS0_TGS1.pdf</t>
  </si>
  <si>
    <t>Melting_Curves/meltCurve_Q96RS6_NUDCD1.pdf</t>
  </si>
  <si>
    <t>Melting_Curves/meltCurve_Q96RT1_7_ERBB2IP.pdf</t>
  </si>
  <si>
    <t>Melting_Curves/meltCurve_Q96S19_C16orf13.pdf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</si>
  <si>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</si>
  <si>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</si>
  <si>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</si>
  <si>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</si>
  <si>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</si>
  <si>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Melting_Curves/meltCurve_Q96S82_UBL7.pdf</t>
  </si>
  <si>
    <t>Melting_Curves/meltCurve_Q96S90_LYSMD1.pdf</t>
  </si>
  <si>
    <t>Melting_Curves/meltCurve_Q96S94_CCNL2.pdf</t>
  </si>
  <si>
    <t>Melting_Curves/meltCurve_Q96S97_MYADM.pdf</t>
  </si>
  <si>
    <t>Melting_Curves/meltCurve_Q96S99_PLEKHF1.pdf</t>
  </si>
  <si>
    <t>Melting_Curves/meltCurve_Q96SB3_PPP1R9B.pdf</t>
  </si>
  <si>
    <t>Melting_Curves/meltCurve_Q96SB4_SRPK1.pdf</t>
  </si>
  <si>
    <t>Melting_Curves/meltCurve_Q96SB8_SMC6.pdf</t>
  </si>
  <si>
    <t>Melting_Curves/meltCurve_Q96SI9_2_STRBP.pdf</t>
  </si>
  <si>
    <t>Melting_Curves/meltCurve_Q96SK2_2_TMEM209.pdf</t>
  </si>
  <si>
    <t>Melting_Curves/meltCurve_Q96SN7_ORAI2.pdf</t>
  </si>
  <si>
    <t>Melting_Curves/meltCurve_Q96ST2_IWS1.pdf</t>
  </si>
  <si>
    <t>Melting_Curves/meltCurve_Q96ST3_SIN3A.pdf</t>
  </si>
  <si>
    <t>Melting_Curves/meltCurve_Q96SZ5_ADO.pdf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</si>
  <si>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</si>
  <si>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</si>
  <si>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</si>
  <si>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</si>
  <si>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</si>
  <si>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Melting_Curves/meltCurve_Q96T83_SLC9A7.pdf</t>
  </si>
  <si>
    <t>Melting_Curves/meltCurve_Q96T88_UHRF1.pdf</t>
  </si>
  <si>
    <t>Melting_Curves/meltCurve_Q96TA1_2_FAM129B.pdf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</si>
  <si>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</si>
  <si>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</si>
  <si>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</si>
  <si>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</si>
  <si>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</si>
  <si>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</si>
  <si>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Melting_Curves/meltCurve_Q99442_SEC62.pdf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</si>
  <si>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</si>
  <si>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</si>
  <si>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</si>
  <si>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</si>
  <si>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</si>
  <si>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</si>
  <si>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Melting_Curves/meltCurve_Q99490_2_AGAP2.pdf</t>
  </si>
  <si>
    <t>Melting_Curves/meltCurve_Q99496_RNF2.pdf</t>
  </si>
  <si>
    <t>Melting_Curves/meltCurve_Q99497_PARK7.pdf</t>
  </si>
  <si>
    <t>Melting_Curves/meltCurve_Q99501_GAS2L1.pdf</t>
  </si>
  <si>
    <t>Melting_Curves/meltCurve_Q99519_NEU1.pdf</t>
  </si>
  <si>
    <t>Melting_Curves/meltCurve_Q99523_SORT1.pdf</t>
  </si>
  <si>
    <t>Melting_Curves/meltCurve_Q99536_VAT1.pdf</t>
  </si>
  <si>
    <t>Melting_Curves/meltCurve_Q99543_DNAJC2.pdf</t>
  </si>
  <si>
    <t>Melting_Curves/meltCurve_Q99549_MPHOSPH8.pdf</t>
  </si>
  <si>
    <t>Melting_Curves/meltCurve_Q99567_NUP88.pdf</t>
  </si>
  <si>
    <t>Melting_Curves/meltCurve_Q99570_PIK3R4.pdf</t>
  </si>
  <si>
    <t>Melting_Curves/meltCurve_Q99575_POP1.pdf</t>
  </si>
  <si>
    <t>Melting_Curves/meltCurve_Q99595_TIMM17A.pdf</t>
  </si>
  <si>
    <t>Melting_Curves/meltCurve_Q99598_TSNAX.pdf</t>
  </si>
  <si>
    <t>Melting_Curves/meltCurve_Q99608_NDN.pdf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</si>
  <si>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</si>
  <si>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</si>
  <si>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</si>
  <si>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</si>
  <si>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</si>
  <si>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Melting_Curves/meltCurve_Q99623_PHB2.pdf</t>
  </si>
  <si>
    <t>Melting_Curves/meltCurve_Q99633_PRPF18.pdf</t>
  </si>
  <si>
    <t>Melting_Curves/meltCurve_Q99638_RAD9A.pdf</t>
  </si>
  <si>
    <t>Melting_Curves/meltCurve_Q99643_5_SDHC.pdf</t>
  </si>
  <si>
    <t>Melting_Curves/meltCurve_Q99653_CHP1.pdf</t>
  </si>
  <si>
    <t>Melting_Curves/meltCurve_Q99661_KIF2C.pdf</t>
  </si>
  <si>
    <t>Melting_Curves/meltCurve_Q99704_DOK1.pdf</t>
  </si>
  <si>
    <t>Melting_Curves/meltCurve_Q99707_MTR.pdf</t>
  </si>
  <si>
    <t>Melting_Curves/meltCurve_Q99714_HSD17B10.pdf</t>
  </si>
  <si>
    <t>Melting_Curves/meltCurve_Q99719_SEPT5.pdf</t>
  </si>
  <si>
    <t>Melting_Curves/meltCurve_Q99720_4_SIGMAR1.pdf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</si>
  <si>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</si>
  <si>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</si>
  <si>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</si>
  <si>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</si>
  <si>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Melting_Curves/meltCurve_Q99795_GPA33.pdf</t>
  </si>
  <si>
    <t>Melting_Curves/meltCurve_Q99797_MIPEP.pdf</t>
  </si>
  <si>
    <t>Melting_Curves/meltCurve_Q99805_TM9SF2.pdf</t>
  </si>
  <si>
    <t>Melting_Curves/meltCurve_Q99808_SLC29A1.pdf</t>
  </si>
  <si>
    <t>Melting_Curves/meltCurve_Q99816_TSG101.pdf</t>
  </si>
  <si>
    <t>Melting_Curves/meltCurve_Q99829_CPNE1.pdf</t>
  </si>
  <si>
    <t>Melting_Curves/meltCurve_Q99832_CCT7.pdf</t>
  </si>
  <si>
    <t>Melting_Curves/meltCurve_Q99856_ARID3A.pdf</t>
  </si>
  <si>
    <t>Melting_Curves/meltCurve_Q99879_HIST1H2BM.pdf</t>
  </si>
  <si>
    <t>Melting_Curves/meltCurve_Q99952_2_PTPN18.pdf</t>
  </si>
  <si>
    <t>Melting_Curves/meltCurve_Q99961_SH3GL1.pdf</t>
  </si>
  <si>
    <t>Melting_Curves/meltCurve_Q99963_4_SH3GL3.pdf</t>
  </si>
  <si>
    <t>Melting_Curves/meltCurve_Q99986_VRK1.pdf</t>
  </si>
  <si>
    <t>Melting_Curves/meltCurve_Q9BPU6_DPYSL5.pdf</t>
  </si>
  <si>
    <t>Melting_Curves/meltCurve_Q9BPW8_NIPSNAP1.pdf</t>
  </si>
  <si>
    <t>Melting_Curves/meltCurve_Q9BPX3_NCAPG.pdf</t>
  </si>
  <si>
    <t>Melting_Curves/meltCurve_Q9BPX5_ARPC5L.pdf</t>
  </si>
  <si>
    <t>Melting_Curves/meltCurve_Q9BPX7_C7orf25.pdf</t>
  </si>
  <si>
    <t>Melting_Curves/meltCurve_Q9BPZ3_PAIP2.pdf</t>
  </si>
  <si>
    <t>Melting_Curves/meltCurve_Q9BQ04_RBM4B.pdf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</si>
  <si>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</si>
  <si>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</si>
  <si>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</si>
  <si>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</si>
  <si>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</si>
  <si>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</si>
  <si>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Melting_Curves/meltCurve_Q9BQ95_ECSIT.pdf</t>
  </si>
  <si>
    <t>Melting_Curves/meltCurve_Q9BQA1_WDR77.pdf</t>
  </si>
  <si>
    <t>Melting_Curves/meltCurve_Q9BQA9_2_C17orf62.pdf</t>
  </si>
  <si>
    <t>Melting_Curves/meltCurve_Q9BQC3_DPH2.pdf</t>
  </si>
  <si>
    <t>Melting_Curves/meltCurve_Q9BQF6_5_SENP7.pdf</t>
  </si>
  <si>
    <t>Melting_Curves/meltCurve_Q9BQI0_AIF1L.pdf</t>
  </si>
  <si>
    <t>Melting_Curves/meltCurve_Q9BQI3_2_EIF2AK1.pdf</t>
  </si>
  <si>
    <t>Melting_Curves/meltCurve_Q9BQI6_ANKRD32.pdf</t>
  </si>
  <si>
    <t>Melting_Curves/meltCurve_Q9BQP7_MGME1.pdf</t>
  </si>
  <si>
    <t>Melting_Curves/meltCurve_Q9BQS8_FYCO1.pdf</t>
  </si>
  <si>
    <t>Melting_Curves/meltCurve_Q9BR61_ACBD6.pdf</t>
  </si>
  <si>
    <t>Melting_Curves/meltCurve_Q9BR76_CORO1B.pdf</t>
  </si>
  <si>
    <t>Melting_Curves/meltCurve_Q9BRA0_2_LSMD1.pdf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</si>
  <si>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</si>
  <si>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</si>
  <si>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</si>
  <si>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</si>
  <si>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Melting_Curves/meltCurve_Q9BRJ2_MRPL45.pdf</t>
  </si>
  <si>
    <t>Melting_Curves/meltCurve_Q9BRK5_SDF4.pdf</t>
  </si>
  <si>
    <t>Melting_Curves/meltCurve_Q9BRL6_2_SRSF8.pdf</t>
  </si>
  <si>
    <t>Melting_Curves/meltCurve_Q9BRP1_PDCD2L.pdf</t>
  </si>
  <si>
    <t>Melting_Curves/meltCurve_Q9BRP4_PAAF1.pdf</t>
  </si>
  <si>
    <t>Melting_Curves/meltCurve_Q9BRP8_2_WIBG.pdf</t>
  </si>
  <si>
    <t>Melting_Curves/meltCurve_Q9BRR6_2_ADPGK.pdf</t>
  </si>
  <si>
    <t>Melting_Curves/meltCurve_Q9BRR8_GPATCH1.pdf</t>
  </si>
  <si>
    <t>Melting_Curves/meltCurve_Q9BRS2_RIOK1.pdf</t>
  </si>
  <si>
    <t>Melting_Curves/meltCurve_Q9BRT2_MNF1.pdf</t>
  </si>
  <si>
    <t>Melting_Curves/meltCurve_Q9BRT3_MIEN1.pdf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</si>
  <si>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</si>
  <si>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</si>
  <si>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</si>
  <si>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</si>
  <si>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Melting_Curves/meltCurve_Q9BRX8_2_FAM213A.pdf</t>
  </si>
  <si>
    <t>Melting_Curves/meltCurve_Q9BRX9_WDR83.pdf</t>
  </si>
  <si>
    <t>Melting_Curves/meltCurve_Q9BRZ2_TRIM56.pdf</t>
  </si>
  <si>
    <t>Melting_Curves/meltCurve_Q9BS26_ERP44.pdf</t>
  </si>
  <si>
    <t>Melting_Curves/meltCurve_Q9BSB4_ATG101.pdf</t>
  </si>
  <si>
    <t>Melting_Curves/meltCurve_Q9BSD7_NTPCR.pdf</t>
  </si>
  <si>
    <t>Melting_Curves/meltCurve_Q9BSE4_HERPUD2.pdf</t>
  </si>
  <si>
    <t>Melting_Curves/meltCurve_Q9BSF4_C19orf52.pdf</t>
  </si>
  <si>
    <t>Melting_Curves/meltCurve_Q9BSH4_TACO1.pdf</t>
  </si>
  <si>
    <t>Melting_Curves/meltCurve_Q9BSH5_HDHD3.pdf</t>
  </si>
  <si>
    <t>Melting_Curves/meltCurve_Q9BSJ5_3_C17orf80.pdf</t>
  </si>
  <si>
    <t>Melting_Curves/meltCurve_Q9BSJ8_ESYT1.pdf</t>
  </si>
  <si>
    <t>Melting_Curves/meltCurve_Q9BSK2_SLC25A33.pdf</t>
  </si>
  <si>
    <t>Melting_Curves/meltCurve_Q9BSL1_UBAC1.pdf</t>
  </si>
  <si>
    <t>Melting_Curves/meltCurve_Q9BSR8_YIPF4.pdf</t>
  </si>
  <si>
    <t>Melting_Curves/meltCurve_Q9BSU1_C16orf70.pdf</t>
  </si>
  <si>
    <t>Melting_Curves/meltCurve_Q9BSV6_TSEN34.pdf</t>
  </si>
  <si>
    <t>Melting_Curves/meltCurve_Q9BSW2_2_EFCAB4B.pdf</t>
  </si>
  <si>
    <t>Melting_Curves/meltCurve_Q9BT09_CNPY3.pdf</t>
  </si>
  <si>
    <t>Melting_Curves/meltCurve_Q9BT22_ALG1.pdf</t>
  </si>
  <si>
    <t>Melting_Curves/meltCurve_Q9BT23_LIMD2.pdf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</si>
  <si>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</si>
  <si>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</si>
  <si>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</si>
  <si>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</si>
  <si>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Melting_Curves/meltCurve_Q9BT92_TCHP.pdf</t>
  </si>
  <si>
    <t>Melting_Curves/meltCurve_Q9BTA9_5_WAC.pdf</t>
  </si>
  <si>
    <t>Melting_Curves/meltCurve_Q9BTC0_DIDO1.pdf</t>
  </si>
  <si>
    <t>Melting_Curves/meltCurve_Q9BTE1_DCTN5.pdf</t>
  </si>
  <si>
    <t>Melting_Curves/meltCurve_Q9BTE3_2_MCMBP.pdf</t>
  </si>
  <si>
    <t>Melting_Curves/meltCurve_Q9BTE6_AARSD1.pdf</t>
  </si>
  <si>
    <t>Melting_Curves/meltCurve_Q9BTE7_DCUN1D5.pdf</t>
  </si>
  <si>
    <t>Melting_Curves/meltCurve_Q9BTL3_FAM103A1.pdf</t>
  </si>
  <si>
    <t>Melting_Curves/meltCurve_Q9BTM9_URM1.pdf</t>
  </si>
  <si>
    <t>Melting_Curves/meltCurve_Q9BTT0_ANP32E.pdf</t>
  </si>
  <si>
    <t>Melting_Curves/meltCurve_Q9BTT4_MED10.pdf</t>
  </si>
  <si>
    <t>Melting_Curves/meltCurve_Q9BTT6_LRRC1.pdf</t>
  </si>
  <si>
    <t>Melting_Curves/meltCurve_Q9BTU6_PI4K2A.pdf</t>
  </si>
  <si>
    <t>Melting_Curves/meltCurve_Q9BTV4_TMEM43.pdf</t>
  </si>
  <si>
    <t>Melting_Curves/meltCurve_Q9BTV5_FSD1.pdf</t>
  </si>
  <si>
    <t>Melting_Curves/meltCurve_Q9BTV6_WDR85.pdf</t>
  </si>
  <si>
    <t>Melting_Curves/meltCurve_Q9BTV7_CABLES2.pdf</t>
  </si>
  <si>
    <t>Melting_Curves/meltCurve_Q9BTX1_4_TMEM48.pdf</t>
  </si>
  <si>
    <t>Melting_Curves/meltCurve_Q9BTX7_TTPAL.pdf</t>
  </si>
  <si>
    <t>Melting_Curves/meltCurve_Q9BTY7_FAM203A.pdf</t>
  </si>
  <si>
    <t>Melting_Curves/meltCurve_Q9BTZ2_DHRS4.pdf</t>
  </si>
  <si>
    <t>Melting_Curves/meltCurve_Q9BU02_THTPA.pdf</t>
  </si>
  <si>
    <t>Melting_Curves/meltCurve_Q9BU23_2_LMF2.pdf</t>
  </si>
  <si>
    <t>Melting_Curves/meltCurve_Q9BU61_NDUFAF3.pdf</t>
  </si>
  <si>
    <t>Melting_Curves/meltCurve_Q9BU64_CENPO.pdf</t>
  </si>
  <si>
    <t>Melting_Curves/meltCurve_Q9BU76_3_MMTAG2.pdf</t>
  </si>
  <si>
    <t>Melting_Curves/meltCurve_Q9BU89_DOHH.pdf</t>
  </si>
  <si>
    <t>Melting_Curves/meltCurve_Q9BUA3_C11orf84.pdf</t>
  </si>
  <si>
    <t>Melting_Curves/meltCurve_Q9BUB5_2_MKNK1.pdf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</si>
  <si>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</si>
  <si>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</si>
  <si>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</si>
  <si>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</si>
  <si>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</si>
  <si>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Melting_Curves/meltCurve_Q9BUL9_RPP25.pdf</t>
  </si>
  <si>
    <t>Melting_Curves/meltCurve_Q9BUP0_EFHD1.pdf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</si>
  <si>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</si>
  <si>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</si>
  <si>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</si>
  <si>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</si>
  <si>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</si>
  <si>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Melting_Curves/meltCurve_Q9BV10_ALG12.pdf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</si>
  <si>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</si>
  <si>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</si>
  <si>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</si>
  <si>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</si>
  <si>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</si>
  <si>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</si>
  <si>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</si>
  <si>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</si>
  <si>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</si>
  <si>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Melting_Curves/meltCurve_Q9BV81_EMC6.pdf</t>
  </si>
  <si>
    <t>Melting_Curves/meltCurve_Q9BV86_NTMT1.pdf</t>
  </si>
  <si>
    <t>Melting_Curves/meltCurve_Q9BVA0_KATNB1.pdf</t>
  </si>
  <si>
    <t>Melting_Curves/meltCurve_Q9BVC3_DSCC1.pdf</t>
  </si>
  <si>
    <t>Melting_Curves/meltCurve_Q9BVC4_MLST8.pdf</t>
  </si>
  <si>
    <t>Melting_Curves/meltCurve_Q9BVC5_C2orf49.pdf</t>
  </si>
  <si>
    <t>Melting_Curves/meltCurve_Q9BVC6_TMEM109.pdf</t>
  </si>
  <si>
    <t>Melting_Curves/meltCurve_Q9BVI4_NOC4L.pdf</t>
  </si>
  <si>
    <t>Melting_Curves/meltCurve_Q9BVJ6_UTP14A.pdf</t>
  </si>
  <si>
    <t>Melting_Curves/meltCurve_Q9BVK6_TMED9.pdf</t>
  </si>
  <si>
    <t>Melting_Curves/meltCurve_Q9BVL2_3_NUPL1.pdf</t>
  </si>
  <si>
    <t>Melting_Curves/meltCurve_Q9BVL4_SELO.pdf</t>
  </si>
  <si>
    <t>Melting_Curves/meltCurve_Q9BVM2_DPCD.pdf</t>
  </si>
  <si>
    <t>Melting_Curves/meltCurve_Q9BVM4_GGACT.pdf</t>
  </si>
  <si>
    <t>Melting_Curves/meltCurve_Q9BVP2_2_GNL3.pdf</t>
  </si>
  <si>
    <t>Melting_Curves/meltCurve_Q9BVQ7_SPATA5L1.pdf</t>
  </si>
  <si>
    <t>Melting_Curves/meltCurve_Q9BVS4_RIOK2.pdf</t>
  </si>
  <si>
    <t>Melting_Curves/meltCurve_Q9BVS5_TRMT61B.pdf</t>
  </si>
  <si>
    <t>Melting_Curves/meltCurve_Q9BVV7_TIMM21.pdf</t>
  </si>
  <si>
    <t>Melting_Curves/meltCurve_Q9BVW5_TIPIN.pdf</t>
  </si>
  <si>
    <t>Melting_Curves/meltCurve_Q9BW19_KIFC1.pdf</t>
  </si>
  <si>
    <t>Melting_Curves/meltCurve_Q9BW27_NUP85.pdf</t>
  </si>
  <si>
    <t>Melting_Curves/meltCurve_Q9BW60_ELOVL1.pdf</t>
  </si>
  <si>
    <t>Melting_Curves/meltCurve_Q9BW61_DDA1.pdf</t>
  </si>
  <si>
    <t>Melting_Curves/meltCurve_Q9BW62_KATNAL1.pdf</t>
  </si>
  <si>
    <t>Melting_Curves/meltCurve_Q9BW71_HIRIP3.pdf</t>
  </si>
  <si>
    <t>Melting_Curves/meltCurve_Q9BW71_3_HIRIP3.pdf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</si>
  <si>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</si>
  <si>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</si>
  <si>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</si>
  <si>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</si>
  <si>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</si>
  <si>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Melting_Curves/meltCurve_Q9BWF3_RBM4.pdf</t>
  </si>
  <si>
    <t>Melting_Curves/meltCurve_Q9BWG6_SCNM1.pdf</t>
  </si>
  <si>
    <t>Melting_Curves/meltCurve_Q9BWH2_FUNDC2.pdf</t>
  </si>
  <si>
    <t>Melting_Curves/meltCurve_Q9BWH6_RPAP1.pdf</t>
  </si>
  <si>
    <t>Melting_Curves/meltCurve_Q9BWJ5_SF3B5.pdf</t>
  </si>
  <si>
    <t>Melting_Curves/meltCurve_Q9BWM7_SFXN3.pdf</t>
  </si>
  <si>
    <t>Melting_Curves/meltCurve_Q9BWT3_PAPOLG.pdf</t>
  </si>
  <si>
    <t>Melting_Curves/meltCurve_Q9BWT6_MND1.pdf</t>
  </si>
  <si>
    <t>Melting_Curves/meltCurve_Q9BWU0_SLC4A1AP.pdf</t>
  </si>
  <si>
    <t>Melting_Curves/meltCurve_Q9BWW4_2_SSBP3.pdf</t>
  </si>
  <si>
    <t>Melting_Curves/meltCurve_Q9BX40_LSM14B.pdf</t>
  </si>
  <si>
    <t>Melting_Curves/meltCurve_Q9BX59_TAPBPL.pdf</t>
  </si>
  <si>
    <t>Melting_Curves/meltCurve_Q9BX63_BRIP1.pdf</t>
  </si>
  <si>
    <t>Melting_Curves/meltCurve_Q9BX66_9_SORBS1.pdf</t>
  </si>
  <si>
    <t>Melting_Curves/meltCurve_Q9BX67_JAM3.pdf</t>
  </si>
  <si>
    <t>Melting_Curves/meltCurve_Q9BX68_HINT2.pdf</t>
  </si>
  <si>
    <t>Melting_Curves/meltCurve_Q9BX70_BTBD2.pdf</t>
  </si>
  <si>
    <t>Melting_Curves/meltCurve_Q9BX95_SGPP1.pdf</t>
  </si>
  <si>
    <t>Melting_Curves/meltCurve_Q9BXB4_OSBPL11.pdf</t>
  </si>
  <si>
    <t>Melting_Curves/meltCurve_Q9BXF6_RAB11FIP5.pdf</t>
  </si>
  <si>
    <t>Melting_Curves/meltCurve_Q9BXI6_TBC1D10A.pdf</t>
  </si>
  <si>
    <t>Melting_Curves/meltCurve_Q9BXJ8_2_TMEM120A.pdf</t>
  </si>
  <si>
    <t>Melting_Curves/meltCurve_Q9BXJ9_NAA15.pdf</t>
  </si>
  <si>
    <t>Melting_Curves/meltCurve_Q9BXK1_KLF16.pdf</t>
  </si>
  <si>
    <t>Melting_Curves/meltCurve_Q9BXK5_BCL2L13.pdf</t>
  </si>
  <si>
    <t>Melting_Curves/meltCurve_Q9BXL5_HEMGN.pdf</t>
  </si>
  <si>
    <t>Melting_Curves/meltCurve_Q9BXL7_CARD11.pdf</t>
  </si>
  <si>
    <t>Melting_Curves/meltCurve_Q9BXP2_SLC12A9.pdf</t>
  </si>
  <si>
    <t>Melting_Curves/meltCurve_Q9BXP5_4_SRRT.pdf</t>
  </si>
  <si>
    <t>Melting_Curves/meltCurve_Q9BXR0_QTRT1.pdf</t>
  </si>
  <si>
    <t>Melting_Curves/meltCurve_Q9BXS5_AP1M1.pdf</t>
  </si>
  <si>
    <t>Melting_Curves/meltCurve_Q9BXS6_2_NUSAP1.pdf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</si>
  <si>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</si>
  <si>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</si>
  <si>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</si>
  <si>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</si>
  <si>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Melting_Curves/meltCurve_Q9BXY0_MAK16.pdf</t>
  </si>
  <si>
    <t>Melting_Curves/meltCurve_Q9BY27_DGCR6L.pdf</t>
  </si>
  <si>
    <t>Melting_Curves/meltCurve_Q9BY32_ITPA.pdf</t>
  </si>
  <si>
    <t>Melting_Curves/meltCurve_Q9BY42_RTFDC1.pdf</t>
  </si>
  <si>
    <t>Melting_Curves/meltCurve_Q9BY43_CHMP4A.pdf</t>
  </si>
  <si>
    <t>Melting_Curves/meltCurve_Q9BY44_EIF2A.pdf</t>
  </si>
  <si>
    <t>Melting_Curves/meltCurve_Q9BY49_PECR.pdf</t>
  </si>
  <si>
    <t>Melting_Curves/meltCurve_Q9BY67_2_CADM1.pdf</t>
  </si>
  <si>
    <t>Melting_Curves/meltCurve_Q9BY77_POLDIP3.pdf</t>
  </si>
  <si>
    <t>Melting_Curves/meltCurve_Q9BYB4_GNB1L.pdf</t>
  </si>
  <si>
    <t>Melting_Curves/meltCurve_Q9BYC5_FUT8.pdf</t>
  </si>
  <si>
    <t>Melting_Curves/meltCurve_Q9BYC8_MRPL32.pdf</t>
  </si>
  <si>
    <t>Melting_Curves/meltCurve_Q9BYD6_MRPL1.pdf</t>
  </si>
  <si>
    <t>Melting_Curves/meltCurve_Q9BYG3_MKI67IP.pdf</t>
  </si>
  <si>
    <t>Melting_Curves/meltCurve_Q9BYG5_PARD6B.pdf</t>
  </si>
  <si>
    <t>Melting_Curves/meltCurve_Q9BYM8_RBCK1.pdf</t>
  </si>
  <si>
    <t>Melting_Curves/meltCurve_Q9BYN8_MRPS26.pdf</t>
  </si>
  <si>
    <t>Melting_Curves/meltCurve_Q9BYT3_STK33.pdf</t>
  </si>
  <si>
    <t>Melting_Curves/meltCurve_Q9BYT8_NLN.pdf</t>
  </si>
  <si>
    <t>Melting_Curves/meltCurve_Q9BYV8_CEP41.pdf</t>
  </si>
  <si>
    <t>Melting_Curves/meltCurve_Q9BYW2_SETD2.pdf</t>
  </si>
  <si>
    <t>Melting_Curves/meltCurve_Q9BZ23_3_PANK2.pdf</t>
  </si>
  <si>
    <t>Melting_Curves/meltCurve_Q9BZ67_2_FRMD8.pdf</t>
  </si>
  <si>
    <t>Melting_Curves/meltCurve_Q9BZ95_3_WHSC1L1.pdf</t>
  </si>
  <si>
    <t>Melting_Curves/meltCurve_Q9BZA5_TXLNG2P.pdf</t>
  </si>
  <si>
    <t>Melting_Curves/meltCurve_Q9BZD4_NUF2.pdf</t>
  </si>
  <si>
    <t>Melting_Curves/meltCurve_Q9BZE1_MRPL37.pdf</t>
  </si>
  <si>
    <t>Melting_Curves/meltCurve_Q9BZE2_PUS3.pdf</t>
  </si>
  <si>
    <t>Melting_Curves/meltCurve_Q9BZE4_GTPBP4.pdf</t>
  </si>
  <si>
    <t>Melting_Curves/meltCurve_Q9BZE9_ASPSCR1.pdf</t>
  </si>
  <si>
    <t>Melting_Curves/meltCurve_Q9BZF1_3_OSBPL8.pdf</t>
  </si>
  <si>
    <t>Melting_Curves/meltCurve_Q9BZH6_WDR11.pdf</t>
  </si>
  <si>
    <t>Melting_Curves/meltCurve_Q9BZI7_2_UPF3B.pdf</t>
  </si>
  <si>
    <t>Melting_Curves/meltCurve_Q9BZK7_TBL1XR1.pdf</t>
  </si>
  <si>
    <t>Melting_Curves/meltCurve_Q9BZL1_UBL5.pdf</t>
  </si>
  <si>
    <t>Melting_Curves/meltCurve_Q9BZM1_PLA2G12A.pdf</t>
  </si>
  <si>
    <t>Melting_Curves/meltCurve_Q9BZM5_ULBP2.pdf</t>
  </si>
  <si>
    <t>Melting_Curves/meltCurve_Q9BZX2_UCK2.pdf</t>
  </si>
  <si>
    <t>Melting_Curves/meltCurve_Q9BZZ5_API5.pdf</t>
  </si>
  <si>
    <t>Melting_Curves/meltCurve_Q9BZZ5_2_API5.pdf</t>
  </si>
  <si>
    <t>Melting_Curves/meltCurve_Q9C005_DPY30.pdf</t>
  </si>
  <si>
    <t>Melting_Curves/meltCurve_Q9C037_2_TRIM4.pdf</t>
  </si>
  <si>
    <t>Melting_Curves/meltCurve_Q9C073_FAM117A.pdf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</si>
  <si>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</si>
  <si>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</si>
  <si>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</si>
  <si>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</si>
  <si>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</si>
  <si>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Melting_Curves/meltCurve_Q9C0C9_UBE2O.pdf</t>
  </si>
  <si>
    <t>Melting_Curves/meltCurve_Q9C0D3_ZYG11B.pdf</t>
  </si>
  <si>
    <t>Melting_Curves/meltCurve_Q9C0H2_2_TTYH3.pdf</t>
  </si>
  <si>
    <t>Melting_Curves/meltCurve_Q9C0I1_MTMR12.pdf</t>
  </si>
  <si>
    <t>Melting_Curves/meltCurve_Q9C0J8_WDR33.pdf</t>
  </si>
  <si>
    <t>Melting_Curves/meltCurve_Q9C0K0_2_BCL11B.pdf</t>
  </si>
  <si>
    <t>Melting_Curves/meltCurve_Q9C0K1_2_SLC39A8.pdf</t>
  </si>
  <si>
    <t>Melting_Curves/meltCurve_Q9GZL7_WDR12.pdf</t>
  </si>
  <si>
    <t>Melting_Curves/meltCurve_Q9GZN1_ACTR6.pdf</t>
  </si>
  <si>
    <t>Melting_Curves/meltCurve_Q9GZN8_C20orf27.pdf</t>
  </si>
  <si>
    <t>Melting_Curves/meltCurve_Q9GZP4_PITHD1.pdf</t>
  </si>
  <si>
    <t>Melting_Curves/meltCurve_Q9GZP9_DERL2.pdf</t>
  </si>
  <si>
    <t>Melting_Curves/meltCurve_Q9GZQ3_COMMD5.pdf</t>
  </si>
  <si>
    <t>Melting_Curves/meltCurve_Q9GZS1_2_POLR1E.pdf</t>
  </si>
  <si>
    <t>Melting_Curves/meltCurve_Q9GZS3_WDR61.pdf</t>
  </si>
  <si>
    <t>Melting_Curves/meltCurve_Q9GZT3_2_SLIRP.pdf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</si>
  <si>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</si>
  <si>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</si>
  <si>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</si>
  <si>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</si>
  <si>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</si>
  <si>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Melting_Curves/meltCurve_Q9GZY8_2_MFF.pdf</t>
  </si>
  <si>
    <t>Melting_Curves/meltCurve_Q9GZY8_4_MFF.pdf</t>
  </si>
  <si>
    <t>Melting_Curves/meltCurve_Q9GZZ9_UBA5.pdf</t>
  </si>
  <si>
    <t>Melting_Curves/meltCurve_Q9H008_LHPP.pdf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</si>
  <si>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</si>
  <si>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</si>
  <si>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</si>
  <si>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</si>
  <si>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Melting_Curves/meltCurve_Q9H081_MIS12.pdf</t>
  </si>
  <si>
    <t>Melting_Curves/meltCurve_Q9H082_RAB33B.pdf</t>
  </si>
  <si>
    <t>Melting_Curves/meltCurve_Q9H089_LSG1.pdf</t>
  </si>
  <si>
    <t>Melting_Curves/meltCurve_Q9H0A0_NAT10.pdf</t>
  </si>
  <si>
    <t>Melting_Curves/meltCurve_Q9H0A8_COMMD4.pdf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</si>
  <si>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</si>
  <si>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</si>
  <si>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</si>
  <si>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</si>
  <si>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Melting_Curves/meltCurve_Q9H0F6_2_SHARPIN.pdf</t>
  </si>
  <si>
    <t>Melting_Curves/meltCurve_Q9H0F7_ARL6.pdf</t>
  </si>
  <si>
    <t>Melting_Curves/meltCurve_Q9H0G5_NSRP1.pdf</t>
  </si>
  <si>
    <t>Melting_Curves/meltCurve_Q9H0H5_RACGAP1.pdf</t>
  </si>
  <si>
    <t>Melting_Curves/meltCurve_Q9H0K6_PUS7L.pdf</t>
  </si>
  <si>
    <t>Melting_Curves/meltCurve_Q9H0L4_CSTF2T.pdf</t>
  </si>
  <si>
    <t>Melting_Curves/meltCurve_Q9H0P0_NT5C3A.pdf</t>
  </si>
  <si>
    <t>Melting_Curves/meltCurve_Q9H0R4_HDHD2.pdf</t>
  </si>
  <si>
    <t>Melting_Curves/meltCurve_Q9H0R6_QRSL1.pdf</t>
  </si>
  <si>
    <t>Melting_Curves/meltCurve_Q9H0S4_2_DDX47.pdf</t>
  </si>
  <si>
    <t>Melting_Curves/meltCurve_Q9H0U3_MAGT1.pdf</t>
  </si>
  <si>
    <t>Melting_Curves/meltCurve_Q9H0U4_RAB1B.pdf</t>
  </si>
  <si>
    <t>Melting_Curves/meltCurve_Q9H0U6_MRPL18.pdf</t>
  </si>
  <si>
    <t>Melting_Curves/meltCurve_Q9H0V9_LMAN2L.pdf</t>
  </si>
  <si>
    <t>Melting_Curves/meltCurve_Q9H0W8_SMG9.pdf</t>
  </si>
  <si>
    <t>Melting_Curves/meltCurve_Q9H0W9_C11orf54.pdf</t>
  </si>
  <si>
    <t>Melting_Curves/meltCurve_Q9H0X4_ITFG3.pdf</t>
  </si>
  <si>
    <t>Melting_Curves/meltCurve_Q9H147_DNTTIP1.pdf</t>
  </si>
  <si>
    <t>Melting_Curves/meltCurve_Q9H173_SIL1.pdf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</si>
  <si>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</si>
  <si>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</si>
  <si>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</si>
  <si>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</si>
  <si>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Melting_Curves/meltCurve_Q9H1E5_TMX4.pdf</t>
  </si>
  <si>
    <t>Melting_Curves/meltCurve_Q9H1I8_3_ASCC2.pdf</t>
  </si>
  <si>
    <t>Melting_Curves/meltCurve_Q9H1J1_2_UPF3A.pdf</t>
  </si>
  <si>
    <t>Melting_Curves/meltCurve_Q9H1K0_ZFYVE20.pdf</t>
  </si>
  <si>
    <t>Melting_Curves/meltCurve_Q9H1K1_ISCU.pdf</t>
  </si>
  <si>
    <t>Melting_Curves/meltCurve_Q9H1K6_MESDC1.pdf</t>
  </si>
  <si>
    <t>Melting_Curves/meltCurve_Q9H1U9_SLC25A51.pdf</t>
  </si>
  <si>
    <t>Melting_Curves/meltCurve_Q9H1X3_3_DNAJC25.pdf</t>
  </si>
  <si>
    <t>Melting_Curves/meltCurve_Q9H1Y0_ATG5.pdf</t>
  </si>
  <si>
    <t>Melting_Curves/meltCurve_Q9H1Z4_WDR13.pdf</t>
  </si>
  <si>
    <t>Melting_Curves/meltCurve_Q9H204_MED28.pdf</t>
  </si>
  <si>
    <t>Melting_Curves/meltCurve_Q9H223_EHD4.pdf</t>
  </si>
  <si>
    <t>Melting_Curves/meltCurve_Q9H246_C1orf21.pdf</t>
  </si>
  <si>
    <t>Melting_Curves/meltCurve_Q9H254_4_SPTBN4.pdf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</si>
  <si>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</si>
  <si>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</si>
  <si>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</si>
  <si>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</si>
  <si>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Melting_Curves/meltCurve_Q9H2D1_SLC25A32.pdf</t>
  </si>
  <si>
    <t>Melting_Curves/meltCurve_Q9H2D6_5_TRIOBP.pdf</t>
  </si>
  <si>
    <t>Melting_Curves/meltCurve_Q9H2G2_2_SLK.pdf</t>
  </si>
  <si>
    <t>Melting_Curves/meltCurve_Q9H2H8_PPIL3.pdf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</si>
  <si>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</si>
  <si>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</si>
  <si>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</si>
  <si>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</si>
  <si>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</si>
  <si>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Melting_Curves/meltCurve_Q9H2P9_DPH5.pdf</t>
  </si>
  <si>
    <t>Melting_Curves/meltCurve_Q9H2U2_PPA2.pdf</t>
  </si>
  <si>
    <t>Melting_Curves/meltCurve_Q9H2W6_MRPL46.pdf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</si>
  <si>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</si>
  <si>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</si>
  <si>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</si>
  <si>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</si>
  <si>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Melting_Curves/meltCurve_Q9H3F6_KCTD10.pdf</t>
  </si>
  <si>
    <t>Melting_Curves/meltCurve_Q9H3G5_CPVL.pdf</t>
  </si>
  <si>
    <t>Melting_Curves/meltCurve_Q9H3H1_TRIT1.pdf</t>
  </si>
  <si>
    <t>Melting_Curves/meltCurve_Q9H3H3_2_C11orf68.pdf</t>
  </si>
  <si>
    <t>Melting_Curves/meltCurve_Q9H3H5_2_DPAGT1.pdf</t>
  </si>
  <si>
    <t>Melting_Curves/meltCurve_Q9H3K6_BOLA2.pdf</t>
  </si>
  <si>
    <t>Melting_Curves/meltCurve_Q9H3N1_TMX1.pdf</t>
  </si>
  <si>
    <t>Melting_Curves/meltCurve_Q9H3P2_NELFA.pdf</t>
  </si>
  <si>
    <t>Melting_Curves/meltCurve_Q9H3P7_ACBD3.pdf</t>
  </si>
  <si>
    <t>Melting_Curves/meltCurve_Q9H3R5_CENPH.pdf</t>
  </si>
  <si>
    <t>Melting_Curves/meltCurve_Q9H3S5_PIGM.pdf</t>
  </si>
  <si>
    <t>Melting_Curves/meltCurve_Q9H3S7_PTPN23.pdf</t>
  </si>
  <si>
    <t>Melting_Curves/meltCurve_Q9H3U1_2_UNC45A.pdf</t>
  </si>
  <si>
    <t>Melting_Curves/meltCurve_Q9H3U5_3_MFSD1.pdf</t>
  </si>
  <si>
    <t>Melting_Curves/meltCurve_Q9H3Z4_2_DNAJC5.pdf</t>
  </si>
  <si>
    <t>Melting_Curves/meltCurve_Q9H400_LIME1.pdf</t>
  </si>
  <si>
    <t>Melting_Curves/meltCurve_Q9H410_DSN1.pdf</t>
  </si>
  <si>
    <t>Melting_Curves/meltCurve_Q9H425_C1orf198.pdf</t>
  </si>
  <si>
    <t>Melting_Curves/meltCurve_Q9H444_CHMP4B.pdf</t>
  </si>
  <si>
    <t>Melting_Curves/meltCurve_Q9H467_CUEDC2.pdf</t>
  </si>
  <si>
    <t>Melting_Curves/meltCurve_Q9H477_RBKS.pdf</t>
  </si>
  <si>
    <t>Melting_Curves/meltCurve_Q9H488_POFUT1.pdf</t>
  </si>
  <si>
    <t>Melting_Curves/meltCurve_Q9H490_2_PIGU.pdf</t>
  </si>
  <si>
    <t>Melting_Curves/meltCurve_Q9H496_IFRG15.pdf</t>
  </si>
  <si>
    <t>Melting_Curves/meltCurve_Q9H497_TOR3A.pdf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</si>
  <si>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</si>
  <si>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</si>
  <si>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</si>
  <si>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</si>
  <si>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Melting_Curves/meltCurve_Q9H4E7_DEF6.pdf</t>
  </si>
  <si>
    <t>Melting_Curves/meltCurve_Q9H4G4_GLIPR2.pdf</t>
  </si>
  <si>
    <t>Melting_Curves/meltCurve_Q9H4H8_2_FAM83D.pdf</t>
  </si>
  <si>
    <t>Melting_Curves/meltCurve_Q9H4I2_ZHX3.pdf</t>
  </si>
  <si>
    <t>Melting_Curves/meltCurve_Q9H4L5_2_OSBPL3.pdf</t>
  </si>
  <si>
    <t>Melting_Curves/meltCurve_Q9H4L7_2_SMARCAD1.pdf</t>
  </si>
  <si>
    <t>Melting_Curves/meltCurve_Q9H4M9_EHD1.pdf</t>
  </si>
  <si>
    <t>Melting_Curves/meltCurve_Q9H4X1_2_RGCC.pdf</t>
  </si>
  <si>
    <t>Melting_Curves/meltCurve_Q9H4Z3_PCIF1.pdf</t>
  </si>
  <si>
    <t>Melting_Curves/meltCurve_Q9H501_ESF1.pdf</t>
  </si>
  <si>
    <t>Melting_Curves/meltCurve_Q9H553_ALG2.pdf</t>
  </si>
  <si>
    <t>Melting_Curves/meltCurve_Q9H583_HEATR1.pdf</t>
  </si>
  <si>
    <t>Melting_Curves/meltCurve_Q9H5K3_SGK196.pdf</t>
  </si>
  <si>
    <t>Melting_Curves/meltCurve_Q9H5N1_RABEP2.pdf</t>
  </si>
  <si>
    <t>Melting_Curves/meltCurve_Q9H5Q4_TFB2M.pdf</t>
  </si>
  <si>
    <t>Melting_Curves/meltCurve_Q9H5V9_3_CXorf56.pdf</t>
  </si>
  <si>
    <t>Melting_Curves/meltCurve_Q9H5X1_FAM96A.pdf</t>
  </si>
  <si>
    <t>Melting_Curves/meltCurve_Q9H6D7_HAUS4.pdf</t>
  </si>
  <si>
    <t>Melting_Curves/meltCurve_Q9H6E4_CCDC134.pdf</t>
  </si>
  <si>
    <t>Melting_Curves/meltCurve_Q9H6F5_CCDC86.pdf</t>
  </si>
  <si>
    <t>Melting_Curves/meltCurve_Q9H6H4_REEP4.pdf</t>
  </si>
  <si>
    <t>Melting_Curves/meltCurve_Q9H6K4_OPA3.pdf</t>
  </si>
  <si>
    <t>Melting_Curves/meltCurve_Q9H6L2_TMEM231.pdf</t>
  </si>
  <si>
    <t>Melting_Curves/meltCurve_Q9H6L5_FAM134B.pdf</t>
  </si>
  <si>
    <t>Melting_Curves/meltCurve_Q9H6P5_TASP1.pdf</t>
  </si>
  <si>
    <t>Melting_Curves/meltCurve_Q9H6Q4_NARFL.pdf</t>
  </si>
  <si>
    <t>Melting_Curves/meltCurve_Q9H6R3_ACSS3.pdf</t>
  </si>
  <si>
    <t>Melting_Curves/meltCurve_Q9H6R4_4_NOL6.pdf</t>
  </si>
  <si>
    <t>Melting_Curves/meltCurve_Q9H6R6_2_ZDHHC6.pdf</t>
  </si>
  <si>
    <t>Melting_Curves/meltCurve_Q9H6S0_YTHDC2.pdf</t>
  </si>
  <si>
    <t>Melting_Curves/meltCurve_Q9H6T3_RPAP3.pdf</t>
  </si>
  <si>
    <t>Melting_Curves/meltCurve_Q9H6U6_2_BCAS3.pdf</t>
  </si>
  <si>
    <t>Melting_Curves/meltCurve_Q9H6U8_ALG9.pdf</t>
  </si>
  <si>
    <t>Melting_Curves/meltCurve_Q9H6W3_NO66.pdf</t>
  </si>
  <si>
    <t>Melting_Curves/meltCurve_Q9H6X2_ANTXR1.pdf</t>
  </si>
  <si>
    <t>Melting_Curves/meltCurve_Q9H6Y2_WDR55.pdf</t>
  </si>
  <si>
    <t>Melting_Curves/meltCurve_Q9H6Z4_3_RANBP3.pdf</t>
  </si>
  <si>
    <t>Melting_Curves/meltCurve_Q9H741_C12orf49.pdf</t>
  </si>
  <si>
    <t>Melting_Curves/meltCurve_Q9H773_DCTPP1.pdf</t>
  </si>
  <si>
    <t>Melting_Curves/meltCurve_Q9H777_ELAC1.pdf</t>
  </si>
  <si>
    <t>Melting_Curves/meltCurve_Q9H7B4_SMYD3.pdf</t>
  </si>
  <si>
    <t>Melting_Curves/meltCurve_Q9H7D7_2_WDR26.pdf</t>
  </si>
  <si>
    <t>Melting_Curves/meltCurve_Q9H7E2_3_TDRD3.pdf</t>
  </si>
  <si>
    <t>Melting_Curves/meltCurve_Q9H7E9_C8orf33.pdf</t>
  </si>
  <si>
    <t>Melting_Curves/meltCurve_Q9H7F0_ATP13A3.pdf</t>
  </si>
  <si>
    <t>Melting_Curves/meltCurve_Q9H7H0_3_METTL17.pdf</t>
  </si>
  <si>
    <t>Melting_Curves/meltCurve_Q9H7J1_PPP1R3E.pdf</t>
  </si>
  <si>
    <t>Melting_Curves/meltCurve_Q9H7L9_SUDS3.pdf</t>
  </si>
  <si>
    <t>Melting_Curves/meltCurve_Q9H7M9_C10orf54.pdf</t>
  </si>
  <si>
    <t>Melting_Curves/meltCurve_Q9H7U1_3_CCSER2.pdf</t>
  </si>
  <si>
    <t>Melting_Curves/meltCurve_Q9H7X3_ZNF696.pdf</t>
  </si>
  <si>
    <t>Melting_Curves/meltCurve_Q9H7Z3_NRDE2.pdf</t>
  </si>
  <si>
    <t>Melting_Curves/meltCurve_Q9H7Z6_KAT8.pdf</t>
  </si>
  <si>
    <t>Melting_Curves/meltCurve_Q9H7Z7_PTGES2.pdf</t>
  </si>
  <si>
    <t>Melting_Curves/meltCurve_Q9H813_TMEM206.pdf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</si>
  <si>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</si>
  <si>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</si>
  <si>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</si>
  <si>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</si>
  <si>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</si>
  <si>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Melting_Curves/meltCurve_Q9H871_RMND5A.pdf</t>
  </si>
  <si>
    <t>Melting_Curves/meltCurve_Q9H875_PRKRIP1.pdf</t>
  </si>
  <si>
    <t>Melting_Curves/meltCurve_Q9H8G2_CAAP1.pdf</t>
  </si>
  <si>
    <t>Melting_Curves/meltCurve_Q9H8H0_NOL11.pdf</t>
  </si>
  <si>
    <t>Melting_Curves/meltCurve_Q9H8K7_C10orf88.pdf</t>
  </si>
  <si>
    <t>Melting_Curves/meltCurve_Q9H8M5_3_CNNM2.pdf</t>
  </si>
  <si>
    <t>Melting_Curves/meltCurve_Q9H8M7_FAM188A.pdf</t>
  </si>
  <si>
    <t>Melting_Curves/meltCurve_Q9H8P0_SRD5A3.pdf</t>
  </si>
  <si>
    <t>Melting_Curves/meltCurve_Q9H8S9_MOB1A.pdf</t>
  </si>
  <si>
    <t>Melting_Curves/meltCurve_Q9H8U3_ZFAND3.pdf</t>
  </si>
  <si>
    <t>Melting_Curves/meltCurve_Q9H8W3_FAM204A.pdf</t>
  </si>
  <si>
    <t>Melting_Curves/meltCurve_Q9H8Y8_GORASP2.pdf</t>
  </si>
  <si>
    <t>Melting_Curves/meltCurve_Q9H900_ZWILCH.pdf</t>
  </si>
  <si>
    <t>Melting_Curves/meltCurve_Q9H903_1_MTHFD2L.pdf</t>
  </si>
  <si>
    <t>Melting_Curves/meltCurve_Q9H910_2_HN1L.pdf</t>
  </si>
  <si>
    <t>Melting_Curves/meltCurve_Q9H936_SLC25A22.pdf</t>
  </si>
  <si>
    <t>Melting_Curves/meltCurve_Q9H944_MED20.pdf</t>
  </si>
  <si>
    <t>Melting_Curves/meltCurve_Q9H974_QTRTD1.pdf</t>
  </si>
  <si>
    <t>Melting_Curves/meltCurve_Q9H977_WDR54.pdf</t>
  </si>
  <si>
    <t>Melting_Curves/meltCurve_Q9H981_ACTR8.pdf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</si>
  <si>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</si>
  <si>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</si>
  <si>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</si>
  <si>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</si>
  <si>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Melting_Curves/meltCurve_Q9H9B4_SFXN1.pdf</t>
  </si>
  <si>
    <t>Melting_Curves/meltCurve_Q9H9F9_ACTR5.pdf</t>
  </si>
  <si>
    <t>Melting_Curves/meltCurve_Q9H9H4_VPS37B.pdf</t>
  </si>
  <si>
    <t>Melting_Curves/meltCurve_Q9H9J2_MRPL44.pdf</t>
  </si>
  <si>
    <t>Melting_Curves/meltCurve_Q9H9P8_L2HGDH.pdf</t>
  </si>
  <si>
    <t>Melting_Curves/meltCurve_Q9H9Q4_NHEJ1.pdf</t>
  </si>
  <si>
    <t>Melting_Curves/meltCurve_Q9H9S5_FKRP.pdf</t>
  </si>
  <si>
    <t>Melting_Curves/meltCurve_Q9H9T3_2_ELP3.pdf</t>
  </si>
  <si>
    <t>Melting_Curves/meltCurve_Q9H9Y4_GPN2.pdf</t>
  </si>
  <si>
    <t>Melting_Curves/meltCurve_Q9H9Y6_POLR1B.pdf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</si>
  <si>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</si>
  <si>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</si>
  <si>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</si>
  <si>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</si>
  <si>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Melting_Curves/meltCurve_Q9HA92_RSAD1.pdf</t>
  </si>
  <si>
    <t>Melting_Curves/meltCurve_Q9HAB8_PPCS.pdf</t>
  </si>
  <si>
    <t>Melting_Curves/meltCurve_Q9HAD4_WDR41.pdf</t>
  </si>
  <si>
    <t>Melting_Curves/meltCurve_Q9HAF1_2_MEAF6.pdf</t>
  </si>
  <si>
    <t>Melting_Curves/meltCurve_Q9HAJ7_SAP30L.pdf</t>
  </si>
  <si>
    <t>Melting_Curves/meltCurve_Q9HAN9_NMNAT1.pdf</t>
  </si>
  <si>
    <t>Melting_Curves/meltCurve_Q9HAT2_2_SIAE.pdf</t>
  </si>
  <si>
    <t>Melting_Curves/meltCurve_Q9HAT8_PELI2.pdf</t>
  </si>
  <si>
    <t>Melting_Curves/meltCurve_Q9HAU5_UPF2.pdf</t>
  </si>
  <si>
    <t>Melting_Curves/meltCurve_Q9HAV4_XPO5.pdf</t>
  </si>
  <si>
    <t>Melting_Curves/meltCurve_Q9HAV7_GRPEL1.pdf</t>
  </si>
  <si>
    <t>Melting_Curves/meltCurve_Q9HAW4_CLSPN.pdf</t>
  </si>
  <si>
    <t>Melting_Curves/meltCurve_Q9HB07_C12orf10.pdf</t>
  </si>
  <si>
    <t>Melting_Curves/meltCurve_Q9HB09_BCL2L12.pdf</t>
  </si>
  <si>
    <t>Melting_Curves/meltCurve_Q9HB19_PLEKHA2.pdf</t>
  </si>
  <si>
    <t>Melting_Curves/meltCurve_Q9HB20_PLEKHA3.pdf</t>
  </si>
  <si>
    <t>Melting_Curves/meltCurve_Q9HB21_PLEKHA1.pdf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</si>
  <si>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</si>
  <si>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</si>
  <si>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</si>
  <si>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</si>
  <si>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Melting_Curves/meltCurve_Q9HBF4_ZFYVE1.pdf</t>
  </si>
  <si>
    <t>Melting_Curves/meltCurve_Q9HBH0_RHOF.pdf</t>
  </si>
  <si>
    <t>Melting_Curves/meltCurve_Q9HBH1_PDF.pdf</t>
  </si>
  <si>
    <t>Melting_Curves/meltCurve_Q9HBH5_RDH14.pdf</t>
  </si>
  <si>
    <t>Melting_Curves/meltCurve_Q9HBI0_PARVG.pdf</t>
  </si>
  <si>
    <t>Melting_Curves/meltCurve_Q9HBL7_PLGRKT.pdf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</si>
  <si>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</si>
  <si>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</si>
  <si>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</si>
  <si>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</si>
  <si>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Melting_Curves/meltCurve_Q9HBR0_SLC38A10.pdf</t>
  </si>
  <si>
    <t>Melting_Curves/meltCurve_Q9HBU6_ETNK1.pdf</t>
  </si>
  <si>
    <t>Melting_Curves/meltCurve_Q9HC21_SLC25A19.pdf</t>
  </si>
  <si>
    <t>Melting_Curves/meltCurve_Q9HC35_EML4.pdf</t>
  </si>
  <si>
    <t>Melting_Curves/meltCurve_Q9HC36_RNMTL1.pdf</t>
  </si>
  <si>
    <t>Melting_Curves/meltCurve_Q9HC38_2_GLOD4.pdf</t>
  </si>
  <si>
    <t>Melting_Curves/meltCurve_Q9HC44_GPBP1L1.pdf</t>
  </si>
  <si>
    <t>Melting_Curves/meltCurve_Q9HC52_CBX8.pdf</t>
  </si>
  <si>
    <t>Melting_Curves/meltCurve_Q9HCC0_MCCC2.pdf</t>
  </si>
  <si>
    <t>Melting_Curves/meltCurve_Q9HCC9_5_ZFYVE28.pdf</t>
  </si>
  <si>
    <t>Melting_Curves/meltCurve_Q9HCD5_NCOA5.pdf</t>
  </si>
  <si>
    <t>Melting_Curves/meltCurve_Q9HCD6_TANC2.pdf</t>
  </si>
  <si>
    <t>Melting_Curves/meltCurve_Q9HCE1_MOV10.pdf</t>
  </si>
  <si>
    <t>Melting_Curves/meltCurve_Q9HCE5_METTL14.pdf</t>
  </si>
  <si>
    <t>Melting_Curves/meltCurve_Q9HCJ1_ANKH.pdf</t>
  </si>
  <si>
    <t>Melting_Curves/meltCurve_Q9HCJ3_2_RAVER2.pdf</t>
  </si>
  <si>
    <t>Melting_Curves/meltCurve_Q9HCK8_CHD8.pdf</t>
  </si>
  <si>
    <t>Melting_Curves/meltCurve_Q9HCL3_ZFP14.pdf</t>
  </si>
  <si>
    <t>Melting_Curves/meltCurve_Q9HCN3_TMEM8A.pdf</t>
  </si>
  <si>
    <t>Melting_Curves/meltCurve_Q9HCN4_GPN1.pdf</t>
  </si>
  <si>
    <t>Melting_Curves/meltCurve_Q9HCN8_SDF2L1.pdf</t>
  </si>
  <si>
    <t>Melting_Curves/meltCurve_Q9HCP0_2_CSNK1G1.pdf</t>
  </si>
  <si>
    <t>Melting_Curves/meltCurve_Q9HCU5_PREB.pdf</t>
  </si>
  <si>
    <t>Melting_Curves/meltCurve_Q9HD15_SRA1.pdf</t>
  </si>
  <si>
    <t>Melting_Curves/meltCurve_Q9HD20_2_ATP13A1.pdf</t>
  </si>
  <si>
    <t>Melting_Curves/meltCurve_Q9HD26_GOPC.pdf</t>
  </si>
  <si>
    <t>Melting_Curves/meltCurve_Q9HD34_LYRM4.pdf</t>
  </si>
  <si>
    <t>Melting_Curves/meltCurve_Q9HD40_SEPSECS.pdf</t>
  </si>
  <si>
    <t>Melting_Curves/meltCurve_Q9HD42_CHMP1A.pdf</t>
  </si>
  <si>
    <t>Melting_Curves/meltCurve_Q9HD45_TM9SF3.pdf</t>
  </si>
  <si>
    <t>Melting_Curves/meltCurve_Q9HD47_RANGRF.pdf</t>
  </si>
  <si>
    <t>Melting_Curves/meltCurve_Q9HDC5_JPH1.pdf</t>
  </si>
  <si>
    <t>Melting_Curves/meltCurve_Q9HDC9_APMAP.pdf</t>
  </si>
  <si>
    <t>Melting_Curves/meltCurve_Q9NP58_4_ABCB6.pdf</t>
  </si>
  <si>
    <t>Melting_Curves/meltCurve_Q9NP66_HMG20A.pdf</t>
  </si>
  <si>
    <t>Melting_Curves/meltCurve_Q9NP72_RAB18.pdf</t>
  </si>
  <si>
    <t>Melting_Curves/meltCurve_Q9NP73_2_ALG13.pdf</t>
  </si>
  <si>
    <t>Melting_Curves/meltCurve_Q9NP77_SSU72.pdf</t>
  </si>
  <si>
    <t>Melting_Curves/meltCurve_Q9NP79_VTA1.pdf</t>
  </si>
  <si>
    <t>Melting_Curves/meltCurve_Q9NP92_MRPS30.pdf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</si>
  <si>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</si>
  <si>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</si>
  <si>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</si>
  <si>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</si>
  <si>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</si>
  <si>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Melting_Curves/meltCurve_Q9NPD7_NRN1.pdf</t>
  </si>
  <si>
    <t>Melting_Curves/meltCurve_Q9NPD8_UBE2T.pdf</t>
  </si>
  <si>
    <t>Melting_Curves/meltCurve_Q9NPE3_NOP10.pdf</t>
  </si>
  <si>
    <t>Melting_Curves/meltCurve_Q9NPF0_CD320.pdf</t>
  </si>
  <si>
    <t>Melting_Curves/meltCurve_Q9NPF4_OSGEP.pdf</t>
  </si>
  <si>
    <t>Melting_Curves/meltCurve_Q9NPF5_DMAP1.pdf</t>
  </si>
  <si>
    <t>Melting_Curves/meltCurve_Q9NPH0_ACP6.pdf</t>
  </si>
  <si>
    <t>Melting_Curves/meltCurve_Q9NPH3_IL1RAP.pdf</t>
  </si>
  <si>
    <t>Melting_Curves/meltCurve_Q9NPI6_DCP1A.pdf</t>
  </si>
  <si>
    <t>Melting_Curves/meltCurve_Q9NPJ3_2_ACOT13.pdf</t>
  </si>
  <si>
    <t>Melting_Curves/meltCurve_Q9NPJ8_3_NXT2.pdf</t>
  </si>
  <si>
    <t>Melting_Curves/meltCurve_Q9NPL8_TIMMDC1.pdf</t>
  </si>
  <si>
    <t>Melting_Curves/meltCurve_Q9NPQ8_4_RIC8A.pdf</t>
  </si>
  <si>
    <t>Melting_Curves/meltCurve_Q9NPR9_GPR108.pdf</t>
  </si>
  <si>
    <t>Melting_Curves/meltCurve_Q9NQ11_3_ATP13A2.pdf</t>
  </si>
  <si>
    <t>Melting_Curves/meltCurve_Q9NQ29_LUC7L.pdf</t>
  </si>
  <si>
    <t>Melting_Curves/meltCurve_Q9NQ34_TMEM9B.pdf</t>
  </si>
  <si>
    <t>Melting_Curves/meltCurve_Q9NQ55_2_PPAN.pdf</t>
  </si>
  <si>
    <t>Melting_Curves/meltCurve_Q9NQ88_TIGAR.pdf</t>
  </si>
  <si>
    <t>Melting_Curves/meltCurve_Q9NQC3_RTN4.pdf</t>
  </si>
  <si>
    <t>Melting_Curves/meltCurve_Q9NQE9_HINT3.pdf</t>
  </si>
  <si>
    <t>Melting_Curves/meltCurve_Q9NQG1_MANBAL.pdf</t>
  </si>
  <si>
    <t>Melting_Curves/meltCurve_Q9NQG5_RPRD1B.pdf</t>
  </si>
  <si>
    <t>Melting_Curves/meltCurve_Q9NQH7_2_XPNPEP3.pdf</t>
  </si>
  <si>
    <t>Melting_Curves/meltCurve_Q9NQL2_RRAGD.pdf</t>
  </si>
  <si>
    <t>Melting_Curves/meltCurve_Q9NQP4_PFDN4.pdf</t>
  </si>
  <si>
    <t>Melting_Curves/meltCurve_Q9NQR4_NIT2.pdf</t>
  </si>
  <si>
    <t>Melting_Curves/meltCurve_Q9NQS1_AVEN.pdf</t>
  </si>
  <si>
    <t>Melting_Curves/meltCurve_Q9NQT4_EXOSC5.pdf</t>
  </si>
  <si>
    <t>Melting_Curves/meltCurve_Q9NQT5_EXOSC3.pdf</t>
  </si>
  <si>
    <t>Melting_Curves/meltCurve_Q9NQT8_KIF13B.pdf</t>
  </si>
  <si>
    <t>Melting_Curves/meltCurve_Q9NQW6_ANLN.pdf</t>
  </si>
  <si>
    <t>Melting_Curves/meltCurve_Q9NQW7_3_XPNPEP1.pdf</t>
  </si>
  <si>
    <t>Melting_Curves/meltCurve_Q9NQX3_GPHN.pdf</t>
  </si>
  <si>
    <t>Melting_Curves/meltCurve_Q9NQY0_BIN3.pdf</t>
  </si>
  <si>
    <t>Melting_Curves/meltCurve_Q9NQZ2_UTP3.pdf</t>
  </si>
  <si>
    <t>Melting_Curves/meltCurve_Q9NQZ5_STARD7.pdf</t>
  </si>
  <si>
    <t>Melting_Curves/meltCurve_Q9NQZ6_3_ZC4H2.pdf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</si>
  <si>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</si>
  <si>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</si>
  <si>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</si>
  <si>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</si>
  <si>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</si>
  <si>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</si>
  <si>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</si>
  <si>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Melting_Curves/meltCurve_Q9NR50_EIF2B3.pdf</t>
  </si>
  <si>
    <t>Melting_Curves/meltCurve_Q9NR55_BATF3.pdf</t>
  </si>
  <si>
    <t>Melting_Curves/meltCurve_Q9NR77_PXMP2.pdf</t>
  </si>
  <si>
    <t>Melting_Curves/meltCurve_Q9NRA2_SLC17A5.pdf</t>
  </si>
  <si>
    <t>Melting_Curves/meltCurve_Q9NRB3_CHST12.pdf</t>
  </si>
  <si>
    <t>Melting_Curves/meltCurve_Q9NRF9_POLE3.pdf</t>
  </si>
  <si>
    <t>Melting_Curves/meltCurve_Q9NRG0_CHRAC1.pdf</t>
  </si>
  <si>
    <t>Melting_Curves/meltCurve_Q9NRG4_SMYD2.pdf</t>
  </si>
  <si>
    <t>Melting_Curves/meltCurve_Q9NRG7_2_SDR39U1.pdf</t>
  </si>
  <si>
    <t>Melting_Curves/meltCurve_Q9NRG9_AAAS.pdf</t>
  </si>
  <si>
    <t>Melting_Curves/meltCurve_Q9NRH1_YAE1D1.pdf</t>
  </si>
  <si>
    <t>Melting_Curves/meltCurve_Q9NRK6_ABCB10.pdf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</si>
  <si>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</si>
  <si>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</si>
  <si>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</si>
  <si>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</si>
  <si>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</si>
  <si>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</si>
  <si>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Melting_Curves/meltCurve_Q9NRP4_ACN9.pdf</t>
  </si>
  <si>
    <t>Melting_Curves/meltCurve_Q9NRR5_UBQLN4.pdf</t>
  </si>
  <si>
    <t>Melting_Curves/meltCurve_Q9NRR8_CDC42SE1.pdf</t>
  </si>
  <si>
    <t>Melting_Curves/meltCurve_Q9NRS6_SNX15.pdf</t>
  </si>
  <si>
    <t>Melting_Curves/meltCurve_Q9NRV9_HEBP1.pdf</t>
  </si>
  <si>
    <t>Melting_Curves/meltCurve_Q9NRW1_RAB6B.pdf</t>
  </si>
  <si>
    <t>Melting_Curves/meltCurve_Q9NRW7_VPS45.pdf</t>
  </si>
  <si>
    <t>Melting_Curves/meltCurve_Q9NRX1_PNO1.pdf</t>
  </si>
  <si>
    <t>Melting_Curves/meltCurve_Q9NRX4_PHPT1.pdf</t>
  </si>
  <si>
    <t>Melting_Curves/meltCurve_Q9NRX5_SERINC1.pdf</t>
  </si>
  <si>
    <t>Melting_Curves/meltCurve_Q9NRY2_INIP.pdf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</si>
  <si>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</si>
  <si>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</si>
  <si>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</si>
  <si>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</si>
  <si>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</si>
  <si>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Melting_Curves/meltCurve_Q9NRZ9_2_HELLS.pdf</t>
  </si>
  <si>
    <t>Melting_Curves/meltCurve_Q9NS69_TOMM22.pdf</t>
  </si>
  <si>
    <t>Melting_Curves/meltCurve_Q9NS86_LANCL2.pdf</t>
  </si>
  <si>
    <t>Melting_Curves/meltCurve_Q9NS87_KIF15.pdf</t>
  </si>
  <si>
    <t>Melting_Curves/meltCurve_Q9NS91_RAD18.pdf</t>
  </si>
  <si>
    <t>Melting_Curves/meltCurve_Q9NS93_TM7SF3.pdf</t>
  </si>
  <si>
    <t>Melting_Curves/meltCurve_Q9NSA3_CTNNBIP1.pdf</t>
  </si>
  <si>
    <t>Melting_Curves/meltCurve_Q9NSB8_2_HOMER2.pdf</t>
  </si>
  <si>
    <t>Melting_Curves/meltCurve_Q9NSC5_5_HOMER3.pdf</t>
  </si>
  <si>
    <t>Melting_Curves/meltCurve_Q9NSD9_FARSB.pdf</t>
  </si>
  <si>
    <t>Melting_Curves/meltCurve_Q9NSE4_IARS2.pdf</t>
  </si>
  <si>
    <t>Melting_Curves/meltCurve_Q9NSG2_C1orf112.pdf</t>
  </si>
  <si>
    <t>Melting_Curves/meltCurve_Q9NSI2_2_FAM207A.pdf</t>
  </si>
  <si>
    <t>Melting_Curves/meltCurve_Q9NSI8_3_SAMSN1.pdf</t>
  </si>
  <si>
    <t>Melting_Curves/meltCurve_Q9NSK0_KLC4.pdf</t>
  </si>
  <si>
    <t>Melting_Curves/meltCurve_Q9NSU2_2_TREX1.pdf</t>
  </si>
  <si>
    <t>Melting_Curves/meltCurve_Q9NSY1_BMP2K.pdf</t>
  </si>
  <si>
    <t>Melting_Curves/meltCurve_Q9NT62_ATG3.pdf</t>
  </si>
  <si>
    <t>Melting_Curves/meltCurve_Q9NTI5_2_PDS5B.pdf</t>
  </si>
  <si>
    <t>Melting_Curves/meltCurve_Q9NTJ3_SMC4.pdf</t>
  </si>
  <si>
    <t>Melting_Curves/meltCurve_Q9NTJ5_SACM1L.pdf</t>
  </si>
  <si>
    <t>Melting_Curves/meltCurve_Q9NTK5_2_OLA1.pdf</t>
  </si>
  <si>
    <t>Melting_Curves/meltCurve_Q9NTM9_CUTC.pdf</t>
  </si>
  <si>
    <t>Melting_Curves/meltCurve_Q9NTN3_SLC35D1.pdf</t>
  </si>
  <si>
    <t>Melting_Curves/meltCurve_Q9NTX5_2_ECHDC1.pdf</t>
  </si>
  <si>
    <t>Melting_Curves/meltCurve_Q9NTX7_2_RNF146.pdf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</si>
  <si>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</si>
  <si>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</si>
  <si>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</si>
  <si>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</si>
  <si>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Melting_Curves/meltCurve_Q9NUB1_2_ACSS1.pdf</t>
  </si>
  <si>
    <t>Melting_Curves/meltCurve_Q9NUD5_ZCCHC3.pdf</t>
  </si>
  <si>
    <t>Melting_Curves/meltCurve_Q9NUE0_ZDHHC18.pdf</t>
  </si>
  <si>
    <t>Melting_Curves/meltCurve_Q9NUG6_PDRG1.pdf</t>
  </si>
  <si>
    <t>Melting_Curves/meltCurve_Q9NUJ1_ABHD10.pdf</t>
  </si>
  <si>
    <t>Melting_Curves/meltCurve_Q9NUL5_3_C19orf66.pdf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</si>
  <si>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</si>
  <si>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</si>
  <si>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</si>
  <si>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</si>
  <si>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</si>
  <si>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</si>
  <si>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</si>
  <si>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</si>
  <si>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</si>
  <si>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</si>
  <si>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</si>
  <si>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</si>
  <si>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</si>
  <si>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Melting_Curves/meltCurve_Q9NUX5_2_POT1.pdf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</si>
  <si>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</si>
  <si>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</si>
  <si>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</si>
  <si>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</si>
  <si>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Melting_Curves/meltCurve_Q9NV66_TYW1.pdf</t>
  </si>
  <si>
    <t>Melting_Curves/meltCurve_Q9NV70_2_EXOC1.pdf</t>
  </si>
  <si>
    <t>Melting_Curves/meltCurve_Q9NV88_3_INTS9.pdf</t>
  </si>
  <si>
    <t>Melting_Curves/meltCurve_Q9NV96_TMEM30A.pdf</t>
  </si>
  <si>
    <t>Melting_Curves/meltCurve_Q9NVA1_UQCC.pdf</t>
  </si>
  <si>
    <t>Melting_Curves/meltCurve_Q9NVA4_TMEM184C.pdf</t>
  </si>
  <si>
    <t>Melting_Curves/meltCurve_Q9NVC3_SLC38A7.pdf</t>
  </si>
  <si>
    <t>Melting_Curves/meltCurve_Q9NVC6_MED17.pdf</t>
  </si>
  <si>
    <t>Melting_Curves/meltCurve_Q9NVE7_PANK4.pdf</t>
  </si>
  <si>
    <t>Melting_Curves/meltCurve_Q9NVF7_FBXO28.pdf</t>
  </si>
  <si>
    <t>Melting_Curves/meltCurve_Q9NVG8_TBC1D13.pdf</t>
  </si>
  <si>
    <t>Melting_Curves/meltCurve_Q9NVH1_DNAJC11.pdf</t>
  </si>
  <si>
    <t>Melting_Curves/meltCurve_Q9NVH2_3_INTS7.pdf</t>
  </si>
  <si>
    <t>Melting_Curves/meltCurve_Q9NVH6_7_TMLHE.pdf</t>
  </si>
  <si>
    <t>Melting_Curves/meltCurve_Q9NVI1_FANCI.pdf</t>
  </si>
  <si>
    <t>Melting_Curves/meltCurve_Q9NVI7_2_ATAD3A.pdf</t>
  </si>
  <si>
    <t>Melting_Curves/meltCurve_Q9NVJ2_ARL8B.pdf</t>
  </si>
  <si>
    <t>Melting_Curves/meltCurve_Q9NVK5_2_FGFR1OP2.pdf</t>
  </si>
  <si>
    <t>Melting_Curves/meltCurve_Q9NVM4_3_PRMT7.pdf</t>
  </si>
  <si>
    <t>Melting_Curves/meltCurve_Q9NVM6_DNAJC17.pdf</t>
  </si>
  <si>
    <t>Melting_Curves/meltCurve_Q9NVM9_ASUN.pdf</t>
  </si>
  <si>
    <t>Melting_Curves/meltCurve_Q9NVN8_GNL3L.pdf</t>
  </si>
  <si>
    <t>Melting_Curves/meltCurve_Q9NVP1_DDX18.pdf</t>
  </si>
  <si>
    <t>Melting_Curves/meltCurve_Q9NVP2_ASF1B.pdf</t>
  </si>
  <si>
    <t>Melting_Curves/meltCurve_Q9NVR0_KLHL11.pdf</t>
  </si>
  <si>
    <t>Melting_Curves/meltCurve_Q9NVR2_INTS10.pdf</t>
  </si>
  <si>
    <t>Melting_Curves/meltCurve_Q9NVR5_DNAAF2.pdf</t>
  </si>
  <si>
    <t>Melting_Curves/meltCurve_Q9NVS9_PNPO.pdf</t>
  </si>
  <si>
    <t>Melting_Curves/meltCurve_Q9NVT9_ARMC1.pdf</t>
  </si>
  <si>
    <t>Melting_Curves/meltCurve_Q9NVU0_5_POLR3E.pdf</t>
  </si>
  <si>
    <t>Melting_Curves/meltCurve_Q9NVU7_SDAD1.pdf</t>
  </si>
  <si>
    <t>Melting_Curves/meltCurve_Q9NVV0_TMEM38B.pdf</t>
  </si>
  <si>
    <t>Melting_Curves/meltCurve_Q9NVV4_MTPAP.pdf</t>
  </si>
  <si>
    <t>Melting_Curves/meltCurve_Q9NVX0_2_HAUS2.pdf</t>
  </si>
  <si>
    <t>Melting_Curves/meltCurve_Q9NVX2_NLE1.pdf</t>
  </si>
  <si>
    <t>Melting_Curves/meltCurve_Q9NVX7_KBTBD4.pdf</t>
  </si>
  <si>
    <t>Melting_Curves/meltCurve_Q9NVZ3_NECAP2.pdf</t>
  </si>
  <si>
    <t>Melting_Curves/meltCurve_Q9NW08_2_POLR3B.pdf</t>
  </si>
  <si>
    <t>Melting_Curves/meltCurve_Q9NW15_2_ANO10.pdf</t>
  </si>
  <si>
    <t>Melting_Curves/meltCurve_Q9NW64_RBM22.pdf</t>
  </si>
  <si>
    <t>Melting_Curves/meltCurve_Q9NW75_2_GPATCH2.pdf</t>
  </si>
  <si>
    <t>Melting_Curves/meltCurve_Q9NW81_ATP5SL.pdf</t>
  </si>
  <si>
    <t>Melting_Curves/meltCurve_Q9NW82_WDR70.pdf</t>
  </si>
  <si>
    <t>Melting_Curves/meltCurve_Q9NWA0_MED9.pdf</t>
  </si>
  <si>
    <t>Melting_Curves/meltCurve_Q9NWB6_ARGLU1.pdf</t>
  </si>
  <si>
    <t>Melting_Curves/meltCurve_Q9NWD8_TMEM248.pdf</t>
  </si>
  <si>
    <t>Melting_Curves/meltCurve_Q9NWH2_TMEM242.pdf</t>
  </si>
  <si>
    <t>Melting_Curves/meltCurve_Q9NWH9_SLTM.pdf</t>
  </si>
  <si>
    <t>Melting_Curves/meltCurve_Q9NWK9_ZNHIT6.pdf</t>
  </si>
  <si>
    <t>Melting_Curves/meltCurve_Q9NWM8_FKBP14.pdf</t>
  </si>
  <si>
    <t>Melting_Curves/meltCurve_Q9NWQ8_PAG1.pdf</t>
  </si>
  <si>
    <t>Melting_Curves/meltCurve_Q9NWQ9_C14orf119.pdf</t>
  </si>
  <si>
    <t>Melting_Curves/meltCurve_Q9NWR8_CCDC109B.pdf</t>
  </si>
  <si>
    <t>Melting_Curves/meltCurve_Q9NWS0_PIH1D1.pdf</t>
  </si>
  <si>
    <t>Melting_Curves/meltCurve_Q9NWS6_FAM118A.pdf</t>
  </si>
  <si>
    <t>Melting_Curves/meltCurve_Q9NWS8_RMND1.pdf</t>
  </si>
  <si>
    <t>Melting_Curves/meltCurve_Q9NWT1_PAK1IP1.pdf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</si>
  <si>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</si>
  <si>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</si>
  <si>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</si>
  <si>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</si>
  <si>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Melting_Curves/meltCurve_Q9NWW6_NMRK1.pdf</t>
  </si>
  <si>
    <t>Melting_Curves/meltCurve_Q9NWX6_THG1L.pdf</t>
  </si>
  <si>
    <t>Melting_Curves/meltCurve_Q9NWY4_C4orf27.pdf</t>
  </si>
  <si>
    <t>Melting_Curves/meltCurve_Q9NWZ3_IRAK4.pdf</t>
  </si>
  <si>
    <t>Melting_Curves/meltCurve_Q9NWZ5_UCKL1.pdf</t>
  </si>
  <si>
    <t>Melting_Curves/meltCurve_Q9NWZ8_GEMIN8.pdf</t>
  </si>
  <si>
    <t>Melting_Curves/meltCurve_Q9NX00_TMEM160.pdf</t>
  </si>
  <si>
    <t>Melting_Curves/meltCurve_Q9NX01_TXNL4B.pdf</t>
  </si>
  <si>
    <t>Melting_Curves/meltCurve_Q9NX04_C1orf109.pdf</t>
  </si>
  <si>
    <t>Melting_Curves/meltCurve_Q9NX07_TRNAU1AP.pdf</t>
  </si>
  <si>
    <t>Melting_Curves/meltCurve_Q9NX08_COMMD8.pdf</t>
  </si>
  <si>
    <t>Melting_Curves/meltCurve_Q9NX14_2_NDUFB11.pdf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</si>
  <si>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</si>
  <si>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</si>
  <si>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</si>
  <si>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</si>
  <si>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</si>
  <si>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</si>
  <si>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Melting_Curves/meltCurve_Q9NX58_LYAR.pdf</t>
  </si>
  <si>
    <t>Melting_Curves/meltCurve_Q9NX62_IMPAD1.pdf</t>
  </si>
  <si>
    <t>Melting_Curves/meltCurve_Q9NX70_MED29.pdf</t>
  </si>
  <si>
    <t>Melting_Curves/meltCurve_Q9NX74_DUS2L.pdf</t>
  </si>
  <si>
    <t>Melting_Curves/meltCurve_Q9NX76_CMTM6.pdf</t>
  </si>
  <si>
    <t>Melting_Curves/meltCurve_Q9NXA8_SIRT5.pdf</t>
  </si>
  <si>
    <t>Melting_Curves/meltCurve_Q9NXC2_GFOD1.pdf</t>
  </si>
  <si>
    <t>Melting_Curves/meltCurve_Q9NXC5_MIOS.pdf</t>
  </si>
  <si>
    <t>Melting_Curves/meltCurve_Q9NXE8_CWC25.pdf</t>
  </si>
  <si>
    <t>Melting_Curves/meltCurve_Q9NXF7_DCAF16.pdf</t>
  </si>
  <si>
    <t>Melting_Curves/meltCurve_Q9NXH9_TRMT1.pdf</t>
  </si>
  <si>
    <t>Melting_Curves/meltCurve_Q9NXK8_FBXL12.pdf</t>
  </si>
  <si>
    <t>Melting_Curves/meltCurve_Q9NXR1_2_NDE1.pdf</t>
  </si>
  <si>
    <t>Melting_Curves/meltCurve_Q9NXR5_ANKRD10.pdf</t>
  </si>
  <si>
    <t>Melting_Curves/meltCurve_Q9NXR7_BRE.pdf</t>
  </si>
  <si>
    <t>Melting_Curves/meltCurve_Q9NXS2_QPCTL.pdf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</si>
  <si>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</si>
  <si>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</si>
  <si>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</si>
  <si>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</si>
  <si>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Melting_Curves/meltCurve_Q9NXX6_NSMCE4A.pdf</t>
  </si>
  <si>
    <t>Melting_Curves/meltCurve_Q9NY12_2_GAR1.pdf</t>
  </si>
  <si>
    <t>Melting_Curves/meltCurve_Q9NY27_PPP4R2.pdf</t>
  </si>
  <si>
    <t>Melting_Curves/meltCurve_Q9NY93_2_DDX56.pdf</t>
  </si>
  <si>
    <t>Melting_Curves/meltCurve_Q9NYB0_TERF2IP.pdf</t>
  </si>
  <si>
    <t>Melting_Curves/meltCurve_Q9NYF8_2_BCLAF1.pdf</t>
  </si>
  <si>
    <t>Melting_Curves/meltCurve_Q9NYG2_ZDHHC3.pdf</t>
  </si>
  <si>
    <t>Melting_Curves/meltCurve_Q9NYH9_UTP6.pdf</t>
  </si>
  <si>
    <t>Melting_Curves/meltCurve_Q9NYJ1_COA4.pdf</t>
  </si>
  <si>
    <t>Melting_Curves/meltCurve_Q9NYK5_MRPL39.pdf</t>
  </si>
  <si>
    <t>Melting_Curves/meltCurve_Q9NYL2_MLTK.pdf</t>
  </si>
  <si>
    <t>Melting_Curves/meltCurve_Q9NYL9_TMOD3.pdf</t>
  </si>
  <si>
    <t>Melting_Curves/meltCurve_Q9NYM9_BET1L.pdf</t>
  </si>
  <si>
    <t>Melting_Curves/meltCurve_Q9NYP9_MIS18A.pdf</t>
  </si>
  <si>
    <t>Melting_Curves/meltCurve_Q9NYS0_NKIRAS1.pdf</t>
  </si>
  <si>
    <t>Melting_Curves/meltCurve_Q9NYU2_2_UGGT1.pdf</t>
  </si>
  <si>
    <t>Melting_Curves/meltCurve_Q9NYV4_2_CDK12.pdf</t>
  </si>
  <si>
    <t>Melting_Curves/meltCurve_Q9NYY8_FASTKD2.pdf</t>
  </si>
  <si>
    <t>Melting_Curves/meltCurve_Q9NYZ3_GTSE1.pdf</t>
  </si>
  <si>
    <t>Melting_Curves/meltCurve_Q9NZ01_TECR.pdf</t>
  </si>
  <si>
    <t>Melting_Curves/meltCurve_Q9NZ08_ERAP1.pdf</t>
  </si>
  <si>
    <t>Melting_Curves/meltCurve_Q9NZ09_UBAP1.pdf</t>
  </si>
  <si>
    <t>Melting_Curves/meltCurve_Q9NZ32_ACTR10.pdf</t>
  </si>
  <si>
    <t>Melting_Curves/meltCurve_Q9NZ43_USE1.pdf</t>
  </si>
  <si>
    <t>Melting_Curves/meltCurve_Q9NZ45_CISD1.pdf</t>
  </si>
  <si>
    <t>Melting_Curves/meltCurve_Q9NZ52_GGA3.pdf</t>
  </si>
  <si>
    <t>Melting_Curves/meltCurve_Q9NZ63_C9orf78.pdf</t>
  </si>
  <si>
    <t>Melting_Curves/meltCurve_Q9NZB2_FAM120A.pdf</t>
  </si>
  <si>
    <t>Melting_Curves/meltCurve_Q9NZB8_2_MOCS1.pdf</t>
  </si>
  <si>
    <t>Melting_Curves/meltCurve_Q9NZC3_GDE1.pdf</t>
  </si>
  <si>
    <t>Melting_Curves/meltCurve_Q9NZC7_WWOX.pdf</t>
  </si>
  <si>
    <t>Melting_Curves/meltCurve_Q9NZD2_GLTP.pdf</t>
  </si>
  <si>
    <t>Melting_Curves/meltCurve_Q9NZD8_2_SPG21.pdf</t>
  </si>
  <si>
    <t>Melting_Curves/meltCurve_Q9NZG7_NINJ2.pdf</t>
  </si>
  <si>
    <t>Melting_Curves/meltCurve_Q9NZI7_UBP1.pdf</t>
  </si>
  <si>
    <t>Melting_Curves/meltCurve_Q9NZI8_IGF2BP1.pdf</t>
  </si>
  <si>
    <t>Melting_Curves/meltCurve_Q9NZJ6_COQ3.pdf</t>
  </si>
  <si>
    <t>Melting_Curves/meltCurve_Q9NZJ7_2_MTCH1.pdf</t>
  </si>
  <si>
    <t>Melting_Curves/meltCurve_Q9NZJ9_NUDT4.pdf</t>
  </si>
  <si>
    <t>Melting_Curves/meltCurve_Q9NZL4_HSPBP1.pdf</t>
  </si>
  <si>
    <t>Melting_Curves/meltCurve_Q9NZL9_MAT2B.pdf</t>
  </si>
  <si>
    <t>Melting_Curves/meltCurve_Q9NZL9_2_MAT2B.pdf</t>
  </si>
  <si>
    <t>Melting_Curves/meltCurve_Q9NZM3_2_ITSN2.pdf</t>
  </si>
  <si>
    <t>Melting_Curves/meltCurve_Q9NZQ3_3_NCKIPSD.pdf</t>
  </si>
  <si>
    <t>Melting_Curves/meltCurve_Q9NZT2_2_OGFR.pdf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</si>
  <si>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</si>
  <si>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</si>
  <si>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</si>
  <si>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</si>
  <si>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</si>
  <si>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</si>
  <si>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Melting_Curves/meltCurve_Q9P032_NDUFAF4.pdf</t>
  </si>
  <si>
    <t>Melting_Curves/meltCurve_Q9P035_PTPLAD1.pdf</t>
  </si>
  <si>
    <t>Melting_Curves/meltCurve_Q9P086_MED11.pdf</t>
  </si>
  <si>
    <t>Melting_Curves/meltCurve_Q9P0B6_CCDC167.pdf</t>
  </si>
  <si>
    <t>Melting_Curves/meltCurve_Q9P0I2_EMC3.pdf</t>
  </si>
  <si>
    <t>Melting_Curves/meltCurve_Q9P0J1_PDP1.pdf</t>
  </si>
  <si>
    <t>Melting_Curves/meltCurve_Q9P0J7_KCMF1.pdf</t>
  </si>
  <si>
    <t>Melting_Curves/meltCurve_Q9P0L0_VAPA.pdf</t>
  </si>
  <si>
    <t>Melting_Curves/meltCurve_Q9P0N9_3_TBC1D7.pdf</t>
  </si>
  <si>
    <t>Melting_Curves/meltCurve_Q9P0P0_RNF181.pdf</t>
  </si>
  <si>
    <t>Melting_Curves/meltCurve_Q9P0R6_GSKIP.pdf</t>
  </si>
  <si>
    <t>Melting_Curves/meltCurve_Q9P0S2_COX16.pdf</t>
  </si>
  <si>
    <t>Melting_Curves/meltCurve_Q9P1F3_ABRACL.pdf</t>
  </si>
  <si>
    <t>Melting_Curves/meltCurve_Q9P1U0_ZNRD1.pdf</t>
  </si>
  <si>
    <t>Melting_Curves/meltCurve_Q9P1U1_ACTR3B.pdf</t>
  </si>
  <si>
    <t>Melting_Curves/meltCurve_Q9P1W8_4_SIRPG.pdf</t>
  </si>
  <si>
    <t>Melting_Curves/meltCurve_Q9P1Y5_CAMSAP3.pdf</t>
  </si>
  <si>
    <t>Melting_Curves/meltCurve_Q9P219_CCDC88C.pdf</t>
  </si>
  <si>
    <t>Melting_Curves/meltCurve_Q9P244_LRFN1.pdf</t>
  </si>
  <si>
    <t>Melting_Curves/meltCurve_Q9P253_VPS18.pdf</t>
  </si>
  <si>
    <t>Melting_Curves/meltCurve_Q9P258_RCC2.pdf</t>
  </si>
  <si>
    <t>Melting_Curves/meltCurve_Q9P260_KIAA1468.pdf</t>
  </si>
  <si>
    <t>Melting_Curves/meltCurve_Q9P265_DIP2B.pdf</t>
  </si>
  <si>
    <t>Melting_Curves/meltCurve_Q9P270_SLAIN2.pdf</t>
  </si>
  <si>
    <t>Melting_Curves/meltCurve_Q9P287_BCCIP.pdf</t>
  </si>
  <si>
    <t>Melting_Curves/meltCurve_Q9P287_2_BCCIP.pdf</t>
  </si>
  <si>
    <t>Melting_Curves/meltCurve_Q9P2A4_2_ABI3.pdf</t>
  </si>
  <si>
    <t>Melting_Curves/meltCurve_Q9P2B4_CTTNBP2NL.pdf</t>
  </si>
  <si>
    <t>Melting_Curves/meltCurve_Q9P2B7_KIAA1430.pdf</t>
  </si>
  <si>
    <t>Melting_Curves/meltCurve_Q9P2C4_TMEM181.pdf</t>
  </si>
  <si>
    <t>Melting_Curves/meltCurve_Q9P2D1_CHD7.pdf</t>
  </si>
  <si>
    <t>Melting_Curves/meltCurve_Q9P2D3_3_HEATR5B.pdf</t>
  </si>
  <si>
    <t>Melting_Curves/meltCurve_Q9P2E3_ZNFX1.pdf</t>
  </si>
  <si>
    <t>Melting_Curves/meltCurve_Q9P2E9_RRBP1.pdf</t>
  </si>
  <si>
    <t>Melting_Curves/meltCurve_Q9P2I0_CPSF2.pdf</t>
  </si>
  <si>
    <t>Melting_Curves/meltCurve_Q9P2J5_LARS.pdf</t>
  </si>
  <si>
    <t>Melting_Curves/meltCurve_Q9P2J9_PDP2.pdf</t>
  </si>
  <si>
    <t>Melting_Curves/meltCurve_Q9P2K2_TXNDC16.pdf</t>
  </si>
  <si>
    <t>Melting_Curves/meltCurve_Q9P2K3_4_RCOR3.pdf</t>
  </si>
  <si>
    <t>Melting_Curves/meltCurve_Q9P2K5_MYEF2.pdf</t>
  </si>
  <si>
    <t>Melting_Curves/meltCurve_Q9P2K8_2_EIF2AK4.pdf</t>
  </si>
  <si>
    <t>Melting_Curves/meltCurve_Q9P2M7_CGN.pdf</t>
  </si>
  <si>
    <t>Melting_Curves/meltCurve_Q9P2N5_RBM27.pdf</t>
  </si>
  <si>
    <t>Melting_Curves/meltCurve_Q9P2N6_3_KANSL3.pdf</t>
  </si>
  <si>
    <t>Melting_Curves/meltCurve_Q9P2N7_2_KLHL13.pdf</t>
  </si>
  <si>
    <t>Melting_Curves/meltCurve_Q9P2R3_ANKFY1.pdf</t>
  </si>
  <si>
    <t>Melting_Curves/meltCurve_Q9P2R6_RERE.pdf</t>
  </si>
  <si>
    <t>Melting_Curves/meltCurve_Q9P2W1_PSMC3IP.pdf</t>
  </si>
  <si>
    <t>Melting_Curves/meltCurve_Q9P2X0_DPM3.pdf</t>
  </si>
  <si>
    <t>Melting_Curves/meltCurve_Q9P2Y4_ZNF219.pdf</t>
  </si>
  <si>
    <t>Melting_Curves/meltCurve_Q9P2Y5_UVRAG.pdf</t>
  </si>
  <si>
    <t>Melting_Curves/meltCurve_Q9UBB4_ATXN10.pdf</t>
  </si>
  <si>
    <t>Melting_Curves/meltCurve_Q9UBB5_MBD2.pdf</t>
  </si>
  <si>
    <t>Melting_Curves/meltCurve_Q9UBB6_2_NCDN.pdf</t>
  </si>
  <si>
    <t>Melting_Curves/meltCurve_Q9UBB9_TFIP11.pdf</t>
  </si>
  <si>
    <t>Melting_Curves/meltCurve_Q9UBC2_2_EPS15L1.pdf</t>
  </si>
  <si>
    <t>Melting_Curves/meltCurve_Q9UBC3_7_DNMT3B.pdf</t>
  </si>
  <si>
    <t>Melting_Curves/meltCurve_Q9UBD5_2_ORC3.pdf</t>
  </si>
  <si>
    <t>Melting_Curves/meltCurve_Q9UBD8_CLN3.pdf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</si>
  <si>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</si>
  <si>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</si>
  <si>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</si>
  <si>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</si>
  <si>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</si>
  <si>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Melting_Curves/meltCurve_Q9UBK8_2_MTRR.pdf</t>
  </si>
  <si>
    <t>Melting_Curves/meltCurve_Q9UBK9_UXT.pdf</t>
  </si>
  <si>
    <t>Melting_Curves/meltCurve_Q9UBL0_ARPP21.pdf</t>
  </si>
  <si>
    <t>Melting_Curves/meltCurve_Q9UBL3_3_ASH2L.pdf</t>
  </si>
  <si>
    <t>Melting_Curves/meltCurve_Q9UBM7_DHCR7.pdf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</si>
  <si>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</si>
  <si>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</si>
  <si>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</si>
  <si>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</si>
  <si>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</si>
  <si>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</si>
  <si>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</si>
  <si>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</si>
  <si>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Melting_Curves/meltCurve_Q9UBU9_NXF1.pdf</t>
  </si>
  <si>
    <t>Melting_Curves/meltCurve_Q9UBV2_SEL1L.pdf</t>
  </si>
  <si>
    <t>Melting_Curves/meltCurve_Q9UBV7_B4GALT7.pdf</t>
  </si>
  <si>
    <t>Melting_Curves/meltCurve_Q9UBV8_PEF1.pdf</t>
  </si>
  <si>
    <t>Melting_Curves/meltCurve_Q9UBW5_BIN2.pdf</t>
  </si>
  <si>
    <t>Melting_Curves/meltCurve_Q9UBW7_ZMYM2.pdf</t>
  </si>
  <si>
    <t>Melting_Curves/meltCurve_Q9UBW8_COPS7A.pdf</t>
  </si>
  <si>
    <t>Melting_Curves/meltCurve_Q9UBX3_SLC25A10.pdf</t>
  </si>
  <si>
    <t>Melting_Curves/meltCurve_Q9UDR5_AASS.pdf</t>
  </si>
  <si>
    <t>Melting_Curves/meltCurve_Q9UDT6_2_CLIP2.pdf</t>
  </si>
  <si>
    <t>Melting_Curves/meltCurve_Q9UDW1_UQCR10.pdf</t>
  </si>
  <si>
    <t>Melting_Curves/meltCurve_Q9UDX5_MTFP1.pdf</t>
  </si>
  <si>
    <t>Melting_Curves/meltCurve_Q9UDY2_6_TJP2.pdf</t>
  </si>
  <si>
    <t>Melting_Curves/meltCurve_Q9UDY4_DNAJB4.pdf</t>
  </si>
  <si>
    <t>Melting_Curves/meltCurve_Q9UDY8_2_MALT1.pdf</t>
  </si>
  <si>
    <t>Melting_Curves/meltCurve_Q9UEE5_STK17A.pdf</t>
  </si>
  <si>
    <t>Melting_Curves/meltCurve_Q9UEE9_CFDP1.pdf</t>
  </si>
  <si>
    <t>Melting_Curves/meltCurve_Q9UEL6_MPZL1.pdf</t>
  </si>
  <si>
    <t>Melting_Curves/meltCurve_Q9UER7_2_DAXX.pdf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</si>
  <si>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</si>
  <si>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</si>
  <si>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</si>
  <si>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</si>
  <si>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Melting_Curves/meltCurve_Q9UFC0_LRWD1.pdf</t>
  </si>
  <si>
    <t>Melting_Curves/meltCurve_Q9UFN0_NIPSNAP3A.pdf</t>
  </si>
  <si>
    <t>Melting_Curves/meltCurve_Q9UFW8_CGGBP1.pdf</t>
  </si>
  <si>
    <t>Melting_Curves/meltCurve_Q9UG63_ABCF2.pdf</t>
  </si>
  <si>
    <t>Melting_Curves/meltCurve_Q9UGJ1_2_TUBGCP4.pdf</t>
  </si>
  <si>
    <t>Melting_Curves/meltCurve_Q9UGK8_SERGEF.pdf</t>
  </si>
  <si>
    <t>Melting_Curves/meltCurve_Q9UGM1_CHRNA9.pdf</t>
  </si>
  <si>
    <t>Melting_Curves/meltCurve_Q9UGM6_WARS2.pdf</t>
  </si>
  <si>
    <t>Melting_Curves/meltCurve_Q9UGP4_LIMD1.pdf</t>
  </si>
  <si>
    <t>Melting_Curves/meltCurve_Q9UGP8_SEC63.pdf</t>
  </si>
  <si>
    <t>Melting_Curves/meltCurve_Q9UGQ2_2_CACFD1.pdf</t>
  </si>
  <si>
    <t>Melting_Curves/meltCurve_Q9UGQ3_2_SLC2A6.pdf</t>
  </si>
  <si>
    <t>Melting_Curves/meltCurve_Q9UGR2_2_ZC3H7B.pdf</t>
  </si>
  <si>
    <t>Melting_Curves/meltCurve_Q9UGU0_2_TCF20.pdf</t>
  </si>
  <si>
    <t>Melting_Curves/meltCurve_Q9UGV2_NDRG3.pdf</t>
  </si>
  <si>
    <t>Melting_Curves/meltCurve_Q9UH03_2_SEPT3.pdf</t>
  </si>
  <si>
    <t>Melting_Curves/meltCurve_Q9UH62_ARMCX3.pdf</t>
  </si>
  <si>
    <t>Melting_Curves/meltCurve_Q9UH65_SWAP70.pdf</t>
  </si>
  <si>
    <t>Melting_Curves/meltCurve_Q9UH99_SUN2.pdf</t>
  </si>
  <si>
    <t>Melting_Curves/meltCurve_Q9UHA2_SS18L2.pdf</t>
  </si>
  <si>
    <t>Melting_Curves/meltCurve_Q9UHA4_LAMTOR3.pdf</t>
  </si>
  <si>
    <t>Melting_Curves/meltCurve_Q9UHB6_LIMA1.pdf</t>
  </si>
  <si>
    <t>Melting_Curves/meltCurve_Q9UHB7_AFF4.pdf</t>
  </si>
  <si>
    <t>Melting_Curves/meltCurve_Q9UHB9_SRP68.pdf</t>
  </si>
  <si>
    <t>Melting_Curves/meltCurve_Q9UHC7_4_MKRN1.pdf</t>
  </si>
  <si>
    <t>Melting_Curves/meltCurve_Q9UHD1_CHORDC1.pdf</t>
  </si>
  <si>
    <t>Melting_Curves/meltCurve_Q9UHD2_TBK1.pdf</t>
  </si>
  <si>
    <t>Melting_Curves/meltCurve_Q9UHD8_SEPT9.pdf</t>
  </si>
  <si>
    <t>Melting_Curves/meltCurve_Q9UHD9_UBQLN2.pdf</t>
  </si>
  <si>
    <t>Melting_Curves/meltCurve_Q9UHE8_STEAP1.pdf</t>
  </si>
  <si>
    <t>Melting_Curves/meltCurve_Q9UHG3_PCYOX1.pdf</t>
  </si>
  <si>
    <t>Melting_Curves/meltCurve_Q9UHI6_DDX20.pdf</t>
  </si>
  <si>
    <t>Melting_Curves/meltCurve_Q9UHJ6_SHPK.pdf</t>
  </si>
  <si>
    <t>Melting_Curves/meltCurve_Q9UHL4_DPP7.pdf</t>
  </si>
  <si>
    <t>Melting_Curves/meltCurve_Q9UHN1_POLG2.pdf</t>
  </si>
  <si>
    <t>Melting_Curves/meltCurve_Q9UHN6_2_TMEM2.pdf</t>
  </si>
  <si>
    <t>Melting_Curves/meltCurve_Q9UHQ1_NARF.pdf</t>
  </si>
  <si>
    <t>Melting_Curves/meltCurve_Q9UHQ4_BCAP29.pdf</t>
  </si>
  <si>
    <t>Melting_Curves/meltCurve_Q9UHQ9_CYB5R1.pdf</t>
  </si>
  <si>
    <t>Melting_Curves/meltCurve_Q9UHR6_ZNHIT2.pdf</t>
  </si>
  <si>
    <t>Melting_Curves/meltCurve_Q9UHV9_PFDN2.pdf</t>
  </si>
  <si>
    <t>Melting_Curves/meltCurve_Q9UHW5_GPN3.pdf</t>
  </si>
  <si>
    <t>Melting_Curves/meltCurve_Q9UHX1_PUF60.pdf</t>
  </si>
  <si>
    <t>Melting_Curves/meltCurve_Q9UHY1_NRBP1.pdf</t>
  </si>
  <si>
    <t>Melting_Curves/meltCurve_Q9UHY7_ENOPH1.pdf</t>
  </si>
  <si>
    <t>Melting_Curves/meltCurve_Q9UI08_2_EVL.pdf</t>
  </si>
  <si>
    <t>Melting_Curves/meltCurve_Q9UI09_NDUFA12.pdf</t>
  </si>
  <si>
    <t>Melting_Curves/meltCurve_Q9UI10_EIF2B4.pdf</t>
  </si>
  <si>
    <t>Melting_Curves/meltCurve_Q9UI10_3_EIF2B4.pdf</t>
  </si>
  <si>
    <t>Melting_Curves/meltCurve_Q9UI12_2_ATP6V1H.pdf</t>
  </si>
  <si>
    <t>Melting_Curves/meltCurve_Q9UI26_IPO11.pdf</t>
  </si>
  <si>
    <t>Melting_Curves/meltCurve_Q9UI30_TRMT112.pdf</t>
  </si>
  <si>
    <t>Melting_Curves/meltCurve_Q9UI43_FTSJ2.pdf</t>
  </si>
  <si>
    <t>Melting_Curves/meltCurve_Q9UIB8_3_CD84.pdf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</si>
  <si>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</si>
  <si>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</si>
  <si>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</si>
  <si>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</si>
  <si>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</si>
  <si>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</si>
  <si>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</si>
  <si>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Melting_Curves/meltCurve_Q9UIQ6_3_LNPEP.pdf</t>
  </si>
  <si>
    <t>Melting_Curves/meltCurve_Q9UIV1_CNOT7.pdf</t>
  </si>
  <si>
    <t>Melting_Curves/meltCurve_Q9UJ14_GGT7.pdf</t>
  </si>
  <si>
    <t>Melting_Curves/meltCurve_Q9UJ68_2_MSRA.pdf</t>
  </si>
  <si>
    <t>Melting_Curves/meltCurve_Q9UJ70_NAGK.pdf</t>
  </si>
  <si>
    <t>Melting_Curves/meltCurve_Q9UJA5_TRMT6.pdf</t>
  </si>
  <si>
    <t>Melting_Curves/meltCurve_Q9UJG1_2_MOSPD1.pdf</t>
  </si>
  <si>
    <t>Melting_Curves/meltCurve_Q9UJK0_TSR3.pdf</t>
  </si>
  <si>
    <t>Melting_Curves/meltCurve_Q9UJS0_SLC25A13.pdf</t>
  </si>
  <si>
    <t>Melting_Curves/meltCurve_Q9UJT0_TUBE1.pdf</t>
  </si>
  <si>
    <t>Melting_Curves/meltCurve_Q9UJU2_LEF1.pdf</t>
  </si>
  <si>
    <t>Melting_Curves/meltCurve_Q9UJU6_DBNL.pdf</t>
  </si>
  <si>
    <t>Melting_Curves/meltCurve_Q9UJU6_2_DBNL.pdf</t>
  </si>
  <si>
    <t>Melting_Curves/meltCurve_Q9UJW0_DCTN4.pdf</t>
  </si>
  <si>
    <t>Melting_Curves/meltCurve_Q9UJX2_CDC23.pdf</t>
  </si>
  <si>
    <t>Melting_Curves/meltCurve_Q9UJX3_ANAPC7.pdf</t>
  </si>
  <si>
    <t>Melting_Curves/meltCurve_Q9UJX5_ANAPC4.pdf</t>
  </si>
  <si>
    <t>Melting_Curves/meltCurve_Q9UJX6_2_ANAPC2.pdf</t>
  </si>
  <si>
    <t>Melting_Curves/meltCurve_Q9UJY4_GGA2.pdf</t>
  </si>
  <si>
    <t>Melting_Curves/meltCurve_Q9UJY5_4_GGA1.pdf</t>
  </si>
  <si>
    <t>Melting_Curves/meltCurve_Q9UJZ1_STOML2.pdf</t>
  </si>
  <si>
    <t>Melting_Curves/meltCurve_Q9UK23_2_NAGPA.pdf</t>
  </si>
  <si>
    <t>Melting_Curves/meltCurve_Q9UK41_VPS28.pdf</t>
  </si>
  <si>
    <t>Melting_Curves/meltCurve_Q9UK45_LSM7.pdf</t>
  </si>
  <si>
    <t>Melting_Curves/meltCurve_Q9UK59_DBR1.pdf</t>
  </si>
  <si>
    <t>Melting_Curves/meltCurve_Q9UK76_HN1.pdf</t>
  </si>
  <si>
    <t>Melting_Curves/meltCurve_Q9UKD2_MRTO4.pdf</t>
  </si>
  <si>
    <t>Melting_Curves/meltCurve_Q9UKF6_CPSF3.pdf</t>
  </si>
  <si>
    <t>Melting_Curves/meltCurve_Q9UKG1_APPL1.pdf</t>
  </si>
  <si>
    <t>Melting_Curves/meltCurve_Q9UKI8_5_TLK1.pdf</t>
  </si>
  <si>
    <t>Melting_Curves/meltCurve_Q9UKJ1_3_PILRA.pdf</t>
  </si>
  <si>
    <t>Melting_Curves/meltCurve_Q9UKJ3_GPATCH8.pdf</t>
  </si>
  <si>
    <t>Melting_Curves/meltCurve_Q9UKK6_NXT1.pdf</t>
  </si>
  <si>
    <t>Melting_Curves/meltCurve_Q9UKL6_PCTP.pdf</t>
  </si>
  <si>
    <t>Melting_Curves/meltCurve_Q9UKM7_MAN1B1.pdf</t>
  </si>
  <si>
    <t>Melting_Curves/meltCurve_Q9UKM9_RALY.pdf</t>
  </si>
  <si>
    <t>Melting_Curves/meltCurve_Q9UKN8_GTF3C4.pdf</t>
  </si>
  <si>
    <t>Melting_Curves/meltCurve_Q9UKR5_C14orf1.pdf</t>
  </si>
  <si>
    <t>Melting_Curves/meltCurve_Q9UKS6_PACSIN3.pdf</t>
  </si>
  <si>
    <t>Melting_Curves/meltCurve_Q9UKT4_2_FBXO5.pdf</t>
  </si>
  <si>
    <t>Melting_Curves/meltCurve_Q9UKT5_FBXO4.pdf</t>
  </si>
  <si>
    <t>Melting_Curves/meltCurve_Q9UKU7_ACAD8.pdf</t>
  </si>
  <si>
    <t>Melting_Curves/meltCurve_Q9UKV5_AMFR.pdf</t>
  </si>
  <si>
    <t>Melting_Curves/meltCurve_Q9UKV8_AGO2.pdf</t>
  </si>
  <si>
    <t>Melting_Curves/meltCurve_Q9UKW4_VAV3.pdf</t>
  </si>
  <si>
    <t>Melting_Curves/meltCurve_Q9UKX7_NUP50.pdf</t>
  </si>
  <si>
    <t>Melting_Curves/meltCurve_Q9UKY1_ZHX1.pdf</t>
  </si>
  <si>
    <t>Melting_Curves/meltCurve_Q9UKY7_CDV3.pdf</t>
  </si>
  <si>
    <t>Melting_Curves/meltCurve_Q9UKZ1_CNOT11.pdf</t>
  </si>
  <si>
    <t>Melting_Curves/meltCurve_Q9UL15_BAG5.pdf</t>
  </si>
  <si>
    <t>Melting_Curves/meltCurve_Q9UL18_AGO1.pdf</t>
  </si>
  <si>
    <t>Melting_Curves/meltCurve_Q9UL25_RAB21.pdf</t>
  </si>
  <si>
    <t>Melting_Curves/meltCurve_Q9UL26_RAB22A.pdf</t>
  </si>
  <si>
    <t>Melting_Curves/meltCurve_Q9UL42_PNMA2.pdf</t>
  </si>
  <si>
    <t>Melting_Curves/meltCurve_Q9UL46_PSME2.pdf</t>
  </si>
  <si>
    <t>Melting_Curves/meltCurve_Q9UL63_MKLN1.pdf</t>
  </si>
  <si>
    <t>Melting_Curves/meltCurve_Q9ULC3_RAB23.pdf</t>
  </si>
  <si>
    <t>Melting_Curves/meltCurve_Q9ULC4_MCTS1.pdf</t>
  </si>
  <si>
    <t>Melting_Curves/meltCurve_Q9ULD2_4_MTUS1.pdf</t>
  </si>
  <si>
    <t>Melting_Curves/meltCurve_Q9ULE6_PALD1.pdf</t>
  </si>
  <si>
    <t>Melting_Curves/meltCurve_Q9ULF5_SLC39A10.pdf</t>
  </si>
  <si>
    <t>Melting_Curves/meltCurve_Q9ULH0_2_KIDINS220.pdf</t>
  </si>
  <si>
    <t>Melting_Curves/meltCurve_Q9ULH7_4_MKL2.pdf</t>
  </si>
  <si>
    <t>Melting_Curves/meltCurve_Q9ULI3_HEG1.pdf</t>
  </si>
  <si>
    <t>Melting_Curves/meltCurve_Q9ULJ3_2_ZBTB21.pdf</t>
  </si>
  <si>
    <t>Melting_Curves/meltCurve_Q9ULJ6_ZMIZ1.pdf</t>
  </si>
  <si>
    <t>Melting_Curves/meltCurve_Q9ULL5_3_PRR12.pdf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</si>
  <si>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</si>
  <si>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</si>
  <si>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</si>
  <si>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</si>
  <si>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Melting_Curves/meltCurve_Q9ULV4_CORO1C.pdf</t>
  </si>
  <si>
    <t>Melting_Curves/meltCurve_Q9ULW0_TPX2.pdf</t>
  </si>
  <si>
    <t>Melting_Curves/meltCurve_Q9ULX3_NOB1.pdf</t>
  </si>
  <si>
    <t>Melting_Curves/meltCurve_Q9ULX6_AKAP8L.pdf</t>
  </si>
  <si>
    <t>Melting_Curves/meltCurve_Q9ULX9_2_MAFF.pdf</t>
  </si>
  <si>
    <t>Melting_Curves/meltCurve_Q9UM13_ANAPC10.pdf</t>
  </si>
  <si>
    <t>Melting_Curves/meltCurve_Q9UM21_MGAT4A.pdf</t>
  </si>
  <si>
    <t>Melting_Curves/meltCurve_Q9UM47_NOTCH3.pdf</t>
  </si>
  <si>
    <t>Melting_Curves/meltCurve_Q9UMS0_3_NFU1.pdf</t>
  </si>
  <si>
    <t>Melting_Curves/meltCurve_Q9UMS4_PRPF19.pdf</t>
  </si>
  <si>
    <t>Melting_Curves/meltCurve_Q9UMX0_UBQLN1.pdf</t>
  </si>
  <si>
    <t>Melting_Curves/meltCurve_Q9UMX0_2_UBQLN1.pdf</t>
  </si>
  <si>
    <t>Melting_Curves/meltCurve_Q9UMX1_2_SUFU.pdf</t>
  </si>
  <si>
    <t>Melting_Curves/meltCurve_Q9UMX5_NENF.pdf</t>
  </si>
  <si>
    <t>Melting_Curves/meltCurve_Q9UMY1_NOL7.pdf</t>
  </si>
  <si>
    <t>Melting_Curves/meltCurve_Q9UMY4_2_SNX12.pdf</t>
  </si>
  <si>
    <t>Melting_Curves/meltCurve_Q9UMZ2_5_SYNRG.pdf</t>
  </si>
  <si>
    <t>Melting_Curves/meltCurve_Q9UN36_2_NDRG2.pdf</t>
  </si>
  <si>
    <t>Melting_Curves/meltCurve_Q9UN37_VPS4A.pdf</t>
  </si>
  <si>
    <t>Melting_Curves/meltCurve_Q9UN86_2_G3BP2.pdf</t>
  </si>
  <si>
    <t>Melting_Curves/meltCurve_Q9UNA1_2_ARHGAP26.pdf</t>
  </si>
  <si>
    <t>Melting_Curves/meltCurve_Q9UNE7_STUB1.pdf</t>
  </si>
  <si>
    <t>Melting_Curves/meltCurve_Q9UNF0_2_PACSIN2.pdf</t>
  </si>
  <si>
    <t>Melting_Curves/meltCurve_Q9UNF1_MAGED2.pdf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</si>
  <si>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</si>
  <si>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</si>
  <si>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</si>
  <si>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</si>
  <si>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</si>
  <si>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</si>
  <si>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</si>
  <si>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</si>
  <si>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</si>
  <si>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Melting_Curves/meltCurve_Q9UNT1_2_RABL2B.pdf</t>
  </si>
  <si>
    <t>Melting_Curves/meltCurve_Q9UNW1_MINPP1.pdf</t>
  </si>
  <si>
    <t>Melting_Curves/meltCurve_Q9UNX3_RPL26L1.pdf</t>
  </si>
  <si>
    <t>Melting_Curves/meltCurve_Q9UNX4_WDR3.pdf</t>
  </si>
  <si>
    <t>Melting_Curves/meltCurve_Q9UNY4_TTF2.pdf</t>
  </si>
  <si>
    <t>Melting_Curves/meltCurve_Q9UNZ2_NSFL1C.pdf</t>
  </si>
  <si>
    <t>Melting_Curves/meltCurve_Q9UNZ5_C19orf53.pdf</t>
  </si>
  <si>
    <t>Melting_Curves/meltCurve_Q9UP83_COG5.pdf</t>
  </si>
  <si>
    <t>Melting_Curves/meltCurve_Q9UP95_5_SLC12A4.pdf</t>
  </si>
  <si>
    <t>Melting_Curves/meltCurve_Q9UPN6_SCAF8.pdf</t>
  </si>
  <si>
    <t>Melting_Curves/meltCurve_Q9UPN7_PPP6R1.pdf</t>
  </si>
  <si>
    <t>Melting_Curves/meltCurve_Q9UPN9_TRIM33.pdf</t>
  </si>
  <si>
    <t>Melting_Curves/meltCurve_Q9UPN9_2_TRIM33.pdf</t>
  </si>
  <si>
    <t>Melting_Curves/meltCurve_Q9UPQ9_1_TNRC6B.pdf</t>
  </si>
  <si>
    <t>Melting_Curves/meltCurve_Q9UPR0_PLCL2.pdf</t>
  </si>
  <si>
    <t>Melting_Curves/meltCurve_Q9UPT5_1_EXOC7.pdf</t>
  </si>
  <si>
    <t>Melting_Curves/meltCurve_Q9UPT9_USP22.pdf</t>
  </si>
  <si>
    <t>Melting_Curves/meltCurve_Q9UPU5_USP24.pdf</t>
  </si>
  <si>
    <t>Melting_Curves/meltCurve_Q9UPW5_AGTPBP1.pdf</t>
  </si>
  <si>
    <t>Melting_Curves/meltCurve_Q9UPZ3_2_HPS5.pdf</t>
  </si>
  <si>
    <t>Melting_Curves/meltCurve_Q9UQ03_2_CORO2B.pdf</t>
  </si>
  <si>
    <t>Melting_Curves/meltCurve_Q9UQ13_2_SHOC2.pdf</t>
  </si>
  <si>
    <t>Melting_Curves/meltCurve_Q9UQ35_SRRM2.pdf</t>
  </si>
  <si>
    <t>Melting_Curves/meltCurve_Q9UQ80_PA2G4.pdf</t>
  </si>
  <si>
    <t>Melting_Curves/meltCurve_Q9UQ90_SPG7.pdf</t>
  </si>
  <si>
    <t>Melting_Curves/meltCurve_Q9UQE7_SMC3.pdf</t>
  </si>
  <si>
    <t>Melting_Curves/meltCurve_Q9UQN3_CHMP2B.pdf</t>
  </si>
  <si>
    <t>Melting_Curves/meltCurve_Q9UQP3_TNN.pdf</t>
  </si>
  <si>
    <t>Melting_Curves/meltCurve_Q9UQR0_SCML2.pdf</t>
  </si>
  <si>
    <t>Melting_Curves/meltCurve_Q9UQR1_ZNF148.pdf</t>
  </si>
  <si>
    <t>Melting_Curves/meltCurve_Q9Y217_MTMR6.pdf</t>
  </si>
  <si>
    <t>Melting_Curves/meltCurve_Q9Y219_JAG2.pdf</t>
  </si>
  <si>
    <t>Melting_Curves/meltCurve_Q9Y221_NIP7.pdf</t>
  </si>
  <si>
    <t>Melting_Curves/meltCurve_Q9Y223_3_GNE.pdf</t>
  </si>
  <si>
    <t>Melting_Curves/meltCurve_Q9Y224_C14orf166.pdf</t>
  </si>
  <si>
    <t>Melting_Curves/meltCurve_Q9Y228_TRAF3IP3.pdf</t>
  </si>
  <si>
    <t>Melting_Curves/meltCurve_Q9Y230_RUVBL2.pdf</t>
  </si>
  <si>
    <t>Melting_Curves/meltCurve_Q9Y232_2_CDYL.pdf</t>
  </si>
  <si>
    <t>Melting_Curves/meltCurve_Q9Y237_PIN4.pdf</t>
  </si>
  <si>
    <t>Melting_Curves/meltCurve_Q9Y244_POMP.pdf</t>
  </si>
  <si>
    <t>Melting_Curves/meltCurve_Q9Y248_GINS2.pdf</t>
  </si>
  <si>
    <t>Melting_Curves/meltCurve_Q9Y250_5_LZTS1.pdf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</si>
  <si>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</si>
  <si>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</si>
  <si>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</si>
  <si>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</si>
  <si>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</si>
  <si>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</si>
  <si>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</si>
  <si>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Melting_Curves/meltCurve_Q9Y289_SLC5A6.pdf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</si>
  <si>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</si>
  <si>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</si>
  <si>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</si>
  <si>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</si>
  <si>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</si>
  <si>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Melting_Curves/meltCurve_Q9Y2C2_UST.pdf</t>
  </si>
  <si>
    <t>Melting_Curves/meltCurve_Q9Y2C4_EXOG.pdf</t>
  </si>
  <si>
    <t>Melting_Curves/meltCurve_Q9Y2D4_EXOC6B.pdf</t>
  </si>
  <si>
    <t>Melting_Curves/meltCurve_Q9Y2D5_6_AKAP2.pdf</t>
  </si>
  <si>
    <t>Melting_Curves/meltCurve_Q9Y2G2_4_CARD8.pdf</t>
  </si>
  <si>
    <t>Melting_Curves/meltCurve_Q9Y2G3_ATP11B.pdf</t>
  </si>
  <si>
    <t>Melting_Curves/meltCurve_Q9Y2G5_POFUT2.pdf</t>
  </si>
  <si>
    <t>Melting_Curves/meltCurve_Q9Y2H0_3_DLGAP4.pdf</t>
  </si>
  <si>
    <t>Melting_Curves/meltCurve_Q9Y2H1_STK38L.pdf</t>
  </si>
  <si>
    <t>Melting_Curves/meltCurve_Q9Y2H2_3_INPP5F.pdf</t>
  </si>
  <si>
    <t>Melting_Curves/meltCurve_Q9Y2H6_2_FNDC3A.pdf</t>
  </si>
  <si>
    <t>Melting_Curves/meltCurve_Q9Y2I1_NISCH.pdf</t>
  </si>
  <si>
    <t>Melting_Curves/meltCurve_Q9Y2I7_PIKFYVE.pdf</t>
  </si>
  <si>
    <t>Melting_Curves/meltCurve_Q9Y2I8_WDR37.pdf</t>
  </si>
  <si>
    <t>Melting_Curves/meltCurve_Q9Y2K1_ZBTB1.pdf</t>
  </si>
  <si>
    <t>Melting_Curves/meltCurve_Q9Y2K6_USP20.pdf</t>
  </si>
  <si>
    <t>Melting_Curves/meltCurve_Q9Y2K7_KDM2A.pdf</t>
  </si>
  <si>
    <t>Melting_Curves/meltCurve_Q9Y2L1_DIS3.pdf</t>
  </si>
  <si>
    <t>Melting_Curves/meltCurve_Q9Y2L9_2_LRCH1.pdf</t>
  </si>
  <si>
    <t>Melting_Curves/meltCurve_Q9Y2P8_RCL1.pdf</t>
  </si>
  <si>
    <t>Melting_Curves/meltCurve_Q9Y2Q0_3_ATP8A1.pdf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</si>
  <si>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</si>
  <si>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</si>
  <si>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</si>
  <si>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</si>
  <si>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Melting_Curves/meltCurve_Q9Y2R4_DDX52.pdf</t>
  </si>
  <si>
    <t>Melting_Curves/meltCurve_Q9Y2S0_POLR1D.pdf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</si>
  <si>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</si>
  <si>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</si>
  <si>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</si>
  <si>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</si>
  <si>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Melting_Curves/meltCurve_Q9Y2T7_YBX2.pdf</t>
  </si>
  <si>
    <t>Melting_Curves/meltCurve_Q9Y2U5_MAP3K2.pdf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</si>
  <si>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</si>
  <si>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</si>
  <si>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</si>
  <si>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</si>
  <si>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Melting_Curves/meltCurve_Q9Y2X0_2_MED16.pdf</t>
  </si>
  <si>
    <t>Melting_Curves/meltCurve_Q9Y2X3_NOP58.pdf</t>
  </si>
  <si>
    <t>Melting_Curves/meltCurve_Q9Y2X7_GIT1.pdf</t>
  </si>
  <si>
    <t>Melting_Curves/meltCurve_Q9Y2Y1_POLR3K.pdf</t>
  </si>
  <si>
    <t>Melting_Curves/meltCurve_Q9Y2Y9_KLF13.pdf</t>
  </si>
  <si>
    <t>Melting_Curves/meltCurve_Q9Y2Z0_SUGT1.pdf</t>
  </si>
  <si>
    <t>Melting_Curves/meltCurve_Q9Y2Z0_2_SUGT1.pdf</t>
  </si>
  <si>
    <t>Melting_Curves/meltCurve_Q9Y2Z4_YARS2.pdf</t>
  </si>
  <si>
    <t>Melting_Curves/meltCurve_Q9Y2Z9_3_COQ6.pdf</t>
  </si>
  <si>
    <t>Melting_Curves/meltCurve_Q9Y303_AMDHD2.pdf</t>
  </si>
  <si>
    <t>Melting_Curves/meltCurve_Q9Y314_NOSIP.pdf</t>
  </si>
  <si>
    <t>Melting_Curves/meltCurve_Q9Y315_DERA.pdf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</si>
  <si>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</si>
  <si>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</si>
  <si>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</si>
  <si>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</si>
  <si>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</si>
  <si>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</si>
  <si>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</si>
  <si>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</si>
  <si>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Melting_Curves/meltCurve_Q9Y388_RBMX2.pdf</t>
  </si>
  <si>
    <t>Melting_Curves/meltCurve_Q9Y394_2_DHRS7.pdf</t>
  </si>
  <si>
    <t>Melting_Curves/meltCurve_Q9Y399_MRPS2.pdf</t>
  </si>
  <si>
    <t>Melting_Curves/meltCurve_Q9Y3A3_3_MOB4.pdf</t>
  </si>
  <si>
    <t>Melting_Curves/meltCurve_Q9Y3A4_RRP7A.pdf</t>
  </si>
  <si>
    <t>Melting_Curves/meltCurve_Q9Y3A5_SBDS.pdf</t>
  </si>
  <si>
    <t>Melting_Curves/meltCurve_Q9Y3A6_TMED5.pdf</t>
  </si>
  <si>
    <t>Melting_Curves/meltCurve_Q9Y3B3_TMED7.pdf</t>
  </si>
  <si>
    <t>Melting_Curves/meltCurve_Q9Y3B4_SF3B14.pdf</t>
  </si>
  <si>
    <t>Melting_Curves/meltCurve_Q9Y3B7_2_MRPL11.pdf</t>
  </si>
  <si>
    <t>Melting_Curves/meltCurve_Q9Y3B9_RRP15.pdf</t>
  </si>
  <si>
    <t>Melting_Curves/meltCurve_Q9Y3C1_NOP16.pdf</t>
  </si>
  <si>
    <t>Melting_Curves/meltCurve_Q9Y3C4_2_TPRKB.pdf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</si>
  <si>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</si>
  <si>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</si>
  <si>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</si>
  <si>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</si>
  <si>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</si>
  <si>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Melting_Curves/meltCurve_Q9Y3D5_MRPS18C.pdf</t>
  </si>
  <si>
    <t>Melting_Curves/meltCurve_Q9Y3D6_FIS1.pdf</t>
  </si>
  <si>
    <t>Melting_Curves/meltCurve_Q9Y3D8_TAF9.pdf</t>
  </si>
  <si>
    <t>Melting_Curves/meltCurve_Q9Y3D9_MRPS23.pdf</t>
  </si>
  <si>
    <t>Melting_Curves/meltCurve_Q9Y3E1_HDGFRP3.pdf</t>
  </si>
  <si>
    <t>Melting_Curves/meltCurve_Q9Y3E2_BOLA1.pdf</t>
  </si>
  <si>
    <t>Melting_Curves/meltCurve_Q9Y3E7_4_CHMP3.pdf</t>
  </si>
  <si>
    <t>Melting_Curves/meltCurve_Q9Y3F4_STRAP.pdf</t>
  </si>
  <si>
    <t>Melting_Curves/meltCurve_Q9Y3I0_C22orf28.pdf</t>
  </si>
  <si>
    <t>Melting_Curves/meltCurve_Q9Y3I1_3_FBXO7.pdf</t>
  </si>
  <si>
    <t>Melting_Curves/meltCurve_Q9Y3L3_SH3BP1.pdf</t>
  </si>
  <si>
    <t>Melting_Curves/meltCurve_Q9Y3L5_RAP2C.pdf</t>
  </si>
  <si>
    <t>Melting_Curves/meltCurve_Q9Y3P8_SIT1.pdf</t>
  </si>
  <si>
    <t>Melting_Curves/meltCurve_Q9Y3P9_RABGAP1.pdf</t>
  </si>
  <si>
    <t>Melting_Curves/meltCurve_Q9Y3Q3_TMED3.pdf</t>
  </si>
  <si>
    <t>Melting_Curves/meltCurve_Q9Y3Q8_TSC22D4.pdf</t>
  </si>
  <si>
    <t>Melting_Curves/meltCurve_Q9Y3S2_ZNF330.pdf</t>
  </si>
  <si>
    <t>Melting_Curves/meltCurve_Q9Y3T9_NOC2L.pdf</t>
  </si>
  <si>
    <t>Melting_Curves/meltCurve_Q9Y3U8_RPL36.pdf</t>
  </si>
  <si>
    <t>Melting_Curves/meltCurve_Q9Y3V2_2_RWDD3.pdf</t>
  </si>
  <si>
    <t>Melting_Curves/meltCurve_Q9Y3X0_CCDC9.pdf</t>
  </si>
  <si>
    <t>Melting_Curves/meltCurve_Q9Y3Y2_4_CHTOP.pdf</t>
  </si>
  <si>
    <t>Melting_Curves/meltCurve_Q9Y421_FAM32A.pdf</t>
  </si>
  <si>
    <t>Melting_Curves/meltCurve_Q9Y448_KNSTRN.pdf</t>
  </si>
  <si>
    <t>Melting_Curves/meltCurve_Q9Y450_HBS1L.pdf</t>
  </si>
  <si>
    <t>Melting_Curves/meltCurve_Q9Y450_2_HBS1L.pdf</t>
  </si>
  <si>
    <t>Melting_Curves/meltCurve_Q9Y478_PRKAB1.pdf</t>
  </si>
  <si>
    <t>Melting_Curves/meltCurve_Q9Y487_ATP6V0A2.pdf</t>
  </si>
  <si>
    <t>Melting_Curves/meltCurve_Q9Y490_TLN1.pdf</t>
  </si>
  <si>
    <t>Melting_Curves/meltCurve_Q9Y4B4_RAD54L2.pdf</t>
  </si>
  <si>
    <t>Melting_Curves/meltCurve_Q9Y4B6_2_VPRBP.pdf</t>
  </si>
  <si>
    <t>Melting_Curves/meltCurve_Q9Y4C1_KDM3A.pdf</t>
  </si>
  <si>
    <t>Melting_Curves/meltCurve_Q9Y4C2_2_FAM115A.pdf</t>
  </si>
  <si>
    <t>Melting_Curves/meltCurve_Q9Y4C8_RBM19.pdf</t>
  </si>
  <si>
    <t>Melting_Curves/meltCurve_Q9Y4D1_2_DAAM1.pdf</t>
  </si>
  <si>
    <t>Melting_Curves/meltCurve_Q9Y4D7_2_PLXND1.pdf</t>
  </si>
  <si>
    <t>Melting_Curves/meltCurve_Q9Y4E1_2_FAM21C.pdf</t>
  </si>
  <si>
    <t>Melting_Curves/meltCurve_Q9Y4E6_2_WDR7.pdf</t>
  </si>
  <si>
    <t>Melting_Curves/meltCurve_Q9Y4G6_TLN2.pdf</t>
  </si>
  <si>
    <t>Melting_Curves/meltCurve_Q9Y4K1_AIM1.pdf</t>
  </si>
  <si>
    <t>Melting_Curves/meltCurve_Q9Y4K3_TRAF6.pdf</t>
  </si>
  <si>
    <t>Melting_Curves/meltCurve_Q9Y4K4_MAP4K5.pdf</t>
  </si>
  <si>
    <t>Melting_Curves/meltCurve_Q9Y4L1_HYOU1.pdf</t>
  </si>
  <si>
    <t>Melting_Curves/meltCurve_Q9Y4P1_6_ATG4B.pdf</t>
  </si>
  <si>
    <t>Melting_Curves/meltCurve_Q9Y4P8_3_WIPI2.pdf</t>
  </si>
  <si>
    <t>Melting_Curves/meltCurve_Q9Y4R8_TELO2.pdf</t>
  </si>
  <si>
    <t>Melting_Curves/meltCurve_Q9Y4W6_AFG3L2.pdf</t>
  </si>
  <si>
    <t>Melting_Curves/meltCurve_Q9Y4X4_KLF12.pdf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</si>
  <si>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</si>
  <si>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</si>
  <si>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</si>
  <si>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</si>
  <si>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Melting_Curves/meltCurve_Q9Y520_5_PRRC2C.pdf</t>
  </si>
  <si>
    <t>Melting_Curves/meltCurve_Q9Y547_HSPB11.pdf</t>
  </si>
  <si>
    <t>Melting_Curves/meltCurve_Q9Y570_PPME1.pdf</t>
  </si>
  <si>
    <t>Melting_Curves/meltCurve_Q9Y584_TIMM22.pdf</t>
  </si>
  <si>
    <t>Melting_Curves/meltCurve_Q9Y5A9_YTHDF2.pdf</t>
  </si>
  <si>
    <t>Melting_Curves/meltCurve_Q9Y5B0_CTDP1.pdf</t>
  </si>
  <si>
    <t>Melting_Curves/meltCurve_Q9Y5B6_PAXBP1.pdf</t>
  </si>
  <si>
    <t>Melting_Curves/meltCurve_Q9Y5B8_NME7.pdf</t>
  </si>
  <si>
    <t>Melting_Curves/meltCurve_Q9Y5B9_SUPT16H.pdf</t>
  </si>
  <si>
    <t>Melting_Curves/meltCurve_Q9Y5J1_UTP18.pdf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</si>
  <si>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</si>
  <si>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</si>
  <si>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</si>
  <si>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</si>
  <si>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</si>
  <si>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Melting_Curves/meltCurve_Q9Y5L4_TIMM13.pdf</t>
  </si>
  <si>
    <t>Melting_Curves/meltCurve_Q9Y5M8_SRPRB.pdf</t>
  </si>
  <si>
    <t>Melting_Curves/meltCurve_Q9Y5N5_N6AMT1.pdf</t>
  </si>
  <si>
    <t>Melting_Curves/meltCurve_Q9Y5N6_ORC6.pdf</t>
  </si>
  <si>
    <t>Melting_Curves/meltCurve_Q9Y5P4_2_COL4A3BP.pdf</t>
  </si>
  <si>
    <t>Melting_Curves/meltCurve_Q9Y5P6_GMPPB.pdf</t>
  </si>
  <si>
    <t>Melting_Curves/meltCurve_Q9Y5Q9_GTF3C3.pdf</t>
  </si>
  <si>
    <t>Melting_Curves/meltCurve_Q9Y5R8_TRAPPC1.pdf</t>
  </si>
  <si>
    <t>Melting_Curves/meltCurve_Q9Y5S1_TRPV2.pdf</t>
  </si>
  <si>
    <t>Melting_Curves/meltCurve_Q9Y5S9_RBM8A.pdf</t>
  </si>
  <si>
    <t>Melting_Curves/meltCurve_Q9Y5T4_DNAJC15.pdf</t>
  </si>
  <si>
    <t>Melting_Curves/meltCurve_Q9Y5T5_2_USP16.pdf</t>
  </si>
  <si>
    <t>Melting_Curves/meltCurve_Q9Y5U2_2_TSSC4.pdf</t>
  </si>
  <si>
    <t>Melting_Curves/meltCurve_Q9Y5U9_IER3IP1.pdf</t>
  </si>
  <si>
    <t>Melting_Curves/meltCurve_Q9Y5V0_ZNF706.pdf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</si>
  <si>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</si>
  <si>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</si>
  <si>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</si>
  <si>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</si>
  <si>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</si>
  <si>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</si>
  <si>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</si>
  <si>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Melting_Curves/meltCurve_Q9Y5Z7_HCFC2.pdf</t>
  </si>
  <si>
    <t>Melting_Curves/meltCurve_Q9Y5Z9_2_UBIAD1.pdf</t>
  </si>
  <si>
    <t>Melting_Curves/meltCurve_Q9Y605_MRFAP1.pdf</t>
  </si>
  <si>
    <t>Melting_Curves/meltCurve_Q9Y608_4_LRRFIP2.pdf</t>
  </si>
  <si>
    <t>Melting_Curves/meltCurve_Q9Y617_PSAT1.pdf</t>
  </si>
  <si>
    <t>Melting_Curves/meltCurve_Q9Y619_SLC25A15.pdf</t>
  </si>
  <si>
    <t>Melting_Curves/meltCurve_Q9Y639_1_NPTN.pdf</t>
  </si>
  <si>
    <t>Melting_Curves/meltCurve_Q9Y657_SPIN1.pdf</t>
  </si>
  <si>
    <t>Melting_Curves/meltCurve_Q9Y664_KPTN.pdf</t>
  </si>
  <si>
    <t>Melting_Curves/meltCurve_Q9Y666_SLC12A7.pdf</t>
  </si>
  <si>
    <t>Melting_Curves/meltCurve_Q9Y673_ALG5.pdf</t>
  </si>
  <si>
    <t>Melting_Curves/meltCurve_Q9Y676_MRPS18B.pdf</t>
  </si>
  <si>
    <t>Melting_Curves/meltCurve_Q9Y678_COPG1.pdf</t>
  </si>
  <si>
    <t>Melting_Curves/meltCurve_Q9Y679_2_AUP1.pdf</t>
  </si>
  <si>
    <t>Melting_Curves/meltCurve_Q9Y680_2_FKBP7.pdf</t>
  </si>
  <si>
    <t>Melting_Curves/meltCurve_Q9Y689_2_ARL5A.pdf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</si>
  <si>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</si>
  <si>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</si>
  <si>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</si>
  <si>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</si>
  <si>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</si>
  <si>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</si>
  <si>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Melting_Curves/meltCurve_Q9Y6B7_AP4B1.pdf</t>
  </si>
  <si>
    <t>Melting_Curves/meltCurve_Q9Y6C9_MTCH2.pdf</t>
  </si>
  <si>
    <t>Melting_Curves/meltCurve_Q9Y6D6_ARFGEF1.pdf</t>
  </si>
  <si>
    <t>Melting_Curves/meltCurve_Q9Y6D9_MAD1L1.pdf</t>
  </si>
  <si>
    <t>Melting_Curves/meltCurve_Q9Y6E0_2_STK24.pdf</t>
  </si>
  <si>
    <t>Melting_Curves/meltCurve_Q9Y6G9_DYNC1LI1.pdf</t>
  </si>
  <si>
    <t>Melting_Curves/meltCurve_Q9Y6H1_CHCHD2.pdf</t>
  </si>
  <si>
    <t>Melting_Curves/meltCurve_Q9Y6H3_XRCC6BP1.pdf</t>
  </si>
  <si>
    <t>Melting_Curves/meltCurve_Q9Y6I3_EPN1.pdf</t>
  </si>
  <si>
    <t>Melting_Curves/meltCurve_Q9Y6I9_TEX264.pdf</t>
  </si>
  <si>
    <t>Melting_Curves/meltCurve_Q9Y6K1_DNMT3A.pdf</t>
  </si>
  <si>
    <t>Melting_Curves/meltCurve_Q9Y6K5_OAS3.pdf</t>
  </si>
  <si>
    <t>Melting_Curves/meltCurve_Q9Y6K9_IKBKG.pdf</t>
  </si>
  <si>
    <t>Melting_Curves/meltCurve_Q9Y6M4_CSNK1G3.pdf</t>
  </si>
  <si>
    <t>Melting_Curves/meltCurve_Q9Y6M5_SLC30A1.pdf</t>
  </si>
  <si>
    <t>Melting_Curves/meltCurve_Q9Y6M9_NDUFB9.pdf</t>
  </si>
  <si>
    <t>Melting_Curves/meltCurve_Q9Y6N1_COX11.pdf</t>
  </si>
  <si>
    <t>Melting_Curves/meltCurve_Q9Y6N5_SQRDL.pdf</t>
  </si>
  <si>
    <t>Melting_Curves/meltCurve_Q9Y6N9_3_USH1C.pdf</t>
  </si>
  <si>
    <t>Melting_Curves/meltCurve_Q9Y6P5_2_SESN1.pdf</t>
  </si>
  <si>
    <t>Melting_Curves/meltCurve_Q9Y6Q9_5_NCOA3.pdf</t>
  </si>
  <si>
    <t>Melting_Curves/meltCurve_Q9Y6V7_DDX49.pdf</t>
  </si>
  <si>
    <t>Melting_Curves/meltCurve_Q9Y6W3_CAPN7.pdf</t>
  </si>
  <si>
    <t>Melting_Curves/meltCurve_Q9Y6W5_WASF2.pdf</t>
  </si>
  <si>
    <t>Melting_Curves/meltCurve_Q9Y6X4_FAM169A.pdf</t>
  </si>
  <si>
    <t>Melting_Curves/meltCurve_Q9Y6X5_ENPP4.pdf</t>
  </si>
  <si>
    <t>Melting_Curves/meltCurve_Q9Y6X8_ZHX2.pdf</t>
  </si>
  <si>
    <t>Melting_Curves/meltCurve_Q9Y6X9_MORC2.pdf</t>
  </si>
  <si>
    <t>Melting_Curves/meltCurve_Q9Y6Y0_IVNS1ABP.pdf</t>
  </si>
  <si>
    <t>Melting_Curves/meltCurve_R4GMR5_PSMD8.pdf</t>
  </si>
  <si>
    <t>Melting_Curves/meltCurve_R4GMU1_H6PD.pdf</t>
  </si>
  <si>
    <t>Melting_Curves/meltCurve_R4GMX3_BMI1.pdf</t>
  </si>
  <si>
    <t>Melting_Curves/meltCurve_R4GMX8_RANBP10.pdf</t>
  </si>
  <si>
    <t>Melting_Curves/meltCurve_R4GN55_YTHDF3.pdf</t>
  </si>
  <si>
    <t>Melting_Curves/meltCurve_R4GNB2_DENND4C.pdf</t>
  </si>
  <si>
    <t>Melting_Curves/meltCurve_R4GNH3_PSMC3.pdf</t>
  </si>
  <si>
    <t>Melting_Curves/meltCurve_R4GNJ4_TMEM219.pdf</t>
  </si>
  <si>
    <t>Yes</t>
  </si>
  <si>
    <t>No</t>
  </si>
  <si>
    <t>Ubiquitin-like modifier-activating enzyme 6</t>
  </si>
  <si>
    <t>UHRF1-binding protein 1-like</t>
  </si>
  <si>
    <t>Isoform 4 of Shootin-1</t>
  </si>
  <si>
    <t>Transmembrane protein 223</t>
  </si>
  <si>
    <t>Acetolactate synthase-like protein</t>
  </si>
  <si>
    <t>Uncharacterized protein C17orf89</t>
  </si>
  <si>
    <t>NUFIP2 protein</t>
  </si>
  <si>
    <t>SH3 and PX domain-containing protein 2B</t>
  </si>
  <si>
    <t>Aconitate hydratase, mitochondrial</t>
  </si>
  <si>
    <t>Dolichyl pyrophosphate Man9GlcNAc2 alpha-1,3-glucosyltransferase</t>
  </si>
  <si>
    <t>Major prion protein (Fragment)</t>
  </si>
  <si>
    <t>Putative PIP5K1A and PSMD4-like protein</t>
  </si>
  <si>
    <t>Negative elongation factor E (Fragment)</t>
  </si>
  <si>
    <t>Neuroblastoma-amplified sequence</t>
  </si>
  <si>
    <t>Uncharacterized protein KIAA1467</t>
  </si>
  <si>
    <t>Isoform 2 of Fucose mutarotase</t>
  </si>
  <si>
    <t>Isoform 3 of von Willebrand factor A domain-containing protein 8</t>
  </si>
  <si>
    <t>Isoform 3 of Protein strawberry notch homolog 1</t>
  </si>
  <si>
    <t>Isoform 2 of Protein FAM221A</t>
  </si>
  <si>
    <t>GTP-binding protein 10</t>
  </si>
  <si>
    <t>Protein LCHN</t>
  </si>
  <si>
    <t>Ependymin related protein 1 (Zebrafish), isoform CRA_b</t>
  </si>
  <si>
    <t>Metallo-beta-lactamase domain-containing protein 1</t>
  </si>
  <si>
    <t>Transmembrane protein 189</t>
  </si>
  <si>
    <t>Isoform 5 of Trafficking protein particle complex subunit 13</t>
  </si>
  <si>
    <t>CCR4-NOT transcription complex subunit 1</t>
  </si>
  <si>
    <t>Coiled-coil domain-containing protein 88B</t>
  </si>
  <si>
    <t>Phosphoglycolate phosphatase</t>
  </si>
  <si>
    <t>RCC1 domain-containing protein 1</t>
  </si>
  <si>
    <t>HCF N-terminal chain 5</t>
  </si>
  <si>
    <t>GPI-anchor transamidase</t>
  </si>
  <si>
    <t>Zinc finger protein 281</t>
  </si>
  <si>
    <t>Zinc finger protein 316</t>
  </si>
  <si>
    <t>ADP-sugar pyrophosphatase</t>
  </si>
  <si>
    <t>Charged multivesicular body protein 1a</t>
  </si>
  <si>
    <t>Proline-rich protein PRCC</t>
  </si>
  <si>
    <t>Hematological and neurological-expressed 1-like protein</t>
  </si>
  <si>
    <t>Zinc finger MYM-type protein 3</t>
  </si>
  <si>
    <t>Isoform 2 of Tubulin alpha chain-like 3</t>
  </si>
  <si>
    <t>rRNA/tRNA 2-O-methyltransferase fibrillarin-like protein 1</t>
  </si>
  <si>
    <t>Structural maintenance of chromosomes flexible hinge domain-containing protein 1</t>
  </si>
  <si>
    <t>GATS-like protein 2</t>
  </si>
  <si>
    <t>Protein unc-119 homolog B</t>
  </si>
  <si>
    <t>Dedicator of cytokinesis protein 11</t>
  </si>
  <si>
    <t>Nuclear distribution protein nudE-like 1</t>
  </si>
  <si>
    <t>Probable methyltransferase-like protein 15</t>
  </si>
  <si>
    <t>Putative lipoyltransferase 2, mitochondrial</t>
  </si>
  <si>
    <t>Coiled-coil domain-containing protein 85C</t>
  </si>
  <si>
    <t>Putative Golgi pH regulator C</t>
  </si>
  <si>
    <t>Protein cornichon homolog 4</t>
  </si>
  <si>
    <t>Septin-8</t>
  </si>
  <si>
    <t>Diaphanous homolog 2 (Drosophila), isoform CRA_c</t>
  </si>
  <si>
    <t>Phosphorylase b kinase regulatory subunit alpha, skeletal muscle isoform</t>
  </si>
  <si>
    <t>DNA polymerase</t>
  </si>
  <si>
    <t>Annexin</t>
  </si>
  <si>
    <t>Serine/threonine-protein phosphatase 2A activator</t>
  </si>
  <si>
    <t>Ankyrin repeat and BTB/POZ domain-containing protein BTBD11</t>
  </si>
  <si>
    <t>Protein archease</t>
  </si>
  <si>
    <t>Selenoprotein K</t>
  </si>
  <si>
    <t>Zinc finger protein 276</t>
  </si>
  <si>
    <t>UPF0249 protein ydjC homolog</t>
  </si>
  <si>
    <t>Afadin</t>
  </si>
  <si>
    <t>Zinc finger protein 850</t>
  </si>
  <si>
    <t>Small nuclear ribonucleoprotein-associated proteins B and B</t>
  </si>
  <si>
    <t>Armadillo repeat-containing protein 8</t>
  </si>
  <si>
    <t>Down syndrome critical region protein 3</t>
  </si>
  <si>
    <t>S100P-binding protein</t>
  </si>
  <si>
    <t>SMT3 suppressor of mif two 3 homolog 3 (Yeast), isoform CRA_d</t>
  </si>
  <si>
    <t>Tubulin alpha-4A chain</t>
  </si>
  <si>
    <t>Protein TSSC1</t>
  </si>
  <si>
    <t>Activating transcription factor 7-interacting protein 1 (Fragment)</t>
  </si>
  <si>
    <t>Protein FAM171A2</t>
  </si>
  <si>
    <t>BICD1 protein</t>
  </si>
  <si>
    <t>Pleiotropic regulator 1</t>
  </si>
  <si>
    <t>Matrin-3</t>
  </si>
  <si>
    <t>Alcohol dehydrogenase 1B</t>
  </si>
  <si>
    <t>Leukocyte-associated immunoglobulin-like receptor 1</t>
  </si>
  <si>
    <t>MIF4G domain-containing protein</t>
  </si>
  <si>
    <t>Serine/arginine repetitive matrix protein 1</t>
  </si>
  <si>
    <t>Uncharacterized protein KIAA0930</t>
  </si>
  <si>
    <t>6-phosphofructo-2-kinase/fructose-2, 6-bisphosphatase 2 transcript variant 3</t>
  </si>
  <si>
    <t>Unconventional myosin-Ig</t>
  </si>
  <si>
    <t>Eukaryotic translation initiation factor 3 subunit L</t>
  </si>
  <si>
    <t>Mitochondrial dynamic protein MID51</t>
  </si>
  <si>
    <t>TBC1 domain family member 22A</t>
  </si>
  <si>
    <t>RNA-binding protein EWS</t>
  </si>
  <si>
    <t>HLA-B associated transcript 3, isoform CRA_a</t>
  </si>
  <si>
    <t>Abhydrolase domain-containing protein 16A</t>
  </si>
  <si>
    <t>Histone-lysine N-methyltransferase EHMT2</t>
  </si>
  <si>
    <t>Valine--tRNA ligase</t>
  </si>
  <si>
    <t>Apolipoprotein C-III</t>
  </si>
  <si>
    <t>NHP2-like protein 1</t>
  </si>
  <si>
    <t>Centromere protein M</t>
  </si>
  <si>
    <t>TRAF3-interacting JNK-activating modulator</t>
  </si>
  <si>
    <t>26S proteasome non-ATPase regulatory subunit 10</t>
  </si>
  <si>
    <t>3-hydroxymethyl-3-methylglutaryl-Coenzyme A lyase (Hydroxymethylglutaricaciduria), isoform CRA_b</t>
  </si>
  <si>
    <t>Mitotic spindle assembly checkpoint protein MAD2B</t>
  </si>
  <si>
    <t>Ephrin type-B receptor 2</t>
  </si>
  <si>
    <t>Nardilysin</t>
  </si>
  <si>
    <t>Oxysterol-binding protein</t>
  </si>
  <si>
    <t>Eukaryotic translation initiation factor 4E transporter</t>
  </si>
  <si>
    <t>Nuclear factor 1 A-type</t>
  </si>
  <si>
    <t>Dynein light chain roadblock-type 1</t>
  </si>
  <si>
    <t>Astrocytic phosphoprotein PEA-15</t>
  </si>
  <si>
    <t>Hsp90 co-chaperone Cdc37-like 1</t>
  </si>
  <si>
    <t>Rho guanine nucleotide exchange factor 7</t>
  </si>
  <si>
    <t>Transmembrane protein 9</t>
  </si>
  <si>
    <t>Ubiquitin-conjugating enzyme E2 J2 (Fragment)</t>
  </si>
  <si>
    <t>Septin 6, isoform CRA_b</t>
  </si>
  <si>
    <t>Exosome complex component CSL4 (Fragment)</t>
  </si>
  <si>
    <t>CD58 antigen, (Lymphocyte function-associated antigen 3), isoform CRA_c</t>
  </si>
  <si>
    <t>Eukaryotic translation initiation factor 4 gamma 3</t>
  </si>
  <si>
    <t>Trypsin-3 (Fragment)</t>
  </si>
  <si>
    <t>Guanylate kinase (Fragment)</t>
  </si>
  <si>
    <t>Upstream stimulatory factor 1</t>
  </si>
  <si>
    <t>Antigen peptide transporter 1</t>
  </si>
  <si>
    <t>Bifunctional arginine demethylase and lysyl-hydroxylase JMJD6</t>
  </si>
  <si>
    <t>DOCK10.2</t>
  </si>
  <si>
    <t>Polyhomeotic-like protein 2</t>
  </si>
  <si>
    <t>DNA excision repair protein ERCC-1</t>
  </si>
  <si>
    <t>Eukaryotic translation initiation factor 3 subunit H</t>
  </si>
  <si>
    <t>Eukaryotic translation initiation factor 3 subunit F</t>
  </si>
  <si>
    <t>Leucine zipper transcription factor-like 1, isoform CRA_b</t>
  </si>
  <si>
    <t>Superoxide dismutase</t>
  </si>
  <si>
    <t>PHD finger protein 23</t>
  </si>
  <si>
    <t>AP-1 complex subunit gamma-1</t>
  </si>
  <si>
    <t>Retinoic acid receptor RXR-alpha</t>
  </si>
  <si>
    <t>CDP-diacylglycerol--inositol 3-phosphatidyltransferase</t>
  </si>
  <si>
    <t>Calponin-2</t>
  </si>
  <si>
    <t>Histidyl-tRNA synthetase-like, isoform CRA_a</t>
  </si>
  <si>
    <t>Receptor expression-enhancing protein 2</t>
  </si>
  <si>
    <t>Tetraspanin-7</t>
  </si>
  <si>
    <t>ERI1 exoribonuclease 3</t>
  </si>
  <si>
    <t>NADH dehydrogenase [ubiquinone] 1 alpha subcomplex subunit 13</t>
  </si>
  <si>
    <t>Protein misato homolog 1</t>
  </si>
  <si>
    <t>HAUS augmin-like complex subunit 3</t>
  </si>
  <si>
    <t>Checkpoint protein HUS1</t>
  </si>
  <si>
    <t>Catenin beta-1</t>
  </si>
  <si>
    <t>Phosphatidylinositol 5-phosphate 4-kinase type-2 alpha</t>
  </si>
  <si>
    <t>DCN1-like protein 4</t>
  </si>
  <si>
    <t>MAP1S light chain</t>
  </si>
  <si>
    <t>F-box/WD repeat-containing protein 11</t>
  </si>
  <si>
    <t>BCL2/adenovirus E1B 19 kDa protein-interacting protein 3</t>
  </si>
  <si>
    <t>Leucine-rich repeat-containing protein 28</t>
  </si>
  <si>
    <t>Acyl-CoA synthetase family member 2, mitochondrial</t>
  </si>
  <si>
    <t>Phosphatidylinositol 4-phosphate 5-kinase type-1 beta</t>
  </si>
  <si>
    <t>Ras-related protein Rab-5A</t>
  </si>
  <si>
    <t>HESB like domain containing 2, isoform CRA_b</t>
  </si>
  <si>
    <t>Protein kinase C eta type</t>
  </si>
  <si>
    <t>Small nuclear ribonucleoprotein Sm D3</t>
  </si>
  <si>
    <t>Citrate synthase</t>
  </si>
  <si>
    <t>Zinc finger protein 286A</t>
  </si>
  <si>
    <t>Protein SHQ1 homolog</t>
  </si>
  <si>
    <t>Protein CHURC1-FNTB</t>
  </si>
  <si>
    <t>Mitochondrial dicarboxylate carrier</t>
  </si>
  <si>
    <t>Ribosomal protein S6 kinase beta-1</t>
  </si>
  <si>
    <t>CDP-diacylglycerol--glycerol-3-phosphate 3-phosphatidyltransferase, mitochondrial</t>
  </si>
  <si>
    <t>E3 ubiquitin-protein ligase RNF220</t>
  </si>
  <si>
    <t>39S ribosomal protein L48, mitochondrial</t>
  </si>
  <si>
    <t>Iron-sulfur cluster assembly enzyme ISCU, mitochondrial</t>
  </si>
  <si>
    <t>Aminoacylase-1</t>
  </si>
  <si>
    <t>Prostaglandin E synthase 3</t>
  </si>
  <si>
    <t>TOX high mobility group box family member 4</t>
  </si>
  <si>
    <t>Transformer-2 protein homolog alpha</t>
  </si>
  <si>
    <t>6-phosphogluconate dehydrogenase, decarboxylating</t>
  </si>
  <si>
    <t>E3 ubiquitin-protein ligase MGRN1</t>
  </si>
  <si>
    <t>Protein transport protein Sec61 subunit alpha isoform 1</t>
  </si>
  <si>
    <t>Rab proteins geranylgeranyltransferase component A 1</t>
  </si>
  <si>
    <t>Thioredoxin domain-containing protein 15</t>
  </si>
  <si>
    <t>UPF0586 protein C9orf41</t>
  </si>
  <si>
    <t>Polypyrimidine tract-binding protein 2</t>
  </si>
  <si>
    <t>Sodium/hydrogen exchanger</t>
  </si>
  <si>
    <t>Serine incorporator 3</t>
  </si>
  <si>
    <t>Eukaryotic translation initiation factor 3 subunit D</t>
  </si>
  <si>
    <t>Zinc finger protein Helios</t>
  </si>
  <si>
    <t>2-hydroxyacyl-CoA lyase 1</t>
  </si>
  <si>
    <t>Fragile X mental retardation syndrome-related protein 1</t>
  </si>
  <si>
    <t>Nucleoporin NUP53</t>
  </si>
  <si>
    <t>Histone deacetylase 6</t>
  </si>
  <si>
    <t>Transmembrane protein 134</t>
  </si>
  <si>
    <t>Peroxisomal targeting signal 1 receptor</t>
  </si>
  <si>
    <t>Leucine-rich repeat and calponin homology domain-containing protein 3</t>
  </si>
  <si>
    <t>Serine/threonine-protein kinase MST4</t>
  </si>
  <si>
    <t>ER degradation-enhancing alpha-mannosidase-like protein 2</t>
  </si>
  <si>
    <t>Derlin-1</t>
  </si>
  <si>
    <t>Serine/threonine-protein kinase RIO3</t>
  </si>
  <si>
    <t>Serine/arginine-rich-splicing factor 3</t>
  </si>
  <si>
    <t>Secreted glypican-4</t>
  </si>
  <si>
    <t>Lysosome-associated membrane glycoprotein 2</t>
  </si>
  <si>
    <t>Erythrocyte band 7 integral membrane protein</t>
  </si>
  <si>
    <t>Methyltransferase-like protein 13</t>
  </si>
  <si>
    <t>Adenosine deaminase CECR1</t>
  </si>
  <si>
    <t>Uncharacterized protein C6orf1</t>
  </si>
  <si>
    <t>Synaptogyrin-1</t>
  </si>
  <si>
    <t>Pescadillo homolog</t>
  </si>
  <si>
    <t>Nuclear receptor coactivator 1</t>
  </si>
  <si>
    <t>Protein phosphatase 1F</t>
  </si>
  <si>
    <t>Syntaxin-binding protein 4</t>
  </si>
  <si>
    <t>Protein NLRC3</t>
  </si>
  <si>
    <t>Protein RFT1 homolog</t>
  </si>
  <si>
    <t>UPF0554 protein C2orf43</t>
  </si>
  <si>
    <t>Transcription factor 7</t>
  </si>
  <si>
    <t>Pre-mRNA-splicing factor CWC22 homolog</t>
  </si>
  <si>
    <t>Echinoderm microtubule associated protein like 3, isoform CRA_e</t>
  </si>
  <si>
    <t>Synembryn-B</t>
  </si>
  <si>
    <t>V-type proton ATPase catalytic subunit A</t>
  </si>
  <si>
    <t>Protein disulfide-isomerase A6</t>
  </si>
  <si>
    <t>Myotubularin-related protein 9</t>
  </si>
  <si>
    <t>Major facilitator superfamily domain-containing protein 8</t>
  </si>
  <si>
    <t>Thioredoxin reductase 1, cytoplasmic</t>
  </si>
  <si>
    <t>Delta-aminolevulinic acid dehydratase</t>
  </si>
  <si>
    <t>Transmembrane protein 128</t>
  </si>
  <si>
    <t>Tubulin-specific chaperone E</t>
  </si>
  <si>
    <t>Deoxyribonuclease-2-alpha</t>
  </si>
  <si>
    <t>ETS domain-containing transcription factor ERF</t>
  </si>
  <si>
    <t>P2X purinoceptor</t>
  </si>
  <si>
    <t>Inositol polyphosphate 5-phosphatase K</t>
  </si>
  <si>
    <t>Cysteine conjugate-beta lyase cytoplasmic (Glutamine transaminase K, kyneurenine aminotransferase), isoform CRA_b</t>
  </si>
  <si>
    <t>Stathmin</t>
  </si>
  <si>
    <t>Junctional adhesion molecule A</t>
  </si>
  <si>
    <t>2,4-dienoyl-CoA reductase, mitochondrial</t>
  </si>
  <si>
    <t>BTB/POZ domain-containing adapter for CUL3-mediated RhoA degradation protein 2</t>
  </si>
  <si>
    <t>Transmembrane protein 106A</t>
  </si>
  <si>
    <t>Probable tRNA pseudouridine synthase 2</t>
  </si>
  <si>
    <t>Zinc finger protein with KRAB and SCAN domains 4</t>
  </si>
  <si>
    <t>Atlastin-2</t>
  </si>
  <si>
    <t>Ubiquitin carboxyl-terminal hydrolase</t>
  </si>
  <si>
    <t>Delta(24)-sterol reductase</t>
  </si>
  <si>
    <t>Embigin</t>
  </si>
  <si>
    <t>Renin receptor</t>
  </si>
  <si>
    <t>Sodium/potassium-transporting ATPase subunit beta-1</t>
  </si>
  <si>
    <t>PMS1 protein homolog 1</t>
  </si>
  <si>
    <t>Forkhead box protein P4</t>
  </si>
  <si>
    <t>Endophilin-B2</t>
  </si>
  <si>
    <t>PPP2R5E protein</t>
  </si>
  <si>
    <t>SCARB1 protein</t>
  </si>
  <si>
    <t>COX18 protein</t>
  </si>
  <si>
    <t>GEM-interacting protein</t>
  </si>
  <si>
    <t>ER degradation-enhancing alpha-mannosidase-like protein 3</t>
  </si>
  <si>
    <t>CARMIL2b</t>
  </si>
  <si>
    <t>Small ubiquitin-related modifier 1</t>
  </si>
  <si>
    <t>Thymosin alpha-1</t>
  </si>
  <si>
    <t>Cyclic AMP-dependent transcription factor ATF-2</t>
  </si>
  <si>
    <t>Coenzyme Q-binding protein COQ10 homolog B, mitochondrial</t>
  </si>
  <si>
    <t>U3 small nucleolar ribonucleoprotein protein IMP4 (Fragment)</t>
  </si>
  <si>
    <t>U4/U6.U5 tri-snRNP-associated protein 2</t>
  </si>
  <si>
    <t>Rhomboid-related protein 4</t>
  </si>
  <si>
    <t>Cytochrome c oxidase assembly factor 5</t>
  </si>
  <si>
    <t>PEX7 protein</t>
  </si>
  <si>
    <t>BAK1 protein</t>
  </si>
  <si>
    <t>ATG12 autophagy related 12 homolog (S. cerevisiae), isoform CRA_b</t>
  </si>
  <si>
    <t>Putative WAS protein family homolog 3</t>
  </si>
  <si>
    <t>Linker for activation of T-cells family member 1</t>
  </si>
  <si>
    <t>Cystatin-A</t>
  </si>
  <si>
    <t>Nuclear-interacting partner of ALK</t>
  </si>
  <si>
    <t>Profilin-2</t>
  </si>
  <si>
    <t>Sorcin</t>
  </si>
  <si>
    <t>Multiple epidermal growth factor-like domains protein 9</t>
  </si>
  <si>
    <t>Uncharacterized protein</t>
  </si>
  <si>
    <t>NEDD8-conjugating enzyme UBE2F</t>
  </si>
  <si>
    <t>Ubiquitin-conjugating enzyme E2 E1 (Fragment)</t>
  </si>
  <si>
    <t>E3 ubiquitin-protein ligase Hakai (Fragment)</t>
  </si>
  <si>
    <t>Chromosome 3 open reading frame 31, isoform CRA_f</t>
  </si>
  <si>
    <t>NF-kappa-B essential modulator (Fragment)</t>
  </si>
  <si>
    <t>DNA-directed RNA polymerase</t>
  </si>
  <si>
    <t>Inosine-5-monophosphate dehydrogenase</t>
  </si>
  <si>
    <t>Protein CMSS1 (Fragment)</t>
  </si>
  <si>
    <t>Peroxisomal carnitine O-octanoyltransferase</t>
  </si>
  <si>
    <t>COBW domain-containing protein 2</t>
  </si>
  <si>
    <t>Probable E3 ubiquitin-protein ligase makorin-2</t>
  </si>
  <si>
    <t>Programmed cell death protein 10 (Fragment)</t>
  </si>
  <si>
    <t>Transgelin-3</t>
  </si>
  <si>
    <t>Insulin-like growth factor 1 receptor</t>
  </si>
  <si>
    <t>Protein FAM107B (Fragment)</t>
  </si>
  <si>
    <t>Zinc finger CCCH-type antiviral protein 1</t>
  </si>
  <si>
    <t>Transportin-3</t>
  </si>
  <si>
    <t>Phospholipid scramblase 1</t>
  </si>
  <si>
    <t>Protein Jade-2 (Fragment)</t>
  </si>
  <si>
    <t>Arf-GAP with GTPase, ANK repeat and PH domain-containing protein 3</t>
  </si>
  <si>
    <t>40S ribosomal protein SA (Fragment)</t>
  </si>
  <si>
    <t>Cytochrome c oxidase assembly protein 1 homolog (Fragment)</t>
  </si>
  <si>
    <t>60S ribosomal export protein NMD3</t>
  </si>
  <si>
    <t>Translocon-associated protein subunit gamma</t>
  </si>
  <si>
    <t>Serine/arginine-rich-splicing factor 7</t>
  </si>
  <si>
    <t>Frataxin, mitochondrial</t>
  </si>
  <si>
    <t>BSD domain-containing protein 1</t>
  </si>
  <si>
    <t>Signal peptidase complex subunit 1</t>
  </si>
  <si>
    <t>28S ribosomal protein S33, mitochondrial</t>
  </si>
  <si>
    <t>Dr1-associated corepressor</t>
  </si>
  <si>
    <t>Mitogen-activated protein kinase kinase kinase kinase 2 (Fragment)</t>
  </si>
  <si>
    <t>Fas apoptotic inhibitory molecule 1 (Fragment)</t>
  </si>
  <si>
    <t>Transmembrane and ubiquitin-like domain-containing protein 1 (Fragment)</t>
  </si>
  <si>
    <t>Voltage-dependent calcium channel subunit alpha-2/delta-2</t>
  </si>
  <si>
    <t>Nuclear receptor corepressor 2</t>
  </si>
  <si>
    <t>Eukaryotic translation initiation factor 4E type 2 (Fragment)</t>
  </si>
  <si>
    <t>Protein OSCP1</t>
  </si>
  <si>
    <t>T-cell receptor-associated transmembrane adapter 1</t>
  </si>
  <si>
    <t>COP9 signalosome complex subunit 1</t>
  </si>
  <si>
    <t>Cytochrome c (Fragment)</t>
  </si>
  <si>
    <t>Integral membrane protein 2C (Fragment)</t>
  </si>
  <si>
    <t>Angio-associated migratory cell protein</t>
  </si>
  <si>
    <t>Acylamino-acid-releasing enzyme</t>
  </si>
  <si>
    <t>Pulmonary surfactant-associated protein A2</t>
  </si>
  <si>
    <t>28S ribosomal protein S34, mitochondrial</t>
  </si>
  <si>
    <t>Vacuolar protein sorting-associated protein 8 homolog</t>
  </si>
  <si>
    <t>Sodium-coupled neutral amino acid transporter 5 (Fragment)</t>
  </si>
  <si>
    <t>DNA-directed RNA polymerases I, II, and III subunit RPABC3 (Fragment)</t>
  </si>
  <si>
    <t>Apoptotic protease-activating factor 1</t>
  </si>
  <si>
    <t>O-acetyl-ADP-ribose deacetylase 1 (Fragment)</t>
  </si>
  <si>
    <t>Muscleblind-like protein 1</t>
  </si>
  <si>
    <t>Cartilage-associated protein</t>
  </si>
  <si>
    <t>DNA replication licensing factor MCM2</t>
  </si>
  <si>
    <t>NF-kappa-B inhibitor-interacting Ras-like protein 2</t>
  </si>
  <si>
    <t>Coiled-coil domain-containing protein 58</t>
  </si>
  <si>
    <t>Mitochondrial inner membrane protease subunit 2</t>
  </si>
  <si>
    <t>Vesicle-trafficking protein SEC22a (Fragment)</t>
  </si>
  <si>
    <t>Coiled-coil-helix-coiled-coil-helix domain-containing protein 3, mitochondrial</t>
  </si>
  <si>
    <t>Isoform 2 of Aldo-keto reductase family 1 member B15</t>
  </si>
  <si>
    <t>DNA-binding protein Ikaros</t>
  </si>
  <si>
    <t>Diacylglycerol kinase beta</t>
  </si>
  <si>
    <t>Forkhead box J3, isoform CRA_b (Fragment)</t>
  </si>
  <si>
    <t>AP-4 complex subunit mu-1 (Fragment)</t>
  </si>
  <si>
    <t>Ephrin type-A receptor 3</t>
  </si>
  <si>
    <t>60S ribosomal protein L24</t>
  </si>
  <si>
    <t>Ribonuclease P protein subunit p20 (Fragment)</t>
  </si>
  <si>
    <t>60S ribosomal protein L22-like 1</t>
  </si>
  <si>
    <t>ADP-ribosylation factor GTPase-activating protein 3</t>
  </si>
  <si>
    <t>Ubiquitin-conjugating enzyme E2 H (Fragment)</t>
  </si>
  <si>
    <t>XIAP-associated factor 1</t>
  </si>
  <si>
    <t>SWI/SNF-related matrix-associated actin-dependent regulator of chromatin subfamily E member 1-related (Fragment)</t>
  </si>
  <si>
    <t>Snurportin-1</t>
  </si>
  <si>
    <t>Butyrophilin subfamily 3 member A3</t>
  </si>
  <si>
    <t>Syndecan</t>
  </si>
  <si>
    <t>Eukaryotic translation initiation factor 4 gamma 2 (Fragment)</t>
  </si>
  <si>
    <t>Exportin 6, isoform CRA_a</t>
  </si>
  <si>
    <t>Sodium bicarbonate cotransporter 3</t>
  </si>
  <si>
    <t>CAR4/6</t>
  </si>
  <si>
    <t>60S ribosomal protein L32 (Fragment)</t>
  </si>
  <si>
    <t>Protein KRI1 homolog</t>
  </si>
  <si>
    <t>PHD finger protein 20-like protein 1</t>
  </si>
  <si>
    <t>NADPH-dependent diflavin oxidoreductase 1</t>
  </si>
  <si>
    <t>Tapasin</t>
  </si>
  <si>
    <t>28S ribosomal protein S36, mitochondrial</t>
  </si>
  <si>
    <t>Heterogeneous nuclear ribonucleoprotein A/B</t>
  </si>
  <si>
    <t>DNA-directed RNA polymerase III subunit RPC7 (Fragment)</t>
  </si>
  <si>
    <t>Cytochrome c oxidase subunit 7C, mitochondrial</t>
  </si>
  <si>
    <t>Cyclin-dependent kinase 7</t>
  </si>
  <si>
    <t>LYR motif-containing protein 9</t>
  </si>
  <si>
    <t>Cellular nucleic acid-binding protein (Fragment)</t>
  </si>
  <si>
    <t>Interferon regulatory factor 2</t>
  </si>
  <si>
    <t>Eukaryotic translation initiation factor 4E</t>
  </si>
  <si>
    <t>Estradiol 17-beta-dehydrogenase 11</t>
  </si>
  <si>
    <t>Tumor necrosis factor alpha-induced protein 8</t>
  </si>
  <si>
    <t>PRELI domain-containing protein 1, mitochondrial</t>
  </si>
  <si>
    <t>Guanine nucleotide-binding protein subunit gamma</t>
  </si>
  <si>
    <t>Ubiquitin-like-conjugating enzyme ATG10</t>
  </si>
  <si>
    <t>Glutamyl-tRNA(Gln) amidotransferase subunit B, mitochondrial</t>
  </si>
  <si>
    <t>CDC42 small effector protein 2</t>
  </si>
  <si>
    <t>BRCA1-A complex subunit Abraxas</t>
  </si>
  <si>
    <t>Casein kinase I isoform alpha</t>
  </si>
  <si>
    <t>Protein transport protein Sec31A</t>
  </si>
  <si>
    <t>Syntaxin-18</t>
  </si>
  <si>
    <t>Deoxycytidine kinase</t>
  </si>
  <si>
    <t>Amyloid beta A4 precursor protein-binding family B member 2 (Fragment)</t>
  </si>
  <si>
    <t>Septin 11, isoform CRA_b</t>
  </si>
  <si>
    <t>TNFAIP3-interacting protein 2</t>
  </si>
  <si>
    <t>Alcohol dehydrogenase 6 (Fragment)</t>
  </si>
  <si>
    <t>Centromere protein K</t>
  </si>
  <si>
    <t>Serine incorporator 5</t>
  </si>
  <si>
    <t>Cyclin-H</t>
  </si>
  <si>
    <t>Ribonuclease T2 (Fragment)</t>
  </si>
  <si>
    <t>Complexin-1</t>
  </si>
  <si>
    <t>Cytochrome c oxidase subunit 7A2, mitochondrial</t>
  </si>
  <si>
    <t>RING finger protein 150 (Fragment)</t>
  </si>
  <si>
    <t>Claudin domain-containing protein 1 (Fragment)</t>
  </si>
  <si>
    <t>Major facilitator superfamily domain-containing protein 10</t>
  </si>
  <si>
    <t>Zinc finger protein 346</t>
  </si>
  <si>
    <t>COMM domain containing 10, isoform CRA_b</t>
  </si>
  <si>
    <t>Heterogeneous nuclear ribonucleoprotein L-like</t>
  </si>
  <si>
    <t>Geminin (Fragment)</t>
  </si>
  <si>
    <t>Elongation of very long chain fatty acids protein 5</t>
  </si>
  <si>
    <t>Carbonic anhydrase 1 (Fragment)</t>
  </si>
  <si>
    <t>E3 SUMO-protein ligase NSE2</t>
  </si>
  <si>
    <t>Cytoplasmic polyadenylation element-binding protein 4</t>
  </si>
  <si>
    <t>Lipid-phosphate phosphatase</t>
  </si>
  <si>
    <t>Putative deoxyribonuclease TATDN1 (Fragment)</t>
  </si>
  <si>
    <t>Triple QxxK/R motif-containing protein</t>
  </si>
  <si>
    <t>RWD domain-containing protein 1 (Fragment)</t>
  </si>
  <si>
    <t>Transcription elongation factor B polypeptide 1 (Fragment)</t>
  </si>
  <si>
    <t>Cytochrome b-c1 complex subunit 7</t>
  </si>
  <si>
    <t>Store-operated calcium entry-associated regulatory factor (Fragment)</t>
  </si>
  <si>
    <t>UPF0544 protein C5orf45</t>
  </si>
  <si>
    <t>E3 ubiquitin-protein ligase RNF130</t>
  </si>
  <si>
    <t>TELO2-interacting protein 2</t>
  </si>
  <si>
    <t>Leptin receptor overlapping transcript-like 1</t>
  </si>
  <si>
    <t>Inositol monophosphatase 1 (Fragment)</t>
  </si>
  <si>
    <t>Small EDRK-rich factor 1</t>
  </si>
  <si>
    <t>Transmembrane protein 55A</t>
  </si>
  <si>
    <t>Coiled-coil-helix-coiled-coil-helix domain-containing protein 7 (Fragment)</t>
  </si>
  <si>
    <t>AP-3 complex subunit beta-1</t>
  </si>
  <si>
    <t>AN1-type zinc finger protein 1</t>
  </si>
  <si>
    <t>39S ribosomal protein L13, mitochondrial (Fragment)</t>
  </si>
  <si>
    <t>S-phase kinase-associated protein 1</t>
  </si>
  <si>
    <t>Centrin-3</t>
  </si>
  <si>
    <t>GPI ethanolamine phosphate transferase 2</t>
  </si>
  <si>
    <t>COP9 signalosome complex subunit 6</t>
  </si>
  <si>
    <t>E3 ubiquitin-protein ligase RNF5</t>
  </si>
  <si>
    <t>Acid trehalase-like protein 1</t>
  </si>
  <si>
    <t>Acid ceramidase</t>
  </si>
  <si>
    <t>Protein phosphatase inhibitor 2 (Fragment)</t>
  </si>
  <si>
    <t>TNFAIP3-interacting protein 1</t>
  </si>
  <si>
    <t>Mitogen-activated protein kinase kinase kinase kinase 4</t>
  </si>
  <si>
    <t>Dyslexia-associated protein KIAA0319-like protein (Fragment)</t>
  </si>
  <si>
    <t>Nicastrin</t>
  </si>
  <si>
    <t>Calcium-binding and coiled-coil domain-containing protein 2</t>
  </si>
  <si>
    <t>Hexokinase-1</t>
  </si>
  <si>
    <t>Double-stranded RNA-specific adenosine deaminase</t>
  </si>
  <si>
    <t>Leucine-rich repeat and fibronectin type-III domain-containing protein 4</t>
  </si>
  <si>
    <t>UPF0449 protein C19orf25</t>
  </si>
  <si>
    <t>60S ribosomal protein L14</t>
  </si>
  <si>
    <t>Target of Myb protein 1</t>
  </si>
  <si>
    <t>Nucleolar protein of 40 kDa</t>
  </si>
  <si>
    <t>Pyridoxal-dependent decarboxylase domain-containing protein 1</t>
  </si>
  <si>
    <t>NADH dehydrogenase [ubiquinone] flavoprotein 2, mitochondrial</t>
  </si>
  <si>
    <t>AP-5 complex subunit mu-1</t>
  </si>
  <si>
    <t>N-alpha-acetyltransferase 50</t>
  </si>
  <si>
    <t>Kaliocin-1 (Fragment)</t>
  </si>
  <si>
    <t>Sentrin-specific protease 6</t>
  </si>
  <si>
    <t>Protein YIPF3</t>
  </si>
  <si>
    <t>Apoptotic chromatin condensation inducer in the nucleus</t>
  </si>
  <si>
    <t>Ribosomal protein L15 (Fragment)</t>
  </si>
  <si>
    <t>Survival motor neuron protein</t>
  </si>
  <si>
    <t>Calcium-transporting ATPase type 2C member 1</t>
  </si>
  <si>
    <t>Kelch domain-containing protein 3</t>
  </si>
  <si>
    <t>Zinc finger CCCH domain-containing protein 18</t>
  </si>
  <si>
    <t>Dystonin</t>
  </si>
  <si>
    <t>Heat shock 70 kDa protein 4L</t>
  </si>
  <si>
    <t>WD repeat-containing protein 17</t>
  </si>
  <si>
    <t>DNA-directed RNA polymerase I subunit RPA34</t>
  </si>
  <si>
    <t>Putative sodium-coupled neutral amino acid transporter 9 (Fragment)</t>
  </si>
  <si>
    <t>C-terminal-binding protein 1 (Fragment)</t>
  </si>
  <si>
    <t>NADH dehydrogenase [ubiquinone] 1 alpha subcomplex subunit 10, mitochondrial</t>
  </si>
  <si>
    <t>U2 snRNP-associated SURP motif-containing protein</t>
  </si>
  <si>
    <t>Aspartyl aminopeptidase</t>
  </si>
  <si>
    <t>40S ribosomal protein S24</t>
  </si>
  <si>
    <t>Protein SYS1 homolog</t>
  </si>
  <si>
    <t>Lysosome-associated membrane glycoprotein 3</t>
  </si>
  <si>
    <t>RNA-binding motif, single-stranded-interacting protein 1</t>
  </si>
  <si>
    <t>Basic leucine zipper and W2 domain-containing protein 2 (Fragment)</t>
  </si>
  <si>
    <t>Arf-GAP with Rho-GAP domain, ANK repeat and PH domain-containing protein 1</t>
  </si>
  <si>
    <t>Rab GDP dissociation inhibitor beta</t>
  </si>
  <si>
    <t>Protein CBFA2T3</t>
  </si>
  <si>
    <t>Cytoplasmic phosphatidylinositol transfer protein 1</t>
  </si>
  <si>
    <t>Casein kinase II subunit alpha</t>
  </si>
  <si>
    <t>UTP--glucose-1-phosphate uridylyltransferase</t>
  </si>
  <si>
    <t>ATP-binding cassette sub-family D member 3</t>
  </si>
  <si>
    <t>Nucleoporin p54</t>
  </si>
  <si>
    <t>Calpain-5</t>
  </si>
  <si>
    <t>PiggyBac transposable element-derived protein 3</t>
  </si>
  <si>
    <t>Microtubule-associated protein</t>
  </si>
  <si>
    <t>Autophagy-related protein 16-1</t>
  </si>
  <si>
    <t>Pseudouridine-5-monophosphatase (Fragment)</t>
  </si>
  <si>
    <t>Cytoplasmic FMR1-interacting protein 2</t>
  </si>
  <si>
    <t>T-cell acute lymphocytic leukemia protein 1</t>
  </si>
  <si>
    <t>Retinoic acid-induced protein 1</t>
  </si>
  <si>
    <t>Unconventional myosin-VI</t>
  </si>
  <si>
    <t>Vacuolar fusion protein MON1 homolog B</t>
  </si>
  <si>
    <t>Abl interactor 2</t>
  </si>
  <si>
    <t>Exocyst complex component 6</t>
  </si>
  <si>
    <t>Zinc finger MIZ domain-containing protein 2</t>
  </si>
  <si>
    <t>UPF0505 protein C16orf62</t>
  </si>
  <si>
    <t>MAGUK p55 subfamily member 2</t>
  </si>
  <si>
    <t>Eukaryotic translation initiation factor 4B</t>
  </si>
  <si>
    <t>Eukaryotic translation initiation factor 4 gamma 1</t>
  </si>
  <si>
    <t>Dynactin subunit 1</t>
  </si>
  <si>
    <t>Basic salivary proline-rich protein 4</t>
  </si>
  <si>
    <t>Ribonucleoprotein PTB-binding 1</t>
  </si>
  <si>
    <t>Transcription factor HES-4</t>
  </si>
  <si>
    <t>THO complex subunit 4</t>
  </si>
  <si>
    <t>Succinate dehydrogenase [ubiquinone] flavoprotein subunit, mitochondrial</t>
  </si>
  <si>
    <t>Transmembrane protein 201</t>
  </si>
  <si>
    <t>Mitotic checkpoint serine/threonine-protein kinase BUB1</t>
  </si>
  <si>
    <t>CUGBP Elav-like family member 2</t>
  </si>
  <si>
    <t>Translation initiation factor eIF-2B subunit epsilon</t>
  </si>
  <si>
    <t>Transmembrane and coiled-coil domains protein 1</t>
  </si>
  <si>
    <t>Guanylate cyclase soluble subunit beta-1</t>
  </si>
  <si>
    <t>Beta-glucuronidase</t>
  </si>
  <si>
    <t>Sphingosine kinase 2</t>
  </si>
  <si>
    <t>Golgi SNAP receptor complex member 1</t>
  </si>
  <si>
    <t>Calcipressin-1</t>
  </si>
  <si>
    <t>Unconventional myosin-Ib</t>
  </si>
  <si>
    <t>Propionyl-CoA carboxylase beta chain, mitochondrial</t>
  </si>
  <si>
    <t>WD repeat-containing protein 6</t>
  </si>
  <si>
    <t>Integrin beta</t>
  </si>
  <si>
    <t>Nesprin-1</t>
  </si>
  <si>
    <t>Exportin-7</t>
  </si>
  <si>
    <t>Protein diaphanous homolog 1</t>
  </si>
  <si>
    <t>39S ribosomal protein L3, mitochondrial (Fragment)</t>
  </si>
  <si>
    <t>Hydroxyacyl-coenzyme A dehydrogenase, mitochondrial</t>
  </si>
  <si>
    <t>Transducin beta-like protein 2</t>
  </si>
  <si>
    <t>Rab5 GDP/GTP exchange factor</t>
  </si>
  <si>
    <t>Poly(rC)-binding protein 3</t>
  </si>
  <si>
    <t>Serine/threonine-protein phosphatase 2A 56 kDa regulatory subunit delta isoform</t>
  </si>
  <si>
    <t>AN1-type zinc finger protein 2B</t>
  </si>
  <si>
    <t>FCH and double SH3 domains protein 2</t>
  </si>
  <si>
    <t>Centrosomal protein of 97 kDa</t>
  </si>
  <si>
    <t>Methylcrotonoyl-CoA carboxylase subunit alpha, mitochondrial (Fragment)</t>
  </si>
  <si>
    <t>Ras GTPase-activating protein 1</t>
  </si>
  <si>
    <t>MAP1 light chain LC2</t>
  </si>
  <si>
    <t>TBC1 domain family member 23</t>
  </si>
  <si>
    <t>Bifunctional protein NCOAT</t>
  </si>
  <si>
    <t>Solute carrier family 25 member 44</t>
  </si>
  <si>
    <t>Formin-binding protein 1</t>
  </si>
  <si>
    <t>Translin</t>
  </si>
  <si>
    <t>Ribosomal protein S6 kinase</t>
  </si>
  <si>
    <t>COP9 signalosome complex subunit 8</t>
  </si>
  <si>
    <t>Thioredoxin-dependent peroxide reductase, mitochondrial</t>
  </si>
  <si>
    <t>Cytochrome P450 20A1</t>
  </si>
  <si>
    <t>Band 4.1-like protein 2</t>
  </si>
  <si>
    <t>Cathepsin W</t>
  </si>
  <si>
    <t>Signal peptidase complex subunit 2</t>
  </si>
  <si>
    <t>Zinc finger protein GLI1 (Fragment)</t>
  </si>
  <si>
    <t>Mitochondrial carrier homolog 2 (Fragment)</t>
  </si>
  <si>
    <t>Thy-1 membrane glycoprotein (Fragment)</t>
  </si>
  <si>
    <t>PHD and RING finger domain-containing protein 1</t>
  </si>
  <si>
    <t>T-complex protein 11-like protein 1</t>
  </si>
  <si>
    <t>Myomegalin</t>
  </si>
  <si>
    <t>UBX domain-containing protein 1 (Fragment)</t>
  </si>
  <si>
    <t>Cysteine and histidine-rich protein 1</t>
  </si>
  <si>
    <t>Breast cancer metastasis-suppressor 1 (Fragment)</t>
  </si>
  <si>
    <t>CD81 antigen</t>
  </si>
  <si>
    <t>F-box only protein 3</t>
  </si>
  <si>
    <t>Elongation factor 1-delta (Fragment)</t>
  </si>
  <si>
    <t>Poly [ADP-ribose] polymerase 10</t>
  </si>
  <si>
    <t>Bcl-2-associated transcription factor 1</t>
  </si>
  <si>
    <t>CAAX prenyl protease 2</t>
  </si>
  <si>
    <t>Pleckstrin homology domain-containing family A member 7</t>
  </si>
  <si>
    <t>Protein arginine N-methyltransferase 1</t>
  </si>
  <si>
    <t>Tumor protein p53-inducible protein 11 (Fragment)</t>
  </si>
  <si>
    <t>39S ribosomal protein L17, mitochondrial (Fragment)</t>
  </si>
  <si>
    <t>Tetratricopeptide repeat protein 9C (Fragment)</t>
  </si>
  <si>
    <t>60S ribosomal protein L8 (Fragment)</t>
  </si>
  <si>
    <t>Transcription factor BTF3 homolog 4</t>
  </si>
  <si>
    <t>Collectin-12</t>
  </si>
  <si>
    <t>Etoposide-induced protein 2.4 homolog (Fragment)</t>
  </si>
  <si>
    <t>Protein NEDD8-MDP1 (Fragment)</t>
  </si>
  <si>
    <t>Acidic mammalian chitinase (Fragment)</t>
  </si>
  <si>
    <t>Puromycin-sensitive aminopeptidase</t>
  </si>
  <si>
    <t>60S ribosomal protein L27a</t>
  </si>
  <si>
    <t>Small acidic protein (Fragment)</t>
  </si>
  <si>
    <t>Methylosome subunit pICln</t>
  </si>
  <si>
    <t>Protein FAM118B (Fragment)</t>
  </si>
  <si>
    <t>Peroxisomal membrane protein PEX16 (Fragment)</t>
  </si>
  <si>
    <t>Heat shock factor protein 1</t>
  </si>
  <si>
    <t>CD151 antigen</t>
  </si>
  <si>
    <t>LIM domain only protein 7</t>
  </si>
  <si>
    <t>Glycoprotein endo-alpha-1,2-mannosidase-like protein</t>
  </si>
  <si>
    <t>Receptor-binding cancer antigen-expressed on SiSo cells</t>
  </si>
  <si>
    <t>Mth938 domain-containing protein</t>
  </si>
  <si>
    <t>Rho GTPase-activating protein 27</t>
  </si>
  <si>
    <t>CD59 glycoprotein</t>
  </si>
  <si>
    <t>Leucine-rich repeat-containing protein 14 (Fragment)</t>
  </si>
  <si>
    <t>V(D)J recombination-activating protein 2 (Fragment)</t>
  </si>
  <si>
    <t>Glycosylphosphatidylinositol anchor attachment 1 protein (Fragment)</t>
  </si>
  <si>
    <t>von Willebrand factor A domain-containing protein 5B1 (Fragment)</t>
  </si>
  <si>
    <t>Carbonyl reductase [NADPH] 1</t>
  </si>
  <si>
    <t>Lysosomal acid phosphatase</t>
  </si>
  <si>
    <t>40S ribosomal protein S30</t>
  </si>
  <si>
    <t>Repressor of RNA polymerase III transcription MAF1 homolog (Fragment)</t>
  </si>
  <si>
    <t>ARL14 effector protein (Fragment)</t>
  </si>
  <si>
    <t>Solute carrier family 22 member 18</t>
  </si>
  <si>
    <t>Elongation factor 1-delta</t>
  </si>
  <si>
    <t>N-terminal kinase-like protein</t>
  </si>
  <si>
    <t>Protein NEDD8-MDP1</t>
  </si>
  <si>
    <t>Phosphatidylserine synthase 2</t>
  </si>
  <si>
    <t>Solute carrier family 43 member 3 (Fragment)</t>
  </si>
  <si>
    <t>Tetraspanin-4 (Fragment)</t>
  </si>
  <si>
    <t>T-cell surface glycoprotein CD3 epsilon chain</t>
  </si>
  <si>
    <t>Transmembrane 9 superfamily member 1</t>
  </si>
  <si>
    <t>Gamma-tubulin complex component 2</t>
  </si>
  <si>
    <t>Ras GTPase-activating-like protein IQGAP3</t>
  </si>
  <si>
    <t>Transformation/transcription domain-associated protein</t>
  </si>
  <si>
    <t>Myosin-14</t>
  </si>
  <si>
    <t>tRNA (uracil-5-)-methyltransferase homolog A</t>
  </si>
  <si>
    <t>Exportin-4</t>
  </si>
  <si>
    <t>Vezatin</t>
  </si>
  <si>
    <t>SH3 and multiple ankyrin repeat domains protein 3</t>
  </si>
  <si>
    <t>General transcription factor IIH subunit 3 (Fragment)</t>
  </si>
  <si>
    <t>Transmembrane protein 258</t>
  </si>
  <si>
    <t>WASH complex subunit CCDC53</t>
  </si>
  <si>
    <t>Phosphatidylinositol 4-phosphate 3-kinase C2 domain-containing subunit beta</t>
  </si>
  <si>
    <t>Serine/threonine-protein kinase WNK1</t>
  </si>
  <si>
    <t>Mothers against decapentaplegic homolog 5</t>
  </si>
  <si>
    <t>Chromodomain-helicase-DNA-binding protein 4</t>
  </si>
  <si>
    <t>Podocalyxin</t>
  </si>
  <si>
    <t>Protein FAM76B</t>
  </si>
  <si>
    <t>Cytosine-specific methyltransferase</t>
  </si>
  <si>
    <t>Protein furry homolog-like</t>
  </si>
  <si>
    <t>HLA class I histocompatibility antigen, Cw-14 alpha chain</t>
  </si>
  <si>
    <t>Succinyl-CoA ligase [ADP-forming] subunit beta, mitochondrial</t>
  </si>
  <si>
    <t>Arginyl-tRNA--protein transferase 1</t>
  </si>
  <si>
    <t>AF4/FMR2 family member 1</t>
  </si>
  <si>
    <t>Receptor-type tyrosine-protein phosphatase kappa</t>
  </si>
  <si>
    <t>Stromal interaction molecule 2</t>
  </si>
  <si>
    <t>DnaJ homolog subfamily B member 11</t>
  </si>
  <si>
    <t>Dolichyl-diphosphooligosaccharide--protein glycosyltransferase subunit DAD1</t>
  </si>
  <si>
    <t>Vasculin</t>
  </si>
  <si>
    <t>Polypeptide N-acetylgalactosaminyltransferase 1 soluble form</t>
  </si>
  <si>
    <t>Ribosomal protein S6 kinase alpha-3</t>
  </si>
  <si>
    <t>Ubiquitin thioesterase OTUB1</t>
  </si>
  <si>
    <t>V-type proton ATPase subunit d 1</t>
  </si>
  <si>
    <t>Paxillin</t>
  </si>
  <si>
    <t>Denticleless protein homolog</t>
  </si>
  <si>
    <t>Thiamin pyrophosphokinase 1</t>
  </si>
  <si>
    <t>Processed exostosin-like 2</t>
  </si>
  <si>
    <t>Probable ATP-dependent RNA helicase DHX36</t>
  </si>
  <si>
    <t>4F2 cell-surface antigen heavy chain</t>
  </si>
  <si>
    <t>Constitutive coactivator of peroxisome proliferator-activated receptor gamma</t>
  </si>
  <si>
    <t>Gamma-aminobutyric acid receptor-associated protein-like 1 (Fragment)</t>
  </si>
  <si>
    <t>E3 ubiquitin-protein ligase TRIM21</t>
  </si>
  <si>
    <t>Protein FAM65B</t>
  </si>
  <si>
    <t>Tumor protein D52</t>
  </si>
  <si>
    <t>Anaphase-promoting complex subunit 5</t>
  </si>
  <si>
    <t>Transcription factor SOX-5</t>
  </si>
  <si>
    <t>SEC23-interacting protein</t>
  </si>
  <si>
    <t>Lysophospholipid acyltransferase 5</t>
  </si>
  <si>
    <t>CLK4-associating serine/arginine-rich protein</t>
  </si>
  <si>
    <t>Speckle targeted PIP5K1A-regulated poly(A) polymerase</t>
  </si>
  <si>
    <t>RNA polymerase I-specific transcription initiation factor RRN3</t>
  </si>
  <si>
    <t>Fibulin-2</t>
  </si>
  <si>
    <t>Abl interactor 1</t>
  </si>
  <si>
    <t>DNA helicase B</t>
  </si>
  <si>
    <t>Thioredoxin reductase 2, mitochondrial</t>
  </si>
  <si>
    <t>Uncharacterized protein KIAA1211</t>
  </si>
  <si>
    <t>Protein FLJ22184</t>
  </si>
  <si>
    <t>PCTP-like protein (Fragment)</t>
  </si>
  <si>
    <t>Transmembrane protein 135</t>
  </si>
  <si>
    <t>Synaptotagmin-10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</si>
  <si>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</si>
  <si>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</si>
  <si>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</si>
  <si>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</si>
  <si>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</si>
  <si>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Cip1-interacting zinc finger protein</t>
  </si>
  <si>
    <t>Pre-mRNA-splicing factor SYF1</t>
  </si>
  <si>
    <t>Protein transport protein Sec23A</t>
  </si>
  <si>
    <t>Frizzled-10</t>
  </si>
  <si>
    <t>Importin subunit alpha</t>
  </si>
  <si>
    <t>Vacuolar protein sorting-associated protein 37C (Fragment)</t>
  </si>
  <si>
    <t>Nuclear factor of-activated T-cells, cytoplasmic 1</t>
  </si>
  <si>
    <t>Programmed cell death protein 2</t>
  </si>
  <si>
    <t>Kelch-like protein 42</t>
  </si>
  <si>
    <t>Protein phosphatase Slingshot homolog 2</t>
  </si>
  <si>
    <t>V-type proton ATPase 116 kDa subunit a isoform 1</t>
  </si>
  <si>
    <t>Protein BRICK1</t>
  </si>
  <si>
    <t>Tubulin alpha-1C chain</t>
  </si>
  <si>
    <t>G-rich sequence factor 1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</si>
  <si>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</si>
  <si>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</si>
  <si>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</si>
  <si>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CLIP-associating protein 2</t>
  </si>
  <si>
    <t>Oxidoreductase NAD-binding domain-containing protein 1</t>
  </si>
  <si>
    <t>C-type lectin domain family 2 member B</t>
  </si>
  <si>
    <t>Lysine-specific demethylase 6A</t>
  </si>
  <si>
    <t>Protein FAM60A (Fragment)</t>
  </si>
  <si>
    <t>Axin interactor, dorsalization-associated protein</t>
  </si>
  <si>
    <t>WW domain-binding protein 11</t>
  </si>
  <si>
    <t>Maltase-glucoamylase, intestinal</t>
  </si>
  <si>
    <t>Lactadherin short form</t>
  </si>
  <si>
    <t>Receptor expression-enhancing protein 1</t>
  </si>
  <si>
    <t>2-oxoglutarate dehydrogenase, mitochondrial</t>
  </si>
  <si>
    <t>Monocarboxylate transporter 2</t>
  </si>
  <si>
    <t>Type I inositol 3,4-bisphosphate 4-phosphatase</t>
  </si>
  <si>
    <t>Activating signal cointegrator 1 complex subunit 1</t>
  </si>
  <si>
    <t>Kunitz-type protease inhibitor 1</t>
  </si>
  <si>
    <t>Heat shock protein 75 kDa, mitochondrial</t>
  </si>
  <si>
    <t>Mevalonate kinase</t>
  </si>
  <si>
    <t>Cleft lip and palate transmembrane protein 1</t>
  </si>
  <si>
    <t>Rab GTPase-activating protein 1-like</t>
  </si>
  <si>
    <t>SID1 transmembrane family member 2</t>
  </si>
  <si>
    <t>Epsin-2 (Fragment)</t>
  </si>
  <si>
    <t>Cysteine-rich DPF motif domain-containing protein 1</t>
  </si>
  <si>
    <t>2,5-phosphodiesterase 12</t>
  </si>
  <si>
    <t>Calcineurin subunit B type 1</t>
  </si>
  <si>
    <t>RNA-binding protein 38</t>
  </si>
  <si>
    <t>Dual-specificity mitogen-activated protein kinase kinase 7</t>
  </si>
  <si>
    <t>Nucleoside diphosphate kinase</t>
  </si>
  <si>
    <t>Eukaryotic translation initiation factor 4B (Fragment)</t>
  </si>
  <si>
    <t>DNA fragmentation factor subunit beta</t>
  </si>
  <si>
    <t>Overexpressed in colon carcinoma 1 protein (Fragment)</t>
  </si>
  <si>
    <t>Methyltransferase-like protein 7A (Fragment)</t>
  </si>
  <si>
    <t>BRCA1-A complex subunit RAP80</t>
  </si>
  <si>
    <t>Methionine aminopeptidase</t>
  </si>
  <si>
    <t>RNA-binding protein fox-1 homolog 1 (Fragment)</t>
  </si>
  <si>
    <t>Transmembrane protein 19 (Fragment)</t>
  </si>
  <si>
    <t>Nuclear transcription factor Y subunit beta (Fragment)</t>
  </si>
  <si>
    <t>Plexin-A1</t>
  </si>
  <si>
    <t>Ret finger protein-like 4A-like protein 1</t>
  </si>
  <si>
    <t>Peptidyl-prolyl cis-trans isomerase</t>
  </si>
  <si>
    <t>Nucleosome assembly protein 1-like 1</t>
  </si>
  <si>
    <t>Coatomer subunit zeta-1</t>
  </si>
  <si>
    <t>Transmembrane protein 106C</t>
  </si>
  <si>
    <t>Cysteine and glycine-rich protein 2</t>
  </si>
  <si>
    <t>Protein MON2 homolog</t>
  </si>
  <si>
    <t>Putative Dol-P-Glc:Glc(2)Man(9)GlcNAc(2)-PP-Dol alpha-1,2-glucosyltransferase</t>
  </si>
  <si>
    <t>Alpha-globin transcription factor CP2 (Fragment)</t>
  </si>
  <si>
    <t>Sodium-coupled neutral amino acid transporter 1</t>
  </si>
  <si>
    <t>Homeobox protein TGIF1 (Fragment)</t>
  </si>
  <si>
    <t>Protein SCAF11</t>
  </si>
  <si>
    <t>Carbohydrate sulfotransferase 11 (Fragment)</t>
  </si>
  <si>
    <t>RISC-loading complex subunit TARBP2</t>
  </si>
  <si>
    <t>ADP-ribosylation factor-like protein 1</t>
  </si>
  <si>
    <t>Nascent polypeptide-associated complex subunit alpha</t>
  </si>
  <si>
    <t>Chromatin complexes subunit BAP18</t>
  </si>
  <si>
    <t>Tastin (Fragment)</t>
  </si>
  <si>
    <t>Periphilin-1</t>
  </si>
  <si>
    <t>Endoplasmic reticulum-Golgi intermediate compartment protein 2 (Fragment)</t>
  </si>
  <si>
    <t>60S ribosomal protein L6 (Fragment)</t>
  </si>
  <si>
    <t>DNA-binding protein RFX5 (Fragment)</t>
  </si>
  <si>
    <t>Heterogeneous nuclear ribonucleoprotein A1</t>
  </si>
  <si>
    <t>Membrane-associated guanylate kinase, WW and PDZ domain-containing protein 1</t>
  </si>
  <si>
    <t>Zinc finger protein 384</t>
  </si>
  <si>
    <t>Transducin-like enhancer protein 4</t>
  </si>
  <si>
    <t>Phenazine biosynthesis-like domain-containing protein</t>
  </si>
  <si>
    <t>Protein FAM162A</t>
  </si>
  <si>
    <t>YTH domain family protein 1</t>
  </si>
  <si>
    <t>Histone RNA hairpin-binding protein</t>
  </si>
  <si>
    <t>Transcriptional activator Myb</t>
  </si>
  <si>
    <t>Nucleolysin TIA-1 isoform p40</t>
  </si>
  <si>
    <t>Acetyl-CoA carboxylase 2</t>
  </si>
  <si>
    <t>Reticulon-4</t>
  </si>
  <si>
    <t>FSD1-like protein</t>
  </si>
  <si>
    <t>Myocyte-specific enhancer factor 2A</t>
  </si>
  <si>
    <t>Mediator of RNA polymerase II transcription subunit 24</t>
  </si>
  <si>
    <t>Coiled-coil domain-containing protein 93</t>
  </si>
  <si>
    <t>CLIP-associating protein 1</t>
  </si>
  <si>
    <t>Myotubularin-related protein 1</t>
  </si>
  <si>
    <t>Disintegrin and metalloproteinase domain-containing protein 22 (Fragment)</t>
  </si>
  <si>
    <t>Cohesin subunit SA-2</t>
  </si>
  <si>
    <t>39S ribosomal protein L40, mitochondrial</t>
  </si>
  <si>
    <t>DNA-directed RNA polymerases I, II, and III subunit RPABC2</t>
  </si>
  <si>
    <t>Decapping and exoribonuclease protein</t>
  </si>
  <si>
    <t>SAC3 domain-containing protein 1</t>
  </si>
  <si>
    <t>E3 ubiquitin-protein ligase RNF149</t>
  </si>
  <si>
    <t>Actin-related protein 2/3 complex subunit 4</t>
  </si>
  <si>
    <t>Nebulin</t>
  </si>
  <si>
    <t>Protein downstream neighbor of Son</t>
  </si>
  <si>
    <t>Atherin (Fragment)</t>
  </si>
  <si>
    <t>Peroxisomal membrane protein PMP34</t>
  </si>
  <si>
    <t>Unconventional myosin-Va</t>
  </si>
  <si>
    <t>Methylmalonic aciduria and homocystinuria type D protein, mitochondrial</t>
  </si>
  <si>
    <t>Dol-P-Man:Man(5)GlcNAc(2)-PP-Dol alpha-1,3-mannosyltransferase</t>
  </si>
  <si>
    <t>Cleavage and polyadenylation-specificity factor subunit 6</t>
  </si>
  <si>
    <t>Trafficking protein particle complex subunit 2</t>
  </si>
  <si>
    <t>NADH dehydrogenase (Ubiquinone) flavoprotein 1, 51kDa, isoform CRA_c</t>
  </si>
  <si>
    <t>OTU domain containing 4, isoform CRA_f</t>
  </si>
  <si>
    <t>MTERF domain containing 1, isoform CRA_c</t>
  </si>
  <si>
    <t>Poly (ADP-ribose) polymerase family, member 2, isoform CRA_a</t>
  </si>
  <si>
    <t>Gasdermin domain containing 1, isoform CRA_d</t>
  </si>
  <si>
    <t>Dipeptidyl peptidase 3</t>
  </si>
  <si>
    <t>Loss of heterozygosity 12 chromosomal region 1 protein</t>
  </si>
  <si>
    <t>Septin 7, isoform CRA_a</t>
  </si>
  <si>
    <t>Acyl-CoA synthetase long-chain family member 6, isoform CRA_c</t>
  </si>
  <si>
    <t>Golgi transport 1 homolog B (S. cerevisiae), isoform CRA_c</t>
  </si>
  <si>
    <t>YY1 associated factor 2, isoform CRA_g</t>
  </si>
  <si>
    <t>60S ribosomal protein L18</t>
  </si>
  <si>
    <t>HCG2044781</t>
  </si>
  <si>
    <t>Acylphosphatase</t>
  </si>
  <si>
    <t>Pentatricopeptide repeat-containing protein 1, mitochondrial</t>
  </si>
  <si>
    <t>Prostaglandin reductase 2</t>
  </si>
  <si>
    <t>DDB1- and CUL4-associated factor 8</t>
  </si>
  <si>
    <t>NF-kappa-B inhibitor alpha</t>
  </si>
  <si>
    <t>Ataxin-3 (Fragment)</t>
  </si>
  <si>
    <t>39S ribosomal protein L52, mitochondrial</t>
  </si>
  <si>
    <t>Apoptosis regulatory protein Siva (Fragment)</t>
  </si>
  <si>
    <t>Mediator of RNA polymerase II transcription subunit 6</t>
  </si>
  <si>
    <t>Spermatogenesis-defective protein 39 homolog</t>
  </si>
  <si>
    <t>AP-4 complex subunit sigma-1 (Fragment)</t>
  </si>
  <si>
    <t>Heterogeneous nuclear ribonucleoproteins C1/C2 (Fragment)</t>
  </si>
  <si>
    <t>ATP-dependent RNA helicase DDX24</t>
  </si>
  <si>
    <t>Protein FAM177A1 (Fragment)</t>
  </si>
  <si>
    <t>cTAGE family member 5</t>
  </si>
  <si>
    <t>Maleylacetoacetate isomerase</t>
  </si>
  <si>
    <t>Cyclin-dependent kinase 2</t>
  </si>
  <si>
    <t>AT rich interactive domain 1B (SWI1-like), isoform CRA_a</t>
  </si>
  <si>
    <t>Solute carrier family 26 member 6</t>
  </si>
  <si>
    <t>KIAA0423, isoform CRA_a</t>
  </si>
  <si>
    <t>Protein FAM133B</t>
  </si>
  <si>
    <t>Nuclear receptor coactivator 3</t>
  </si>
  <si>
    <t>Mitochondrial import inner membrane translocase subunit Tim8 B</t>
  </si>
  <si>
    <t>ATP-binding cassette sub-family B member 8, mitochondrial</t>
  </si>
  <si>
    <t>Myotubularin-related protein 5</t>
  </si>
  <si>
    <t>G protein-coupled receptor 107, isoform CRA_c</t>
  </si>
  <si>
    <t>Calcineurin binding protein 1, isoform CRA_b</t>
  </si>
  <si>
    <t>Epithelial cell transforming sequence 2 oncogene, isoform CRA_b</t>
  </si>
  <si>
    <t>28S ribosomal protein S22, mitochondrial</t>
  </si>
  <si>
    <t>GTPase IMAP family member 4</t>
  </si>
  <si>
    <t>HCG21202, isoform CRA_a</t>
  </si>
  <si>
    <t>CUG triplet repeat, RNA binding protein 1, isoform CRA_c</t>
  </si>
  <si>
    <t>Cell division cycle 27, isoform CRA_c</t>
  </si>
  <si>
    <t>Protein disulfide isomerase family A, member 3, isoform CRA_b</t>
  </si>
  <si>
    <t>G/T mismatch-specific thymine DNA glycosylase</t>
  </si>
  <si>
    <t>Myosin light polypeptide 6</t>
  </si>
  <si>
    <t>tRNA pseudouridine synthase (Fragment)</t>
  </si>
  <si>
    <t>Heterogeneous nuclear ribonucleoprotein H</t>
  </si>
  <si>
    <t>ELKS/Rab6-interacting/CAST family member 1</t>
  </si>
  <si>
    <t>M-phase inducer phosphatase 2</t>
  </si>
  <si>
    <t>WD repeat domain phosphoinositide-interacting protein 4</t>
  </si>
  <si>
    <t>Prolyl 3-hydroxylase 3</t>
  </si>
  <si>
    <t>Transforming acidic coiled-coil-containing protein 1</t>
  </si>
  <si>
    <t>Calpain-14</t>
  </si>
  <si>
    <t>Lysosomal thioesterase PPT2 (Fragment)</t>
  </si>
  <si>
    <t>Multivesicular body subunit 12B</t>
  </si>
  <si>
    <t>Negative elongation factor C/D</t>
  </si>
  <si>
    <t>Phosphatidylinositol-glycan biosynthesis class X protein</t>
  </si>
  <si>
    <t>Protein lin-9 homolog (Fragment)</t>
  </si>
  <si>
    <t>Monofunctional C1-tetrahydrofolate synthase, mitochondrial (Fragment)</t>
  </si>
  <si>
    <t>Outer dense fiber protein 2 (Fragment)</t>
  </si>
  <si>
    <t>Disabled homolog 2-interacting protein (Fragment)</t>
  </si>
  <si>
    <t>Protein PRRC2B (Fragment)</t>
  </si>
  <si>
    <t>Serine/threonine-protein kinase SIK3</t>
  </si>
  <si>
    <t>Myeloid differentiation primary response protein MyD88 (Fragment)</t>
  </si>
  <si>
    <t>Glycodelin (Fragment)</t>
  </si>
  <si>
    <t>Probable phospholipid-transporting ATPase IH (Fragment)</t>
  </si>
  <si>
    <t>Prolyl endopeptidase (Fragment)</t>
  </si>
  <si>
    <t>Ubiquitin-fold modifier 1 (Fragment)</t>
  </si>
  <si>
    <t>ADP-ribosylation factor GTPase-activating protein 3 (Fragment)</t>
  </si>
  <si>
    <t>Pyrroline-5-carboxylate reductase 3 (Fragment)</t>
  </si>
  <si>
    <t>Bromodomain-containing protein 2 (Fragment)</t>
  </si>
  <si>
    <t>T-cell surface glycoprotein CD1c (Fragment)</t>
  </si>
  <si>
    <t>Calmodulin (Fragment)</t>
  </si>
  <si>
    <t>Phosphatidylserine decarboxylase alpha chain (Fragment)</t>
  </si>
  <si>
    <t>Transmembrane protein 222 (Fragment)</t>
  </si>
  <si>
    <t>Cysteine-rich hydrophobic domain 2 protein (Fragment)</t>
  </si>
  <si>
    <t>Regulator of G-protein-signaling 14 (Fragment)</t>
  </si>
  <si>
    <t>Dachshund homolog 2 (Fragment)</t>
  </si>
  <si>
    <t>Uncharacterized protein (Fragment)</t>
  </si>
  <si>
    <t>Alcohol dehydrogenase 4 (Fragment)</t>
  </si>
  <si>
    <t>Inositol hexakisphosphate and diphosphoinositol-pentakisphosphate kinase 2 (Fragment)</t>
  </si>
  <si>
    <t>m7GpppN-mRNA hydrolase (Fragment)</t>
  </si>
  <si>
    <t>Translation machinery-associated protein 16 (Fragment)</t>
  </si>
  <si>
    <t>CCR4-NOT transcription complex subunit 6-like (Fragment)</t>
  </si>
  <si>
    <t>Pterin-4-alpha-carbinolamine dehydratase 2 (Fragment)</t>
  </si>
  <si>
    <t>Epididymis-specific alpha-mannosidase (Fragment)</t>
  </si>
  <si>
    <t>Polyadenylate-binding protein 1 (Fragment)</t>
  </si>
  <si>
    <t>Ribonucleoside-diphosphate reductase subunit M2 B (Fragment)</t>
  </si>
  <si>
    <t>Thioredoxin reductase 3 (Fragment)</t>
  </si>
  <si>
    <t>Focal adhesion kinase 1 (Fragment)</t>
  </si>
  <si>
    <t>Mitochondrial fission regulator 1 (Fragment)</t>
  </si>
  <si>
    <t>Leukocyte surface antigen CD47 (Fragment)</t>
  </si>
  <si>
    <t>GDP-L-fucose synthase (Fragment)</t>
  </si>
  <si>
    <t>Beta-galactosidase-1-like protein 2 (Fragment)</t>
  </si>
  <si>
    <t>Probable dolichyl pyrophosphate Glc1Man9GlcNAc2 alpha-1,3-glucosyltransferase (Fragment)</t>
  </si>
  <si>
    <t>Ubiquilin-1 (Fragment)</t>
  </si>
  <si>
    <t>Serine/threonine-protein phosphatase (Fragment)</t>
  </si>
  <si>
    <t>CD44 antigen (Fragment)</t>
  </si>
  <si>
    <t>Chitinase-3-like protein 2 (Fragment)</t>
  </si>
  <si>
    <t>Sjoegren syndrome/scleroderma autoantigen 1 (Fragment)</t>
  </si>
  <si>
    <t>Ribonuclease H2 subunit C (Fragment)</t>
  </si>
  <si>
    <t>UPF0598 protein C8orf82 (Fragment)</t>
  </si>
  <si>
    <t>Oligoribonuclease, mitochondrial (Fragment)</t>
  </si>
  <si>
    <t>Ataxin-2 (Fragment)</t>
  </si>
  <si>
    <t>KAT8 regulatory NSL complex subunit 2 (Fragment)</t>
  </si>
  <si>
    <t>Striatin-3 (Fragment)</t>
  </si>
  <si>
    <t>Tropomyosin alpha-1 chain</t>
  </si>
  <si>
    <t>ER membrane protein complex subunit 4</t>
  </si>
  <si>
    <t>EP300-interacting inhibitor of differentiation 1</t>
  </si>
  <si>
    <t>Tetraspanin-3</t>
  </si>
  <si>
    <t>Transducin-like enhancer protein 3</t>
  </si>
  <si>
    <t>Sorbitol dehydrogenase</t>
  </si>
  <si>
    <t>POU domain, class 2, transcription factor 1</t>
  </si>
  <si>
    <t>Homeobox-containing protein 1 (Fragment)</t>
  </si>
  <si>
    <t>Protein FAM63B (Fragment)</t>
  </si>
  <si>
    <t>SH2 domain-containing adapter protein F</t>
  </si>
  <si>
    <t>DNA-binding protein RFX7</t>
  </si>
  <si>
    <t>GMP reductase 2</t>
  </si>
  <si>
    <t>Mortality factor 4-like protein 1 (Fragment)</t>
  </si>
  <si>
    <t>40S ribosomal protein S27</t>
  </si>
  <si>
    <t>Cyclin-dependent kinase 2-interacting protein (Fragment)</t>
  </si>
  <si>
    <t>Carbohydrate sulfotransferase 14</t>
  </si>
  <si>
    <t>Uncharacterized protein C15orf57 (Fragment)</t>
  </si>
  <si>
    <t>Signal peptidase complex catalytic subunit SEC11A</t>
  </si>
  <si>
    <t>ER membrane protein complex subunit 9</t>
  </si>
  <si>
    <t>Uveal autoantigen with coiled-coil domains and ankyrin repeats</t>
  </si>
  <si>
    <t>Bloom syndrome protein</t>
  </si>
  <si>
    <t>Limbic system-associated membrane protein (Fragment)</t>
  </si>
  <si>
    <t>Complement decay-accelerating factor (Fragment)</t>
  </si>
  <si>
    <t>Transmembrane protein 63B (Fragment)</t>
  </si>
  <si>
    <t>Dysbindin domain-containing protein 1</t>
  </si>
  <si>
    <t>Probable ATP-dependent RNA helicase DDX17</t>
  </si>
  <si>
    <t>NEDD8 ultimate buster 1</t>
  </si>
  <si>
    <t>Tuberin</t>
  </si>
  <si>
    <t>Biogenesis of lysosome-related organelles complex 1 subunit 6 (Fragment)</t>
  </si>
  <si>
    <t>LYR motif-containing protein 1</t>
  </si>
  <si>
    <t>M-phase phosphoprotein 6</t>
  </si>
  <si>
    <t>Trafficking protein particle complex subunit 2-like protein</t>
  </si>
  <si>
    <t>Beta-hexosaminidase</t>
  </si>
  <si>
    <t>Ubiquinone biosynthesis protein COQ7 homolog</t>
  </si>
  <si>
    <t>Mannose-6-phosphate isomerase</t>
  </si>
  <si>
    <t>SUMO-conjugating enzyme UBC9 (Fragment)</t>
  </si>
  <si>
    <t>Microtubule-actin cross-linking factor 1, isoforms 1/2/3/5</t>
  </si>
  <si>
    <t>F-box/LRR-repeat protein 19</t>
  </si>
  <si>
    <t>snRNA-activating protein complex subunit 5</t>
  </si>
  <si>
    <t>PAP-associated domain-containing protein 5</t>
  </si>
  <si>
    <t>Conserved oligomeric Golgi complex subunit 8</t>
  </si>
  <si>
    <t>Protein spinster homolog 1 (Fragment)</t>
  </si>
  <si>
    <t>Zinc finger FYVE domain-containing protein 19</t>
  </si>
  <si>
    <t>Ubiquitin domain-containing protein UBFD1</t>
  </si>
  <si>
    <t>4-aminobutyrate aminotransferase, mitochondrial</t>
  </si>
  <si>
    <t>Eukaryotic translation initiation factor 3 subunit C</t>
  </si>
  <si>
    <t>von Willebrand factor A domain-containing protein 9</t>
  </si>
  <si>
    <t>Uncharacterized protein C15orf41</t>
  </si>
  <si>
    <t>Small integral membrane protein 1</t>
  </si>
  <si>
    <t>UPF0420 protein C16orf58</t>
  </si>
  <si>
    <t>Cytoplasmic tRNA 2-thiolation protein 2</t>
  </si>
  <si>
    <t>Cyclin-D1-binding protein 1</t>
  </si>
  <si>
    <t>Probable glutamate--tRNA ligase, mitochondrial</t>
  </si>
  <si>
    <t>Microtubule-associated protein 1 light chain 3 beta, isoform CRA_f</t>
  </si>
  <si>
    <t>Pyruvate kinase (Fragment)</t>
  </si>
  <si>
    <t>Centromere protein T</t>
  </si>
  <si>
    <t>RING finger protein 166</t>
  </si>
  <si>
    <t>Cerebellar degeneration-related protein 2 (Fragment)</t>
  </si>
  <si>
    <t>ADP-ribosylation factor-like protein 2-binding protein</t>
  </si>
  <si>
    <t>RNA-binding protein with serine-rich domain 1</t>
  </si>
  <si>
    <t>GABARAP-a</t>
  </si>
  <si>
    <t>Grancalcin</t>
  </si>
  <si>
    <t>Sphingomyelin phosphodiesterase 4</t>
  </si>
  <si>
    <t>Histone deacetylase complex subunit SAP130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</si>
  <si>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</si>
  <si>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</si>
  <si>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</si>
  <si>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</si>
  <si>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Transmembrane protein 41A</t>
  </si>
  <si>
    <t>Rho GTPase-activating protein 19</t>
  </si>
  <si>
    <t>Mitochondrial pyruvate carrier 1</t>
  </si>
  <si>
    <t>Putative ATP-dependent RNA helicase DHX30</t>
  </si>
  <si>
    <t>Zinc finger and BTB domain-containing protein 44</t>
  </si>
  <si>
    <t>Protein-L-isoaspartate O-methyltransferase</t>
  </si>
  <si>
    <t>General transcription factor 3C polypeptide 5</t>
  </si>
  <si>
    <t>Tail-anchored protein insertion receptor WRB (Fragment)</t>
  </si>
  <si>
    <t>Tropomyosin 1 (Alpha), isoform CRA_m</t>
  </si>
  <si>
    <t>Thioredoxin (Fragment)</t>
  </si>
  <si>
    <t>BCL2/adenovirus E1B 19 kDa protein-interacting protein 2 (Fragment)</t>
  </si>
  <si>
    <t>Cyclin-dependent kinase inhibitor 3</t>
  </si>
  <si>
    <t>Reticulon-4 receptor (Fragment)</t>
  </si>
  <si>
    <t>Bromodomain-containing protein 8 (Fragment)</t>
  </si>
  <si>
    <t>RAF proto-oncogene serine/threonine-protein kinase (Fragment)</t>
  </si>
  <si>
    <t>Mitotic-spindle organizing protein 2B (Fragment)</t>
  </si>
  <si>
    <t>Neutrophil collagenase (Fragment)</t>
  </si>
  <si>
    <t>Coiled-coil and C2 domain-containing protein 1B (Fragment)</t>
  </si>
  <si>
    <t>Apolipoprotein O (Fragment)</t>
  </si>
  <si>
    <t>Carboxy-terminal domain RNA polymerase II polypeptide A small phosphatase 1 (Fragment)</t>
  </si>
  <si>
    <t>Tetraspanin-15 (Fragment)</t>
  </si>
  <si>
    <t>39S ribosomal protein L23, mitochondrial (Fragment)</t>
  </si>
  <si>
    <t>Fanconi anemia-associated protein of 20 kDa (Fragment)</t>
  </si>
  <si>
    <t>Synaptosomal-associated protein 47 (Fragment)</t>
  </si>
  <si>
    <t>Protein FAM134A (Fragment)</t>
  </si>
  <si>
    <t>COX assembly mitochondrial protein homolog (Fragment)</t>
  </si>
  <si>
    <t>Glucosamine (N-acetyl)-6-sulfatase (Sanfilippo disease IIID), isoform CRA_b</t>
  </si>
  <si>
    <t>Protein ARV1 (Fragment)</t>
  </si>
  <si>
    <t>NEDD4 family-interacting protein 2 (Fragment)</t>
  </si>
  <si>
    <t>Isoamyl acetate-hydrolyzing esterase 1 homolog (Fragment)</t>
  </si>
  <si>
    <t>Poly [ADP-ribose] polymerase 14 (Fragment)</t>
  </si>
  <si>
    <t>Kinesin-like protein KIF18B</t>
  </si>
  <si>
    <t>Protein regulator of cytokinesis 1</t>
  </si>
  <si>
    <t>Solute carrier family 22 member 17</t>
  </si>
  <si>
    <t>Calcium uptake protein 1, mitochondrial</t>
  </si>
  <si>
    <t>GA binding protein transcription factor beta subunit 1 transcript variant gamma-2</t>
  </si>
  <si>
    <t>Serine/threonine-protein kinase SMG1</t>
  </si>
  <si>
    <t>Golgi SNAP receptor complex member 2 (Fragment)</t>
  </si>
  <si>
    <t>E3 ubiquitin-protein ligase RNF167</t>
  </si>
  <si>
    <t>Vesicle-fusing ATPase</t>
  </si>
  <si>
    <t>Sodium-coupled neutral amino acid transporter 2</t>
  </si>
  <si>
    <t>Diacylglycerol kinase epsilon (Fragment)</t>
  </si>
  <si>
    <t>Protein fantom</t>
  </si>
  <si>
    <t>Diphthamide biosynthesis protein 1 (Fragment)</t>
  </si>
  <si>
    <t>Myosin light chain 4 (Fragment)</t>
  </si>
  <si>
    <t>Myb-binding protein 1A (Fragment)</t>
  </si>
  <si>
    <t>Mitochondrial 2-oxoglutarate/malate carrier protein (Fragment)</t>
  </si>
  <si>
    <t>B-cell CLL/lymphoma 7 protein family member C (Fragment)</t>
  </si>
  <si>
    <t>Elongator complex protein 5 (Fragment)</t>
  </si>
  <si>
    <t>HCG30384, isoform CRA_d</t>
  </si>
  <si>
    <t>Clustered mitochondria protein homolog</t>
  </si>
  <si>
    <t>Gem-associated protein 4</t>
  </si>
  <si>
    <t>Protein capicua homolog</t>
  </si>
  <si>
    <t>5-azacytidine-induced protein 1</t>
  </si>
  <si>
    <t>Protein FAM195B</t>
  </si>
  <si>
    <t>Proline-, glutamic acid- and leucine-rich protein 1</t>
  </si>
  <si>
    <t>CTD nuclear envelope phosphatase 1 (Fragment)</t>
  </si>
  <si>
    <t>G1/S-specific cyclin-E1 (Fragment)</t>
  </si>
  <si>
    <t>ATP synthase mitochondrial F1 complex assembly factor 1</t>
  </si>
  <si>
    <t>Sperm-associated antigen 7</t>
  </si>
  <si>
    <t>KAT8 regulatory NSL complex subunit 1</t>
  </si>
  <si>
    <t>NF-kappa-B inhibitor beta (Fragment)</t>
  </si>
  <si>
    <t>Centromere protein I</t>
  </si>
  <si>
    <t>E3 ubiquitin-protein ligase UBR5</t>
  </si>
  <si>
    <t>Cactin</t>
  </si>
  <si>
    <t>SWI/SNF-related matrix-associated actin-dependent regulator of chromatin subfamily D member 2</t>
  </si>
  <si>
    <t>Epididymal secretory protein E1</t>
  </si>
  <si>
    <t>Integrator complex subunit 2</t>
  </si>
  <si>
    <t>Low-density lipoprotein receptor (Fragment)</t>
  </si>
  <si>
    <t>Phosphatidylinositol 4-kinase alpha</t>
  </si>
  <si>
    <t>Proteasome-associated protein ECM29 homolog</t>
  </si>
  <si>
    <t>Fibrosin-1-like protein</t>
  </si>
  <si>
    <t>26S proteasome non-ATPase regulatory subunit 9</t>
  </si>
  <si>
    <t>REST corepressor 1</t>
  </si>
  <si>
    <t>Serotransferrin</t>
  </si>
  <si>
    <t>Torsin-1A-interacting protein 1</t>
  </si>
  <si>
    <t>Tropomyosin alpha-3 chain</t>
  </si>
  <si>
    <t>Arylacetamide deacetylase-like 1</t>
  </si>
  <si>
    <t>Serine/threonine-protein phosphatase 6 regulatory ankyrin repeat subunit B</t>
  </si>
  <si>
    <t>Mitochondrial inner membrane protein OXA1L</t>
  </si>
  <si>
    <t>Mitogen-activated protein kinase kinase kinase 4</t>
  </si>
  <si>
    <t>RanBP2-like and GRIP domain-containing protein 3</t>
  </si>
  <si>
    <t>Copper chaperone for superoxide dismutase</t>
  </si>
  <si>
    <t>Centrosomal protein of 290 kDa</t>
  </si>
  <si>
    <t>Cytochrome b5 type B</t>
  </si>
  <si>
    <t>Conserved oligomeric Golgi complex subunit 4</t>
  </si>
  <si>
    <t>Septin-1</t>
  </si>
  <si>
    <t>Chitinase domain-containing protein 1</t>
  </si>
  <si>
    <t>Protein transport protein Sec16A</t>
  </si>
  <si>
    <t>Arf-GAP with GTPase, ANK repeat and PH domain-containing protein 2 (Fragment)</t>
  </si>
  <si>
    <t>Phosphorylase b kinase gamma catalytic chain, liver/testis isoform</t>
  </si>
  <si>
    <t>Probable ATP-dependent RNA helicase DDX41 (Fragment)</t>
  </si>
  <si>
    <t>BRCA1-associated protein</t>
  </si>
  <si>
    <t>Semaphorin-4B</t>
  </si>
  <si>
    <t>MAP/microtubule affinity-regulating kinase 3</t>
  </si>
  <si>
    <t>Zinc finger protein 292</t>
  </si>
  <si>
    <t>Four and a half LIM domains protein 2</t>
  </si>
  <si>
    <t>Unconventional myosin-XVIIIa</t>
  </si>
  <si>
    <t>Serine/arginine-rich-splicing factor 2 (Fragment)</t>
  </si>
  <si>
    <t>Signal-induced proliferation-associated 1-like protein 1</t>
  </si>
  <si>
    <t>Receptor-type tyrosine-protein phosphatase alpha</t>
  </si>
  <si>
    <t>Ankyrin repeat domain-containing protein 46 (Fragment)</t>
  </si>
  <si>
    <t>Phosphatase and actin regulator 2</t>
  </si>
  <si>
    <t>RAP1, GTPase activating protein 1, isoform CRA_e</t>
  </si>
  <si>
    <t>RNA binding motif protein 7, isoform CRA_c</t>
  </si>
  <si>
    <t>Kinesin-like protein KIF3A</t>
  </si>
  <si>
    <t>Proline-serine-threonine phosphatase-interacting protein 1</t>
  </si>
  <si>
    <t>Selenocysteine insertion sequence-binding protein 2-like (Fragment)</t>
  </si>
  <si>
    <t>Synaptojanin-1</t>
  </si>
  <si>
    <t>Calcium-independent phospholipase A2-gamma</t>
  </si>
  <si>
    <t>Calcineurin B homologous protein 3</t>
  </si>
  <si>
    <t>Beta-arrestin-1</t>
  </si>
  <si>
    <t>Rho GTPase activating protein 9, isoform CRA_a</t>
  </si>
  <si>
    <t>DnaJ (Hsp40) homolog, subfamily B, member 12, isoform CRA_c</t>
  </si>
  <si>
    <t>TraB domain-containing protein</t>
  </si>
  <si>
    <t>Histone deacetylase 2</t>
  </si>
  <si>
    <t>Anthrax toxin receptor 2</t>
  </si>
  <si>
    <t>Nuclear nucleic acid-binding protein C1D</t>
  </si>
  <si>
    <t>DNA-binding protein RFXANK</t>
  </si>
  <si>
    <t>Obg-like ATPase 1</t>
  </si>
  <si>
    <t>COP9 signalosome complex subunit 7b</t>
  </si>
  <si>
    <t>Trans-Golgi network integral membrane protein 2</t>
  </si>
  <si>
    <t>Peptidyl-tRNA hydrolase 2, mitochondrial</t>
  </si>
  <si>
    <t>F-box only protein 6 (Fragment)</t>
  </si>
  <si>
    <t>Uncharacterized protein C6orf203</t>
  </si>
  <si>
    <t>UPF0669 protein C6orf120</t>
  </si>
  <si>
    <t>Solute carrier family 25 member 36</t>
  </si>
  <si>
    <t>THUMP domain-containing protein 1</t>
  </si>
  <si>
    <t>Prostamide/prostaglandin F synthase</t>
  </si>
  <si>
    <t>GTP-binding nuclear protein Ran (Fragment)</t>
  </si>
  <si>
    <t>Glucosylceramidase</t>
  </si>
  <si>
    <t>Sulfatase-modifying factor 2</t>
  </si>
  <si>
    <t>Apolipoprotein L2</t>
  </si>
  <si>
    <t>BRISC and BRCA1-A complex member 1</t>
  </si>
  <si>
    <t>N-acyl-phosphatidylethanolamine-hydrolyzing phospholipase D</t>
  </si>
  <si>
    <t>Coiled-coil domain containing 12, isoform CRA_a</t>
  </si>
  <si>
    <t>Transcription initiation factor TFIID subunit 6</t>
  </si>
  <si>
    <t>Tubulin-specific chaperone D</t>
  </si>
  <si>
    <t>Uncharacterized protein C16orf55 (Fragment)</t>
  </si>
  <si>
    <t>Protein SSXT</t>
  </si>
  <si>
    <t>Chromobox protein homolog 1 (Fragment)</t>
  </si>
  <si>
    <t>Peptidyl-tRNA hydrolase ICT1, mitochondrial (Fragment)</t>
  </si>
  <si>
    <t>Transmembrane protein 199</t>
  </si>
  <si>
    <t>BTB/POZ domain-containing protein KCTD1 (Fragment)</t>
  </si>
  <si>
    <t>Hexosaminidase D (Fragment)</t>
  </si>
  <si>
    <t>F-box and leucine-rich repeat protein 20, isoform CRA_a</t>
  </si>
  <si>
    <t>Zinc finger protein 207 (Fragment)</t>
  </si>
  <si>
    <t>Serine/arginine-rich-splicing factor 1</t>
  </si>
  <si>
    <t>Calcium homeostasis endoplasmic reticulum protein</t>
  </si>
  <si>
    <t>Protein SCO1 homolog, mitochondrial</t>
  </si>
  <si>
    <t>Secernin-2</t>
  </si>
  <si>
    <t>Haptoglobin (Fragment)</t>
  </si>
  <si>
    <t>StAR-related lipid transfer protein 3</t>
  </si>
  <si>
    <t>28S ribosomal protein S7, mitochondrial</t>
  </si>
  <si>
    <t>Sorting nexin-11 (Fragment)</t>
  </si>
  <si>
    <t>SAP30-binding protein (Fragment)</t>
  </si>
  <si>
    <t>Trafficking protein particle complex subunit 8</t>
  </si>
  <si>
    <t>Myelin basic protein</t>
  </si>
  <si>
    <t>60S ribosomal protein L17 (Fragment)</t>
  </si>
  <si>
    <t>NADPH:adrenodoxin oxidoreductase, mitochondrial</t>
  </si>
  <si>
    <t>Centromere protein X (Fragment)</t>
  </si>
  <si>
    <t>YTH domain-containing protein 1</t>
  </si>
  <si>
    <t>Ribosomal protein L19</t>
  </si>
  <si>
    <t>CD226 antigen</t>
  </si>
  <si>
    <t>NAD kinase (Fragment)</t>
  </si>
  <si>
    <t>Fatty aldehyde dehydrogenase</t>
  </si>
  <si>
    <t>ORM1-like protein 3 (Fragment)</t>
  </si>
  <si>
    <t>Myosin regulatory light chain 12A</t>
  </si>
  <si>
    <t>Zinc finger protein 207</t>
  </si>
  <si>
    <t>Tyrosine-protein kinase Yes</t>
  </si>
  <si>
    <t>Vesicle-associated membrane protein 2</t>
  </si>
  <si>
    <t>Vascular endothelial zinc finger 1</t>
  </si>
  <si>
    <t>Protein cereblon (Fragment)</t>
  </si>
  <si>
    <t>BAG family molecular chaperone regulator 1</t>
  </si>
  <si>
    <t>Coiled-coil-helix-coiled-coil-helix domain-containing protein 6, mitochondrial</t>
  </si>
  <si>
    <t>Protein Njmu-R1</t>
  </si>
  <si>
    <t>Lamin B2, isoform CRA_a</t>
  </si>
  <si>
    <t>Transmembrane and coiled-coil domain-containing protein 1</t>
  </si>
  <si>
    <t>RWD domain containing 4A</t>
  </si>
  <si>
    <t>Cullin 4B, isoform CRA_e</t>
  </si>
  <si>
    <t>WW domain-binding protein 2 (Fragment)</t>
  </si>
  <si>
    <t>Protein syndesmos (Fragment)</t>
  </si>
  <si>
    <t>Protein YIPF2 (Fragment)</t>
  </si>
  <si>
    <t>Mothers against decapentaplegic homolog 4</t>
  </si>
  <si>
    <t>HEAT repeat-containing protein 6</t>
  </si>
  <si>
    <t>Syntaxin-10 (Fragment)</t>
  </si>
  <si>
    <t>40S ribosomal protein S15 (Fragment)</t>
  </si>
  <si>
    <t>Small nuclear ribonucleoprotein Sm D2</t>
  </si>
  <si>
    <t>Calreticulin (Fragment)</t>
  </si>
  <si>
    <t>Kinetochore protein Spc24 (Fragment)</t>
  </si>
  <si>
    <t>Signal peptidase complex catalytic subunit SEC11C</t>
  </si>
  <si>
    <t>Protein FAM210A (Fragment)</t>
  </si>
  <si>
    <t>Histone H3 (Fragment)</t>
  </si>
  <si>
    <t>Lon protease homolog, mitochondrial</t>
  </si>
  <si>
    <t>Ataxin-7-like protein 3 (Fragment)</t>
  </si>
  <si>
    <t>Periplakin</t>
  </si>
  <si>
    <t>Transmembrane and ubiquitin-like domain-containing protein 2 (Fragment)</t>
  </si>
  <si>
    <t>Hsp90 co-chaperone Cdc37 (Fragment)</t>
  </si>
  <si>
    <t>Protein phosphatase 1 regulatory subunit 12C (Fragment)</t>
  </si>
  <si>
    <t>Amino-terminal enhancer of split (Fragment)</t>
  </si>
  <si>
    <t>Glucosidase 2 subunit beta</t>
  </si>
  <si>
    <t>Katanin p60 ATPase-containing subunit A-like 2 (Fragment)</t>
  </si>
  <si>
    <t>Transmembrane protein 205 (Fragment)</t>
  </si>
  <si>
    <t>Transducin-like enhancer protein 2</t>
  </si>
  <si>
    <t>Zinc finger protein 444 (Fragment)</t>
  </si>
  <si>
    <t>Uncharacterized protein C19orf57</t>
  </si>
  <si>
    <t>Transcription elongation factor 1 homolog</t>
  </si>
  <si>
    <t>HCG2039718, isoform CRA_g</t>
  </si>
  <si>
    <t>Asparagine--tRNA ligase, cytoplasmic</t>
  </si>
  <si>
    <t>Uncharacterized protein C18orf8</t>
  </si>
  <si>
    <t>Cytohesin-1 (Fragment)</t>
  </si>
  <si>
    <t>Proteasome assembly chaperone 2</t>
  </si>
  <si>
    <t>Isochorismatase domain-containing protein 2, mitochondrial (Fragment)</t>
  </si>
  <si>
    <t>RNA-binding protein 42</t>
  </si>
  <si>
    <t>Protein C19orf12 (Fragment)</t>
  </si>
  <si>
    <t>Transmembrane protein 161A (Fragment)</t>
  </si>
  <si>
    <t>Tropomyosin alpha-4 chain (Fragment)</t>
  </si>
  <si>
    <t>Phenylalanine--tRNA ligase alpha subunit</t>
  </si>
  <si>
    <t>Mitogen-activated protein kinase kinase kinase kinase</t>
  </si>
  <si>
    <t>Eukaryotic translation initiation factor 3 subunit K</t>
  </si>
  <si>
    <t>Gap junction gamma-1 protein (Fragment)</t>
  </si>
  <si>
    <t>Protein YIF1B (Fragment)</t>
  </si>
  <si>
    <t>Zinc finger protein 580 (Fragment)</t>
  </si>
  <si>
    <t>Ubiquitin-conjugating enzyme E2 O (Fragment)</t>
  </si>
  <si>
    <t>Protein FAM86A</t>
  </si>
  <si>
    <t>UV excision repair protein RAD23 homolog A</t>
  </si>
  <si>
    <t>Nuclear factor 1 X-type (Fragment)</t>
  </si>
  <si>
    <t>Dynamin-2</t>
  </si>
  <si>
    <t>Dephospho-CoA kinase domain-containing protein (Fragment)</t>
  </si>
  <si>
    <t>Serine--tRNA ligase, mitochondrial</t>
  </si>
  <si>
    <t>Paf1, RNA polymerase II associated factor, homolog (S. cerevisiae), isoform CRA_c</t>
  </si>
  <si>
    <t>Kallikrein 3, (Prostate specific antigen), isoform CRA_a</t>
  </si>
  <si>
    <t>Protein Wiz</t>
  </si>
  <si>
    <t>Zinc finger protein 428 (Fragment)</t>
  </si>
  <si>
    <t>Epidermal growth factor receptor substrate 15-like 1 (Fragment)</t>
  </si>
  <si>
    <t>Zinc finger CCCH domain-containing protein 4 (Fragment)</t>
  </si>
  <si>
    <t>Tubulin beta-4A chain (Fragment)</t>
  </si>
  <si>
    <t>60S ribosomal protein L13a (Fragment)</t>
  </si>
  <si>
    <t>Protein Smaug homolog 2</t>
  </si>
  <si>
    <t>FCH domain only protein 1</t>
  </si>
  <si>
    <t>Josephin-2 (Fragment)</t>
  </si>
  <si>
    <t>Leukocyte antigen CD37 (Fragment)</t>
  </si>
  <si>
    <t>Rho guanine nucleotide exchange factor 1</t>
  </si>
  <si>
    <t>Zinc finger protein 575 (Fragment)</t>
  </si>
  <si>
    <t>KxDL motif-containing protein 1 (Fragment)</t>
  </si>
  <si>
    <t>40S ribosomal protein S5 (Fragment)</t>
  </si>
  <si>
    <t>AP-2 complex subunit sigma</t>
  </si>
  <si>
    <t>Ribosomal protein L34</t>
  </si>
  <si>
    <t>ER membrane protein complex subunit 10</t>
  </si>
  <si>
    <t>SH3KBP1 binding protein 1, isoform CRA_c</t>
  </si>
  <si>
    <t>Unconventional myosin-IXb (Fragment)</t>
  </si>
  <si>
    <t>Prenylated Rab acceptor protein 1</t>
  </si>
  <si>
    <t>Alkyldihydroxyacetonephosphate synthase, peroxisomal</t>
  </si>
  <si>
    <t>Isoform 3 of UBX domain-containing protein 8</t>
  </si>
  <si>
    <t>Kinesin-like protein KIF2A</t>
  </si>
  <si>
    <t>ATP-dependent RNA helicase DDX39A</t>
  </si>
  <si>
    <t>PDZ and LIM domain protein 1</t>
  </si>
  <si>
    <t>Isoform 4 of Cytosolic acyl coenzyme A thioester hydrolase</t>
  </si>
  <si>
    <t>Synaptosomal-associated protein 23</t>
  </si>
  <si>
    <t>HCLS1-associated protein X-1</t>
  </si>
  <si>
    <t>AH receptor-interacting protein</t>
  </si>
  <si>
    <t>GTP-binding protein 1</t>
  </si>
  <si>
    <t>Potassium channel subfamily K member 1</t>
  </si>
  <si>
    <t>Syntaxin-binding protein 3</t>
  </si>
  <si>
    <t>Galectin-8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</si>
  <si>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</si>
  <si>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</si>
  <si>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</si>
  <si>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</si>
  <si>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</si>
  <si>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Isoform 2 of Menin</t>
  </si>
  <si>
    <t>E3 SUMO-protein ligase CBX4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</si>
  <si>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</si>
  <si>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</si>
  <si>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</si>
  <si>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</si>
  <si>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</si>
  <si>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</si>
  <si>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</si>
  <si>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Phosphatidylinositol 4,5-bisphosphate 3-kinase catalytic subunit delta isoform</t>
  </si>
  <si>
    <t>Pyruvate dehydrogenase protein X component, mitochondrial</t>
  </si>
  <si>
    <t>Sulfhydryl oxidase 1</t>
  </si>
  <si>
    <t>Dynactin subunit 6</t>
  </si>
  <si>
    <t>Acetyl-coenzyme A transporter 1</t>
  </si>
  <si>
    <t>Importin-5</t>
  </si>
  <si>
    <t>Eukaryotic elongation factor 2 kinase</t>
  </si>
  <si>
    <t>Histone deacetylase complex subunit SAP18</t>
  </si>
  <si>
    <t>Insulin-like growth factor 2 mRNA-binding protein 3</t>
  </si>
  <si>
    <t>Dynamin-1-like protein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</si>
  <si>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</si>
  <si>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</si>
  <si>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</si>
  <si>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</si>
  <si>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Beta-mannosidase</t>
  </si>
  <si>
    <t>TNF receptor-associated factor 5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</si>
  <si>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</si>
  <si>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</si>
  <si>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</si>
  <si>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</si>
  <si>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</si>
  <si>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</si>
  <si>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</si>
  <si>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</si>
  <si>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</si>
  <si>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von Willebrand factor A domain-containing protein 5A</t>
  </si>
  <si>
    <t>Syntenin-1</t>
  </si>
  <si>
    <t>U3 small nucleolar ribonucleoprotein protein MPP10</t>
  </si>
  <si>
    <t>Nucleolar protein 56</t>
  </si>
  <si>
    <t>ATP-dependent RNA helicase DDX3X</t>
  </si>
  <si>
    <t>Importin subunit alpha-4</t>
  </si>
  <si>
    <t>Serine/threonine-protein phosphatase 6 catalytic subunit</t>
  </si>
  <si>
    <t>Isoform 2 of Lysosomal alpha-mannosidase</t>
  </si>
  <si>
    <t>Isoform 2 of Ubiquitin-conjugating enzyme E2 C</t>
  </si>
  <si>
    <t>Pyridoxal kinase</t>
  </si>
  <si>
    <t>Acyl-CoA desaturase</t>
  </si>
  <si>
    <t>AT-rich interactive domain-containing protein 1A</t>
  </si>
  <si>
    <t>Isoform 2 of Cyclin-dependent kinase 2-associated protein 1</t>
  </si>
  <si>
    <t>C2 domain-containing protein 2-like</t>
  </si>
  <si>
    <t>Isoform 2 of Transmembrane protein 194A</t>
  </si>
  <si>
    <t>Thioredoxin domain-containing protein 9</t>
  </si>
  <si>
    <t>TRAF-type zinc finger domain-containing protein 1</t>
  </si>
  <si>
    <t>Cytochrome c oxidase subunit 7A-related protein, mitochondrial</t>
  </si>
  <si>
    <t>Glyceraldehyde-3-phosphate dehydrogenase, testis-specific</t>
  </si>
  <si>
    <t>Acyl carrier protein, mitochondrial</t>
  </si>
  <si>
    <t>Cytochrome b561 domain-containing protein 2</t>
  </si>
  <si>
    <t>Isoform 4 of Citron Rho-interacting kinase</t>
  </si>
  <si>
    <t>Coatomer subunit epsilon</t>
  </si>
  <si>
    <t>Eukaryotic translation initiation factor 1A, Y-chromosomal</t>
  </si>
  <si>
    <t>Isoform 4 of AP-3 complex subunit delta-1</t>
  </si>
  <si>
    <t>Torsin-1A</t>
  </si>
  <si>
    <t>Torsin-1B</t>
  </si>
  <si>
    <t>Isoform A of Syntaxin-16</t>
  </si>
  <si>
    <t>Disintegrin and metalloproteinase domain-containing protein 10</t>
  </si>
  <si>
    <t>ATP-binding cassette sub-family D member 4</t>
  </si>
  <si>
    <t>Histone-lysine N-methyltransferase MLL2</t>
  </si>
  <si>
    <t>Isoform 2 of Inositol monophosphatase 2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</si>
  <si>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</si>
  <si>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</si>
  <si>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</si>
  <si>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</si>
  <si>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</si>
  <si>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</si>
  <si>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</si>
  <si>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Tripeptidyl-peptidase 1</t>
  </si>
  <si>
    <t>Isoform 3 of Guanine nucleotide-binding protein subunit beta-5</t>
  </si>
  <si>
    <t>Isoform 2 of Transcription elongation regulator 1</t>
  </si>
  <si>
    <t>Kinetochore protein NDC80 homolog</t>
  </si>
  <si>
    <t>Isoform 2 of Transportin-2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</si>
  <si>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</si>
  <si>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</si>
  <si>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</si>
  <si>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</si>
  <si>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</si>
  <si>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Isoform 2 of Gem-associated protein 2</t>
  </si>
  <si>
    <t>Tax1-binding protein 3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</si>
  <si>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</si>
  <si>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</si>
  <si>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</si>
  <si>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</si>
  <si>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</si>
  <si>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Cytochrome b-c1 complex subunit 8</t>
  </si>
  <si>
    <t>Hepatocyte growth factor-regulated tyrosine kinase substrate</t>
  </si>
  <si>
    <t>Aurora kinase A</t>
  </si>
  <si>
    <t>Ras-related protein Rab-7L1</t>
  </si>
  <si>
    <t>Calmegin</t>
  </si>
  <si>
    <t>Isoform 4 of Protein phosphatase 1 regulatory subunit 12A</t>
  </si>
  <si>
    <t>Isoform 2 of Very long-chain acyl-CoA synthetase</t>
  </si>
  <si>
    <t>Cyclin-G-associated kinase</t>
  </si>
  <si>
    <t>Heterogeneous nuclear ribonucleoprotein D-like</t>
  </si>
  <si>
    <t>Exportin-1</t>
  </si>
  <si>
    <t>TATA-binding protein-associated factor 172</t>
  </si>
  <si>
    <t>Zinc finger protein 609</t>
  </si>
  <si>
    <t>Zinc finger protein 646</t>
  </si>
  <si>
    <t>Isoform 2 of Spectrin beta chain, non-erythrocytic 2</t>
  </si>
  <si>
    <t>Tectonin beta-propeller repeat-containing protein 2</t>
  </si>
  <si>
    <t>Histone-lysine N-methyltransferase SETD1A</t>
  </si>
  <si>
    <t>Synaptojanin-2</t>
  </si>
  <si>
    <t>Kinesin-like protein KIF3B</t>
  </si>
  <si>
    <t>Phosphoribosylformylglycinamidine synthase</t>
  </si>
  <si>
    <t>Serine/threonine-protein phosphatase 6 regulatory ankyrin repeat subunit A</t>
  </si>
  <si>
    <t>Rho guanine nucleotide exchange factor 11</t>
  </si>
  <si>
    <t>Isoform 2 of Mitochondrial ribonuclease P protein 3</t>
  </si>
  <si>
    <t>Inhibitor of nuclear factor kappa-B kinase subunit alpha</t>
  </si>
  <si>
    <t>U6 snRNA-associated Sm-like protein LSm1</t>
  </si>
  <si>
    <t>FYN-binding protein</t>
  </si>
  <si>
    <t>Niemann-Pick C1 protein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</si>
  <si>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</si>
  <si>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</si>
  <si>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</si>
  <si>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</si>
  <si>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</si>
  <si>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</si>
  <si>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</si>
  <si>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Isoform 5 of Low-density lipoprotein receptor class A domain-containing protein 4</t>
  </si>
  <si>
    <t>Membrane-associated progesterone receptor component 2</t>
  </si>
  <si>
    <t>Prefoldin subunit 6</t>
  </si>
  <si>
    <t>WD repeat-containing protein 46</t>
  </si>
  <si>
    <t>Dihydroxyacetone phosphate acyltransferase</t>
  </si>
  <si>
    <t>Protein CASC3</t>
  </si>
  <si>
    <t>28S ribosomal protein S12, mitochondrial</t>
  </si>
  <si>
    <t>NADH dehydrogenase [ubiquinone] 1 alpha subcomplex subunit 1</t>
  </si>
  <si>
    <t>Peroxisomal acyl-coenzyme A oxidase 3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</si>
  <si>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</si>
  <si>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</si>
  <si>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</si>
  <si>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</si>
  <si>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</si>
  <si>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Midline-1</t>
  </si>
  <si>
    <t>High mobility group protein B3</t>
  </si>
  <si>
    <t>Protein phosphatase 1G</t>
  </si>
  <si>
    <t>Histone deacetylase 3</t>
  </si>
  <si>
    <t>Nuclear valosin-containing protein-like</t>
  </si>
  <si>
    <t>Branched-chain-amino-acid aminotransferase, mitochondrial</t>
  </si>
  <si>
    <t>Isoform 4 of Baculoviral IAP repeat-containing protein 5</t>
  </si>
  <si>
    <t>Importin-8</t>
  </si>
  <si>
    <t>Isoform 2 of Syntaxin-7</t>
  </si>
  <si>
    <t>Monocarboxylate transporter 4</t>
  </si>
  <si>
    <t>High affinity copper uptake protein 1</t>
  </si>
  <si>
    <t>Isoform 2 of Multidrug resistance-associated protein 4</t>
  </si>
  <si>
    <t>Synaptobrevin homolog YKT6</t>
  </si>
  <si>
    <t>Actin-related protein 2/3 complex subunit 5</t>
  </si>
  <si>
    <t>DNA-directed RNA polymerase II subunit RPB4</t>
  </si>
  <si>
    <t>3-phosphoinositide-dependent protein kinase 1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</si>
  <si>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</si>
  <si>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</si>
  <si>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</si>
  <si>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</si>
  <si>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</si>
  <si>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Plexin-B1</t>
  </si>
  <si>
    <t>Isoform 2 of E3 ubiquitin-protein ligase Praja-2</t>
  </si>
  <si>
    <t>Isoform 2 of U4/U6 small nuclear ribonucleoprotein Prp4</t>
  </si>
  <si>
    <t>D-3-phosphoglycerate dehydrogenase</t>
  </si>
  <si>
    <t>NADH dehydrogenase [ubiquinone] iron-sulfur protein 4, mitochondrial</t>
  </si>
  <si>
    <t>Cytoplasmic dynein 1 light intermediate chain 2</t>
  </si>
  <si>
    <t>26S proteasome non-ATPase regulatory subunit 3</t>
  </si>
  <si>
    <t>Bifunctional 3-phosphoadenosine 5-phosphosulfate synthase 1</t>
  </si>
  <si>
    <t>Centromere/kinetochore protein zw10 homolog</t>
  </si>
  <si>
    <t>U4/U6.U5 tri-snRNP-associated protein 1</t>
  </si>
  <si>
    <t>Kunitz-type protease inhibitor 2</t>
  </si>
  <si>
    <t>SLIT-ROBO Rho GTPase-activating protein 3</t>
  </si>
  <si>
    <t>Zinc finger and BTB domain-containing protein 43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</si>
  <si>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</si>
  <si>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</si>
  <si>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</si>
  <si>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Eukaryotic translation elongation factor 1 epsilon-1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</si>
  <si>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</si>
  <si>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</si>
  <si>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</si>
  <si>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</si>
  <si>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</si>
  <si>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52 kDa repressor of the inhibitor of the protein kinase</t>
  </si>
  <si>
    <t>Isoform Short of Acidic fibroblast growth factor intracellular-binding protein</t>
  </si>
  <si>
    <t>Peptidyl-prolyl cis-trans isomerase H</t>
  </si>
  <si>
    <t>Isoform 3 of Serine protease HTRA2, mitochondrial</t>
  </si>
  <si>
    <t>Protein Mis18-beta</t>
  </si>
  <si>
    <t>Aflatoxin B1 aldehyde reductase member 2</t>
  </si>
  <si>
    <t>DNA repair protein RAD51 homolog 3</t>
  </si>
  <si>
    <t>Ragulator complex protein LAMTOR5</t>
  </si>
  <si>
    <t>N-acetyllactosaminide beta-1,3-N-acetylglucosaminyltransferase</t>
  </si>
  <si>
    <t>Mediator of RNA polymerase II transcription subunit 7</t>
  </si>
  <si>
    <t>WAS/WASL-interacting protein family member 1</t>
  </si>
  <si>
    <t>Forkhead box protein O3</t>
  </si>
  <si>
    <t>DNA repair protein XRCC3</t>
  </si>
  <si>
    <t>DNA repair protein XRCC2</t>
  </si>
  <si>
    <t>Regulator of G-protein signaling 14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</si>
  <si>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</si>
  <si>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</si>
  <si>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</si>
  <si>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</si>
  <si>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</si>
  <si>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</si>
  <si>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</si>
  <si>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</si>
  <si>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Isoform 2 of Regulator of G-protein signaling 10</t>
  </si>
  <si>
    <t>NADH dehydrogenase [ubiquinone] 1 beta subcomplex subunit 5, mitochondrial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</si>
  <si>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</si>
  <si>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</si>
  <si>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</si>
  <si>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</si>
  <si>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</si>
  <si>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</si>
  <si>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</si>
  <si>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</si>
  <si>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</si>
  <si>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Isoform 2 of Integral membrane protein 2A</t>
  </si>
  <si>
    <t>Syntaxin-6</t>
  </si>
  <si>
    <t>Synaptogyrin-2</t>
  </si>
  <si>
    <t>Small glutamine-rich tetratricopeptide repeat-containing protein alpha</t>
  </si>
  <si>
    <t>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</si>
  <si>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</si>
  <si>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</si>
  <si>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</si>
  <si>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</si>
  <si>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</si>
  <si>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</si>
  <si>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</si>
  <si>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</si>
  <si>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</si>
  <si>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</si>
  <si>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Putative GTP-binding protein 6</t>
  </si>
  <si>
    <t>Zinc finger and BTB domain-containing protein 14</t>
  </si>
  <si>
    <t>Isocitrate dehydrogenase [NAD] subunit beta, mitochondrial</t>
  </si>
  <si>
    <t>Calumenin</t>
  </si>
  <si>
    <t>Isoform 2 of Probable phospholipid-transporting ATPase IIB</t>
  </si>
  <si>
    <t>Putative adenosylhomocysteinase 2</t>
  </si>
  <si>
    <t>Kinesin-like protein KIF1C</t>
  </si>
  <si>
    <t>Origin recognition complex subunit 5</t>
  </si>
  <si>
    <t>NADH dehydrogenase [ubiquinone] iron-sulfur protein 5</t>
  </si>
  <si>
    <t>Retinal rod rhodopsin-sensitive cGMP 3,5-cyclic phosphodiesterase subunit delta</t>
  </si>
  <si>
    <t>Peroxisome biogenesis factor 1</t>
  </si>
  <si>
    <t>Double-strand-break repair protein rad21 homolog</t>
  </si>
  <si>
    <t>Aldo-keto reductase family 1 member B10</t>
  </si>
  <si>
    <t>Mitochondrial import inner membrane translocase subunit Tim8 A</t>
  </si>
  <si>
    <t>Putative pre-mRNA-splicing factor ATP-dependent RNA helicase DHX16</t>
  </si>
  <si>
    <t>Glia maturation factor gamma</t>
  </si>
  <si>
    <t>SH3 domain-binding protein 5</t>
  </si>
  <si>
    <t>Mediator of RNA polymerase II transcription subunit 14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</si>
  <si>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</si>
  <si>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</si>
  <si>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</si>
  <si>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Isoform 4 of C-Jun-amino-terminal kinase-interacting protein 4</t>
  </si>
  <si>
    <t>Nucleolar pre-ribosomal-associated protein 1</t>
  </si>
  <si>
    <t>Leucine carboxyl methyltransferase 2</t>
  </si>
  <si>
    <t>Intron-binding protein aquarius</t>
  </si>
  <si>
    <t>Microtubule-associated serine/threonine-protein kinase 3</t>
  </si>
  <si>
    <t>Isoform 2 of Dynamin-like 120 kDa protein, mitochondrial</t>
  </si>
  <si>
    <t>Isoform 4 of Phosphatidylinositol 4-phosphate 5-kinase type-1 gamma</t>
  </si>
  <si>
    <t>Isoform 2 of Kinesin-like protein KIF1B</t>
  </si>
  <si>
    <t>Lysine-specific histone demethylase 1A</t>
  </si>
  <si>
    <t>Isoform 2 of TBC1 domain family member 4</t>
  </si>
  <si>
    <t>Isoform D of Endothelin-converting enzyme 2</t>
  </si>
  <si>
    <t>Isoform 2 of Frizzled-6</t>
  </si>
  <si>
    <t>Putative nucleoside diphosphate kinase</t>
  </si>
  <si>
    <t>Fatty acid desaturase 1</t>
  </si>
  <si>
    <t>Non-syndromic hearing impairment protein 5</t>
  </si>
  <si>
    <t>Mannosyl-oligosaccharide 1,2-alpha-mannosidase IB</t>
  </si>
  <si>
    <t>Isoform Short of Long-chain-fatty-acid--CoA ligase 4</t>
  </si>
  <si>
    <t>Sorting nexin-3</t>
  </si>
  <si>
    <t>Docking protein 2</t>
  </si>
  <si>
    <t>Isoform Beta of Vinexin</t>
  </si>
  <si>
    <t>Isoform 3 of Heterogeneous nuclear ribonucleoprotein Q</t>
  </si>
  <si>
    <t>Pre-mRNA-processing factor 17</t>
  </si>
  <si>
    <t>Ran-binding protein 6</t>
  </si>
  <si>
    <t>Isoform 4 of Nuclear export mediator factor NEMF</t>
  </si>
  <si>
    <t>GDP-mannose 4,6 dehydratase</t>
  </si>
  <si>
    <t>Glycylpeptide N-tetradecanoyltransferase 2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</si>
  <si>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</si>
  <si>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</si>
  <si>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</si>
  <si>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</si>
  <si>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</si>
  <si>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Isoform 3 of Exocyst complex component 3</t>
  </si>
  <si>
    <t>Perilipin-3</t>
  </si>
  <si>
    <t>Cell cycle checkpoint protein RAD1</t>
  </si>
  <si>
    <t>Protein arginine N-methyltransferase 3</t>
  </si>
  <si>
    <t>UDP-glucose 6-dehydrogenase</t>
  </si>
  <si>
    <t>Protein-tyrosine sulfotransferase 2</t>
  </si>
  <si>
    <t>Leupaxin</t>
  </si>
  <si>
    <t>Protein-S-isoprenylcysteine O-methyltransferase</t>
  </si>
  <si>
    <t>Eukaryotic translation initiation factor 1b</t>
  </si>
  <si>
    <t>Sorting nexin-2</t>
  </si>
  <si>
    <t>General vesicular transport factor p115</t>
  </si>
  <si>
    <t>28S ribosomal protein S14, mitochondrial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</si>
  <si>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</si>
  <si>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</si>
  <si>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</si>
  <si>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</si>
  <si>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H/ACA ribonucleoprotein complex subunit 4</t>
  </si>
  <si>
    <t>Eukaryotic translation initiation factor 5B</t>
  </si>
  <si>
    <t>E3 ubiquitin-protein ligase TRIM13</t>
  </si>
  <si>
    <t>Growth arrest-specific protein 7</t>
  </si>
  <si>
    <t>Endothelial differentiation-related factor 1</t>
  </si>
  <si>
    <t>DNA/RNA-binding protein KIN17</t>
  </si>
  <si>
    <t>SH2 domain-containing protein 1A</t>
  </si>
  <si>
    <t>Isoform D of SH2 domain-containing protein 1A</t>
  </si>
  <si>
    <t>DnaJ homolog subfamily A member 2</t>
  </si>
  <si>
    <t>Bromodomain-containing protein 4</t>
  </si>
  <si>
    <t>Isoform C of Protein CutA</t>
  </si>
  <si>
    <t>Sphingomyelin phosphodiesterase 2</t>
  </si>
  <si>
    <t>Cathepsin L2</t>
  </si>
  <si>
    <t>Prefoldin subunit 1</t>
  </si>
  <si>
    <t>Protein phosphatase 1 regulatory subunit 11</t>
  </si>
  <si>
    <t>Nibrin</t>
  </si>
  <si>
    <t>mRNA-capping enzyme</t>
  </si>
  <si>
    <t>ATP-binding cassette sub-family B member 7, mitochondrial</t>
  </si>
  <si>
    <t>SLIT-ROBO Rho GTPase-activating protein 2</t>
  </si>
  <si>
    <t>Immunoglobulin superfamily member 3</t>
  </si>
  <si>
    <t>Isoform 3 of Putative tyrosine-protein phosphatase auxilin</t>
  </si>
  <si>
    <t>Glycosaminoglycan xylosylkinase</t>
  </si>
  <si>
    <t>EF-hand calcium-binding domain-containing protein 14</t>
  </si>
  <si>
    <t>WD repeat-containing protein 1</t>
  </si>
  <si>
    <t>NEDD4-binding protein 1</t>
  </si>
  <si>
    <t>Rho-associated protein kinase 2</t>
  </si>
  <si>
    <t>Copine-3</t>
  </si>
  <si>
    <t>Isoform 2 of Autophagy-related protein 13</t>
  </si>
  <si>
    <t>Isoform 2 of Liprin-alpha-3</t>
  </si>
  <si>
    <t>Huntingtin-interacting protein 1-related protein</t>
  </si>
  <si>
    <t>E3 ubiquitin-protein ligase BRE1B</t>
  </si>
  <si>
    <t>Lysine-specific demethylase PHF2</t>
  </si>
  <si>
    <t>Zinc finger CCCH domain-containing protein 11A</t>
  </si>
  <si>
    <t>Cullin-associated NEDD8-dissociated protein 2</t>
  </si>
  <si>
    <t>Isoform 2 of TSC22 domain family protein 2</t>
  </si>
  <si>
    <t>Lysine-specific demethylase 4A</t>
  </si>
  <si>
    <t>DnaJ homolog subfamily C member 13</t>
  </si>
  <si>
    <t>Isoform 4 of Serine/threonine-protein phosphatase 6 regulatory subunit 2</t>
  </si>
  <si>
    <t>CCR4-NOT transcription complex subunit 3</t>
  </si>
  <si>
    <t>Calcium-responsive transactivator</t>
  </si>
  <si>
    <t>Isoform 2 of Ankyrin repeat domain-containing protein 17</t>
  </si>
  <si>
    <t>DnaJ homolog subfamily B member 6</t>
  </si>
  <si>
    <t>Xylulose kinase</t>
  </si>
  <si>
    <t>Ubiquinone biosynthesis protein COQ9, mitochondrial</t>
  </si>
  <si>
    <t>Gamma-glutamylcyclotransferase</t>
  </si>
  <si>
    <t>Transmembrane protein C19orf77</t>
  </si>
  <si>
    <t>NADH dehydrogenase [ubiquinone] iron-sulfur protein 2, mitochondrial</t>
  </si>
  <si>
    <t>Zinc finger protein ZPR1</t>
  </si>
  <si>
    <t>Ubiquitin carboxyl-terminal hydrolase 12</t>
  </si>
  <si>
    <t>Protein NipSnap homolog 2</t>
  </si>
  <si>
    <t>Semaphorin-7A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</si>
  <si>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</si>
  <si>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</si>
  <si>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</si>
  <si>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</si>
  <si>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</si>
  <si>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Zinc finger protein 217</t>
  </si>
  <si>
    <t>Isoform 1 of Core histone macro-H2A.1</t>
  </si>
  <si>
    <t>SH3 domain-binding glutamic acid-rich-like protein</t>
  </si>
  <si>
    <t>Isoform 8 of Filamin-B</t>
  </si>
  <si>
    <t>Nuclear receptor corepressor 1</t>
  </si>
  <si>
    <t>Isoform 2 of Vesicle-associated membrane protein 4</t>
  </si>
  <si>
    <t>NADH dehydrogenase [ubiquinone] iron-sulfur protein 6, mitochondrial</t>
  </si>
  <si>
    <t>Isoform 2 of Peroxisomal membrane protein PEX14</t>
  </si>
  <si>
    <t>Serine/threonine-protein kinase ULK1</t>
  </si>
  <si>
    <t>Vesicle-trafficking protein SEC22b</t>
  </si>
  <si>
    <t>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</si>
  <si>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</si>
  <si>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</si>
  <si>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</si>
  <si>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</si>
  <si>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</si>
  <si>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</si>
  <si>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</si>
  <si>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Katanin p60 ATPase-containing subunit A1</t>
  </si>
  <si>
    <t>PC4 and SFRS1-interacting protein</t>
  </si>
  <si>
    <t>Erlin-1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</si>
  <si>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</si>
  <si>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</si>
  <si>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</si>
  <si>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</si>
  <si>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KH domain-containing, RNA-binding, signal transduction-associated protein 3</t>
  </si>
  <si>
    <t>Transcriptional adapter 3</t>
  </si>
  <si>
    <t>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</si>
  <si>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</si>
  <si>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</si>
  <si>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</si>
  <si>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</si>
  <si>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Isoform 3 of Interferon-inducible double stranded RNA-dependent protein kinase activator A</t>
  </si>
  <si>
    <t>Peptide chain release factor 1, mitochondrial</t>
  </si>
  <si>
    <t>DNA-directed RNA polymerase III subunit RPC9</t>
  </si>
  <si>
    <t>Ribosomal protein S6 kinase alpha-5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</si>
  <si>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</si>
  <si>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</si>
  <si>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</si>
  <si>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</si>
  <si>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</si>
  <si>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U5 small nuclear ribonucleoprotein 200 kDa helicase</t>
  </si>
  <si>
    <t>Mitochondrial tRNA-specific 2-thiouridylase 1</t>
  </si>
  <si>
    <t>TIP41-like protein</t>
  </si>
  <si>
    <t>Surfeit locus protein 6</t>
  </si>
  <si>
    <t>Protein phosphatase 1B</t>
  </si>
  <si>
    <t>Small subunit processome component 20 homolog</t>
  </si>
  <si>
    <t>Isoform 2 of Nuclear pore complex protein Nup155</t>
  </si>
  <si>
    <t>Protein XRP2</t>
  </si>
  <si>
    <t>WD repeat and HMG-box DNA-binding protein 1</t>
  </si>
  <si>
    <t>Calcium-binding mitochondrial carrier protein Aralar1</t>
  </si>
  <si>
    <t>Paralemmin-1</t>
  </si>
  <si>
    <t>GRB2-related adapter protein 2</t>
  </si>
  <si>
    <t>Ribonuclease H2 subunit A</t>
  </si>
  <si>
    <t>Cell division cycle protein 123 homolog</t>
  </si>
  <si>
    <t>Calpain-15</t>
  </si>
  <si>
    <t>Ribonuclease P protein subunit p40</t>
  </si>
  <si>
    <t>Eukaryotic translation initiation factor 3 subunit G</t>
  </si>
  <si>
    <t>Eukaryotic translation initiation factor 3 subunit J</t>
  </si>
  <si>
    <t>Carbonyl reductase [NADPH] 3</t>
  </si>
  <si>
    <t>AP-1 complex subunit gamma-like 2</t>
  </si>
  <si>
    <t>CAAX prenyl protease 1 homolog</t>
  </si>
  <si>
    <t>Trafficking protein particle complex subunit 6A</t>
  </si>
  <si>
    <t>Isocitrate dehydrogenase [NADP] cytoplasmic</t>
  </si>
  <si>
    <t>Attractin</t>
  </si>
  <si>
    <t>Putative hydrolase RBBP9</t>
  </si>
  <si>
    <t>Signal transducing adapter molecule 2</t>
  </si>
  <si>
    <t>Tumor suppressor candidate 2</t>
  </si>
  <si>
    <t>Cyclin-K</t>
  </si>
  <si>
    <t>PRA1 family protein 3</t>
  </si>
  <si>
    <t>E3 SUMO-protein ligase PIAS1</t>
  </si>
  <si>
    <t>Isoform PIAS2-alpha of E3 SUMO-protein ligase PIAS2</t>
  </si>
  <si>
    <t>Pre-mRNA-splicing factor SPF27</t>
  </si>
  <si>
    <t>Dynactin subunit 3</t>
  </si>
  <si>
    <t>DnaJ homolog subfamily C member 8</t>
  </si>
  <si>
    <t>Survival of motor neuron-related-splicing factor 30</t>
  </si>
  <si>
    <t>Isoform 4 of Cell cycle checkpoint protein RAD17</t>
  </si>
  <si>
    <t>ATP synthase subunit d, mitochondrial</t>
  </si>
  <si>
    <t>Flotillin-1</t>
  </si>
  <si>
    <t>ATP synthase subunit g, mitochondrial</t>
  </si>
  <si>
    <t>C1q-related factor</t>
  </si>
  <si>
    <t>Carboxypeptidase D</t>
  </si>
  <si>
    <t>SAM and SH3 domain-containing protein 3</t>
  </si>
  <si>
    <t>Glutaredoxin-3</t>
  </si>
  <si>
    <t>Ribosomal L1 domain-containing protein 1</t>
  </si>
  <si>
    <t>Wolframin</t>
  </si>
  <si>
    <t>ATP-dependent Clp protease ATP-binding subunit clpX-like, mitochondrial</t>
  </si>
  <si>
    <t>Isoform 2 of SEC14-like protein 2</t>
  </si>
  <si>
    <t>Probable cytosolic iron-sulfur protein assembly protein CIAO1</t>
  </si>
  <si>
    <t>AN1-type zinc finger protein 5</t>
  </si>
  <si>
    <t>Signal recognition particle subunit SRP72</t>
  </si>
  <si>
    <t>Isoform 2 of Protein JTB</t>
  </si>
  <si>
    <t>Cystatin-F</t>
  </si>
  <si>
    <t>ATP-dependent DNA helicase Q5</t>
  </si>
  <si>
    <t>Unconventional prefoldin RPB5 interactor 1</t>
  </si>
  <si>
    <t>Isoform 4 of Unconventional prefoldin RPB5 interactor 1</t>
  </si>
  <si>
    <t>Galactosylgalactosylxylosylprotein 3-beta-glucuronosyltransferase 3</t>
  </si>
  <si>
    <t>Metastasis-associated protein MTA2</t>
  </si>
  <si>
    <t>Ubiquitin carboxyl-terminal hydrolase 1</t>
  </si>
  <si>
    <t>Serine/threonine-protein kinase 10</t>
  </si>
  <si>
    <t>Kelch repeat and BTB domain-containing protein 11</t>
  </si>
  <si>
    <t>Mitochondrial import receptor subunit TOM70</t>
  </si>
  <si>
    <t>Importin-13</t>
  </si>
  <si>
    <t>Phospholipase DDHD2</t>
  </si>
  <si>
    <t>Unconventional myosin-Id</t>
  </si>
  <si>
    <t>Protein transport protein Sec24D</t>
  </si>
  <si>
    <t>Isoform 2 of STAGA complex 65 subunit gamma</t>
  </si>
  <si>
    <t>E3 UFM1-protein ligase 1</t>
  </si>
  <si>
    <t>PHD finger protein 14</t>
  </si>
  <si>
    <t>Transmembrane protein 63A</t>
  </si>
  <si>
    <t>UBX domain-containing protein 7</t>
  </si>
  <si>
    <t>Thymocyte selection-associated high mobility group box protein TOX</t>
  </si>
  <si>
    <t>Proline synthase co-transcribed bacterial homolog protein</t>
  </si>
  <si>
    <t>Erlin-2</t>
  </si>
  <si>
    <t>Pre-mRNA-processing factor 6</t>
  </si>
  <si>
    <t>Pre-mRNA cleavage complex 2 protein Pcf11</t>
  </si>
  <si>
    <t>Endonuclease domain-containing 1 protein</t>
  </si>
  <si>
    <t>Glutaminase kidney isoform, mitochondrial</t>
  </si>
  <si>
    <t>Isoform 3 of Glutaminase kidney isoform, mitochondrial</t>
  </si>
  <si>
    <t>HAUS augmin-like complex subunit 5</t>
  </si>
  <si>
    <t>Isoform 2 of F-box only protein 21</t>
  </si>
  <si>
    <t>Isoform 7 of Ubiquitin carboxyl-terminal hydrolase 19</t>
  </si>
  <si>
    <t>Isoform 2 of WD repeat-containing protein 47</t>
  </si>
  <si>
    <t>AP-2 complex subunit alpha-2</t>
  </si>
  <si>
    <t>Isoform 2 of 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</si>
  <si>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</si>
  <si>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</si>
  <si>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</si>
  <si>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</si>
  <si>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</si>
  <si>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</si>
  <si>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</si>
  <si>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</si>
  <si>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</si>
  <si>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</si>
  <si>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</si>
  <si>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</si>
  <si>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NADH dehydrogenase [ubiquinone] 1 alpha subcomplex subunit 7</t>
  </si>
  <si>
    <t>Vesicle-associated membrane protein 5</t>
  </si>
  <si>
    <t>Isoform 2 of Chondroitin sulfate proteoglycan 5</t>
  </si>
  <si>
    <t>Isoform 2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</si>
  <si>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</si>
  <si>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</si>
  <si>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</si>
  <si>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</si>
  <si>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Luc7-like protein 3</t>
  </si>
  <si>
    <t>Kinesin-like protein KIF20A</t>
  </si>
  <si>
    <t>Chromosome-associated kinesin KIF4A</t>
  </si>
  <si>
    <t>Isoform 4 of Histone acetyltransferase KAT7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</si>
  <si>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</si>
  <si>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</si>
  <si>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</si>
  <si>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</si>
  <si>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</si>
  <si>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</si>
  <si>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</si>
  <si>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</si>
  <si>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</si>
  <si>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</si>
  <si>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</si>
  <si>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</si>
  <si>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</si>
  <si>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</si>
  <si>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</si>
  <si>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</si>
  <si>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</si>
  <si>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Zinc finger FYVE domain-containing protein 9</t>
  </si>
  <si>
    <t>GPI ethanolamine phosphate transferase 1</t>
  </si>
  <si>
    <t>Isoform 2 of BAG family molecular chaperone regulator 4</t>
  </si>
  <si>
    <t>Activator of 90 kDa heat shock protein ATPase homolog 1</t>
  </si>
  <si>
    <t>Isoform 2 of Poly(A)-specific ribonuclease PARN</t>
  </si>
  <si>
    <t>Proteasome assembly chaperone 1</t>
  </si>
  <si>
    <t>Isoform 2 of Formin-like protein 1</t>
  </si>
  <si>
    <t>Sphingosine-1-phosphate lyase 1</t>
  </si>
  <si>
    <t>Synaptogyrin-4</t>
  </si>
  <si>
    <t>Homeobox protein SIX6</t>
  </si>
  <si>
    <t>Protein transport protein Sec24A</t>
  </si>
  <si>
    <t>Isoform 2 of Protein transport protein Sec24B</t>
  </si>
  <si>
    <t>NAD kinase</t>
  </si>
  <si>
    <t>Tyrosyl-DNA phosphodiesterase 2</t>
  </si>
  <si>
    <t>Histidine protein methyltransferase 1 homolog</t>
  </si>
  <si>
    <t>Protein ETHE1, mitochondrial</t>
  </si>
  <si>
    <t>Long-chain-fatty-acid--CoA ligase 3</t>
  </si>
  <si>
    <t>DNA-directed RNA polymerase I subunit RPA1</t>
  </si>
  <si>
    <t>YEATS domain-containing protein 4</t>
  </si>
  <si>
    <t>tRNA-dihydrouridine(20a/20b) synthase [NAD(P)+]-like</t>
  </si>
  <si>
    <t>Isoform 3 of CCR4-NOT transcription complex subunit 4</t>
  </si>
  <si>
    <t>STAM-binding protein</t>
  </si>
  <si>
    <t>Isoform 3 of Cleavage and polyadenylation specificity factor subunit 4</t>
  </si>
  <si>
    <t>Isoform 2 of N-acetylserotonin O-methyltransferase-like protein</t>
  </si>
  <si>
    <t>Phosphatidate cytidylyltransferase 2</t>
  </si>
  <si>
    <t>FGFR1 oncogene partner</t>
  </si>
  <si>
    <t>Ras-related protein Rab-3D</t>
  </si>
  <si>
    <t>Synaptosomal-associated protein 29</t>
  </si>
  <si>
    <t>Serine/threonine-protein kinase OSR1</t>
  </si>
  <si>
    <t>Geranylgeranyl pyrophosphate synthase</t>
  </si>
  <si>
    <t>N-alpha-acetyltransferase 38, NatC auxiliary subunit</t>
  </si>
  <si>
    <t>Isoform B of AP-2 complex subunit alpha-1</t>
  </si>
  <si>
    <t>Probable ATP-dependent RNA helicase DDX58</t>
  </si>
  <si>
    <t>Tetratricopeptide repeat protein 4</t>
  </si>
  <si>
    <t>Transmembrane protein 50A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</si>
  <si>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</si>
  <si>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</si>
  <si>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</si>
  <si>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</si>
  <si>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</si>
  <si>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Isoform 2 of Echinoderm microtubule-associated protein-like 2</t>
  </si>
  <si>
    <t>Guanine nucleotide-binding protein subunit alpha-14</t>
  </si>
  <si>
    <t>Uridine diphosphate glucose pyrophosphatase</t>
  </si>
  <si>
    <t>3(2),5-bisphosphate nucleotidase 1</t>
  </si>
  <si>
    <t>Fatty acid desaturase 2</t>
  </si>
  <si>
    <t>N(G),N(G)-dimethylarginine dimethylaminohydrolase 2</t>
  </si>
  <si>
    <t>Uncharacterized protein C6orf47</t>
  </si>
  <si>
    <t>Thioredoxin domain-containing protein 12</t>
  </si>
  <si>
    <t>Isoform 2 of Protein SGT1</t>
  </si>
  <si>
    <t>Pre-mRNA-splicing factor SYF2</t>
  </si>
  <si>
    <t>Reversion-inducing cysteine-rich protein with Kazal motifs</t>
  </si>
  <si>
    <t>Isoform 2 of Methyl-CpG-binding domain protein 3</t>
  </si>
  <si>
    <t>Diphosphoinositol polyphosphate phosphohydrolase 1</t>
  </si>
  <si>
    <t>Securin</t>
  </si>
  <si>
    <t>B-cell lymphoma/leukemia 10</t>
  </si>
  <si>
    <t>NADH dehydrogenase [ubiquinone] 1 beta subcomplex subunit 10</t>
  </si>
  <si>
    <t>Zinc finger BED domain-containing protein 1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</si>
  <si>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</si>
  <si>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</si>
  <si>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</si>
  <si>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</si>
  <si>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</si>
  <si>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Actin-like protein 6A</t>
  </si>
  <si>
    <t>Molybdopterin synthase sulfur carrier subunit</t>
  </si>
  <si>
    <t>Isoform 2 of Cytochrome b5</t>
  </si>
  <si>
    <t>Alcohol dehydrogenase 1C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</si>
  <si>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</si>
  <si>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</si>
  <si>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</si>
  <si>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</si>
  <si>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</si>
  <si>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</si>
  <si>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</si>
  <si>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</si>
  <si>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</si>
  <si>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</si>
  <si>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</si>
  <si>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</si>
  <si>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</si>
  <si>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Adenosine deaminase</t>
  </si>
  <si>
    <t>ATP synthase subunit a</t>
  </si>
  <si>
    <t>Argininosuccinate synthase</t>
  </si>
  <si>
    <t>Isoform 2 of Alpha-1-antitrypsin</t>
  </si>
  <si>
    <t>Alpha-2-macroglobulin</t>
  </si>
  <si>
    <t>Complement C3</t>
  </si>
  <si>
    <t>Cystatin-SN</t>
  </si>
  <si>
    <t>GTPase NRas</t>
  </si>
  <si>
    <t>GTPase HRas</t>
  </si>
  <si>
    <t>Isoform 2B of GTPase KRas</t>
  </si>
  <si>
    <t>Transforming growth factor beta-1</t>
  </si>
  <si>
    <t>T-cell surface glycoprotein CD4</t>
  </si>
  <si>
    <t>T-cell receptor beta chain V region YT35</t>
  </si>
  <si>
    <t>T-cell receptor alpha chain V region PY14</t>
  </si>
  <si>
    <t>Polymeric immunoglobulin receptor</t>
  </si>
  <si>
    <t>Ig kappa chain C region</t>
  </si>
  <si>
    <t>T-cell receptor alpha chain C region</t>
  </si>
  <si>
    <t>T-cell receptor beta-1 chain C region</t>
  </si>
  <si>
    <t>HLA class I histocompatibility antigen, B-7 alpha chain</t>
  </si>
  <si>
    <t>Hemoglobin subunit zeta</t>
  </si>
  <si>
    <t>Prelamin-A/C</t>
  </si>
  <si>
    <t>Complement C1q subcomponent subunit C</t>
  </si>
  <si>
    <t>Alpha-1-acid glycoprotein 1</t>
  </si>
  <si>
    <t>Transthyretin</t>
  </si>
  <si>
    <t>Transferrin receptor protein 1</t>
  </si>
  <si>
    <t>Ferritin light chain</t>
  </si>
  <si>
    <t>Ferritin heavy chain</t>
  </si>
  <si>
    <t>Metallothionein-2</t>
  </si>
  <si>
    <t>NADH-ubiquinone oxidoreductase chain 3</t>
  </si>
  <si>
    <t>ATP synthase protein 8</t>
  </si>
  <si>
    <t>Catalase</t>
  </si>
  <si>
    <t>Isoform 2 of DNA nucleotidylexotransferase</t>
  </si>
  <si>
    <t>Tissue alpha-L-fucosidase</t>
  </si>
  <si>
    <t>Fructose-bisphosphate aldolase A</t>
  </si>
  <si>
    <t>Cystatin-B</t>
  </si>
  <si>
    <t>Annexin A1</t>
  </si>
  <si>
    <t>Apolipoprotein B-100</t>
  </si>
  <si>
    <t>Isoform GR-A beta of Glucocorticoid receptor</t>
  </si>
  <si>
    <t>Ornithine aminotransferase, mitochondrial</t>
  </si>
  <si>
    <t>Thymidine kinase, cytosolic</t>
  </si>
  <si>
    <t>T-cell surface glycoprotein CD3 delta chain</t>
  </si>
  <si>
    <t>Keratin, type II cytoskeletal 1</t>
  </si>
  <si>
    <t>von Willebrand factor</t>
  </si>
  <si>
    <t>Tubulin beta-4A chain</t>
  </si>
  <si>
    <t>Glyceraldehyde-3-phosphate dehydrogenase</t>
  </si>
  <si>
    <t>Isoform 2 of Glyceraldehyde-3-phosphate dehydrogenase</t>
  </si>
  <si>
    <t>Argininosuccinate lyase</t>
  </si>
  <si>
    <t>Calpain small subunit 1</t>
  </si>
  <si>
    <t>Alpha-amylase 1</t>
  </si>
  <si>
    <t>Thymidylate synthase</t>
  </si>
  <si>
    <t>Dolichyl-diphosphooligosaccharide--protein glycosyltransferase subunit 1</t>
  </si>
  <si>
    <t>Dolichyl-diphosphooligosaccharide--protein glycosyltransferase subunit 2</t>
  </si>
  <si>
    <t>Guanine nucleotide-binding protein G(i) subunit alpha-2</t>
  </si>
  <si>
    <t>Isoform B1 of Anion exchange protein 2</t>
  </si>
  <si>
    <t>Isoform Glycophorin-D of Glycophorin-C</t>
  </si>
  <si>
    <t>Isoform 4 of Sodium/potassium-transporting ATPase subunit alpha-1</t>
  </si>
  <si>
    <t>Fructose-bisphosphate aldolase B</t>
  </si>
  <si>
    <t>Isoform 3 of Arginase-1</t>
  </si>
  <si>
    <t>Integrin beta-3</t>
  </si>
  <si>
    <t>Integrin beta-2</t>
  </si>
  <si>
    <t>Protein S100-A8</t>
  </si>
  <si>
    <t>Non-histone chromosomal protein HMG-14</t>
  </si>
  <si>
    <t>Plasminogen activator inhibitor 2</t>
  </si>
  <si>
    <t>Isoform 2 of Plasminogen activator inhibitor 1</t>
  </si>
  <si>
    <t>ADP/ATP translocase 2</t>
  </si>
  <si>
    <t>Ubiquitin-like protein ISG15</t>
  </si>
  <si>
    <t>Isoform 2 of Propionyl-CoA carboxylase alpha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</si>
  <si>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</si>
  <si>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</si>
  <si>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</si>
  <si>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</si>
  <si>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</si>
  <si>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</si>
  <si>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Transcription factor AP-1</t>
  </si>
  <si>
    <t>DNA-directed RNA polymerase III subunit RPC4</t>
  </si>
  <si>
    <t>Lupus La protein</t>
  </si>
  <si>
    <t>Integrin beta-1</t>
  </si>
  <si>
    <t>Isoform Beta-II of Protein kinase C beta type</t>
  </si>
  <si>
    <t>T-cell surface glycoprotein CD1a</t>
  </si>
  <si>
    <t>T-cell surface glycoprotein CD5</t>
  </si>
  <si>
    <t>Uroporphyrinogen decarboxylase</t>
  </si>
  <si>
    <t>Tyrosine-protein kinase Lck</t>
  </si>
  <si>
    <t>Isoform 2 of Tyrosine-protein kinase Fyn</t>
  </si>
  <si>
    <t>Alpha-galactosidase A</t>
  </si>
  <si>
    <t>Isoform 2 of Gelsolin</t>
  </si>
  <si>
    <t>Retinoblastoma-associated protein</t>
  </si>
  <si>
    <t>Cyclin-dependent kinase 1</t>
  </si>
  <si>
    <t>ATP synthase subunit beta, mitochondrial</t>
  </si>
  <si>
    <t>Protein S100-A9</t>
  </si>
  <si>
    <t>T-cell surface antigen CD2</t>
  </si>
  <si>
    <t>Alpha-enolase</t>
  </si>
  <si>
    <t>Isoform MBP-1 of Alpha-enolase</t>
  </si>
  <si>
    <t>Glucose-6-phosphate isomerase</t>
  </si>
  <si>
    <t>DNA polymerase beta</t>
  </si>
  <si>
    <t>Nucleophosmin</t>
  </si>
  <si>
    <t>Isoform 2 of Tropomyosin alpha-3 chain</t>
  </si>
  <si>
    <t>Isoform 3 of Tropomyosin alpha-3 chain</t>
  </si>
  <si>
    <t>Isoform 5 of Tropomyosin alpha-3 chain</t>
  </si>
  <si>
    <t>Isoform 3 of Integrin alpha-V</t>
  </si>
  <si>
    <t>Epoxide hydrolase 1</t>
  </si>
  <si>
    <t>Acyl-CoA-binding protein</t>
  </si>
  <si>
    <t>L-lactate dehydrogenase B chain</t>
  </si>
  <si>
    <t>Glutathione peroxidase 1</t>
  </si>
  <si>
    <t>Phosphoglycerate kinase 2</t>
  </si>
  <si>
    <t>Protein disulfide-isomerase</t>
  </si>
  <si>
    <t>Isoform 2 of Histone H1.0</t>
  </si>
  <si>
    <t>Cathepsin D</t>
  </si>
  <si>
    <t>Annexin A2</t>
  </si>
  <si>
    <t>Calpain-1 catalytic subunit</t>
  </si>
  <si>
    <t>Beta-hexosaminidase subunit beta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</si>
  <si>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</si>
  <si>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</si>
  <si>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</si>
  <si>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</si>
  <si>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</si>
  <si>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</si>
  <si>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</si>
  <si>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</si>
  <si>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Isoform Cytoplasmic of Fumarate hydratase, mitochondrial</t>
  </si>
  <si>
    <t>Transcription factor Sp1</t>
  </si>
  <si>
    <t>Heat shock 70 kDa protein 1A/1B</t>
  </si>
  <si>
    <t>Annexin A6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</si>
  <si>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</si>
  <si>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</si>
  <si>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</si>
  <si>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</si>
  <si>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Pyruvate dehydrogenase E1 component subunit alpha, somatic form, mitochondrial</t>
  </si>
  <si>
    <t>Pleckstrin</t>
  </si>
  <si>
    <t>Monocyte differentiation antigen CD14</t>
  </si>
  <si>
    <t>Cytochrome c1, heme protein, mitochondrial</t>
  </si>
  <si>
    <t>Receptor-type tyrosine-protein phosphatase C</t>
  </si>
  <si>
    <t>U2 small nuclear ribonucleoprotein B</t>
  </si>
  <si>
    <t>Melanotransferrin</t>
  </si>
  <si>
    <t>Myosin light chain 3</t>
  </si>
  <si>
    <t>Isoform 2 of U1 small nuclear ribonucleoprotein 70 kDa</t>
  </si>
  <si>
    <t>Integrin alpha-5</t>
  </si>
  <si>
    <t>Isoform 3 of Nuclear factor 1 C-type</t>
  </si>
  <si>
    <t>Vimentin</t>
  </si>
  <si>
    <t>Guanine nucleotide-binding protein G(k) subunit alpha</t>
  </si>
  <si>
    <t>Annexin A5</t>
  </si>
  <si>
    <t>U1 small nuclear ribonucleoprotein A</t>
  </si>
  <si>
    <t>Gamma-enolase</t>
  </si>
  <si>
    <t>3-ketoacyl-CoA thiolase, peroxisomal</t>
  </si>
  <si>
    <t>Signal recognition particle 19 kDa protein</t>
  </si>
  <si>
    <t>Glutathione S-transferase P</t>
  </si>
  <si>
    <t>U1 small nuclear ribonucleoprotein C</t>
  </si>
  <si>
    <t>CD48 antigen</t>
  </si>
  <si>
    <t>Galectin-1</t>
  </si>
  <si>
    <t>Dihydropteridine reductase</t>
  </si>
  <si>
    <t>High mobility group protein B1</t>
  </si>
  <si>
    <t>Isoform Alpha-2 of Guanine nucleotide-binding protein G(o) subunit alpha</t>
  </si>
  <si>
    <t>Glutathione S-transferase Mu 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</si>
  <si>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</si>
  <si>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</si>
  <si>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</si>
  <si>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</si>
  <si>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T-cell antigen CD7</t>
  </si>
  <si>
    <t>Dihydrolipoyl dehydrogenase, mitochondrial</t>
  </si>
  <si>
    <t>U2 small nuclear ribonucleoprotein A</t>
  </si>
  <si>
    <t>Pro-cathepsin H</t>
  </si>
  <si>
    <t>Cytochrome c oxidase subunit 6C</t>
  </si>
  <si>
    <t>T-cell surface glycoprotein CD3 gamma chain</t>
  </si>
  <si>
    <t>Poly [ADP-ribose] polymerase 1</t>
  </si>
  <si>
    <t>Leukotriene A-4 hydrolase</t>
  </si>
  <si>
    <t>Fructose-bisphosphate aldolase C</t>
  </si>
  <si>
    <t>F-box/SPRY domain-containing protein 1</t>
  </si>
  <si>
    <t>CDGSH iron-sulfur domain-containing protein 3, mitochondrial</t>
  </si>
  <si>
    <t>Putative cytochrome b-c1 complex subunit Rieske-like protein 1</t>
  </si>
  <si>
    <t>Ataxin-1-like</t>
  </si>
  <si>
    <t>DNA-directed RNA polymerase II subunit GRINL1A</t>
  </si>
  <si>
    <t>Chromosome transmission fidelity protein 8 homolog isoform 2</t>
  </si>
  <si>
    <t>Chromosome transmission fidelity protein 8 homolog</t>
  </si>
  <si>
    <t>40S ribosomal protein S17-like</t>
  </si>
  <si>
    <t>Small integral membrane protein 13</t>
  </si>
  <si>
    <t>Adrenodoxin, mitochondrial</t>
  </si>
  <si>
    <t>60 kDa SS-A/Ro ribonucleoprotein</t>
  </si>
  <si>
    <t>Cytochrome c oxidase subunit 8A, mitochondrial</t>
  </si>
  <si>
    <t>Lysosomal alpha-glucosidase</t>
  </si>
  <si>
    <t>Ras-related protein R-Ras</t>
  </si>
  <si>
    <t>Serine/threonine-protein kinase A-Raf</t>
  </si>
  <si>
    <t>Histone H1.4</t>
  </si>
  <si>
    <t>Dihydrolipoyllysine-residue acetyltransferase component of pyruvate dehydrogenase complex, mitochondrial</t>
  </si>
  <si>
    <t>Isoform 2 of Receptor-type tyrosine-protein phosphatase F</t>
  </si>
  <si>
    <t>Thioredoxin</t>
  </si>
  <si>
    <t>Cytochrome c oxidase subunit 5B, mitochondrial</t>
  </si>
  <si>
    <t>Lysosomal protective protein</t>
  </si>
  <si>
    <t>Isoform Tau-B of Microtubule-associated protein tau</t>
  </si>
  <si>
    <t>cAMP-dependent protein kinase type I-alpha regulatory subunit</t>
  </si>
  <si>
    <t>Isoform 2 of Mast/stem cell growth factor receptor Kit</t>
  </si>
  <si>
    <t>Uroporphyrinogen-III synthase</t>
  </si>
  <si>
    <t>T-cell-specific surface glycoprotein CD28</t>
  </si>
  <si>
    <t>S-formylglutathione hydrolase</t>
  </si>
  <si>
    <t>60 kDa heat shock protein, mitochondrial</t>
  </si>
  <si>
    <t>78 kDa glucose-regulated protein</t>
  </si>
  <si>
    <t>Heat shock cognate 71 kDa protein</t>
  </si>
  <si>
    <t>Solute carrier family 2, facilitated glucose transporter member 1</t>
  </si>
  <si>
    <t>Solute carrier family 2, facilitated glucose transporter member 3</t>
  </si>
  <si>
    <t>Isoform 2 of Protein 4.1</t>
  </si>
  <si>
    <t>Isoform 4 of Protein 4.1</t>
  </si>
  <si>
    <t>Uridine 5-monophosphate synthase</t>
  </si>
  <si>
    <t>Isoform 2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</si>
  <si>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</si>
  <si>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</si>
  <si>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</si>
  <si>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Ras-related protein Ral-B</t>
  </si>
  <si>
    <t>Breakpoint cluster region protein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</si>
  <si>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</si>
  <si>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</si>
  <si>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</si>
  <si>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</si>
  <si>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</si>
  <si>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</si>
  <si>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</si>
  <si>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</si>
  <si>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</si>
  <si>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</si>
  <si>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</si>
  <si>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Isoform 2 of Ribose-phosphate pyrophosphokinase 2</t>
  </si>
  <si>
    <t>Ornithine decarboxylase</t>
  </si>
  <si>
    <t>Polyadenylate-binding protein 1</t>
  </si>
  <si>
    <t>Proliferating cell nuclear antigen</t>
  </si>
  <si>
    <t>Histidine--tRNA ligase, cytoplasmic</t>
  </si>
  <si>
    <t>ADP/ATP translocase 1</t>
  </si>
  <si>
    <t>ADP/ATP translocase 3</t>
  </si>
  <si>
    <t>Inosine-5-monophosphate dehydrogenase 2</t>
  </si>
  <si>
    <t>Nucleoprotein TPR</t>
  </si>
  <si>
    <t>Prolactin-inducible protein</t>
  </si>
  <si>
    <t>Creatine kinase B-type</t>
  </si>
  <si>
    <t>Annexin A3</t>
  </si>
  <si>
    <t>Creatine kinase U-type, mitochondrial</t>
  </si>
  <si>
    <t>Isoform beta of Granzyme A</t>
  </si>
  <si>
    <t>Alpha-actinin-1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</si>
  <si>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</si>
  <si>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</si>
  <si>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</si>
  <si>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</si>
  <si>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Uracil-DNA glycosylase</t>
  </si>
  <si>
    <t>Isoform 1 of Uracil-DNA glycosylase</t>
  </si>
  <si>
    <t>Nuclear receptor subfamily 2 group C member 1</t>
  </si>
  <si>
    <t>Cytochrome c oxidase subunit 4 isoform 1, mitochondrial</t>
  </si>
  <si>
    <t>5-aminolevulinate synthase, nonspecific, mitochondrial</t>
  </si>
  <si>
    <t>Gamma-interferon-inducible lysosomal thiol reductase</t>
  </si>
  <si>
    <t>Ribonuclease inhibitor</t>
  </si>
  <si>
    <t>Intercellular adhesion molecule 2</t>
  </si>
  <si>
    <t>Integrin alpha-4</t>
  </si>
  <si>
    <t>Sodium/potassium-transporting ATPase subunit alpha-3</t>
  </si>
  <si>
    <t>Elongation factor 2</t>
  </si>
  <si>
    <t>Protein disulfide-isomerase A4</t>
  </si>
  <si>
    <t>Isoform 2 of Prolyl 4-hydroxylase subunit alpha-1</t>
  </si>
  <si>
    <t>Translationally-controlled tumor protein</t>
  </si>
  <si>
    <t>Plastin-2</t>
  </si>
  <si>
    <t>Electron transfer flavoprotein subunit alpha, mitochondrial</t>
  </si>
  <si>
    <t>Isoform 2 of Glycogen [starch] synthase, muscle</t>
  </si>
  <si>
    <t>cAMP-dependent protein kinase type II-alpha regulatory subunit</t>
  </si>
  <si>
    <t>Isoform 2 of Beta-enolase</t>
  </si>
  <si>
    <t>General transcription factor IIF subunit 2</t>
  </si>
  <si>
    <t>Bifunctional methylenetetrahydrofolate dehydrogenase/cyclohydrolase, mitochondrial</t>
  </si>
  <si>
    <t>Isoform 3 of Glial fibrillary acidic protein</t>
  </si>
  <si>
    <t>L-selectin</t>
  </si>
  <si>
    <t>Macrophage migration inhibitory factor</t>
  </si>
  <si>
    <t>Isoform 3 of CD99 antigen</t>
  </si>
  <si>
    <t>Hematopoietic lineage cell-specific protein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</si>
  <si>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</si>
  <si>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</si>
  <si>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</si>
  <si>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</si>
  <si>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Acylphosphatase-2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</si>
  <si>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</si>
  <si>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</si>
  <si>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</si>
  <si>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</si>
  <si>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</si>
  <si>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</si>
  <si>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</si>
  <si>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</si>
  <si>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Protein C-ets-1</t>
  </si>
  <si>
    <t>Junction plakoglobin</t>
  </si>
  <si>
    <t>Serine/threonine-protein kinase B-raf</t>
  </si>
  <si>
    <t>Glutamine synthetase</t>
  </si>
  <si>
    <t>Aldose reductase</t>
  </si>
  <si>
    <t>Isoform Gamma of Poliovirus receptor</t>
  </si>
  <si>
    <t>Ras-related C3 botulinum toxin substrate 2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</si>
  <si>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</si>
  <si>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</si>
  <si>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</si>
  <si>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</si>
  <si>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15-hydroxyprostaglandin dehydrogenase [NAD(+)]</t>
  </si>
  <si>
    <t>Proto-oncogene vav</t>
  </si>
  <si>
    <t>Isoform K of Membrane cofactor protein</t>
  </si>
  <si>
    <t>Isoform 3 of Membrane cofactor protein</t>
  </si>
  <si>
    <t>Nucleoside diphosphate kinase A</t>
  </si>
  <si>
    <t>Antigen-presenting glycoprotein CD1d</t>
  </si>
  <si>
    <t>Arylsulfatase B</t>
  </si>
  <si>
    <t>40S ribosomal protein S2</t>
  </si>
  <si>
    <t>N-chimaerin</t>
  </si>
  <si>
    <t>Beta-galactoside alpha-2,6-sialyltransferase 1</t>
  </si>
  <si>
    <t>Isoform E47 of Transcription factor E2-alpha</t>
  </si>
  <si>
    <t>Replication protein A 32 kDa subunit</t>
  </si>
  <si>
    <t>Metalloproteinase inhibitor 2</t>
  </si>
  <si>
    <t>Leukosialin</t>
  </si>
  <si>
    <t>Short-chain specific acyl-CoA dehydrogenase, mitochondrial</t>
  </si>
  <si>
    <t>Cyclic AMP-responsive element-binding protein 1</t>
  </si>
  <si>
    <t>Isoform 3 of Beta-galactosidase</t>
  </si>
  <si>
    <t>Isoform Delta13 of Platelet endothelial cell adhesion molecule</t>
  </si>
  <si>
    <t>Serine/threonine-protein phosphatase 2B catalytic subunit beta isoform</t>
  </si>
  <si>
    <t>Cytoplasmic protein NCK1</t>
  </si>
  <si>
    <t>GC-rich sequence DNA-binding factor 2</t>
  </si>
  <si>
    <t>Isoform 2 of Potassium voltage-gated channel subfamily A member 2</t>
  </si>
  <si>
    <t>Histone H1.5</t>
  </si>
  <si>
    <t>NADPH--cytochrome P450 reductase</t>
  </si>
  <si>
    <t>Methylated-DNA--protein-cysteine methyltransferase</t>
  </si>
  <si>
    <t>Thyrotropin receptor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</si>
  <si>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</si>
  <si>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</si>
  <si>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</si>
  <si>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</si>
  <si>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</si>
  <si>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Zinc finger protein 22</t>
  </si>
  <si>
    <t>Zinc finger protein 24</t>
  </si>
  <si>
    <t>Alpha-N-acetylgalactosaminidase</t>
  </si>
  <si>
    <t>Heat shock 70 kDa protein 6</t>
  </si>
  <si>
    <t>High mobility group protein HMG-I/HMG-Y</t>
  </si>
  <si>
    <t>Zinc finger protein 8</t>
  </si>
  <si>
    <t>Transmembrane protein 11, mitochondrial</t>
  </si>
  <si>
    <t>Aspartate aminotransferase, cytoplasmic</t>
  </si>
  <si>
    <t>Interferon alpha/beta receptor 1</t>
  </si>
  <si>
    <t>Protein kinase C alpha type</t>
  </si>
  <si>
    <t>Transcription factor jun-B</t>
  </si>
  <si>
    <t>Nucleolar transcription factor 1</t>
  </si>
  <si>
    <t>Transcription factor jun-D</t>
  </si>
  <si>
    <t>Isoform PP22-TAL1 of T-cell acute lymphocytic leukemia protein 1</t>
  </si>
  <si>
    <t>Isoform 4 of Cyclic AMP-dependent transcription factor ATF-7</t>
  </si>
  <si>
    <t>NADH dehydrogenase [ubiquinone] 1 beta subcomplex subunit 7</t>
  </si>
  <si>
    <t>Isoform IB of Synapsin-1</t>
  </si>
  <si>
    <t>cAMP-dependent protein kinase catalytic subunit alpha</t>
  </si>
  <si>
    <t>Isoform PTPA of Tyrosine-protein phosphatase non-receptor type 2</t>
  </si>
  <si>
    <t>S-adenosylmethionine decarboxylase proenzyme</t>
  </si>
  <si>
    <t>CTP synthase 1</t>
  </si>
  <si>
    <t>Probable ATP-dependent RNA helicase DDX5</t>
  </si>
  <si>
    <t>6-phosphofructokinase, liver type</t>
  </si>
  <si>
    <t>Ganglioside GM2 activator</t>
  </si>
  <si>
    <t>T-complex protein 1 subunit alpha</t>
  </si>
  <si>
    <t>Tyrosine-protein phosphatase non-receptor type 1</t>
  </si>
  <si>
    <t>Insulin-like growth factor-binding protein 2</t>
  </si>
  <si>
    <t>TFIIH basal transcription factor complex helicase XPD subunit</t>
  </si>
  <si>
    <t>60S ribosomal protein L35a</t>
  </si>
  <si>
    <t>Integrin beta-5</t>
  </si>
  <si>
    <t>ADP-ribosylation factor 4</t>
  </si>
  <si>
    <t>60S ribosomal protein L7</t>
  </si>
  <si>
    <t>Early growth response protein 1</t>
  </si>
  <si>
    <t>Isoform 1 of Vinculin</t>
  </si>
  <si>
    <t>Negative elongation factor E</t>
  </si>
  <si>
    <t>Phosphoglycerate mutase 1</t>
  </si>
  <si>
    <t>Isoform 2 of Regulator of chromosome condensation</t>
  </si>
  <si>
    <t>Cyclic AMP-dependent transcription factor ATF-1</t>
  </si>
  <si>
    <t>DNA ligase 1</t>
  </si>
  <si>
    <t>ATP synthase-coupling factor 6, mitochondrial</t>
  </si>
  <si>
    <t>DNA repair protein XRCC1</t>
  </si>
  <si>
    <t>Cadherin-2</t>
  </si>
  <si>
    <t>1-phosphatidylinositol 4,5-bisphosphate phosphodiesterase gamma-1</t>
  </si>
  <si>
    <t>Isoform 2 of 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</si>
  <si>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</si>
  <si>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</si>
  <si>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</si>
  <si>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Leukocyte surface antigen CD53</t>
  </si>
  <si>
    <t>TFIIH basal transcription factor complex helicase XPB subunit</t>
  </si>
  <si>
    <t>Interferon-induced, double-stranded RNA-activated protein kinase</t>
  </si>
  <si>
    <t>Transcription factor E3</t>
  </si>
  <si>
    <t>Spermidine synthase</t>
  </si>
  <si>
    <t>Bile salt-activated lipase</t>
  </si>
  <si>
    <t>Nuclear factor NF-kappa-B p105 subunit</t>
  </si>
  <si>
    <t>Isoform E of Plasma membrane calcium-transporting ATPase 1</t>
  </si>
  <si>
    <t>Eukaryotic translation initiation factor 2 subunit 2</t>
  </si>
  <si>
    <t>Cyclin-A2</t>
  </si>
  <si>
    <t>Transcription factor BTF3</t>
  </si>
  <si>
    <t>Isoform 2 of Transcription factor BTF3</t>
  </si>
  <si>
    <t>Arachidonate 5-lipoxygenase-activating protein</t>
  </si>
  <si>
    <t>Ras-related protein Rab-3A</t>
  </si>
  <si>
    <t>Ras-related protein Rab-3B</t>
  </si>
  <si>
    <t>Ras-related protein Rab-4A</t>
  </si>
  <si>
    <t>Ras-related protein Rab-6A</t>
  </si>
  <si>
    <t>Isoform 2 of Ras-related protein Rab-6A</t>
  </si>
  <si>
    <t>Proteasome subunit beta type-1</t>
  </si>
  <si>
    <t>Cation-dependent mannose-6-phosphate receptor</t>
  </si>
  <si>
    <t>Histone H2A type 1-D</t>
  </si>
  <si>
    <t>Cytochrome c oxidase subunit 5A, mitochondrial</t>
  </si>
  <si>
    <t>Lamin-B1</t>
  </si>
  <si>
    <t>Integrin alpha-L</t>
  </si>
  <si>
    <t>Mimecan</t>
  </si>
  <si>
    <t>Parathymosin</t>
  </si>
  <si>
    <t>T-cell surface glycoprotein CD3 zeta chain</t>
  </si>
  <si>
    <t>Isoform 8 of Cyclin-dependent kinase 11B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</si>
  <si>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</si>
  <si>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</si>
  <si>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</si>
  <si>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</si>
  <si>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</si>
  <si>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Cytoplasmic aconitate hydratase</t>
  </si>
  <si>
    <t>Serine--pyruvate aminotransferase</t>
  </si>
  <si>
    <t>Tumor necrosis factor alpha-induced protein 3</t>
  </si>
  <si>
    <t>Transcription initiation factor TFIID subunit 1</t>
  </si>
  <si>
    <t>Voltage-dependent anion-selective channel protein 1</t>
  </si>
  <si>
    <t>Succinate dehydrogenase [ubiquinone] iron-sulfur subunit, mitochondrial</t>
  </si>
  <si>
    <t>2-oxoisovalerate dehydrogenase subunit beta, mitochondrial</t>
  </si>
  <si>
    <t>Isoform Soluble of Catechol O-methyltransferase</t>
  </si>
  <si>
    <t>Methylmalonyl-CoA mutase, mitochondrial</t>
  </si>
  <si>
    <t>Oxysterol-binding protein 1</t>
  </si>
  <si>
    <t>rRNA 2-O-methyltransferase fibrillarin</t>
  </si>
  <si>
    <t>Trifunctional purine biosynthetic protein adenosine-3</t>
  </si>
  <si>
    <t>Multifunctional protein ADE2</t>
  </si>
  <si>
    <t>Non-specific lipid-transfer protein</t>
  </si>
  <si>
    <t>Ubiquitin-like modifier-activating enzyme 1</t>
  </si>
  <si>
    <t>Isoform 5 of NADPH:adrenodoxin oxidoreductase, mitochondrial</t>
  </si>
  <si>
    <t>Heterogeneous nuclear ribonucleoproteins A2/B1</t>
  </si>
  <si>
    <t>MHC class II regulatory factor RFX1</t>
  </si>
  <si>
    <t>E3 ubiquitin-protein ligase CBL</t>
  </si>
  <si>
    <t>Isoform 4 of cAMP-dependent protein kinase catalytic subunit beta</t>
  </si>
  <si>
    <t>Cytochrome b-c1 complex subunit 2, mitochondrial</t>
  </si>
  <si>
    <t>Ferrochelatase, mitochondrial</t>
  </si>
  <si>
    <t>DNA repair protein complementing XP-A cells</t>
  </si>
  <si>
    <t>Isoform 2 of AMP deaminase 1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</si>
  <si>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</si>
  <si>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</si>
  <si>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</si>
  <si>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</si>
  <si>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</si>
  <si>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</si>
  <si>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</si>
  <si>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</si>
  <si>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Glycine cleavage system H protein, mitochondrial</t>
  </si>
  <si>
    <t>Isoform 3 of Receptor-type tyrosine-protein phosphatase epsilon</t>
  </si>
  <si>
    <t>Nuclear autoantigen Sp-100</t>
  </si>
  <si>
    <t>Isoform Short of Nuclear transcription factor Y subunit alpha</t>
  </si>
  <si>
    <t>Adenosylhomocysteinase</t>
  </si>
  <si>
    <t>Histone H2B type 1-O</t>
  </si>
  <si>
    <t>Cofilin-1</t>
  </si>
  <si>
    <t>Factor VIII intron 22 protein</t>
  </si>
  <si>
    <t>Isoform ZB of Plasma membrane calcium-transporting ATPase 4</t>
  </si>
  <si>
    <t>Diacylglycerol kinase alpha</t>
  </si>
  <si>
    <t>Trans-acting T-cell-specific transcription factor GATA-3</t>
  </si>
  <si>
    <t>Carnitine O-palmitoyltransferase 2, mitochondrial</t>
  </si>
  <si>
    <t>Thymidylate kinase</t>
  </si>
  <si>
    <t>Ribonucleoside-diphosphate reductase large subunit</t>
  </si>
  <si>
    <t>Isoform 2 of Interleukin-32</t>
  </si>
  <si>
    <t>Cytochrome c oxidase subunit 7B, mitochondrial</t>
  </si>
  <si>
    <t>Elongation factor 1-beta</t>
  </si>
  <si>
    <t>A-kinase anchor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</si>
  <si>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</si>
  <si>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</si>
  <si>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</si>
  <si>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</si>
  <si>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Beta-adrenergic receptor kinase 1</t>
  </si>
  <si>
    <t>DNA replication licensing factor MCM3</t>
  </si>
  <si>
    <t>3-mercaptopyruvate sulfurtransferase</t>
  </si>
  <si>
    <t>40S ribosomal protein S12</t>
  </si>
  <si>
    <t>Isoform 6 of Tumor necrosis factor receptor superfamily member 6</t>
  </si>
  <si>
    <t>Transcriptional repressor protein YY1</t>
  </si>
  <si>
    <t>DnaJ homolog subfamily B member 1</t>
  </si>
  <si>
    <t>DnaJ homolog subfamily B member 2</t>
  </si>
  <si>
    <t>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</si>
  <si>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</si>
  <si>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</si>
  <si>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</si>
  <si>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</si>
  <si>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Isoform Short of Integrin beta-7</t>
  </si>
  <si>
    <t>Moesin</t>
  </si>
  <si>
    <t>Probable ATP-dependent RNA helicase DDX6</t>
  </si>
  <si>
    <t>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</si>
  <si>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</si>
  <si>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</si>
  <si>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</si>
  <si>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</si>
  <si>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</si>
  <si>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</si>
  <si>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</si>
  <si>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</si>
  <si>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</si>
  <si>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</si>
  <si>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</si>
  <si>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</si>
  <si>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</si>
  <si>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2 of Aryl hydrocarbon receptor nuclear translocator</t>
  </si>
  <si>
    <t>60S ribosomal protein L10</t>
  </si>
  <si>
    <t>Replication protein A 70 kDa DNA-binding subunit</t>
  </si>
  <si>
    <t>DNA-(apurinic or apyrimidinic site) lyase</t>
  </si>
  <si>
    <t>CD82 antigen</t>
  </si>
  <si>
    <t>Calreticulin</t>
  </si>
  <si>
    <t>cAMP-specific 3,5-cyclic phosphodiesterase 4A</t>
  </si>
  <si>
    <t>Isoform 5 of Microtubule-associated protein 4</t>
  </si>
  <si>
    <t>Calnexin</t>
  </si>
  <si>
    <t>Phosphatidylinositol 3-kinase regulatory subunit alpha</t>
  </si>
  <si>
    <t>Isoform 2 of Inositol-trisphosphate 3-kinase B</t>
  </si>
  <si>
    <t>Proteasome subunit beta type-8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</si>
  <si>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</si>
  <si>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</si>
  <si>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</si>
  <si>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</si>
  <si>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</si>
  <si>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Isoform 3 of Proteasome subunit beta type-5</t>
  </si>
  <si>
    <t>Glutathione S-transferase Mu 2</t>
  </si>
  <si>
    <t>Isoform 4 of NADH-ubiquinone oxidoreductase 75 kDa subunit, mitochondrial</t>
  </si>
  <si>
    <t>Mitogen-activated protein kinase 1</t>
  </si>
  <si>
    <t>Retinoic acid receptor RXR-beta</t>
  </si>
  <si>
    <t>DNA repair protein complementing XP-G cells</t>
  </si>
  <si>
    <t>Granulins</t>
  </si>
  <si>
    <t>Cytosol aminopeptidase</t>
  </si>
  <si>
    <t>ADP-ribosyl cyclase 1</t>
  </si>
  <si>
    <t>Tumor necrosis factor receptor superfamily member 8</t>
  </si>
  <si>
    <t>T-cell surface glycoprotein CD1b</t>
  </si>
  <si>
    <t>General transcription factor IIE subunit 1</t>
  </si>
  <si>
    <t>Transcription initiation factor IIE subunit beta</t>
  </si>
  <si>
    <t>Tripeptidyl-peptidase 2</t>
  </si>
  <si>
    <t>Inositol monophosphatase 1</t>
  </si>
  <si>
    <t>Tyrosine-protein phosphatase non-receptor type 6</t>
  </si>
  <si>
    <t>Isoform 7 of SHC-transforming protein 1</t>
  </si>
  <si>
    <t>Isoform 4 of DNA-3-methyladenine glycosylase</t>
  </si>
  <si>
    <t>Transketolase</t>
  </si>
  <si>
    <t>Protein PML</t>
  </si>
  <si>
    <t>CD40 ligand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</si>
  <si>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</si>
  <si>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</si>
  <si>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</si>
  <si>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</si>
  <si>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</si>
  <si>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</si>
  <si>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</si>
  <si>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</si>
  <si>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</si>
  <si>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</si>
  <si>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</si>
  <si>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</si>
  <si>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</si>
  <si>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</si>
  <si>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</si>
  <si>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Isoform CD6E of T-cell differentiation antigen CD6</t>
  </si>
  <si>
    <t>Cell division cycle protein 27 homolog</t>
  </si>
  <si>
    <t>G1/S-specific cyclin-D3</t>
  </si>
  <si>
    <t>Wee1-like protein kinase</t>
  </si>
  <si>
    <t>Peptidyl-prolyl cis-trans isomerase F, mitochondrial</t>
  </si>
  <si>
    <t>Glycylpeptide N-tetradecanoyltransferase 1</t>
  </si>
  <si>
    <t>HLA class I histocompatibility antigen, B-42 alpha chain</t>
  </si>
  <si>
    <t>HLA class I histocompatibility antigen, B-55 alpha chain</t>
  </si>
  <si>
    <t>HLA class I histocompatibility antigen, B-56 alpha chain</t>
  </si>
  <si>
    <t>HLA class I histocompatibility antigen, Cw-4 alpha chain</t>
  </si>
  <si>
    <t>Heme oxygenase 2</t>
  </si>
  <si>
    <t>Adenylosuccinate synthetase isozyme 2</t>
  </si>
  <si>
    <t>Alpha-2-macroglobulin receptor-associated protein</t>
  </si>
  <si>
    <t>Adenylosuccinate lyase</t>
  </si>
  <si>
    <t>Isoform L-type of Pyruvate kinase isozymes R/L</t>
  </si>
  <si>
    <t>Isoform 3 of CAP-Gly domain-containing linker protein 1</t>
  </si>
  <si>
    <t>Guanine nucleotide-binding protein subunit alpha-15</t>
  </si>
  <si>
    <t>HLA class I histocompatibility antigen, B-35 alpha chain</t>
  </si>
  <si>
    <t>Leukocyte elastase inhibitor</t>
  </si>
  <si>
    <t>GTP cyclohydrolase 1</t>
  </si>
  <si>
    <t>High affinity cationic amino acid transporter 1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</si>
  <si>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</si>
  <si>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</si>
  <si>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</si>
  <si>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</si>
  <si>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</si>
  <si>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Carbamoyl-phosphate synthase [ammonia], mitochondrial</t>
  </si>
  <si>
    <t>Ribonucleoside-diphosphate reductase subunit M2</t>
  </si>
  <si>
    <t>Sodium- and chloride-dependent taurine transporter</t>
  </si>
  <si>
    <t>DnaJ homolog subfamily A member 1</t>
  </si>
  <si>
    <t>RAC-alpha serine/threonine-protein kinase</t>
  </si>
  <si>
    <t>RAC-beta serine/threonine-protein kinase</t>
  </si>
  <si>
    <t>Cytokine receptor common subunit gamma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</si>
  <si>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</si>
  <si>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</si>
  <si>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</si>
  <si>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</si>
  <si>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Isoform Short of 14-3-3 protein beta/alpha</t>
  </si>
  <si>
    <t>Isoform 2 of 14-3-3 protein sigma</t>
  </si>
  <si>
    <t>Stress-induced-phosphoprotein 1</t>
  </si>
  <si>
    <t>Isoform 3 of Type II inositol 1,4,5-trisphosphate 5-phosphatase</t>
  </si>
  <si>
    <t>Peroxiredoxin-2</t>
  </si>
  <si>
    <t>Beta-arrestin-2</t>
  </si>
  <si>
    <t>Isoform 1 of Glycerol kinase</t>
  </si>
  <si>
    <t>Isoform 2 of Deoxycytidylate deaminase</t>
  </si>
  <si>
    <t>Pyrroline-5-carboxylate reductase 1, mitochondrial</t>
  </si>
  <si>
    <t>Interferon-induced guanylate-binding protein 1</t>
  </si>
  <si>
    <t>Isoform 2 of ETS-related transcription factor Elf-1</t>
  </si>
  <si>
    <t>General transcription factor IIH subunit 1</t>
  </si>
  <si>
    <t>Isoform 2 of Syntaxin-2</t>
  </si>
  <si>
    <t>Cystathionine gamma-lyase</t>
  </si>
  <si>
    <t>Intercellular adhesion molecule 3</t>
  </si>
  <si>
    <t>60S ribosomal protein L9</t>
  </si>
  <si>
    <t>Long-chain-fatty-acid--CoA ligase 1</t>
  </si>
  <si>
    <t>Kinesin-1 heavy chain</t>
  </si>
  <si>
    <t>Isoform 2 of Cleavage stimulation factor subunit 2</t>
  </si>
  <si>
    <t>Lymphocyte-specific protein 1</t>
  </si>
  <si>
    <t>Isoform 2 of Deoxyuridine 5-triphosphate nucleotidohydrolase, mitochondrial</t>
  </si>
  <si>
    <t>Multidrug resistance-associated protein 1</t>
  </si>
  <si>
    <t>Cyclin-dependent kinases regulatory subunit 2</t>
  </si>
  <si>
    <t>ATP-binding cassette sub-family D member 1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</si>
  <si>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</si>
  <si>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</si>
  <si>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</si>
  <si>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</si>
  <si>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</si>
  <si>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</si>
  <si>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</si>
  <si>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</si>
  <si>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Heat shock 70 kDa protein 4</t>
  </si>
  <si>
    <t>G protein-coupled receptor kinase 5</t>
  </si>
  <si>
    <t>Cannabinoid receptor 2</t>
  </si>
  <si>
    <t>Carbonic anhydrase-related protein</t>
  </si>
  <si>
    <t>Catenin alpha-1</t>
  </si>
  <si>
    <t>Prohibitin</t>
  </si>
  <si>
    <t>Isoform 2 of Tyrosine-protein phosphatase non-receptor type 7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</si>
  <si>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</si>
  <si>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</si>
  <si>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</si>
  <si>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</si>
  <si>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</si>
  <si>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</si>
  <si>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</si>
  <si>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</si>
  <si>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</si>
  <si>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</si>
  <si>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Prostaglandin E2 receptor EP4 subtype</t>
  </si>
  <si>
    <t>Cystathionine beta-synthase</t>
  </si>
  <si>
    <t>Glycogen debranching enzyme</t>
  </si>
  <si>
    <t>Myosin-9</t>
  </si>
  <si>
    <t>Myosin-10</t>
  </si>
  <si>
    <t>Coatomer subunit beta</t>
  </si>
  <si>
    <t>Sterol O-acyltransferase 1</t>
  </si>
  <si>
    <t>Alpha-adducin</t>
  </si>
  <si>
    <t>Beta-adducin</t>
  </si>
  <si>
    <t>Isoform 2 of Basigin</t>
  </si>
  <si>
    <t>Beta-adrenergic receptor kinase 2</t>
  </si>
  <si>
    <t>Isoform Short of RNA-binding protein FUS</t>
  </si>
  <si>
    <t>Isoform 2 of Nuclear pore complex protein Nup214</t>
  </si>
  <si>
    <t>Protein DEK</t>
  </si>
  <si>
    <t>Glutaredoxin-1</t>
  </si>
  <si>
    <t>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</si>
  <si>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</si>
  <si>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</si>
  <si>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</si>
  <si>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</si>
  <si>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</si>
  <si>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</si>
  <si>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</si>
  <si>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</si>
  <si>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</si>
  <si>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</si>
  <si>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</si>
  <si>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Isoform Gamma-2 of Serine/threonine-protein phosphatase PP1-gamma catalytic subunit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</si>
  <si>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</si>
  <si>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</si>
  <si>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</si>
  <si>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</si>
  <si>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</si>
  <si>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</si>
  <si>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</si>
  <si>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</si>
  <si>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Isoform 3 of Zinc finger E-box-binding homeobox 1</t>
  </si>
  <si>
    <t>Transgelin-2</t>
  </si>
  <si>
    <t>Transaldolase</t>
  </si>
  <si>
    <t>Electron transfer flavoprotein subunit beta</t>
  </si>
  <si>
    <t>RNA-binding motif protein, X chromosome</t>
  </si>
  <si>
    <t>Isoform 2 of RNA-binding motif protein, X chromosome</t>
  </si>
  <si>
    <t>Isoform 2 of Lysosomal acid lipase/cholesteryl ester hydrolase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</si>
  <si>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</si>
  <si>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</si>
  <si>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</si>
  <si>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</si>
  <si>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</si>
  <si>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</si>
  <si>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</si>
  <si>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</si>
  <si>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</si>
  <si>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Macrophage-capping protein</t>
  </si>
  <si>
    <t>Alpha-taxilin</t>
  </si>
  <si>
    <t>T-complex protein 1 subunit zeta</t>
  </si>
  <si>
    <t>Proteasome subunit beta type-10</t>
  </si>
  <si>
    <t>Isoform 3 of Von Hippel-Lindau disease tumor suppressor</t>
  </si>
  <si>
    <t>Pre-B-cell leukemia transcription factor 2</t>
  </si>
  <si>
    <t>DNA mismatch repair protein Mlh1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</si>
  <si>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</si>
  <si>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</si>
  <si>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</si>
  <si>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</si>
  <si>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</si>
  <si>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</si>
  <si>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</si>
  <si>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</si>
  <si>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DNA-binding protein inhibitor ID-1</t>
  </si>
  <si>
    <t>Centrin-2</t>
  </si>
  <si>
    <t>Transcription factor ETV6</t>
  </si>
  <si>
    <t>Eukaryotic translation initiation factor 2D</t>
  </si>
  <si>
    <t>Protein BUD31 homolog</t>
  </si>
  <si>
    <t>N-alpha-acetyltransferase 10</t>
  </si>
  <si>
    <t>Isoform 3 of Lysine-specific demethylase 5C</t>
  </si>
  <si>
    <t>Tyrosine-protein kinase CSK</t>
  </si>
  <si>
    <t>Glycine--tRNA ligase</t>
  </si>
  <si>
    <t>Isoleucine--tRNA ligase, cytoplasmic</t>
  </si>
  <si>
    <t>Folate transporter 1</t>
  </si>
  <si>
    <t>Eukaryotic translation initiation factor 1</t>
  </si>
  <si>
    <t>Protein kinase C iota type</t>
  </si>
  <si>
    <t>Beta-centractin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</si>
  <si>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</si>
  <si>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</si>
  <si>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</si>
  <si>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</si>
  <si>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</si>
  <si>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</si>
  <si>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</si>
  <si>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5 of Rho GTPase-activating protein 25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</si>
  <si>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</si>
  <si>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</si>
  <si>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</si>
  <si>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</si>
  <si>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</si>
  <si>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</si>
  <si>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</si>
  <si>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</si>
  <si>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</si>
  <si>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</si>
  <si>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Wiskott-Aldrich syndrome protein</t>
  </si>
  <si>
    <t>Cyclin-dependent kinase 4 inhibitor C</t>
  </si>
  <si>
    <t>Lysosomal Pro-X carboxypeptidase</t>
  </si>
  <si>
    <t>Huntingtin</t>
  </si>
  <si>
    <t>Isoform C of Endothelin-converting enzyme 1</t>
  </si>
  <si>
    <t>Methylenetetrahydrofolate reductase</t>
  </si>
  <si>
    <t>Isoform 2 of Excitatory amino acid transporter 1</t>
  </si>
  <si>
    <t>Neutral amino acid transporter A</t>
  </si>
  <si>
    <t>Platelet-activating factor acetylhydrolase IB subunit alpha</t>
  </si>
  <si>
    <t>Isoform 2 of Carnitine O-acetyltransferase</t>
  </si>
  <si>
    <t>Isoform GRK6B of G protein-coupled receptor kinase 6</t>
  </si>
  <si>
    <t>Translocon-associated protein subunit alpha</t>
  </si>
  <si>
    <t>Tyrosine-protein phosphatase non-receptor type 9</t>
  </si>
  <si>
    <t>Tyrosine-protein kinase ZAP-70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</si>
  <si>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</si>
  <si>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</si>
  <si>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</si>
  <si>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</si>
  <si>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</si>
  <si>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</si>
  <si>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</si>
  <si>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</si>
  <si>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</si>
  <si>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</si>
  <si>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</si>
  <si>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Antigen KI-67</t>
  </si>
  <si>
    <t>Ran GTPase-activating protein 1</t>
  </si>
  <si>
    <t>ATP-dependent DNA helicase Q1</t>
  </si>
  <si>
    <t>Putative ribosomal RNA methyltransferase NOP2</t>
  </si>
  <si>
    <t>Isoform 3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</si>
  <si>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</si>
  <si>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</si>
  <si>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</si>
  <si>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</si>
  <si>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</si>
  <si>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</si>
  <si>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</si>
  <si>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</si>
  <si>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</si>
  <si>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60S ribosomal protein L28</t>
  </si>
  <si>
    <t>40S ribosomal protein S9</t>
  </si>
  <si>
    <t>40S ribosomal protein S10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</si>
  <si>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</si>
  <si>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</si>
  <si>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</si>
  <si>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</si>
  <si>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</si>
  <si>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</si>
  <si>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F-actin-capping protein subunit alpha-2</t>
  </si>
  <si>
    <t>Isoform 2 of F-actin-capping protein subunit beta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</si>
  <si>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</si>
  <si>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</si>
  <si>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</si>
  <si>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</si>
  <si>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</si>
  <si>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ATP synthase subunit O, mitochondrial</t>
  </si>
  <si>
    <t>Isoform 5 of LIM and senescent cell antigen-like-containing domain protein 1</t>
  </si>
  <si>
    <t>Prolyl endopeptidase</t>
  </si>
  <si>
    <t>Iron-responsive element-binding protein 2</t>
  </si>
  <si>
    <t>Isoform 3 of Transcription factor RFX3</t>
  </si>
  <si>
    <t>Coatomer subunit delta</t>
  </si>
  <si>
    <t>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</si>
  <si>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</si>
  <si>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</si>
  <si>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</si>
  <si>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Trafficking protein particle complex subunit 10</t>
  </si>
  <si>
    <t>Protein PRRC2A</t>
  </si>
  <si>
    <t>Glutathione synthetase</t>
  </si>
  <si>
    <t>T-complex protein 1 subunit epsilon</t>
  </si>
  <si>
    <t>Heat shock 70 kDa protein 13</t>
  </si>
  <si>
    <t>Isoform 2 of Casein kinase I isoform delta</t>
  </si>
  <si>
    <t>Isocitrate dehydrogenase [NADP], mitochondrial</t>
  </si>
  <si>
    <t>Phosphatidylinositol transfer protein beta isoform</t>
  </si>
  <si>
    <t>Isoform 2 of CD97 antigen</t>
  </si>
  <si>
    <t>DNA polymerase delta subunit 2</t>
  </si>
  <si>
    <t>MARCKS-related protein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</si>
  <si>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</si>
  <si>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</si>
  <si>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</si>
  <si>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</si>
  <si>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</si>
  <si>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</si>
  <si>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</si>
  <si>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Isoform 1 of Natural resistance-associated macrophage protein 2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</si>
  <si>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</si>
  <si>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</si>
  <si>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</si>
  <si>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</si>
  <si>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</si>
  <si>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</si>
  <si>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</si>
  <si>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Elongation factor Tu, mitochondrial</t>
  </si>
  <si>
    <t>Ubiquitin-conjugating enzyme E2 R1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</si>
  <si>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</si>
  <si>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</si>
  <si>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</si>
  <si>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</si>
  <si>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</si>
  <si>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</si>
  <si>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</si>
  <si>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DNA primase small subunit</t>
  </si>
  <si>
    <t>DNA primase large subunit</t>
  </si>
  <si>
    <t>Casein kinase I isoform epsilon</t>
  </si>
  <si>
    <t>Transcriptional repressor CTCF</t>
  </si>
  <si>
    <t>Proteasome subunit beta type-3</t>
  </si>
  <si>
    <t>Proteasome subunit beta type-2</t>
  </si>
  <si>
    <t>Very long-chain specific acyl-CoA dehydrogenase, mitochondrial</t>
  </si>
  <si>
    <t>Isoform 4 of YLP motif-containing protein 1</t>
  </si>
  <si>
    <t>Isoform Short of Vacuolar protein sorting-associated protein 41 homolog</t>
  </si>
  <si>
    <t>Transmembrane emp24 domain-containing protein 10</t>
  </si>
  <si>
    <t>RNA-binding protein 25</t>
  </si>
  <si>
    <t>Isoform 4 of Protein numb homolog</t>
  </si>
  <si>
    <t>Isoform 2 of Presenilin-1</t>
  </si>
  <si>
    <t>Translation initiation factor eIF-2B subunit beta</t>
  </si>
  <si>
    <t>Histidine triad nucleotide-binding protein 1</t>
  </si>
  <si>
    <t>Bis(5-adenosyl)-triphosphatase</t>
  </si>
  <si>
    <t>Nuclear pore complex protein Nup153</t>
  </si>
  <si>
    <t>E3 SUMO-protein ligase RanBP2</t>
  </si>
  <si>
    <t>Glycogen synthase kinase-3 alpha</t>
  </si>
  <si>
    <t>Glycogen synthase kinase-3 beta</t>
  </si>
  <si>
    <t>Cytosolic purine 5-nucleotidase</t>
  </si>
  <si>
    <t>Selenide, water dikinase 1</t>
  </si>
  <si>
    <t>5-formyltetrahydrofolate cyclo-ligase</t>
  </si>
  <si>
    <t>GMP synthase [glutamine-hydrolyzing]</t>
  </si>
  <si>
    <t>DNA ligase 3</t>
  </si>
  <si>
    <t>DNA ligase 4</t>
  </si>
  <si>
    <t>Double-strand break repair protein MRE11A</t>
  </si>
  <si>
    <t>Ketohexokinase</t>
  </si>
  <si>
    <t>Guanine nucleotide-binding protein G(q) subunit alpha</t>
  </si>
  <si>
    <t>Guanine nucleotide-binding protein G(I)/G(S)/G(O) subunit gamma-4</t>
  </si>
  <si>
    <t>Guanine nucleotide-binding protein G(I)/G(S)/G(O) subunit gamma-10</t>
  </si>
  <si>
    <t>Isocitrate dehydrogenase [NAD] subunit alpha, mitochondrial</t>
  </si>
  <si>
    <t>Cysteine-rich protein 1</t>
  </si>
  <si>
    <t>Protoporphyrinogen oxidase</t>
  </si>
  <si>
    <t>Emerin</t>
  </si>
  <si>
    <t>Carnitine O-palmitoyltransferase 1, liver isoform</t>
  </si>
  <si>
    <t>Isoform 3 of Glycine amidinotransferase, mitochondrial</t>
  </si>
  <si>
    <t>Serpin B8</t>
  </si>
  <si>
    <t>Serpin H1</t>
  </si>
  <si>
    <t>Hsc70-interacting protein</t>
  </si>
  <si>
    <t>Vasodilator-stimulated phosphoprotein</t>
  </si>
  <si>
    <t>Isoform 4 of Dynamin-2</t>
  </si>
  <si>
    <t>Methionine aminopeptidase 2</t>
  </si>
  <si>
    <t>Bis(5-nucleosyl)-tetraphosphatase [asymmetrical]</t>
  </si>
  <si>
    <t>Biotin--protein ligase</t>
  </si>
  <si>
    <t>Kinetochore-associated protein 1</t>
  </si>
  <si>
    <t>Ras association domain-containing protein 2</t>
  </si>
  <si>
    <t>Cyclin-dependent kinase 9</t>
  </si>
  <si>
    <t>Lipopolysaccharide-responsive and beige-like anchor protein</t>
  </si>
  <si>
    <t>Basal cell adhesion molecule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</si>
  <si>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</si>
  <si>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</si>
  <si>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</si>
  <si>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</si>
  <si>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</si>
  <si>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</si>
  <si>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</si>
  <si>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</si>
  <si>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Rab-28</t>
  </si>
  <si>
    <t>Ras-related protein Rab-27A</t>
  </si>
  <si>
    <t>Isoform 2 of 28S ribosomal protein S29, mitochondrial</t>
  </si>
  <si>
    <t>Dual specificity protein phosphatase 3</t>
  </si>
  <si>
    <t>Isoform 5 of RNA-binding protein Nova-1</t>
  </si>
  <si>
    <t>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</si>
  <si>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</si>
  <si>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</si>
  <si>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</si>
  <si>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</si>
  <si>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</si>
  <si>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</si>
  <si>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</si>
  <si>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Succinate-semialdehyde dehydrogenase, mitochondrial</t>
  </si>
  <si>
    <t>Peroxisomal multifunctional enzyme type 2</t>
  </si>
  <si>
    <t>26S proteasome non-ATPase regulatory subunit 7</t>
  </si>
  <si>
    <t>Ubiquitin-conjugating enzyme E2 D1</t>
  </si>
  <si>
    <t>N-sulphoglucosamine sulphohydrolase</t>
  </si>
  <si>
    <t>Signal transducer and activator of transcription 5B</t>
  </si>
  <si>
    <t>Isoform 3 of H(+)/Cl(-) exchange transporter 3</t>
  </si>
  <si>
    <t>H(+)/Cl(-) exchange transporter 5</t>
  </si>
  <si>
    <t>Chloride transport protein 6</t>
  </si>
  <si>
    <t>Isoform 2 of H(+)/Cl(-) exchange transporter 7</t>
  </si>
  <si>
    <t>Vesicle-associated membrane protein 7</t>
  </si>
  <si>
    <t>Cytoplasmic tyrosine-protein kinase BMX</t>
  </si>
  <si>
    <t>Hepatoma-derived growth factor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</si>
  <si>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</si>
  <si>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</si>
  <si>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</si>
  <si>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</si>
  <si>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</si>
  <si>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</si>
  <si>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</si>
  <si>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</si>
  <si>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DNA-directed RNA polymerase II subunit RPB11-a</t>
  </si>
  <si>
    <t>Dual specificity mitogen-activated protein kinase kinase 6</t>
  </si>
  <si>
    <t>Rho GDP-dissociation inhibitor 1</t>
  </si>
  <si>
    <t>Rho GDP-dissociation inhibitor 2</t>
  </si>
  <si>
    <t>Isoform 2 of Arf-GAP domain and FG repeat-containing protein 1</t>
  </si>
  <si>
    <t>Heterogeneous nuclear ribonucleoprotein F</t>
  </si>
  <si>
    <t>Isoform 2 of Signal transducer and activator of transcription 2</t>
  </si>
  <si>
    <t>Transcription initiation factor IIA subunit 1</t>
  </si>
  <si>
    <t>Kinesin-like protein KIF11</t>
  </si>
  <si>
    <t>Isoform 3 of Guanine nucleotide exchange factor VAV2</t>
  </si>
  <si>
    <t>RNA-binding protein 5</t>
  </si>
  <si>
    <t>Ribonuclease UK114</t>
  </si>
  <si>
    <t>Spermine synthase</t>
  </si>
  <si>
    <t>Hexokinase-2</t>
  </si>
  <si>
    <t>Isoform 2 of Ephrin-A4</t>
  </si>
  <si>
    <t>39S ribosomal protein L12, mitochondrial</t>
  </si>
  <si>
    <t>Thimet oligopeptidase</t>
  </si>
  <si>
    <t>F-actin-capping protein subunit alpha-1</t>
  </si>
  <si>
    <t>Cysteine-rich protein 2</t>
  </si>
  <si>
    <t>Isoform 5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</si>
  <si>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</si>
  <si>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</si>
  <si>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</si>
  <si>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</si>
  <si>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</si>
  <si>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</si>
  <si>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</si>
  <si>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</si>
  <si>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CCAAT/enhancer-binding protein gamma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</si>
  <si>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</si>
  <si>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</si>
  <si>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</si>
  <si>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</si>
  <si>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</si>
  <si>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</si>
  <si>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</si>
  <si>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</si>
  <si>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</si>
  <si>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</si>
  <si>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Pituitary tumor-transforming gene 1 protein-interacting protein</t>
  </si>
  <si>
    <t>DNA-directed RNA polymerases I, II, and III subunit RPABC4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</si>
  <si>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</si>
  <si>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</si>
  <si>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</si>
  <si>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</si>
  <si>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DNA polymerase subunit gamma-1</t>
  </si>
  <si>
    <t>Arginine--tRNA ligase, cytoplasmic</t>
  </si>
  <si>
    <t>Atrophin-1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</si>
  <si>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</si>
  <si>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</si>
  <si>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</si>
  <si>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</si>
  <si>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Heat shock-related 70 kDa protein 2</t>
  </si>
  <si>
    <t>Branched-chain-amino-acid aminotransferase, cytosolic</t>
  </si>
  <si>
    <t>Sodium/potassium-transporting ATPase subunit beta-3</t>
  </si>
  <si>
    <t>Isoform 2 of Sodium/potassium-transporting ATPase subunit gamma</t>
  </si>
  <si>
    <t>UV excision repair protein RAD23 homolog B</t>
  </si>
  <si>
    <t>Adenylate kinase 2, mitochondrial</t>
  </si>
  <si>
    <t>Hydroxymethylglutaryl-CoA synthase, mitochondrial</t>
  </si>
  <si>
    <t>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</si>
  <si>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</si>
  <si>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</si>
  <si>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</si>
  <si>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</si>
  <si>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</si>
  <si>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</si>
  <si>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</si>
  <si>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</si>
  <si>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Trifunctional enzyme subunit beta, mitochondrial</t>
  </si>
  <si>
    <t>Mesencephalic astrocyte-derived neurotrophic factor</t>
  </si>
  <si>
    <t>Nck-associated protein 1-like</t>
  </si>
  <si>
    <t>RNA polymerase II elongation factor ELL</t>
  </si>
  <si>
    <t>Caspase-7</t>
  </si>
  <si>
    <t>Caspase-6</t>
  </si>
  <si>
    <t>Adenosine kinase</t>
  </si>
  <si>
    <t>Cyclin-dependent kinase 4 inhibitor D</t>
  </si>
  <si>
    <t>Cadherin-4</t>
  </si>
  <si>
    <t>Isoform 2 of Tumor protein D52</t>
  </si>
  <si>
    <t>Protein SEC13 homolog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</si>
  <si>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</si>
  <si>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</si>
  <si>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</si>
  <si>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</si>
  <si>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IgG receptor FcRn large subunit p51</t>
  </si>
  <si>
    <t>BH3-interacting domain death agonist</t>
  </si>
  <si>
    <t>Isoform 3 of ATP synthase subunit f, mitochondrial</t>
  </si>
  <si>
    <t>Isoform 2 of GDNF family receptor alpha-1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</si>
  <si>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</si>
  <si>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</si>
  <si>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</si>
  <si>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</si>
  <si>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Integrin alpha-1</t>
  </si>
  <si>
    <t>cAMP-regulated phosphoprotein 19</t>
  </si>
  <si>
    <t>Isoform 2 of Myc-associated zinc finger protein</t>
  </si>
  <si>
    <t>Cx9C motif-containing protein 4</t>
  </si>
  <si>
    <t>DNA polymerase epsilon subunit 2</t>
  </si>
  <si>
    <t>AP-1 complex subunit sigma-2</t>
  </si>
  <si>
    <t>6.8 kDa mitochondrial proteolipid</t>
  </si>
  <si>
    <t>ATP synthase subunit epsilon, mitochondrial</t>
  </si>
  <si>
    <t>ATP synthase subunit e, mitochondrial</t>
  </si>
  <si>
    <t>Histone deacetylase 4</t>
  </si>
  <si>
    <t>Eukaryotic translation initiation factor 6</t>
  </si>
  <si>
    <t>NADH dehydrogenase [ubiquinone] 1 alpha subcomplex subunit 6</t>
  </si>
  <si>
    <t>ADP-ribosylation factor-like protein 4C</t>
  </si>
  <si>
    <t>Peroxisomal biogenesis factor 3</t>
  </si>
  <si>
    <t>Isoform 3 of 3-keto-steroid reductase</t>
  </si>
  <si>
    <t>Syntaxin-17</t>
  </si>
  <si>
    <t>Isoform 2 of Ubiquitin-associated and SH3 domain-containing protein A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</si>
  <si>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</si>
  <si>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</si>
  <si>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</si>
  <si>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</si>
  <si>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Isoform 3 of Coronin-7</t>
  </si>
  <si>
    <t>Nuclear pore complex protein Nup107</t>
  </si>
  <si>
    <t>Sorting nexin-16</t>
  </si>
  <si>
    <t>Selenocysteine-specific elongation factor</t>
  </si>
  <si>
    <t>Sestrin-2</t>
  </si>
  <si>
    <t>Myotrophin</t>
  </si>
  <si>
    <t>Isoform B of Putative ribonuclease</t>
  </si>
  <si>
    <t>Ras-related protein Rab-15</t>
  </si>
  <si>
    <t>Protein transport protein Sec61 subunit gamma</t>
  </si>
  <si>
    <t>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</si>
  <si>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</si>
  <si>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</si>
  <si>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</si>
  <si>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</si>
  <si>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</si>
  <si>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</si>
  <si>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</si>
  <si>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</si>
  <si>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</si>
  <si>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</si>
  <si>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Isoform 2 of Synaptosomal-associated protein 25</t>
  </si>
  <si>
    <t>Ribose-phosphate pyrophosphokinase 1</t>
  </si>
  <si>
    <t>26S proteasome complex subunit DSS1</t>
  </si>
  <si>
    <t>Proteasome subunit alpha type-6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</si>
  <si>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</si>
  <si>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</si>
  <si>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</si>
  <si>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</si>
  <si>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</si>
  <si>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</si>
  <si>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</si>
  <si>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</si>
  <si>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Rab-4B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</si>
  <si>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</si>
  <si>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</si>
  <si>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</si>
  <si>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</si>
  <si>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</si>
  <si>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</si>
  <si>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</si>
  <si>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</si>
  <si>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</si>
  <si>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</si>
  <si>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</si>
  <si>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</si>
  <si>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Alpha-centractin</t>
  </si>
  <si>
    <t>COP9 signalosome complex subunit 2</t>
  </si>
  <si>
    <t>ADP-ribosylation factor 3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</si>
  <si>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</si>
  <si>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</si>
  <si>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</si>
  <si>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</si>
  <si>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</si>
  <si>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</si>
  <si>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Proteasome activator complex subunit 3</t>
  </si>
  <si>
    <t>Protein mago nashi homolog</t>
  </si>
  <si>
    <t>60S ribosomal protein L27</t>
  </si>
  <si>
    <t>Pterin-4-alpha-carbinolamine dehydratase</t>
  </si>
  <si>
    <t>60S ribosomal protein L37a</t>
  </si>
  <si>
    <t>Transforming protein RhoA</t>
  </si>
  <si>
    <t>N-alpha-acetyltransferase 20</t>
  </si>
  <si>
    <t>10 kDa heat shock protein, mitochondrial</t>
  </si>
  <si>
    <t>Prefoldin subunit 3</t>
  </si>
  <si>
    <t>Syntaxin-binding protein 1</t>
  </si>
  <si>
    <t>Beta-2-microglobulin</t>
  </si>
  <si>
    <t>cAMP-dependent protein kinase inhibitor alpha</t>
  </si>
  <si>
    <t>60S ribosomal protein L37</t>
  </si>
  <si>
    <t>DDB1- and CUL4-associated factor 7</t>
  </si>
  <si>
    <t>WD repeat-containing protein 5</t>
  </si>
  <si>
    <t>AP-1 complex subunit sigma-1A</t>
  </si>
  <si>
    <t>LIM domain transcription factor LMO4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</si>
  <si>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</si>
  <si>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</si>
  <si>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</si>
  <si>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</si>
  <si>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</si>
  <si>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</si>
  <si>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</si>
  <si>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</si>
  <si>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</si>
  <si>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</si>
  <si>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</si>
  <si>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</si>
  <si>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</si>
  <si>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</si>
  <si>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</si>
  <si>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</si>
  <si>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</si>
  <si>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</si>
  <si>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</si>
  <si>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</si>
  <si>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</si>
  <si>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</si>
  <si>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</si>
  <si>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</si>
  <si>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</si>
  <si>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</si>
  <si>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</si>
  <si>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Thymosin beta-4</t>
  </si>
  <si>
    <t>ADP-ribosylation factor 6</t>
  </si>
  <si>
    <t>26S protease regulatory subunit 10B</t>
  </si>
  <si>
    <t>Selenoprotein T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</si>
  <si>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</si>
  <si>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</si>
  <si>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</si>
  <si>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</si>
  <si>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</si>
  <si>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</si>
  <si>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Isoform 4 of Cellular nucleic acid-binding protein</t>
  </si>
  <si>
    <t>Isoform 5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</si>
  <si>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</si>
  <si>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</si>
  <si>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</si>
  <si>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</si>
  <si>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</si>
  <si>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</si>
  <si>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</si>
  <si>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</si>
  <si>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</si>
  <si>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</si>
  <si>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</si>
  <si>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</si>
  <si>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</si>
  <si>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</si>
  <si>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DNA-directed RNA polymerases I, II, and III subunit RPABC5</t>
  </si>
  <si>
    <t>E3 ubiquitin-protein ligase RBX1</t>
  </si>
  <si>
    <t>Guanine nucleotide-binding protein G(I)/G(S)/G(T) subunit beta-2</t>
  </si>
  <si>
    <t>60S ribosomal protein L30</t>
  </si>
  <si>
    <t>60S ribosomal protein L31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</si>
  <si>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</si>
  <si>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</si>
  <si>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</si>
  <si>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</si>
  <si>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</si>
  <si>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</si>
  <si>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</si>
  <si>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</si>
  <si>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</si>
  <si>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</si>
  <si>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</si>
  <si>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Isoform 3 of Guanine nucleotide-binding protein G(s) subunit alpha isoforms short</t>
  </si>
  <si>
    <t>14-3-3 protein zeta/delta</t>
  </si>
  <si>
    <t>Ubiquitin-conjugating enzyme E2 B</t>
  </si>
  <si>
    <t>Serine/threonine-protein phosphatase 2A 55 kDa regulatory subunit B alpha isoform</t>
  </si>
  <si>
    <t>Dynein light chain 1, cytoplasmic</t>
  </si>
  <si>
    <t>Dynein light chain Tctex-type 1</t>
  </si>
  <si>
    <t>60S ribosomal protein L38</t>
  </si>
  <si>
    <t>Guanine nucleotide-binding protein G(I)/G(S)/G(O) subunit gamma-5</t>
  </si>
  <si>
    <t>40S ribosomal protein S21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</si>
  <si>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</si>
  <si>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</si>
  <si>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</si>
  <si>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</si>
  <si>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</si>
  <si>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</si>
  <si>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</si>
  <si>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</si>
  <si>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</si>
  <si>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</si>
  <si>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</si>
  <si>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</si>
  <si>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</si>
  <si>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beta</t>
  </si>
  <si>
    <t>Hemoglobin subunit alpha</t>
  </si>
  <si>
    <t>Nucleolar protein 14</t>
  </si>
  <si>
    <t>Immunoglobulin-binding protein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</si>
  <si>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</si>
  <si>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</si>
  <si>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</si>
  <si>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</si>
  <si>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</si>
  <si>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</si>
  <si>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SRSF protein kinase 2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</si>
  <si>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</si>
  <si>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</si>
  <si>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</si>
  <si>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</si>
  <si>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</si>
  <si>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Isoform 2 of Biogenesis of lysosome-related organelles complex 1 subunit 1</t>
  </si>
  <si>
    <t>Arginase-2, mitochondrial</t>
  </si>
  <si>
    <t>Endonuclease III-like protein 1</t>
  </si>
  <si>
    <t>Isoform 2 of Proline-rich protein 3</t>
  </si>
  <si>
    <t>Interferon-induced 35 kDa protein</t>
  </si>
  <si>
    <t>Metallothionein-1X</t>
  </si>
  <si>
    <t>Nucleobindin-2</t>
  </si>
  <si>
    <t>Dermcidin</t>
  </si>
  <si>
    <t>TATA element modulatory factor</t>
  </si>
  <si>
    <t>28S ribosomal protein S10, mitochondrial</t>
  </si>
  <si>
    <t>28S ribosomal protein S35, mitochondrial</t>
  </si>
  <si>
    <t>Isoform 2 of 28S ribosomal protein S11, mitochondrial</t>
  </si>
  <si>
    <t>28S ribosomal protein S21, mitochondrial</t>
  </si>
  <si>
    <t>28S ribosomal protein S6, mitochondrial</t>
  </si>
  <si>
    <t>28S ribosomal protein S9, mitochondrial</t>
  </si>
  <si>
    <t>SAP domain-containing ribonucleoprotein</t>
  </si>
  <si>
    <t>Serine beta-lactamase-like protein LACTB, mitochondrial</t>
  </si>
  <si>
    <t>Conserved oligomeric Golgi complex subunit 7</t>
  </si>
  <si>
    <t>Thioredoxin-like protein 4A</t>
  </si>
  <si>
    <t>ADP-ribosylation factor 5</t>
  </si>
  <si>
    <t>Enhancer of rudimentary homolog</t>
  </si>
  <si>
    <t>Rho-related GTP-binding protein RhoG</t>
  </si>
  <si>
    <t>Isoform 4 of Small EDRK-rich factor 2</t>
  </si>
  <si>
    <t>Isoform 2 of Matrix-remodeling-associated protein 7</t>
  </si>
  <si>
    <t>Forkhead box protein K1</t>
  </si>
  <si>
    <t>Vacuolar fusion protein CCZ1 homolog</t>
  </si>
  <si>
    <t>Isoform Short of Very low-density lipoprotein receptor</t>
  </si>
  <si>
    <t>Basement membrane-specific heparan sulfate proteoglycan core protein</t>
  </si>
  <si>
    <t>E3 ubiquitin-protein ligase XIAP</t>
  </si>
  <si>
    <t>Ephrin-B1</t>
  </si>
  <si>
    <t>Isoform 2 of RNA-binding protein 10</t>
  </si>
  <si>
    <t>Putative RNA-binding protein 3</t>
  </si>
  <si>
    <t>Isoform 2 of 55 kDa erythrocyte membrane protein</t>
  </si>
  <si>
    <t>Transcription factor A, mitochondrial</t>
  </si>
  <si>
    <t>Phosphatidylinositol transfer protein alpha isoform</t>
  </si>
  <si>
    <t>S-adenosylmethionine synthase isoform type-1</t>
  </si>
  <si>
    <t>Isoform B of Phosphate carrier protein, mitochondrial</t>
  </si>
  <si>
    <t>Vigilin</t>
  </si>
  <si>
    <t>Transcription initiation factor IIB</t>
  </si>
  <si>
    <t>Cyclin-dependent kinase 3</t>
  </si>
  <si>
    <t>Cyclin-dependent kinase 6</t>
  </si>
  <si>
    <t>Cyclin-dependent kinase 5</t>
  </si>
  <si>
    <t>Cyclin-dependent kinase 16</t>
  </si>
  <si>
    <t>Transcriptional activator protein Pur-alpha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</si>
  <si>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</si>
  <si>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</si>
  <si>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</si>
  <si>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</si>
  <si>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Isoform Short of Heterogeneous nuclear ribonucleoprotein U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</si>
  <si>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</si>
  <si>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</si>
  <si>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</si>
  <si>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</si>
  <si>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Isoform 2 of Protein SET</t>
  </si>
  <si>
    <t>CD83 antigen</t>
  </si>
  <si>
    <t>Forkhead box protein K2</t>
  </si>
  <si>
    <t>Runt-related transcription factor 1</t>
  </si>
  <si>
    <t>N-acetylgalactosamine kinase</t>
  </si>
  <si>
    <t>AMP deaminase 3</t>
  </si>
  <si>
    <t>AMP deaminase 2</t>
  </si>
  <si>
    <t>Di-N-acetylchitobiase</t>
  </si>
  <si>
    <t>Fatty acid-binding protein, epidermal</t>
  </si>
  <si>
    <t>Isoform 2 of Adenylyl cyclase-associated protein 1</t>
  </si>
  <si>
    <t>Friend leukemia integration 1 transcription factor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</si>
  <si>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</si>
  <si>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</si>
  <si>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</si>
  <si>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</si>
  <si>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</si>
  <si>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6-phosphofructokinase type C</t>
  </si>
  <si>
    <t>DNA-binding protein SATB1</t>
  </si>
  <si>
    <t>Inositol polyphosphate 5-phosphatase OCRL-1</t>
  </si>
  <si>
    <t>1-phosphatidylinositol 4,5-bisphosphate phosphodiesterase beta-3</t>
  </si>
  <si>
    <t>A-kinase anchor protein 17A</t>
  </si>
  <si>
    <t>Isoform RSRFC4 of Myocyte-specific enhancer factor 2A</t>
  </si>
  <si>
    <t>Isoform 2 of N-acylethanolamine-hydrolyzing acid amidase</t>
  </si>
  <si>
    <t>Isoform 2 of Guanylate cyclase soluble subunit alpha-3</t>
  </si>
  <si>
    <t>Dihydroorotate dehydrogenase (quinone), mitochondrial</t>
  </si>
  <si>
    <t>Isoform 3 of Centromere-associated protein E</t>
  </si>
  <si>
    <t>Kinesin-like protein KIF23</t>
  </si>
  <si>
    <t>Methylmalonate-semialdehyde dehydrogenase [acylating], mitochondrial</t>
  </si>
  <si>
    <t>D-beta-hydroxybutyrate dehydrogenase, mitochondrial</t>
  </si>
  <si>
    <t>Semenogelin-2</t>
  </si>
  <si>
    <t>Amyloid beta A4 precursor protein-binding family A member 1</t>
  </si>
  <si>
    <t>Transcription factor Sp4</t>
  </si>
  <si>
    <t>Isoform 3 of Transcription factor Sp3</t>
  </si>
  <si>
    <t>DNA-binding protein inhibitor ID-3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</si>
  <si>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</si>
  <si>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</si>
  <si>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</si>
  <si>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</si>
  <si>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</si>
  <si>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Beta-1 of DNA topoisomerase 2-beta</t>
  </si>
  <si>
    <t>Glutathione S-transferase Mu 4</t>
  </si>
  <si>
    <t>Protein ENL</t>
  </si>
  <si>
    <t>Urokinase plasminogen activator surface receptor</t>
  </si>
  <si>
    <t>Antigen peptide transporter 2</t>
  </si>
  <si>
    <t>1,4-alpha-glucan-branching enzyme</t>
  </si>
  <si>
    <t>Isoform 5 of Copper-transporting ATPase 1</t>
  </si>
  <si>
    <t>Neurogenic locus notch homolog protein 2</t>
  </si>
  <si>
    <t>Protein kinase C theta type</t>
  </si>
  <si>
    <t>Isoform 2 of Lactoylglutathione lyase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</si>
  <si>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</si>
  <si>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</si>
  <si>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</si>
  <si>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</si>
  <si>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</si>
  <si>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Isoform 3 of Dynamin-1</t>
  </si>
  <si>
    <t>Isoform 2 of Serine/arginine-rich splicing factor 11</t>
  </si>
  <si>
    <t>Elongation factor 1-alpha 2</t>
  </si>
  <si>
    <t>Protein kinase C delta type</t>
  </si>
  <si>
    <t>Isoform 3 of Folylpolyglutamate synthase, mitochondrial</t>
  </si>
  <si>
    <t>Tyrosine-protein phosphatase non-receptor type 11</t>
  </si>
  <si>
    <t>3-ketodihydrosphingosine reductase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</si>
  <si>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</si>
  <si>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</si>
  <si>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</si>
  <si>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</si>
  <si>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4 of Recombining binding protein suppressor of hairless</t>
  </si>
  <si>
    <t>Amyloid-like protein 2</t>
  </si>
  <si>
    <t>GA-binding protein alpha chain</t>
  </si>
  <si>
    <t>Isoform 2 of GA-binding protein subunit beta-1</t>
  </si>
  <si>
    <t>E3 ubiquitin-protein ligase RING1</t>
  </si>
  <si>
    <t>DNA repair protein RAD51 homolog 1</t>
  </si>
  <si>
    <t>Isoform 5 of Fragile X mental retardation protein 1</t>
  </si>
  <si>
    <t>Peroxiredoxin-1</t>
  </si>
  <si>
    <t>Transcription factor SOX-4</t>
  </si>
  <si>
    <t>Complement component 1 Q subcomponent-binding protein, mitochondrial</t>
  </si>
  <si>
    <t>Cytoskeleton-associated protein 4</t>
  </si>
  <si>
    <t>Early activation antigen CD69</t>
  </si>
  <si>
    <t>Sperm-associated antigen 1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</si>
  <si>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</si>
  <si>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</si>
  <si>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</si>
  <si>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G of Kinesin light chain 1</t>
  </si>
  <si>
    <t>Isoform N of Kinesin light chain 1</t>
  </si>
  <si>
    <t>Prolow-density lipoprotein receptor-related protein 1</t>
  </si>
  <si>
    <t>Rho GTPase-activating protein 1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</si>
  <si>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</si>
  <si>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</si>
  <si>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</si>
  <si>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</si>
  <si>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Sodium-dependent phosphate transporter 2</t>
  </si>
  <si>
    <t>Golgin subfamily A member 3</t>
  </si>
  <si>
    <t>Golgin subfamily A member 2</t>
  </si>
  <si>
    <t>Galectin-3-binding protein</t>
  </si>
  <si>
    <t>Isoform 1B of Desmocollin-1</t>
  </si>
  <si>
    <t>Leukocyte surface antigen CD47</t>
  </si>
  <si>
    <t>Peptidyl-prolyl cis-trans isomerase D</t>
  </si>
  <si>
    <t>Tyrosine-protein kinase ITK/TSK</t>
  </si>
  <si>
    <t>FACT complex subunit SSRP1</t>
  </si>
  <si>
    <t>Isoform 2 of Calmodulin-regulated spectrin-associated protein 2</t>
  </si>
  <si>
    <t>Schlafen family member 5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</si>
  <si>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</si>
  <si>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</si>
  <si>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</si>
  <si>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</si>
  <si>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</si>
  <si>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</si>
  <si>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</si>
  <si>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</si>
  <si>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Elongator complex protein 6</t>
  </si>
  <si>
    <t>Apolipoprotein B receptor</t>
  </si>
  <si>
    <t>Heat shock 70 kDa protein 14</t>
  </si>
  <si>
    <t>Secernin-3</t>
  </si>
  <si>
    <t>Ragulator complex protein LAMTOR4</t>
  </si>
  <si>
    <t>Alpha-1,6-mannosyl-glycoprotein 2-beta-N-acetylglucosaminyltransferase</t>
  </si>
  <si>
    <t>Polypeptide N-acetylgalactosaminyltransferase 2</t>
  </si>
  <si>
    <t>Isoform B of AP-1 complex subunit beta-1</t>
  </si>
  <si>
    <t>Cleavage and polyadenylation specificity factor subunit 1</t>
  </si>
  <si>
    <t>Bone marrow stromal antigen 2</t>
  </si>
  <si>
    <t>Mitochondrial-processing peptidase subunit alpha</t>
  </si>
  <si>
    <t>Secernin-1</t>
  </si>
  <si>
    <t>WASH complex subunit strumpellin</t>
  </si>
  <si>
    <t>Nuclear pore complex protein Nup160</t>
  </si>
  <si>
    <t>Transducin beta-like protein 3</t>
  </si>
  <si>
    <t>Isoform 2 of General transcription factor 3C polypeptide 1</t>
  </si>
  <si>
    <t>Twinfilin-1</t>
  </si>
  <si>
    <t>Isoform 10 of Aspartyl/asparaginyl beta-hydroxylase</t>
  </si>
  <si>
    <t>Isoform 3 of A-kinase anchor protein 13</t>
  </si>
  <si>
    <t>Isoform B of SWI/SNF-related matrix-associated actin-dependent regulator of chromatin subfamily B member 1</t>
  </si>
  <si>
    <t>Cell division cycle protein 20 homolog</t>
  </si>
  <si>
    <t>Syntaxin-4</t>
  </si>
  <si>
    <t>Splicing factor, suppressor of white-apricot homolog</t>
  </si>
  <si>
    <t>Splicing factor 3A subunit 3</t>
  </si>
  <si>
    <t>Dihydropyrimidine dehydrogenase [NADP(+)]</t>
  </si>
  <si>
    <t>Tumor suppressor p53-binding protein 1</t>
  </si>
  <si>
    <t>Transmembrane protein 115</t>
  </si>
  <si>
    <t>Tripartite motif-containing protein 26</t>
  </si>
  <si>
    <t>Aminoacyl tRNA synthase complex-interacting multifunctional protein 1</t>
  </si>
  <si>
    <t>Interleukin enhancer-binding factor 2</t>
  </si>
  <si>
    <t>Isoform 7 of Interleukin enhancer-binding factor 3</t>
  </si>
  <si>
    <t>Vesicular integral-membrane protein VIP36</t>
  </si>
  <si>
    <t>Isoform 2 of Lymphoid-restricted membrane protein</t>
  </si>
  <si>
    <t>Isoform 3 of TNF receptor-associated factor 2</t>
  </si>
  <si>
    <t>Ankyrin-3</t>
  </si>
  <si>
    <t>Isoform 5 of Disks large homolog 1</t>
  </si>
  <si>
    <t>Transcription initiation factor TFIID subunit 10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</si>
  <si>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</si>
  <si>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</si>
  <si>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</si>
  <si>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</si>
  <si>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</si>
  <si>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</si>
  <si>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</si>
  <si>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</si>
  <si>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</si>
  <si>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</si>
  <si>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</si>
  <si>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Isoform 2 of Protein flightless-1 homolog</t>
  </si>
  <si>
    <t>E3 ubiquitin-protein ligase TRIM32</t>
  </si>
  <si>
    <t>Bifunctional coenzyme A synthase</t>
  </si>
  <si>
    <t>Acetyl-CoA carboxylase 1</t>
  </si>
  <si>
    <t>Lymphocyte cytosolic protein 2</t>
  </si>
  <si>
    <t>Isoform 2 of Ubiquitin carboxyl-terminal hydrolase 4</t>
  </si>
  <si>
    <t>Chromatin assembly factor 1 subunit A</t>
  </si>
  <si>
    <t>Chromatin assembly factor 1 subunit B</t>
  </si>
  <si>
    <t>Protein Red</t>
  </si>
  <si>
    <t>5-AMP-activated protein kinase catalytic subunit alpha-1</t>
  </si>
  <si>
    <t>Liprin-alpha-1</t>
  </si>
  <si>
    <t>TAR DNA-binding protein 43</t>
  </si>
  <si>
    <t>Heterogeneous nuclear ribonucleoprotein A0</t>
  </si>
  <si>
    <t>Serine/threonine-protein kinase PAK 1</t>
  </si>
  <si>
    <t>Aminoacyl tRNA synthase complex-interacting multifunctional protein 2</t>
  </si>
  <si>
    <t>Protein FADD</t>
  </si>
  <si>
    <t>Peroxiredoxin-4</t>
  </si>
  <si>
    <t>Isoform 4 of Dual specificity mitogen-activated protein kinase kinase 5</t>
  </si>
  <si>
    <t>Serine/threonine-protein kinase PAK 2</t>
  </si>
  <si>
    <t>Chromobox protein homolog 3</t>
  </si>
  <si>
    <t>Serine/threonine-protein kinase 3</t>
  </si>
  <si>
    <t>Isoform 2 of Syntaxin-5</t>
  </si>
  <si>
    <t>26S proteasome non-ATPase regulatory subunit 2</t>
  </si>
  <si>
    <t>DNA excision repair protein ERCC-8</t>
  </si>
  <si>
    <t>DnaJ homolog subfamily C member 3</t>
  </si>
  <si>
    <t>Serine/arginine-rich splicing factor 9</t>
  </si>
  <si>
    <t>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</si>
  <si>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</si>
  <si>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</si>
  <si>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</si>
  <si>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</si>
  <si>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</si>
  <si>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</si>
  <si>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Voltage-gated potassium channel subunit beta-2</t>
  </si>
  <si>
    <t>Isoform 3 of Voltage-gated potassium channel subunit beta-2</t>
  </si>
  <si>
    <t>Inactive tyrosine-protein kinase 7</t>
  </si>
  <si>
    <t>S-phase kinase-associated protein 2</t>
  </si>
  <si>
    <t>Isoform 3 of Polyadenylate-binding protein 4</t>
  </si>
  <si>
    <t>Interferon-induced protein with tetratricopeptide repeats 5</t>
  </si>
  <si>
    <t>Isoform 3 of Metastasis-associated protein MTA1</t>
  </si>
  <si>
    <t>Isoform 2 of Receptor-type tyrosine-protein phosphatase S</t>
  </si>
  <si>
    <t>Eukaryotic translation initiation factor 3 subunit I</t>
  </si>
  <si>
    <t>Peptidyl-prolyl cis-trans isomerase-like 2</t>
  </si>
  <si>
    <t>Isoform Gamma-2 of Serine/threonine-protein phosphatase 2A 56 kDa regulatory subunit gamma isoform</t>
  </si>
  <si>
    <t>Isoform 4 of Serine/threonine-protein phosphatase 2A 56 kDa regulatory subunit gamma isoform</t>
  </si>
  <si>
    <t>C-terminal-binding protein 1</t>
  </si>
  <si>
    <t>AP-3 complex subunit beta-2</t>
  </si>
  <si>
    <t>Phosducin-like protein</t>
  </si>
  <si>
    <t>Probable methyltransferase TARBP1</t>
  </si>
  <si>
    <t>39S ribosomal protein L49, mitochondrial</t>
  </si>
  <si>
    <t>Isoform 2C of Cytoplasmic dynein 1 intermediate chain 2</t>
  </si>
  <si>
    <t>Origin recognition complex subunit 2</t>
  </si>
  <si>
    <t>Integrin-linked protein kinase</t>
  </si>
  <si>
    <t>NAD(P) transhydrogenase, mitochondrial</t>
  </si>
  <si>
    <t>Beta-2-syntrophin</t>
  </si>
  <si>
    <t>DNA repair protein XRCC4</t>
  </si>
  <si>
    <t>Peptidyl-prolyl cis-trans isomerase G</t>
  </si>
  <si>
    <t>Isoform 3 of Treacle protein</t>
  </si>
  <si>
    <t>Isoform B of Protein unc-119 homolog A</t>
  </si>
  <si>
    <t>Zinc transporter ZIP6</t>
  </si>
  <si>
    <t>Splicing factor 3B subunit 2</t>
  </si>
  <si>
    <t>Isoform 4 of Protein OS-9</t>
  </si>
  <si>
    <t>Isoform 3 of Golgin subfamily A member 4</t>
  </si>
  <si>
    <t>28 kDa heat- and acid-stable phosphoprotein</t>
  </si>
  <si>
    <t>Disintegrin and metalloproteinase domain-containing protein 9</t>
  </si>
  <si>
    <t>Transmembrane emp24 domain-containing protein 1</t>
  </si>
  <si>
    <t>Peptidyl-prolyl cis-trans isomerase FKBP5</t>
  </si>
  <si>
    <t>Rho-associated protein kinase 1</t>
  </si>
  <si>
    <t>Isoform 3 of Nuclear factor of activated T-cells, cytoplasmic 2</t>
  </si>
  <si>
    <t>Isoform Short of DNA topoisomerase 3-alpha</t>
  </si>
  <si>
    <t>Isoform 2 of Phosphatidylinositol-binding clathrin assembly protein</t>
  </si>
  <si>
    <t>Myotubularin</t>
  </si>
  <si>
    <t>Sequestosome-1</t>
  </si>
  <si>
    <t>Mediator of RNA polymerase II transcription subunit 21</t>
  </si>
  <si>
    <t>Isoform 3 of Metaxin-1</t>
  </si>
  <si>
    <t>NGFI-A-binding protein 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</si>
  <si>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</si>
  <si>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</si>
  <si>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</si>
  <si>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</si>
  <si>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Histone deacetylase 1</t>
  </si>
  <si>
    <t>NEDD8-activating enzyme E1 regulatory subunit</t>
  </si>
  <si>
    <t>Lysosomal-associated transmembrane protein 5</t>
  </si>
  <si>
    <t>Inositol-tetrakisphosphate 1-kinase</t>
  </si>
  <si>
    <t>SNW domain-containing protein 1</t>
  </si>
  <si>
    <t>Diacylglycerol kinase zeta</t>
  </si>
  <si>
    <t>Ras GTPase-activating-like protein IQGAP2</t>
  </si>
  <si>
    <t>Stromal interaction molecule 1</t>
  </si>
  <si>
    <t>GRB2-related adapter protein</t>
  </si>
  <si>
    <t>Sorting nexin-1</t>
  </si>
  <si>
    <t>Peroxisome assembly factor 2</t>
  </si>
  <si>
    <t>Periodic tryptophan protein 1 homolog</t>
  </si>
  <si>
    <t>Myotubularin-related protein 2</t>
  </si>
  <si>
    <t>Isoform C of Myotubularin-related protein 3</t>
  </si>
  <si>
    <t>Cullin-1</t>
  </si>
  <si>
    <t>Cullin-2</t>
  </si>
  <si>
    <t>Cullin-3</t>
  </si>
  <si>
    <t>Cullin-4A</t>
  </si>
  <si>
    <t>Isoform 2 of Apoptosis-stimulating of p53 protein 2</t>
  </si>
  <si>
    <t>Isoform 1 of Dual specificity tyrosine-phosphorylation-regulated kinase 1A</t>
  </si>
  <si>
    <t>GDP-L-fucose synthase</t>
  </si>
  <si>
    <t>Isoform 1 of Four and a half LIM domains protein 1</t>
  </si>
  <si>
    <t>Four and a half LIM domains protein 3</t>
  </si>
  <si>
    <t>Alkylated DNA repair protein alkB homolog 1</t>
  </si>
  <si>
    <t>Mannosyl-oligosaccharide glucosidase</t>
  </si>
  <si>
    <t>Isoform 2 of CD166 antigen</t>
  </si>
  <si>
    <t>THO complex subunit 5 homolog</t>
  </si>
  <si>
    <t>ADP-ribosylation factor-related protein 1</t>
  </si>
  <si>
    <t>Spectrin alpha chain, non-erythrocytic 1</t>
  </si>
  <si>
    <t>Isoform 2 of Spectrin alpha chain, non-erythrocytic 1</t>
  </si>
  <si>
    <t>Methylglutaconyl-CoA hydratase, mitochondrial</t>
  </si>
  <si>
    <t>Spliceosome RNA helicase DDX39B</t>
  </si>
  <si>
    <t>Bleomycin hydrolase</t>
  </si>
  <si>
    <t>Exosome complex component RRP4</t>
  </si>
  <si>
    <t>Beta-1-syntrophin</t>
  </si>
  <si>
    <t>Tubulin beta-2A chain</t>
  </si>
  <si>
    <t>Bystin</t>
  </si>
  <si>
    <t>Rap guanine nucleotide exchange factor 1</t>
  </si>
  <si>
    <t>Isopentenyl-diphosphate Delta-isomerase 1</t>
  </si>
  <si>
    <t>Protein CASP</t>
  </si>
  <si>
    <t>Core-binding factor subunit beta</t>
  </si>
  <si>
    <t>Isoform 2 of Core-binding factor subunit beta</t>
  </si>
  <si>
    <t>Isoform 2 of Nuclear transcription factor Y subunit gamma</t>
  </si>
  <si>
    <t>Isoform 3 of Pro-interleukin-16</t>
  </si>
  <si>
    <t>Isoform 2 of Cytoskeleton-associated protein 5</t>
  </si>
  <si>
    <t>Cold-inducible RNA-binding protein</t>
  </si>
  <si>
    <t>Coactosin-like protein</t>
  </si>
  <si>
    <t>Cytochrome c oxidase copper chaperone</t>
  </si>
  <si>
    <t>Ras-related protein Rab-33A</t>
  </si>
  <si>
    <t>Isoform 3 of Heterogeneous nuclear ribonucleoprotein D0</t>
  </si>
  <si>
    <t>Isoform 4 of Heterogeneous nuclear ribonucleoprotein D0</t>
  </si>
  <si>
    <t>Lysosome membrane protein 2</t>
  </si>
  <si>
    <t>Low-density lipoprotein receptor-related protein 8</t>
  </si>
  <si>
    <t>Dihydropyrimidinase</t>
  </si>
  <si>
    <t>Dystroglycan</t>
  </si>
  <si>
    <t>Desmoglein-2</t>
  </si>
  <si>
    <t>Transcription cofactor vestigial-like protein 4</t>
  </si>
  <si>
    <t>Ribosome biogenesis protein BOP1</t>
  </si>
  <si>
    <t>Ubiquitin conjugation factor E4 A</t>
  </si>
  <si>
    <t>Kelch-like ECH-associated protein 1</t>
  </si>
  <si>
    <t>Unhealthy ribosome biogenesis protein 2 homolog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</si>
  <si>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</si>
  <si>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</si>
  <si>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</si>
  <si>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</si>
  <si>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Protein FAM53B</t>
  </si>
  <si>
    <t>Isoform 2 of Ubiquitin-associated protein 2-like</t>
  </si>
  <si>
    <t>Isoform 3 of Ubiquitin-associated protein 2-like</t>
  </si>
  <si>
    <t>Protein scribble homolog</t>
  </si>
  <si>
    <t>ARF GTPase-activating protein GIT2</t>
  </si>
  <si>
    <t>Malectin</t>
  </si>
  <si>
    <t>Tubulin--tyrosine ligase-like protein 12</t>
  </si>
  <si>
    <t>DNA polymerase alpha subunit B</t>
  </si>
  <si>
    <t>Double C2-like domain-containing protein alpha</t>
  </si>
  <si>
    <t>Transcription factor Dp-1</t>
  </si>
  <si>
    <t>Transcription factor Dp-2</t>
  </si>
  <si>
    <t>Cytoplasmic dynein 1 heavy chain 1</t>
  </si>
  <si>
    <t>Translation initiation factor eIF-2B subunit alpha</t>
  </si>
  <si>
    <t>Eukaryotic initiation factor 4A-II</t>
  </si>
  <si>
    <t>Transcription elongation factor B polypeptide 3</t>
  </si>
  <si>
    <t>P-selectin glycoprotein ligand 1</t>
  </si>
  <si>
    <t>Src substrate cortactin</t>
  </si>
  <si>
    <t>Isoform 2 of Src substrate cortactin</t>
  </si>
  <si>
    <t>Endonuclease G, mitochondrial</t>
  </si>
  <si>
    <t>Flotillin-2</t>
  </si>
  <si>
    <t>Reticulocalbin-2</t>
  </si>
  <si>
    <t>E3 ubiquitin/ISG15 ligase TRIM25</t>
  </si>
  <si>
    <t>Isoform 2 of Protein-tyrosine kinase 2-beta</t>
  </si>
  <si>
    <t>Isoform 2 of 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</si>
  <si>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</si>
  <si>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</si>
  <si>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</si>
  <si>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</si>
  <si>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</si>
  <si>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Caprin-1</t>
  </si>
  <si>
    <t>Beclin-1</t>
  </si>
  <si>
    <t>Transcription factor HES-1</t>
  </si>
  <si>
    <t>Isoform 2 of RNA-binding protein 39</t>
  </si>
  <si>
    <t>Protocadherin Fat 1</t>
  </si>
  <si>
    <t>Isoform 2 of Hyaluronan-binding protein 2</t>
  </si>
  <si>
    <t>Helicase-like transcription factor</t>
  </si>
  <si>
    <t>Squalene monooxygenase</t>
  </si>
  <si>
    <t>Protein disulfide-isomerase A5</t>
  </si>
  <si>
    <t>Isoform 2 of Phosphoribosyl pyrophosphate synthase-associated protein 1</t>
  </si>
  <si>
    <t>ATP-dependent RNA helicase DHX8</t>
  </si>
  <si>
    <t>DNA replication licensing factor MCM6</t>
  </si>
  <si>
    <t>Ras GTPase-activating protein 3</t>
  </si>
  <si>
    <t>Plastin-1</t>
  </si>
  <si>
    <t>Interferon regulatory factor 3</t>
  </si>
  <si>
    <t>L antigen family member 3</t>
  </si>
  <si>
    <t>Isoform 2 of E3 ubiquitin-protein ligase TRIP12</t>
  </si>
  <si>
    <t>Mediator of DNA damage checkpoint protein 1</t>
  </si>
  <si>
    <t>Clathrin interactor 1</t>
  </si>
  <si>
    <t>Isoform 3 of Clathrin interactor 1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</si>
  <si>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</si>
  <si>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</si>
  <si>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</si>
  <si>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</si>
  <si>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</si>
  <si>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Protein RRP5 homolog</t>
  </si>
  <si>
    <t>DNA replication complex GINS protein PSF1</t>
  </si>
  <si>
    <t>Ribosome biogenesis protein BMS1 homolog</t>
  </si>
  <si>
    <t>Phosphatidate phosphatase LPIN1</t>
  </si>
  <si>
    <t>Ubiquitin carboxyl-terminal hydrolase 10</t>
  </si>
  <si>
    <t>LDLR chaperone MESD</t>
  </si>
  <si>
    <t>Neutral alpha-glucosidase AB</t>
  </si>
  <si>
    <t>Isoform 2 of Neutral alpha-glucosidase AB</t>
  </si>
  <si>
    <t>Raftlin</t>
  </si>
  <si>
    <t>Lamin-B receptor</t>
  </si>
  <si>
    <t>Isoform 2 of Conserved oligomeric Golgi complex subunit 2</t>
  </si>
  <si>
    <t>Protein tyrosine phosphatase receptor type C-associated protein</t>
  </si>
  <si>
    <t>Major vault protein</t>
  </si>
  <si>
    <t>Golgin subfamily B member 1</t>
  </si>
  <si>
    <t>Isoform 2 of Caspase-8</t>
  </si>
  <si>
    <t>N-alpha-acetyltransferase 30</t>
  </si>
  <si>
    <t>Kinesin-like protein KIF22</t>
  </si>
  <si>
    <t>LIM and SH3 domain protein 1</t>
  </si>
  <si>
    <t>Thiomorpholine-carboxylate dehydrogenase</t>
  </si>
  <si>
    <t>Ras-related protein Rab-39A</t>
  </si>
  <si>
    <t>Zinc finger protein 638</t>
  </si>
  <si>
    <t>Importin subunit beta-1</t>
  </si>
  <si>
    <t>Isoform Beta of Nucleolar and coiled-body phosphoprotein 1</t>
  </si>
  <si>
    <t>Isoform 2 of Nuclear mitotic apparatus protein 1</t>
  </si>
  <si>
    <t>Outer dense fiber protein 1</t>
  </si>
  <si>
    <t>Proteasome activator complex subunit 4</t>
  </si>
  <si>
    <t>Isoform 2 of Sarcolemmal membrane-associated protein</t>
  </si>
  <si>
    <t>Isoform 5 of GTPase-activating protein and VPS9 domain-containing protein 1</t>
  </si>
  <si>
    <t>N-alpha-acetyltransferase 25, NatB auxiliary subunit</t>
  </si>
  <si>
    <t>Condensin complex subunit 2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</si>
  <si>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</si>
  <si>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</si>
  <si>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</si>
  <si>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</si>
  <si>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</si>
  <si>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MAD2L1-binding protein</t>
  </si>
  <si>
    <t>Mortality factor 4-like protein 2</t>
  </si>
  <si>
    <t>BRISC complex subunit Abro1</t>
  </si>
  <si>
    <t>Isoform 2 of Septin-2</t>
  </si>
  <si>
    <t>Squamous cell carcinoma antigen recognized by T-cells 3</t>
  </si>
  <si>
    <t>Condensin complex subunit 1</t>
  </si>
  <si>
    <t>Polycomb protein SUZ12</t>
  </si>
  <si>
    <t>Exosome complex component RRP42</t>
  </si>
  <si>
    <t>Arf-GAP with coiled-coil, ANK repeat and PH domain-containing protein 1</t>
  </si>
  <si>
    <t>Isoform 2 of 116 kDa U5 small nuclear ribonucleoprotein component</t>
  </si>
  <si>
    <t>Probable leucine--tRNA ligase, mitochondrial</t>
  </si>
  <si>
    <t>Isoform 2 of R3H domain-containing protein 1</t>
  </si>
  <si>
    <t>Isoform 2 of Sorting nexin-17</t>
  </si>
  <si>
    <t>Rab3 GTPase-activating protein catalytic subunit</t>
  </si>
  <si>
    <t>Isoform 2 of Zinc transporter ZIP14</t>
  </si>
  <si>
    <t>Lysine--tRNA ligase</t>
  </si>
  <si>
    <t>Ribosome biogenesis regulatory protein homolog</t>
  </si>
  <si>
    <t>Rho guanine nucleotide exchange factor 6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</si>
  <si>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</si>
  <si>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</si>
  <si>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</si>
  <si>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</si>
  <si>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</si>
  <si>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</si>
  <si>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</si>
  <si>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</si>
  <si>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</si>
  <si>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[Pyruvate dehydrogenase [lipoamide]] kinase isozyme 1, mitochondrial</t>
  </si>
  <si>
    <t>[Pyruvate dehydrogenase [lipoamide]] kinase isozyme 2, mitochondrial</t>
  </si>
  <si>
    <t>[Pyruvate dehydrogenase [lipoamide]] kinase isozyme 3, mitochondrial</t>
  </si>
  <si>
    <t>3-beta-hydroxysteroid-Delta(8),Delta(7)-isomerase</t>
  </si>
  <si>
    <t>Phosphomevalonate kinase</t>
  </si>
  <si>
    <t>Plectin</t>
  </si>
  <si>
    <t>Isoform 3 of Plectin</t>
  </si>
  <si>
    <t>Isoform 2 of Pericentriolar material 1 protein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</si>
  <si>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</si>
  <si>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</si>
  <si>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</si>
  <si>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</si>
  <si>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</si>
  <si>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</si>
  <si>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Poliovirus receptor-related protein 1</t>
  </si>
  <si>
    <t>Non-POU domain-containing octamer-binding protein</t>
  </si>
  <si>
    <t>Periodic tryptophan protein 2 homolog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</si>
  <si>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</si>
  <si>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</si>
  <si>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</si>
  <si>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</si>
  <si>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</si>
  <si>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</si>
  <si>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</si>
  <si>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</si>
  <si>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</si>
  <si>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Transmembrane emp24 domain-containing protein 2</t>
  </si>
  <si>
    <t>Poly(rC)-binding protein 1</t>
  </si>
  <si>
    <t>Isoform 2 of Poly(rC)-binding protein 2</t>
  </si>
  <si>
    <t>Isoform 3 of Poly(rC)-binding protein 2</t>
  </si>
  <si>
    <t>Transcription elongation factor B polypeptide 2</t>
  </si>
  <si>
    <t>GTP-binding protein Rheb</t>
  </si>
  <si>
    <t>Ubiquitin-protein ligase E3C</t>
  </si>
  <si>
    <t>Splicing factor 3B subunit 3</t>
  </si>
  <si>
    <t>Isoform 3 of Disks large-associated protein 5</t>
  </si>
  <si>
    <t>Ras suppressor protein 1</t>
  </si>
  <si>
    <t>Calponin-3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</si>
  <si>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</si>
  <si>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</si>
  <si>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</si>
  <si>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</si>
  <si>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</si>
  <si>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</si>
  <si>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</si>
  <si>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Helicase SKI2W</t>
  </si>
  <si>
    <t>Sperm surface protein Sp17</t>
  </si>
  <si>
    <t>Isoform 2 of Surfeit locus protein 1</t>
  </si>
  <si>
    <t>Surfeit locus protein 2</t>
  </si>
  <si>
    <t>Transcription initiation factor TFIID subunit 5</t>
  </si>
  <si>
    <t>Transcription initiation factor TFIID subunit 11</t>
  </si>
  <si>
    <t>Transcription initiation factor TFIID subunit 7</t>
  </si>
  <si>
    <t>Telomeric repeat-binding factor 2</t>
  </si>
  <si>
    <t>Isoform 4 of Microtubule-associated protein RP/EB family member 2</t>
  </si>
  <si>
    <t>Isoform 2 of Transcription elongation factor A protein 2</t>
  </si>
  <si>
    <t>Nuclear receptor coactivator 2</t>
  </si>
  <si>
    <t>Na(+)/H(+) exchange regulatory cofactor NHE-RF2</t>
  </si>
  <si>
    <t>Tumor necrosis factor receptor type 1-associated DEATH domain protein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</si>
  <si>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</si>
  <si>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</si>
  <si>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</si>
  <si>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</si>
  <si>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</si>
  <si>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</si>
  <si>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</si>
  <si>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Isoform 3 of Probable JmjC domain-containing histone demethylation protein 2C</t>
  </si>
  <si>
    <t>Microtubule-associated protein RP/EB family member 1</t>
  </si>
  <si>
    <t>TSC22 domain family protein 1</t>
  </si>
  <si>
    <t>ELAV-like protein 1</t>
  </si>
  <si>
    <t>Sterol-4-alpha-carboxylate 3-dehydrogenase, decarboxylating</t>
  </si>
  <si>
    <t>Isoform 3 of NGFI-A-binding protein 2</t>
  </si>
  <si>
    <t>Ovarian cancer G-protein coupled receptor 1</t>
  </si>
  <si>
    <t>Isoform 3B of Myosin light chain kinase, smooth muscle</t>
  </si>
  <si>
    <t>Isoform 2 of TGF-beta-activated kinase 1 and MAP3K7-binding protein 1</t>
  </si>
  <si>
    <t>Probable E3 ubiquitin-protein ligase HERC1</t>
  </si>
  <si>
    <t>Neutral amino acid transporter B(0)</t>
  </si>
  <si>
    <t>Mitogen-activated protein kinase 11</t>
  </si>
  <si>
    <t>Myeloid leukemia factor 2</t>
  </si>
  <si>
    <t>Isoform 2 of Metallophosphoesterase MPPED2</t>
  </si>
  <si>
    <t>Mitochondrial import receptor subunit TOM34</t>
  </si>
  <si>
    <t>Isoform Short of Mothers against decapentaplegic homolog 2</t>
  </si>
  <si>
    <t>Methylsterol monooxygenase 1</t>
  </si>
  <si>
    <t>Tubulin-specific chaperone C</t>
  </si>
  <si>
    <t>Ubiquitin-conjugating enzyme E2 variant 2</t>
  </si>
  <si>
    <t>Isoform 2 of Serine/threonine-protein kinase STK11</t>
  </si>
  <si>
    <t>Syntaxin-binding protein 2</t>
  </si>
  <si>
    <t>Coiled-coil domain-containing protein 85B</t>
  </si>
  <si>
    <t>Vesicle-associated membrane protein 3</t>
  </si>
  <si>
    <t>Isoform USF2A-delta-H of Upstream stimulatory factor 2</t>
  </si>
  <si>
    <t>V-type proton ATPase subunit S1</t>
  </si>
  <si>
    <t>Vacuolar protein sorting-associated protein 72 homolog</t>
  </si>
  <si>
    <t>Ras-related protein Rab-11B</t>
  </si>
  <si>
    <t>Histone-lysine N-methyltransferase EZH2</t>
  </si>
  <si>
    <t>Zyxin</t>
  </si>
  <si>
    <t>Isoform 2 of Zinc finger protein 124</t>
  </si>
  <si>
    <t>Electron transfer flavoprotein-ubiquinone oxidoreductase, mitochondrial</t>
  </si>
  <si>
    <t>Beta-synuclein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</si>
  <si>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</si>
  <si>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</si>
  <si>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</si>
  <si>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</si>
  <si>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</si>
  <si>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26S proteasome non-ATPase regulatory subunit 5</t>
  </si>
  <si>
    <t>Serine/threonine-protein kinase N1</t>
  </si>
  <si>
    <t>Isoform 2 of Serine/threonine-protein kinase N2</t>
  </si>
  <si>
    <t>Isoform TAFII15 of Transcription initiation factor TFIID subunit 12</t>
  </si>
  <si>
    <t>Cryptochrome-1</t>
  </si>
  <si>
    <t>DNA damage-binding protein 1</t>
  </si>
  <si>
    <t>Mitogen-activated protein kinase 14</t>
  </si>
  <si>
    <t>Hsp90 co-chaperone Cdc37</t>
  </si>
  <si>
    <t>Dihydropyrimidinase-related protein 2</t>
  </si>
  <si>
    <t>Calcium/calmodulin-dependent protein kinase type IV</t>
  </si>
  <si>
    <t>Histone-binding protein RBBP7</t>
  </si>
  <si>
    <t>Isoform 5 of Zinc finger protein 74</t>
  </si>
  <si>
    <t>Transcription initiation factor TFIID subunit 9</t>
  </si>
  <si>
    <t>Isoform 4 of Occludin</t>
  </si>
  <si>
    <t>Male-enhanced antigen 1</t>
  </si>
  <si>
    <t>Drebrin</t>
  </si>
  <si>
    <t>MAP kinase-activated protein kinase 3</t>
  </si>
  <si>
    <t>Isoform Short of Nuclear respiratory factor 1</t>
  </si>
  <si>
    <t>Fascin</t>
  </si>
  <si>
    <t>Isoform 2 of Gamma-interferon-inducible protein 16</t>
  </si>
  <si>
    <t>Isoform 2 of Zinc finger and SCAN domain-containing protein 26</t>
  </si>
  <si>
    <t>Alpha-mannosidase 2</t>
  </si>
  <si>
    <t>NADH dehydrogenase [ubiquinone] 1 alpha subcomplex subunit 5</t>
  </si>
  <si>
    <t>Putative ATP-dependent Clp protease proteolytic subunit, mitochondrial</t>
  </si>
  <si>
    <t>Thiosulfate sulfurtransferase</t>
  </si>
  <si>
    <t>Ubiquitin-conjugating enzyme E2 S</t>
  </si>
  <si>
    <t>Hydroxyacylglutathione hydrolase, mitochondrial</t>
  </si>
  <si>
    <t>Histone H2B type 2-E</t>
  </si>
  <si>
    <t>NADH dehydrogenase [ubiquinone] 1 alpha subcomplex subunit 9, mitochondrial</t>
  </si>
  <si>
    <t>Phosphoenolpyruvate carboxykinase [GTP], mitochondrial</t>
  </si>
  <si>
    <t>Deoxyguanosine kinase, mitochondrial</t>
  </si>
  <si>
    <t>V-type proton ATPase subunit F</t>
  </si>
  <si>
    <t>Isoform 2 of Mitochondrial inner membrane protein</t>
  </si>
  <si>
    <t>Isoform 2 of Putative deoxyribonuclease TATDN3</t>
  </si>
  <si>
    <t>Protein FAM98C</t>
  </si>
  <si>
    <t>Proto-oncogene c-Rel</t>
  </si>
  <si>
    <t>Heterogeneous nuclear ribonucleoprotein U-like protein 2</t>
  </si>
  <si>
    <t>Isoform 1 of Centrosome and spindle pole-associated protein 1</t>
  </si>
  <si>
    <t>Isoform 2 of Inverted formin-2</t>
  </si>
  <si>
    <t>HLA class I histocompatibility antigen, B-82 alpha chain</t>
  </si>
  <si>
    <t>HLA class I histocompatibility antigen, B-59 alpha chain</t>
  </si>
  <si>
    <t>HLA class I histocompatibility antigen, Cw-6 alpha chain</t>
  </si>
  <si>
    <t>Sister chromatid cohesion protein PDS5 homolog A</t>
  </si>
  <si>
    <t>Protein CLEC16A</t>
  </si>
  <si>
    <t>Isoform 2 of Methenyltetrahydrofolate synthase domain-containing protein</t>
  </si>
  <si>
    <t>Isoform 2 of AP2-associated protein kinase 1</t>
  </si>
  <si>
    <t>WASH complex subunit 7</t>
  </si>
  <si>
    <t>DNA excision repair protein ERCC-6-like</t>
  </si>
  <si>
    <t>Pre-rRNA-processing protein TSR1 homolog</t>
  </si>
  <si>
    <t>Vimentin-type intermediate filament-associated coiled-coil protein</t>
  </si>
  <si>
    <t>Probable C-mannosyltransferase DPY19L1</t>
  </si>
  <si>
    <t>Peroxisomal leader peptide-processing protease</t>
  </si>
  <si>
    <t>GDP-Man:Man(3)GlcNAc(2)-PP-Dol alpha-1,2-mannosyltransferase</t>
  </si>
  <si>
    <t>Glutamine-rich protein 1</t>
  </si>
  <si>
    <t>RELA protein</t>
  </si>
  <si>
    <t>WD40 repeat-containing protein SMU1</t>
  </si>
  <si>
    <t>AP-5 complex subunit beta-1</t>
  </si>
  <si>
    <t>Syntaxin 1B alternative isoform deltaTM</t>
  </si>
  <si>
    <t>Isoform 2 of Leucine-rich repeat flightless-interacting protein 1</t>
  </si>
  <si>
    <t>Isoform 3 of Leucine-rich repeat flightless-interacting protein 1</t>
  </si>
  <si>
    <t>Isoform 4 of Leucine-rich repeat flightless-interacting protein 1</t>
  </si>
  <si>
    <t>DNA polymerase delta subunit 3</t>
  </si>
  <si>
    <t>Prolyl 3-hydroxylase 1</t>
  </si>
  <si>
    <t>tRNA (guanine(37)-N1)-methyltransferase</t>
  </si>
  <si>
    <t>DNA-directed RNA polymerase I subunit RPA43</t>
  </si>
  <si>
    <t>Glucose-fructose oxidoreductase domain-containing protein 2</t>
  </si>
  <si>
    <t>Isoform 4 of Erythroid differentiation-related factor 1</t>
  </si>
  <si>
    <t>Isoform 4 of MAP7 domain-containing protein 1</t>
  </si>
  <si>
    <t>UDP-N-acetylhexosamine pyrophosphorylase-like protein 1</t>
  </si>
  <si>
    <t>UPF0538 protein C2orf76</t>
  </si>
  <si>
    <t>Alpha-ketoglutarate-dependent dioxygenase alkB homolog 6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</si>
  <si>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</si>
  <si>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</si>
  <si>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</si>
  <si>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</si>
  <si>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</si>
  <si>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ADP-ribosylation factor-like protein 13B</t>
  </si>
  <si>
    <t>N-acetylglucosamine-1-phosphotransferase subunits alpha/beta</t>
  </si>
  <si>
    <t>Isoform 2 of Girdin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</si>
  <si>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</si>
  <si>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</si>
  <si>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</si>
  <si>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</si>
  <si>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Galectin-related protein</t>
  </si>
  <si>
    <t>UPF0489 protein C5orf22</t>
  </si>
  <si>
    <t>Cytochrome c oxidase assembly protein COX19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</si>
  <si>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</si>
  <si>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</si>
  <si>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</si>
  <si>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</si>
  <si>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</si>
  <si>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</si>
  <si>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</si>
  <si>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</si>
  <si>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</si>
  <si>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1-phosphatidylinositol 4,5-bisphosphate phosphodiesterase eta-1</t>
  </si>
  <si>
    <t>Dynein light chain 1, axonemal</t>
  </si>
  <si>
    <t>Isoform 3 of AT-rich interactive domain-containing protein 4B</t>
  </si>
  <si>
    <t>Nucleoside diphosphate kinase, mitochondrial</t>
  </si>
  <si>
    <t>GRIP1-associated protein 1</t>
  </si>
  <si>
    <t>B-cell CLL/lymphoma 7 protein family member A</t>
  </si>
  <si>
    <t>Isoform 2 of B-cell CLL/lymphoma 7 protein family member A</t>
  </si>
  <si>
    <t>Peroxisomal 2,4-dienoyl-CoA reductase</t>
  </si>
  <si>
    <t>Isoform 2 of Membralin</t>
  </si>
  <si>
    <t>Isoform 2 of PAB-dependent poly(A)-specific ribonuclease subunit 2</t>
  </si>
  <si>
    <t>Uncharacterized protein C4orf46</t>
  </si>
  <si>
    <t>Protein lin-52 homolog</t>
  </si>
  <si>
    <t>Isoform 2 of Protein FAM98B</t>
  </si>
  <si>
    <t>Isoform 2 of Programmed cell death protein 4</t>
  </si>
  <si>
    <t>CREB-regulated transcription coactivator 2</t>
  </si>
  <si>
    <t>Glycerol-3-phosphate acyltransferase 3</t>
  </si>
  <si>
    <t>Centrosomal protein of 55 kDa</t>
  </si>
  <si>
    <t>Uncharacterized protein C17orf85</t>
  </si>
  <si>
    <t>Quinone oxidoreductase PIG3</t>
  </si>
  <si>
    <t>Isoform 2 of Pleckstrin homology domain-containing family O member 1</t>
  </si>
  <si>
    <t>Estradiol 17-beta-dehydrogenase 12</t>
  </si>
  <si>
    <t>Isoform 2 of Nucleoporin GLE1</t>
  </si>
  <si>
    <t>Acylglycerol kinase, mitochondrial</t>
  </si>
  <si>
    <t>Histone-lysine N-methyltransferase SETMAR</t>
  </si>
  <si>
    <t>Akirin-2</t>
  </si>
  <si>
    <t>Beta-lactamase-like protein 2</t>
  </si>
  <si>
    <t>Pyrroline-5-carboxylate reductase 3</t>
  </si>
  <si>
    <t>Rho GTPase-activating protein 15</t>
  </si>
  <si>
    <t>FAST kinase domain-containing protein 1</t>
  </si>
  <si>
    <t>BolA-like protein 3</t>
  </si>
  <si>
    <t>HCLS1-binding protein 3</t>
  </si>
  <si>
    <t>Isoform 3 of Cytochrome b reductase 1</t>
  </si>
  <si>
    <t>Isoform 2 of Shugoshin-like 2</t>
  </si>
  <si>
    <t>Beta-actin-like protein 2</t>
  </si>
  <si>
    <t>Isoform 2 of Mpv17-like protein 2</t>
  </si>
  <si>
    <t>OCIA domain-containing protein 2</t>
  </si>
  <si>
    <t>Vesicle transport protein SFT2C</t>
  </si>
  <si>
    <t>Putative heat shock protein HSP 90-beta 2</t>
  </si>
  <si>
    <t>Putative heat shock protein HSP 90-alpha A4</t>
  </si>
  <si>
    <t>DDB1- and CUL4-associated factor 6</t>
  </si>
  <si>
    <t>Transmembrane protein 97</t>
  </si>
  <si>
    <t>Oxidoreductase-like domain-containing protein 1</t>
  </si>
  <si>
    <t>UPF0692 protein C19orf54</t>
  </si>
  <si>
    <t>DBIRD complex subunit ZNF326</t>
  </si>
  <si>
    <t>Ankyrin repeat domain-containing protein 20B</t>
  </si>
  <si>
    <t>Ribonuclease ZC3H12A</t>
  </si>
  <si>
    <t>RILP-like protein 1</t>
  </si>
  <si>
    <t>PDZ domain-containing protein 11</t>
  </si>
  <si>
    <t>UMP-CMP kinase 2, mitochondrial</t>
  </si>
  <si>
    <t>DnaJ homolog subfamily C member 21</t>
  </si>
  <si>
    <t>Isoform 5 of Shugoshin-like 1</t>
  </si>
  <si>
    <t>Isoform 3 of Probable E3 ubiquitin-protein ligase HERC4</t>
  </si>
  <si>
    <t>Urotensin-2</t>
  </si>
  <si>
    <t>cAMP-dependent protein kinase inhibitor gamma</t>
  </si>
  <si>
    <t>Protein CXorf40B</t>
  </si>
  <si>
    <t>Rab-like protein 3</t>
  </si>
  <si>
    <t>2-methoxy-6-polyprenyl-1,4-benzoquinol methylase, mitochondrial</t>
  </si>
  <si>
    <t>Tubulin beta chain</t>
  </si>
  <si>
    <t>Isoform 2 of Nodal modulator 2</t>
  </si>
  <si>
    <t>Methyltransferase-like protein 10</t>
  </si>
  <si>
    <t>Rho-related GTP-binding protein RhoC (Fragment)</t>
  </si>
  <si>
    <t>Melanoma inhibitory activity protein 3</t>
  </si>
  <si>
    <t>Serine/arginine-rich-splicing factor 10</t>
  </si>
  <si>
    <t>Presequence protease, mitochondrial</t>
  </si>
  <si>
    <t>Isoform 2 of NHL repeat-containing protein 3</t>
  </si>
  <si>
    <t>Proteasome assembly chaperone 4</t>
  </si>
  <si>
    <t>Isoform 2 of WD repeat-containing protein 44</t>
  </si>
  <si>
    <t>High mobility group nucleosome-binding domain-containing protein 5 (Fragment)</t>
  </si>
  <si>
    <t>FYVE, RhoGEF and PH domain-containing protein 3</t>
  </si>
  <si>
    <t>Protein PRRC2B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</si>
  <si>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</si>
  <si>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</si>
  <si>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</si>
  <si>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</si>
  <si>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</si>
  <si>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</si>
  <si>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P antigen family member 5</t>
  </si>
  <si>
    <t>Testis-expressed sequence 30 protein</t>
  </si>
  <si>
    <t>Discs, large homolog 3 (Neuroendocrine-dlg, Drosophila), isoform CRA_b</t>
  </si>
  <si>
    <t>Isoform 3 of PCI domain-containing protein 2</t>
  </si>
  <si>
    <t>Intracellular hyaluronan-binding protein 4</t>
  </si>
  <si>
    <t>Engulfment and cell motility protein 2</t>
  </si>
  <si>
    <t>Transmembrane protein 230 (Fragment)</t>
  </si>
  <si>
    <t>Mediator of RNA polymerase II transcription subunit 23</t>
  </si>
  <si>
    <t>Crooked neck-like protein 1</t>
  </si>
  <si>
    <t>Sterile alpha motif domain-containing protein 9</t>
  </si>
  <si>
    <t>Isoform 5 of Cytospin-B</t>
  </si>
  <si>
    <t>Isoform 3 of Serine/threonine-protein phosphatase 4 regulatory subunit 3B</t>
  </si>
  <si>
    <t>WD repeat domain phosphoinositide-interacting protein 3</t>
  </si>
  <si>
    <t>Deoxynucleotidyltransferase terminal-interacting protein 2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</si>
  <si>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</si>
  <si>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</si>
  <si>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</si>
  <si>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</si>
  <si>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Dolichol-phosphate mannosyltransferase</t>
  </si>
  <si>
    <t>Proteasome inhibitor PI31 subunit</t>
  </si>
  <si>
    <t>Isoform 4 of Rab GTPase-activating protein 1-like</t>
  </si>
  <si>
    <t>Mitochondrial pyruvate carrier 2 (Fragment)</t>
  </si>
  <si>
    <t>Cytochrome c oxidase protein 20 homolog</t>
  </si>
  <si>
    <t>HLA class I histocompatibility antigen, alpha chain G</t>
  </si>
  <si>
    <t>Exosome complex component MTR3</t>
  </si>
  <si>
    <t>Protein phosphatase 1L</t>
  </si>
  <si>
    <t>HLA class I histocompatibility antigen, alpha chain F</t>
  </si>
  <si>
    <t>Isoform 5 of Alpha-tubulin N-acetyltransferase</t>
  </si>
  <si>
    <t>Complement receptor type 2</t>
  </si>
  <si>
    <t>Hippocampus abundant transcript-like protein 1</t>
  </si>
  <si>
    <t>Nucleoporin NUP188 homolog</t>
  </si>
  <si>
    <t>HLA class I histocompatibility antigen, A-68 alpha chain</t>
  </si>
  <si>
    <t>Casein kinase 2, beta polypeptide, isoform CRA_d</t>
  </si>
  <si>
    <t>Heterochromatin protein 1-binding protein 3</t>
  </si>
  <si>
    <t>Valine--tRNA ligase, mitochondrial</t>
  </si>
  <si>
    <t>Allograft inflammatory factor 1 (Fragment)</t>
  </si>
  <si>
    <t>Dynamin-binding protein</t>
  </si>
  <si>
    <t>Centrosomal protein of 170 kDa</t>
  </si>
  <si>
    <t>Low density lipoprotein receptor adapter protein 1</t>
  </si>
  <si>
    <t>Calcium/calmodulin-dependent protein kinase (CaM kinase) II gamma, isoform CRA_n</t>
  </si>
  <si>
    <t>Isoform 3 of Protein odr-4 homolog</t>
  </si>
  <si>
    <t>snRNA-activating protein complex subunit 4</t>
  </si>
  <si>
    <t>DNL-type zinc finger protein</t>
  </si>
  <si>
    <t>Ceramide synthase 2 (Fragment)</t>
  </si>
  <si>
    <t>GA-binding protein subunit beta-2</t>
  </si>
  <si>
    <t>Tudor and KH domain containing, isoform CRA_a</t>
  </si>
  <si>
    <t>Tumor protein p63-regulated gene 1-like protein</t>
  </si>
  <si>
    <t>Isoform 3 of Formin-binding protein 1-like</t>
  </si>
  <si>
    <t>Dihydropyrimidinase-related protein 4</t>
  </si>
  <si>
    <t>Slit homolog 1 protein</t>
  </si>
  <si>
    <t>Chromosome 9 open reading frame 156, isoform CRA_b</t>
  </si>
  <si>
    <t>SH3 domain-binding glutamic acid-rich-like protein 3</t>
  </si>
  <si>
    <t>Probable arginine--tRNA ligase, mitochondrial</t>
  </si>
  <si>
    <t>Pygopus homolog 2</t>
  </si>
  <si>
    <t>FK506-binding protein 15</t>
  </si>
  <si>
    <t>Probable ATP-dependent RNA helicase DDX59</t>
  </si>
  <si>
    <t>Pumilio homolog 1</t>
  </si>
  <si>
    <t>Zinc finger CCCH domain-containing protein 13</t>
  </si>
  <si>
    <t>Uncharacterized protein C9orf114</t>
  </si>
  <si>
    <t>UPF0668 protein C10orf76</t>
  </si>
  <si>
    <t>Isoform 3 of Decaprenyl-diphosphate synthase subunit 1</t>
  </si>
  <si>
    <t>Isoform 2 of Ligand-dependent nuclear receptor-interacting factor 1</t>
  </si>
  <si>
    <t>Zinc finger protein 438</t>
  </si>
  <si>
    <t>Putative transferase CAF17, mitochondrial</t>
  </si>
  <si>
    <t>E3 ubiquitin-protein ligase HECTD3</t>
  </si>
  <si>
    <t>Isoform 7 of Protrudin</t>
  </si>
  <si>
    <t>Zinc transporter ZIP1 (Fragment)</t>
  </si>
  <si>
    <t>Isoform 3 of E3 ubiquitin-protein ligase UBR4</t>
  </si>
  <si>
    <t>Acyl-Coenzyme A dehydrogenase, C-4 to C-12 straight chain, isoform CRA_a</t>
  </si>
  <si>
    <t>Protein FAM219A (Fragment)</t>
  </si>
  <si>
    <t>Isoform 3 of Syntaxin-binding protein 5</t>
  </si>
  <si>
    <t>Calmodulin-regulated spectrin-associated protein 1</t>
  </si>
  <si>
    <t>Ubiquitin-associated protein 2</t>
  </si>
  <si>
    <t>Probable gluconokinase</t>
  </si>
  <si>
    <t>Actin-binding LIM protein 1</t>
  </si>
  <si>
    <t>UPF0553 protein C9orf64</t>
  </si>
  <si>
    <t>Chaperone activity of bc1 complex-like, mitochondrial</t>
  </si>
  <si>
    <t>Isoform 2 of Acyl-CoA-binding domain-containing protein 5</t>
  </si>
  <si>
    <t>Protein COX6A1P2</t>
  </si>
  <si>
    <t>Isoform 3 of RNA-binding protein 26</t>
  </si>
  <si>
    <t>Mediator complex subunit 22</t>
  </si>
  <si>
    <t>Surfeit 4</t>
  </si>
  <si>
    <t>Mediator of RNA polymerase II transcription subunit 4 (Fragment)</t>
  </si>
  <si>
    <t>ATPase family AAA domain-containing protein 3B</t>
  </si>
  <si>
    <t>Glutathione S-transferase omega-1 (Fragment)</t>
  </si>
  <si>
    <t>Isoform 3 of Integrator complex subunit 11</t>
  </si>
  <si>
    <t>Terminal uridylyltransferase 4</t>
  </si>
  <si>
    <t>Ribonuclease H2 subunit B</t>
  </si>
  <si>
    <t>Transcription initiation factor TFIID subunit 4 (Fragment)</t>
  </si>
  <si>
    <t>Ribosyldihydronicotinamide dehydrogenase [quinone]</t>
  </si>
  <si>
    <t>DnaJ (Hsp40) homolog, subfamily C, member 16, isoform CRA_a</t>
  </si>
  <si>
    <t>Protein DDI1 homolog 2</t>
  </si>
  <si>
    <t>Spermine oxidase (Fragment)</t>
  </si>
  <si>
    <t>NADH dehydrogenase [ubiquinone] 1 alpha subcomplex assembly factor 5</t>
  </si>
  <si>
    <t>Sodium-dependent glucose transporter 1</t>
  </si>
  <si>
    <t>Glycoprotein integral membrane protein 1 (Fragment)</t>
  </si>
  <si>
    <t>5-nucleotidase domain-containing protein 1</t>
  </si>
  <si>
    <t>Isoform 2 of Vacuolar protein sorting-associated protein 13D</t>
  </si>
  <si>
    <t>Isoform 3 of Protein PRR14L</t>
  </si>
  <si>
    <t>Probable ATP-dependent RNA helicase DHX35</t>
  </si>
  <si>
    <t>Thiamine transporter 1</t>
  </si>
  <si>
    <t>Vesicle transport protein SFT2B</t>
  </si>
  <si>
    <t>Rootletin</t>
  </si>
  <si>
    <t>RNA-binding E3 ubiquitin-protein ligase MEX3C</t>
  </si>
  <si>
    <t>Complex III assembly factor LYRM7</t>
  </si>
  <si>
    <t>Isoform 2 of Telomere-associated protein RIF1</t>
  </si>
  <si>
    <t>Isoform 4 of Vacuolar protein sorting-associated protein 53 homolog</t>
  </si>
  <si>
    <t>Striatin-interacting protein 1</t>
  </si>
  <si>
    <t>Alpha/beta hydrolase domain-containing protein 17B</t>
  </si>
  <si>
    <t>Isoform 2 of G kinase-anchoring protein 1</t>
  </si>
  <si>
    <t>Centrosome-associated protein 350</t>
  </si>
  <si>
    <t>Regulation of nuclear pre-mRNA domain-containing protein 2</t>
  </si>
  <si>
    <t>Growth hormone-inducible transmembrane protein</t>
  </si>
  <si>
    <t>Leucine-rich repeat-containing protein 38</t>
  </si>
  <si>
    <t>Pre-mRNA-splicing factor 38B</t>
  </si>
  <si>
    <t>E3 ubiquitin-protein ligase BRE1A</t>
  </si>
  <si>
    <t>Tropomyosin 3, isoform CRA_b</t>
  </si>
  <si>
    <t>Isoform 2 of Protein FAM69B</t>
  </si>
  <si>
    <t>Uncharacterized protein C1orf53</t>
  </si>
  <si>
    <t>UPF0369 protein C6orf57</t>
  </si>
  <si>
    <t>Threonylcarbamoyladenosine tRNA methylthiotransferase</t>
  </si>
  <si>
    <t>Zinc finger protein 691</t>
  </si>
  <si>
    <t>Pleckstrin homology domain-containing family M member 2</t>
  </si>
  <si>
    <t>Isoform 2 of Ubiquitin thioesterase OTU1</t>
  </si>
  <si>
    <t>BRO1 domain-containing protein BROX</t>
  </si>
  <si>
    <t>Focadhesin</t>
  </si>
  <si>
    <t>Transcription initiation factor TFIID subunit 3</t>
  </si>
  <si>
    <t>Protein FAM46C</t>
  </si>
  <si>
    <t>Round spermatid basic protein 1</t>
  </si>
  <si>
    <t>Lysophospholipase-like protein 1</t>
  </si>
  <si>
    <t>Rho guanine nucleotide exchange factor 2</t>
  </si>
  <si>
    <t>T-lymphocyte surface antigen Ly-9</t>
  </si>
  <si>
    <t>Isoform 6 of Terminal uridylyltransferase 7</t>
  </si>
  <si>
    <t>Janus kinase and microtubule-interacting protein 3</t>
  </si>
  <si>
    <t>N-alpha-acetyltransferase 35, NatC auxiliary subunit</t>
  </si>
  <si>
    <t>Isoform 2 of Transmembrane protein C9orf91</t>
  </si>
  <si>
    <t>Leucine-rich repeat-containing protein 16A</t>
  </si>
  <si>
    <t>6-phosphofructo-2-kinase</t>
  </si>
  <si>
    <t>Protein FAM160B1</t>
  </si>
  <si>
    <t>Isoform 3 of Probable palmitoyltransferase ZDHHC20</t>
  </si>
  <si>
    <t>NADH dehydrogenase (Ubiquinone) 1 beta subcomplex, 8, 19kDa, isoform CRA_a</t>
  </si>
  <si>
    <t>Protein QIL1</t>
  </si>
  <si>
    <t>Isoform 3 of F-box/WD repeat-containing protein 9</t>
  </si>
  <si>
    <t>E3 ubiquitin-protein ligase RNF213</t>
  </si>
  <si>
    <t>AP-1 complex-associated regulatory protein</t>
  </si>
  <si>
    <t>WASH complex subunit FAM21A</t>
  </si>
  <si>
    <t>Protein FAM91A1</t>
  </si>
  <si>
    <t>La-related protein 1B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</si>
  <si>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</si>
  <si>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</si>
  <si>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</si>
  <si>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</si>
  <si>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ADP-ribosylation factor-like protein 6-interacting protein 4</t>
  </si>
  <si>
    <t>6-phosphofructo-2-kinase/fructose-2, 6-biphosphatase 4 isoform 1</t>
  </si>
  <si>
    <t>Isoform 3 of Kazrin</t>
  </si>
  <si>
    <t>Isoform 3 of Rap1 GTPase-activating protein 2</t>
  </si>
  <si>
    <t>Isoform 2 of AT-rich interactive domain-containing protein 2</t>
  </si>
  <si>
    <t>Digestive organ expansion factor homolog</t>
  </si>
  <si>
    <t>Isoform 2 of Protein SPT2 homolog</t>
  </si>
  <si>
    <t>Metallo-beta-lactamase domain-containing protein 2</t>
  </si>
  <si>
    <t>LMBR1 domain-containing protein 2</t>
  </si>
  <si>
    <t>Isoform 2 of Integrator complex subunit 3</t>
  </si>
  <si>
    <t>Rho GTPase-activating protein 17</t>
  </si>
  <si>
    <t>Cell division cycle-associated protein 2</t>
  </si>
  <si>
    <t>Uncharacterized protein DKFZp762I1415</t>
  </si>
  <si>
    <t>CWF19-like protein 1</t>
  </si>
  <si>
    <t>Protein virilizer homolog</t>
  </si>
  <si>
    <t>Isoform 2 of Cytospin-A</t>
  </si>
  <si>
    <t>Uncharacterized protein C12orf73</t>
  </si>
  <si>
    <t>UHRF1-binding protein 1</t>
  </si>
  <si>
    <t>AMMECR1-like protein</t>
  </si>
  <si>
    <t>Zinc finger protein 787</t>
  </si>
  <si>
    <t>Atlastin-3</t>
  </si>
  <si>
    <t>Adenosine deaminase-like protein</t>
  </si>
  <si>
    <t>Transmembrane protein PVRIG</t>
  </si>
  <si>
    <t>Nucleoredoxin</t>
  </si>
  <si>
    <t>Tetratricopeptide repeat protein 19, mitochondrial</t>
  </si>
  <si>
    <t>Isoform 5 of DNA-directed RNA polymerase II subunit GRINL1A, isoforms 4/5</t>
  </si>
  <si>
    <t>Anamorsin</t>
  </si>
  <si>
    <t>Isoform 2 of AN1-type zinc finger protein 6</t>
  </si>
  <si>
    <t>Fatty-acid amide hydrolase 2</t>
  </si>
  <si>
    <t>SET and MYND domain-containing protein 5</t>
  </si>
  <si>
    <t>Putative peptidyl-tRNA hydrolase PTRHD1</t>
  </si>
  <si>
    <t>Isoform 2 of OTU domain-containing protein 7B</t>
  </si>
  <si>
    <t>Selenoprotein S</t>
  </si>
  <si>
    <t>Isoform 4 of Ral GTPase-activating protein subunit alpha-1</t>
  </si>
  <si>
    <t>THO complex subunit 7 homolog</t>
  </si>
  <si>
    <t>Single Ig IL-1-related receptor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</si>
  <si>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</si>
  <si>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</si>
  <si>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</si>
  <si>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</si>
  <si>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</si>
  <si>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Isoform 2 of Condensin-2 complex subunit H2</t>
  </si>
  <si>
    <t>GRAM domain-containing protein 4</t>
  </si>
  <si>
    <t>Desumoylating isopeptidase 1</t>
  </si>
  <si>
    <t>Aspartate beta-hydroxylase domain-containing protein 2</t>
  </si>
  <si>
    <t>Serine/threonine-protein phosphatase 4 regulatory subunit 3A</t>
  </si>
  <si>
    <t>tRNA wybutosine-synthesizing protein 3 homolog</t>
  </si>
  <si>
    <t>Centromere protein P</t>
  </si>
  <si>
    <t>Ras-related protein Rab-12</t>
  </si>
  <si>
    <t>Isoform 2 of Protein SDE2 homolog</t>
  </si>
  <si>
    <t>Metabotropic glutamate receptor 5</t>
  </si>
  <si>
    <t>CapZ-interacting protein</t>
  </si>
  <si>
    <t>Acyl-CoA dehydrogenase family member 10</t>
  </si>
  <si>
    <t>Isoform 2 of Nipped-B-like protein</t>
  </si>
  <si>
    <t>Isoform 2 of Calcium-binding mitochondrial carrier protein SCaMC-2</t>
  </si>
  <si>
    <t>Protein lin-54 homolog</t>
  </si>
  <si>
    <t>Isoform 2 of Follistatin-related protein 4</t>
  </si>
  <si>
    <t>Isoform 2 of Zinc finger protein 280D</t>
  </si>
  <si>
    <t>N-alpha-acetyltransferase 16, NatA auxiliary subunit</t>
  </si>
  <si>
    <t>Alpha-ketoglutarate-dependent dioxygenase alkB homolog 2</t>
  </si>
  <si>
    <t>Leucine-rich repeat-containing protein 8E</t>
  </si>
  <si>
    <t>MFS-type transporter SLC18B1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</si>
  <si>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</si>
  <si>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</si>
  <si>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</si>
  <si>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</si>
  <si>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</si>
  <si>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Tectonic-3</t>
  </si>
  <si>
    <t>3-hydroxyisobutyryl-CoA hydrolase, mitochondrial</t>
  </si>
  <si>
    <t>Isoform 2 of Armadillo repeat-containing protein 6</t>
  </si>
  <si>
    <t>Ankyrin repeat domain-containing protein 54</t>
  </si>
  <si>
    <t>Transmembrane anterior posterior transformation protein 1 homolog</t>
  </si>
  <si>
    <t>Phostensin</t>
  </si>
  <si>
    <t>Polymerase I and transcript release factor</t>
  </si>
  <si>
    <t>Zinc finger CCHC domain-containing protein 8</t>
  </si>
  <si>
    <t>Isoform 2 of RNA pseudouridylate synthase domain-containing protein 3</t>
  </si>
  <si>
    <t>39S ribosomal protein L54, mitochondrial</t>
  </si>
  <si>
    <t>Endoplasmic reticulum aminopeptidase 2</t>
  </si>
  <si>
    <t>Parafibromin</t>
  </si>
  <si>
    <t>Isoform 4 of Polyamine-modulated factor 1</t>
  </si>
  <si>
    <t>General transcription factor IIH subunit 2-like protein</t>
  </si>
  <si>
    <t>Protein FAM117B</t>
  </si>
  <si>
    <t>39S ribosomal protein L14, mitochondrial</t>
  </si>
  <si>
    <t>Long-chain fatty acid transport protein 4</t>
  </si>
  <si>
    <t>Isoform 2 of Coiled-coil and C2 domain-containing protein 1A</t>
  </si>
  <si>
    <t>Methyltransferase-like protein 2B</t>
  </si>
  <si>
    <t>tRNA-dihydrouridine(16/17) synthase [NAD(P)(+)]-like</t>
  </si>
  <si>
    <t>Cohesin subunit SA-1</t>
  </si>
  <si>
    <t>Mediator of RNA polymerase II transcription subunit 27</t>
  </si>
  <si>
    <t>Enhancer of mRNA-decapping protein 4</t>
  </si>
  <si>
    <t>Isoform 2 of Centrosomal protein of 85 kDa</t>
  </si>
  <si>
    <t>Fumarylacetoacetate hydrolase domain-containing protein 2B</t>
  </si>
  <si>
    <t>Putative protein arginine N-methyltransferase 10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</si>
  <si>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</si>
  <si>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</si>
  <si>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</si>
  <si>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</si>
  <si>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</si>
  <si>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Isoform 2 of NIPA-like protein 3</t>
  </si>
  <si>
    <t>Sideroflexin-4</t>
  </si>
  <si>
    <t>Isoform 2 of Protein CASC4</t>
  </si>
  <si>
    <t>Adrenodoxin-like protein, mitochondrial</t>
  </si>
  <si>
    <t>WD repeat-containing protein 73</t>
  </si>
  <si>
    <t>Metal transporter CNNM4</t>
  </si>
  <si>
    <t>Isoform 3 of Nuclear factor related to kappa-B-binding protein</t>
  </si>
  <si>
    <t>Mitotic-spindle organizing protein 2A</t>
  </si>
  <si>
    <t>Acylpyruvase FAHD1, mitochondrial</t>
  </si>
  <si>
    <t>UPF0545 protein C22orf39</t>
  </si>
  <si>
    <t>Uncharacterized protein C8orf47</t>
  </si>
  <si>
    <t>Isoform 2 of Ankyrin repeat domain-containing protein 16</t>
  </si>
  <si>
    <t>Isoform 3 of RNA demethylase ALKBH5</t>
  </si>
  <si>
    <t>TLD domain-containing protein KIAA1609</t>
  </si>
  <si>
    <t>Integrator complex subunit 5</t>
  </si>
  <si>
    <t>GTPase IMAP family member 6</t>
  </si>
  <si>
    <t>Round spermatid basic protein 1-like protein</t>
  </si>
  <si>
    <t>Glucose 1,6-bisphosphate synthase</t>
  </si>
  <si>
    <t>RNA polymerase-associated protein CTR9 homolog</t>
  </si>
  <si>
    <t>Alpha- and gamma-adaptin-binding protein p34</t>
  </si>
  <si>
    <t>Tetratricopeptide repeat protein 37</t>
  </si>
  <si>
    <t>UPF0547 protein C16orf87</t>
  </si>
  <si>
    <t>Serine/threonine-protein kinase ULK3</t>
  </si>
  <si>
    <t>Aspartate--tRNA ligase, mitochondrial</t>
  </si>
  <si>
    <t>Transmembrane protein 65</t>
  </si>
  <si>
    <t>Tetratricopeptide repeat protein 33</t>
  </si>
  <si>
    <t>Coiled-coil domain-containing protein 174</t>
  </si>
  <si>
    <t>Isoform 2 of F-box only protein 38</t>
  </si>
  <si>
    <t>Isoform 2 of Fidgetin-like protein 1</t>
  </si>
  <si>
    <t>F-box only protein 46</t>
  </si>
  <si>
    <t>Tripartite motif-containing protein 65</t>
  </si>
  <si>
    <t>ELM2 and SANT domain-containing protein 1</t>
  </si>
  <si>
    <t>BRCA1-associated ATM activator 1</t>
  </si>
  <si>
    <t>Isoform 3 of Zinc finger CCCH domain-containing protein 14</t>
  </si>
  <si>
    <t>Isoform 9 of Zinc finger CCCH domain-containing protein 14</t>
  </si>
  <si>
    <t>Consortin</t>
  </si>
  <si>
    <t>2-oxoglutarate and iron-dependent oxygenase domain-containing protein 3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</si>
  <si>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</si>
  <si>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</si>
  <si>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</si>
  <si>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</si>
  <si>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</si>
  <si>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WD repeat-containing protein 74</t>
  </si>
  <si>
    <t>Isoform 2 of Type-1 angiotensin II receptor-associated protein</t>
  </si>
  <si>
    <t>POTE ankyrin domain family member E</t>
  </si>
  <si>
    <t>Isoform 2 of SWI/SNF-related matrix-associated actin-dependent regulator of chromatin subfamily D member 3</t>
  </si>
  <si>
    <t>Isoform 2 of Sterile alpha and TIR motif-containing protein 1</t>
  </si>
  <si>
    <t>Monofunctional C1-tetrahydrofolate synthase, mitochondrial</t>
  </si>
  <si>
    <t>Isoform 5 of Aftiphilin</t>
  </si>
  <si>
    <t>Pre-mRNA 3-end-processing factor FIP1</t>
  </si>
  <si>
    <t>Isoform 3 of CREB-regulated transcription coactivator 1</t>
  </si>
  <si>
    <t>Spindle assembly abnormal protein 6 homolog</t>
  </si>
  <si>
    <t>All-trans retinoic acid-induced differentiation factor</t>
  </si>
  <si>
    <t>KDEL motif-containing protein 1</t>
  </si>
  <si>
    <t>Transmembrane protein C16orf54</t>
  </si>
  <si>
    <t>E3 ubiquitin-protein ligase LRSAM1</t>
  </si>
  <si>
    <t>Protein shisa-2 homolog</t>
  </si>
  <si>
    <t>Dehydrogenase/reductase SDR family member 11</t>
  </si>
  <si>
    <t>Isoform 3 of Lysocardiolipin acyltransferase 1</t>
  </si>
  <si>
    <t>Protein PET117 homolog, mitochondrial</t>
  </si>
  <si>
    <t>Bombesin receptor-activated protein C6orf89</t>
  </si>
  <si>
    <t>Peptidyl-prolyl cis-trans isomerase CWC27 homolog</t>
  </si>
  <si>
    <t>Dehydrogenase/reductase SDR family member 13</t>
  </si>
  <si>
    <t>Probable palmitoyltransferase ZDHHC24</t>
  </si>
  <si>
    <t>Isoform 2 of Peptidase inhibitor 16</t>
  </si>
  <si>
    <t>Isoform 3 of Seizure 6-like protein 2</t>
  </si>
  <si>
    <t>Isoform 4 of Cysteine-rich with EGF-like domain protein 2</t>
  </si>
  <si>
    <t>WD repeat-containing protein 82</t>
  </si>
  <si>
    <t>Apolipoprotein O-like</t>
  </si>
  <si>
    <t>Isoform 3 of Dipeptidyl peptidase 8</t>
  </si>
  <si>
    <t>Phosphofurin acidic cluster sorting protein 1</t>
  </si>
  <si>
    <t>Isoform 4 of BCL-6 corepressor</t>
  </si>
  <si>
    <t>Isoform 2 of Myosin phosphatase Rho-interacting protein</t>
  </si>
  <si>
    <t>Rab11 family-interacting protein 1</t>
  </si>
  <si>
    <t>Nicotinate phosphoribosyltransferase</t>
  </si>
  <si>
    <t>Very-long-chain (3R)-3-hydroxyacyl-[acyl-carrier protein] dehydratase 2</t>
  </si>
  <si>
    <t>Beta-1,3-glucosyltransferase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</si>
  <si>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</si>
  <si>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</si>
  <si>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</si>
  <si>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</si>
  <si>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</si>
  <si>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Protein phosphatase 1 regulatory subunit 21</t>
  </si>
  <si>
    <t>Isoform 2 of Zinc finger protein AEBP2</t>
  </si>
  <si>
    <t>NF-X1-type zinc finger protein NFXL1</t>
  </si>
  <si>
    <t>GDP-D-glucose phosphorylase 1</t>
  </si>
  <si>
    <t>Probable C-mannosyltransferase DPY19L3</t>
  </si>
  <si>
    <t>Isoform 2 of Uncharacterized protein C15orf39</t>
  </si>
  <si>
    <t>Sulfhydryl oxidase 2</t>
  </si>
  <si>
    <t>Isoform 3 of Helicase SRCAP</t>
  </si>
  <si>
    <t>Putative glycerol kinase 5</t>
  </si>
  <si>
    <t>Uncharacterized protein C1orf122</t>
  </si>
  <si>
    <t>Major facilitator superfamily domain-containing protein 6</t>
  </si>
  <si>
    <t>E3 ubiquitin-protein ligase UBR3</t>
  </si>
  <si>
    <t>Isoform 2 of Transmembrane protein with metallophosphoesterase domain</t>
  </si>
  <si>
    <t>SH3 domain-binding protein 1</t>
  </si>
  <si>
    <t>Ankyrin repeat domain-containing protein 13D</t>
  </si>
  <si>
    <t>Uncharacterized protein C11orf57</t>
  </si>
  <si>
    <t>8-oxo-dGDP phosphatase NUDT18</t>
  </si>
  <si>
    <t>TOM1-like protein 2</t>
  </si>
  <si>
    <t>Isoform 2 of Transmembrane and TPR repeat-containing protein 3</t>
  </si>
  <si>
    <t>General transcription factor IIH subunit 5</t>
  </si>
  <si>
    <t>Isoform 3 of Vacuolar protein sorting-associated protein 13C</t>
  </si>
  <si>
    <t>Ubiquitin carboxyl-terminal hydrolase 34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</si>
  <si>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</si>
  <si>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</si>
  <si>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</si>
  <si>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</si>
  <si>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</si>
  <si>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</si>
  <si>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Centromere protein U</t>
  </si>
  <si>
    <t>Isoform 6 of La-related protein 4</t>
  </si>
  <si>
    <t>Isoform 2 of Mediator of RNA polymerase II transcription subunit 25</t>
  </si>
  <si>
    <t>Isoform 2 of Tubulin alpha-1A chain</t>
  </si>
  <si>
    <t>Histone H2A.V</t>
  </si>
  <si>
    <t>Integrator complex subunit 8</t>
  </si>
  <si>
    <t>Isoform 4 of Nucleolar protein 8</t>
  </si>
  <si>
    <t>Butyrophilin subfamily 2 member A1</t>
  </si>
  <si>
    <t>Transcription elongation factor SPT6</t>
  </si>
  <si>
    <t>Isoform 2 of 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</si>
  <si>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</si>
  <si>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</si>
  <si>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</si>
  <si>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2 of Protein RUFY3</t>
  </si>
  <si>
    <t>Isoform 4 of Protein RUFY3</t>
  </si>
  <si>
    <t>Isoform 2 of Synaptic vesicle glycoprotein 2A</t>
  </si>
  <si>
    <t>Mitochondrial ribonuclease P protein 1</t>
  </si>
  <si>
    <t>Basic leucine zipper and W2 domain-containing protein 1</t>
  </si>
  <si>
    <t>Cytochrome b5 reductase 4</t>
  </si>
  <si>
    <t>Alpha/beta hydrolase domain-containing protein 13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</si>
  <si>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</si>
  <si>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</si>
  <si>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</si>
  <si>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</si>
  <si>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</si>
  <si>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Probable proline--tRNA ligase, mitochondrial</t>
  </si>
  <si>
    <t>Arginine/serine-rich coiled-coil protein 2</t>
  </si>
  <si>
    <t>Isoform 2 of BEN domain-containing protein 5</t>
  </si>
  <si>
    <t>Ras-related GTP-binding protein A</t>
  </si>
  <si>
    <t>Cytoplasmic FMR1-interacting protein 1</t>
  </si>
  <si>
    <t>Golgi to ER traffic protein 4 homolog</t>
  </si>
  <si>
    <t>Lysophosphatidylcholine acyltransferase 2</t>
  </si>
  <si>
    <t>Mitochondrial enolase superfamily member 1</t>
  </si>
  <si>
    <t>Macrophage erythroblast attacher</t>
  </si>
  <si>
    <t>EPM2A-interacting protein 1</t>
  </si>
  <si>
    <t>Histone H2A type 3</t>
  </si>
  <si>
    <t>Serine/threonine-protein kinase TAO1</t>
  </si>
  <si>
    <t>SH3 domain-binding protein 5-like</t>
  </si>
  <si>
    <t>FAST kinase domain-containing protein 5</t>
  </si>
  <si>
    <t>Diphthine--ammonia ligase</t>
  </si>
  <si>
    <t>Endonuclease/exonuclease/phosphatase family domain-containing protein 1</t>
  </si>
  <si>
    <t>Lysine-specific demethylase 3B</t>
  </si>
  <si>
    <t>Charged multivesicular body protein 1b</t>
  </si>
  <si>
    <t>RAS guanyl-releasing protein 2</t>
  </si>
  <si>
    <t>Heparan sulfate 2-O-sulfotransferase 1</t>
  </si>
  <si>
    <t>Isoform 6 of STE20-related kinase adapter protein alpha</t>
  </si>
  <si>
    <t>Magnesium transporter NIPA1</t>
  </si>
  <si>
    <t>Protein-methionine sulfoxide oxidase MICAL3</t>
  </si>
  <si>
    <t>PHD finger-like domain-containing protein 5A</t>
  </si>
  <si>
    <t>Isoform 7 of Aprataxin</t>
  </si>
  <si>
    <t>Endoplasmic reticulum metallopeptidase 1</t>
  </si>
  <si>
    <t>G protein-regulated inducer of neurite outgrowth 1</t>
  </si>
  <si>
    <t>TRMT1-like protein</t>
  </si>
  <si>
    <t>Elongation factor Tu GTP-binding domain-containing protein 1</t>
  </si>
  <si>
    <t>Protein FAM122B</t>
  </si>
  <si>
    <t>Trafficking protein particle complex subunit 11</t>
  </si>
  <si>
    <t>Isoform 2 of Autophagy-related protein 9A</t>
  </si>
  <si>
    <t>LysM and putative peptidoglycan-binding domain-containing protein 3</t>
  </si>
  <si>
    <t>Isoform 2 of UPF0317 protein C14orf159, mitochondrial</t>
  </si>
  <si>
    <t>Isoform 5 of Pogo transposable element with ZNF domain</t>
  </si>
  <si>
    <t>Zinc finger FYVE domain-containing protein 16</t>
  </si>
  <si>
    <t>Protein RD3</t>
  </si>
  <si>
    <t>Isoform 3 of Transmembrane channel-like protein 6</t>
  </si>
  <si>
    <t>Nuclear fragile X mental retardation-interacting protein 2</t>
  </si>
  <si>
    <t>Isoform 2 of SUZ domain-containing protein 1</t>
  </si>
  <si>
    <t>Mitochondrial antiviral-signaling protein</t>
  </si>
  <si>
    <t>Cytochrome P450 2U1</t>
  </si>
  <si>
    <t>ATP-dependent RNA helicase DHX29</t>
  </si>
  <si>
    <t>COMM domain-containing protein 6</t>
  </si>
  <si>
    <t>Isoform 2 of tRNA (guanine(10)-N2)-methyltransferase homolog</t>
  </si>
  <si>
    <t>HD domain-containing protein 2</t>
  </si>
  <si>
    <t>Isoform 3 of HAUS augmin-like complex subunit 6</t>
  </si>
  <si>
    <t>HEAT repeat-containing protein 3</t>
  </si>
  <si>
    <t>Hepatoma-derived growth factor-related protein 2</t>
  </si>
  <si>
    <t>Isoform 2 of Hepatoma-derived growth factor-related protein 2</t>
  </si>
  <si>
    <t>L-xylulose reductase</t>
  </si>
  <si>
    <t>Golgin subfamily A member 7</t>
  </si>
  <si>
    <t>Wings apart-like protein homolog</t>
  </si>
  <si>
    <t>Isoform 2 of Interferon regulatory factor 2-binding protein 2</t>
  </si>
  <si>
    <t>Amyloid beta A4 precursor protein-binding family B member 1-interacting protein</t>
  </si>
  <si>
    <t>Pre-miRNA 5-monophosphate methyltransferase</t>
  </si>
  <si>
    <t>BTB/POZ domain-containing protein KCTD20</t>
  </si>
  <si>
    <t>Isoform 2 of Coiled-coil domain-containing protein 91</t>
  </si>
  <si>
    <t>E3 ubiquitin-protein ligase RBBP6</t>
  </si>
  <si>
    <t>Rho GTPase-activating protein 30</t>
  </si>
  <si>
    <t>UPF0461 protein C5orf24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</si>
  <si>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</si>
  <si>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</si>
  <si>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</si>
  <si>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</si>
  <si>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</si>
  <si>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F-box only protein 33</t>
  </si>
  <si>
    <t>mTERF domain-containing protein 2</t>
  </si>
  <si>
    <t>tRNA-specific adenosine deaminase 2</t>
  </si>
  <si>
    <t>Isoform 2 of E3 ubiquitin-protein ligase HUWE1</t>
  </si>
  <si>
    <t>Cytoplasmic tRNA 2-thiolation protein 1</t>
  </si>
  <si>
    <t>Isoform 2 of PX domain-containing protein kinase-like protein</t>
  </si>
  <si>
    <t>Transcription initiation factor TFIID subunit 8</t>
  </si>
  <si>
    <t>Ubiquitin-conjugating enzyme E2 Q1</t>
  </si>
  <si>
    <t>UPF0469 protein KIAA0907</t>
  </si>
  <si>
    <t>Isoform 3 of Transmembrane emp24 domain-containing protein 4</t>
  </si>
  <si>
    <t>39S ribosomal protein L10, mitochondrial</t>
  </si>
  <si>
    <t>Isoform 3 of Centromere protein V</t>
  </si>
  <si>
    <t>Schlafen family member 11</t>
  </si>
  <si>
    <t>Transmembrane protein 179B</t>
  </si>
  <si>
    <t>Nucleoplasmin-2</t>
  </si>
  <si>
    <t>N-acetylgalactosaminyltransferase 7</t>
  </si>
  <si>
    <t>Isoform 2 of Stearoyl-CoA desaturase 5</t>
  </si>
  <si>
    <t>Glutaredoxin-related protein 5, mitochondrial</t>
  </si>
  <si>
    <t>Trafficking protein particle complex subunit 6B</t>
  </si>
  <si>
    <t>Transmembrane protein 55B</t>
  </si>
  <si>
    <t>Isoform 4 of Protein PAT1 homolog 1</t>
  </si>
  <si>
    <t>Isoform 2 of TBC1 domain family member 1</t>
  </si>
  <si>
    <t>Isoform 2 of Dipeptidyl peptidase 9</t>
  </si>
  <si>
    <t>Isoform 2 of E3 ubiquitin-protein ligase synoviolin</t>
  </si>
  <si>
    <t>tRNA 2-phosphotransferase 1</t>
  </si>
  <si>
    <t>Protein prune homolog</t>
  </si>
  <si>
    <t>Histone-lysine N-methyltransferase setd3</t>
  </si>
  <si>
    <t>Full-length cDNA clone CS0DI002YH20 of Placenta of Homo sapiens (human)</t>
  </si>
  <si>
    <t>Isoform 2 of Uncharacterized aarF domain-containing protein kinase 1</t>
  </si>
  <si>
    <t>Isoform 4 of Probable RNA-binding protein 23</t>
  </si>
  <si>
    <t>Iron-sulfur cluster assembly 2 homolog, mitochondrial</t>
  </si>
  <si>
    <t>Nucleolar protein 9</t>
  </si>
  <si>
    <t>N6-adenosine-methyltransferase 70 kDa subunit</t>
  </si>
  <si>
    <t>Isoform 2 of LIM domain-binding protein 1</t>
  </si>
  <si>
    <t>Isoform 5 of Protein polybromo-1</t>
  </si>
  <si>
    <t>YrdC domain-containing protein, mitochondrial</t>
  </si>
  <si>
    <t>Pre-mRNA-processing factor 39</t>
  </si>
  <si>
    <t>Isoform 3 of RPA-interacting protein</t>
  </si>
  <si>
    <t>Protein LYRIC</t>
  </si>
  <si>
    <t>Isoform 2 of Serine/threonine-protein kinase tousled-like 2</t>
  </si>
  <si>
    <t>Tetraspanin-33</t>
  </si>
  <si>
    <t>Isoform 2 of Zinc finger protein 598</t>
  </si>
  <si>
    <t>Glycerol-3-phosphate acyltransferase 4</t>
  </si>
  <si>
    <t>Reticulon-4 receptor-like 2</t>
  </si>
  <si>
    <t>Kinectin</t>
  </si>
  <si>
    <t>Telomerase-binding protein EST1A</t>
  </si>
  <si>
    <t>Isoform 4 of B-cell CLL/lymphoma 9-like protein</t>
  </si>
  <si>
    <t>Ubiquitin carboxyl-terminal hydrolase 48</t>
  </si>
  <si>
    <t>ATP-binding cassette C5 splicing variant A</t>
  </si>
  <si>
    <t>Isoform 2 of Fermitin family homolog 3</t>
  </si>
  <si>
    <t>TXNDC5 protein</t>
  </si>
  <si>
    <t>N-alpha-acetyltransferase 40</t>
  </si>
  <si>
    <t>Isoform 2 of 5-nucleotidase domain-containing protein 3</t>
  </si>
  <si>
    <t>Acetoacetyl-CoA synthetase</t>
  </si>
  <si>
    <t>Isoform 2 of Leucine zipper protein 1</t>
  </si>
  <si>
    <t>Isoform 2 of PNMA-like protein 1</t>
  </si>
  <si>
    <t>Integral membrane protein GPR180</t>
  </si>
  <si>
    <t>Protein FAM160B2</t>
  </si>
  <si>
    <t>Magnesium-dependent phosphatase 1</t>
  </si>
  <si>
    <t>Isoform 2 of Vacuolar protein-sorting-associated protein 36</t>
  </si>
  <si>
    <t>Isoform 2 of Tax1-binding protein 1</t>
  </si>
  <si>
    <t>Cullin-associated NEDD8-dissociated protein 1</t>
  </si>
  <si>
    <t>Glucocorticoid-induced transcript 1 protein</t>
  </si>
  <si>
    <t>WAS protein family, member 3, isoform CRA_a</t>
  </si>
  <si>
    <t>Protein FAM134C</t>
  </si>
  <si>
    <t>Protein Hook homolog 3</t>
  </si>
  <si>
    <t>Catechol O-methyltransferase domain-containing protein 1</t>
  </si>
  <si>
    <t>SEC14 domain and spectrin repeat-containing protein 1</t>
  </si>
  <si>
    <t>Isoform 2 of COMM domain-containing protein 7</t>
  </si>
  <si>
    <t>Vacuolar fusion protein MON1 homolog A</t>
  </si>
  <si>
    <t>Testis-specific Y-encoded-like protein 5</t>
  </si>
  <si>
    <t>P2Y purinoceptor 8</t>
  </si>
  <si>
    <t>Transmembrane protein adipocyte-associated 1</t>
  </si>
  <si>
    <t>THO complex subunit 6 homolog</t>
  </si>
  <si>
    <t>Methyltransferase-like protein 16</t>
  </si>
  <si>
    <t>Poly(ADP-ribose) glycohydrolase</t>
  </si>
  <si>
    <t>Isoform 2 of Valacyclovir hydrolase</t>
  </si>
  <si>
    <t>Lon protease homolog 2, peroxisomal</t>
  </si>
  <si>
    <t>Osteopetrosis-associated transmembrane protein 1</t>
  </si>
  <si>
    <t>Chromodomain-helicase-DNA-binding protein 1-like</t>
  </si>
  <si>
    <t>Nuclear receptor 2C2-associated protein</t>
  </si>
  <si>
    <t>Coiled-coil domain-containing protein 25</t>
  </si>
  <si>
    <t>Isoform 2 of Src kinase-associated phosphoprotein 1</t>
  </si>
  <si>
    <t>Stimulator of interferon genes protein</t>
  </si>
  <si>
    <t>CCDC43 protein</t>
  </si>
  <si>
    <t>Active regulator of SIRT1</t>
  </si>
  <si>
    <t>Cerebellar degeneration-related protein 2-like</t>
  </si>
  <si>
    <t>Ral GTPase-activating protein subunit beta</t>
  </si>
  <si>
    <t>Glutamate-rich protein 1</t>
  </si>
  <si>
    <t>Isoform 1 of Histone-arginine methyltransferase CARM1</t>
  </si>
  <si>
    <t>Isoform 1 of Nitrilase homolog 1</t>
  </si>
  <si>
    <t>COMM domain-containing protein 2</t>
  </si>
  <si>
    <t>Corepressor interacting with RBPJ 1</t>
  </si>
  <si>
    <t>Condensin-2 complex subunit G2</t>
  </si>
  <si>
    <t>Isoform 3 of Swi5-dependent recombination DNA repair protein 1 homolog</t>
  </si>
  <si>
    <t>ATP-dependent RNA helicase DDX42</t>
  </si>
  <si>
    <t>Spermatogenesis-associated serine-rich protein 2</t>
  </si>
  <si>
    <t>Isoform 4 of Serine/threonine-protein kinase VRK2</t>
  </si>
  <si>
    <t>CDK2-associated and cullin domain-containing protein 1</t>
  </si>
  <si>
    <t>NADH dehydrogenase [ubiquinone] 1 alpha subcomplex subunit 11</t>
  </si>
  <si>
    <t>HEAT repeat-containing protein 2</t>
  </si>
  <si>
    <t>Probable peptidyl-tRNA hydrolase</t>
  </si>
  <si>
    <t>Syntaxin-12</t>
  </si>
  <si>
    <t>Leucine-rich repeat-containing protein 33</t>
  </si>
  <si>
    <t>Decaprenyl-diphosphate synthase subunit 2</t>
  </si>
  <si>
    <t>Homer protein homolog 1</t>
  </si>
  <si>
    <t>Transcriptional repressor p66-alpha</t>
  </si>
  <si>
    <t>Isoform 4 of G-protein-signaling modulator 1</t>
  </si>
  <si>
    <t>Ras-related protein Rab-43</t>
  </si>
  <si>
    <t>C2 domain-containing protein 5</t>
  </si>
  <si>
    <t>E3 ubiquitin-protein ligase MIB1</t>
  </si>
  <si>
    <t>RAS protein activator like-3</t>
  </si>
  <si>
    <t>Interferon regulatory factor 2-binding protein 1</t>
  </si>
  <si>
    <t>Isoform 2 of Calcium/calmodulin-dependent protein kinase type 1D</t>
  </si>
  <si>
    <t>Histone H2A type 2-B</t>
  </si>
  <si>
    <t>Bifunctional lysine-specific demethylase and histidyl-hydroxylase MINA</t>
  </si>
  <si>
    <t>Palmitoyltransferase ZDHHC13</t>
  </si>
  <si>
    <t>Palmitoyltransferase ZDHHC17</t>
  </si>
  <si>
    <t>Cytokine receptor-like factor 3</t>
  </si>
  <si>
    <t>Trafficking protein particle complex subunit 5</t>
  </si>
  <si>
    <t>RELT-like protein 1</t>
  </si>
  <si>
    <t>Isoform 4 of Transmembrane protein 126B</t>
  </si>
  <si>
    <t>Adipocyte enhancer-binding protein 1</t>
  </si>
  <si>
    <t>5-phosphohydroxy-L-lysine phospho-lyase</t>
  </si>
  <si>
    <t>Phospholipase D3</t>
  </si>
  <si>
    <t>Ankyrin repeat and MYND domain-containing protein 2</t>
  </si>
  <si>
    <t>3-5 exoribonuclease 1</t>
  </si>
  <si>
    <t>LysM and putative peptidoglycan-binding domain-containing protein 2</t>
  </si>
  <si>
    <t>Isoform 2 of DENN domain-containing protein 1C</t>
  </si>
  <si>
    <t>Isoform 3 of Inactive serine/threonine-protein kinase VRK3</t>
  </si>
  <si>
    <t>LIX1-like protein</t>
  </si>
  <si>
    <t>NudC domain-containing protein 3</t>
  </si>
  <si>
    <t>Isoform 3 of Protein AHNAK2</t>
  </si>
  <si>
    <t>Methylmalonic aciduria type A protein, mitochondrial</t>
  </si>
  <si>
    <t>FUN14 domain-containing protein 1</t>
  </si>
  <si>
    <t>Malonyl-CoA-acyl carrier protein transacylase, mitochondrial</t>
  </si>
  <si>
    <t>Glucose-induced degradation protein 4 homolog</t>
  </si>
  <si>
    <t>Aprataxin and PNK-like factor</t>
  </si>
  <si>
    <t>ATP-dependent (S)-NAD(P)H-hydrate dehydratase</t>
  </si>
  <si>
    <t>WD repeat-containing protein 75</t>
  </si>
  <si>
    <t>Mitofusin-1</t>
  </si>
  <si>
    <t>Inositol 1,4,5-trisphosphate receptor-interacting protein</t>
  </si>
  <si>
    <t>WD repeat and FYVE domain-containing protein 1</t>
  </si>
  <si>
    <t>Coiled-coil domain-containing protein 117</t>
  </si>
  <si>
    <t>GRIP and coiled-coil domain-containing protein 2</t>
  </si>
  <si>
    <t>PHD finger protein 6</t>
  </si>
  <si>
    <t>Leucine-rich repeat-containing protein 8A</t>
  </si>
  <si>
    <t>E3 ubiquitin-protein ligase UBR1</t>
  </si>
  <si>
    <t>E3 ubiquitin-protein ligase UBR2</t>
  </si>
  <si>
    <t>Isoform 3 of Rho GTPase-activating protein 12</t>
  </si>
  <si>
    <t>Codanin-1</t>
  </si>
  <si>
    <t>Isoform 6 of Ankyrin repeat and KH domain-containing protein 1</t>
  </si>
  <si>
    <t>SURP and G-patch domain-containing protein 1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</si>
  <si>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</si>
  <si>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</si>
  <si>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</si>
  <si>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</si>
  <si>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Mitochondrial Rho GTPase 2</t>
  </si>
  <si>
    <t>Isoform 2 of Mitochondrial Rho GTPase 1</t>
  </si>
  <si>
    <t>Isoform 2 of NAD-dependent protein deacetylase sirtuin-2</t>
  </si>
  <si>
    <t>Polypeptide N-acetylgalactosaminyltransferase 12</t>
  </si>
  <si>
    <t>Nurim</t>
  </si>
  <si>
    <t>N-acetylaspartyl-glutamate synthetase A</t>
  </si>
  <si>
    <t>Uncharacterized protein C9orf40</t>
  </si>
  <si>
    <t>Uncharacterized protein KIAA1704</t>
  </si>
  <si>
    <t>Isoform 2 of Kelch-like protein 7</t>
  </si>
  <si>
    <t>Isoform 2 of Poly [ADP-ribose] polymerase 9</t>
  </si>
  <si>
    <t>RNA-binding protein 12B</t>
  </si>
  <si>
    <t>Isoform 2 of Neuropathy target esterase</t>
  </si>
  <si>
    <t>Structural maintenance of chromosomes protein 5</t>
  </si>
  <si>
    <t>Probable ATP-dependent RNA helicase DDX60</t>
  </si>
  <si>
    <t>Presqualene diphosphate phosphatase</t>
  </si>
  <si>
    <t>Probable ATP-dependent RNA helicase DHX37</t>
  </si>
  <si>
    <t>Kelch repeat and BTB domain-containing protein 2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</si>
  <si>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</si>
  <si>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</si>
  <si>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</si>
  <si>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</si>
  <si>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</si>
  <si>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</si>
  <si>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4 of ZZ-type zinc finger-containing protein 3</t>
  </si>
  <si>
    <t>Exocyst complex component 8</t>
  </si>
  <si>
    <t>Synaptotagmin-like protein 1</t>
  </si>
  <si>
    <t>UPF0688 protein C1orf174</t>
  </si>
  <si>
    <t>Transcription elongation factor A protein-like 8</t>
  </si>
  <si>
    <t>Threonine synthase-like 1</t>
  </si>
  <si>
    <t>Peptidase M20 domain-containing protein 2</t>
  </si>
  <si>
    <t>Uncharacterized protein KIAA2013</t>
  </si>
  <si>
    <t>FtsJ methyltransferase domain-containing protein 1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</si>
  <si>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</si>
  <si>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</si>
  <si>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</si>
  <si>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</si>
  <si>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REST corepressor 2</t>
  </si>
  <si>
    <t>Metaxin 2</t>
  </si>
  <si>
    <t>RNA pseudouridylate synthase domain-containing protein 2</t>
  </si>
  <si>
    <t>ELMO domain-containing protein 2</t>
  </si>
  <si>
    <t>Aldehyde dehydrogenase family 16 member A1</t>
  </si>
  <si>
    <t>mRNA-decapping enzyme 1B</t>
  </si>
  <si>
    <t>Isoform 2 of Protein-associating with the carboxyl-terminal domain of ezrin</t>
  </si>
  <si>
    <t>Isoform 2 of 5-3 exoribonuclease 1</t>
  </si>
  <si>
    <t>Selenoprotein H</t>
  </si>
  <si>
    <t>Isoform 3 of CKLF-like MARVEL transmembrane domain-containing protein 4</t>
  </si>
  <si>
    <t>Uncharacterized protein C8orf59</t>
  </si>
  <si>
    <t>Vitamin K epoxide reductase complex subunit 1-like protein 1</t>
  </si>
  <si>
    <t>Putative ribosome-binding factor A, mitochondrial</t>
  </si>
  <si>
    <t>L-fucose kinase</t>
  </si>
  <si>
    <t>Citrate lyase subunit beta-like protein, mitochondrial</t>
  </si>
  <si>
    <t>Probable phosphoglycerate mutase 4</t>
  </si>
  <si>
    <t>Tetratricopeptide repeat protein 5</t>
  </si>
  <si>
    <t>Isoform 7 of Mesoderm induction early response protein 1</t>
  </si>
  <si>
    <t>Regulatory-associated protein of mTOR</t>
  </si>
  <si>
    <t>Protein canopy homolog 4</t>
  </si>
  <si>
    <t>DBIRD complex subunit KIAA1967</t>
  </si>
  <si>
    <t>Mimitin, mitochondrial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</si>
  <si>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</si>
  <si>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</si>
  <si>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</si>
  <si>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</si>
  <si>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Protein THEMIS</t>
  </si>
  <si>
    <t>Isoform 2 of Zinc transporter ZIP11</t>
  </si>
  <si>
    <t>Integrator complex subunit 1</t>
  </si>
  <si>
    <t>Isoform 3 of Armadillo repeat-containing protein 10</t>
  </si>
  <si>
    <t>Isoform 3 of GH3 domain-containing protein</t>
  </si>
  <si>
    <t>Monoacylglycerol lipase ABHD12</t>
  </si>
  <si>
    <t>E3 SUMO-protein ligase PIAS4</t>
  </si>
  <si>
    <t>Centromere protein S</t>
  </si>
  <si>
    <t>Coiled-coil domain-containing protein 23</t>
  </si>
  <si>
    <t>Angiogenic factor with G patch and FHA domains 1</t>
  </si>
  <si>
    <t>Glycerol-3-phosphate dehydrogenase 1-like protein</t>
  </si>
  <si>
    <t>Mesoderm induction early response protein 2</t>
  </si>
  <si>
    <t>Solute carrier family 35 member F6</t>
  </si>
  <si>
    <t>Lysine-specific demethylase 8</t>
  </si>
  <si>
    <t>EH domain-binding protein 1-like protein 1</t>
  </si>
  <si>
    <t>MICAL-like protein 1</t>
  </si>
  <si>
    <t>Formin-binding protein 4</t>
  </si>
  <si>
    <t>GTP-binding protein 8</t>
  </si>
  <si>
    <t>Translation factor GUF1, mitochondrial</t>
  </si>
  <si>
    <t>D-2-hydroxyglutarate dehydrogenase, mitochondrial</t>
  </si>
  <si>
    <t>RING1 and YY1-binding protein</t>
  </si>
  <si>
    <t>Probable hydrolase PNKD</t>
  </si>
  <si>
    <t>Isoform 2 of Probable hydrolase PNKD</t>
  </si>
  <si>
    <t>Isoform 5 of Misshapen-like kinase 1</t>
  </si>
  <si>
    <t>Mitochondrial import receptor subunit TOM5 homolog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</si>
  <si>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</si>
  <si>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</si>
  <si>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</si>
  <si>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Carbonyl reductase family member 4</t>
  </si>
  <si>
    <t>Membrane magnesium transporter 1</t>
  </si>
  <si>
    <t>2-oxoglutarate and iron-dependent oxygenase domain-containing protein 1</t>
  </si>
  <si>
    <t>Zinc finger CCHC domain-containing protein 9</t>
  </si>
  <si>
    <t>Isoform 2 of Oxidation resistance protein 1</t>
  </si>
  <si>
    <t>Isoform 2 of Tetratricopeptide repeat protein 39C</t>
  </si>
  <si>
    <t>Isoform 2 of Zinc finger CCCH-type with G patch domain-containing protein</t>
  </si>
  <si>
    <t>DTW domain-containing protein 1</t>
  </si>
  <si>
    <t>NF-kappa-B-activating protein</t>
  </si>
  <si>
    <t>Isoform 2 of Small integral membrane protein 20</t>
  </si>
  <si>
    <t>Macoilin</t>
  </si>
  <si>
    <t>Dehydrogenase/reductase SDR family member on chromosome X</t>
  </si>
  <si>
    <t>Uncharacterized protein C12orf45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</si>
  <si>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</si>
  <si>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</si>
  <si>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</si>
  <si>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</si>
  <si>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</si>
  <si>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Zinc finger CCCH domain-containing protein 8</t>
  </si>
  <si>
    <t>Mono [ADP-ribose] polymerase PARP16</t>
  </si>
  <si>
    <t>Isoform 2 of BTB/POZ domain-containing protein KCTD17</t>
  </si>
  <si>
    <t>Isoform 4 of Inactive dipeptidyl peptidase 10</t>
  </si>
  <si>
    <t>COMM domain-containing protein 1</t>
  </si>
  <si>
    <t>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</si>
  <si>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</si>
  <si>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</si>
  <si>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</si>
  <si>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</si>
  <si>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</si>
  <si>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Methyltransferase-like protein 25</t>
  </si>
  <si>
    <t>ADP-ribosylation factor-like protein 6-interacting protein 6</t>
  </si>
  <si>
    <t>ADP-ribosylation factor GTPase-activating protein 1</t>
  </si>
  <si>
    <t>NAD-dependent protein deacetylase sirtuin-6</t>
  </si>
  <si>
    <t>Isoform 3 of ER membrane protein complex subunit 1</t>
  </si>
  <si>
    <t>Putative E3 ubiquitin-protein ligase UBR7</t>
  </si>
  <si>
    <t>ATP-dependent RNA helicase DDX51</t>
  </si>
  <si>
    <t>Uncharacterized protein C4orf32</t>
  </si>
  <si>
    <t>Mitochondrial carnitine/acylcarnitine carrier protein CACL</t>
  </si>
  <si>
    <t>UPF0565 protein C2orf69</t>
  </si>
  <si>
    <t>Isoform 2 of Protein enabled homolog</t>
  </si>
  <si>
    <t>V-type proton ATPase subunit d 2</t>
  </si>
  <si>
    <t>Isoform 2 of Discoidin, CUB and LCCL domain-containing protein 1</t>
  </si>
  <si>
    <t>G patch domain-containing protein 11</t>
  </si>
  <si>
    <t>Uncharacterized protein C12orf29</t>
  </si>
  <si>
    <t>Isoform 2 of Nuclear envelope phosphatase-regulatory subunit 1</t>
  </si>
  <si>
    <t>Glycerophosphodiester phosphodiesterase domain-containing protein 1</t>
  </si>
  <si>
    <t>Uncharacterized protein C19orf47</t>
  </si>
  <si>
    <t>Transmembrane protein 102</t>
  </si>
  <si>
    <t>Leucine-rich repeat-containing protein 57</t>
  </si>
  <si>
    <t>Probable RNA-binding protein EIF1AD</t>
  </si>
  <si>
    <t>Protein SREK1IP1</t>
  </si>
  <si>
    <t>Protein SCAI</t>
  </si>
  <si>
    <t>Isoform 2 of WD repeat, SAM and U-box domain-containing protein 1</t>
  </si>
  <si>
    <t>Zinc finger protein 579</t>
  </si>
  <si>
    <t>Pre-mRNA-splicing factor 38A</t>
  </si>
  <si>
    <t>Isoform 2 of Zinc finger protein 511</t>
  </si>
  <si>
    <t>Mixed lineage kinase domain-like protein</t>
  </si>
  <si>
    <t>Parkinson disease 7 domain-containing protein 1</t>
  </si>
  <si>
    <t>Isoform 2 of Zinc finger protein 527</t>
  </si>
  <si>
    <t>Serine/threonine-protein phosphatase 6 regulatory ankyrin repeat subunit C</t>
  </si>
  <si>
    <t>Isoform 3 of Probable phospholipid-transporting ATPase IG</t>
  </si>
  <si>
    <t>Spermatogenesis-associated protein 5</t>
  </si>
  <si>
    <t>DTW domain-containing protein 2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</si>
  <si>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</si>
  <si>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</si>
  <si>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</si>
  <si>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</si>
  <si>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</si>
  <si>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Isoform 4 of Sulfatase-modifying factor 1</t>
  </si>
  <si>
    <t>Protein O-glucosyltransferase 1</t>
  </si>
  <si>
    <t>Isoform 4 of Ubiquitin-associated domain-containing protein 2</t>
  </si>
  <si>
    <t>Prenylcysteine oxidase-like</t>
  </si>
  <si>
    <t>Transmembrane protein 87A</t>
  </si>
  <si>
    <t>Tetratricopeptide repeat protein 13</t>
  </si>
  <si>
    <t>ATPase family AAA domain-containing protein 1</t>
  </si>
  <si>
    <t>Saccharopine dehydrogenase-like oxidoreductase</t>
  </si>
  <si>
    <t>INO80 complex subunit E</t>
  </si>
  <si>
    <t>UDP-glucuronic acid decarboxylase 1</t>
  </si>
  <si>
    <t>Plasminogen activator inhibitor 1 RNA-binding protein</t>
  </si>
  <si>
    <t>LEM domain-containing protein 2</t>
  </si>
  <si>
    <t>Nitric oxide-associated protein 1</t>
  </si>
  <si>
    <t>Adaptin ear-binding coat-associated protein 1</t>
  </si>
  <si>
    <t>Isoform 2 of Protein FAM98A</t>
  </si>
  <si>
    <t>Group XV phospholipase A2</t>
  </si>
  <si>
    <t>Isoform 2 of Myotubularin-related protein 14</t>
  </si>
  <si>
    <t>NFATC2-interacting protein</t>
  </si>
  <si>
    <t>Isoform 4 of Sn1-specific diacylglycerol lipase beta</t>
  </si>
  <si>
    <t>E3 ubiquitin-protein ligase RNF169</t>
  </si>
  <si>
    <t>Pyruvate dehydrogenase phosphatase regulatory subunit, mitochondrial</t>
  </si>
  <si>
    <t>NAD(P)H-hydrate epimerase</t>
  </si>
  <si>
    <t>Protein SMG8</t>
  </si>
  <si>
    <t>RING finger protein 214</t>
  </si>
  <si>
    <t>E3 ubiquitin-protein ligase ZNRF1</t>
  </si>
  <si>
    <t>Liprin-beta-2</t>
  </si>
  <si>
    <t>Isoform 2 of Protein LSM14 homolog A</t>
  </si>
  <si>
    <t>Isoform 3 of Cyclin-Y</t>
  </si>
  <si>
    <t>MAPK-interacting and spindle-stabilizing protein-like</t>
  </si>
  <si>
    <t>Isoform 2 of Uncharacterized protein C1orf131</t>
  </si>
  <si>
    <t>Isoform 3 of Uncharacterized protein C1orf131</t>
  </si>
  <si>
    <t>Isoform 3 of EH domain-binding protein 1</t>
  </si>
  <si>
    <t>Putative RNA-binding protein 15B</t>
  </si>
  <si>
    <t>Isoform 2 of Structural maintenance of chromosomes protein 1B</t>
  </si>
  <si>
    <t>Deleted in autism protein 1</t>
  </si>
  <si>
    <t>Metal transporter CNNM3</t>
  </si>
  <si>
    <t>ATP-binding cassette sub-family F member 1</t>
  </si>
  <si>
    <t>Isoform 3 of Calcium uniporter protein, mitochondrial</t>
  </si>
  <si>
    <t>Phosphatidylinositol 3-kinase catalytic subunit type 3</t>
  </si>
  <si>
    <t>Glutathione S-transferase C-terminal domain-containing protein</t>
  </si>
  <si>
    <t>Serum response factor-binding protein 1</t>
  </si>
  <si>
    <t>Isoform 2 of Phospholipase DDHD1</t>
  </si>
  <si>
    <t>SHC SH2 domain-binding protein 1</t>
  </si>
  <si>
    <t>PDZ domain-containing protein 8</t>
  </si>
  <si>
    <t>Zinc transporter 7</t>
  </si>
  <si>
    <t>Isoform 2 of Vacuolar protein sorting-associated protein 37A</t>
  </si>
  <si>
    <t>Histone-lysine N-methyltransferase MLL3</t>
  </si>
  <si>
    <t>F-box only protein 22</t>
  </si>
  <si>
    <t>Lysophosphatidylcholine acyltransferase 1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</si>
  <si>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</si>
  <si>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</si>
  <si>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</si>
  <si>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</si>
  <si>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</si>
  <si>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</si>
  <si>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</si>
  <si>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Thiosulfate sulfurtransferase/rhodanese-like domain-containing protein 1</t>
  </si>
  <si>
    <t>Isoform 4 of Thiosulfate sulfurtransferase/rhodanese-like domain-containing protein 1</t>
  </si>
  <si>
    <t>Inositol polyphosphate multikinase</t>
  </si>
  <si>
    <t>Isoform 4 of Alpha/beta hydrolase domain-containing protein 11</t>
  </si>
  <si>
    <t>N-acylneuraminate cytidylyltransferase</t>
  </si>
  <si>
    <t>Kelch repeat and BTB domain-containing protein 8</t>
  </si>
  <si>
    <t>Cell adhesion molecule 4</t>
  </si>
  <si>
    <t>Isoform 2 of Tetraspanin-14</t>
  </si>
  <si>
    <t>Tubulin--tyrosine ligase</t>
  </si>
  <si>
    <t>Small VCP/p97-interacting protein</t>
  </si>
  <si>
    <t>E3 ubiquitin-protein ligase ZNRF2</t>
  </si>
  <si>
    <t>Motile sperm domain-containing protein 2</t>
  </si>
  <si>
    <t>Putative phospholipase B-like 2</t>
  </si>
  <si>
    <t>ATP-dependent RNA helicase DDX55</t>
  </si>
  <si>
    <t>Tudor domain-containing protein 7</t>
  </si>
  <si>
    <t>GTPase IMAP family member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</si>
  <si>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</si>
  <si>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</si>
  <si>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</si>
  <si>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</si>
  <si>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</si>
  <si>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</si>
  <si>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Protein phosphatase PTC7 homolog</t>
  </si>
  <si>
    <t>Retinitis pigmentosa 9 protein</t>
  </si>
  <si>
    <t>Isoform 3 of Proteasome subunit alpha type-7-like</t>
  </si>
  <si>
    <t>GrpE protein homolog 2, mitochondrial</t>
  </si>
  <si>
    <t>Isoform 2 of Vang-like protein 1</t>
  </si>
  <si>
    <t>Rieske domain-containing protein</t>
  </si>
  <si>
    <t>Smad nuclear-interacting protein 1</t>
  </si>
  <si>
    <t>Growth arrest and DNA damage-inducible proteins-interacting protein 1</t>
  </si>
  <si>
    <t>WD repeat-containing protein 48</t>
  </si>
  <si>
    <t>Centrosomal protein of 76 kDa</t>
  </si>
  <si>
    <t>Protein phosphatase 1 regulatory subunit 35</t>
  </si>
  <si>
    <t>SWI/SNF complex subunit SMARCC2</t>
  </si>
  <si>
    <t>Nuclear protein localization protein 4 homolog</t>
  </si>
  <si>
    <t>Protein FAM76A</t>
  </si>
  <si>
    <t>Protein FAM110D</t>
  </si>
  <si>
    <t>Uncharacterized protein CXorf38</t>
  </si>
  <si>
    <t>Ganglioside-induced differentiation-associated protein 1</t>
  </si>
  <si>
    <t>Iron-sulfur protein NUBPL</t>
  </si>
  <si>
    <t>Isoform 3 of Adenosine 3-phospho 5-phosphosulfate transporter 1</t>
  </si>
  <si>
    <t>Isoform 3 of Pumilio homolog 2</t>
  </si>
  <si>
    <t>T-cell immunomodulatory protein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</si>
  <si>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</si>
  <si>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</si>
  <si>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</si>
  <si>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</si>
  <si>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Zinc finger CCHC-type and RNA-binding motif-containing protein 1</t>
  </si>
  <si>
    <t>DnaJ homolog subfamily B member 14</t>
  </si>
  <si>
    <t>Guanine nucleotide exchange factor for Rab-3A</t>
  </si>
  <si>
    <t>Solute carrier family 25 member 40</t>
  </si>
  <si>
    <t>Protein kish-A</t>
  </si>
  <si>
    <t>Phosphatidylinositol 5-phosphate 4-kinase type-2 gamma</t>
  </si>
  <si>
    <t>WD repeat-containing protein 20</t>
  </si>
  <si>
    <t>tRNA methyltransferase 10 homolog A</t>
  </si>
  <si>
    <t>Isoform 2 of TBC1 domain family member 15</t>
  </si>
  <si>
    <t>Retinol dehydrogenase 11</t>
  </si>
  <si>
    <t>Protein transport protein Sec61 subunit alpha isoform 2</t>
  </si>
  <si>
    <t>Leucine-rich repeat-containing protein 20</t>
  </si>
  <si>
    <t>UPF0729 protein C18orf32</t>
  </si>
  <si>
    <t>5(3)-deoxyribonucleotidase, cytosolic type</t>
  </si>
  <si>
    <t>Isoform 2 of Protein FAM45A</t>
  </si>
  <si>
    <t>Protein CIP2A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</si>
  <si>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</si>
  <si>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</si>
  <si>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</si>
  <si>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Isoform 4 of Signal peptide peptidase-like 2B</t>
  </si>
  <si>
    <t>Signal peptide peptidase-like 2A</t>
  </si>
  <si>
    <t>Isoform 5 of Minor histocompatibility antigen H13</t>
  </si>
  <si>
    <t>Isoform 6 of CD99 antigen-like protein 2</t>
  </si>
  <si>
    <t>Isoform 2 of Mitogen-activated protein kinase 15</t>
  </si>
  <si>
    <t>Isoform 2 of Protein bicaudal D homolog 2</t>
  </si>
  <si>
    <t>Serine/threonine-protein kinase Nek9</t>
  </si>
  <si>
    <t>Alanine aminotransferase 2</t>
  </si>
  <si>
    <t>Isoform 2 of Pleckstrin homology domain-containing family O member 2</t>
  </si>
  <si>
    <t>E3 ubiquitin-protein ligase DTX3L</t>
  </si>
  <si>
    <t>ATP-dependent RNA helicase DDX54</t>
  </si>
  <si>
    <t>Biogenesis of lysosome-related organelles complex 1 subunit 5</t>
  </si>
  <si>
    <t>Chromodomain-helicase-DNA-binding protein 5</t>
  </si>
  <si>
    <t>Glucosamine-6-phosphate isomerase 2</t>
  </si>
  <si>
    <t>Leucine-rich repeat-containing protein 8C</t>
  </si>
  <si>
    <t>Serine/threonine-protein kinase Nek7</t>
  </si>
  <si>
    <t>Isoform 2 of RB1-inducible coiled-coil protein 1</t>
  </si>
  <si>
    <t>Protein-methionine sulfoxide oxidase MICAL1</t>
  </si>
  <si>
    <t>Isoform 2 of Pantothenate kinase 1</t>
  </si>
  <si>
    <t>Putative methyltransferase NSUN6</t>
  </si>
  <si>
    <t>D-tyrosyl-tRNA(Tyr) deacylase 1</t>
  </si>
  <si>
    <t>Isoform 2 of DDB1- and CUL4-associated factor 11</t>
  </si>
  <si>
    <t>U3 small nucleolar RNA-associated protein 15 homolog</t>
  </si>
  <si>
    <t>DENN domain-containing protein 1A</t>
  </si>
  <si>
    <t>Nuclear pore membrane glycoprotein 210</t>
  </si>
  <si>
    <t>Isoform 2 of Sorting nexin-29</t>
  </si>
  <si>
    <t>Gem-associated protein 5</t>
  </si>
  <si>
    <t>Isoform 7 of Partitioning defective 3 homolog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</si>
  <si>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</si>
  <si>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</si>
  <si>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</si>
  <si>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</si>
  <si>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Monocarboxylate transporter 10</t>
  </si>
  <si>
    <t>WAS/WASL-interacting protein family member 2</t>
  </si>
  <si>
    <t>1-acylglycerol-3-phosphate O-acyltransferase ABHD5</t>
  </si>
  <si>
    <t>Histone-lysine N-methyltransferase SETD7</t>
  </si>
  <si>
    <t>Conserved oligomeric Golgi complex subunit 1</t>
  </si>
  <si>
    <t>Pyridine nucleotide-disulfide oxidoreductase domain-containing protein 1</t>
  </si>
  <si>
    <t>Marginal zone B- and B1-cell-specific protein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</si>
  <si>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</si>
  <si>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</si>
  <si>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</si>
  <si>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</si>
  <si>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General transcription factor 3C polypeptide 2</t>
  </si>
  <si>
    <t>Tsukushin</t>
  </si>
  <si>
    <t>Isoform 3 of PHD finger protein 10</t>
  </si>
  <si>
    <t>Ras-related protein Rab-2B</t>
  </si>
  <si>
    <t>RelA-associated inhibitor</t>
  </si>
  <si>
    <t>Isoform 3 of Protein FAM172A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</si>
  <si>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</si>
  <si>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</si>
  <si>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</si>
  <si>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</si>
  <si>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</si>
  <si>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Phosphatidylglycerophosphatase and protein-tyrosine phosphatase 1</t>
  </si>
  <si>
    <t>Nuclear pore complex protein Nup133</t>
  </si>
  <si>
    <t>Programmed cell death 6-interacting protein</t>
  </si>
  <si>
    <t>Sodium-dependent phosphate transporter 1</t>
  </si>
  <si>
    <t>Ubiquitin domain-containing protein 2</t>
  </si>
  <si>
    <t>UPF0235 protein C15orf40</t>
  </si>
  <si>
    <t>Cation transport regulator-like protein 2</t>
  </si>
  <si>
    <t>Charged multivesicular body protein 7</t>
  </si>
  <si>
    <t>Protein THEM6</t>
  </si>
  <si>
    <t>N-acetyltransferase 14</t>
  </si>
  <si>
    <t>Non-structural maintenance of chromosomes element 1 homolog</t>
  </si>
  <si>
    <t>Nucleoside diphosphate-linked moiety X motif 8, mitochondrial</t>
  </si>
  <si>
    <t>MIT domain-containing protein 1</t>
  </si>
  <si>
    <t>Chromosome transmission fidelity protein 18 homolog</t>
  </si>
  <si>
    <t>RNA polymerase-associated protein LEO1</t>
  </si>
  <si>
    <t>E3 ubiquitin-protein ligase RNF138</t>
  </si>
  <si>
    <t>N(6)-adenine-specific DNA methyltransferase 2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</si>
  <si>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</si>
  <si>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</si>
  <si>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</si>
  <si>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</si>
  <si>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</si>
  <si>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</si>
  <si>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Soluble calcium-activated nucleotidase 1</t>
  </si>
  <si>
    <t>Trafficking protein particle complex subunit 12</t>
  </si>
  <si>
    <t>Fatty acyl-CoA reductase 1</t>
  </si>
  <si>
    <t>Ubiquitin-like domain-containing CTD phosphatase 1</t>
  </si>
  <si>
    <t>Kelch repeat and BTB domain-containing protein 7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</si>
  <si>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</si>
  <si>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</si>
  <si>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</si>
  <si>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</si>
  <si>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</si>
  <si>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</si>
  <si>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Choline transporter-like protein 1</t>
  </si>
  <si>
    <t>Isoform 3 of Cytoskeleton-associated protein 2</t>
  </si>
  <si>
    <t>Ataxin-2-like protein</t>
  </si>
  <si>
    <t>GTPase IMAP family member 1</t>
  </si>
  <si>
    <t>Reticulon-4-interacting protein 1, mitochondrial</t>
  </si>
  <si>
    <t>Isoform 2 of Ras association domain-containing protein 5</t>
  </si>
  <si>
    <t>Selenoprotein M</t>
  </si>
  <si>
    <t>U4/U6 small nuclear ribonucleoprotein Prp31</t>
  </si>
  <si>
    <t>Negative elongation factor B</t>
  </si>
  <si>
    <t>Isoform 3 of Palladin</t>
  </si>
  <si>
    <t>Isoform 2 of Splicing regulatory glutamine/lysine-rich protein 1</t>
  </si>
  <si>
    <t>Gem-associated protein 6</t>
  </si>
  <si>
    <t>Caskin-2</t>
  </si>
  <si>
    <t>Isoform 4 of ATR-interacting protein</t>
  </si>
  <si>
    <t>Paraspeckle component 1</t>
  </si>
  <si>
    <t>Nesprin-2</t>
  </si>
  <si>
    <t>Transcriptional repressor p66-beta</t>
  </si>
  <si>
    <t>Dynein heavy chain 7, axonemal</t>
  </si>
  <si>
    <t>DnaJ homolog subfamily C member 9</t>
  </si>
  <si>
    <t>BRI3-binding protein</t>
  </si>
  <si>
    <t>Isoform 2 of Protein phosphatase 1E</t>
  </si>
  <si>
    <t>THAP domain-containing protein 4</t>
  </si>
  <si>
    <t>Beta-catenin-like protein 1</t>
  </si>
  <si>
    <t>Isoform 3 of Microprocessor complex subunit DGCR8</t>
  </si>
  <si>
    <t>Galectin-9</t>
  </si>
  <si>
    <t>Ovarian cancer-associated gene 2 protein</t>
  </si>
  <si>
    <t>Protein LZIC</t>
  </si>
  <si>
    <t>Immunity-related GTPase family Q protein</t>
  </si>
  <si>
    <t>DNA damage-binding protein 2</t>
  </si>
  <si>
    <t>Isoform 2 of Aquaporin-3</t>
  </si>
  <si>
    <t>ATP-dependent RNA helicase DDX1</t>
  </si>
  <si>
    <t>Isoform 3 of SEC14-like protein 1</t>
  </si>
  <si>
    <t>Zinc transporter SLC39A7</t>
  </si>
  <si>
    <t>Estradiol 17-beta-dehydrogenase 8</t>
  </si>
  <si>
    <t>Piezo-type mechanosensitive ion channel component 1</t>
  </si>
  <si>
    <t>Protein FAM3C</t>
  </si>
  <si>
    <t>Histone H1x</t>
  </si>
  <si>
    <t>T-complex protein 1 subunit zeta-2</t>
  </si>
  <si>
    <t>Y+L amino acid transporter 2</t>
  </si>
  <si>
    <t>Golgi-specific brefeldin A-resistance guanine nucleotide exchange factor 1</t>
  </si>
  <si>
    <t>RNA polymerase-associated protein RTF1 homolog</t>
  </si>
  <si>
    <t>Transmembrane 9 superfamily member 4</t>
  </si>
  <si>
    <t>Retrograde Golgi transport protein RGP1 homolog</t>
  </si>
  <si>
    <t>DNA topoisomerase 2-binding protein 1</t>
  </si>
  <si>
    <t>Inositol hexakisphosphate kinase 1</t>
  </si>
  <si>
    <t>28S ribosomal protein S27, mitochondrial</t>
  </si>
  <si>
    <t>Engulfment and cell motility protein 1</t>
  </si>
  <si>
    <t>Wiskott-Aldrich syndrome protein family member 1</t>
  </si>
  <si>
    <t>AP-3 complex subunit sigma-1</t>
  </si>
  <si>
    <t>UBX domain-containing protein 4</t>
  </si>
  <si>
    <t>Isoform 2 of PHD finger protein 3</t>
  </si>
  <si>
    <t>Isoform 2 of Sodium/hydrogen exchanger 6</t>
  </si>
  <si>
    <t>Mastermind-like protein 1</t>
  </si>
  <si>
    <t>Protein NDRG1</t>
  </si>
  <si>
    <t>Isoform Beta of Heat shock protein 105 kDa</t>
  </si>
  <si>
    <t>Cell differentiation protein RCD1 homolog</t>
  </si>
  <si>
    <t>Acyl-CoA:lysophosphatidylglycerol acyltransferase 1</t>
  </si>
  <si>
    <t>Dedicator of cytokinesis protein 2</t>
  </si>
  <si>
    <t>TBC1 domain family member 5</t>
  </si>
  <si>
    <t>Zinc finger protein 592</t>
  </si>
  <si>
    <t>ER degradation-enhancing alpha-mannosidase-like protein 1</t>
  </si>
  <si>
    <t>Isoform 2 of Unconventional myosin-XVIIIa</t>
  </si>
  <si>
    <t>La-related protein 4B</t>
  </si>
  <si>
    <t>Translational activator GCN1</t>
  </si>
  <si>
    <t>Minor histocompatibility protein HA-1</t>
  </si>
  <si>
    <t>Pre-mRNA-splicing factor ATP-dependent RNA helicase PRP16</t>
  </si>
  <si>
    <t>Nuclear pore complex protein Nup205</t>
  </si>
  <si>
    <t>Tetratricopeptide repeat protein 9A</t>
  </si>
  <si>
    <t>Ankyrin repeat and SAM domain-containing protein 1A</t>
  </si>
  <si>
    <t>Peroxidasin homolog</t>
  </si>
  <si>
    <t>Protein FAN</t>
  </si>
  <si>
    <t>28S ribosomal protein S31, mitochondrial</t>
  </si>
  <si>
    <t>A-kinase anchor protein 1, mitochondrial</t>
  </si>
  <si>
    <t>Sortilin-related receptor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</si>
  <si>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</si>
  <si>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</si>
  <si>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</si>
  <si>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</si>
  <si>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</si>
  <si>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</si>
  <si>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Actin-related protein 2/3 complex subunit 1A</t>
  </si>
  <si>
    <t>General transcription factor IIH subunit 4</t>
  </si>
  <si>
    <t>Ras-responsive element-binding protein 1</t>
  </si>
  <si>
    <t>Isoform 2 of Signal transducing adapter molecule 1</t>
  </si>
  <si>
    <t>Zinc finger protein DPF3</t>
  </si>
  <si>
    <t>Zinc finger protein ubi-d4</t>
  </si>
  <si>
    <t>CREB-binding protein</t>
  </si>
  <si>
    <t>Symplekin</t>
  </si>
  <si>
    <t>Isoform Short of TATA-binding protein-associated factor 2N</t>
  </si>
  <si>
    <t>Golgin subfamily A member 1</t>
  </si>
  <si>
    <t>Gamma-glutamyl hydrolase</t>
  </si>
  <si>
    <t>Coronin-2A</t>
  </si>
  <si>
    <t>Isoform 4 of X-linked retinitis pigmentosa GTPase regulator</t>
  </si>
  <si>
    <t>Isoform 2 of Ectodysplasin-A</t>
  </si>
  <si>
    <t>Isoform 3 of Bcl-2-like protein 2</t>
  </si>
  <si>
    <t>TRAF family member-associated NF-kappa-B activator</t>
  </si>
  <si>
    <t>Isoform D of Caspase-10</t>
  </si>
  <si>
    <t>Semaphorin-4D</t>
  </si>
  <si>
    <t>Isoform 3 of Neogenin</t>
  </si>
  <si>
    <t>Phosphomannomutase 1</t>
  </si>
  <si>
    <t>DNA repair protein RAD50</t>
  </si>
  <si>
    <t>Osteoclast-stimulating factor 1</t>
  </si>
  <si>
    <t>DNA repair endonuclease XPF</t>
  </si>
  <si>
    <t>Ubiquitin fusion degradation protein 1 homolog</t>
  </si>
  <si>
    <t>Golgi apparatus protein 1</t>
  </si>
  <si>
    <t>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</si>
  <si>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</si>
  <si>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</si>
  <si>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</si>
  <si>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</si>
  <si>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</si>
  <si>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</si>
  <si>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</si>
  <si>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</si>
  <si>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</si>
  <si>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</si>
  <si>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</si>
  <si>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Isoform 5 of Transcription factor IIIB 90 kDa subunit</t>
  </si>
  <si>
    <t>Ubiquitin carboxyl-terminal hydrolase 13</t>
  </si>
  <si>
    <t>Isoform 2 of Probable ubiquitin carboxyl-terminal hydrolase FAF-X</t>
  </si>
  <si>
    <t>N-acetyltransferase 6</t>
  </si>
  <si>
    <t>Cullin-5</t>
  </si>
  <si>
    <t>Lipoma-preferred partner</t>
  </si>
  <si>
    <t>Isoform SERCA3A of Sarcoplasmic/endoplasmic reticulum calcium ATPase 3</t>
  </si>
  <si>
    <t>Protein tyrosine phosphatase type IVA 1</t>
  </si>
  <si>
    <t>Isoform 4 of Phosphorylase b kinase regulatory subunit beta</t>
  </si>
  <si>
    <t>Isoform 2 of Secretory carrier-associated membrane protein 4</t>
  </si>
  <si>
    <t>Transcription elongation factor A protein-like 3</t>
  </si>
  <si>
    <t>Pre-rRNA-processing protein TSR2 homolog</t>
  </si>
  <si>
    <t>Isoform 2 of SWI/SNF-related matrix-associated actin-dependent regulator of chromatin subfamily E member 1</t>
  </si>
  <si>
    <t>Riboflavin kinase</t>
  </si>
  <si>
    <t>Ribonuclease P/MRP protein subunit POP5</t>
  </si>
  <si>
    <t>UPF0556 protein C19orf10</t>
  </si>
  <si>
    <t>E3 ubiquitin-protein ligase RNF34</t>
  </si>
  <si>
    <t>Mitochondrial import receptor subunit TOM40B</t>
  </si>
  <si>
    <t>Protein YIPF5</t>
  </si>
  <si>
    <t>Isoform 5 of GPI transamidase component PIG-T</t>
  </si>
  <si>
    <t>Isoform 3 of Immunoglobulin superfamily member 8</t>
  </si>
  <si>
    <t>60S ribosomal protein L36a-like</t>
  </si>
  <si>
    <t>Ras-related protein Rab-24</t>
  </si>
  <si>
    <t>Integrin-alpha FG-GAP repeat-containing protein 2</t>
  </si>
  <si>
    <t>Zinc finger protein 622</t>
  </si>
  <si>
    <t>Isoform 2 of Ribosome-releasing factor 2, mitochondrial</t>
  </si>
  <si>
    <t>Isoform 2 of 7-methylguanosine phosphate-specific 5-nucleotidase</t>
  </si>
  <si>
    <t>Isoform 2 of Nicalin</t>
  </si>
  <si>
    <t>Mitochondrial ubiquitin ligase activator of NFKB 1</t>
  </si>
  <si>
    <t>RILP-like protein 2</t>
  </si>
  <si>
    <t>Isoform 2 of Endoplasmic reticulum-Golgi intermediate compartment protein 1</t>
  </si>
  <si>
    <t>Cirhin</t>
  </si>
  <si>
    <t>Isoform 3 of tRNA modification GTPase GTPBP3, mitochondrial</t>
  </si>
  <si>
    <t>Protein TBRG4</t>
  </si>
  <si>
    <t>Coiled-coil domain-containing protein 47</t>
  </si>
  <si>
    <t>Insulin gene enhancer protein ISL-2</t>
  </si>
  <si>
    <t>Synapse-associated protein 1</t>
  </si>
  <si>
    <t>Exocyst complex component 4</t>
  </si>
  <si>
    <t>Putative monooxygenase p33MONOX</t>
  </si>
  <si>
    <t>Protein N-terminal asparagine amidohydrolase</t>
  </si>
  <si>
    <t>Fermitin family homolog 2</t>
  </si>
  <si>
    <t>Far upstream element-binding protein 1</t>
  </si>
  <si>
    <t>Isoform 2 of Far upstream element-binding protein 1</t>
  </si>
  <si>
    <t>Solute carrier family 25 member 46</t>
  </si>
  <si>
    <t>Leucine-rich repeat-containing protein 59</t>
  </si>
  <si>
    <t>Isoform 1 of Vesicle transport through interaction with t-SNAREs homolog 1A</t>
  </si>
  <si>
    <t>Isoform 2 of Adrenocortical dysplasia protein homolog</t>
  </si>
  <si>
    <t>Isoform 2 of Pre-B-cell leukemia transcription factor-interacting protein 1</t>
  </si>
  <si>
    <t>Mitochondrial calcium uniporter regulator 1</t>
  </si>
  <si>
    <t>Uncharacterized protein KIAA1143</t>
  </si>
  <si>
    <t>Ribulose-phosphate 3-epimerase</t>
  </si>
  <si>
    <t>Isoform 4 of Ras-related protein Rab-37</t>
  </si>
  <si>
    <t>RAD51-associated protein 1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</si>
  <si>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</si>
  <si>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</si>
  <si>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</si>
  <si>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</si>
  <si>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</si>
  <si>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Leukocyte receptor cluster member 9</t>
  </si>
  <si>
    <t>SH3 domain-containing kinase-binding protein 1</t>
  </si>
  <si>
    <t>Isoform 2 of Spindle and kinetochore-associated protein 1</t>
  </si>
  <si>
    <t>E3 ubiquitin-protein ligase RNF25</t>
  </si>
  <si>
    <t>Gamma-secretase subunit APH-1A</t>
  </si>
  <si>
    <t>PIN2/TERF1-interacting telomerase inhibitor 1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</si>
  <si>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</si>
  <si>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</si>
  <si>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</si>
  <si>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</si>
  <si>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Coiled-coil domain-containing protein 127</t>
  </si>
  <si>
    <t>Sel1 repeat-containing protein 1</t>
  </si>
  <si>
    <t>Alkylated DNA repair protein alkB homolog 8</t>
  </si>
  <si>
    <t>Uracil phosphoribosyltransferase homolog</t>
  </si>
  <si>
    <t>Isoform 2 of Phosphotriesterase-related protein</t>
  </si>
  <si>
    <t>MOB kinase activator 3A</t>
  </si>
  <si>
    <t>Leukocyte receptor cluster member 1</t>
  </si>
  <si>
    <t>TBC1 domain family member 20</t>
  </si>
  <si>
    <t>Protein FAM136A</t>
  </si>
  <si>
    <t>EF-hand domain-containing protein D2</t>
  </si>
  <si>
    <t>Pyrroline-5-carboxylate reductase 2</t>
  </si>
  <si>
    <t>Zinc finger protein 524</t>
  </si>
  <si>
    <t>Uncharacterized protein C12orf43</t>
  </si>
  <si>
    <t>m7GpppX diphosphatase</t>
  </si>
  <si>
    <t>Protein phosphatase 1 regulatory subunit 14B</t>
  </si>
  <si>
    <t>Integrator complex subunit 12</t>
  </si>
  <si>
    <t>5-methylcytosine rRNA methyltransferase NSUN4</t>
  </si>
  <si>
    <t>F-box/LRR-repeat protein 8</t>
  </si>
  <si>
    <t>Phosphopantothenoylcysteine decarboxylase</t>
  </si>
  <si>
    <t>TRAF-interacting protein with FHA domain-containing protein A</t>
  </si>
  <si>
    <t>Isoform 3 of Collagen triple helix repeat-containing protein 1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</si>
  <si>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</si>
  <si>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</si>
  <si>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</si>
  <si>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</si>
  <si>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</si>
  <si>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</si>
  <si>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FAD-dependent oxidoreductase domain-containing protein 1</t>
  </si>
  <si>
    <t>Isoform 2 of AP-2 complex subunit mu</t>
  </si>
  <si>
    <t>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</si>
  <si>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</si>
  <si>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</si>
  <si>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</si>
  <si>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Uncharacterized protein C10orf35</t>
  </si>
  <si>
    <t>Isoform beta of Calcium release-activated calcium channel protein 1</t>
  </si>
  <si>
    <t>Uncharacterized aarF domain-containing protein kinase 4</t>
  </si>
  <si>
    <t>Isoform 3 of RalBP1-associated Eps domain-containing protein 1</t>
  </si>
  <si>
    <t>Isoform 4 of Voltage-gated hydrogen channel 1</t>
  </si>
  <si>
    <t>Ras-related protein Rab-39B</t>
  </si>
  <si>
    <t>Mitochondrial import inner membrane translocase subunit TIM14</t>
  </si>
  <si>
    <t>Regulator of microtubule dynamics protein 1</t>
  </si>
  <si>
    <t>Transmembrane and coiled-coil domain-containing protein 6</t>
  </si>
  <si>
    <t>Ubiquitin thioesterase OTUB2</t>
  </si>
  <si>
    <t>Anaphase-promoting complex subunit 16</t>
  </si>
  <si>
    <t>Protein DGCR14</t>
  </si>
  <si>
    <t>Isoform 2 of RNA-binding protein Musashi homolog 2</t>
  </si>
  <si>
    <t>U5 small nuclear ribonucleoprotein 40 kDa protein</t>
  </si>
  <si>
    <t>Cysteine protease ATG4C</t>
  </si>
  <si>
    <t>Isoform 2 of SLAM family member 6</t>
  </si>
  <si>
    <t>39S ribosomal protein L38, mitochondrial</t>
  </si>
  <si>
    <t>RING finger and SPRY domain-containing protein 1</t>
  </si>
  <si>
    <t>Tripartite motif-containing protein 44</t>
  </si>
  <si>
    <t>Endoplasmic reticulum lectin 1</t>
  </si>
  <si>
    <t>Protein FAM122A</t>
  </si>
  <si>
    <t>Isoform 3 of Ribosome-recycling factor, mitochondrial</t>
  </si>
  <si>
    <t>RecQ-mediated genome instability protein 2</t>
  </si>
  <si>
    <t>Isoform 2 of Uncharacterized protein C9orf9</t>
  </si>
  <si>
    <t>Metalloendopeptidase OMA1, mitochondrial</t>
  </si>
  <si>
    <t>Protein Spindly</t>
  </si>
  <si>
    <t>Elongator complex protein 4</t>
  </si>
  <si>
    <t>NAD-dependent protein deacetylase sirtuin-1</t>
  </si>
  <si>
    <t>Protein YIPF6</t>
  </si>
  <si>
    <t>Nucleoporin SEH1</t>
  </si>
  <si>
    <t>Mitochondrial assembly of ribosomal large subunit protein 1</t>
  </si>
  <si>
    <t>KIF1-binding protein</t>
  </si>
  <si>
    <t>Glucosamine 6-phosphate N-acetyltransferase</t>
  </si>
  <si>
    <t>Protein KTI12 homolog</t>
  </si>
  <si>
    <t>28S ribosomal protein S24, mitochondrial</t>
  </si>
  <si>
    <t>39S ribosomal protein L53, mitochondrial</t>
  </si>
  <si>
    <t>Trans-L-3-hydroxyproline dehydratase</t>
  </si>
  <si>
    <t>E3 ubiquitin-protein ligase RNF31</t>
  </si>
  <si>
    <t>DAZ-associated protein 1</t>
  </si>
  <si>
    <t>Small glutamine-rich tetratricopeptide repeat-containing protein beta</t>
  </si>
  <si>
    <t>Protein SAAL1</t>
  </si>
  <si>
    <t>Coiled-coil domain-containing protein 51</t>
  </si>
  <si>
    <t>SAGA-associated factor 29 homolog</t>
  </si>
  <si>
    <t>Isoform 2 of Ribosomal RNA processing protein 36 homolog</t>
  </si>
  <si>
    <t>RNA-binding protein 33</t>
  </si>
  <si>
    <t>Isoform 2 of Dysbindin</t>
  </si>
  <si>
    <t>HSPB1-associated protein 1</t>
  </si>
  <si>
    <t>Small integral membrane protein 12</t>
  </si>
  <si>
    <t>WD repeat-containing protein 34</t>
  </si>
  <si>
    <t>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</si>
  <si>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</si>
  <si>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</si>
  <si>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</si>
  <si>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</si>
  <si>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GTPase IMAP family member 5</t>
  </si>
  <si>
    <t>Isoform 2 of Nuclear receptor-binding factor 2</t>
  </si>
  <si>
    <t>UDP-N-acetylglucosamine transferase subunit ALG14 homolog</t>
  </si>
  <si>
    <t>Isoform 3 of E3 ubiquitin-protein ligase TRIM11</t>
  </si>
  <si>
    <t>Coiled-coil domain-containing protein 97</t>
  </si>
  <si>
    <t>Enhancer of mRNA-decapping protein 3</t>
  </si>
  <si>
    <t>E3 ubiquitin-protein ligase pellino homolog 1</t>
  </si>
  <si>
    <t>Isoform 3 of Probable ATP-dependent RNA helicase DDX11</t>
  </si>
  <si>
    <t>Protein MEF2BNB</t>
  </si>
  <si>
    <t>AMSH-like protease</t>
  </si>
  <si>
    <t>Dynein light chain 2, cytoplasmic</t>
  </si>
  <si>
    <t>WD repeat-containing protein 89</t>
  </si>
  <si>
    <t>Copine-2</t>
  </si>
  <si>
    <t>Probable D-tyrosyl-tRNA(Tyr) deacylase 2</t>
  </si>
  <si>
    <t>Signal-induced proliferation-associated protein 1</t>
  </si>
  <si>
    <t>THO complex subunit 1</t>
  </si>
  <si>
    <t>DPH3 homolog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</si>
  <si>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</si>
  <si>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</si>
  <si>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</si>
  <si>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</si>
  <si>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</si>
  <si>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</si>
  <si>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</si>
  <si>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</si>
  <si>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</si>
  <si>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Protein LTV1 homolog</t>
  </si>
  <si>
    <t>Pyridoxal phosphate phosphatase</t>
  </si>
  <si>
    <t>E3 ubiquitin-protein ligase RNF185</t>
  </si>
  <si>
    <t>DCN1-like protein 1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</si>
  <si>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</si>
  <si>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</si>
  <si>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</si>
  <si>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</si>
  <si>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</si>
  <si>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Alpha/beta hydrolase domain-containing protein 17A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</si>
  <si>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</si>
  <si>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</si>
  <si>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</si>
  <si>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</si>
  <si>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Isoform 2 of Methylthioribulose-1-phosphate dehydratase</t>
  </si>
  <si>
    <t>Zinc finger C2HC domain-containing protein 1A</t>
  </si>
  <si>
    <t>Isoform 6 of Solute carrier family 41 member 3</t>
  </si>
  <si>
    <t>Vacuolar-sorting protein SNF8</t>
  </si>
  <si>
    <t>Isoform 4 of Centromere protein N</t>
  </si>
  <si>
    <t>Zinc finger CCCH-type antiviral protein 1-like</t>
  </si>
  <si>
    <t>Isoform 2 of Zinc finger protein 764</t>
  </si>
  <si>
    <t>Isoform 4 of Uncharacterized protein C1orf159</t>
  </si>
  <si>
    <t>Protein N-terminal glutamine amidohydrolase</t>
  </si>
  <si>
    <t>PDZ and LIM domain protein 5</t>
  </si>
  <si>
    <t>Cysteine-rich with EGF-like domain protein 1</t>
  </si>
  <si>
    <t>ERO1-like protein alpha</t>
  </si>
  <si>
    <t>UPF0562 protein C7orf55</t>
  </si>
  <si>
    <t>Isoform 2 of UPF0562 protein C7orf55</t>
  </si>
  <si>
    <t>Putative adenosylhomocysteinase 3</t>
  </si>
  <si>
    <t>CDKN2AIP N-terminal-like protein</t>
  </si>
  <si>
    <t>Mediator of RNA polymerase II transcription subunit 30</t>
  </si>
  <si>
    <t>Isoform 2 of H/ACA ribonucleoprotein complex non-core subunit NAF1</t>
  </si>
  <si>
    <t>Receptor expression-enhancing protein 6</t>
  </si>
  <si>
    <t>Serine/threonine-protein phosphatase PGAM5, mitochondrial</t>
  </si>
  <si>
    <t>Integrator complex subunit 4</t>
  </si>
  <si>
    <t>DDRGK domain-containing protein 1</t>
  </si>
  <si>
    <t>Probable 2-oxoglutarate dehydrogenase E1 component DHKTD1, mitochondrial</t>
  </si>
  <si>
    <t>Selenocysteine lyase</t>
  </si>
  <si>
    <t>Far upstream element-binding protein 3</t>
  </si>
  <si>
    <t>Splicing factor 45</t>
  </si>
  <si>
    <t>Cytochrome c oxidase assembly protein COX14</t>
  </si>
  <si>
    <t>Probable asparagine--tRNA ligase, mitochondrial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</si>
  <si>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</si>
  <si>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</si>
  <si>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</si>
  <si>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</si>
  <si>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Zinc finger protein 845</t>
  </si>
  <si>
    <t>Alpha/beta hydrolase domain-containing protein 14B</t>
  </si>
  <si>
    <t>Isoform 5 of Peptide-N(4)-(N-acetyl-beta-glucosaminyl)asparagine amidase</t>
  </si>
  <si>
    <t>Up-regulated during skeletal muscle growth protein 5</t>
  </si>
  <si>
    <t>Kinetochore-associated protein NSL1 homolog</t>
  </si>
  <si>
    <t>PRKC apoptosis WT1 regulator protein</t>
  </si>
  <si>
    <t>Isoform 2 of Serine/Arginine-related protein 53</t>
  </si>
  <si>
    <t>THO complex subunit 3</t>
  </si>
  <si>
    <t>Isoform 2 of E3 ubiquitin-protein ligase Itchy homolog</t>
  </si>
  <si>
    <t>Isoform 2 of Kin of IRRE-like protein 1</t>
  </si>
  <si>
    <t>Isoform 2 of Epithelial-stromal interaction protein 1</t>
  </si>
  <si>
    <t>Conserved oligomeric Golgi complex subunit 3</t>
  </si>
  <si>
    <t>CDK5 regulatory subunit-associated protein 3</t>
  </si>
  <si>
    <t>Isoform 2 of Vam6/Vps39-like protein</t>
  </si>
  <si>
    <t>ELL-associated factor 1</t>
  </si>
  <si>
    <t>Coiled-coil domain-containing protein 132</t>
  </si>
  <si>
    <t>Deubiquitinating protein VCIP135</t>
  </si>
  <si>
    <t>Protein disulfide-isomerase TMX3</t>
  </si>
  <si>
    <t>Chromosome alignment-maintaining phosphoprotein 1</t>
  </si>
  <si>
    <t>E3 ubiquitin-protein ligase ZFP91</t>
  </si>
  <si>
    <t>Calmin</t>
  </si>
  <si>
    <t>PDZ and LIM domain protein 2</t>
  </si>
  <si>
    <t>Isoform 2 of E3 ubiquitin-protein ligase RNF170</t>
  </si>
  <si>
    <t>Uncharacterized protein C8orf76</t>
  </si>
  <si>
    <t>Zinc finger CCCH domain-containing protein 10</t>
  </si>
  <si>
    <t>Isoform 2 of Cleft lip and palate transmembrane protein 1-like protein</t>
  </si>
  <si>
    <t>Lymphokine-activated killer T-cell-originated protein kinase</t>
  </si>
  <si>
    <t>DnaJ homolog subfamily C member 1</t>
  </si>
  <si>
    <t>Zinc finger protein 512B</t>
  </si>
  <si>
    <t>Exocyst complex component 2</t>
  </si>
  <si>
    <t>Cytosolic non-specific dipeptidase</t>
  </si>
  <si>
    <t>Apoptosis-stimulating of p53 protein 1</t>
  </si>
  <si>
    <t>Zinc finger RNA-binding protein</t>
  </si>
  <si>
    <t>Leucine-rich repeat protein 1</t>
  </si>
  <si>
    <t>Isoform 2 of Sorting nexin-27</t>
  </si>
  <si>
    <t>Isoform 5 of Kinesin-like protein KIF16B</t>
  </si>
  <si>
    <t>Protein arginine N-methyltransferase 6</t>
  </si>
  <si>
    <t>Sentrin-specific protease 8</t>
  </si>
  <si>
    <t>Dehydrogenase/reductase SDR family member 1</t>
  </si>
  <si>
    <t>Ubiquitin-conjugating enzyme E2 E2</t>
  </si>
  <si>
    <t>Protein C9orf72</t>
  </si>
  <si>
    <t>Isoform 2 of Cyclic nucleotide-binding domain-containing protein 2</t>
  </si>
  <si>
    <t>Protein PRRC1</t>
  </si>
  <si>
    <t>Isoform 4 of F-box/LRR-repeat protein 18</t>
  </si>
  <si>
    <t>Melanoma-associated antigen G1</t>
  </si>
  <si>
    <t>Protein HEXIM2</t>
  </si>
  <si>
    <t>Transmembrane protein 68</t>
  </si>
  <si>
    <t>Zinc finger protein 48</t>
  </si>
  <si>
    <t>WD repeat-containing protein 92</t>
  </si>
  <si>
    <t>Isoform 2 of Uncharacterized protein C7orf26</t>
  </si>
  <si>
    <t>Janus kinase and microtubule-interacting protein 1</t>
  </si>
  <si>
    <t>Isoform 2 of AP-4 complex accessory subunit tepsin</t>
  </si>
  <si>
    <t>Tetratricopeptide repeat protein 14</t>
  </si>
  <si>
    <t>Isoform 2 of Lysophospholipid acyltransferase 7</t>
  </si>
  <si>
    <t>Isoform 4 of Dedicator of cytokinesis protein 7</t>
  </si>
  <si>
    <t>LisH domain-containing protein FOPNL</t>
  </si>
  <si>
    <t>Sideroflexin-2</t>
  </si>
  <si>
    <t>Zinc finger protein 830</t>
  </si>
  <si>
    <t>Zinc finger matrin-type protein 2</t>
  </si>
  <si>
    <t>Coiled-coil domain-containing protein 115</t>
  </si>
  <si>
    <t>Nucleosome assembly protein 1-like 5</t>
  </si>
  <si>
    <t>Isoform 2 of Putative methyltransferase NSUN5</t>
  </si>
  <si>
    <t>Regulation of nuclear pre-mRNA domain-containing protein 1A</t>
  </si>
  <si>
    <t>Importin-9</t>
  </si>
  <si>
    <t>Discoidin, CUB and LCCL domain-containing protein 2</t>
  </si>
  <si>
    <t>Methylmalonyl-CoA epimerase, mitochondrial</t>
  </si>
  <si>
    <t>RNA-binding protein 14</t>
  </si>
  <si>
    <t>RING finger and CHY zinc finger domain-containing protein 1</t>
  </si>
  <si>
    <t>E3 ubiquitin-protein ligase UHRF2</t>
  </si>
  <si>
    <t>Isoform 2 of E3 ubiquitin-protein ligase NEDD4-like</t>
  </si>
  <si>
    <t>Isoform 6 of Protein quaking</t>
  </si>
  <si>
    <t>Isoform 2 of Leukocyte receptor cluster member 8</t>
  </si>
  <si>
    <t>Pseudouridylate synthase 7 homolog</t>
  </si>
  <si>
    <t>Protein FAM111A</t>
  </si>
  <si>
    <t>Isoform 3 of Trafficking protein particle complex subunit 9</t>
  </si>
  <si>
    <t>Isoform 2 of CCA tRNA nucleotidyltransferase 1, mitochondrial</t>
  </si>
  <si>
    <t>Isoform 2 of Transmembrane protein 237</t>
  </si>
  <si>
    <t>Alpha-ketoglutarate-dependent dioxygenase alkB homolog 3</t>
  </si>
  <si>
    <t>Serine/threonine-protein phosphatase 1 regulatory subunit 10</t>
  </si>
  <si>
    <t>Proton myo-inositol cotransporter</t>
  </si>
  <si>
    <t>Isoform 1 of Rab-3A-interacting protein</t>
  </si>
  <si>
    <t>Vacuolar protein sorting-associated protein 35</t>
  </si>
  <si>
    <t>Transcriptional activator protein Pur-beta</t>
  </si>
  <si>
    <t>Isoform 6 of Membrane-associated guanylate kinase, WW and PDZ domain-containing protein 1</t>
  </si>
  <si>
    <t>Sperm-associated antigen 5</t>
  </si>
  <si>
    <t>Isoform 2 of Pannexin-1</t>
  </si>
  <si>
    <t>Nucleus accumbens-associated protein 1</t>
  </si>
  <si>
    <t>PAS domain-containing serine/threonine-protein kinase</t>
  </si>
  <si>
    <t>Isoform 4 of Vacuolar protein sorting-associated protein 13A</t>
  </si>
  <si>
    <t>Isoform 3 of Mediator of RNA polymerase II transcription subunit 15</t>
  </si>
  <si>
    <t>Elongation factor G, mitochondrial</t>
  </si>
  <si>
    <t>Twinkle protein, mitochondrial</t>
  </si>
  <si>
    <t>Isoform 2 of Calcium/calmodulin-dependent protein kinase kinase 2</t>
  </si>
  <si>
    <t>Trimethylguanosine synthase</t>
  </si>
  <si>
    <t>NudC domain-containing protein 1</t>
  </si>
  <si>
    <t>Isoform 7 of Protein LAP2</t>
  </si>
  <si>
    <t>UPF0585 protein C16orf13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</si>
  <si>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</si>
  <si>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</si>
  <si>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</si>
  <si>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</si>
  <si>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</si>
  <si>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</si>
  <si>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</si>
  <si>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Cyclin-L2</t>
  </si>
  <si>
    <t>Myeloid-associated differentiation marker</t>
  </si>
  <si>
    <t>Pleckstrin homology domain-containing family F member 1</t>
  </si>
  <si>
    <t>Neurabin-2</t>
  </si>
  <si>
    <t>SRSF protein kinase 1</t>
  </si>
  <si>
    <t>Structural maintenance of chromosomes protein 6</t>
  </si>
  <si>
    <t>Isoform 2 of Spermatid perinuclear RNA-binding protein</t>
  </si>
  <si>
    <t>Isoform 2 of Transmembrane protein 209</t>
  </si>
  <si>
    <t>Protein orai-2</t>
  </si>
  <si>
    <t>Protein IWS1 homolog</t>
  </si>
  <si>
    <t>Paired amphipathic helix protein Sin3a</t>
  </si>
  <si>
    <t>2-aminoethanethiol dioxygenase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</si>
  <si>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</si>
  <si>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</si>
  <si>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</si>
  <si>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</si>
  <si>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</si>
  <si>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Sodium/hydrogen exchanger 7</t>
  </si>
  <si>
    <t>E3 ubiquitin-protein ligase UHRF1</t>
  </si>
  <si>
    <t>Isoform 2 of 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</si>
  <si>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</si>
  <si>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</si>
  <si>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</si>
  <si>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</si>
  <si>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</si>
  <si>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</si>
  <si>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</si>
  <si>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</si>
  <si>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</si>
  <si>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</si>
  <si>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</si>
  <si>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</si>
  <si>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</si>
  <si>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Isoform 2 of Arf-GAP with GTPase, ANK repeat and PH domain-containing protein 2</t>
  </si>
  <si>
    <t>E3 ubiquitin-protein ligase RING2</t>
  </si>
  <si>
    <t>Protein DJ-1</t>
  </si>
  <si>
    <t>GAS2-like protein 1</t>
  </si>
  <si>
    <t>Sialidase-1</t>
  </si>
  <si>
    <t>Sortilin</t>
  </si>
  <si>
    <t>Synaptic vesicle membrane protein VAT-1 homolog</t>
  </si>
  <si>
    <t>DnaJ homolog subfamily C member 2</t>
  </si>
  <si>
    <t>M-phase phosphoprotein 8</t>
  </si>
  <si>
    <t>Nuclear pore complex protein Nup88</t>
  </si>
  <si>
    <t>Phosphoinositide 3-kinase regulatory subunit 4</t>
  </si>
  <si>
    <t>Ribonucleases P/MRP protein subunit POP1</t>
  </si>
  <si>
    <t>Mitochondrial import inner membrane translocase subunit Tim17-A</t>
  </si>
  <si>
    <t>Translin-associated protein X</t>
  </si>
  <si>
    <t>Necdin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</si>
  <si>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</si>
  <si>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</si>
  <si>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</si>
  <si>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</si>
  <si>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</si>
  <si>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</si>
  <si>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Pre-mRNA-splicing factor 18</t>
  </si>
  <si>
    <t>Cell cycle checkpoint control protein RAD9A</t>
  </si>
  <si>
    <t>Isoform 5 of Succinate dehydrogenase cytochrome b560 subunit, mitochondrial</t>
  </si>
  <si>
    <t>Calcineurin B homologous protein 1</t>
  </si>
  <si>
    <t>Kinesin-like protein KIF2C</t>
  </si>
  <si>
    <t>Docking protein 1</t>
  </si>
  <si>
    <t>Methionine synthase</t>
  </si>
  <si>
    <t>3-hydroxyacyl-CoA dehydrogenase type-2</t>
  </si>
  <si>
    <t>Septin-5</t>
  </si>
  <si>
    <t>Isoform 4 of Sigma non-opioid intracellular receptor 1</t>
  </si>
  <si>
    <t>Nucleosome assembly protein 1-like 4</t>
  </si>
  <si>
    <t>Gamma-soluble NSF attachment protein</t>
  </si>
  <si>
    <t>Thioredoxin, mitochondrial</t>
  </si>
  <si>
    <t>ATP synthase subunit s, mitochondrial</t>
  </si>
  <si>
    <t>Cell surface A33 antigen</t>
  </si>
  <si>
    <t>Mitochondrial intermediate peptidase</t>
  </si>
  <si>
    <t>Transmembrane 9 superfamily member 2</t>
  </si>
  <si>
    <t>Equilibrative nucleoside transporter 1</t>
  </si>
  <si>
    <t>Tumor susceptibility gene 101 protein</t>
  </si>
  <si>
    <t>Copine-1</t>
  </si>
  <si>
    <t>T-complex protein 1 subunit eta</t>
  </si>
  <si>
    <t>AT-rich interactive domain-containing protein 3A</t>
  </si>
  <si>
    <t>Histone H2B type 1-M</t>
  </si>
  <si>
    <t>Isoform 2 of Tyrosine-protein phosphatase non-receptor type 18</t>
  </si>
  <si>
    <t>Endophilin-A2</t>
  </si>
  <si>
    <t>Isoform 4 of Endophilin-A3</t>
  </si>
  <si>
    <t>Serine/threonine-protein kinase VRK1</t>
  </si>
  <si>
    <t>Dihydropyrimidinase-related protein 5</t>
  </si>
  <si>
    <t>Protein NipSnap homolog 1</t>
  </si>
  <si>
    <t>Condensin complex subunit 3</t>
  </si>
  <si>
    <t>Actin-related protein 2/3 complex subunit 5-like protein</t>
  </si>
  <si>
    <t>UPF0415 protein C7orf25</t>
  </si>
  <si>
    <t>Polyadenylate-binding protein-interacting protein 2</t>
  </si>
  <si>
    <t>RNA-binding protein 4B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</si>
  <si>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</si>
  <si>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</si>
  <si>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</si>
  <si>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</si>
  <si>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</si>
  <si>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</si>
  <si>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Evolutionarily conserved signaling intermediate in Toll pathway, mitochondrial</t>
  </si>
  <si>
    <t>Methylosome protein 50</t>
  </si>
  <si>
    <t>Isoform 2 of Uncharacterized protein C17orf62</t>
  </si>
  <si>
    <t>Diphthamide biosynthesis protein 2</t>
  </si>
  <si>
    <t>Isoform 5 of Sentrin-specific protease 7</t>
  </si>
  <si>
    <t>Allograft inflammatory factor 1-like</t>
  </si>
  <si>
    <t>Isoform 2 of Eukaryotic translation initiation factor 2-alpha kinase 1</t>
  </si>
  <si>
    <t>Ankyrin repeat domain-containing protein 32</t>
  </si>
  <si>
    <t>Mitochondrial genome maintenance exonuclease 1</t>
  </si>
  <si>
    <t>FYVE and coiled-coil domain-containing protein 1</t>
  </si>
  <si>
    <t>Acyl-CoA-binding domain-containing protein 6</t>
  </si>
  <si>
    <t>Coronin-1B</t>
  </si>
  <si>
    <t>Isoform 2 of LSM domain-containing protein 1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</si>
  <si>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</si>
  <si>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</si>
  <si>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</si>
  <si>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</si>
  <si>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</si>
  <si>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</si>
  <si>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Isoform 2 of Serine/arginine-rich splicing factor 8</t>
  </si>
  <si>
    <t>Programmed cell death protein 2-like</t>
  </si>
  <si>
    <t>Proteasomal ATPase-associated factor 1</t>
  </si>
  <si>
    <t>Isoform 2 of Partner of Y14 and mago</t>
  </si>
  <si>
    <t>Isoform 2 of ADP-dependent glucokinase</t>
  </si>
  <si>
    <t>G patch domain-containing protein 1</t>
  </si>
  <si>
    <t>Serine/threonine-protein kinase RIO1</t>
  </si>
  <si>
    <t>Mitochondrial nucleoid factor 1</t>
  </si>
  <si>
    <t>Migration and invasion enhancer 1</t>
  </si>
  <si>
    <t>DNA replication complex GINS protein SLD5</t>
  </si>
  <si>
    <t>Suppressor of IKBKE 1</t>
  </si>
  <si>
    <t>Protein pelota homolog</t>
  </si>
  <si>
    <t>DNA replication complex GINS protein PSF3</t>
  </si>
  <si>
    <t>Isoform 2 of Redox-regulatory protein FAM213A</t>
  </si>
  <si>
    <t>WD repeat domain-containing protein 83</t>
  </si>
  <si>
    <t>E3 ubiquitin-protein ligase TRIM56</t>
  </si>
  <si>
    <t>Endoplasmic reticulum resident protein 44</t>
  </si>
  <si>
    <t>Autophagy-related protein 101</t>
  </si>
  <si>
    <t>Cancer-related nucleoside-triphosphatase</t>
  </si>
  <si>
    <t>Homocysteine-responsive endoplasmic reticulum-resident ubiquitin-like domain member 2 protein</t>
  </si>
  <si>
    <t>Uncharacterized protein C19orf52</t>
  </si>
  <si>
    <t>Translational activator of cytochrome c oxidase 1</t>
  </si>
  <si>
    <t>Haloacid dehalogenase-like hydrolase domain-containing protein 3</t>
  </si>
  <si>
    <t>Isoform 3 of Uncharacterized protein C17orf80</t>
  </si>
  <si>
    <t>Extended synaptotagmin-1</t>
  </si>
  <si>
    <t>Solute carrier family 25 member 33</t>
  </si>
  <si>
    <t>Ubiquitin-associated domain-containing protein 1</t>
  </si>
  <si>
    <t>Protein YIPF4</t>
  </si>
  <si>
    <t>UPF0183 protein C16orf70</t>
  </si>
  <si>
    <t>tRNA-splicing endonuclease subunit Sen34</t>
  </si>
  <si>
    <t>Isoform 2 of EF-hand calcium-binding domain-containing protein 4B</t>
  </si>
  <si>
    <t>Protein canopy homolog 3</t>
  </si>
  <si>
    <t>Chitobiosyldiphosphodolichol beta-mannosyltransferase</t>
  </si>
  <si>
    <t>LIM domain-containing protein 2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</si>
  <si>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</si>
  <si>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</si>
  <si>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</si>
  <si>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</si>
  <si>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Trichoplein keratin filament-binding protein</t>
  </si>
  <si>
    <t>Isoform 4 of WW domain-containing adapter protein with coiled-coil</t>
  </si>
  <si>
    <t>Death-inducer obliterator 1</t>
  </si>
  <si>
    <t>Dynactin subunit 5</t>
  </si>
  <si>
    <t>Isoform 2 of Mini-chromosome maintenance complex-binding protein</t>
  </si>
  <si>
    <t>Alanyl-tRNA editing protein Aarsd1</t>
  </si>
  <si>
    <t>DCN1-like protein 5</t>
  </si>
  <si>
    <t>RNMT-activating mini protein</t>
  </si>
  <si>
    <t>Ubiquitin-related modifier 1 homolog</t>
  </si>
  <si>
    <t>Acidic leucine-rich nuclear phosphoprotein 32 family member E</t>
  </si>
  <si>
    <t>Mediator of RNA polymerase II transcription subunit 10</t>
  </si>
  <si>
    <t>Leucine-rich repeat-containing protein 1</t>
  </si>
  <si>
    <t>Phosphatidylinositol 4-kinase type 2-alpha</t>
  </si>
  <si>
    <t>Transmembrane protein 43</t>
  </si>
  <si>
    <t>Fibronectin type III and SPRY domain-containing protein 1</t>
  </si>
  <si>
    <t>WD repeat-containing protein 85</t>
  </si>
  <si>
    <t>CDK5 and ABL1 enzyme substrate 2</t>
  </si>
  <si>
    <t>Isoform 4 of Nucleoporin NDC1</t>
  </si>
  <si>
    <t>Alpha-tocopherol transfer protein-like</t>
  </si>
  <si>
    <t>Protein FAM203A</t>
  </si>
  <si>
    <t>Dehydrogenase/reductase SDR family member 4</t>
  </si>
  <si>
    <t>Thiamine-triphosphatase</t>
  </si>
  <si>
    <t>Isoform 2 of Lipase maturation factor 2</t>
  </si>
  <si>
    <t>NADH dehydrogenase [ubiquinone] 1 alpha subcomplex assembly factor 3</t>
  </si>
  <si>
    <t>Centromere protein O</t>
  </si>
  <si>
    <t>Isoform 3 of Multiple myeloma tumor-associated protein 2</t>
  </si>
  <si>
    <t>Deoxyhypusine hydroxylase</t>
  </si>
  <si>
    <t>Uncharacterized protein C11orf84</t>
  </si>
  <si>
    <t>Isoform 2 of MAP kinase-interacting serine/threonine-protein kinase 1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</si>
  <si>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</si>
  <si>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</si>
  <si>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</si>
  <si>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</si>
  <si>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</si>
  <si>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Ribonuclease P protein subunit p25</t>
  </si>
  <si>
    <t>EF-hand domain-containing protein D1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</si>
  <si>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</si>
  <si>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</si>
  <si>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</si>
  <si>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</si>
  <si>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</si>
  <si>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</si>
  <si>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</si>
  <si>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</si>
  <si>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</si>
  <si>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</si>
  <si>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</si>
  <si>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</si>
  <si>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</si>
  <si>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</si>
  <si>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</si>
  <si>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ER membrane protein complex subunit 6</t>
  </si>
  <si>
    <t>N-terminal Xaa-Pro-Lys N-methyltransferase 1</t>
  </si>
  <si>
    <t>Katanin p80 WD40 repeat-containing subunit B1</t>
  </si>
  <si>
    <t>Sister chromatid cohesion protein DCC1</t>
  </si>
  <si>
    <t>Target of rapamycin complex subunit LST8</t>
  </si>
  <si>
    <t>Ashwin</t>
  </si>
  <si>
    <t>Transmembrane protein 109</t>
  </si>
  <si>
    <t>Nucleolar complex protein 4 homolog</t>
  </si>
  <si>
    <t>U3 small nucleolar RNA-associated protein 14 homolog A</t>
  </si>
  <si>
    <t>Transmembrane emp24 domain-containing protein 9</t>
  </si>
  <si>
    <t>Isoform 3 of Nucleoporin p58/p45</t>
  </si>
  <si>
    <t>Selenoprotein O</t>
  </si>
  <si>
    <t>Protein DPCD</t>
  </si>
  <si>
    <t>Gamma-glutamylaminecyclotransferase</t>
  </si>
  <si>
    <t>Isoform 2 of Guanine nucleotide-binding protein-like 3</t>
  </si>
  <si>
    <t>Spermatogenesis-associated protein 5-like protein 1</t>
  </si>
  <si>
    <t>Serine/threonine-protein kinase RIO2</t>
  </si>
  <si>
    <t>tRNA (adenine(58)-N(1))-methyltransferase, mitochondrial</t>
  </si>
  <si>
    <t>Mitochondrial import inner membrane translocase subunit Tim21</t>
  </si>
  <si>
    <t>TIMELESS-interacting protein</t>
  </si>
  <si>
    <t>Kinesin-like protein KIFC1</t>
  </si>
  <si>
    <t>Nuclear pore complex protein Nup85</t>
  </si>
  <si>
    <t>Elongation of very long chain fatty acids protein 1</t>
  </si>
  <si>
    <t>DET1- and DDB1-associated protein 1</t>
  </si>
  <si>
    <t>Katanin p60 ATPase-containing subunit A-like 1</t>
  </si>
  <si>
    <t>HIRA-interacting protein 3</t>
  </si>
  <si>
    <t>Isoform 3 of 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</si>
  <si>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</si>
  <si>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</si>
  <si>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</si>
  <si>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</si>
  <si>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</si>
  <si>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RNA-binding protein 4</t>
  </si>
  <si>
    <t>Sodium channel modifier 1</t>
  </si>
  <si>
    <t>FUN14 domain-containing protein 2</t>
  </si>
  <si>
    <t>RNA polymerase II-associated protein 1</t>
  </si>
  <si>
    <t>Splicing factor 3B subunit 5</t>
  </si>
  <si>
    <t>Sideroflexin-3</t>
  </si>
  <si>
    <t>Poly(A) polymerase gamma</t>
  </si>
  <si>
    <t>Meiotic nuclear division protein 1 homolog</t>
  </si>
  <si>
    <t>Kanadaptin</t>
  </si>
  <si>
    <t>Isoform 2 of Single-stranded DNA-binding protein 3</t>
  </si>
  <si>
    <t>Protein LSM14 homolog B</t>
  </si>
  <si>
    <t>Tapasin-related protein</t>
  </si>
  <si>
    <t>Fanconi anemia group J protein</t>
  </si>
  <si>
    <t>Isoform 9 of Sorbin and SH3 domain-containing protein 1</t>
  </si>
  <si>
    <t>Junctional adhesion molecule C</t>
  </si>
  <si>
    <t>Histidine triad nucleotide-binding protein 2, mitochondrial</t>
  </si>
  <si>
    <t>BTB/POZ domain-containing protein 2</t>
  </si>
  <si>
    <t>Sphingosine-1-phosphate phosphatase 1</t>
  </si>
  <si>
    <t>Oxysterol-binding protein-related protein 11</t>
  </si>
  <si>
    <t>Rab11 family-interacting protein 5</t>
  </si>
  <si>
    <t>TBC1 domain family member 10A</t>
  </si>
  <si>
    <t>Isoform 2 of Transmembrane protein 120A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</si>
  <si>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</si>
  <si>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</si>
  <si>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</si>
  <si>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</si>
  <si>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</si>
  <si>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Solute carrier family 12 member 9</t>
  </si>
  <si>
    <t>Isoform 4 of Serrate RNA effector molecule homolog</t>
  </si>
  <si>
    <t>Queuine tRNA-ribosyltransferase</t>
  </si>
  <si>
    <t>AP-1 complex subunit mu-1</t>
  </si>
  <si>
    <t>Isoform 2 of Nucleolar and spindle-associated protein 1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</si>
  <si>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</si>
  <si>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</si>
  <si>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</si>
  <si>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</si>
  <si>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Protein MAK16 homolog</t>
  </si>
  <si>
    <t>Protein DGCR6L</t>
  </si>
  <si>
    <t>Inosine triphosphate pyrophosphatase</t>
  </si>
  <si>
    <t>Protein RTF2 homolog</t>
  </si>
  <si>
    <t>Charged multivesicular body protein 4a</t>
  </si>
  <si>
    <t>Eukaryotic translation initiation factor 2A</t>
  </si>
  <si>
    <t>Peroxisomal trans-2-enoyl-CoA reductase</t>
  </si>
  <si>
    <t>Isoform 2 of Cell adhesion molecule 1</t>
  </si>
  <si>
    <t>Polymerase delta-interacting protein 3</t>
  </si>
  <si>
    <t>Guanine nucleotide-binding protein subunit beta-like protein 1</t>
  </si>
  <si>
    <t>Alpha-(1,6)-fucosyltransferase</t>
  </si>
  <si>
    <t>39S ribosomal protein L32, mitochondrial</t>
  </si>
  <si>
    <t>39S ribosomal protein L1, mitochondrial</t>
  </si>
  <si>
    <t>MKI67 FHA domain-interacting nucleolar phosphoprotein</t>
  </si>
  <si>
    <t>Partitioning defective 6 homolog beta</t>
  </si>
  <si>
    <t>RanBP-type and C3HC4-type zinc finger-containing protein 1</t>
  </si>
  <si>
    <t>28S ribosomal protein S26, mitochondrial</t>
  </si>
  <si>
    <t>Serine/threonine-protein kinase 33</t>
  </si>
  <si>
    <t>Neurolysin, mitochondrial</t>
  </si>
  <si>
    <t>Centrosomal protein of 41 kDa</t>
  </si>
  <si>
    <t>Histone-lysine N-methyltransferase SETD2</t>
  </si>
  <si>
    <t>Isoform 2 of Pantothenate kinase 2, mitochondrial</t>
  </si>
  <si>
    <t>Isoform 2 of FERM domain-containing protein 8</t>
  </si>
  <si>
    <t>Isoform 3 of Histone-lysine N-methyltransferase NSD3</t>
  </si>
  <si>
    <t>Putative gamma-taxilin 2</t>
  </si>
  <si>
    <t>Kinetochore protein Nuf2</t>
  </si>
  <si>
    <t>39S ribosomal protein L37, mitochondrial</t>
  </si>
  <si>
    <t>tRNA pseudouridine(38/39) synthase</t>
  </si>
  <si>
    <t>Nucleolar GTP-binding protein 1</t>
  </si>
  <si>
    <t>Tether containing UBX domain for GLUT4</t>
  </si>
  <si>
    <t>Isoform 3 of Oxysterol-binding protein-related protein 8</t>
  </si>
  <si>
    <t>WD repeat-containing protein 11</t>
  </si>
  <si>
    <t>Isoform 2 of Regulator of nonsense transcripts 3B</t>
  </si>
  <si>
    <t>F-box-like/WD repeat-containing protein TBL1XR1</t>
  </si>
  <si>
    <t>Ubiquitin-like protein 5</t>
  </si>
  <si>
    <t>Group XIIA secretory phospholipase A2</t>
  </si>
  <si>
    <t>NKG2D ligand 2</t>
  </si>
  <si>
    <t>Uridine-cytidine kinase 2</t>
  </si>
  <si>
    <t>Apoptosis inhibitor 5</t>
  </si>
  <si>
    <t>Isoform 2 of Apoptosis inhibitor 5</t>
  </si>
  <si>
    <t>Protein dpy-30 homolog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</si>
  <si>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</si>
  <si>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</si>
  <si>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</si>
  <si>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</si>
  <si>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</si>
  <si>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</si>
  <si>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</si>
  <si>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Ubiquitin-conjugating enzyme E2 O</t>
  </si>
  <si>
    <t>Protein zyg-11 homolog B</t>
  </si>
  <si>
    <t>Isoform 2 of Protein tweety homolog 3</t>
  </si>
  <si>
    <t>Myotubularin-related protein 12</t>
  </si>
  <si>
    <t>pre-mRNA 3 end processing protein WDR33</t>
  </si>
  <si>
    <t>Isoform 2 of B-cell lymphoma/leukemia 11B</t>
  </si>
  <si>
    <t>Isoform 2 of Zinc transporter ZIP8</t>
  </si>
  <si>
    <t>Ribosome biogenesis protein WDR12</t>
  </si>
  <si>
    <t>Actin-related protein 6</t>
  </si>
  <si>
    <t>UPF0687 protein C20orf27</t>
  </si>
  <si>
    <t>PITH domain-containing protein 1</t>
  </si>
  <si>
    <t>Derlin-2</t>
  </si>
  <si>
    <t>COMM domain-containing protein 5</t>
  </si>
  <si>
    <t>Isoform 2 of DNA-directed RNA polymerase I subunit RPA49</t>
  </si>
  <si>
    <t>WD repeat-containing protein 61</t>
  </si>
  <si>
    <t>Isoform 2 of SRA stem-loop-interacting RNA-binding protein, mitochondrial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</si>
  <si>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</si>
  <si>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</si>
  <si>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</si>
  <si>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</si>
  <si>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</si>
  <si>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Isoform 2 of Mitochondrial fission factor</t>
  </si>
  <si>
    <t>Isoform 4 of Mitochondrial fission factor</t>
  </si>
  <si>
    <t>Ubiquitin-like modifier-activating enzyme 5</t>
  </si>
  <si>
    <t>Phospholysine phosphohistidine inorganic pyrophosphate phosphatase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</si>
  <si>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</si>
  <si>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</si>
  <si>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</si>
  <si>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</si>
  <si>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Protein MIS12 homolog</t>
  </si>
  <si>
    <t>Ras-related protein Rab-33B</t>
  </si>
  <si>
    <t>Large subunit GTPase 1 homolog</t>
  </si>
  <si>
    <t>N-acetyltransferase 10</t>
  </si>
  <si>
    <t>COMM domain-containing protein 4</t>
  </si>
  <si>
    <t>Kinesin light chain 2</t>
  </si>
  <si>
    <t>Integrin-linked kinase-associated serine/threonine phosphatase 2C</t>
  </si>
  <si>
    <t>5-3 exoribonuclease 2</t>
  </si>
  <si>
    <t>Toll-interacting protein</t>
  </si>
  <si>
    <t>Isoform 2 of Sharpin</t>
  </si>
  <si>
    <t>ADP-ribosylation factor-like protein 6</t>
  </si>
  <si>
    <t>Nuclear speckle splicing regulatory protein 1</t>
  </si>
  <si>
    <t>Rac GTPase-activating protein 1</t>
  </si>
  <si>
    <t>Pseudouridylate synthase 7 homolog-like protein</t>
  </si>
  <si>
    <t>Cleavage stimulation factor subunit 2 tau variant</t>
  </si>
  <si>
    <t>Cytosolic 5-nucleotidase 3A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</si>
  <si>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</si>
  <si>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</si>
  <si>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</si>
  <si>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Magnesium transporter protein 1</t>
  </si>
  <si>
    <t>Ras-related protein Rab-1B</t>
  </si>
  <si>
    <t>39S ribosomal protein L18, mitochondrial</t>
  </si>
  <si>
    <t>VIP36-like protein</t>
  </si>
  <si>
    <t>Protein SMG9</t>
  </si>
  <si>
    <t>Ester hydrolase C11orf54</t>
  </si>
  <si>
    <t>Protein ITFG3</t>
  </si>
  <si>
    <t>Deoxynucleotidyltransferase terminal-interacting protein 1</t>
  </si>
  <si>
    <t>Nucleotide exchange factor SIL1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</si>
  <si>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</si>
  <si>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</si>
  <si>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</si>
  <si>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</si>
  <si>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Thioredoxin-related transmembrane protein 4</t>
  </si>
  <si>
    <t>Isoform 3 of Activating signal cointegrator 1 complex subunit 2</t>
  </si>
  <si>
    <t>Isoform 2 of Regulator of nonsense transcripts 3A</t>
  </si>
  <si>
    <t>Rabenosyn-5</t>
  </si>
  <si>
    <t>Mesoderm development candidate 1</t>
  </si>
  <si>
    <t>Solute carrier family 25 member 51</t>
  </si>
  <si>
    <t>Isoform 3 of DnaJ homolog subfamily C member 25</t>
  </si>
  <si>
    <t>Autophagy protein 5</t>
  </si>
  <si>
    <t>WD repeat-containing protein 13</t>
  </si>
  <si>
    <t>Mediator of RNA polymerase II transcription subunit 28</t>
  </si>
  <si>
    <t>EH domain-containing protein 4</t>
  </si>
  <si>
    <t>Uncharacterized protein C1orf21</t>
  </si>
  <si>
    <t>Isoform 4 of Spectrin beta chain, non-erythrocytic 4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</si>
  <si>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</si>
  <si>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</si>
  <si>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</si>
  <si>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</si>
  <si>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Mitochondrial folate transporter/carrier</t>
  </si>
  <si>
    <t>Isoform 1 of TRIO and F-actin-binding protein</t>
  </si>
  <si>
    <t>Isoform 2 of STE20-like serine/threonine-protein kinase</t>
  </si>
  <si>
    <t>Peptidyl-prolyl cis-trans isomerase-like 3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</si>
  <si>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</si>
  <si>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</si>
  <si>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</si>
  <si>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</si>
  <si>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</si>
  <si>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Diphthine synthase</t>
  </si>
  <si>
    <t>Inorganic pyrophosphatase 2, mitochondrial</t>
  </si>
  <si>
    <t>39S ribosomal protein L46, mitochondrial</t>
  </si>
  <si>
    <t>Presenilins-associated rhomboid-like protein, mitochondrial</t>
  </si>
  <si>
    <t>Pinin</t>
  </si>
  <si>
    <t>Isoform 2 of Transmembrane protein 245</t>
  </si>
  <si>
    <t>Gametogenetin-binding protein 2</t>
  </si>
  <si>
    <t>BTB/POZ domain-containing adapter for CUL3-mediated RhoA degradation protein 3</t>
  </si>
  <si>
    <t>Probable serine carboxypeptidase CPVL</t>
  </si>
  <si>
    <t>tRNA dimethylallyltransferase, mitochondrial</t>
  </si>
  <si>
    <t>Isoform 2 of UPF0696 protein C11orf68</t>
  </si>
  <si>
    <t>Isoform 2 of UDP-N-acetylglucosamine--dolichyl-phosphate N-acetylglucosaminephosphotransferase</t>
  </si>
  <si>
    <t>BolA-like protein 2</t>
  </si>
  <si>
    <t>Thioredoxin-related transmembrane protein 1</t>
  </si>
  <si>
    <t>Negative elongation factor A</t>
  </si>
  <si>
    <t>Golgi resident protein GCP60</t>
  </si>
  <si>
    <t>Centromere protein H</t>
  </si>
  <si>
    <t>GPI mannosyltransferase 1</t>
  </si>
  <si>
    <t>Tyrosine-protein phosphatase non-receptor type 23</t>
  </si>
  <si>
    <t>Isoform 2 of Protein unc-45 homolog A</t>
  </si>
  <si>
    <t>Isoform 3 of Major facilitator superfamily domain-containing protein 1</t>
  </si>
  <si>
    <t>Isoform 2 of DnaJ homolog subfamily C member 5</t>
  </si>
  <si>
    <t>Lck-interacting transmembrane adapter 1</t>
  </si>
  <si>
    <t>Kinetochore-associated protein DSN1 homolog</t>
  </si>
  <si>
    <t>Uncharacterized protein C1orf198</t>
  </si>
  <si>
    <t>Charged multivesicular body protein 4b</t>
  </si>
  <si>
    <t>CUE domain-containing protein 2</t>
  </si>
  <si>
    <t>Ribokinase</t>
  </si>
  <si>
    <t>GDP-fucose protein O-fucosyltransferase 1</t>
  </si>
  <si>
    <t>Isoform 2 of Phosphatidylinositol glycan anchor biosynthesis class U protein</t>
  </si>
  <si>
    <t>15 kDa interferon-responsive protein</t>
  </si>
  <si>
    <t>Torsin-3A</t>
  </si>
  <si>
    <t>Aminopeptidase B</t>
  </si>
  <si>
    <t>Golgi phosphoprotein 3-like</t>
  </si>
  <si>
    <t>Golgi phosphoprotein 3</t>
  </si>
  <si>
    <t>Probable tRNA threonylcarbamoyladenosine biosynthesis protein OSGEPL1</t>
  </si>
  <si>
    <t>Differentially expressed in FDCP 6 homolog</t>
  </si>
  <si>
    <t>Golgi-associated plant pathogenesis-related protein 1</t>
  </si>
  <si>
    <t>Isoform 2 of Protein FAM83D</t>
  </si>
  <si>
    <t>Zinc fingers and homeoboxes protein 3</t>
  </si>
  <si>
    <t>Isoform 1b of Oxysterol-binding protein-related protein 3</t>
  </si>
  <si>
    <t>Isoform 2 of SWI/SNF-related matrix-associated actin-dependent regulator of chromatin subfamily A containing DEAD/H box 1</t>
  </si>
  <si>
    <t>EH domain-containing protein 1</t>
  </si>
  <si>
    <t>Isoform 2 of Regulator of cell cycle RGCC</t>
  </si>
  <si>
    <t>Phosphorylated CTD-interacting factor 1</t>
  </si>
  <si>
    <t>ESF1 homolog</t>
  </si>
  <si>
    <t>Alpha-1,3/1,6-mannosyltransferase ALG2</t>
  </si>
  <si>
    <t>HEAT repeat-containing protein 1</t>
  </si>
  <si>
    <t>Probable inactive protein kinase-like protein SgK196</t>
  </si>
  <si>
    <t>Rab GTPase-binding effector protein 2</t>
  </si>
  <si>
    <t>Dimethyladenosine transferase 2, mitochondrial</t>
  </si>
  <si>
    <t>Isoform 3 of UPF0428 protein CXorf56</t>
  </si>
  <si>
    <t>MIP18 family protein FAM96A</t>
  </si>
  <si>
    <t>HAUS augmin-like complex subunit 4</t>
  </si>
  <si>
    <t>Coiled-coil domain-containing protein 134</t>
  </si>
  <si>
    <t>Coiled-coil domain-containing protein 86</t>
  </si>
  <si>
    <t>Receptor expression-enhancing protein 4</t>
  </si>
  <si>
    <t>Optic atrophy 3 protein</t>
  </si>
  <si>
    <t>Transmembrane protein 231</t>
  </si>
  <si>
    <t>Protein FAM134B</t>
  </si>
  <si>
    <t>Threonine aspartase 1</t>
  </si>
  <si>
    <t>Cytosolic Fe-S cluster assembly factor NARFL</t>
  </si>
  <si>
    <t>Acyl-CoA synthetase short-chain family member 3, mitochondrial</t>
  </si>
  <si>
    <t>Isoform 4 of Nucleolar protein 6</t>
  </si>
  <si>
    <t>Isoform 2 of Palmitoyltransferase ZDHHC6</t>
  </si>
  <si>
    <t>Probable ATP-dependent RNA helicase YTHDC2</t>
  </si>
  <si>
    <t>RNA polymerase II-associated protein 3</t>
  </si>
  <si>
    <t>Isoform 1 of Breast carcinoma-amplified sequence 3</t>
  </si>
  <si>
    <t>Alpha-1,2-mannosyltransferase ALG9</t>
  </si>
  <si>
    <t>Bifunctional lysine-specific demethylase and histidyl-hydroxylase NO66</t>
  </si>
  <si>
    <t>Anthrax toxin receptor 1</t>
  </si>
  <si>
    <t>WD repeat-containing protein 55</t>
  </si>
  <si>
    <t>Isoform 3 of Ran-binding protein 3</t>
  </si>
  <si>
    <t>UPF0454 protein C12orf49</t>
  </si>
  <si>
    <t>dCTP pyrophosphatase 1</t>
  </si>
  <si>
    <t>Zinc phosphodiesterase ELAC protein 1</t>
  </si>
  <si>
    <t>Histone-lysine N-methyltransferase SMYD3</t>
  </si>
  <si>
    <t>Isoform 2 of WD repeat-containing protein 26</t>
  </si>
  <si>
    <t>Isoform 3 of Tudor domain-containing protein 3</t>
  </si>
  <si>
    <t>UPF0488 protein C8orf33</t>
  </si>
  <si>
    <t>Probable cation-transporting ATPase 13A3</t>
  </si>
  <si>
    <t>Isoform 3 of Methyltransferase-like protein 17, mitochondrial</t>
  </si>
  <si>
    <t>Protein phosphatase 1 regulatory subunit 3E</t>
  </si>
  <si>
    <t>Sin3 histone deacetylase corepressor complex component SDS3</t>
  </si>
  <si>
    <t>Platelet receptor Gi24</t>
  </si>
  <si>
    <t>Isoform 3 of Serine-rich coiled-coil domain-containing protein 2</t>
  </si>
  <si>
    <t>Zinc finger protein 696</t>
  </si>
  <si>
    <t>Protein NRDE2 homolog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</si>
  <si>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</si>
  <si>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</si>
  <si>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</si>
  <si>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</si>
  <si>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</si>
  <si>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</si>
  <si>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</si>
  <si>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</si>
  <si>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Protein RMD5 homolog A</t>
  </si>
  <si>
    <t>PRKR-interacting protein 1</t>
  </si>
  <si>
    <t>Caspase activity and apoptosis inhibitor 1</t>
  </si>
  <si>
    <t>Nucleolar protein 11</t>
  </si>
  <si>
    <t>Uncharacterized protein C10orf88</t>
  </si>
  <si>
    <t>Isoform 3 of Metal transporter CNNM2</t>
  </si>
  <si>
    <t>Protein FAM188A</t>
  </si>
  <si>
    <t>Polyprenol reductase</t>
  </si>
  <si>
    <t>MOB kinase activator 1A</t>
  </si>
  <si>
    <t>AN1-type zinc finger protein 3</t>
  </si>
  <si>
    <t>Protein FAM204A</t>
  </si>
  <si>
    <t>Golgi reassembly-stacking protein 2</t>
  </si>
  <si>
    <t>Protein zwilch homolog</t>
  </si>
  <si>
    <t>Isoform 1 of Probable bifunctional methylenetetrahydrofolate dehydrogenase/cyclohydrolase 2</t>
  </si>
  <si>
    <t>Isoform 2 of Hematological and neurological expressed 1-like protein</t>
  </si>
  <si>
    <t>Mitochondrial glutamate carrier 1</t>
  </si>
  <si>
    <t>Mediator of RNA polymerase II transcription subunit 20</t>
  </si>
  <si>
    <t>Queuine tRNA-ribosyltransferase subunit QTRTD1</t>
  </si>
  <si>
    <t>WD repeat-containing protein 54</t>
  </si>
  <si>
    <t>Actin-related protein 8</t>
  </si>
  <si>
    <t>UPF0364 protein C6orf211</t>
  </si>
  <si>
    <t>Pantothenate kinase 3</t>
  </si>
  <si>
    <t>Isoform 2 of CCR4-NOT transcription complex subunit 10</t>
  </si>
  <si>
    <t>Leucine-rich repeat-containing protein 40</t>
  </si>
  <si>
    <t>Sideroflexin-1</t>
  </si>
  <si>
    <t>Actin-related protein 5</t>
  </si>
  <si>
    <t>Vacuolar protein sorting-associated protein 37B</t>
  </si>
  <si>
    <t>39S ribosomal protein L44, mitochondrial</t>
  </si>
  <si>
    <t>L-2-hydroxyglutarate dehydrogenase, mitochondrial</t>
  </si>
  <si>
    <t>Non-homologous end-joining factor 1</t>
  </si>
  <si>
    <t>Fukutin-related protein</t>
  </si>
  <si>
    <t>Isoform 2 of Elongator complex protein 3</t>
  </si>
  <si>
    <t>GPN-loop GTPase 2</t>
  </si>
  <si>
    <t>DNA-directed RNA polymerase I subunit RPA2</t>
  </si>
  <si>
    <t>Isoform 3 of Uridine-cytidine kinase 1</t>
  </si>
  <si>
    <t>Ketosamine-3-kinase</t>
  </si>
  <si>
    <t>TBC1 domain family member 17</t>
  </si>
  <si>
    <t>Probable cysteine--tRNA ligase, mitochondrial</t>
  </si>
  <si>
    <t>Radical S-adenosyl methionine domain-containing protein 1, mitochondrial</t>
  </si>
  <si>
    <t>Phosphopantothenate--cysteine ligase</t>
  </si>
  <si>
    <t>WD repeat-containing protein 41</t>
  </si>
  <si>
    <t>Isoform 2 of Chromatin modification-related protein MEAF6</t>
  </si>
  <si>
    <t>Histone deacetylase complex subunit SAP30L</t>
  </si>
  <si>
    <t>Nicotinamide mononucleotide adenylyltransferase 1</t>
  </si>
  <si>
    <t>Isoform 2 of Sialate O-acetylesterase</t>
  </si>
  <si>
    <t>E3 ubiquitin-protein ligase pellino homolog 2</t>
  </si>
  <si>
    <t>Regulator of nonsense transcripts 2</t>
  </si>
  <si>
    <t>Exportin-5</t>
  </si>
  <si>
    <t>GrpE protein homolog 1, mitochondrial</t>
  </si>
  <si>
    <t>Claspin</t>
  </si>
  <si>
    <t>UPF0160 protein MYG1, mitochondrial</t>
  </si>
  <si>
    <t>Bcl-2-like protein 12</t>
  </si>
  <si>
    <t>Pleckstrin homology domain-containing family A member 2</t>
  </si>
  <si>
    <t>Pleckstrin homology domain-containing family A member 3</t>
  </si>
  <si>
    <t>Pleckstrin homology domain-containing family A member 1</t>
  </si>
  <si>
    <t>Retinoid-inducible serine carboxypeptidase</t>
  </si>
  <si>
    <t>Calcyclin-binding protein</t>
  </si>
  <si>
    <t>Ras-related GTP-binding protein C</t>
  </si>
  <si>
    <t>SMARCA4 isoform 2</t>
  </si>
  <si>
    <t>Zinc finger FYVE domain-containing protein 1</t>
  </si>
  <si>
    <t>Rho-related GTP-binding protein RhoF</t>
  </si>
  <si>
    <t>Peptide deformylase, mitochondrial</t>
  </si>
  <si>
    <t>Retinol dehydrogenase 14</t>
  </si>
  <si>
    <t>Gamma-parvin</t>
  </si>
  <si>
    <t>Plasminogen receptor (KT)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</si>
  <si>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</si>
  <si>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</si>
  <si>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</si>
  <si>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</si>
  <si>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Putative sodium-coupled neutral amino acid transporter 10</t>
  </si>
  <si>
    <t>Ethanolamine kinase 1</t>
  </si>
  <si>
    <t>Mitochondrial thiamine pyrophosphate carrier</t>
  </si>
  <si>
    <t>Echinoderm microtubule-associated protein-like 4</t>
  </si>
  <si>
    <t>RNA methyltransferase-like protein 1</t>
  </si>
  <si>
    <t>Isoform 2 of Glyoxalase domain-containing protein 4</t>
  </si>
  <si>
    <t>Vasculin-like protein 1</t>
  </si>
  <si>
    <t>Chromobox protein homolog 8</t>
  </si>
  <si>
    <t>Methylcrotonoyl-CoA carboxylase beta chain, mitochondrial</t>
  </si>
  <si>
    <t>Isoform 5 of Lateral signaling target protein 2 homolog</t>
  </si>
  <si>
    <t>Nuclear receptor coactivator 5</t>
  </si>
  <si>
    <t>Protein TANC2</t>
  </si>
  <si>
    <t>Putative helicase MOV-10</t>
  </si>
  <si>
    <t>Methyltransferase-like protein 14</t>
  </si>
  <si>
    <t>Progressive ankylosis protein homolog</t>
  </si>
  <si>
    <t>Isoform 2 of Ribonucleoprotein PTB-binding 2</t>
  </si>
  <si>
    <t>Chromodomain-helicase-DNA-binding protein 8</t>
  </si>
  <si>
    <t>Zinc finger protein 14 homolog</t>
  </si>
  <si>
    <t>Transmembrane protein 8A</t>
  </si>
  <si>
    <t>GPN-loop GTPase 1</t>
  </si>
  <si>
    <t>Stromal cell-derived factor 2-like protein 1</t>
  </si>
  <si>
    <t>Isoform 1S of Casein kinase I isoform gamma-1</t>
  </si>
  <si>
    <t>Prolactin regulatory element-binding protein</t>
  </si>
  <si>
    <t>Steroid receptor RNA activator 1</t>
  </si>
  <si>
    <t>Isoform B of Probable cation-transporting ATPase 13A1</t>
  </si>
  <si>
    <t>Golgi-associated PDZ and coiled-coil motif-containing protein</t>
  </si>
  <si>
    <t>LYR motif-containing protein 4</t>
  </si>
  <si>
    <t>O-phosphoseryl-tRNA(Sec) selenium transferase</t>
  </si>
  <si>
    <t>Transmembrane 9 superfamily member 3</t>
  </si>
  <si>
    <t>Ran guanine nucleotide release factor</t>
  </si>
  <si>
    <t>Junctophilin-1</t>
  </si>
  <si>
    <t>Adipocyte plasma membrane-associated protein</t>
  </si>
  <si>
    <t>Isoform 2 of ATP-binding cassette sub-family B member 6, mitochondrial</t>
  </si>
  <si>
    <t>High mobility group protein 20A</t>
  </si>
  <si>
    <t>Ras-related protein Rab-18</t>
  </si>
  <si>
    <t>Isoform 2 of UDP-N-acetylglucosamine transferase subunit ALG13 homolog</t>
  </si>
  <si>
    <t>RNA polymerase II subunit A C-terminal domain phosphatase SSU72</t>
  </si>
  <si>
    <t>Vacuolar protein sorting-associated protein VTA1 homolog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</si>
  <si>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</si>
  <si>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</si>
  <si>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</si>
  <si>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</si>
  <si>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</si>
  <si>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</si>
  <si>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Neuritin</t>
  </si>
  <si>
    <t>Ubiquitin-conjugating enzyme E2 T</t>
  </si>
  <si>
    <t>H/ACA ribonucleoprotein complex subunit 3</t>
  </si>
  <si>
    <t>CD320 antigen</t>
  </si>
  <si>
    <t>Probable tRNA threonylcarbamoyladenosine biosynthesis protein OSGEP</t>
  </si>
  <si>
    <t>DNA methyltransferase 1-associated protein 1</t>
  </si>
  <si>
    <t>Lysophosphatidic acid phosphatase type 6</t>
  </si>
  <si>
    <t>Interleukin-1 receptor accessory protein</t>
  </si>
  <si>
    <t>mRNA-decapping enzyme 1A</t>
  </si>
  <si>
    <t>Isoform 2 of Acyl-coenzyme A thioesterase 13</t>
  </si>
  <si>
    <t>Isoform 3 of NTF2-related export protein 2</t>
  </si>
  <si>
    <t>Translocase of inner mitochondrial membrane domain-containing protein 1</t>
  </si>
  <si>
    <t>Isoform 4 of Synembryn-A</t>
  </si>
  <si>
    <t>Protein GPR108</t>
  </si>
  <si>
    <t>Isoform 3 of Probable cation-transporting ATPase 13A2</t>
  </si>
  <si>
    <t>Putative RNA-binding protein Luc7-like 1</t>
  </si>
  <si>
    <t>Transmembrane protein 9B</t>
  </si>
  <si>
    <t>Isoform 2 of Suppressor of SWI4 1 homolog</t>
  </si>
  <si>
    <t>Fructose-2,6-bisphosphatase TIGAR</t>
  </si>
  <si>
    <t>Histidine triad nucleotide-binding protein 3</t>
  </si>
  <si>
    <t>Protein MANBAL</t>
  </si>
  <si>
    <t>Regulation of nuclear pre-mRNA domain-containing protein 1B</t>
  </si>
  <si>
    <t>Isoform 2 of Probable Xaa-Pro aminopeptidase 3</t>
  </si>
  <si>
    <t>Ras-related GTP-binding protein D</t>
  </si>
  <si>
    <t>Prefoldin subunit 4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</si>
  <si>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</si>
  <si>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</si>
  <si>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</si>
  <si>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</si>
  <si>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</si>
  <si>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</si>
  <si>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</si>
  <si>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Gephyrin</t>
  </si>
  <si>
    <t>Bridging integrator 3</t>
  </si>
  <si>
    <t>Something about silencing protein 10</t>
  </si>
  <si>
    <t>StAR-related lipid transfer protein 7, mitochondrial</t>
  </si>
  <si>
    <t>Isoform 3 of Zinc finger C4H2 domain-containing protein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</si>
  <si>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</si>
  <si>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</si>
  <si>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</si>
  <si>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</si>
  <si>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</si>
  <si>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</si>
  <si>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</si>
  <si>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</si>
  <si>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Basic leucine zipper transcriptional factor ATF-like 3</t>
  </si>
  <si>
    <t>Peroxisomal membrane protein 2</t>
  </si>
  <si>
    <t>Sialin</t>
  </si>
  <si>
    <t>Carbohydrate sulfotransferase 12</t>
  </si>
  <si>
    <t>DNA polymerase epsilon subunit 3</t>
  </si>
  <si>
    <t>Chromatin accessibility complex protein 1</t>
  </si>
  <si>
    <t>N-lysine methyltransferase SMYD2</t>
  </si>
  <si>
    <t>Isoform 2 of Epimerase family protein SDR39U1</t>
  </si>
  <si>
    <t>Aladin</t>
  </si>
  <si>
    <t>Yae1 domain-containing protein 1</t>
  </si>
  <si>
    <t>ATP-binding cassette sub-family B member 10, mitochondrial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</si>
  <si>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</si>
  <si>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</si>
  <si>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</si>
  <si>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</si>
  <si>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</si>
  <si>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</si>
  <si>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Protein ACN9 homolog, mitochondrial</t>
  </si>
  <si>
    <t>Ubiquilin-4</t>
  </si>
  <si>
    <t>CDC42 small effector protein 1</t>
  </si>
  <si>
    <t>Sorting nexin-15</t>
  </si>
  <si>
    <t>Heme-binding protein 1</t>
  </si>
  <si>
    <t>Ras-related protein Rab-6B</t>
  </si>
  <si>
    <t>Vacuolar protein sorting-associated protein 45</t>
  </si>
  <si>
    <t>RNA-binding protein PNO1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</si>
  <si>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</si>
  <si>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</si>
  <si>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</si>
  <si>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</si>
  <si>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</si>
  <si>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</si>
  <si>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</si>
  <si>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</si>
  <si>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Isoform 2 of Lymphoid-specific helicase</t>
  </si>
  <si>
    <t>Mitochondrial import receptor subunit TOM22 homolog</t>
  </si>
  <si>
    <t>LanC-like protein 2</t>
  </si>
  <si>
    <t>Kinesin-like protein KIF15</t>
  </si>
  <si>
    <t>E3 ubiquitin-protein ligase RAD18</t>
  </si>
  <si>
    <t>Transmembrane 7 superfamily member 3</t>
  </si>
  <si>
    <t>Beta-catenin-interacting protein 1</t>
  </si>
  <si>
    <t>Isoform 2 of Homer protein homolog 2</t>
  </si>
  <si>
    <t>Isoform 5 of Homer protein homolog 3</t>
  </si>
  <si>
    <t>Phenylalanine--tRNA ligase beta subunit</t>
  </si>
  <si>
    <t>Isoleucine--tRNA ligase, mitochondrial</t>
  </si>
  <si>
    <t>Uncharacterized protein C1orf112</t>
  </si>
  <si>
    <t>Isoform B of Protein FAM207A</t>
  </si>
  <si>
    <t>Isoform 3 of SAM domain-containing protein SAMSN-1</t>
  </si>
  <si>
    <t>Kinesin light chain 4</t>
  </si>
  <si>
    <t>Isoform 2 of Three prime repair exonuclease 1</t>
  </si>
  <si>
    <t>BMP-2-inducible protein kinase</t>
  </si>
  <si>
    <t>Ubiquitin-like-conjugating enzyme ATG3</t>
  </si>
  <si>
    <t>Isoform 2 of Sister chromatid cohesion protein PDS5 homolog B</t>
  </si>
  <si>
    <t>Structural maintenance of chromosomes protein 4</t>
  </si>
  <si>
    <t>Phosphatidylinositide phosphatase SAC1</t>
  </si>
  <si>
    <t>Isoform 2 of Obg-like ATPase 1</t>
  </si>
  <si>
    <t>Copper homeostasis protein cutC homolog</t>
  </si>
  <si>
    <t>UDP-glucuronic acid/UDP-N-acetylgalactosamine transporter</t>
  </si>
  <si>
    <t>Isoform 2 of Ethylmalonyl-CoA decarboxylase</t>
  </si>
  <si>
    <t>Isoform 2 of E3 ubiquitin-protein ligase RNF146</t>
  </si>
  <si>
    <t>RNA-binding protein 12</t>
  </si>
  <si>
    <t>TBC1 domain family member 22B</t>
  </si>
  <si>
    <t>Midasin</t>
  </si>
  <si>
    <t>LYR motif-containing protein 2</t>
  </si>
  <si>
    <t>Isoform 2 of Acetyl-coenzyme A synthetase 2-like, mitochondrial</t>
  </si>
  <si>
    <t>Zinc finger CCHC domain-containing protein 3</t>
  </si>
  <si>
    <t>Palmitoyltransferase ZDHHC18</t>
  </si>
  <si>
    <t>p53 and DNA damage-regulated protein 1</t>
  </si>
  <si>
    <t>Mycophenolic acid acyl-glucuronide esterase, mitochondrial</t>
  </si>
  <si>
    <t>Isoform 3 of UPF0515 protein C19orf66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</si>
  <si>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</si>
  <si>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</si>
  <si>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</si>
  <si>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</si>
  <si>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</si>
  <si>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</si>
  <si>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</si>
  <si>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</si>
  <si>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</si>
  <si>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</si>
  <si>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</si>
  <si>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</si>
  <si>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</si>
  <si>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Isoform 2 of Protection of telomeres protein 1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</si>
  <si>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</si>
  <si>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</si>
  <si>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</si>
  <si>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</si>
  <si>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tRNA wybutosine-synthesizing protein 1 homolog</t>
  </si>
  <si>
    <t>Isoform 2 of Exocyst complex component 1</t>
  </si>
  <si>
    <t>Isoform 3 of Integrator complex subunit 9</t>
  </si>
  <si>
    <t>Cell cycle control protein 50A</t>
  </si>
  <si>
    <t>Ubiquinol-cytochrome c reductase complex chaperone CBP3 homolog</t>
  </si>
  <si>
    <t>Transmembrane protein 184C</t>
  </si>
  <si>
    <t>Putative sodium-coupled neutral amino acid transporter 7</t>
  </si>
  <si>
    <t>Mediator of RNA polymerase II transcription subunit 17</t>
  </si>
  <si>
    <t>Pantothenate kinase 4</t>
  </si>
  <si>
    <t>F-box only protein 28</t>
  </si>
  <si>
    <t>TBC1 domain family member 13</t>
  </si>
  <si>
    <t>DnaJ homolog subfamily C member 11</t>
  </si>
  <si>
    <t>Isoform 3 of Integrator complex subunit 7</t>
  </si>
  <si>
    <t>Isoform 7 of Trimethyllysine dioxygenase, mitochondrial</t>
  </si>
  <si>
    <t>Fanconi anemia group I protein</t>
  </si>
  <si>
    <t>Isoform 2 of ATPase family AAA domain-containing protein 3A</t>
  </si>
  <si>
    <t>ADP-ribosylation factor-like protein 8B</t>
  </si>
  <si>
    <t>Isoform 2 of FGFR1 oncogene partner 2</t>
  </si>
  <si>
    <t>Isoform 3 of Protein arginine N-methyltransferase 7</t>
  </si>
  <si>
    <t>DnaJ homolog subfamily C member 17</t>
  </si>
  <si>
    <t>Protein asunder homolog</t>
  </si>
  <si>
    <t>Guanine nucleotide-binding protein-like 3-like protein</t>
  </si>
  <si>
    <t>ATP-dependent RNA helicase DDX18</t>
  </si>
  <si>
    <t>Histone chaperone ASF1B</t>
  </si>
  <si>
    <t>Kelch-like protein 11</t>
  </si>
  <si>
    <t>Integrator complex subunit 10</t>
  </si>
  <si>
    <t>Protein kintoun</t>
  </si>
  <si>
    <t>Pyridoxine-5-phosphate oxidase</t>
  </si>
  <si>
    <t>Armadillo repeat-containing protein 1</t>
  </si>
  <si>
    <t>Isoform 5 of DNA-directed RNA polymerase III subunit RPC5</t>
  </si>
  <si>
    <t>Protein SDA1 homolog</t>
  </si>
  <si>
    <t>Trimeric intracellular cation channel type B</t>
  </si>
  <si>
    <t>Poly(A) RNA polymerase, mitochondrial</t>
  </si>
  <si>
    <t>Isoform 2 of HAUS augmin-like complex subunit 2</t>
  </si>
  <si>
    <t>Notchless protein homolog 1</t>
  </si>
  <si>
    <t>Kelch repeat and BTB domain-containing protein 4</t>
  </si>
  <si>
    <t>Adaptin ear-binding coat-associated protein 2</t>
  </si>
  <si>
    <t>Isoform 2 of DNA-directed RNA polymerase III subunit RPC2</t>
  </si>
  <si>
    <t>Isoform 2 of Anoctamin-10</t>
  </si>
  <si>
    <t>Pre-mRNA-splicing factor RBM22</t>
  </si>
  <si>
    <t>Isoform 2 of G patch domain-containing protein 2</t>
  </si>
  <si>
    <t>ATP synthase subunit s-like protein</t>
  </si>
  <si>
    <t>WD repeat-containing protein 70</t>
  </si>
  <si>
    <t>Mediator of RNA polymerase II transcription subunit 9</t>
  </si>
  <si>
    <t>Arginine and glutamate-rich protein 1</t>
  </si>
  <si>
    <t>Transmembrane protein 248</t>
  </si>
  <si>
    <t>Transmembrane protein 242</t>
  </si>
  <si>
    <t>SAFB-like transcription modulator</t>
  </si>
  <si>
    <t>Box C/D snoRNA protein 1</t>
  </si>
  <si>
    <t>Peptidyl-prolyl cis-trans isomerase FKBP14</t>
  </si>
  <si>
    <t>Phosphoprotein associated with glycosphingolipid-enriched microdomains 1</t>
  </si>
  <si>
    <t>Uncharacterized protein C14orf119</t>
  </si>
  <si>
    <t>Coiled-coil domain-containing protein 109B</t>
  </si>
  <si>
    <t>PIH1 domain-containing protein 1</t>
  </si>
  <si>
    <t>Protein FAM118A</t>
  </si>
  <si>
    <t>Required for meiotic nuclear division protein 1 homolog</t>
  </si>
  <si>
    <t>p21-activated protein kinase-interacting protein 1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</si>
  <si>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</si>
  <si>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</si>
  <si>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</si>
  <si>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</si>
  <si>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Nicotinamide riboside kinase 1</t>
  </si>
  <si>
    <t>Probable tRNA(His) guanylyltransferase</t>
  </si>
  <si>
    <t>UPF0609 protein C4orf27</t>
  </si>
  <si>
    <t>Interleukin-1 receptor-associated kinase 4</t>
  </si>
  <si>
    <t>Uridine-cytidine kinase-like 1</t>
  </si>
  <si>
    <t>Gem-associated protein 8</t>
  </si>
  <si>
    <t>Transmembrane protein 160</t>
  </si>
  <si>
    <t>Thioredoxin-like protein 4B</t>
  </si>
  <si>
    <t>Uncharacterized protein C1orf109</t>
  </si>
  <si>
    <t>tRNA selenocysteine 1-associated protein 1</t>
  </si>
  <si>
    <t>COMM domain-containing protein 8</t>
  </si>
  <si>
    <t>Isoform 2 of NADH dehydrogenase [ubiquinone] 1 beta subcomplex subunit 11,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</si>
  <si>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</si>
  <si>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</si>
  <si>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</si>
  <si>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</si>
  <si>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</si>
  <si>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Huntingtin-interacting protein K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</si>
  <si>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</si>
  <si>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</si>
  <si>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</si>
  <si>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</si>
  <si>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CKLF-like MARVEL transmembrane domain-containing protein 6</t>
  </si>
  <si>
    <t>NAD-dependent protein deacylase sirtuin-5, mitochondrial</t>
  </si>
  <si>
    <t>Glucose-fructose oxidoreductase domain-containing protein 1</t>
  </si>
  <si>
    <t>WD repeat-containing protein mio</t>
  </si>
  <si>
    <t>Pre-mRNA-splicing factor CWC25 homolog</t>
  </si>
  <si>
    <t>DDB1- and CUL4-associated factor 16</t>
  </si>
  <si>
    <t>tRNA (guanine(26)-N(2))-dimethyltransferase</t>
  </si>
  <si>
    <t>F-box/LRR-repeat protein 12</t>
  </si>
  <si>
    <t>Isoform 2 of Nuclear distribution protein nudE homolog 1</t>
  </si>
  <si>
    <t>Ankyrin repeat domain-containing protein 10</t>
  </si>
  <si>
    <t>BRCA1-A complex subunit BRE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</si>
  <si>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</si>
  <si>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</si>
  <si>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</si>
  <si>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</si>
  <si>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</si>
  <si>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Non-structural maintenance of chromosomes element 4 homolog A</t>
  </si>
  <si>
    <t>Isoform 2 of H/ACA ribonucleoprotein complex subunit 1</t>
  </si>
  <si>
    <t>Serine/threonine-protein phosphatase 4 regulatory subunit 2</t>
  </si>
  <si>
    <t>Isoform 2 of Probable ATP-dependent RNA helicase DDX56</t>
  </si>
  <si>
    <t>Telomeric repeat-binding factor 2-interacting protein 1</t>
  </si>
  <si>
    <t>Isoform 2 of Bcl-2-associated transcription factor 1</t>
  </si>
  <si>
    <t>Palmitoyltransferase ZDHHC3</t>
  </si>
  <si>
    <t>U3 small nucleolar RNA-associated protein 6 homolog</t>
  </si>
  <si>
    <t>Cytochrome c oxidase assembly factor 4 homolog, mitochondrial</t>
  </si>
  <si>
    <t>39S ribosomal protein L39, mitochondrial</t>
  </si>
  <si>
    <t>Mitogen-activated protein kinase kinase kinase MLT</t>
  </si>
  <si>
    <t>Tropomodulin-3</t>
  </si>
  <si>
    <t>BET1-like protein</t>
  </si>
  <si>
    <t>Protein Mis18-alpha</t>
  </si>
  <si>
    <t>NF-kappa-B inhibitor-interacting Ras-like protein 1</t>
  </si>
  <si>
    <t>Isoform 2 of UDP-glucose:glycoprotein glucosyltransferase 1</t>
  </si>
  <si>
    <t>Isoform 2 of Cyclin-dependent kinase 12</t>
  </si>
  <si>
    <t>FAST kinase domain-containing protein 2</t>
  </si>
  <si>
    <t>G2 and S phase-expressed protein 1</t>
  </si>
  <si>
    <t>Very-long-chain enoyl-CoA reductase</t>
  </si>
  <si>
    <t>Endoplasmic reticulum aminopeptidase 1</t>
  </si>
  <si>
    <t>Ubiquitin-associated protein 1</t>
  </si>
  <si>
    <t>Actin-related protein 10</t>
  </si>
  <si>
    <t>Vesicle transport protein USE1</t>
  </si>
  <si>
    <t>CDGSH iron-sulfur domain-containing protein 1</t>
  </si>
  <si>
    <t>ADP-ribosylation factor-binding protein GGA3</t>
  </si>
  <si>
    <t>Uncharacterized protein C9orf78</t>
  </si>
  <si>
    <t>Constitutive coactivator of PPAR-gamma-like protein 1</t>
  </si>
  <si>
    <t>Isoform 6 of Molybdenum cofactor biosynthesis protein 1</t>
  </si>
  <si>
    <t>Glycerophosphodiester phosphodiesterase 1</t>
  </si>
  <si>
    <t>WW domain-containing oxidoreductase</t>
  </si>
  <si>
    <t>Glycolipid transfer protein</t>
  </si>
  <si>
    <t>Isoform 2 of Maspardin</t>
  </si>
  <si>
    <t>Ninjurin-2</t>
  </si>
  <si>
    <t>Upstream-binding protein 1</t>
  </si>
  <si>
    <t>Insulin-like growth factor 2 mRNA-binding protein 1</t>
  </si>
  <si>
    <t>Hexaprenyldihydroxybenzoate methyltransferase, mitochondrial</t>
  </si>
  <si>
    <t>Isoform 2 of Mitochondrial carrier homolog 1</t>
  </si>
  <si>
    <t>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</si>
  <si>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</si>
  <si>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</si>
  <si>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</si>
  <si>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2 of Intersectin-2</t>
  </si>
  <si>
    <t>Isoform 3 of NCK-interacting protein with SH3 domain</t>
  </si>
  <si>
    <t>Isoform 2 of Opioid growth factor receptor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</si>
  <si>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</si>
  <si>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</si>
  <si>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</si>
  <si>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</si>
  <si>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</si>
  <si>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</si>
  <si>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NADH dehydrogenase [ubiquinone] 1 alpha subcomplex assembly factor 4</t>
  </si>
  <si>
    <t>Very-long-chain (3R)-3-hydroxyacyl-[acyl-carrier protein] dehydratase 3</t>
  </si>
  <si>
    <t>Mediator of RNA polymerase II transcription subunit 11</t>
  </si>
  <si>
    <t>Coiled-coil domain-containing protein 167</t>
  </si>
  <si>
    <t>ER membrane protein complex subunit 3</t>
  </si>
  <si>
    <t>[Pyruvate dehydrogenase [acetyl-transferring]]-phosphatase 1, mitochondrial</t>
  </si>
  <si>
    <t>E3 ubiquitin-protein ligase KCMF1</t>
  </si>
  <si>
    <t>Vesicle-associated membrane protein-associated protein A</t>
  </si>
  <si>
    <t>Isoform 3 of TBC1 domain family member 7</t>
  </si>
  <si>
    <t>E3 ubiquitin-protein ligase RNF181</t>
  </si>
  <si>
    <t>GSK3-beta interaction protein</t>
  </si>
  <si>
    <t>Cytochrome c oxidase assembly protein COX16 homolog, mitochondrial</t>
  </si>
  <si>
    <t>Costars family protein ABRACL</t>
  </si>
  <si>
    <t>DNA-directed RNA polymerase I subunit RPA12</t>
  </si>
  <si>
    <t>Actin-related protein 3B</t>
  </si>
  <si>
    <t>Isoform 4 of Signal-regulatory protein gamma</t>
  </si>
  <si>
    <t>Calmodulin-regulated spectrin-associated protein 3</t>
  </si>
  <si>
    <t>Protein Daple</t>
  </si>
  <si>
    <t>Leucine-rich repeat and fibronectin type III domain-containing protein 1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</si>
  <si>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</si>
  <si>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</si>
  <si>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</si>
  <si>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</si>
  <si>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SLAIN motif-containing protein 2</t>
  </si>
  <si>
    <t>BRCA2 and CDKN1A-interacting protein</t>
  </si>
  <si>
    <t>Isoform 2 of BRCA2 and CDKN1A-interacting protein</t>
  </si>
  <si>
    <t>Isoform 2 of ABI gene family member 3</t>
  </si>
  <si>
    <t>CTTNBP2 N-terminal-like protein</t>
  </si>
  <si>
    <t>UPF0501 protein KIAA1430</t>
  </si>
  <si>
    <t>Transmembrane protein 181</t>
  </si>
  <si>
    <t>Chromodomain-helicase-DNA-binding protein 7</t>
  </si>
  <si>
    <t>Isoform 3 of HEAT repeat-containing protein 5B</t>
  </si>
  <si>
    <t>NFX1-type zinc finger-containing protein 1</t>
  </si>
  <si>
    <t>Ribosome-binding protein 1</t>
  </si>
  <si>
    <t>Cleavage and polyadenylation specificity factor subunit 2</t>
  </si>
  <si>
    <t>Leucine--tRNA ligase, cytoplasmic</t>
  </si>
  <si>
    <t>[Pyruvate dehydrogenase [acetyl-transferring]]-phosphatase 2, mitochondrial</t>
  </si>
  <si>
    <t>Thioredoxin domain-containing protein 16</t>
  </si>
  <si>
    <t>Isoform 4 of REST corepressor 3</t>
  </si>
  <si>
    <t>Myelin expression factor 2</t>
  </si>
  <si>
    <t>Isoform 2 of Eukaryotic translation initiation factor 2-alpha kinase 4</t>
  </si>
  <si>
    <t>Cingulin</t>
  </si>
  <si>
    <t>RNA-binding protein 27</t>
  </si>
  <si>
    <t>Isoform 3 of KAT8 regulatory NSL complex subunit 3</t>
  </si>
  <si>
    <t>Isoform 2 of Kelch-like protein 13</t>
  </si>
  <si>
    <t>Ankyrin repeat and FYVE domain-containing protein 1</t>
  </si>
  <si>
    <t>Arginine-glutamic acid dipeptide repeats protein</t>
  </si>
  <si>
    <t>Homologous-pairing protein 2 homolog</t>
  </si>
  <si>
    <t>Dolichol-phosphate mannosyltransferase subunit 3</t>
  </si>
  <si>
    <t>Zinc finger protein 219</t>
  </si>
  <si>
    <t>UV radiation resistance-associated gene protein</t>
  </si>
  <si>
    <t>Ataxin-10</t>
  </si>
  <si>
    <t>Methyl-CpG-binding domain protein 2</t>
  </si>
  <si>
    <t>Isoform 2 of Neurochondrin</t>
  </si>
  <si>
    <t>Tuftelin-interacting protein 11</t>
  </si>
  <si>
    <t>Isoform 2 of Epidermal growth factor receptor substrate 15-like 1</t>
  </si>
  <si>
    <t>Isoform 7 of DNA (cytosine-5)-methyltransferase 3B</t>
  </si>
  <si>
    <t>Isoform 2 of Origin recognition complex subunit 3</t>
  </si>
  <si>
    <t>Battenin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</si>
  <si>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</si>
  <si>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</si>
  <si>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</si>
  <si>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</si>
  <si>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</si>
  <si>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Isoform B of Methionine synthase reductase</t>
  </si>
  <si>
    <t>Protein UXT</t>
  </si>
  <si>
    <t>cAMP-regulated phosphoprotein 21</t>
  </si>
  <si>
    <t>Isoform 3 of Set1/Ash2 histone methyltransferase complex subunit ASH2</t>
  </si>
  <si>
    <t>7-dehydrocholesterol reductase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</si>
  <si>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</si>
  <si>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</si>
  <si>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</si>
  <si>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</si>
  <si>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Ribosomal protein S6 kinase beta-2</t>
  </si>
  <si>
    <t>E3 ubiquitin-protein ligase RNF14</t>
  </si>
  <si>
    <t>SUMO-activating enzyme subunit 2</t>
  </si>
  <si>
    <t>Nuclear RNA export factor 1</t>
  </si>
  <si>
    <t>Protein sel-1 homolog 1</t>
  </si>
  <si>
    <t>Beta-1,4-galactosyltransferase 7</t>
  </si>
  <si>
    <t>Peflin</t>
  </si>
  <si>
    <t>Bridging integrator 2</t>
  </si>
  <si>
    <t>Zinc finger MYM-type protein 2</t>
  </si>
  <si>
    <t>COP9 signalosome complex subunit 7a</t>
  </si>
  <si>
    <t>Alpha-aminoadipic semialdehyde synthase, mitochondrial</t>
  </si>
  <si>
    <t>Isoform 2 of CAP-Gly domain-containing linker protein 2</t>
  </si>
  <si>
    <t>Cytochrome b-c1 complex subunit 9</t>
  </si>
  <si>
    <t>Mitochondrial fission process protein 1</t>
  </si>
  <si>
    <t>Isoform 6 of Tight junction protein ZO-2</t>
  </si>
  <si>
    <t>DnaJ homolog subfamily B member 4</t>
  </si>
  <si>
    <t>Isoform 2 of Mucosa-associated lymphoid tissue lymphoma translocation protein 1</t>
  </si>
  <si>
    <t>Serine/threonine-protein kinase 17A</t>
  </si>
  <si>
    <t>Craniofacial development protein 1</t>
  </si>
  <si>
    <t>Myelin protein zero-like protein 1 (Fragment)</t>
  </si>
  <si>
    <t>Isoform 2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</si>
  <si>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</si>
  <si>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</si>
  <si>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</si>
  <si>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</si>
  <si>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Leucine-rich repeat and WD repeat-containing protein 1</t>
  </si>
  <si>
    <t>Protein NipSnap homolog 3A</t>
  </si>
  <si>
    <t>CGG triplet repeat-binding protein 1</t>
  </si>
  <si>
    <t>ATP-binding cassette sub-family F member 2</t>
  </si>
  <si>
    <t>Isoform 2 of Gamma-tubulin complex component 4</t>
  </si>
  <si>
    <t>Secretion-regulating guanine nucleotide exchange factor</t>
  </si>
  <si>
    <t>Neuronal acetylcholine receptor subunit alpha-9</t>
  </si>
  <si>
    <t>Tryptophan--tRNA ligase, mitochondrial</t>
  </si>
  <si>
    <t>LIM domain-containing protein 1</t>
  </si>
  <si>
    <t>Translocation protein SEC63 homolog</t>
  </si>
  <si>
    <t>Isoform 2 of Calcium channel flower homolog</t>
  </si>
  <si>
    <t>Isoform 2 of Solute carrier family 2, facilitated glucose transporter member 6</t>
  </si>
  <si>
    <t>Isoform 2 of Zinc finger CCCH domain-containing protein 7B</t>
  </si>
  <si>
    <t>Isoform 2 of Transcription factor 20</t>
  </si>
  <si>
    <t>Protein NDRG3</t>
  </si>
  <si>
    <t>Isoform 2 of Neuronal-specific septin-3</t>
  </si>
  <si>
    <t>Armadillo repeat-containing X-linked protein 3</t>
  </si>
  <si>
    <t>Switch-associated protein 70</t>
  </si>
  <si>
    <t>SUN domain-containing protein 2</t>
  </si>
  <si>
    <t>SS18-like protein 2</t>
  </si>
  <si>
    <t>Ragulator complex protein LAMTOR3</t>
  </si>
  <si>
    <t>LIM domain and actin-binding protein 1</t>
  </si>
  <si>
    <t>AF4/FMR2 family member 4</t>
  </si>
  <si>
    <t>Signal recognition particle subunit SRP68</t>
  </si>
  <si>
    <t>Isoform 4 of E3 ubiquitin-protein ligase makorin-1</t>
  </si>
  <si>
    <t>Cysteine and histidine-rich domain-containing protein 1</t>
  </si>
  <si>
    <t>Serine/threonine-protein kinase TBK1</t>
  </si>
  <si>
    <t>Septin-9</t>
  </si>
  <si>
    <t>Ubiquilin-2</t>
  </si>
  <si>
    <t>Metalloreductase STEAP1</t>
  </si>
  <si>
    <t>Prenylcysteine oxidase 1</t>
  </si>
  <si>
    <t>Probable ATP-dependent RNA helicase DDX20</t>
  </si>
  <si>
    <t>Sedoheptulokinase</t>
  </si>
  <si>
    <t>Dipeptidyl peptidase 2</t>
  </si>
  <si>
    <t>DNA polymerase subunit gamma-2, mitochondrial</t>
  </si>
  <si>
    <t>Isoform 2 of Transmembrane protein 2</t>
  </si>
  <si>
    <t>Nuclear prelamin A recognition factor</t>
  </si>
  <si>
    <t>B-cell receptor-associated protein 29</t>
  </si>
  <si>
    <t>NADH-cytochrome b5 reductase 1</t>
  </si>
  <si>
    <t>Zinc finger HIT domain-containing protein 2</t>
  </si>
  <si>
    <t>Prefoldin subunit 2</t>
  </si>
  <si>
    <t>GPN-loop GTPase 3</t>
  </si>
  <si>
    <t>Poly(U)-binding-splicing factor PUF60</t>
  </si>
  <si>
    <t>Nuclear receptor-binding protein</t>
  </si>
  <si>
    <t>Enolase-phosphatase E1</t>
  </si>
  <si>
    <t>Isoform 1 of Ena/VASP-like protein</t>
  </si>
  <si>
    <t>NADH dehydrogenase [ubiquinone] 1 alpha subcomplex subunit 12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</si>
  <si>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</si>
  <si>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</si>
  <si>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</si>
  <si>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</si>
  <si>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</si>
  <si>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Putative ribosomal RNA methyltransferase 2</t>
  </si>
  <si>
    <t>Isoform 3 of SLAM family member 5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</si>
  <si>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</si>
  <si>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</si>
  <si>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</si>
  <si>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</si>
  <si>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</si>
  <si>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</si>
  <si>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</si>
  <si>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</si>
  <si>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CCR4-NOT transcription complex subunit 7</t>
  </si>
  <si>
    <t>Gamma-glutamyltransferase 7</t>
  </si>
  <si>
    <t>Isoform 2 of Mitochondrial peptide methionine sulfoxide reductase</t>
  </si>
  <si>
    <t>N-acetyl-D-glucosamine kinase</t>
  </si>
  <si>
    <t>tRNA (adenine(58)-N(1))-methyltransferase non-catalytic subunit TRM6</t>
  </si>
  <si>
    <t>Isoform 2 of Motile sperm domain-containing protein 1</t>
  </si>
  <si>
    <t>Ribosome biogenesis protein TSR3 homolog</t>
  </si>
  <si>
    <t>Calcium-binding mitochondrial carrier protein Aralar2</t>
  </si>
  <si>
    <t>Tubulin epsilon chain</t>
  </si>
  <si>
    <t>Lymphoid enhancer-binding factor 1</t>
  </si>
  <si>
    <t>Drebrin-like protein</t>
  </si>
  <si>
    <t>Isoform 2 of Drebrin-like protein</t>
  </si>
  <si>
    <t>Dynactin subunit 4</t>
  </si>
  <si>
    <t>Cell division cycle protein 23 homolog</t>
  </si>
  <si>
    <t>Anaphase-promoting complex subunit 7</t>
  </si>
  <si>
    <t>Anaphase-promoting complex subunit 4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</si>
  <si>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</si>
  <si>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</si>
  <si>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</si>
  <si>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</si>
  <si>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Isoform 2 of N-acetylglucosamine-1-phosphodiester alpha-N-acetylglucosaminidase</t>
  </si>
  <si>
    <t>Vacuolar protein sorting-associated protein 28 homolog</t>
  </si>
  <si>
    <t>U6 snRNA-associated Sm-like protein LSm7</t>
  </si>
  <si>
    <t>Lariat debranching enzyme</t>
  </si>
  <si>
    <t>Hematological and neurological expressed 1 protein</t>
  </si>
  <si>
    <t>mRNA turnover protein 4 homolog</t>
  </si>
  <si>
    <t>Cleavage and polyadenylation specificity factor subunit 3</t>
  </si>
  <si>
    <t>DCC-interacting protein 13-alpha</t>
  </si>
  <si>
    <t>Isoform 5 of Serine/threonine-protein kinase tousled-like 1</t>
  </si>
  <si>
    <t>Isoform 3 of Paired immunoglobulin-like type 2 receptor alpha</t>
  </si>
  <si>
    <t>G patch domain-containing protein 8</t>
  </si>
  <si>
    <t>NTF2-related export protein 1</t>
  </si>
  <si>
    <t>Phosphatidylcholine transfer protein</t>
  </si>
  <si>
    <t>Endoplasmic reticulum mannosyl-oligosaccharide 1,2-alpha-mannosidase</t>
  </si>
  <si>
    <t>RNA-binding protein Raly</t>
  </si>
  <si>
    <t>General transcription factor 3C polypeptide 4</t>
  </si>
  <si>
    <t>Probable ergosterol biosynthetic protein 28</t>
  </si>
  <si>
    <t>Protein kinase C and casein kinase substrate in neurons protein 3</t>
  </si>
  <si>
    <t>Isoform 2 of F-box only protein 5</t>
  </si>
  <si>
    <t>F-box only protein 4</t>
  </si>
  <si>
    <t>Isobutyryl-CoA dehydrogenase, mitochondrial</t>
  </si>
  <si>
    <t>E3 ubiquitin-protein ligase AMFR</t>
  </si>
  <si>
    <t>Protein argonaute-2</t>
  </si>
  <si>
    <t>Guanine nucleotide exchange factor VAV3</t>
  </si>
  <si>
    <t>Nuclear pore complex protein Nup50</t>
  </si>
  <si>
    <t>Zinc fingers and homeoboxes protein 1</t>
  </si>
  <si>
    <t>Protein CDV3 homolog</t>
  </si>
  <si>
    <t>CCR4-NOT transcription complex subunit 11</t>
  </si>
  <si>
    <t>BAG family molecular chaperone regulator 5</t>
  </si>
  <si>
    <t>Protein argonaute-1</t>
  </si>
  <si>
    <t>Ras-related protein Rab-21</t>
  </si>
  <si>
    <t>Ras-related protein Rab-22A</t>
  </si>
  <si>
    <t>Paraneoplastic antigen Ma2</t>
  </si>
  <si>
    <t>Proteasome activator complex subunit 2</t>
  </si>
  <si>
    <t>Muskelin</t>
  </si>
  <si>
    <t>Ras-related protein Rab-23</t>
  </si>
  <si>
    <t>Malignant T-cell-amplified sequence 1</t>
  </si>
  <si>
    <t>Isoform 4 of Microtubule-associated tumor suppressor 1</t>
  </si>
  <si>
    <t>Paladin</t>
  </si>
  <si>
    <t>Zinc transporter ZIP10</t>
  </si>
  <si>
    <t>Isoform 2 of Kinase D-interacting substrate of 220 kDa</t>
  </si>
  <si>
    <t>Isoform 4 of MKL/myocardin-like protein 2</t>
  </si>
  <si>
    <t>Protein HEG homolog 1</t>
  </si>
  <si>
    <t>Isoform 2 of Zinc finger and BTB domain-containing protein 21</t>
  </si>
  <si>
    <t>Zinc finger MIZ domain-containing protein 1</t>
  </si>
  <si>
    <t>Isoform 3 of Proline-rich protein 12</t>
  </si>
  <si>
    <t>Isoform 2 of TBC1 domain family member 24</t>
  </si>
  <si>
    <t>Pre-mRNA-splicing factor ISY1 homolog</t>
  </si>
  <si>
    <t>Protein phosphatase 1H</t>
  </si>
  <si>
    <t>E3 ubiquitin-protein ligase HECTD1</t>
  </si>
  <si>
    <t>Coronin-1C</t>
  </si>
  <si>
    <t>Targeting protein for Xklp2</t>
  </si>
  <si>
    <t>RNA-binding protein NOB1</t>
  </si>
  <si>
    <t>A-kinase anchor protein 8-like</t>
  </si>
  <si>
    <t>Isoform 2 of Transcription factor MafF</t>
  </si>
  <si>
    <t>Anaphase-promoting complex subunit 10</t>
  </si>
  <si>
    <t>Alpha-1,3-mannosyl-glycoprotein 4-beta-N-acetylglucosaminyltransferase A</t>
  </si>
  <si>
    <t>Neurogenic locus notch homolog protein 3</t>
  </si>
  <si>
    <t>Isoform 3 of NFU1 iron-sulfur cluster scaffold homolog, mitochondrial</t>
  </si>
  <si>
    <t>Pre-mRNA-processing factor 19</t>
  </si>
  <si>
    <t>Ubiquilin-1</t>
  </si>
  <si>
    <t>Isoform 2 of Ubiquilin-1</t>
  </si>
  <si>
    <t>Isoform 2 of Suppressor of fused homolog</t>
  </si>
  <si>
    <t>Neudesin</t>
  </si>
  <si>
    <t>Nucleolar protein 7</t>
  </si>
  <si>
    <t>Isoform 2 of Sorting nexin-12</t>
  </si>
  <si>
    <t>Isoform 4 of Synergin gamma</t>
  </si>
  <si>
    <t>Isoform 2 of Protein NDRG2</t>
  </si>
  <si>
    <t>Vacuolar protein sorting-associated protein 4A</t>
  </si>
  <si>
    <t>Isoform B of Ras GTPase-activating protein-binding protein 2</t>
  </si>
  <si>
    <t>Isoform 2 of Rho GTPase-activating protein 26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</si>
  <si>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</si>
  <si>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</si>
  <si>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</si>
  <si>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</si>
  <si>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</si>
  <si>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</si>
  <si>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</si>
  <si>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</si>
  <si>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</si>
  <si>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</si>
  <si>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</si>
  <si>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</si>
  <si>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Isoform 2 of Rab-like protein 2B</t>
  </si>
  <si>
    <t>Multiple inositol polyphosphate phosphatase 1</t>
  </si>
  <si>
    <t>60S ribosomal protein L26-like 1</t>
  </si>
  <si>
    <t>WD repeat-containing protein 3</t>
  </si>
  <si>
    <t>Transcription termination factor 2</t>
  </si>
  <si>
    <t>NSFL1 cofactor p47</t>
  </si>
  <si>
    <t>Leydig cell tumor 10 kDa protein homolog</t>
  </si>
  <si>
    <t>Conserved oligomeric Golgi complex subunit 5</t>
  </si>
  <si>
    <t>Isoform 5 of Solute carrier family 12 member 4</t>
  </si>
  <si>
    <t>Protein SCAF8</t>
  </si>
  <si>
    <t>Serine/threonine-protein phosphatase 6 regulatory subunit 1</t>
  </si>
  <si>
    <t>E3 ubiquitin-protein ligase TRIM33</t>
  </si>
  <si>
    <t>Isoform Beta of E3 ubiquitin-protein ligase TRIM33</t>
  </si>
  <si>
    <t>Isoform 2 of Trinucleotide repeat-containing gene 6B protein</t>
  </si>
  <si>
    <t>Inactive phospholipase C-like protein 2</t>
  </si>
  <si>
    <t>Isoform 1 of Exocyst complex component 7</t>
  </si>
  <si>
    <t>Ubiquitin carboxyl-terminal hydrolase 22</t>
  </si>
  <si>
    <t>Ubiquitin carboxyl-terminal hydrolase 24</t>
  </si>
  <si>
    <t>Cytosolic carboxypeptidase 1</t>
  </si>
  <si>
    <t>Isoform 2 of Hermansky-Pudlak syndrome 5 protein</t>
  </si>
  <si>
    <t>Isoform 2 of Coronin-2B</t>
  </si>
  <si>
    <t>Isoform 2 of Leucine-rich repeat protein SHOC-2</t>
  </si>
  <si>
    <t>Serine/arginine repetitive matrix protein 2</t>
  </si>
  <si>
    <t>Proliferation-associated protein 2G4</t>
  </si>
  <si>
    <t>Paraplegin</t>
  </si>
  <si>
    <t>Structural maintenance of chromosomes protein 3</t>
  </si>
  <si>
    <t>Charged multivesicular body protein 2b</t>
  </si>
  <si>
    <t>Tenascin-N</t>
  </si>
  <si>
    <t>Sex comb on midleg-like protein 2</t>
  </si>
  <si>
    <t>Zinc finger protein 148</t>
  </si>
  <si>
    <t>Myotubularin-related protein 6</t>
  </si>
  <si>
    <t>Protein jagged-2</t>
  </si>
  <si>
    <t>60S ribosome subunit biogenesis protein NIP7 homolog</t>
  </si>
  <si>
    <t>Isoform 3 of Bifunctional UDP-N-acetylglucosamine 2-epimerase/N-acetylmannosamine kinase</t>
  </si>
  <si>
    <t>UPF0568 protein C14orf166</t>
  </si>
  <si>
    <t>RuvB-like 2</t>
  </si>
  <si>
    <t>Isoform 2 of Chromodomain Y-like protein</t>
  </si>
  <si>
    <t>Peptidyl-prolyl cis-trans isomerase NIMA-interacting 4</t>
  </si>
  <si>
    <t>Proteasome maturation protein</t>
  </si>
  <si>
    <t>DNA replication complex GINS protein PSF2</t>
  </si>
  <si>
    <t>Isoform 5 of Leucine zipper putative tumor suppressor 1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</si>
  <si>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</si>
  <si>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</si>
  <si>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</si>
  <si>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</si>
  <si>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</si>
  <si>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</si>
  <si>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</si>
  <si>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</si>
  <si>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</si>
  <si>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</si>
  <si>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</si>
  <si>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</si>
  <si>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</si>
  <si>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Uronyl 2-sulfotransferase</t>
  </si>
  <si>
    <t>Nuclease EXOG, mitochondrial</t>
  </si>
  <si>
    <t>Exocyst complex component 6B</t>
  </si>
  <si>
    <t>Isoform 4 of A-kinase anchor protein 2</t>
  </si>
  <si>
    <t>Isoform 4 of Caspase recruitment domain-containing protein 8</t>
  </si>
  <si>
    <t>Probable phospholipid-transporting ATPase IF</t>
  </si>
  <si>
    <t>GDP-fucose protein O-fucosyltransferase 2</t>
  </si>
  <si>
    <t>Isoform 3 of Disks large-associated protein 4</t>
  </si>
  <si>
    <t>Serine/threonine-protein kinase 38-like</t>
  </si>
  <si>
    <t>Isoform 3 of Phosphatidylinositide phosphatase SAC2</t>
  </si>
  <si>
    <t>Isoform 2 of Fibronectin type-III domain-containing protein 3A</t>
  </si>
  <si>
    <t>Nischarin</t>
  </si>
  <si>
    <t>1-phosphatidylinositol 3-phosphate 5-kinase</t>
  </si>
  <si>
    <t>WD repeat-containing protein 37</t>
  </si>
  <si>
    <t>Zinc finger and BTB domain-containing protein 1</t>
  </si>
  <si>
    <t>Ubiquitin carboxyl-terminal hydrolase 20</t>
  </si>
  <si>
    <t>Lysine-specific demethylase 2A</t>
  </si>
  <si>
    <t>Exosome complex exonuclease RRP44</t>
  </si>
  <si>
    <t>Isoform 2 of Leucine-rich repeat and calponin homology domain-containing protein 1</t>
  </si>
  <si>
    <t>RNA 3-terminal phosphate cyclase-like protein</t>
  </si>
  <si>
    <t>Isoform 3 of Probable phospholipid-transporting ATPase IA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</si>
  <si>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</si>
  <si>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</si>
  <si>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</si>
  <si>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</si>
  <si>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Probable ATP-dependent RNA helicase DDX52</t>
  </si>
  <si>
    <t>DNA-directed RNA polymerases I and III subunit RPAC2</t>
  </si>
  <si>
    <t>Isoform 2 of Lambda-crystallin homolog</t>
  </si>
  <si>
    <t>Translation machinery-associated protein 7</t>
  </si>
  <si>
    <t>Polymerase delta-interacting protein 2</t>
  </si>
  <si>
    <t>AP-3 complex subunit mu-1</t>
  </si>
  <si>
    <t>Y-box-binding protein 2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</si>
  <si>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</si>
  <si>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</si>
  <si>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</si>
  <si>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</si>
  <si>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</si>
  <si>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Isoform 2 of Mediator of RNA polymerase II transcription subunit 16</t>
  </si>
  <si>
    <t>Nucleolar protein 58</t>
  </si>
  <si>
    <t>ARF GTPase-activating protein GIT1</t>
  </si>
  <si>
    <t>DNA-directed RNA polymerase III subunit RPC10</t>
  </si>
  <si>
    <t>Krueppel-like factor 13</t>
  </si>
  <si>
    <t>Suppressor of G2 allele of SKP1 homolog</t>
  </si>
  <si>
    <t>Isoform 2 of Suppressor of G2 allele of SKP1 homolog</t>
  </si>
  <si>
    <t>Tyrosine--tRNA ligase, mitochondrial</t>
  </si>
  <si>
    <t>Isoform 3 of Ubiquinone biosynthesis monooxygenase COQ6</t>
  </si>
  <si>
    <t>Putative N-acetylglucosamine-6-phosphate deacetylase</t>
  </si>
  <si>
    <t>Nitric oxide synthase-interacting protein</t>
  </si>
  <si>
    <t>Putative deoxyribose-phosphate aldolase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</si>
  <si>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</si>
  <si>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</si>
  <si>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</si>
  <si>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</si>
  <si>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</si>
  <si>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</si>
  <si>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</si>
  <si>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</si>
  <si>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RNA-binding motif protein, X-linked 2</t>
  </si>
  <si>
    <t>Isoform 2 of Dehydrogenase/reductase SDR family member 7</t>
  </si>
  <si>
    <t>28S ribosomal protein S2, mitochondrial</t>
  </si>
  <si>
    <t>Isoform 3 of MOB-like protein phocein</t>
  </si>
  <si>
    <t>Ribosomal RNA-processing protein 7 homolog A</t>
  </si>
  <si>
    <t>Ribosome maturation protein SBDS</t>
  </si>
  <si>
    <t>Transmembrane emp24 domain-containing protein 5</t>
  </si>
  <si>
    <t>Transmembrane emp24 domain-containing protein 7</t>
  </si>
  <si>
    <t>Pre-mRNA branch site protein p14</t>
  </si>
  <si>
    <t>Isoform 2 of 39S ribosomal protein L11, mitochondrial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</si>
  <si>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</si>
  <si>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</si>
  <si>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</si>
  <si>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</si>
  <si>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</si>
  <si>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</si>
  <si>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</si>
  <si>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</si>
  <si>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28S ribosomal protein S18c, mitochondrial</t>
  </si>
  <si>
    <t>Mitochondrial fission 1 protein</t>
  </si>
  <si>
    <t>Adenylate kinase isoenzyme 6</t>
  </si>
  <si>
    <t>28S ribosomal protein S23, mitochondrial</t>
  </si>
  <si>
    <t>Hepatoma-derived growth factor-related protein 3</t>
  </si>
  <si>
    <t>BolA-like protein 1</t>
  </si>
  <si>
    <t>Isoform 4 of Charged multivesicular body protein 3</t>
  </si>
  <si>
    <t>Serine-threonine kinase receptor-associated protein</t>
  </si>
  <si>
    <t>tRNA-splicing ligase RtcB homolog</t>
  </si>
  <si>
    <t>Isoform 3 of F-box only protein 7</t>
  </si>
  <si>
    <t>Ras-related protein Rap-2c</t>
  </si>
  <si>
    <t>Signaling threshold-regulating transmembrane adapter 1</t>
  </si>
  <si>
    <t>Rab GTPase-activating protein 1</t>
  </si>
  <si>
    <t>Transmembrane emp24 domain-containing protein 3</t>
  </si>
  <si>
    <t>TSC22 domain family protein 4</t>
  </si>
  <si>
    <t>Zinc finger protein 330</t>
  </si>
  <si>
    <t>Nucleolar complex protein 2 homolog</t>
  </si>
  <si>
    <t>60S ribosomal protein L36</t>
  </si>
  <si>
    <t>Isoform 2 of RWD domain-containing protein 3</t>
  </si>
  <si>
    <t>Coiled-coil domain-containing protein 9</t>
  </si>
  <si>
    <t>Isoform 3 of Chromatin target of PRMT1 protein</t>
  </si>
  <si>
    <t>Protein FAM32A</t>
  </si>
  <si>
    <t>Small kinetochore-associated protein</t>
  </si>
  <si>
    <t>HBS1-like protein</t>
  </si>
  <si>
    <t>Isoform 2 of HBS1-like protein</t>
  </si>
  <si>
    <t>5-AMP-activated protein kinase subunit beta-1</t>
  </si>
  <si>
    <t>V-type proton ATPase 116 kDa subunit a isoform 2</t>
  </si>
  <si>
    <t>Talin-1</t>
  </si>
  <si>
    <t>Helicase ARIP4</t>
  </si>
  <si>
    <t>Isoform 2 of Protein VPRBP</t>
  </si>
  <si>
    <t>Lysine-specific demethylase 3A</t>
  </si>
  <si>
    <t>Isoform 2 of Protein FAM115A</t>
  </si>
  <si>
    <t>Probable RNA-binding protein 19</t>
  </si>
  <si>
    <t>Isoform 2 of Disheveled-associated activator of morphogenesis 1</t>
  </si>
  <si>
    <t>Isoform 2 of Plexin-D1</t>
  </si>
  <si>
    <t>Isoform 2 of WASH complex subunit FAM21C</t>
  </si>
  <si>
    <t>Isoform 2 of WD repeat-containing protein 7</t>
  </si>
  <si>
    <t>Talin-2</t>
  </si>
  <si>
    <t>Absent in melanoma 1 protein</t>
  </si>
  <si>
    <t>TNF receptor-associated factor 6</t>
  </si>
  <si>
    <t>Mitogen-activated protein kinase kinase kinase kinase 5</t>
  </si>
  <si>
    <t>Hypoxia up-regulated protein 1</t>
  </si>
  <si>
    <t>Isoform 6 of Cysteine protease ATG4B</t>
  </si>
  <si>
    <t>Isoform 3 of WD repeat domain phosphoinositide-interacting protein 2</t>
  </si>
  <si>
    <t>Telomere length regulation protein TEL2 homolog</t>
  </si>
  <si>
    <t>AFG3-like protein 2</t>
  </si>
  <si>
    <t>Krueppel-like factor 12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</si>
  <si>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</si>
  <si>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</si>
  <si>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</si>
  <si>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</si>
  <si>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Isoform 5 of Protein PRRC2C</t>
  </si>
  <si>
    <t>Heat shock protein beta-11</t>
  </si>
  <si>
    <t>Protein phosphatase methylesterase 1</t>
  </si>
  <si>
    <t>Mitochondrial import inner membrane translocase subunit Tim22</t>
  </si>
  <si>
    <t>YTH domain family protein 2</t>
  </si>
  <si>
    <t>RNA polymerase II subunit A C-terminal domain phosphatase</t>
  </si>
  <si>
    <t>PAX3- and PAX7-binding protein 1</t>
  </si>
  <si>
    <t>Nucleoside diphosphate kinase 7</t>
  </si>
  <si>
    <t>FACT complex subunit SPT16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</si>
  <si>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</si>
  <si>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</si>
  <si>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</si>
  <si>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</si>
  <si>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</si>
  <si>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</si>
  <si>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</si>
  <si>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</si>
  <si>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</si>
  <si>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</si>
  <si>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</si>
  <si>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</si>
  <si>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3</t>
  </si>
  <si>
    <t>Trafficking protein particle complex subunit 1</t>
  </si>
  <si>
    <t>Transient receptor potential cation channel subfamily V member 2</t>
  </si>
  <si>
    <t>RNA-binding protein 8A</t>
  </si>
  <si>
    <t>DnaJ homolog subfamily C member 15</t>
  </si>
  <si>
    <t>Isoform 2 of Ubiquitin carboxyl-terminal hydrolase 16</t>
  </si>
  <si>
    <t>Isoform 2 of Protein TSSC4</t>
  </si>
  <si>
    <t>Immediate early response 3-interacting protein 1</t>
  </si>
  <si>
    <t>Zinc finger protein 706</t>
  </si>
  <si>
    <t>Melanoma-associated antigen D1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</si>
  <si>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</si>
  <si>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</si>
  <si>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</si>
  <si>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</si>
  <si>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</si>
  <si>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</si>
  <si>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Host cell factor 2</t>
  </si>
  <si>
    <t>Isoform 2 of UbiA prenyltransferase domain-containing protein 1</t>
  </si>
  <si>
    <t>MORF4 family-associated protein 1</t>
  </si>
  <si>
    <t>Isoform 4 of Leucine-rich repeat flightless-interacting protein 2</t>
  </si>
  <si>
    <t>Phosphoserine aminotransferase</t>
  </si>
  <si>
    <t>Mitochondrial ornithine transporter 1</t>
  </si>
  <si>
    <t>Isoform 1 of Neuroplastin</t>
  </si>
  <si>
    <t>Spindlin-1</t>
  </si>
  <si>
    <t>Kaptin</t>
  </si>
  <si>
    <t>Solute carrier family 12 member 7</t>
  </si>
  <si>
    <t>Dolichyl-phosphate beta-glucosyltransferase</t>
  </si>
  <si>
    <t>28S ribosomal protein S18b, mitochondrial</t>
  </si>
  <si>
    <t>Coatomer subunit gamma-1</t>
  </si>
  <si>
    <t>Isoform Short of Ancient ubiquitous protein 1</t>
  </si>
  <si>
    <t>Isoform 2 of Peptidyl-prolyl cis-trans isomerase FKBP7</t>
  </si>
  <si>
    <t>Isoform 2 of ADP-ribosylation factor-like protein 5A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</si>
  <si>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</si>
  <si>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</si>
  <si>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</si>
  <si>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</si>
  <si>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</si>
  <si>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</si>
  <si>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AP-4 complex subunit beta-1</t>
  </si>
  <si>
    <t>Mitochondrial carrier homolog 2</t>
  </si>
  <si>
    <t>Brefeldin A-inhibited guanine nucleotide-exchange protein 1</t>
  </si>
  <si>
    <t>Mitotic spindle assembly checkpoint protein MAD1</t>
  </si>
  <si>
    <t>Isoform A of Serine/threonine-protein kinase 24</t>
  </si>
  <si>
    <t>Cytoplasmic dynein 1 light intermediate chain 1</t>
  </si>
  <si>
    <t>Coiled-coil-helix-coiled-coil-helix domain-containing protein 2, mitochondrial</t>
  </si>
  <si>
    <t>Mitochondrial inner membrane protease ATP23 homolog</t>
  </si>
  <si>
    <t>Epsin-1</t>
  </si>
  <si>
    <t>Testis-expressed sequence 264 protein</t>
  </si>
  <si>
    <t>DNA (cytosine-5)-methyltransferase 3A</t>
  </si>
  <si>
    <t>2-5-oligoadenylate synthase 3</t>
  </si>
  <si>
    <t>NF-kappa-B essential modulator</t>
  </si>
  <si>
    <t>Casein kinase I isoform gamma-3</t>
  </si>
  <si>
    <t>Zinc transporter 1</t>
  </si>
  <si>
    <t>NADH dehydrogenase [ubiquinone] 1 beta subcomplex subunit 9</t>
  </si>
  <si>
    <t>Cytochrome c oxidase assembly protein COX11, mitochondrial</t>
  </si>
  <si>
    <t>Sulfide:quinone oxidoreductase, mitochondrial</t>
  </si>
  <si>
    <t>Isoform 3 of Harmonin</t>
  </si>
  <si>
    <t>Isoform T1 of Sestrin-1</t>
  </si>
  <si>
    <t>Isoform 5 of Nuclear receptor coactivator 3</t>
  </si>
  <si>
    <t>Probable ATP-dependent RNA helicase DDX49</t>
  </si>
  <si>
    <t>Calpain-7</t>
  </si>
  <si>
    <t>Wiskott-Aldrich syndrome protein family member 2</t>
  </si>
  <si>
    <t>Soluble lamin-associated protein of 75 kDa</t>
  </si>
  <si>
    <t>Bis(5-adenosyl)-triphosphatase ENPP4</t>
  </si>
  <si>
    <t>Zinc fingers and homeoboxes protein 2</t>
  </si>
  <si>
    <t>MORC family CW-type zinc finger protein 2</t>
  </si>
  <si>
    <t>Influenza virus NS1A-binding protein</t>
  </si>
  <si>
    <t>26S proteasome non-ATPase regulatory subunit 8</t>
  </si>
  <si>
    <t>GDH/6PGL endoplasmic bifunctional protein</t>
  </si>
  <si>
    <t>Polycomb complex protein BMI-1</t>
  </si>
  <si>
    <t>Ran-binding protein 10</t>
  </si>
  <si>
    <t>YTH domain family protein 3</t>
  </si>
  <si>
    <t>DENN domain-containing protein 4C</t>
  </si>
  <si>
    <t>26S protease regulatory subunit 6A</t>
  </si>
  <si>
    <t>Insulin-like growth factor-binding protein 3 receptor (Fragment)</t>
  </si>
  <si>
    <t>UBA6</t>
  </si>
  <si>
    <t>UHRF1BP1L</t>
  </si>
  <si>
    <t>KIAA1598</t>
  </si>
  <si>
    <t>TMEM223</t>
  </si>
  <si>
    <t>ILVBL</t>
  </si>
  <si>
    <t>C17orf89</t>
  </si>
  <si>
    <t>NUFIP2</t>
  </si>
  <si>
    <t>SH3PXD2B</t>
  </si>
  <si>
    <t>ACO2</t>
  </si>
  <si>
    <t>ALG6</t>
  </si>
  <si>
    <t>PRNP</t>
  </si>
  <si>
    <t>PIPSL</t>
  </si>
  <si>
    <t>NELFE</t>
  </si>
  <si>
    <t>NBAS</t>
  </si>
  <si>
    <t>KIAA1467</t>
  </si>
  <si>
    <t>FUOM</t>
  </si>
  <si>
    <t>VWA8</t>
  </si>
  <si>
    <t>SBNO1</t>
  </si>
  <si>
    <t>FAM221A</t>
  </si>
  <si>
    <t>GTPBP10</t>
  </si>
  <si>
    <t>LCHN</t>
  </si>
  <si>
    <t>UCC1</t>
  </si>
  <si>
    <t>MBLAC1</t>
  </si>
  <si>
    <t>TMEM189</t>
  </si>
  <si>
    <t>TRAPPC13</t>
  </si>
  <si>
    <t>CNOT1</t>
  </si>
  <si>
    <t>CCDC88B</t>
  </si>
  <si>
    <t>PGP</t>
  </si>
  <si>
    <t>RCCD1</t>
  </si>
  <si>
    <t>HCFC1</t>
  </si>
  <si>
    <t>PIGK</t>
  </si>
  <si>
    <t>ZNF281</t>
  </si>
  <si>
    <t>ZNF316</t>
  </si>
  <si>
    <t>NUDT5</t>
  </si>
  <si>
    <t>CHMP1A</t>
  </si>
  <si>
    <t>PRCC</t>
  </si>
  <si>
    <t>HN1L</t>
  </si>
  <si>
    <t>ZMYM3</t>
  </si>
  <si>
    <t>TUBAL3</t>
  </si>
  <si>
    <t>FBLL1</t>
  </si>
  <si>
    <t>SMCHD1</t>
  </si>
  <si>
    <t>GATSL2</t>
  </si>
  <si>
    <t>UNC119B</t>
  </si>
  <si>
    <t>DOCK11</t>
  </si>
  <si>
    <t>NDEL1</t>
  </si>
  <si>
    <t>METTL15</t>
  </si>
  <si>
    <t>LIPT2</t>
  </si>
  <si>
    <t>CCDC85C</t>
  </si>
  <si>
    <t>GPR89C</t>
  </si>
  <si>
    <t>CNIH4</t>
  </si>
  <si>
    <t>SEPT8</t>
  </si>
  <si>
    <t>DIAPH2</t>
  </si>
  <si>
    <t>PHKA1</t>
  </si>
  <si>
    <t>POLA1</t>
  </si>
  <si>
    <t>ANXA6</t>
  </si>
  <si>
    <t>PPP2R4</t>
  </si>
  <si>
    <t>BTBD11</t>
  </si>
  <si>
    <t>ZBTB8OS</t>
  </si>
  <si>
    <t>SELK</t>
  </si>
  <si>
    <t>ZNF276</t>
  </si>
  <si>
    <t>YDJC</t>
  </si>
  <si>
    <t>MLLT4</t>
  </si>
  <si>
    <t>ZNF850</t>
  </si>
  <si>
    <t>SNRPB</t>
  </si>
  <si>
    <t>ARMC8</t>
  </si>
  <si>
    <t>DSCR3</t>
  </si>
  <si>
    <t>S100PBP</t>
  </si>
  <si>
    <t>SUMO3</t>
  </si>
  <si>
    <t>TUBA4A</t>
  </si>
  <si>
    <t>TSSC1</t>
  </si>
  <si>
    <t>ATF7IP</t>
  </si>
  <si>
    <t>FAM171A2</t>
  </si>
  <si>
    <t>BICD1</t>
  </si>
  <si>
    <t>PLRG1</t>
  </si>
  <si>
    <t>MATR3</t>
  </si>
  <si>
    <t>ADH1B</t>
  </si>
  <si>
    <t>LAIR1</t>
  </si>
  <si>
    <t>MIF4GD</t>
  </si>
  <si>
    <t>SRRM1</t>
  </si>
  <si>
    <t>KIAA0930</t>
  </si>
  <si>
    <t>PFKFB2</t>
  </si>
  <si>
    <t>MYO1G</t>
  </si>
  <si>
    <t>EIF3L</t>
  </si>
  <si>
    <t>SMCR7L</t>
  </si>
  <si>
    <t>TBC1D22A</t>
  </si>
  <si>
    <t>EWSR1</t>
  </si>
  <si>
    <t>BAG6</t>
  </si>
  <si>
    <t>ABHD16A</t>
  </si>
  <si>
    <t>EHMT2</t>
  </si>
  <si>
    <t>VARS</t>
  </si>
  <si>
    <t>APOC3</t>
  </si>
  <si>
    <t>NHP2L1</t>
  </si>
  <si>
    <t>CENPM</t>
  </si>
  <si>
    <t>TRAF3IP3</t>
  </si>
  <si>
    <t>PSMD10</t>
  </si>
  <si>
    <t>HMGCL</t>
  </si>
  <si>
    <t>MAD2L2</t>
  </si>
  <si>
    <t>EPHB2</t>
  </si>
  <si>
    <t>NRD1</t>
  </si>
  <si>
    <t>OSBPL9</t>
  </si>
  <si>
    <t>EIF4ENIF1</t>
  </si>
  <si>
    <t>NFIA</t>
  </si>
  <si>
    <t>DYNLRB1</t>
  </si>
  <si>
    <t>PEA15</t>
  </si>
  <si>
    <t>CDC37L1</t>
  </si>
  <si>
    <t>ARHGEF7</t>
  </si>
  <si>
    <t>TMEM9</t>
  </si>
  <si>
    <t>UBE2J2</t>
  </si>
  <si>
    <t>SEPT6</t>
  </si>
  <si>
    <t>EXOSC1</t>
  </si>
  <si>
    <t>CD58</t>
  </si>
  <si>
    <t>EIF4G3</t>
  </si>
  <si>
    <t>PRSS3</t>
  </si>
  <si>
    <t>GUK1</t>
  </si>
  <si>
    <t>USF1</t>
  </si>
  <si>
    <t>TAP1</t>
  </si>
  <si>
    <t>JMJD6</t>
  </si>
  <si>
    <t>PHC2</t>
  </si>
  <si>
    <t>ERCC1</t>
  </si>
  <si>
    <t>EIF3S3</t>
  </si>
  <si>
    <t>EIF3F</t>
  </si>
  <si>
    <t>LZTFL1</t>
  </si>
  <si>
    <t>SOD2</t>
  </si>
  <si>
    <t>PHF23</t>
  </si>
  <si>
    <t>AP1G1</t>
  </si>
  <si>
    <t>RXRA</t>
  </si>
  <si>
    <t>CDIPT</t>
  </si>
  <si>
    <t>CNN2</t>
  </si>
  <si>
    <t>HARS2</t>
  </si>
  <si>
    <t>REEP2</t>
  </si>
  <si>
    <t>TSPAN7</t>
  </si>
  <si>
    <t>PRNPIP</t>
  </si>
  <si>
    <t>NDUFA13</t>
  </si>
  <si>
    <t>MSTO1</t>
  </si>
  <si>
    <t>HAUS3</t>
  </si>
  <si>
    <t>HUS1</t>
  </si>
  <si>
    <t>CTNNB1</t>
  </si>
  <si>
    <t>PIP4K2A</t>
  </si>
  <si>
    <t>DCUN1D4</t>
  </si>
  <si>
    <t>MAP1S</t>
  </si>
  <si>
    <t>FBXW11</t>
  </si>
  <si>
    <t>BNIP3</t>
  </si>
  <si>
    <t>LRRC28</t>
  </si>
  <si>
    <t>ACSF2</t>
  </si>
  <si>
    <t>PIP5K1B</t>
  </si>
  <si>
    <t>RAB5A</t>
  </si>
  <si>
    <t>ISCA1</t>
  </si>
  <si>
    <t>PRKCH</t>
  </si>
  <si>
    <t>SNRPD3</t>
  </si>
  <si>
    <t>CS</t>
  </si>
  <si>
    <t>ZNF286A</t>
  </si>
  <si>
    <t>SHQ1</t>
  </si>
  <si>
    <t>CHURC1-FNTB</t>
  </si>
  <si>
    <t>SLC25A10</t>
  </si>
  <si>
    <t>RPS6KB1</t>
  </si>
  <si>
    <t>PGS1</t>
  </si>
  <si>
    <t>RNF220</t>
  </si>
  <si>
    <t>MRPL48</t>
  </si>
  <si>
    <t>ISCU</t>
  </si>
  <si>
    <t>ACY1</t>
  </si>
  <si>
    <t>PTGES3</t>
  </si>
  <si>
    <t>TOX4</t>
  </si>
  <si>
    <t>TRA2A</t>
  </si>
  <si>
    <t>PGD</t>
  </si>
  <si>
    <t>MGRN1</t>
  </si>
  <si>
    <t>SEC61A1</t>
  </si>
  <si>
    <t>CHM</t>
  </si>
  <si>
    <t>TXNDC15</t>
  </si>
  <si>
    <t>C9orf41</t>
  </si>
  <si>
    <t>PTBP2</t>
  </si>
  <si>
    <t>ANXA7</t>
  </si>
  <si>
    <t>SLC9A1</t>
  </si>
  <si>
    <t>SERINC3</t>
  </si>
  <si>
    <t>OSBPL5</t>
  </si>
  <si>
    <t>ANXA11</t>
  </si>
  <si>
    <t>EIF3D</t>
  </si>
  <si>
    <t>ZNFN1A2</t>
  </si>
  <si>
    <t>HACL1</t>
  </si>
  <si>
    <t>FXR1</t>
  </si>
  <si>
    <t>NUP35</t>
  </si>
  <si>
    <t>HDAC6</t>
  </si>
  <si>
    <t>TMEM134</t>
  </si>
  <si>
    <t>PEX5</t>
  </si>
  <si>
    <t>LRCH3</t>
  </si>
  <si>
    <t>MST4</t>
  </si>
  <si>
    <t>EDEM2</t>
  </si>
  <si>
    <t>DERL1</t>
  </si>
  <si>
    <t>RIOK3</t>
  </si>
  <si>
    <t>SFRS3</t>
  </si>
  <si>
    <t>GPC4</t>
  </si>
  <si>
    <t>LAMP2</t>
  </si>
  <si>
    <t>STOM</t>
  </si>
  <si>
    <t>METTL13</t>
  </si>
  <si>
    <t>CECR1</t>
  </si>
  <si>
    <t>LBH</t>
  </si>
  <si>
    <t>SYNGR1</t>
  </si>
  <si>
    <t>PES1</t>
  </si>
  <si>
    <t>NCOA1</t>
  </si>
  <si>
    <t>PPM1F</t>
  </si>
  <si>
    <t>STXBP4</t>
  </si>
  <si>
    <t>NLRC3</t>
  </si>
  <si>
    <t>RFT1</t>
  </si>
  <si>
    <t>C2orf43</t>
  </si>
  <si>
    <t>TCF7</t>
  </si>
  <si>
    <t>CWC22</t>
  </si>
  <si>
    <t>EML3</t>
  </si>
  <si>
    <t>RIC8B</t>
  </si>
  <si>
    <t>ATP6V1A</t>
  </si>
  <si>
    <t>PDIA6</t>
  </si>
  <si>
    <t>MTMR9</t>
  </si>
  <si>
    <t>MFSD8</t>
  </si>
  <si>
    <t>TXNRD1</t>
  </si>
  <si>
    <t>ALAD</t>
  </si>
  <si>
    <t>TMEM128</t>
  </si>
  <si>
    <t>TBCE</t>
  </si>
  <si>
    <t>DNASE2</t>
  </si>
  <si>
    <t>ERF</t>
  </si>
  <si>
    <t>P2RX4</t>
  </si>
  <si>
    <t>INPP5K</t>
  </si>
  <si>
    <t>CCBL1</t>
  </si>
  <si>
    <t>STMN3</t>
  </si>
  <si>
    <t>F11R</t>
  </si>
  <si>
    <t>DECR1</t>
  </si>
  <si>
    <t>TNFAIP1</t>
  </si>
  <si>
    <t>TMEM106A</t>
  </si>
  <si>
    <t>TRUB2</t>
  </si>
  <si>
    <t>ZKSCAN4</t>
  </si>
  <si>
    <t>ATL2</t>
  </si>
  <si>
    <t>USP7</t>
  </si>
  <si>
    <t>DHCR24</t>
  </si>
  <si>
    <t>EMB</t>
  </si>
  <si>
    <t>ATP6AP2</t>
  </si>
  <si>
    <t>ATP1B1</t>
  </si>
  <si>
    <t>PMS1</t>
  </si>
  <si>
    <t>FOXP4</t>
  </si>
  <si>
    <t>SH3GLB2</t>
  </si>
  <si>
    <t>PPP2R5E</t>
  </si>
  <si>
    <t>SCARB1</t>
  </si>
  <si>
    <t>COX18</t>
  </si>
  <si>
    <t>GMIP</t>
  </si>
  <si>
    <t>EDEM3</t>
  </si>
  <si>
    <t>RLTPR</t>
  </si>
  <si>
    <t>SUMO1</t>
  </si>
  <si>
    <t>PTMA</t>
  </si>
  <si>
    <t>ATF2</t>
  </si>
  <si>
    <t>COQ10B</t>
  </si>
  <si>
    <t>IMP4</t>
  </si>
  <si>
    <t>USP39</t>
  </si>
  <si>
    <t>RHBDD1</t>
  </si>
  <si>
    <t>COA5</t>
  </si>
  <si>
    <t>PEX7</t>
  </si>
  <si>
    <t>BAK1</t>
  </si>
  <si>
    <t>ATG12</t>
  </si>
  <si>
    <t>WASH3P</t>
  </si>
  <si>
    <t>LAT</t>
  </si>
  <si>
    <t>CSTA</t>
  </si>
  <si>
    <t>ZC3HC1</t>
  </si>
  <si>
    <t>PFN2</t>
  </si>
  <si>
    <t>SRI</t>
  </si>
  <si>
    <t>MEGF9</t>
  </si>
  <si>
    <t>WDR91</t>
  </si>
  <si>
    <t>UBE2F</t>
  </si>
  <si>
    <t>UBE2E1</t>
  </si>
  <si>
    <t>CBLL1</t>
  </si>
  <si>
    <t>TAMM41</t>
  </si>
  <si>
    <t>IKBKG</t>
  </si>
  <si>
    <t>POLR2B</t>
  </si>
  <si>
    <t>IMPDH1</t>
  </si>
  <si>
    <t>CMSS1</t>
  </si>
  <si>
    <t>CROT</t>
  </si>
  <si>
    <t>CBWD2</t>
  </si>
  <si>
    <t>MKRN2</t>
  </si>
  <si>
    <t>PDCD10</t>
  </si>
  <si>
    <t>TAGLN3</t>
  </si>
  <si>
    <t>IGF1R</t>
  </si>
  <si>
    <t>FAM107B</t>
  </si>
  <si>
    <t>ZC3HAV1</t>
  </si>
  <si>
    <t>TNPO3</t>
  </si>
  <si>
    <t>PLSCR1</t>
  </si>
  <si>
    <t>PHF15</t>
  </si>
  <si>
    <t>AGAP3</t>
  </si>
  <si>
    <t>RPSA</t>
  </si>
  <si>
    <t>COA1</t>
  </si>
  <si>
    <t>NMD3</t>
  </si>
  <si>
    <t>SSR3</t>
  </si>
  <si>
    <t>SRSF7</t>
  </si>
  <si>
    <t>FXN</t>
  </si>
  <si>
    <t>BSDC1</t>
  </si>
  <si>
    <t>SPCS1</t>
  </si>
  <si>
    <t>MRPS33</t>
  </si>
  <si>
    <t>DRAP1</t>
  </si>
  <si>
    <t>MAP4K2</t>
  </si>
  <si>
    <t>FAIM</t>
  </si>
  <si>
    <t>TMUB1</t>
  </si>
  <si>
    <t>CACNA2D2</t>
  </si>
  <si>
    <t>NCOR2</t>
  </si>
  <si>
    <t>EIF4E2</t>
  </si>
  <si>
    <t>OSCP1</t>
  </si>
  <si>
    <t>TRAT1</t>
  </si>
  <si>
    <t>GPS1</t>
  </si>
  <si>
    <t>CYCS</t>
  </si>
  <si>
    <t>ITM2C</t>
  </si>
  <si>
    <t>AAMP</t>
  </si>
  <si>
    <t>APEH</t>
  </si>
  <si>
    <t>PSAP</t>
  </si>
  <si>
    <t>MRPS34</t>
  </si>
  <si>
    <t>VPS8</t>
  </si>
  <si>
    <t>SLC38A5</t>
  </si>
  <si>
    <t>POLR2H</t>
  </si>
  <si>
    <t>APAF1</t>
  </si>
  <si>
    <t>OARD1</t>
  </si>
  <si>
    <t>MBNL1</t>
  </si>
  <si>
    <t>CRTAP</t>
  </si>
  <si>
    <t>CCNL1</t>
  </si>
  <si>
    <t>NKIRAS2</t>
  </si>
  <si>
    <t>CCDC58</t>
  </si>
  <si>
    <t>IMMP2L</t>
  </si>
  <si>
    <t>SEC22A</t>
  </si>
  <si>
    <t>CHCHD3</t>
  </si>
  <si>
    <t>AKR1B15</t>
  </si>
  <si>
    <t>IKZF1</t>
  </si>
  <si>
    <t>DGKB</t>
  </si>
  <si>
    <t>FOXJ3</t>
  </si>
  <si>
    <t>AP4M1</t>
  </si>
  <si>
    <t>EPHA3</t>
  </si>
  <si>
    <t>RPL24</t>
  </si>
  <si>
    <t>POP7</t>
  </si>
  <si>
    <t>RPL22L1</t>
  </si>
  <si>
    <t>ARFGAP3</t>
  </si>
  <si>
    <t>UBE2H</t>
  </si>
  <si>
    <t>XAF1</t>
  </si>
  <si>
    <t>HMG20B</t>
  </si>
  <si>
    <t>SNUPN</t>
  </si>
  <si>
    <t>BTN3A3</t>
  </si>
  <si>
    <t>SDC3</t>
  </si>
  <si>
    <t>EIF4G2</t>
  </si>
  <si>
    <t>XPO6</t>
  </si>
  <si>
    <t>SLC4A7</t>
  </si>
  <si>
    <t>CXADR</t>
  </si>
  <si>
    <t>RPL32</t>
  </si>
  <si>
    <t>KRI1</t>
  </si>
  <si>
    <t>PHF20L1</t>
  </si>
  <si>
    <t>NDOR1</t>
  </si>
  <si>
    <t>TAPBP</t>
  </si>
  <si>
    <t>MRPS36</t>
  </si>
  <si>
    <t>HNRNPAB</t>
  </si>
  <si>
    <t>POLR3G</t>
  </si>
  <si>
    <t>COX7C</t>
  </si>
  <si>
    <t>CDK7</t>
  </si>
  <si>
    <t>LYRM9</t>
  </si>
  <si>
    <t>CNBP</t>
  </si>
  <si>
    <t>IRF2</t>
  </si>
  <si>
    <t>EIF4E</t>
  </si>
  <si>
    <t>HSD17B11</t>
  </si>
  <si>
    <t>TNFAIP8</t>
  </si>
  <si>
    <t>PRELID1</t>
  </si>
  <si>
    <t>GNGT2</t>
  </si>
  <si>
    <t>ATG10</t>
  </si>
  <si>
    <t>PET112</t>
  </si>
  <si>
    <t>CDC42SE2</t>
  </si>
  <si>
    <t>FAM175A</t>
  </si>
  <si>
    <t>CSNK1A1</t>
  </si>
  <si>
    <t>SEC31A</t>
  </si>
  <si>
    <t>STX18</t>
  </si>
  <si>
    <t>DCK</t>
  </si>
  <si>
    <t>APBB2</t>
  </si>
  <si>
    <t>SEPT11</t>
  </si>
  <si>
    <t>TNIP2</t>
  </si>
  <si>
    <t>ADH6</t>
  </si>
  <si>
    <t>CENPK</t>
  </si>
  <si>
    <t>SERINC5</t>
  </si>
  <si>
    <t>CCNH</t>
  </si>
  <si>
    <t>RNASET2</t>
  </si>
  <si>
    <t>CPLX1</t>
  </si>
  <si>
    <t>COX7A2</t>
  </si>
  <si>
    <t>RNF150</t>
  </si>
  <si>
    <t>CLDND1</t>
  </si>
  <si>
    <t>MFSD10</t>
  </si>
  <si>
    <t>ZNF346</t>
  </si>
  <si>
    <t>COMMD10</t>
  </si>
  <si>
    <t>HNRPLL</t>
  </si>
  <si>
    <t>GMNN</t>
  </si>
  <si>
    <t>ELOVL5</t>
  </si>
  <si>
    <t>CA1</t>
  </si>
  <si>
    <t>NSMCE2</t>
  </si>
  <si>
    <t>CPEB4</t>
  </si>
  <si>
    <t>EPHX2</t>
  </si>
  <si>
    <t>TATDN1</t>
  </si>
  <si>
    <t>TRIQK</t>
  </si>
  <si>
    <t>RWDD1</t>
  </si>
  <si>
    <t>STMN2</t>
  </si>
  <si>
    <t>TCEB1</t>
  </si>
  <si>
    <t>UQCRB</t>
  </si>
  <si>
    <t>TMEM66</t>
  </si>
  <si>
    <t>C5orf45</t>
  </si>
  <si>
    <t>RNF130</t>
  </si>
  <si>
    <t>TTI2</t>
  </si>
  <si>
    <t>LEPROTL1</t>
  </si>
  <si>
    <t>IMPA1</t>
  </si>
  <si>
    <t>SERF1A</t>
  </si>
  <si>
    <t>TMEM55A</t>
  </si>
  <si>
    <t>CHCHD7</t>
  </si>
  <si>
    <t>AP3B1</t>
  </si>
  <si>
    <t>ZFAND1</t>
  </si>
  <si>
    <t>MRPL13</t>
  </si>
  <si>
    <t>SKP1</t>
  </si>
  <si>
    <t>CETN3</t>
  </si>
  <si>
    <t>PIGG</t>
  </si>
  <si>
    <t>COPS6</t>
  </si>
  <si>
    <t>RNF5</t>
  </si>
  <si>
    <t>ATHL1</t>
  </si>
  <si>
    <t>ASAH1</t>
  </si>
  <si>
    <t>PPP1R2</t>
  </si>
  <si>
    <t>TNIP1</t>
  </si>
  <si>
    <t>MAP4K4</t>
  </si>
  <si>
    <t>KIAA0319L</t>
  </si>
  <si>
    <t>NCSTN</t>
  </si>
  <si>
    <t>CALCOCO2</t>
  </si>
  <si>
    <t>HK1</t>
  </si>
  <si>
    <t>ADAR</t>
  </si>
  <si>
    <t>LRFN4</t>
  </si>
  <si>
    <t>C19orf25</t>
  </si>
  <si>
    <t>RPL14</t>
  </si>
  <si>
    <t>TOM1</t>
  </si>
  <si>
    <t>ZCCHC17</t>
  </si>
  <si>
    <t>PDXDC1</t>
  </si>
  <si>
    <t>NDUFV2</t>
  </si>
  <si>
    <t>AP5M1</t>
  </si>
  <si>
    <t>NAA50</t>
  </si>
  <si>
    <t>LTF</t>
  </si>
  <si>
    <t>SENP6</t>
  </si>
  <si>
    <t>YIPF3</t>
  </si>
  <si>
    <t>ACIN1</t>
  </si>
  <si>
    <t>RPL15</t>
  </si>
  <si>
    <t>SMN1</t>
  </si>
  <si>
    <t>ATP2C1</t>
  </si>
  <si>
    <t>KLHDC3</t>
  </si>
  <si>
    <t>ZC3H18</t>
  </si>
  <si>
    <t>DST</t>
  </si>
  <si>
    <t>HSPA4L</t>
  </si>
  <si>
    <t>WDR17</t>
  </si>
  <si>
    <t>CAST</t>
  </si>
  <si>
    <t>SLC38A9</t>
  </si>
  <si>
    <t>CTBP1</t>
  </si>
  <si>
    <t>NDUFA10</t>
  </si>
  <si>
    <t>U2SURP</t>
  </si>
  <si>
    <t>DNPEP</t>
  </si>
  <si>
    <t>RPS24</t>
  </si>
  <si>
    <t>SYS1</t>
  </si>
  <si>
    <t>LAMP3</t>
  </si>
  <si>
    <t>RBMS1</t>
  </si>
  <si>
    <t>BZW2</t>
  </si>
  <si>
    <t>ARAP1</t>
  </si>
  <si>
    <t>GDI2</t>
  </si>
  <si>
    <t>CBFA2T3</t>
  </si>
  <si>
    <t>PITPNC1</t>
  </si>
  <si>
    <t>CSNK2A1</t>
  </si>
  <si>
    <t>UGP2</t>
  </si>
  <si>
    <t>ABCD3</t>
  </si>
  <si>
    <t>NUP54</t>
  </si>
  <si>
    <t>CAPN5</t>
  </si>
  <si>
    <t>PGBD3</t>
  </si>
  <si>
    <t>MAP4</t>
  </si>
  <si>
    <t>ATG16L1</t>
  </si>
  <si>
    <t>HDHD1</t>
  </si>
  <si>
    <t>CYFIP2</t>
  </si>
  <si>
    <t>TAL1</t>
  </si>
  <si>
    <t>RAI1</t>
  </si>
  <si>
    <t>MYO6</t>
  </si>
  <si>
    <t>MON1B</t>
  </si>
  <si>
    <t>ABI2</t>
  </si>
  <si>
    <t>EXOC6</t>
  </si>
  <si>
    <t>ZMIZ2</t>
  </si>
  <si>
    <t>C16orf62</t>
  </si>
  <si>
    <t>MPP2</t>
  </si>
  <si>
    <t>EIF4B</t>
  </si>
  <si>
    <t>EIF4G1</t>
  </si>
  <si>
    <t>DCTN1</t>
  </si>
  <si>
    <t>PRB4</t>
  </si>
  <si>
    <t>RAVER1</t>
  </si>
  <si>
    <t>HES4</t>
  </si>
  <si>
    <t>ALYREF</t>
  </si>
  <si>
    <t>SDHA</t>
  </si>
  <si>
    <t>TMEM201</t>
  </si>
  <si>
    <t>BUB1</t>
  </si>
  <si>
    <t>CELF2</t>
  </si>
  <si>
    <t>EIF2B5</t>
  </si>
  <si>
    <t>TMCC1</t>
  </si>
  <si>
    <t>GUCY1B3</t>
  </si>
  <si>
    <t>USP15</t>
  </si>
  <si>
    <t>GUSB</t>
  </si>
  <si>
    <t>SPHK2</t>
  </si>
  <si>
    <t>GOSR1</t>
  </si>
  <si>
    <t>RCAN1</t>
  </si>
  <si>
    <t>MYO1B</t>
  </si>
  <si>
    <t>PCCB</t>
  </si>
  <si>
    <t>WDR6</t>
  </si>
  <si>
    <t>ITGB6</t>
  </si>
  <si>
    <t>SYNE1</t>
  </si>
  <si>
    <t>XPO7</t>
  </si>
  <si>
    <t>DIAPH1</t>
  </si>
  <si>
    <t>MRPL3</t>
  </si>
  <si>
    <t>HADH</t>
  </si>
  <si>
    <t>TBL2</t>
  </si>
  <si>
    <t>RABGEF1</t>
  </si>
  <si>
    <t>PCBP3</t>
  </si>
  <si>
    <t>PPP2R5D</t>
  </si>
  <si>
    <t>ZFAND2B</t>
  </si>
  <si>
    <t>FCHSD2</t>
  </si>
  <si>
    <t>CEP97</t>
  </si>
  <si>
    <t>MCCC1</t>
  </si>
  <si>
    <t>RASA1</t>
  </si>
  <si>
    <t>MAP1A</t>
  </si>
  <si>
    <t>TBC1D23</t>
  </si>
  <si>
    <t>MGEA5</t>
  </si>
  <si>
    <t>SLC25A44</t>
  </si>
  <si>
    <t>FNBP1</t>
  </si>
  <si>
    <t>TSN</t>
  </si>
  <si>
    <t>RPS6KA1</t>
  </si>
  <si>
    <t>COPS8</t>
  </si>
  <si>
    <t>PRDX3</t>
  </si>
  <si>
    <t>CYP20A1</t>
  </si>
  <si>
    <t>EPB41L2</t>
  </si>
  <si>
    <t>CTSW</t>
  </si>
  <si>
    <t>SPCS2</t>
  </si>
  <si>
    <t>GLI1</t>
  </si>
  <si>
    <t>MTCH2</t>
  </si>
  <si>
    <t>THY1</t>
  </si>
  <si>
    <t>PHRF1</t>
  </si>
  <si>
    <t>TCP11L1</t>
  </si>
  <si>
    <t>PDE4DIP</t>
  </si>
  <si>
    <t>UBXN1</t>
  </si>
  <si>
    <t>CYHR1</t>
  </si>
  <si>
    <t>BRMS1</t>
  </si>
  <si>
    <t>CD81</t>
  </si>
  <si>
    <t>FBXO3</t>
  </si>
  <si>
    <t>EEF1D</t>
  </si>
  <si>
    <t>PARP10</t>
  </si>
  <si>
    <t>BCLAF1</t>
  </si>
  <si>
    <t>RCE1</t>
  </si>
  <si>
    <t>PLEKHA7</t>
  </si>
  <si>
    <t>PRMT1</t>
  </si>
  <si>
    <t>TP53I11</t>
  </si>
  <si>
    <t>MRPL17</t>
  </si>
  <si>
    <t>TTC9C</t>
  </si>
  <si>
    <t>RPL8</t>
  </si>
  <si>
    <t>BTF3L4</t>
  </si>
  <si>
    <t>CLP1</t>
  </si>
  <si>
    <t>EI24</t>
  </si>
  <si>
    <t>NEDD8-MDP1</t>
  </si>
  <si>
    <t>CHIA</t>
  </si>
  <si>
    <t>NPEPPS</t>
  </si>
  <si>
    <t>RPL27A</t>
  </si>
  <si>
    <t>USP47</t>
  </si>
  <si>
    <t>C11orf58</t>
  </si>
  <si>
    <t>CLNS1A</t>
  </si>
  <si>
    <t>FAM118B</t>
  </si>
  <si>
    <t>PEX16</t>
  </si>
  <si>
    <t>HSF1</t>
  </si>
  <si>
    <t>CD151</t>
  </si>
  <si>
    <t>LMO7</t>
  </si>
  <si>
    <t>MANEAL</t>
  </si>
  <si>
    <t>EBAG9</t>
  </si>
  <si>
    <t>AAMDC</t>
  </si>
  <si>
    <t>ARHGAP27</t>
  </si>
  <si>
    <t>CD59</t>
  </si>
  <si>
    <t>LRRC14</t>
  </si>
  <si>
    <t>RAG2</t>
  </si>
  <si>
    <t>GPAA1</t>
  </si>
  <si>
    <t>VWA5B1</t>
  </si>
  <si>
    <t>CBR1</t>
  </si>
  <si>
    <t>ACP2</t>
  </si>
  <si>
    <t>FAU</t>
  </si>
  <si>
    <t>MAF1</t>
  </si>
  <si>
    <t>ARL14EP</t>
  </si>
  <si>
    <t>SLC22A18</t>
  </si>
  <si>
    <t>SCYL1</t>
  </si>
  <si>
    <t>PTDSS2</t>
  </si>
  <si>
    <t>SLC43A3</t>
  </si>
  <si>
    <t>TSPAN4</t>
  </si>
  <si>
    <t>CD3E</t>
  </si>
  <si>
    <t>TM9SF1</t>
  </si>
  <si>
    <t>TUBGCP2</t>
  </si>
  <si>
    <t>IQGAP3</t>
  </si>
  <si>
    <t>TRRAP</t>
  </si>
  <si>
    <t>MYH14</t>
  </si>
  <si>
    <t>TRMT2A</t>
  </si>
  <si>
    <t>XPO4</t>
  </si>
  <si>
    <t>VEZT</t>
  </si>
  <si>
    <t>SHANK3</t>
  </si>
  <si>
    <t>GTF2H3</t>
  </si>
  <si>
    <t>TMEM258</t>
  </si>
  <si>
    <t>CCDC53</t>
  </si>
  <si>
    <t>PIK3C2B</t>
  </si>
  <si>
    <t>WNK1</t>
  </si>
  <si>
    <t>SMAD5</t>
  </si>
  <si>
    <t>CHD4</t>
  </si>
  <si>
    <t>PODXL</t>
  </si>
  <si>
    <t>FAM76B</t>
  </si>
  <si>
    <t>DNMT1</t>
  </si>
  <si>
    <t>FRYL</t>
  </si>
  <si>
    <t>HLA-C</t>
  </si>
  <si>
    <t>SUCLA2</t>
  </si>
  <si>
    <t>ATE1</t>
  </si>
  <si>
    <t>AFF1</t>
  </si>
  <si>
    <t>PTPRK</t>
  </si>
  <si>
    <t>STIM2</t>
  </si>
  <si>
    <t>DNAJB11</t>
  </si>
  <si>
    <t>DAD1</t>
  </si>
  <si>
    <t>GPBP1</t>
  </si>
  <si>
    <t>GALNT1</t>
  </si>
  <si>
    <t>RPS6KA3</t>
  </si>
  <si>
    <t>OTUB1</t>
  </si>
  <si>
    <t>ATP6V0D1</t>
  </si>
  <si>
    <t>PXN</t>
  </si>
  <si>
    <t>DTL</t>
  </si>
  <si>
    <t>TPK1</t>
  </si>
  <si>
    <t>EXTL2</t>
  </si>
  <si>
    <t>DHX36</t>
  </si>
  <si>
    <t>SLC3A2</t>
  </si>
  <si>
    <t>FAM120B</t>
  </si>
  <si>
    <t>GABARAPL1</t>
  </si>
  <si>
    <t>TRIM21</t>
  </si>
  <si>
    <t>FAM65B</t>
  </si>
  <si>
    <t>TPD52</t>
  </si>
  <si>
    <t>ANAPC5</t>
  </si>
  <si>
    <t>SOX5</t>
  </si>
  <si>
    <t>SEC23IP</t>
  </si>
  <si>
    <t>LPCAT3</t>
  </si>
  <si>
    <t>CLASRP</t>
  </si>
  <si>
    <t>TUT1</t>
  </si>
  <si>
    <t>RRN3</t>
  </si>
  <si>
    <t>POLE</t>
  </si>
  <si>
    <t>FBLN2</t>
  </si>
  <si>
    <t>ABI1</t>
  </si>
  <si>
    <t>HELB</t>
  </si>
  <si>
    <t>TXNRD2</t>
  </si>
  <si>
    <t>KIAA1211</t>
  </si>
  <si>
    <t>FLJ22184</t>
  </si>
  <si>
    <t>STARD10</t>
  </si>
  <si>
    <t>TMEM135</t>
  </si>
  <si>
    <t>SYT10</t>
  </si>
  <si>
    <t>ANKLE2</t>
  </si>
  <si>
    <t>VMP1</t>
  </si>
  <si>
    <t>KIAA1715</t>
  </si>
  <si>
    <t>DCTN2</t>
  </si>
  <si>
    <t>PRPF4B</t>
  </si>
  <si>
    <t>CIZ1</t>
  </si>
  <si>
    <t>XAB2</t>
  </si>
  <si>
    <t>SEC23A</t>
  </si>
  <si>
    <t>FZD10</t>
  </si>
  <si>
    <t>KPNA6</t>
  </si>
  <si>
    <t>VPS37C</t>
  </si>
  <si>
    <t>NFATC1</t>
  </si>
  <si>
    <t>PDCD2</t>
  </si>
  <si>
    <t>KLHL42</t>
  </si>
  <si>
    <t>SSH2</t>
  </si>
  <si>
    <t>ATP6V0A1</t>
  </si>
  <si>
    <t>BRK1</t>
  </si>
  <si>
    <t>TUBA1C</t>
  </si>
  <si>
    <t>GRSF1</t>
  </si>
  <si>
    <t>NDUFS7</t>
  </si>
  <si>
    <t>BCKDHA</t>
  </si>
  <si>
    <t>NAT1</t>
  </si>
  <si>
    <t>CLASP2</t>
  </si>
  <si>
    <t>OXNAD1</t>
  </si>
  <si>
    <t>CLEC2B</t>
  </si>
  <si>
    <t>KDM6A</t>
  </si>
  <si>
    <t>FAM60A</t>
  </si>
  <si>
    <t>AIDA</t>
  </si>
  <si>
    <t>WBP11</t>
  </si>
  <si>
    <t>MGA</t>
  </si>
  <si>
    <t>MFGE8</t>
  </si>
  <si>
    <t>REEP1</t>
  </si>
  <si>
    <t>OGDH</t>
  </si>
  <si>
    <t>SLC16A7</t>
  </si>
  <si>
    <t>INPP4A</t>
  </si>
  <si>
    <t>ASCC1</t>
  </si>
  <si>
    <t>SPINT1</t>
  </si>
  <si>
    <t>TRAP1</t>
  </si>
  <si>
    <t>MVK</t>
  </si>
  <si>
    <t>CLPTM1</t>
  </si>
  <si>
    <t>RABGAP1L</t>
  </si>
  <si>
    <t>SIDT2</t>
  </si>
  <si>
    <t>EPN2</t>
  </si>
  <si>
    <t>CDPF1</t>
  </si>
  <si>
    <t>PDE12</t>
  </si>
  <si>
    <t>PPP3R1</t>
  </si>
  <si>
    <t>RBM38</t>
  </si>
  <si>
    <t>MAP2K7</t>
  </si>
  <si>
    <t>NME2</t>
  </si>
  <si>
    <t>CAD</t>
  </si>
  <si>
    <t>C12orf75</t>
  </si>
  <si>
    <t>METTL7A</t>
  </si>
  <si>
    <t>UIMC1</t>
  </si>
  <si>
    <t>METAP2</t>
  </si>
  <si>
    <t>RBFOX1</t>
  </si>
  <si>
    <t>TMEM19</t>
  </si>
  <si>
    <t>NFYB</t>
  </si>
  <si>
    <t>PLXNA1</t>
  </si>
  <si>
    <t>RFPL4AL1</t>
  </si>
  <si>
    <t>FKBP11</t>
  </si>
  <si>
    <t>NAP1L1</t>
  </si>
  <si>
    <t>COPZ1</t>
  </si>
  <si>
    <t>TMEM106C</t>
  </si>
  <si>
    <t>CSRP2</t>
  </si>
  <si>
    <t>MON2</t>
  </si>
  <si>
    <t>ALG10B</t>
  </si>
  <si>
    <t>TFCP2</t>
  </si>
  <si>
    <t>SLC38A1</t>
  </si>
  <si>
    <t>TGIF1</t>
  </si>
  <si>
    <t>SCAF11</t>
  </si>
  <si>
    <t>CHST11</t>
  </si>
  <si>
    <t>TARBP2</t>
  </si>
  <si>
    <t>ARL1</t>
  </si>
  <si>
    <t>NACA</t>
  </si>
  <si>
    <t>C17orf49</t>
  </si>
  <si>
    <t>TROAP</t>
  </si>
  <si>
    <t>PPHLN1</t>
  </si>
  <si>
    <t>ERGIC2</t>
  </si>
  <si>
    <t>RPL6</t>
  </si>
  <si>
    <t>RFX5</t>
  </si>
  <si>
    <t>HNRNPA1</t>
  </si>
  <si>
    <t>BAP1</t>
  </si>
  <si>
    <t>ZNF384</t>
  </si>
  <si>
    <t>TLE4</t>
  </si>
  <si>
    <t>PBLD</t>
  </si>
  <si>
    <t>FAM162A</t>
  </si>
  <si>
    <t>YTHDF1</t>
  </si>
  <si>
    <t>SLBP</t>
  </si>
  <si>
    <t>MYB</t>
  </si>
  <si>
    <t>TIA1</t>
  </si>
  <si>
    <t>ACACB</t>
  </si>
  <si>
    <t>RTN4</t>
  </si>
  <si>
    <t>FSD1L</t>
  </si>
  <si>
    <t>MEF2A</t>
  </si>
  <si>
    <t>MED24</t>
  </si>
  <si>
    <t>CCDC93</t>
  </si>
  <si>
    <t>CLASP1</t>
  </si>
  <si>
    <t>MTMR1</t>
  </si>
  <si>
    <t>ADAM22</t>
  </si>
  <si>
    <t>STAG2</t>
  </si>
  <si>
    <t>MRPL40</t>
  </si>
  <si>
    <t>POLR2F</t>
  </si>
  <si>
    <t>DOM3Z</t>
  </si>
  <si>
    <t>SAC3D1</t>
  </si>
  <si>
    <t>RNF149</t>
  </si>
  <si>
    <t>ARPC4</t>
  </si>
  <si>
    <t>NEB</t>
  </si>
  <si>
    <t>DONSON</t>
  </si>
  <si>
    <t>SAMD1</t>
  </si>
  <si>
    <t>SLC25A17</t>
  </si>
  <si>
    <t>MYO5A</t>
  </si>
  <si>
    <t>MMADHC</t>
  </si>
  <si>
    <t>ALG3</t>
  </si>
  <si>
    <t>CPSF6</t>
  </si>
  <si>
    <t>TRAPPC2</t>
  </si>
  <si>
    <t>NDUFV1</t>
  </si>
  <si>
    <t>OTUD4</t>
  </si>
  <si>
    <t>MTERFD1</t>
  </si>
  <si>
    <t>PARP2</t>
  </si>
  <si>
    <t>GSDMD</t>
  </si>
  <si>
    <t>DPP3</t>
  </si>
  <si>
    <t>LOH12CR1</t>
  </si>
  <si>
    <t>SEPT7</t>
  </si>
  <si>
    <t>ACSL6</t>
  </si>
  <si>
    <t>GOLT1B</t>
  </si>
  <si>
    <t>YAF2</t>
  </si>
  <si>
    <t>RPL18</t>
  </si>
  <si>
    <t>ACYP1</t>
  </si>
  <si>
    <t>ATP5J2-PTCD1</t>
  </si>
  <si>
    <t>PTGR2</t>
  </si>
  <si>
    <t>DCAF8</t>
  </si>
  <si>
    <t>NFKBIA</t>
  </si>
  <si>
    <t>GNG2</t>
  </si>
  <si>
    <t>ATXN3</t>
  </si>
  <si>
    <t>MRPL52</t>
  </si>
  <si>
    <t>SIVA1</t>
  </si>
  <si>
    <t>MED6</t>
  </si>
  <si>
    <t>VIPAS39</t>
  </si>
  <si>
    <t>AP4S1</t>
  </si>
  <si>
    <t>HNRNPC</t>
  </si>
  <si>
    <t>DDX24</t>
  </si>
  <si>
    <t>FAM177A1</t>
  </si>
  <si>
    <t>CTAGE5</t>
  </si>
  <si>
    <t>GSTZ1</t>
  </si>
  <si>
    <t>CDK2</t>
  </si>
  <si>
    <t>ARID1B</t>
  </si>
  <si>
    <t>SLC26A6</t>
  </si>
  <si>
    <t>FAM179B</t>
  </si>
  <si>
    <t>FAM133B</t>
  </si>
  <si>
    <t>TRAM1</t>
  </si>
  <si>
    <t>TIMM8B</t>
  </si>
  <si>
    <t>ABCB8</t>
  </si>
  <si>
    <t>SBF1</t>
  </si>
  <si>
    <t>GPR107</t>
  </si>
  <si>
    <t>USP11</t>
  </si>
  <si>
    <t>CABIN1</t>
  </si>
  <si>
    <t>ECT2</t>
  </si>
  <si>
    <t>MRPS22</t>
  </si>
  <si>
    <t>GIMAP4</t>
  </si>
  <si>
    <t>FAT3</t>
  </si>
  <si>
    <t>CELF1</t>
  </si>
  <si>
    <t>CDC27</t>
  </si>
  <si>
    <t>PDIA3</t>
  </si>
  <si>
    <t>TDG</t>
  </si>
  <si>
    <t>MYL6</t>
  </si>
  <si>
    <t>PUS1</t>
  </si>
  <si>
    <t>HNRNPH1</t>
  </si>
  <si>
    <t>ERC1</t>
  </si>
  <si>
    <t>CDC25B</t>
  </si>
  <si>
    <t>WDR45</t>
  </si>
  <si>
    <t>LEPREL2</t>
  </si>
  <si>
    <t>TACC1</t>
  </si>
  <si>
    <t>CAPN14</t>
  </si>
  <si>
    <t>PPT2</t>
  </si>
  <si>
    <t>MVB12B</t>
  </si>
  <si>
    <t>TH1L</t>
  </si>
  <si>
    <t>PIGX</t>
  </si>
  <si>
    <t>LIN9</t>
  </si>
  <si>
    <t>MTHFD1L</t>
  </si>
  <si>
    <t>ODF2</t>
  </si>
  <si>
    <t>DAB2IP</t>
  </si>
  <si>
    <t>PRRC2B</t>
  </si>
  <si>
    <t>SIK3</t>
  </si>
  <si>
    <t>MYD88</t>
  </si>
  <si>
    <t>PAEP</t>
  </si>
  <si>
    <t>ATP11A</t>
  </si>
  <si>
    <t>PREP</t>
  </si>
  <si>
    <t>UFM1</t>
  </si>
  <si>
    <t>PYCRL</t>
  </si>
  <si>
    <t>BRD2</t>
  </si>
  <si>
    <t>CD1C</t>
  </si>
  <si>
    <t>CALM2</t>
  </si>
  <si>
    <t>PISD</t>
  </si>
  <si>
    <t>TMEM222</t>
  </si>
  <si>
    <t>CHIC2</t>
  </si>
  <si>
    <t>RGS14</t>
  </si>
  <si>
    <t>DACH2</t>
  </si>
  <si>
    <t>ADH4</t>
  </si>
  <si>
    <t>PPIP5K2</t>
  </si>
  <si>
    <t>DCP2</t>
  </si>
  <si>
    <t>TMA16</t>
  </si>
  <si>
    <t>CNOT6L</t>
  </si>
  <si>
    <t>PCBD2</t>
  </si>
  <si>
    <t>MAN2B2</t>
  </si>
  <si>
    <t>PABPC1</t>
  </si>
  <si>
    <t>RRM2B</t>
  </si>
  <si>
    <t>TXNRD3</t>
  </si>
  <si>
    <t>PTK2</t>
  </si>
  <si>
    <t>MTFR1</t>
  </si>
  <si>
    <t>CD47</t>
  </si>
  <si>
    <t>TSTA3</t>
  </si>
  <si>
    <t>GLB1L2</t>
  </si>
  <si>
    <t>ALG8</t>
  </si>
  <si>
    <t>UBQLN1</t>
  </si>
  <si>
    <t>PPP5C</t>
  </si>
  <si>
    <t>CD44</t>
  </si>
  <si>
    <t>CHI3L2</t>
  </si>
  <si>
    <t>SSSCA1</t>
  </si>
  <si>
    <t>RNASEH2C</t>
  </si>
  <si>
    <t>C8orf82</t>
  </si>
  <si>
    <t>REXO2</t>
  </si>
  <si>
    <t>ATXN2</t>
  </si>
  <si>
    <t>KANSL2</t>
  </si>
  <si>
    <t>STRN3</t>
  </si>
  <si>
    <t>TPM1</t>
  </si>
  <si>
    <t>EMC4</t>
  </si>
  <si>
    <t>EID1</t>
  </si>
  <si>
    <t>TSPAN3</t>
  </si>
  <si>
    <t>TLE3</t>
  </si>
  <si>
    <t>SORD</t>
  </si>
  <si>
    <t>POU2F1</t>
  </si>
  <si>
    <t>HMBOX1</t>
  </si>
  <si>
    <t>FAM63B</t>
  </si>
  <si>
    <t>SHF</t>
  </si>
  <si>
    <t>RFX7</t>
  </si>
  <si>
    <t>GMPR2</t>
  </si>
  <si>
    <t>MORF4L1</t>
  </si>
  <si>
    <t>RPS27L</t>
  </si>
  <si>
    <t>CINP</t>
  </si>
  <si>
    <t>CHST14</t>
  </si>
  <si>
    <t>C15orf57</t>
  </si>
  <si>
    <t>SEC11A</t>
  </si>
  <si>
    <t>EMC9</t>
  </si>
  <si>
    <t>UACA</t>
  </si>
  <si>
    <t>BLM</t>
  </si>
  <si>
    <t>LSAMP</t>
  </si>
  <si>
    <t>CD55</t>
  </si>
  <si>
    <t>TMEM63B</t>
  </si>
  <si>
    <t>DBNDD1</t>
  </si>
  <si>
    <t>DDX17</t>
  </si>
  <si>
    <t>NUB1</t>
  </si>
  <si>
    <t>TSC2</t>
  </si>
  <si>
    <t>BLOC1S6</t>
  </si>
  <si>
    <t>LYRM1</t>
  </si>
  <si>
    <t>MPHOSPH6</t>
  </si>
  <si>
    <t>TRAPPC2L</t>
  </si>
  <si>
    <t>HEXA</t>
  </si>
  <si>
    <t>COQ7</t>
  </si>
  <si>
    <t>MPI</t>
  </si>
  <si>
    <t>UBE2I</t>
  </si>
  <si>
    <t>MACF1</t>
  </si>
  <si>
    <t>FBXL19</t>
  </si>
  <si>
    <t>SNAPC5</t>
  </si>
  <si>
    <t>PAPD5</t>
  </si>
  <si>
    <t>COG8</t>
  </si>
  <si>
    <t>SPNS1</t>
  </si>
  <si>
    <t>ZFYVE19</t>
  </si>
  <si>
    <t>UBFD1</t>
  </si>
  <si>
    <t>ABAT</t>
  </si>
  <si>
    <t>EIF3C</t>
  </si>
  <si>
    <t>VWA9</t>
  </si>
  <si>
    <t>C15orf41</t>
  </si>
  <si>
    <t>SMIM1</t>
  </si>
  <si>
    <t>C16orf58</t>
  </si>
  <si>
    <t>CTU2</t>
  </si>
  <si>
    <t>CCNDBP1</t>
  </si>
  <si>
    <t>EARS2</t>
  </si>
  <si>
    <t>MAP1LC3B</t>
  </si>
  <si>
    <t>PKM</t>
  </si>
  <si>
    <t>CENPT</t>
  </si>
  <si>
    <t>RNF166</t>
  </si>
  <si>
    <t>CDR2</t>
  </si>
  <si>
    <t>ARL2BP</t>
  </si>
  <si>
    <t>RNPS1</t>
  </si>
  <si>
    <t>GABARAP</t>
  </si>
  <si>
    <t>GCA</t>
  </si>
  <si>
    <t>SMPD4</t>
  </si>
  <si>
    <t>SAP130</t>
  </si>
  <si>
    <t>PPP6R3</t>
  </si>
  <si>
    <t>METTL21A</t>
  </si>
  <si>
    <t>ESYT2</t>
  </si>
  <si>
    <t>ERGIC3</t>
  </si>
  <si>
    <t>TMEM41A</t>
  </si>
  <si>
    <t>ARHGAP19</t>
  </si>
  <si>
    <t>MPC1</t>
  </si>
  <si>
    <t>DHX30</t>
  </si>
  <si>
    <t>ZBTB44</t>
  </si>
  <si>
    <t>PCMT1</t>
  </si>
  <si>
    <t>GTF3C5</t>
  </si>
  <si>
    <t>WRB</t>
  </si>
  <si>
    <t>BNIP2</t>
  </si>
  <si>
    <t>CDKN3</t>
  </si>
  <si>
    <t>RTN4R</t>
  </si>
  <si>
    <t>BRD8</t>
  </si>
  <si>
    <t>RAF1</t>
  </si>
  <si>
    <t>MZT2B</t>
  </si>
  <si>
    <t>MMP8</t>
  </si>
  <si>
    <t>CC2D1B</t>
  </si>
  <si>
    <t>APOO</t>
  </si>
  <si>
    <t>CTDSP1</t>
  </si>
  <si>
    <t>TSPAN15</t>
  </si>
  <si>
    <t>MRPL23</t>
  </si>
  <si>
    <t>C1orf86</t>
  </si>
  <si>
    <t>SNAP47</t>
  </si>
  <si>
    <t>FAM134A</t>
  </si>
  <si>
    <t>CMC1</t>
  </si>
  <si>
    <t>GNS</t>
  </si>
  <si>
    <t>ARV1</t>
  </si>
  <si>
    <t>NDFIP2</t>
  </si>
  <si>
    <t>IAH1</t>
  </si>
  <si>
    <t>PARP14</t>
  </si>
  <si>
    <t>KIF18B</t>
  </si>
  <si>
    <t>PRC1</t>
  </si>
  <si>
    <t>SLC22A17</t>
  </si>
  <si>
    <t>MICU1</t>
  </si>
  <si>
    <t>GABPB1</t>
  </si>
  <si>
    <t>SMG1</t>
  </si>
  <si>
    <t>GOSR2</t>
  </si>
  <si>
    <t>RNF167</t>
  </si>
  <si>
    <t>NSF</t>
  </si>
  <si>
    <t>SAT2</t>
  </si>
  <si>
    <t>DGKE</t>
  </si>
  <si>
    <t>RPGRIP1L</t>
  </si>
  <si>
    <t>DPH1</t>
  </si>
  <si>
    <t>MYL4</t>
  </si>
  <si>
    <t>MYBBP1A</t>
  </si>
  <si>
    <t>SLC25A11</t>
  </si>
  <si>
    <t>BCL7C</t>
  </si>
  <si>
    <t>ELP5</t>
  </si>
  <si>
    <t>B3GNTL1</t>
  </si>
  <si>
    <t>CLUH</t>
  </si>
  <si>
    <t>GEMIN4</t>
  </si>
  <si>
    <t>CIC</t>
  </si>
  <si>
    <t>AZI1</t>
  </si>
  <si>
    <t>FAM195B</t>
  </si>
  <si>
    <t>PELP1</t>
  </si>
  <si>
    <t>CTDNEP1</t>
  </si>
  <si>
    <t>CCNE1</t>
  </si>
  <si>
    <t>ATPAF1</t>
  </si>
  <si>
    <t>SPAG7</t>
  </si>
  <si>
    <t>KANSL1</t>
  </si>
  <si>
    <t>NFKBIB</t>
  </si>
  <si>
    <t>CENPI</t>
  </si>
  <si>
    <t>UBR5</t>
  </si>
  <si>
    <t>CACTIN</t>
  </si>
  <si>
    <t>SMARCD2</t>
  </si>
  <si>
    <t>NPC2</t>
  </si>
  <si>
    <t>INTS2</t>
  </si>
  <si>
    <t>LDLR</t>
  </si>
  <si>
    <t>PI4KA</t>
  </si>
  <si>
    <t>KIAA0368</t>
  </si>
  <si>
    <t>FBRSL1</t>
  </si>
  <si>
    <t>PSMD9</t>
  </si>
  <si>
    <t>RCOR1</t>
  </si>
  <si>
    <t>TF</t>
  </si>
  <si>
    <t>TOR1AIP1</t>
  </si>
  <si>
    <t>TPM3</t>
  </si>
  <si>
    <t>NCEH1</t>
  </si>
  <si>
    <t>ANKRD44</t>
  </si>
  <si>
    <t>OXA1L</t>
  </si>
  <si>
    <t>MAP3K4</t>
  </si>
  <si>
    <t>RGPD3</t>
  </si>
  <si>
    <t>CCS</t>
  </si>
  <si>
    <t>CEP290</t>
  </si>
  <si>
    <t>CYB5B</t>
  </si>
  <si>
    <t>COG4</t>
  </si>
  <si>
    <t>SEPT1</t>
  </si>
  <si>
    <t>CHID1</t>
  </si>
  <si>
    <t>SEC16A</t>
  </si>
  <si>
    <t>AGAP2</t>
  </si>
  <si>
    <t>PHKG2</t>
  </si>
  <si>
    <t>DDX41</t>
  </si>
  <si>
    <t>BRAP</t>
  </si>
  <si>
    <t>SEMA4B</t>
  </si>
  <si>
    <t>MARK3</t>
  </si>
  <si>
    <t>ZNF292</t>
  </si>
  <si>
    <t>FHL2</t>
  </si>
  <si>
    <t>MYO18A</t>
  </si>
  <si>
    <t>SRSF2</t>
  </si>
  <si>
    <t>SIPA1L1</t>
  </si>
  <si>
    <t>PTPRA</t>
  </si>
  <si>
    <t>ANKRD46</t>
  </si>
  <si>
    <t>PHACTR2</t>
  </si>
  <si>
    <t>RAP1GAP</t>
  </si>
  <si>
    <t>RBM7</t>
  </si>
  <si>
    <t>KIF3A</t>
  </si>
  <si>
    <t>PSTPIP1</t>
  </si>
  <si>
    <t>SECISBP2L</t>
  </si>
  <si>
    <t>SYNJ1</t>
  </si>
  <si>
    <t>PNPLA8</t>
  </si>
  <si>
    <t>TESC</t>
  </si>
  <si>
    <t>ARRB1</t>
  </si>
  <si>
    <t>ARHGAP9</t>
  </si>
  <si>
    <t>DNAJB12</t>
  </si>
  <si>
    <t>TRABD</t>
  </si>
  <si>
    <t>HDAC2</t>
  </si>
  <si>
    <t>ANTXR2</t>
  </si>
  <si>
    <t>C1D</t>
  </si>
  <si>
    <t>RFXANK</t>
  </si>
  <si>
    <t>OLA1</t>
  </si>
  <si>
    <t>COPS7B</t>
  </si>
  <si>
    <t>TGOLN2</t>
  </si>
  <si>
    <t>PTRH2</t>
  </si>
  <si>
    <t>FBXO6</t>
  </si>
  <si>
    <t>C6orf203</t>
  </si>
  <si>
    <t>C6orf120</t>
  </si>
  <si>
    <t>SLC25A36</t>
  </si>
  <si>
    <t>THUMPD1</t>
  </si>
  <si>
    <t>FAM213B</t>
  </si>
  <si>
    <t>RAN</t>
  </si>
  <si>
    <t>GBA</t>
  </si>
  <si>
    <t>SUMF2</t>
  </si>
  <si>
    <t>APOL2</t>
  </si>
  <si>
    <t>BABAM1</t>
  </si>
  <si>
    <t>NAPEPLD</t>
  </si>
  <si>
    <t>CCDC12</t>
  </si>
  <si>
    <t>TAF6</t>
  </si>
  <si>
    <t>TBCD</t>
  </si>
  <si>
    <t>C16orf55</t>
  </si>
  <si>
    <t>SS18</t>
  </si>
  <si>
    <t>CBX1</t>
  </si>
  <si>
    <t>ICT1</t>
  </si>
  <si>
    <t>TMEM199</t>
  </si>
  <si>
    <t>KCTD1</t>
  </si>
  <si>
    <t>HEXDC</t>
  </si>
  <si>
    <t>FBXL20</t>
  </si>
  <si>
    <t>ZNF207</t>
  </si>
  <si>
    <t>SRSF1</t>
  </si>
  <si>
    <t>CHERP</t>
  </si>
  <si>
    <t>SCO1</t>
  </si>
  <si>
    <t>SCRN2</t>
  </si>
  <si>
    <t>HP</t>
  </si>
  <si>
    <t>STARD3</t>
  </si>
  <si>
    <t>MRPS7</t>
  </si>
  <si>
    <t>SNX11</t>
  </si>
  <si>
    <t>SAP30BP</t>
  </si>
  <si>
    <t>TRAPPC8</t>
  </si>
  <si>
    <t>MBP</t>
  </si>
  <si>
    <t>RPL17</t>
  </si>
  <si>
    <t>FDXR</t>
  </si>
  <si>
    <t>STRA13</t>
  </si>
  <si>
    <t>YTHDC1</t>
  </si>
  <si>
    <t>RPL19</t>
  </si>
  <si>
    <t>CD226</t>
  </si>
  <si>
    <t>NADK</t>
  </si>
  <si>
    <t>ALDH3A2</t>
  </si>
  <si>
    <t>ORMDL3</t>
  </si>
  <si>
    <t>MYL12A</t>
  </si>
  <si>
    <t>YES1</t>
  </si>
  <si>
    <t>VAMP2</t>
  </si>
  <si>
    <t>VEZF1</t>
  </si>
  <si>
    <t>CRBN</t>
  </si>
  <si>
    <t>BAG1</t>
  </si>
  <si>
    <t>CHCHD6</t>
  </si>
  <si>
    <t>C17orf75</t>
  </si>
  <si>
    <t>LMNB2</t>
  </si>
  <si>
    <t>TMCO1</t>
  </si>
  <si>
    <t>RWDD4</t>
  </si>
  <si>
    <t>CUL4B</t>
  </si>
  <si>
    <t>WBP2</t>
  </si>
  <si>
    <t>NUDT16L1</t>
  </si>
  <si>
    <t>YIPF2</t>
  </si>
  <si>
    <t>SMAD4</t>
  </si>
  <si>
    <t>HEATR6</t>
  </si>
  <si>
    <t>STX10</t>
  </si>
  <si>
    <t>RPS15</t>
  </si>
  <si>
    <t>SNRPD2</t>
  </si>
  <si>
    <t>CALR</t>
  </si>
  <si>
    <t>SPC24</t>
  </si>
  <si>
    <t>SEC11C</t>
  </si>
  <si>
    <t>FAM210A</t>
  </si>
  <si>
    <t>H3F3B</t>
  </si>
  <si>
    <t>LONP1</t>
  </si>
  <si>
    <t>ATXN7L3</t>
  </si>
  <si>
    <t>PPL</t>
  </si>
  <si>
    <t>TMUB2</t>
  </si>
  <si>
    <t>CDC37</t>
  </si>
  <si>
    <t>PPP1R12C</t>
  </si>
  <si>
    <t>AES</t>
  </si>
  <si>
    <t>PRKCSH</t>
  </si>
  <si>
    <t>KATNAL2</t>
  </si>
  <si>
    <t>TMEM205</t>
  </si>
  <si>
    <t>TLE2</t>
  </si>
  <si>
    <t>ZNF444</t>
  </si>
  <si>
    <t>C19orf57</t>
  </si>
  <si>
    <t>ELOF1</t>
  </si>
  <si>
    <t>hCG_2039718</t>
  </si>
  <si>
    <t>NARS</t>
  </si>
  <si>
    <t>C18orf8</t>
  </si>
  <si>
    <t>CYTH1</t>
  </si>
  <si>
    <t>PSMG2</t>
  </si>
  <si>
    <t>ISOC2</t>
  </si>
  <si>
    <t>RBM42</t>
  </si>
  <si>
    <t>C19orf12</t>
  </si>
  <si>
    <t>TMEM161A</t>
  </si>
  <si>
    <t>TPM4</t>
  </si>
  <si>
    <t>FARSA</t>
  </si>
  <si>
    <t>MAP4K1</t>
  </si>
  <si>
    <t>EIF3K</t>
  </si>
  <si>
    <t>GJC1</t>
  </si>
  <si>
    <t>YIF1B</t>
  </si>
  <si>
    <t>ZNF580</t>
  </si>
  <si>
    <t>UBE2O</t>
  </si>
  <si>
    <t>FAM86A</t>
  </si>
  <si>
    <t>RAD23A</t>
  </si>
  <si>
    <t>NFIX</t>
  </si>
  <si>
    <t>DNM2</t>
  </si>
  <si>
    <t>DCAKD</t>
  </si>
  <si>
    <t>SARS2</t>
  </si>
  <si>
    <t>PAF1</t>
  </si>
  <si>
    <t>KLK3</t>
  </si>
  <si>
    <t>WIZ</t>
  </si>
  <si>
    <t>ZNF428</t>
  </si>
  <si>
    <t>EPS15L1</t>
  </si>
  <si>
    <t>ZC3H4</t>
  </si>
  <si>
    <t>TUBB4A</t>
  </si>
  <si>
    <t>RPL13A</t>
  </si>
  <si>
    <t>SAMD4B</t>
  </si>
  <si>
    <t>FCHO1</t>
  </si>
  <si>
    <t>JOSD2</t>
  </si>
  <si>
    <t>CD37</t>
  </si>
  <si>
    <t>ARHGEF1</t>
  </si>
  <si>
    <t>ZNF575</t>
  </si>
  <si>
    <t>KXD1</t>
  </si>
  <si>
    <t>RPS5</t>
  </si>
  <si>
    <t>AP2S1</t>
  </si>
  <si>
    <t>MRPL34</t>
  </si>
  <si>
    <t>EMC10</t>
  </si>
  <si>
    <t>POLD1</t>
  </si>
  <si>
    <t>SHKBP1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</si>
  <si>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</si>
  <si>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</si>
  <si>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</si>
  <si>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</si>
  <si>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</si>
  <si>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</si>
  <si>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</si>
  <si>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</si>
  <si>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SNAP23</t>
  </si>
  <si>
    <t>HAX1</t>
  </si>
  <si>
    <t>AIP</t>
  </si>
  <si>
    <t>GTPBP1</t>
  </si>
  <si>
    <t>KCNK1</t>
  </si>
  <si>
    <t>STXBP3</t>
  </si>
  <si>
    <t>LGALS8</t>
  </si>
  <si>
    <t>NDUFS8</t>
  </si>
  <si>
    <t>NFKBIE</t>
  </si>
  <si>
    <t>PSMD11</t>
  </si>
  <si>
    <t>PSMD12</t>
  </si>
  <si>
    <t>ATOX1</t>
  </si>
  <si>
    <t>MEN1</t>
  </si>
  <si>
    <t>CBX4</t>
  </si>
  <si>
    <t>PGRMC1</t>
  </si>
  <si>
    <t>SUPT5H</t>
  </si>
  <si>
    <t>DFFA</t>
  </si>
  <si>
    <t>RFXAP</t>
  </si>
  <si>
    <t>HIP1</t>
  </si>
  <si>
    <t>CLIC1</t>
  </si>
  <si>
    <t>PIK3CD</t>
  </si>
  <si>
    <t>PDHX</t>
  </si>
  <si>
    <t>QSOX1</t>
  </si>
  <si>
    <t>DCTN6</t>
  </si>
  <si>
    <t>SLC33A1</t>
  </si>
  <si>
    <t>IPO5</t>
  </si>
  <si>
    <t>EEF2K</t>
  </si>
  <si>
    <t>SAP18</t>
  </si>
  <si>
    <t>IGF2BP3</t>
  </si>
  <si>
    <t>DNM1L</t>
  </si>
  <si>
    <t>RTCA</t>
  </si>
  <si>
    <t>PIK3R2</t>
  </si>
  <si>
    <t>MANBA</t>
  </si>
  <si>
    <t>TRAF5</t>
  </si>
  <si>
    <t>EXOC5</t>
  </si>
  <si>
    <t>HMGN4</t>
  </si>
  <si>
    <t>NDUFA4</t>
  </si>
  <si>
    <t>PSMD14</t>
  </si>
  <si>
    <t>ZNF593</t>
  </si>
  <si>
    <t>BIN1</t>
  </si>
  <si>
    <t>KPNA3</t>
  </si>
  <si>
    <t>STK25</t>
  </si>
  <si>
    <t>BCL9</t>
  </si>
  <si>
    <t>VWA5A</t>
  </si>
  <si>
    <t>SDCBP</t>
  </si>
  <si>
    <t>MPHOSPH10</t>
  </si>
  <si>
    <t>NOP56</t>
  </si>
  <si>
    <t>DDX3X</t>
  </si>
  <si>
    <t>KPNA4</t>
  </si>
  <si>
    <t>PPP6C</t>
  </si>
  <si>
    <t>MAN2B1</t>
  </si>
  <si>
    <t>UBE2C</t>
  </si>
  <si>
    <t>PDXK</t>
  </si>
  <si>
    <t>SCD</t>
  </si>
  <si>
    <t>ARID1A</t>
  </si>
  <si>
    <t>CDK2AP1</t>
  </si>
  <si>
    <t>C2CD2L</t>
  </si>
  <si>
    <t>TMEM194A</t>
  </si>
  <si>
    <t>TXNDC9</t>
  </si>
  <si>
    <t>TRAFD1</t>
  </si>
  <si>
    <t>COX7A2L</t>
  </si>
  <si>
    <t>GAPDHS</t>
  </si>
  <si>
    <t>NDUFAB1</t>
  </si>
  <si>
    <t>CYB561D2</t>
  </si>
  <si>
    <t>CIT</t>
  </si>
  <si>
    <t>COPE</t>
  </si>
  <si>
    <t>EIF1AY</t>
  </si>
  <si>
    <t>AP3D1</t>
  </si>
  <si>
    <t>TOR1A</t>
  </si>
  <si>
    <t>TOR1B</t>
  </si>
  <si>
    <t>STX16</t>
  </si>
  <si>
    <t>ADAM10</t>
  </si>
  <si>
    <t>ABCD4</t>
  </si>
  <si>
    <t>MLL2</t>
  </si>
  <si>
    <t>IMPA2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</si>
  <si>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</si>
  <si>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</si>
  <si>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</si>
  <si>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</si>
  <si>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</si>
  <si>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</si>
  <si>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</si>
  <si>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</si>
  <si>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GNB5</t>
  </si>
  <si>
    <t>TCERG1</t>
  </si>
  <si>
    <t>NDC80</t>
  </si>
  <si>
    <t>TNPO2</t>
  </si>
  <si>
    <t>POLR3A</t>
  </si>
  <si>
    <t>PSMA7</t>
  </si>
  <si>
    <t>SCAMP3</t>
  </si>
  <si>
    <t>OPLAH</t>
  </si>
  <si>
    <t>BACH1</t>
  </si>
  <si>
    <t>GEMIN2</t>
  </si>
  <si>
    <t>TAX1BP3</t>
  </si>
  <si>
    <t>GIPC1</t>
  </si>
  <si>
    <t>IKBKB</t>
  </si>
  <si>
    <t>TIMM23</t>
  </si>
  <si>
    <t>HAT1</t>
  </si>
  <si>
    <t>UBE2L6</t>
  </si>
  <si>
    <t>UQCRQ</t>
  </si>
  <si>
    <t>HGS</t>
  </si>
  <si>
    <t>AURKA</t>
  </si>
  <si>
    <t>RAB7L1</t>
  </si>
  <si>
    <t>CLGN</t>
  </si>
  <si>
    <t>PPP1R12A</t>
  </si>
  <si>
    <t>SLC27A2</t>
  </si>
  <si>
    <t>GAK</t>
  </si>
  <si>
    <t>HNRPDL</t>
  </si>
  <si>
    <t>XPO1</t>
  </si>
  <si>
    <t>BTAF1</t>
  </si>
  <si>
    <t>ZNF609</t>
  </si>
  <si>
    <t>ZNF646</t>
  </si>
  <si>
    <t>SPTBN2</t>
  </si>
  <si>
    <t>TECPR2</t>
  </si>
  <si>
    <t>SETD1A</t>
  </si>
  <si>
    <t>SYNJ2</t>
  </si>
  <si>
    <t>KIF3B</t>
  </si>
  <si>
    <t>PFAS</t>
  </si>
  <si>
    <t>ANKRD28</t>
  </si>
  <si>
    <t>ARHGEF11</t>
  </si>
  <si>
    <t>KIAA0391</t>
  </si>
  <si>
    <t>CHUK</t>
  </si>
  <si>
    <t>LSM1</t>
  </si>
  <si>
    <t>FYB</t>
  </si>
  <si>
    <t>NPC1</t>
  </si>
  <si>
    <t>SCAMP1</t>
  </si>
  <si>
    <t>SCAMP2</t>
  </si>
  <si>
    <t>ARPC1B</t>
  </si>
  <si>
    <t>ARPC2</t>
  </si>
  <si>
    <t>ARPC3</t>
  </si>
  <si>
    <t>BET1</t>
  </si>
  <si>
    <t>POLR1C</t>
  </si>
  <si>
    <t>LDLRAD4</t>
  </si>
  <si>
    <t>PGRMC2</t>
  </si>
  <si>
    <t>PFDN6</t>
  </si>
  <si>
    <t>WDR46</t>
  </si>
  <si>
    <t>GNPAT</t>
  </si>
  <si>
    <t>CASC3</t>
  </si>
  <si>
    <t>MRPS12</t>
  </si>
  <si>
    <t>NDUFA1</t>
  </si>
  <si>
    <t>ACOX3</t>
  </si>
  <si>
    <t>RER1</t>
  </si>
  <si>
    <t>SPTLC1</t>
  </si>
  <si>
    <t>SPTLC2</t>
  </si>
  <si>
    <t>OGT</t>
  </si>
  <si>
    <t>PMM2</t>
  </si>
  <si>
    <t>MID1</t>
  </si>
  <si>
    <t>HMGB3</t>
  </si>
  <si>
    <t>PPM1G</t>
  </si>
  <si>
    <t>HDAC3</t>
  </si>
  <si>
    <t>NVL</t>
  </si>
  <si>
    <t>BCAT2</t>
  </si>
  <si>
    <t>BIRC5</t>
  </si>
  <si>
    <t>IPO8</t>
  </si>
  <si>
    <t>STX7</t>
  </si>
  <si>
    <t>SLC16A3</t>
  </si>
  <si>
    <t>SLC31A1</t>
  </si>
  <si>
    <t>ABCC4</t>
  </si>
  <si>
    <t>CD3EAP</t>
  </si>
  <si>
    <t>YKT6</t>
  </si>
  <si>
    <t>ARPC5</t>
  </si>
  <si>
    <t>POLR2D</t>
  </si>
  <si>
    <t>PDPK1</t>
  </si>
  <si>
    <t>RNF113A</t>
  </si>
  <si>
    <t>DHX15</t>
  </si>
  <si>
    <t>RNMT</t>
  </si>
  <si>
    <t>ZZEF1</t>
  </si>
  <si>
    <t>TTI1</t>
  </si>
  <si>
    <t>PLXNB1</t>
  </si>
  <si>
    <t>PJA2</t>
  </si>
  <si>
    <t>PRPF4</t>
  </si>
  <si>
    <t>PHGDH</t>
  </si>
  <si>
    <t>NDUFS4</t>
  </si>
  <si>
    <t>DYNC1LI2</t>
  </si>
  <si>
    <t>PSMD3</t>
  </si>
  <si>
    <t>PAPSS1</t>
  </si>
  <si>
    <t>ZW10</t>
  </si>
  <si>
    <t>SART1</t>
  </si>
  <si>
    <t>SPINT2</t>
  </si>
  <si>
    <t>SRGAP3</t>
  </si>
  <si>
    <t>ZBTB43</t>
  </si>
  <si>
    <t>CTIF</t>
  </si>
  <si>
    <t>MAP3K7</t>
  </si>
  <si>
    <t>EEF1E1</t>
  </si>
  <si>
    <t>HNRNPR</t>
  </si>
  <si>
    <t>PRPF3</t>
  </si>
  <si>
    <t>TXNL1</t>
  </si>
  <si>
    <t>TPD52L2</t>
  </si>
  <si>
    <t>EMC8</t>
  </si>
  <si>
    <t>PRKRIR</t>
  </si>
  <si>
    <t>FIBP</t>
  </si>
  <si>
    <t>PPIH</t>
  </si>
  <si>
    <t>HTRA2</t>
  </si>
  <si>
    <t>OIP5</t>
  </si>
  <si>
    <t>AKR7A2</t>
  </si>
  <si>
    <t>RAD51C</t>
  </si>
  <si>
    <t>LAMTOR5</t>
  </si>
  <si>
    <t>B3GNT1</t>
  </si>
  <si>
    <t>MED7</t>
  </si>
  <si>
    <t>WIPF1</t>
  </si>
  <si>
    <t>FOXO3</t>
  </si>
  <si>
    <t>XRCC3</t>
  </si>
  <si>
    <t>XRCC2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</si>
  <si>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</si>
  <si>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</si>
  <si>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</si>
  <si>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</si>
  <si>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</si>
  <si>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</si>
  <si>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</si>
  <si>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</si>
  <si>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RGS10</t>
  </si>
  <si>
    <t>NDUFB5</t>
  </si>
  <si>
    <t>NDUFB3</t>
  </si>
  <si>
    <t>NDUFC1</t>
  </si>
  <si>
    <t>NDUFA2</t>
  </si>
  <si>
    <t>ASNA1</t>
  </si>
  <si>
    <t>BUB3</t>
  </si>
  <si>
    <t>ACTN4</t>
  </si>
  <si>
    <t>WBSCR22</t>
  </si>
  <si>
    <t>TRIAP1</t>
  </si>
  <si>
    <t>HTATSF1</t>
  </si>
  <si>
    <t>ITM2A</t>
  </si>
  <si>
    <t>STX6</t>
  </si>
  <si>
    <t>SYNGR2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</si>
  <si>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</si>
  <si>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</si>
  <si>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</si>
  <si>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</si>
  <si>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</si>
  <si>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</si>
  <si>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</si>
  <si>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</si>
  <si>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</si>
  <si>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</si>
  <si>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</si>
  <si>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AKAP8</t>
  </si>
  <si>
    <t>GTPBP6</t>
  </si>
  <si>
    <t>ZBTB14</t>
  </si>
  <si>
    <t>IDH3B</t>
  </si>
  <si>
    <t>CALU</t>
  </si>
  <si>
    <t>ATP9B</t>
  </si>
  <si>
    <t>AHCYL1</t>
  </si>
  <si>
    <t>KIF1C</t>
  </si>
  <si>
    <t>ORC5</t>
  </si>
  <si>
    <t>NDUFS5</t>
  </si>
  <si>
    <t>PDE6D</t>
  </si>
  <si>
    <t>PEX1</t>
  </si>
  <si>
    <t>RAD21</t>
  </si>
  <si>
    <t>AKR1B10</t>
  </si>
  <si>
    <t>TIMM8A</t>
  </si>
  <si>
    <t>DHX16</t>
  </si>
  <si>
    <t>GMFG</t>
  </si>
  <si>
    <t>SH3BP5</t>
  </si>
  <si>
    <t>MED14</t>
  </si>
  <si>
    <t>PRPSAP2</t>
  </si>
  <si>
    <t>GNG7</t>
  </si>
  <si>
    <t>SMARCA5</t>
  </si>
  <si>
    <t>SPAG9</t>
  </si>
  <si>
    <t>URB1</t>
  </si>
  <si>
    <t>LCMT2</t>
  </si>
  <si>
    <t>AQR</t>
  </si>
  <si>
    <t>MAST3</t>
  </si>
  <si>
    <t>OPA1</t>
  </si>
  <si>
    <t>PIP5K1C</t>
  </si>
  <si>
    <t>KIF1B</t>
  </si>
  <si>
    <t>KDM1A</t>
  </si>
  <si>
    <t>TBC1D4</t>
  </si>
  <si>
    <t>ECE2</t>
  </si>
  <si>
    <t>FZD6</t>
  </si>
  <si>
    <t>NME2P1</t>
  </si>
  <si>
    <t>FADS1</t>
  </si>
  <si>
    <t>DFNA5</t>
  </si>
  <si>
    <t>MAN1A2</t>
  </si>
  <si>
    <t>ACSL4</t>
  </si>
  <si>
    <t>SNX3</t>
  </si>
  <si>
    <t>DOK2</t>
  </si>
  <si>
    <t>SORBS3</t>
  </si>
  <si>
    <t>SYNCRIP</t>
  </si>
  <si>
    <t>CDC40</t>
  </si>
  <si>
    <t>RANBP6</t>
  </si>
  <si>
    <t>NEMF</t>
  </si>
  <si>
    <t>GMDS</t>
  </si>
  <si>
    <t>NMT2</t>
  </si>
  <si>
    <t>CCNT1</t>
  </si>
  <si>
    <t>BUB1B</t>
  </si>
  <si>
    <t>PLOD3</t>
  </si>
  <si>
    <t>CCNT2</t>
  </si>
  <si>
    <t>SEP15</t>
  </si>
  <si>
    <t>EXOC3</t>
  </si>
  <si>
    <t>PLIN3</t>
  </si>
  <si>
    <t>RAD1</t>
  </si>
  <si>
    <t>PRMT3</t>
  </si>
  <si>
    <t>UGDH</t>
  </si>
  <si>
    <t>TPST2</t>
  </si>
  <si>
    <t>LPXN</t>
  </si>
  <si>
    <t>ICMT</t>
  </si>
  <si>
    <t>EIF1B</t>
  </si>
  <si>
    <t>SNX2</t>
  </si>
  <si>
    <t>USO1</t>
  </si>
  <si>
    <t>MRPS14</t>
  </si>
  <si>
    <t>CCDC22</t>
  </si>
  <si>
    <t>PQBP1</t>
  </si>
  <si>
    <t>TIMM17B</t>
  </si>
  <si>
    <t>PRAF2</t>
  </si>
  <si>
    <t>DKC1</t>
  </si>
  <si>
    <t>EIF5B</t>
  </si>
  <si>
    <t>TRIM13</t>
  </si>
  <si>
    <t>GAS7</t>
  </si>
  <si>
    <t>EDF1</t>
  </si>
  <si>
    <t>KIN</t>
  </si>
  <si>
    <t>SH2D1A</t>
  </si>
  <si>
    <t>DNAJA2</t>
  </si>
  <si>
    <t>BRD4</t>
  </si>
  <si>
    <t>CUTA</t>
  </si>
  <si>
    <t>SMPD2</t>
  </si>
  <si>
    <t>CTSL2</t>
  </si>
  <si>
    <t>PFDN1</t>
  </si>
  <si>
    <t>PPP1R11</t>
  </si>
  <si>
    <t>NBN</t>
  </si>
  <si>
    <t>RNGTT</t>
  </si>
  <si>
    <t>ABCB7</t>
  </si>
  <si>
    <t>SRGAP2</t>
  </si>
  <si>
    <t>IGSF3</t>
  </si>
  <si>
    <t>DNAJC6</t>
  </si>
  <si>
    <t>FAM20B</t>
  </si>
  <si>
    <t>EFCAB14</t>
  </si>
  <si>
    <t>WDR1</t>
  </si>
  <si>
    <t>N4BP1</t>
  </si>
  <si>
    <t>ROCK2</t>
  </si>
  <si>
    <t>CPNE3</t>
  </si>
  <si>
    <t>ATG13</t>
  </si>
  <si>
    <t>PPFIA3</t>
  </si>
  <si>
    <t>HIP1R</t>
  </si>
  <si>
    <t>RNF40</t>
  </si>
  <si>
    <t>PHF2</t>
  </si>
  <si>
    <t>ZC3H11A</t>
  </si>
  <si>
    <t>CAND2</t>
  </si>
  <si>
    <t>TSC22D2</t>
  </si>
  <si>
    <t>KDM4A</t>
  </si>
  <si>
    <t>DNAJC13</t>
  </si>
  <si>
    <t>PPP6R2</t>
  </si>
  <si>
    <t>CNOT3</t>
  </si>
  <si>
    <t>SS18L1</t>
  </si>
  <si>
    <t>ANKRD17</t>
  </si>
  <si>
    <t>DNAJB6</t>
  </si>
  <si>
    <t>XYLB</t>
  </si>
  <si>
    <t>COQ9</t>
  </si>
  <si>
    <t>GGCT</t>
  </si>
  <si>
    <t>C19orf77</t>
  </si>
  <si>
    <t>NDUFS2</t>
  </si>
  <si>
    <t>ZNF259</t>
  </si>
  <si>
    <t>USP12</t>
  </si>
  <si>
    <t>GBAS</t>
  </si>
  <si>
    <t>SEMA7A</t>
  </si>
  <si>
    <t>HMMR</t>
  </si>
  <si>
    <t>PDCD6</t>
  </si>
  <si>
    <t>TBCA</t>
  </si>
  <si>
    <t>ATP6V1G1</t>
  </si>
  <si>
    <t>VPS4B</t>
  </si>
  <si>
    <t>ZNF217</t>
  </si>
  <si>
    <t>H2AFY</t>
  </si>
  <si>
    <t>SH3BGRL</t>
  </si>
  <si>
    <t>FLNB</t>
  </si>
  <si>
    <t>NCOR1</t>
  </si>
  <si>
    <t>VAMP4</t>
  </si>
  <si>
    <t>NDUFS6</t>
  </si>
  <si>
    <t>PEX14</t>
  </si>
  <si>
    <t>ULK1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</si>
  <si>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</si>
  <si>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</si>
  <si>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</si>
  <si>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</si>
  <si>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</si>
  <si>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</si>
  <si>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</si>
  <si>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</si>
  <si>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SAP30</t>
  </si>
  <si>
    <t>KATNA1</t>
  </si>
  <si>
    <t>PSIP1</t>
  </si>
  <si>
    <t>ERLIN1</t>
  </si>
  <si>
    <t>NDUFS3</t>
  </si>
  <si>
    <t>CLN5</t>
  </si>
  <si>
    <t>HSBP1</t>
  </si>
  <si>
    <t>ECI2</t>
  </si>
  <si>
    <t>KHDRBS3</t>
  </si>
  <si>
    <t>TADA3</t>
  </si>
  <si>
    <t>EED</t>
  </si>
  <si>
    <t>BANF1</t>
  </si>
  <si>
    <t>SF3B1</t>
  </si>
  <si>
    <t>CSDE1</t>
  </si>
  <si>
    <t>WBP4</t>
  </si>
  <si>
    <t>PRKRA</t>
  </si>
  <si>
    <t>MTRF1</t>
  </si>
  <si>
    <t>CRCP</t>
  </si>
  <si>
    <t>RPS6KA5</t>
  </si>
  <si>
    <t>GCAT</t>
  </si>
  <si>
    <t>NPM3</t>
  </si>
  <si>
    <t>LYPLA1</t>
  </si>
  <si>
    <t>ERAL1</t>
  </si>
  <si>
    <t>CREG1</t>
  </si>
  <si>
    <t>SNRNP200</t>
  </si>
  <si>
    <t>TRMU</t>
  </si>
  <si>
    <t>TIPRL</t>
  </si>
  <si>
    <t>SURF6</t>
  </si>
  <si>
    <t>PPM1B</t>
  </si>
  <si>
    <t>UTP20</t>
  </si>
  <si>
    <t>NUP155</t>
  </si>
  <si>
    <t>RP2</t>
  </si>
  <si>
    <t>WDHD1</t>
  </si>
  <si>
    <t>SLC25A12</t>
  </si>
  <si>
    <t>PALM</t>
  </si>
  <si>
    <t>GRAP2</t>
  </si>
  <si>
    <t>RNASEH2A</t>
  </si>
  <si>
    <t>CDC123</t>
  </si>
  <si>
    <t>SOLH</t>
  </si>
  <si>
    <t>RPP40</t>
  </si>
  <si>
    <t>EIF3G</t>
  </si>
  <si>
    <t>EIF3J</t>
  </si>
  <si>
    <t>CBR3</t>
  </si>
  <si>
    <t>AP1G2</t>
  </si>
  <si>
    <t>ZMPSTE24</t>
  </si>
  <si>
    <t>TRAPPC6A</t>
  </si>
  <si>
    <t>IDH1</t>
  </si>
  <si>
    <t>ATRN</t>
  </si>
  <si>
    <t>RBBP9</t>
  </si>
  <si>
    <t>STAM2</t>
  </si>
  <si>
    <t>TUSC2</t>
  </si>
  <si>
    <t>CCNK</t>
  </si>
  <si>
    <t>ARL6IP5</t>
  </si>
  <si>
    <t>PIAS1</t>
  </si>
  <si>
    <t>PIAS2</t>
  </si>
  <si>
    <t>BCAS2</t>
  </si>
  <si>
    <t>DCTN3</t>
  </si>
  <si>
    <t>DNAJC8</t>
  </si>
  <si>
    <t>SMNDC1</t>
  </si>
  <si>
    <t>RAD17</t>
  </si>
  <si>
    <t>ATP5H</t>
  </si>
  <si>
    <t>FLOT1</t>
  </si>
  <si>
    <t>ATP5L</t>
  </si>
  <si>
    <t>C1QL1</t>
  </si>
  <si>
    <t>CPD</t>
  </si>
  <si>
    <t>SASH3</t>
  </si>
  <si>
    <t>GLRX3</t>
  </si>
  <si>
    <t>RSL1D1</t>
  </si>
  <si>
    <t>WFS1</t>
  </si>
  <si>
    <t>CLPX</t>
  </si>
  <si>
    <t>SEC14L2</t>
  </si>
  <si>
    <t>CIAO1</t>
  </si>
  <si>
    <t>ZFAND5</t>
  </si>
  <si>
    <t>SRP72</t>
  </si>
  <si>
    <t>JTB</t>
  </si>
  <si>
    <t>CST7</t>
  </si>
  <si>
    <t>RECQL5</t>
  </si>
  <si>
    <t>URI1</t>
  </si>
  <si>
    <t>B3GAT3</t>
  </si>
  <si>
    <t>MTA2</t>
  </si>
  <si>
    <t>USP1</t>
  </si>
  <si>
    <t>STK10</t>
  </si>
  <si>
    <t>KBTBD11</t>
  </si>
  <si>
    <t>TOMM70A</t>
  </si>
  <si>
    <t>IPO13</t>
  </si>
  <si>
    <t>DDHD2</t>
  </si>
  <si>
    <t>MYO1D</t>
  </si>
  <si>
    <t>SEC24D</t>
  </si>
  <si>
    <t>SUPT7L</t>
  </si>
  <si>
    <t>UFL1</t>
  </si>
  <si>
    <t>PHF14</t>
  </si>
  <si>
    <t>TMEM63A</t>
  </si>
  <si>
    <t>UBXN7</t>
  </si>
  <si>
    <t>TOX</t>
  </si>
  <si>
    <t>PROSC</t>
  </si>
  <si>
    <t>ERLIN2</t>
  </si>
  <si>
    <t>PRPF6</t>
  </si>
  <si>
    <t>PCF11</t>
  </si>
  <si>
    <t>ENDOD1</t>
  </si>
  <si>
    <t>GLS</t>
  </si>
  <si>
    <t>HAUS5</t>
  </si>
  <si>
    <t>FBXO21</t>
  </si>
  <si>
    <t>USP19</t>
  </si>
  <si>
    <t>WDR47</t>
  </si>
  <si>
    <t>AP2A2</t>
  </si>
  <si>
    <t>HEXIM1</t>
  </si>
  <si>
    <t>RPP14</t>
  </si>
  <si>
    <t>CCNB2</t>
  </si>
  <si>
    <t>AGFG2</t>
  </si>
  <si>
    <t>SCAF4</t>
  </si>
  <si>
    <t>NDUFB6</t>
  </si>
  <si>
    <t>MFN2</t>
  </si>
  <si>
    <t>UBE4B</t>
  </si>
  <si>
    <t>ZFPL1</t>
  </si>
  <si>
    <t>IKBKAP</t>
  </si>
  <si>
    <t>NDUFA3</t>
  </si>
  <si>
    <t>NDUFB4</t>
  </si>
  <si>
    <t>NDUFA7</t>
  </si>
  <si>
    <t>VAMP5</t>
  </si>
  <si>
    <t>CSPG5</t>
  </si>
  <si>
    <t>RTN3</t>
  </si>
  <si>
    <t>LETM1</t>
  </si>
  <si>
    <t>ZRANB2</t>
  </si>
  <si>
    <t>SNX4</t>
  </si>
  <si>
    <t>ZWINT</t>
  </si>
  <si>
    <t>LUC7L3</t>
  </si>
  <si>
    <t>KIF20A</t>
  </si>
  <si>
    <t>KIF4A</t>
  </si>
  <si>
    <t>KAT7</t>
  </si>
  <si>
    <t>VAPB</t>
  </si>
  <si>
    <t>SNAPIN</t>
  </si>
  <si>
    <t>MPZL1</t>
  </si>
  <si>
    <t>NDUFC2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</si>
  <si>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</si>
  <si>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</si>
  <si>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</si>
  <si>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</si>
  <si>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</si>
  <si>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</si>
  <si>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</si>
  <si>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</si>
  <si>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</si>
  <si>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PGM3</t>
  </si>
  <si>
    <t>MOCS3</t>
  </si>
  <si>
    <t>CD2BP2</t>
  </si>
  <si>
    <t>MED26</t>
  </si>
  <si>
    <t>ZFYVE9</t>
  </si>
  <si>
    <t>PIGN</t>
  </si>
  <si>
    <t>BAG4</t>
  </si>
  <si>
    <t>AHSA1</t>
  </si>
  <si>
    <t>PARN</t>
  </si>
  <si>
    <t>PSMG1</t>
  </si>
  <si>
    <t>FMNL1</t>
  </si>
  <si>
    <t>SGPL1</t>
  </si>
  <si>
    <t>SYNGR4</t>
  </si>
  <si>
    <t>SIX6</t>
  </si>
  <si>
    <t>SEC24A</t>
  </si>
  <si>
    <t>SEC24B</t>
  </si>
  <si>
    <t>TDP2</t>
  </si>
  <si>
    <t>METTL18</t>
  </si>
  <si>
    <t>ETHE1</t>
  </si>
  <si>
    <t>ACSL3</t>
  </si>
  <si>
    <t>POLR1A</t>
  </si>
  <si>
    <t>YEATS4</t>
  </si>
  <si>
    <t>DUS4L</t>
  </si>
  <si>
    <t>CNOT4</t>
  </si>
  <si>
    <t>STAMBP</t>
  </si>
  <si>
    <t>CPSF4</t>
  </si>
  <si>
    <t>ASMTL</t>
  </si>
  <si>
    <t>CDS2</t>
  </si>
  <si>
    <t>FGFR1OP</t>
  </si>
  <si>
    <t>RAB3D</t>
  </si>
  <si>
    <t>SNAP29</t>
  </si>
  <si>
    <t>OXSR1</t>
  </si>
  <si>
    <t>GGPS1</t>
  </si>
  <si>
    <t>NAA38</t>
  </si>
  <si>
    <t>AP2A1</t>
  </si>
  <si>
    <t>DDX58</t>
  </si>
  <si>
    <t>TTC4</t>
  </si>
  <si>
    <t>TMEM50A</t>
  </si>
  <si>
    <t>BAG2</t>
  </si>
  <si>
    <t>BAG3</t>
  </si>
  <si>
    <t>MLYCD</t>
  </si>
  <si>
    <t>CRYZL1</t>
  </si>
  <si>
    <t>AIFM1</t>
  </si>
  <si>
    <t>EML2</t>
  </si>
  <si>
    <t>GNA14</t>
  </si>
  <si>
    <t>NUDT14</t>
  </si>
  <si>
    <t>BPNT1</t>
  </si>
  <si>
    <t>FADS2</t>
  </si>
  <si>
    <t>DDAH2</t>
  </si>
  <si>
    <t>C6orf47</t>
  </si>
  <si>
    <t>TXNDC12</t>
  </si>
  <si>
    <t>ECD</t>
  </si>
  <si>
    <t>SYF2</t>
  </si>
  <si>
    <t>RECK</t>
  </si>
  <si>
    <t>MBD3</t>
  </si>
  <si>
    <t>NUDT3</t>
  </si>
  <si>
    <t>PTTG1</t>
  </si>
  <si>
    <t>BCL10</t>
  </si>
  <si>
    <t>NDUFB10</t>
  </si>
  <si>
    <t>ZBED1</t>
  </si>
  <si>
    <t>MOCS2</t>
  </si>
  <si>
    <t>TOMM40</t>
  </si>
  <si>
    <t>PEX11B</t>
  </si>
  <si>
    <t>PAK4</t>
  </si>
  <si>
    <t>CHEK2</t>
  </si>
  <si>
    <t>ACTL6A</t>
  </si>
  <si>
    <t>CYB5A</t>
  </si>
  <si>
    <t>ADH1C</t>
  </si>
  <si>
    <t>LDHA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</si>
  <si>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</si>
  <si>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</si>
  <si>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</si>
  <si>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</si>
  <si>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</si>
  <si>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</si>
  <si>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</si>
  <si>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</si>
  <si>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</si>
  <si>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</si>
  <si>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</si>
  <si>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</si>
  <si>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ADA</t>
  </si>
  <si>
    <t>MT-ATP6</t>
  </si>
  <si>
    <t>ASS1</t>
  </si>
  <si>
    <t>SERPINA1</t>
  </si>
  <si>
    <t>A2M</t>
  </si>
  <si>
    <t>C3</t>
  </si>
  <si>
    <t>CST1</t>
  </si>
  <si>
    <t>NRAS</t>
  </si>
  <si>
    <t>HRAS</t>
  </si>
  <si>
    <t>KRAS</t>
  </si>
  <si>
    <t>TGFB1</t>
  </si>
  <si>
    <t>CD4</t>
  </si>
  <si>
    <t>TRBV12-3</t>
  </si>
  <si>
    <t>PIGR</t>
  </si>
  <si>
    <t>IGKC</t>
  </si>
  <si>
    <t>TRAC</t>
  </si>
  <si>
    <t>TRBC1</t>
  </si>
  <si>
    <t>HLA-B</t>
  </si>
  <si>
    <t>HBZ</t>
  </si>
  <si>
    <t>LMNA</t>
  </si>
  <si>
    <t>C1QC</t>
  </si>
  <si>
    <t>ORM1</t>
  </si>
  <si>
    <t>TTR</t>
  </si>
  <si>
    <t>TFRC</t>
  </si>
  <si>
    <t>FTL</t>
  </si>
  <si>
    <t>FTH1</t>
  </si>
  <si>
    <t>MT2A</t>
  </si>
  <si>
    <t>MT-ND3</t>
  </si>
  <si>
    <t>MT-ATP8</t>
  </si>
  <si>
    <t>CAT</t>
  </si>
  <si>
    <t>DNTT</t>
  </si>
  <si>
    <t>FUCA1</t>
  </si>
  <si>
    <t>ALDOA</t>
  </si>
  <si>
    <t>CSTB</t>
  </si>
  <si>
    <t>ANXA1</t>
  </si>
  <si>
    <t>APOB</t>
  </si>
  <si>
    <t>NR3C1</t>
  </si>
  <si>
    <t>OAT</t>
  </si>
  <si>
    <t>TK1</t>
  </si>
  <si>
    <t>CD3D</t>
  </si>
  <si>
    <t>KRT1</t>
  </si>
  <si>
    <t>VWF</t>
  </si>
  <si>
    <t>GAPDH</t>
  </si>
  <si>
    <t>ASL</t>
  </si>
  <si>
    <t>CAPNS1</t>
  </si>
  <si>
    <t>AMY1A</t>
  </si>
  <si>
    <t>TYMS</t>
  </si>
  <si>
    <t>RPN1</t>
  </si>
  <si>
    <t>RPN2</t>
  </si>
  <si>
    <t>GNAI2</t>
  </si>
  <si>
    <t>SLC4A2</t>
  </si>
  <si>
    <t>GYPC</t>
  </si>
  <si>
    <t>ATP1A1</t>
  </si>
  <si>
    <t>ALDOB</t>
  </si>
  <si>
    <t>ARG1</t>
  </si>
  <si>
    <t>ITGB3</t>
  </si>
  <si>
    <t>ITGB2</t>
  </si>
  <si>
    <t>S100A8</t>
  </si>
  <si>
    <t>HMGN1</t>
  </si>
  <si>
    <t>SERPINB2</t>
  </si>
  <si>
    <t>SERPINE1</t>
  </si>
  <si>
    <t>SLC25A5</t>
  </si>
  <si>
    <t>ISG15</t>
  </si>
  <si>
    <t>PCCA</t>
  </si>
  <si>
    <t>EIF2S1</t>
  </si>
  <si>
    <t>HMGN2</t>
  </si>
  <si>
    <t>ICAM1</t>
  </si>
  <si>
    <t>RPLP1</t>
  </si>
  <si>
    <t>RPLP2</t>
  </si>
  <si>
    <t>RPLP0</t>
  </si>
  <si>
    <t>JUN</t>
  </si>
  <si>
    <t>POLR3D</t>
  </si>
  <si>
    <t>SSB</t>
  </si>
  <si>
    <t>ITGB1</t>
  </si>
  <si>
    <t>PRKCB</t>
  </si>
  <si>
    <t>CD1A</t>
  </si>
  <si>
    <t>CD5</t>
  </si>
  <si>
    <t>UROD</t>
  </si>
  <si>
    <t>LCK</t>
  </si>
  <si>
    <t>FYN</t>
  </si>
  <si>
    <t>GLA</t>
  </si>
  <si>
    <t>GSN</t>
  </si>
  <si>
    <t>RB1</t>
  </si>
  <si>
    <t>CDK1</t>
  </si>
  <si>
    <t>ATP5B</t>
  </si>
  <si>
    <t>S100A9</t>
  </si>
  <si>
    <t>CD2</t>
  </si>
  <si>
    <t>ENO1</t>
  </si>
  <si>
    <t>GPI</t>
  </si>
  <si>
    <t>POLB</t>
  </si>
  <si>
    <t>NPM1</t>
  </si>
  <si>
    <t>ITGAV</t>
  </si>
  <si>
    <t>EPHX1</t>
  </si>
  <si>
    <t>DBI</t>
  </si>
  <si>
    <t>LDHB</t>
  </si>
  <si>
    <t>GPX1</t>
  </si>
  <si>
    <t>PGK2</t>
  </si>
  <si>
    <t>P4HB</t>
  </si>
  <si>
    <t>H1F0</t>
  </si>
  <si>
    <t>CTSD</t>
  </si>
  <si>
    <t>ANXA2</t>
  </si>
  <si>
    <t>CAPN1</t>
  </si>
  <si>
    <t>HEXB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</si>
  <si>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</si>
  <si>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</si>
  <si>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</si>
  <si>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</si>
  <si>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</si>
  <si>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</si>
  <si>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</si>
  <si>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</si>
  <si>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FH</t>
  </si>
  <si>
    <t>SP1</t>
  </si>
  <si>
    <t>HSPA1A</t>
  </si>
  <si>
    <t>HSP90AB1</t>
  </si>
  <si>
    <t>SRPR</t>
  </si>
  <si>
    <t>ASNS</t>
  </si>
  <si>
    <t>HMBS</t>
  </si>
  <si>
    <t>PDHA1</t>
  </si>
  <si>
    <t>PLEK</t>
  </si>
  <si>
    <t>CD14</t>
  </si>
  <si>
    <t>CYC1</t>
  </si>
  <si>
    <t>PTPRC</t>
  </si>
  <si>
    <t>SNRPB2</t>
  </si>
  <si>
    <t>MFI2</t>
  </si>
  <si>
    <t>MYL3</t>
  </si>
  <si>
    <t>SNRNP70</t>
  </si>
  <si>
    <t>ITGA5</t>
  </si>
  <si>
    <t>NFIC</t>
  </si>
  <si>
    <t>VIM</t>
  </si>
  <si>
    <t>GNAI3</t>
  </si>
  <si>
    <t>ANXA5</t>
  </si>
  <si>
    <t>SNRPA</t>
  </si>
  <si>
    <t>ENO2</t>
  </si>
  <si>
    <t>ACAA1</t>
  </si>
  <si>
    <t>SRP19</t>
  </si>
  <si>
    <t>GSTP1</t>
  </si>
  <si>
    <t>SNRPC</t>
  </si>
  <si>
    <t>CD48</t>
  </si>
  <si>
    <t>LGALS1</t>
  </si>
  <si>
    <t>QDPR</t>
  </si>
  <si>
    <t>HMGB1</t>
  </si>
  <si>
    <t>GNAO1</t>
  </si>
  <si>
    <t>GSTM1</t>
  </si>
  <si>
    <t>CLTA</t>
  </si>
  <si>
    <t>CLTB</t>
  </si>
  <si>
    <t>ANXA4</t>
  </si>
  <si>
    <t>CNP</t>
  </si>
  <si>
    <t>CD7</t>
  </si>
  <si>
    <t>DLD</t>
  </si>
  <si>
    <t>SNRPA1</t>
  </si>
  <si>
    <t>CTSH</t>
  </si>
  <si>
    <t>COX6C</t>
  </si>
  <si>
    <t>CD3G</t>
  </si>
  <si>
    <t>PARP1</t>
  </si>
  <si>
    <t>LTA4H</t>
  </si>
  <si>
    <t>ALDOC</t>
  </si>
  <si>
    <t>FBXO45</t>
  </si>
  <si>
    <t>CISD3</t>
  </si>
  <si>
    <t>UQCRFS1P1</t>
  </si>
  <si>
    <t>ATXN1L</t>
  </si>
  <si>
    <t>POLR2M</t>
  </si>
  <si>
    <t>CHTF8</t>
  </si>
  <si>
    <t>RPS17L</t>
  </si>
  <si>
    <t>SMIM13</t>
  </si>
  <si>
    <t>FDX1</t>
  </si>
  <si>
    <t>TROVE2</t>
  </si>
  <si>
    <t>COX8A</t>
  </si>
  <si>
    <t>GAA</t>
  </si>
  <si>
    <t>RRAS</t>
  </si>
  <si>
    <t>ARAF</t>
  </si>
  <si>
    <t>HIST1H1E</t>
  </si>
  <si>
    <t>DLAT</t>
  </si>
  <si>
    <t>PTPRF</t>
  </si>
  <si>
    <t>TXN</t>
  </si>
  <si>
    <t>COX5B</t>
  </si>
  <si>
    <t>CTSA</t>
  </si>
  <si>
    <t>MAPT</t>
  </si>
  <si>
    <t>PRKAR1A</t>
  </si>
  <si>
    <t>KIT</t>
  </si>
  <si>
    <t>UROS</t>
  </si>
  <si>
    <t>CD28</t>
  </si>
  <si>
    <t>ESD</t>
  </si>
  <si>
    <t>HSPD1</t>
  </si>
  <si>
    <t>HSPA5</t>
  </si>
  <si>
    <t>HSPA8</t>
  </si>
  <si>
    <t>SLC2A1</t>
  </si>
  <si>
    <t>SLC2A3</t>
  </si>
  <si>
    <t>EPB41</t>
  </si>
  <si>
    <t>UMPS</t>
  </si>
  <si>
    <t>PDHB</t>
  </si>
  <si>
    <t>DBT</t>
  </si>
  <si>
    <t>PYGB</t>
  </si>
  <si>
    <t>RALA</t>
  </si>
  <si>
    <t>RALB</t>
  </si>
  <si>
    <t>BCR</t>
  </si>
  <si>
    <t>LAMP1</t>
  </si>
  <si>
    <t>TOP1</t>
  </si>
  <si>
    <t>TOP2A</t>
  </si>
  <si>
    <t>G6PD</t>
  </si>
  <si>
    <t>UBL4A</t>
  </si>
  <si>
    <t>PC</t>
  </si>
  <si>
    <t>MTHFD1</t>
  </si>
  <si>
    <t>IGF2R</t>
  </si>
  <si>
    <t>ADH5</t>
  </si>
  <si>
    <t>CDK4</t>
  </si>
  <si>
    <t>SRF</t>
  </si>
  <si>
    <t>PRPS2</t>
  </si>
  <si>
    <t>ODC1</t>
  </si>
  <si>
    <t>PCNA</t>
  </si>
  <si>
    <t>HARS</t>
  </si>
  <si>
    <t>SLC25A4</t>
  </si>
  <si>
    <t>SLC25A6</t>
  </si>
  <si>
    <t>IMPDH2</t>
  </si>
  <si>
    <t>TPR</t>
  </si>
  <si>
    <t>PIP</t>
  </si>
  <si>
    <t>CKB</t>
  </si>
  <si>
    <t>ANXA3</t>
  </si>
  <si>
    <t>CKMT1A</t>
  </si>
  <si>
    <t>GZMA</t>
  </si>
  <si>
    <t>ACTN1</t>
  </si>
  <si>
    <t>SRC</t>
  </si>
  <si>
    <t>PEPD</t>
  </si>
  <si>
    <t>XRCC6</t>
  </si>
  <si>
    <t>XRCC5</t>
  </si>
  <si>
    <t>UNG</t>
  </si>
  <si>
    <t>NR2C1</t>
  </si>
  <si>
    <t>COX4I1</t>
  </si>
  <si>
    <t>ALAS1</t>
  </si>
  <si>
    <t>IFI30</t>
  </si>
  <si>
    <t>RNH1</t>
  </si>
  <si>
    <t>ICAM2</t>
  </si>
  <si>
    <t>ITGA4</t>
  </si>
  <si>
    <t>ATP1A3</t>
  </si>
  <si>
    <t>EEF2</t>
  </si>
  <si>
    <t>PDIA4</t>
  </si>
  <si>
    <t>P4HA1</t>
  </si>
  <si>
    <t>TPT1</t>
  </si>
  <si>
    <t>LCP1</t>
  </si>
  <si>
    <t>ETFA</t>
  </si>
  <si>
    <t>GYS1</t>
  </si>
  <si>
    <t>PRKAR2A</t>
  </si>
  <si>
    <t>ENO3</t>
  </si>
  <si>
    <t>GTF2F2</t>
  </si>
  <si>
    <t>MTHFD2</t>
  </si>
  <si>
    <t>GFAP</t>
  </si>
  <si>
    <t>SELL</t>
  </si>
  <si>
    <t>MIF</t>
  </si>
  <si>
    <t>CD99</t>
  </si>
  <si>
    <t>HCLS1</t>
  </si>
  <si>
    <t>FDPS</t>
  </si>
  <si>
    <t>AKR1A1</t>
  </si>
  <si>
    <t>ACYP2</t>
  </si>
  <si>
    <t>HSP90B1</t>
  </si>
  <si>
    <t>CCNB1</t>
  </si>
  <si>
    <t>MYL6B</t>
  </si>
  <si>
    <t>IDE</t>
  </si>
  <si>
    <t>COX6B1</t>
  </si>
  <si>
    <t>HNRNPL</t>
  </si>
  <si>
    <t>DARS</t>
  </si>
  <si>
    <t>ETS1</t>
  </si>
  <si>
    <t>JUP</t>
  </si>
  <si>
    <t>BRAF</t>
  </si>
  <si>
    <t>GLUL</t>
  </si>
  <si>
    <t>AKR1B1</t>
  </si>
  <si>
    <t>PVR</t>
  </si>
  <si>
    <t>RAC2</t>
  </si>
  <si>
    <t>GSPT1</t>
  </si>
  <si>
    <t>ARSA</t>
  </si>
  <si>
    <t>EZR</t>
  </si>
  <si>
    <t>UCHL3</t>
  </si>
  <si>
    <t>HPGD</t>
  </si>
  <si>
    <t>VAV1</t>
  </si>
  <si>
    <t>CD46</t>
  </si>
  <si>
    <t>NME1</t>
  </si>
  <si>
    <t>CD1D</t>
  </si>
  <si>
    <t>ARSB</t>
  </si>
  <si>
    <t>RPS2</t>
  </si>
  <si>
    <t>CHN1</t>
  </si>
  <si>
    <t>ST6GAL1</t>
  </si>
  <si>
    <t>TCF3</t>
  </si>
  <si>
    <t>RPA2</t>
  </si>
  <si>
    <t>TIMP2</t>
  </si>
  <si>
    <t>SPN</t>
  </si>
  <si>
    <t>ACADS</t>
  </si>
  <si>
    <t>CREB1</t>
  </si>
  <si>
    <t>GLB1</t>
  </si>
  <si>
    <t>PECAM1</t>
  </si>
  <si>
    <t>PPP3CB</t>
  </si>
  <si>
    <t>NCK1</t>
  </si>
  <si>
    <t>GCFC2</t>
  </si>
  <si>
    <t>KCNA2</t>
  </si>
  <si>
    <t>HIST1H1B</t>
  </si>
  <si>
    <t>POR</t>
  </si>
  <si>
    <t>MGMT</t>
  </si>
  <si>
    <t>TSHR</t>
  </si>
  <si>
    <t>FER</t>
  </si>
  <si>
    <t>ATP2A2</t>
  </si>
  <si>
    <t>PLCG2</t>
  </si>
  <si>
    <t>FAH</t>
  </si>
  <si>
    <t>STMN1</t>
  </si>
  <si>
    <t>YBX3</t>
  </si>
  <si>
    <t>ZNF22</t>
  </si>
  <si>
    <t>ZNF24</t>
  </si>
  <si>
    <t>NAGA</t>
  </si>
  <si>
    <t>HSPA6</t>
  </si>
  <si>
    <t>HMGA1</t>
  </si>
  <si>
    <t>ZNF8</t>
  </si>
  <si>
    <t>TMEM11</t>
  </si>
  <si>
    <t>GOT1</t>
  </si>
  <si>
    <t>IFNAR1</t>
  </si>
  <si>
    <t>PRKCA</t>
  </si>
  <si>
    <t>JUNB</t>
  </si>
  <si>
    <t>UBTF</t>
  </si>
  <si>
    <t>JUND</t>
  </si>
  <si>
    <t>ATF7</t>
  </si>
  <si>
    <t>NDUFB7</t>
  </si>
  <si>
    <t>SYN1</t>
  </si>
  <si>
    <t>PRKACA</t>
  </si>
  <si>
    <t>PTPN2</t>
  </si>
  <si>
    <t>AMD1</t>
  </si>
  <si>
    <t>CTPS1</t>
  </si>
  <si>
    <t>DDX5</t>
  </si>
  <si>
    <t>PFKL</t>
  </si>
  <si>
    <t>GM2A</t>
  </si>
  <si>
    <t>TCP1</t>
  </si>
  <si>
    <t>PTPN1</t>
  </si>
  <si>
    <t>IGFBP2</t>
  </si>
  <si>
    <t>ERCC2</t>
  </si>
  <si>
    <t>RPL35A</t>
  </si>
  <si>
    <t>ITGB5</t>
  </si>
  <si>
    <t>ARF4</t>
  </si>
  <si>
    <t>RPL7</t>
  </si>
  <si>
    <t>EGR1</t>
  </si>
  <si>
    <t>VCL</t>
  </si>
  <si>
    <t>PGAM1</t>
  </si>
  <si>
    <t>RCC1</t>
  </si>
  <si>
    <t>ATF1</t>
  </si>
  <si>
    <t>LIG1</t>
  </si>
  <si>
    <t>ATP5J</t>
  </si>
  <si>
    <t>XRCC1</t>
  </si>
  <si>
    <t>CDH2</t>
  </si>
  <si>
    <t>PLCG1</t>
  </si>
  <si>
    <t>NCL</t>
  </si>
  <si>
    <t>POLR2C</t>
  </si>
  <si>
    <t>POLR2E</t>
  </si>
  <si>
    <t>CD53</t>
  </si>
  <si>
    <t>ERCC3</t>
  </si>
  <si>
    <t>EIF2AK2</t>
  </si>
  <si>
    <t>TFE3</t>
  </si>
  <si>
    <t>SRM</t>
  </si>
  <si>
    <t>CSNK2A2</t>
  </si>
  <si>
    <t>CEL</t>
  </si>
  <si>
    <t>NFKB1</t>
  </si>
  <si>
    <t>ATP2B1</t>
  </si>
  <si>
    <t>EIF2S2</t>
  </si>
  <si>
    <t>CCNA2</t>
  </si>
  <si>
    <t>BTF3</t>
  </si>
  <si>
    <t>ALOX5AP</t>
  </si>
  <si>
    <t>RAB3A</t>
  </si>
  <si>
    <t>RAB3B</t>
  </si>
  <si>
    <t>RAB4A</t>
  </si>
  <si>
    <t>RAB6A</t>
  </si>
  <si>
    <t>PSMB1</t>
  </si>
  <si>
    <t>M6PR</t>
  </si>
  <si>
    <t>HIST1H2AD</t>
  </si>
  <si>
    <t>COX5A</t>
  </si>
  <si>
    <t>LMNB1</t>
  </si>
  <si>
    <t>ITGAL</t>
  </si>
  <si>
    <t>OGN</t>
  </si>
  <si>
    <t>PTMS</t>
  </si>
  <si>
    <t>CD247</t>
  </si>
  <si>
    <t>CDK11B</t>
  </si>
  <si>
    <t>GSTM3</t>
  </si>
  <si>
    <t>ATP6V1B2</t>
  </si>
  <si>
    <t>ATP6V1C1</t>
  </si>
  <si>
    <t>CSRP1</t>
  </si>
  <si>
    <t>FLNA</t>
  </si>
  <si>
    <t>ACO1</t>
  </si>
  <si>
    <t>AGXT</t>
  </si>
  <si>
    <t>TNFAIP3</t>
  </si>
  <si>
    <t>TAF1</t>
  </si>
  <si>
    <t>VDAC1</t>
  </si>
  <si>
    <t>SDHB</t>
  </si>
  <si>
    <t>BCKDHB</t>
  </si>
  <si>
    <t>COMT</t>
  </si>
  <si>
    <t>MUT</t>
  </si>
  <si>
    <t>OSBP</t>
  </si>
  <si>
    <t>FBL</t>
  </si>
  <si>
    <t>GART</t>
  </si>
  <si>
    <t>PAICS</t>
  </si>
  <si>
    <t>SCP2</t>
  </si>
  <si>
    <t>UBA1</t>
  </si>
  <si>
    <t>HNRNPA2B1</t>
  </si>
  <si>
    <t>RFX1</t>
  </si>
  <si>
    <t>CBL</t>
  </si>
  <si>
    <t>PRKACB</t>
  </si>
  <si>
    <t>UQCRC2</t>
  </si>
  <si>
    <t>FECH</t>
  </si>
  <si>
    <t>XPA</t>
  </si>
  <si>
    <t>AMPD1</t>
  </si>
  <si>
    <t>TCEA1</t>
  </si>
  <si>
    <t>SFPQ</t>
  </si>
  <si>
    <t>TUBG1</t>
  </si>
  <si>
    <t>PPIB</t>
  </si>
  <si>
    <t>ME2</t>
  </si>
  <si>
    <t>GLDC</t>
  </si>
  <si>
    <t>WARS</t>
  </si>
  <si>
    <t>RPS3</t>
  </si>
  <si>
    <t>GCSH</t>
  </si>
  <si>
    <t>PTPRE</t>
  </si>
  <si>
    <t>SP100</t>
  </si>
  <si>
    <t>NFYA</t>
  </si>
  <si>
    <t>AHCY</t>
  </si>
  <si>
    <t>HIST1H2BO</t>
  </si>
  <si>
    <t>CFL1</t>
  </si>
  <si>
    <t>F8A1</t>
  </si>
  <si>
    <t>ATP2B4</t>
  </si>
  <si>
    <t>DGKA</t>
  </si>
  <si>
    <t>GATA3</t>
  </si>
  <si>
    <t>CPT2</t>
  </si>
  <si>
    <t>DTYMK</t>
  </si>
  <si>
    <t>RRM1</t>
  </si>
  <si>
    <t>IL32</t>
  </si>
  <si>
    <t>COX7B</t>
  </si>
  <si>
    <t>EEF1B2</t>
  </si>
  <si>
    <t>AKAP5</t>
  </si>
  <si>
    <t>ACP1</t>
  </si>
  <si>
    <t>ACAT1</t>
  </si>
  <si>
    <t>POLR2A</t>
  </si>
  <si>
    <t>ADRBK1</t>
  </si>
  <si>
    <t>MCM3</t>
  </si>
  <si>
    <t>MPST</t>
  </si>
  <si>
    <t>RPS12</t>
  </si>
  <si>
    <t>FAS</t>
  </si>
  <si>
    <t>YY1</t>
  </si>
  <si>
    <t>DNAJB1</t>
  </si>
  <si>
    <t>DNAJB2</t>
  </si>
  <si>
    <t>ATP5A1</t>
  </si>
  <si>
    <t>PSMA1</t>
  </si>
  <si>
    <t>PSMA2</t>
  </si>
  <si>
    <t>PSMA3</t>
  </si>
  <si>
    <t>PSMA4</t>
  </si>
  <si>
    <t>ITGB7</t>
  </si>
  <si>
    <t>MSN</t>
  </si>
  <si>
    <t>DDX6</t>
  </si>
  <si>
    <t>U2AF2</t>
  </si>
  <si>
    <t>RPL13</t>
  </si>
  <si>
    <t>CHML</t>
  </si>
  <si>
    <t>IVD</t>
  </si>
  <si>
    <t>MGAT1</t>
  </si>
  <si>
    <t>HMGB2</t>
  </si>
  <si>
    <t>PTBP1</t>
  </si>
  <si>
    <t>TARS</t>
  </si>
  <si>
    <t>EEF1G</t>
  </si>
  <si>
    <t>FKBP2</t>
  </si>
  <si>
    <t>AK4</t>
  </si>
  <si>
    <t>YWHAQ</t>
  </si>
  <si>
    <t>MAPK3</t>
  </si>
  <si>
    <t>ARNT</t>
  </si>
  <si>
    <t>RPL10</t>
  </si>
  <si>
    <t>RPA1</t>
  </si>
  <si>
    <t>APEX1</t>
  </si>
  <si>
    <t>CD82</t>
  </si>
  <si>
    <t>PDE4A</t>
  </si>
  <si>
    <t>CANX</t>
  </si>
  <si>
    <t>PIK3R1</t>
  </si>
  <si>
    <t>ITPKB</t>
  </si>
  <si>
    <t>PSMB8</t>
  </si>
  <si>
    <t>PSMB9</t>
  </si>
  <si>
    <t>PSMA5</t>
  </si>
  <si>
    <t>PSMB4</t>
  </si>
  <si>
    <t>PSMB6</t>
  </si>
  <si>
    <t>PSMB5</t>
  </si>
  <si>
    <t>GSTM2</t>
  </si>
  <si>
    <t>NDUFS1</t>
  </si>
  <si>
    <t>MAPK1</t>
  </si>
  <si>
    <t>RXRB</t>
  </si>
  <si>
    <t>ERCC5</t>
  </si>
  <si>
    <t>GRN</t>
  </si>
  <si>
    <t>LAP3</t>
  </si>
  <si>
    <t>CD38</t>
  </si>
  <si>
    <t>TNFRSF8</t>
  </si>
  <si>
    <t>CD1B</t>
  </si>
  <si>
    <t>GTF2E1</t>
  </si>
  <si>
    <t>GTF2E2</t>
  </si>
  <si>
    <t>TPP2</t>
  </si>
  <si>
    <t>PTPN6</t>
  </si>
  <si>
    <t>SHC1</t>
  </si>
  <si>
    <t>MPG</t>
  </si>
  <si>
    <t>TKT</t>
  </si>
  <si>
    <t>PML</t>
  </si>
  <si>
    <t>CD40LG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</si>
  <si>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</si>
  <si>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</si>
  <si>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</si>
  <si>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</si>
  <si>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</si>
  <si>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</si>
  <si>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</si>
  <si>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</si>
  <si>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</si>
  <si>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</si>
  <si>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</si>
  <si>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</si>
  <si>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</si>
  <si>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</si>
  <si>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</si>
  <si>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CD6</t>
  </si>
  <si>
    <t>CCND3</t>
  </si>
  <si>
    <t>WEE1</t>
  </si>
  <si>
    <t>PPIF</t>
  </si>
  <si>
    <t>NMT1</t>
  </si>
  <si>
    <t>HMOX2</t>
  </si>
  <si>
    <t>ADSS</t>
  </si>
  <si>
    <t>LRPAP1</t>
  </si>
  <si>
    <t>ADSL</t>
  </si>
  <si>
    <t>PKLR</t>
  </si>
  <si>
    <t>CLIP1</t>
  </si>
  <si>
    <t>GNA15</t>
  </si>
  <si>
    <t>SERPINB1</t>
  </si>
  <si>
    <t>GCH1</t>
  </si>
  <si>
    <t>SLC7A1</t>
  </si>
  <si>
    <t>CORO1A</t>
  </si>
  <si>
    <t>GDI1</t>
  </si>
  <si>
    <t>MAT2A</t>
  </si>
  <si>
    <t>PRKAR1B</t>
  </si>
  <si>
    <t>PRKAR2B</t>
  </si>
  <si>
    <t>CPS1</t>
  </si>
  <si>
    <t>RRM2</t>
  </si>
  <si>
    <t>SLC6A6</t>
  </si>
  <si>
    <t>DNAJA1</t>
  </si>
  <si>
    <t>AKT1</t>
  </si>
  <si>
    <t>AKT2</t>
  </si>
  <si>
    <t>IL2RG</t>
  </si>
  <si>
    <t>UQCRC1</t>
  </si>
  <si>
    <t>HIBADH</t>
  </si>
  <si>
    <t>ATIC</t>
  </si>
  <si>
    <t>HNRNPH3</t>
  </si>
  <si>
    <t>YWHAB</t>
  </si>
  <si>
    <t>SFN</t>
  </si>
  <si>
    <t>STIP1</t>
  </si>
  <si>
    <t>INPP5B</t>
  </si>
  <si>
    <t>PRDX2</t>
  </si>
  <si>
    <t>ARRB2</t>
  </si>
  <si>
    <t>GK</t>
  </si>
  <si>
    <t>DCTD</t>
  </si>
  <si>
    <t>PYCR1</t>
  </si>
  <si>
    <t>GBP1</t>
  </si>
  <si>
    <t>ELF1</t>
  </si>
  <si>
    <t>GTF2H1</t>
  </si>
  <si>
    <t>STX2</t>
  </si>
  <si>
    <t>CTH</t>
  </si>
  <si>
    <t>ICAM3</t>
  </si>
  <si>
    <t>RPL9</t>
  </si>
  <si>
    <t>ACSL1</t>
  </si>
  <si>
    <t>KIF5B</t>
  </si>
  <si>
    <t>CSTF2</t>
  </si>
  <si>
    <t>LSP1</t>
  </si>
  <si>
    <t>DUT</t>
  </si>
  <si>
    <t>ABCC1</t>
  </si>
  <si>
    <t>CKS2</t>
  </si>
  <si>
    <t>ABCD1</t>
  </si>
  <si>
    <t>MAN1A1</t>
  </si>
  <si>
    <t>TTK</t>
  </si>
  <si>
    <t>MCM4</t>
  </si>
  <si>
    <t>MCM5</t>
  </si>
  <si>
    <t>MCM7</t>
  </si>
  <si>
    <t>GALNS</t>
  </si>
  <si>
    <t>SHMT1</t>
  </si>
  <si>
    <t>SHMT2</t>
  </si>
  <si>
    <t>HSPA4</t>
  </si>
  <si>
    <t>GRK5</t>
  </si>
  <si>
    <t>CNR2</t>
  </si>
  <si>
    <t>CA8</t>
  </si>
  <si>
    <t>CTNNA1</t>
  </si>
  <si>
    <t>PHB</t>
  </si>
  <si>
    <t>PTPN7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</si>
  <si>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</si>
  <si>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</si>
  <si>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</si>
  <si>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</si>
  <si>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</si>
  <si>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</si>
  <si>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</si>
  <si>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</si>
  <si>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</si>
  <si>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</si>
  <si>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PTGER4</t>
  </si>
  <si>
    <t>CBS</t>
  </si>
  <si>
    <t>AGL</t>
  </si>
  <si>
    <t>MYH9</t>
  </si>
  <si>
    <t>MYH10</t>
  </si>
  <si>
    <t>COPB2</t>
  </si>
  <si>
    <t>SOAT1</t>
  </si>
  <si>
    <t>ADD1</t>
  </si>
  <si>
    <t>ADD2</t>
  </si>
  <si>
    <t>BSG</t>
  </si>
  <si>
    <t>ADRBK2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</si>
  <si>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</si>
  <si>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</si>
  <si>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</si>
  <si>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</si>
  <si>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</si>
  <si>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</si>
  <si>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</si>
  <si>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</si>
  <si>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</si>
  <si>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MAP2K2</t>
  </si>
  <si>
    <t>ATP5C1</t>
  </si>
  <si>
    <t>ATP6V1E1</t>
  </si>
  <si>
    <t>CPOX</t>
  </si>
  <si>
    <t>RPL4</t>
  </si>
  <si>
    <t>NUDT1</t>
  </si>
  <si>
    <t>PGM1</t>
  </si>
  <si>
    <t>PPP1CC</t>
  </si>
  <si>
    <t>GNL1</t>
  </si>
  <si>
    <t>POLR2I</t>
  </si>
  <si>
    <t>DLST</t>
  </si>
  <si>
    <t>GPX4</t>
  </si>
  <si>
    <t>SRP14</t>
  </si>
  <si>
    <t>NUP62</t>
  </si>
  <si>
    <t>HPCAL1</t>
  </si>
  <si>
    <t>FDFT1</t>
  </si>
  <si>
    <t>ZEB1</t>
  </si>
  <si>
    <t>TAGLN2</t>
  </si>
  <si>
    <t>TALDO1</t>
  </si>
  <si>
    <t>ETFB</t>
  </si>
  <si>
    <t>RBMX</t>
  </si>
  <si>
    <t>LIPA</t>
  </si>
  <si>
    <t>HSPA9</t>
  </si>
  <si>
    <t>EIF4A3</t>
  </si>
  <si>
    <t>IGHMBP2</t>
  </si>
  <si>
    <t>RPS19</t>
  </si>
  <si>
    <t>RPL3</t>
  </si>
  <si>
    <t>DDOST</t>
  </si>
  <si>
    <t>ANP32A</t>
  </si>
  <si>
    <t>FEN1</t>
  </si>
  <si>
    <t>CUX1</t>
  </si>
  <si>
    <t>CAPG</t>
  </si>
  <si>
    <t>TXLNA</t>
  </si>
  <si>
    <t>CCT6A</t>
  </si>
  <si>
    <t>PSMB10</t>
  </si>
  <si>
    <t>VHL</t>
  </si>
  <si>
    <t>PBX2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</si>
  <si>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</si>
  <si>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</si>
  <si>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</si>
  <si>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</si>
  <si>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</si>
  <si>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</si>
  <si>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</si>
  <si>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</si>
  <si>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</si>
  <si>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</si>
  <si>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CETN2</t>
  </si>
  <si>
    <t>ETV6</t>
  </si>
  <si>
    <t>EIF2D</t>
  </si>
  <si>
    <t>BUD31</t>
  </si>
  <si>
    <t>NAA10</t>
  </si>
  <si>
    <t>KDM5C</t>
  </si>
  <si>
    <t>CSK</t>
  </si>
  <si>
    <t>GARS</t>
  </si>
  <si>
    <t>IARS</t>
  </si>
  <si>
    <t>SLC19A1</t>
  </si>
  <si>
    <t>EIF1</t>
  </si>
  <si>
    <t>PRKCI</t>
  </si>
  <si>
    <t>ACTR1B</t>
  </si>
  <si>
    <t>TMPO</t>
  </si>
  <si>
    <t>STAT1</t>
  </si>
  <si>
    <t>STAT6</t>
  </si>
  <si>
    <t>SKIV2L2</t>
  </si>
  <si>
    <t>AKR1C3</t>
  </si>
  <si>
    <t>ARHGAP25</t>
  </si>
  <si>
    <t>PIK3CA</t>
  </si>
  <si>
    <t>PIK3CB</t>
  </si>
  <si>
    <t>MTOR</t>
  </si>
  <si>
    <t>EPS15</t>
  </si>
  <si>
    <t>CASP3</t>
  </si>
  <si>
    <t>CASP2</t>
  </si>
  <si>
    <t>RPS27</t>
  </si>
  <si>
    <t>NCAPD3</t>
  </si>
  <si>
    <t>LRPPRC</t>
  </si>
  <si>
    <t>ACAA2</t>
  </si>
  <si>
    <t>RPL35</t>
  </si>
  <si>
    <t>WAS</t>
  </si>
  <si>
    <t>CDKN2C</t>
  </si>
  <si>
    <t>PRCP</t>
  </si>
  <si>
    <t>HTT</t>
  </si>
  <si>
    <t>ECE1</t>
  </si>
  <si>
    <t>MTHFR</t>
  </si>
  <si>
    <t>SLC1A3</t>
  </si>
  <si>
    <t>SLC1A4</t>
  </si>
  <si>
    <t>PAFAH1B1</t>
  </si>
  <si>
    <t>CRAT</t>
  </si>
  <si>
    <t>GRK6</t>
  </si>
  <si>
    <t>SSR1</t>
  </si>
  <si>
    <t>PTPN9</t>
  </si>
  <si>
    <t>ZAP70</t>
  </si>
  <si>
    <t>RANBP1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</si>
  <si>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</si>
  <si>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</si>
  <si>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</si>
  <si>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</si>
  <si>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</si>
  <si>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</si>
  <si>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</si>
  <si>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</si>
  <si>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</si>
  <si>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</si>
  <si>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</si>
  <si>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</si>
  <si>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</si>
  <si>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</si>
  <si>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</si>
  <si>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</si>
  <si>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</si>
  <si>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</si>
  <si>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</si>
  <si>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</si>
  <si>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</si>
  <si>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</si>
  <si>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</si>
  <si>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RPL21</t>
  </si>
  <si>
    <t>RPL28</t>
  </si>
  <si>
    <t>RPS9</t>
  </si>
  <si>
    <t>RPS10</t>
  </si>
  <si>
    <t>GNPDA1</t>
  </si>
  <si>
    <t>NEDD4</t>
  </si>
  <si>
    <t>UTRN</t>
  </si>
  <si>
    <t>IQGAP1</t>
  </si>
  <si>
    <t>GYG1</t>
  </si>
  <si>
    <t>STT3A</t>
  </si>
  <si>
    <t>CAPZA2</t>
  </si>
  <si>
    <t>CAPZB</t>
  </si>
  <si>
    <t>EIF1AX</t>
  </si>
  <si>
    <t>QARS</t>
  </si>
  <si>
    <t>RPL29</t>
  </si>
  <si>
    <t>ZFP36L2</t>
  </si>
  <si>
    <t>UQCRFS1</t>
  </si>
  <si>
    <t>ATP5O</t>
  </si>
  <si>
    <t>LIMS1</t>
  </si>
  <si>
    <t>IREB2</t>
  </si>
  <si>
    <t>RFX3</t>
  </si>
  <si>
    <t>ARCN1</t>
  </si>
  <si>
    <t>LSS</t>
  </si>
  <si>
    <t>PPP3CC</t>
  </si>
  <si>
    <t>GCLC</t>
  </si>
  <si>
    <t>GCLM</t>
  </si>
  <si>
    <t>TRAPPC10</t>
  </si>
  <si>
    <t>PRRC2A</t>
  </si>
  <si>
    <t>GSS</t>
  </si>
  <si>
    <t>CCT5</t>
  </si>
  <si>
    <t>HSPA13</t>
  </si>
  <si>
    <t>CSNK1D</t>
  </si>
  <si>
    <t>IDH2</t>
  </si>
  <si>
    <t>PITPNB</t>
  </si>
  <si>
    <t>CD97</t>
  </si>
  <si>
    <t>POLD2</t>
  </si>
  <si>
    <t>MARCKSL1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</si>
  <si>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</si>
  <si>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</si>
  <si>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</si>
  <si>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</si>
  <si>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</si>
  <si>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</si>
  <si>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</si>
  <si>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</si>
  <si>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</si>
  <si>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FASN</t>
  </si>
  <si>
    <t>CDK8</t>
  </si>
  <si>
    <t>FNTA</t>
  </si>
  <si>
    <t>DHPS</t>
  </si>
  <si>
    <t>CCT3</t>
  </si>
  <si>
    <t>MRPL19</t>
  </si>
  <si>
    <t>TUFM</t>
  </si>
  <si>
    <t>CDC34</t>
  </si>
  <si>
    <t>CENPF</t>
  </si>
  <si>
    <t>SRP9</t>
  </si>
  <si>
    <t>UBE2A</t>
  </si>
  <si>
    <t>PCYT1A</t>
  </si>
  <si>
    <t>AARS</t>
  </si>
  <si>
    <t>CARS</t>
  </si>
  <si>
    <t>SARS</t>
  </si>
  <si>
    <t>PRIM1</t>
  </si>
  <si>
    <t>PRIM2</t>
  </si>
  <si>
    <t>CSNK1E</t>
  </si>
  <si>
    <t>CTCF</t>
  </si>
  <si>
    <t>PSMB3</t>
  </si>
  <si>
    <t>PSMB2</t>
  </si>
  <si>
    <t>MCM2</t>
  </si>
  <si>
    <t>ACADVL</t>
  </si>
  <si>
    <t>YLPM1</t>
  </si>
  <si>
    <t>VPS41</t>
  </si>
  <si>
    <t>TMED10</t>
  </si>
  <si>
    <t>RBM25</t>
  </si>
  <si>
    <t>NUMB</t>
  </si>
  <si>
    <t>PSEN1</t>
  </si>
  <si>
    <t>EIF2B2</t>
  </si>
  <si>
    <t>HINT1</t>
  </si>
  <si>
    <t>FHIT</t>
  </si>
  <si>
    <t>NUP153</t>
  </si>
  <si>
    <t>RANBP2</t>
  </si>
  <si>
    <t>GSK3A</t>
  </si>
  <si>
    <t>GSK3B</t>
  </si>
  <si>
    <t>NT5C2</t>
  </si>
  <si>
    <t>SEPHS1</t>
  </si>
  <si>
    <t>MTHFS</t>
  </si>
  <si>
    <t>GMPS</t>
  </si>
  <si>
    <t>LIG3</t>
  </si>
  <si>
    <t>LIG4</t>
  </si>
  <si>
    <t>MRE11A</t>
  </si>
  <si>
    <t>KHK</t>
  </si>
  <si>
    <t>GNAQ</t>
  </si>
  <si>
    <t>GNG4</t>
  </si>
  <si>
    <t>GNG10</t>
  </si>
  <si>
    <t>IDH3A</t>
  </si>
  <si>
    <t>CRIP1</t>
  </si>
  <si>
    <t>PPOX</t>
  </si>
  <si>
    <t>EMD</t>
  </si>
  <si>
    <t>CPT1A</t>
  </si>
  <si>
    <t>GATM</t>
  </si>
  <si>
    <t>SERPINB8</t>
  </si>
  <si>
    <t>SERPINH1</t>
  </si>
  <si>
    <t>ST13</t>
  </si>
  <si>
    <t>VASP</t>
  </si>
  <si>
    <t>NUDT2</t>
  </si>
  <si>
    <t>HLCS</t>
  </si>
  <si>
    <t>KNTC1</t>
  </si>
  <si>
    <t>RASSF2</t>
  </si>
  <si>
    <t>CDK9</t>
  </si>
  <si>
    <t>LRBA</t>
  </si>
  <si>
    <t>BCAM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</si>
  <si>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</si>
  <si>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</si>
  <si>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</si>
  <si>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</si>
  <si>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</si>
  <si>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</si>
  <si>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</si>
  <si>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</si>
  <si>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RAB28</t>
  </si>
  <si>
    <t>RAB27A</t>
  </si>
  <si>
    <t>DAP3</t>
  </si>
  <si>
    <t>DUSP3</t>
  </si>
  <si>
    <t>NOVA1</t>
  </si>
  <si>
    <t>SMARCA2</t>
  </si>
  <si>
    <t>IDH3G</t>
  </si>
  <si>
    <t>GALK1</t>
  </si>
  <si>
    <t>SSR4</t>
  </si>
  <si>
    <t>BCAP31</t>
  </si>
  <si>
    <t>TPMT</t>
  </si>
  <si>
    <t>MECP2</t>
  </si>
  <si>
    <t>ALDH5A1</t>
  </si>
  <si>
    <t>HSD17B4</t>
  </si>
  <si>
    <t>PSMD7</t>
  </si>
  <si>
    <t>UBE2D1</t>
  </si>
  <si>
    <t>SGSH</t>
  </si>
  <si>
    <t>STAT5B</t>
  </si>
  <si>
    <t>CLCN3</t>
  </si>
  <si>
    <t>CLCN5</t>
  </si>
  <si>
    <t>CLCN6</t>
  </si>
  <si>
    <t>CLCN7</t>
  </si>
  <si>
    <t>VAMP7</t>
  </si>
  <si>
    <t>BMX</t>
  </si>
  <si>
    <t>HDGF</t>
  </si>
  <si>
    <t>MNAT1</t>
  </si>
  <si>
    <t>NDUFA8</t>
  </si>
  <si>
    <t>HNRNPA3</t>
  </si>
  <si>
    <t>HNRNPM</t>
  </si>
  <si>
    <t>KPNA2</t>
  </si>
  <si>
    <t>KPNA1</t>
  </si>
  <si>
    <t>NCBP2</t>
  </si>
  <si>
    <t>RAP1GDS1</t>
  </si>
  <si>
    <t>POLR2J</t>
  </si>
  <si>
    <t>MAP2K6</t>
  </si>
  <si>
    <t>ARHGDIA</t>
  </si>
  <si>
    <t>ARHGDIB</t>
  </si>
  <si>
    <t>AGFG1</t>
  </si>
  <si>
    <t>HNRNPF</t>
  </si>
  <si>
    <t>STAT2</t>
  </si>
  <si>
    <t>GTF2A1</t>
  </si>
  <si>
    <t>KIF11</t>
  </si>
  <si>
    <t>VAV2</t>
  </si>
  <si>
    <t>RBM5</t>
  </si>
  <si>
    <t>HRSP12</t>
  </si>
  <si>
    <t>SMS</t>
  </si>
  <si>
    <t>HK2</t>
  </si>
  <si>
    <t>EFNA4</t>
  </si>
  <si>
    <t>MRPL12</t>
  </si>
  <si>
    <t>THOP1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</si>
  <si>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</si>
  <si>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</si>
  <si>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</si>
  <si>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</si>
  <si>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</si>
  <si>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</si>
  <si>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</si>
  <si>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</si>
  <si>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NUBP1</t>
  </si>
  <si>
    <t>ACLY</t>
  </si>
  <si>
    <t>CEBPG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</si>
  <si>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</si>
  <si>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</si>
  <si>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</si>
  <si>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</si>
  <si>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</si>
  <si>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</si>
  <si>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</si>
  <si>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</si>
  <si>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HCCS</t>
  </si>
  <si>
    <t>MAPK12</t>
  </si>
  <si>
    <t>SLC5A3</t>
  </si>
  <si>
    <t>PTTG1IP</t>
  </si>
  <si>
    <t>POLR2K</t>
  </si>
  <si>
    <t>SLC16A1</t>
  </si>
  <si>
    <t>IST1</t>
  </si>
  <si>
    <t>SEC24C</t>
  </si>
  <si>
    <t>SUB1</t>
  </si>
  <si>
    <t>POLG</t>
  </si>
  <si>
    <t>RARS</t>
  </si>
  <si>
    <t>ATN1</t>
  </si>
  <si>
    <t>PMS2</t>
  </si>
  <si>
    <t>YARS</t>
  </si>
  <si>
    <t>USP14</t>
  </si>
  <si>
    <t>PRKAG1</t>
  </si>
  <si>
    <t>HSPA2</t>
  </si>
  <si>
    <t>BCAT1</t>
  </si>
  <si>
    <t>ATP1B3</t>
  </si>
  <si>
    <t>FXYD2</t>
  </si>
  <si>
    <t>RAD23B</t>
  </si>
  <si>
    <t>AK2</t>
  </si>
  <si>
    <t>HMGCS2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</si>
  <si>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</si>
  <si>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</si>
  <si>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</si>
  <si>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</si>
  <si>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</si>
  <si>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</si>
  <si>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</si>
  <si>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</si>
  <si>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</si>
  <si>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</si>
  <si>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MANF</t>
  </si>
  <si>
    <t>NCKAP1L</t>
  </si>
  <si>
    <t>ELL</t>
  </si>
  <si>
    <t>CASP7</t>
  </si>
  <si>
    <t>CASP6</t>
  </si>
  <si>
    <t>ADK</t>
  </si>
  <si>
    <t>CDKN2D</t>
  </si>
  <si>
    <t>CDH4</t>
  </si>
  <si>
    <t>SEC13</t>
  </si>
  <si>
    <t>GFER</t>
  </si>
  <si>
    <t>HNRNPH2</t>
  </si>
  <si>
    <t>OXCT1</t>
  </si>
  <si>
    <t>EIF3B</t>
  </si>
  <si>
    <t>FCGRT</t>
  </si>
  <si>
    <t>BID</t>
  </si>
  <si>
    <t>ATP5J2</t>
  </si>
  <si>
    <t>GFRA1</t>
  </si>
  <si>
    <t>NDUFV3</t>
  </si>
  <si>
    <t>RRP1</t>
  </si>
  <si>
    <t>MARS</t>
  </si>
  <si>
    <t>ITGA1</t>
  </si>
  <si>
    <t>ARPP19</t>
  </si>
  <si>
    <t>MAZ</t>
  </si>
  <si>
    <t>CMC4</t>
  </si>
  <si>
    <t>POLE2</t>
  </si>
  <si>
    <t>AP1S2</t>
  </si>
  <si>
    <t>MP68</t>
  </si>
  <si>
    <t>ATP5E</t>
  </si>
  <si>
    <t>ATP5I</t>
  </si>
  <si>
    <t>HDAC4</t>
  </si>
  <si>
    <t>EIF6</t>
  </si>
  <si>
    <t>NDUFA6</t>
  </si>
  <si>
    <t>ARL4C</t>
  </si>
  <si>
    <t>PEX3</t>
  </si>
  <si>
    <t>HSD17B7</t>
  </si>
  <si>
    <t>STX17</t>
  </si>
  <si>
    <t>UBASH3A</t>
  </si>
  <si>
    <t>C21orf59</t>
  </si>
  <si>
    <t>WDR4</t>
  </si>
  <si>
    <t>TMEM33</t>
  </si>
  <si>
    <t>SYNJ2BP</t>
  </si>
  <si>
    <t>CORO7</t>
  </si>
  <si>
    <t>NUP107</t>
  </si>
  <si>
    <t>SNX16</t>
  </si>
  <si>
    <t>EEFSEC</t>
  </si>
  <si>
    <t>SESN2</t>
  </si>
  <si>
    <t>MTPN</t>
  </si>
  <si>
    <t>YBEY</t>
  </si>
  <si>
    <t>RAB15</t>
  </si>
  <si>
    <t>SEC61G</t>
  </si>
  <si>
    <t>TPI1</t>
  </si>
  <si>
    <t>EIF3E</t>
  </si>
  <si>
    <t>SEC61B</t>
  </si>
  <si>
    <t>PPP4C</t>
  </si>
  <si>
    <t>GABARAPL2</t>
  </si>
  <si>
    <t>ROMO1</t>
  </si>
  <si>
    <t>UBE2G2</t>
  </si>
  <si>
    <t>ACTB</t>
  </si>
  <si>
    <t>RAC3</t>
  </si>
  <si>
    <t>EIF4A1</t>
  </si>
  <si>
    <t>RPS20</t>
  </si>
  <si>
    <t>SNAP25</t>
  </si>
  <si>
    <t>PRPS1</t>
  </si>
  <si>
    <t>SHFM1</t>
  </si>
  <si>
    <t>PSMA6</t>
  </si>
  <si>
    <t>S100A10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</si>
  <si>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</si>
  <si>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</si>
  <si>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</si>
  <si>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</si>
  <si>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</si>
  <si>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</si>
  <si>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</si>
  <si>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</si>
  <si>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</si>
  <si>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</si>
  <si>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</si>
  <si>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</si>
  <si>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</si>
  <si>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</si>
  <si>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</si>
  <si>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</si>
  <si>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</si>
  <si>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</si>
  <si>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</si>
  <si>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</si>
  <si>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</si>
  <si>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ARF3</t>
  </si>
  <si>
    <t>ABCE1</t>
  </si>
  <si>
    <t>RAP1B</t>
  </si>
  <si>
    <t>RAP2B</t>
  </si>
  <si>
    <t>MAX</t>
  </si>
  <si>
    <t>RPS3A</t>
  </si>
  <si>
    <t>RPL26</t>
  </si>
  <si>
    <t>PSME3</t>
  </si>
  <si>
    <t>MAGOH</t>
  </si>
  <si>
    <t>RPL27</t>
  </si>
  <si>
    <t>PCBD1</t>
  </si>
  <si>
    <t>RPL37A</t>
  </si>
  <si>
    <t>RHOA</t>
  </si>
  <si>
    <t>NAA20</t>
  </si>
  <si>
    <t>HSPE1</t>
  </si>
  <si>
    <t>VBP1</t>
  </si>
  <si>
    <t>STXBP1</t>
  </si>
  <si>
    <t>B2M</t>
  </si>
  <si>
    <t>PKIA</t>
  </si>
  <si>
    <t>RPL37</t>
  </si>
  <si>
    <t>DCAF7</t>
  </si>
  <si>
    <t>WDR5</t>
  </si>
  <si>
    <t>AP1S1</t>
  </si>
  <si>
    <t>LMO4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</si>
  <si>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</si>
  <si>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</si>
  <si>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</si>
  <si>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</si>
  <si>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</si>
  <si>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</si>
  <si>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</si>
  <si>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</si>
  <si>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</si>
  <si>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</si>
  <si>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</si>
  <si>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</si>
  <si>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</si>
  <si>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</si>
  <si>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</si>
  <si>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</si>
  <si>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</si>
  <si>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</si>
  <si>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</si>
  <si>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</si>
  <si>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</si>
  <si>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</si>
  <si>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</si>
  <si>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</si>
  <si>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</si>
  <si>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</si>
  <si>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</si>
  <si>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TMSB4X</t>
  </si>
  <si>
    <t>ARF6</t>
  </si>
  <si>
    <t>PSMC6</t>
  </si>
  <si>
    <t>SELT</t>
  </si>
  <si>
    <t>TBPL1</t>
  </si>
  <si>
    <t>RPL7A</t>
  </si>
  <si>
    <t>POLR2G</t>
  </si>
  <si>
    <t>ETF1</t>
  </si>
  <si>
    <t>YPEL5</t>
  </si>
  <si>
    <t>RPS4X</t>
  </si>
  <si>
    <t>PPP2CB</t>
  </si>
  <si>
    <t>RPL23A</t>
  </si>
  <si>
    <t>RPS6</t>
  </si>
  <si>
    <t>HIST1H4A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</si>
  <si>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</si>
  <si>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</si>
  <si>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</si>
  <si>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</si>
  <si>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</si>
  <si>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</si>
  <si>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</si>
  <si>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</si>
  <si>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POLR2L</t>
  </si>
  <si>
    <t>RBX1</t>
  </si>
  <si>
    <t>GNB2</t>
  </si>
  <si>
    <t>RPL30</t>
  </si>
  <si>
    <t>RPL31</t>
  </si>
  <si>
    <t>RPL10A</t>
  </si>
  <si>
    <t>RPL11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</si>
  <si>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</si>
  <si>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</si>
  <si>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</si>
  <si>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</si>
  <si>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</si>
  <si>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</si>
  <si>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</si>
  <si>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</si>
  <si>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</si>
  <si>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YWHAZ</t>
  </si>
  <si>
    <t>UBE2B</t>
  </si>
  <si>
    <t>PPP2R2A</t>
  </si>
  <si>
    <t>DYNLL1</t>
  </si>
  <si>
    <t>DYNLT1</t>
  </si>
  <si>
    <t>RPL38</t>
  </si>
  <si>
    <t>GNG5</t>
  </si>
  <si>
    <t>RPS21</t>
  </si>
  <si>
    <t>EIF5A</t>
  </si>
  <si>
    <t>GNB2L1</t>
  </si>
  <si>
    <t>ACTG1</t>
  </si>
  <si>
    <t>SUPT4H1</t>
  </si>
  <si>
    <t>PPP2CA</t>
  </si>
  <si>
    <t>YBX1</t>
  </si>
  <si>
    <t>UBE2L3</t>
  </si>
  <si>
    <t>EEF1A1</t>
  </si>
  <si>
    <t>ACTA1</t>
  </si>
  <si>
    <t>TUBA1B</t>
  </si>
  <si>
    <t>TUBB4B</t>
  </si>
  <si>
    <t>PAFAH1B2</t>
  </si>
  <si>
    <t>HBB</t>
  </si>
  <si>
    <t>HBA1</t>
  </si>
  <si>
    <t>NOP14</t>
  </si>
  <si>
    <t>IGBP1</t>
  </si>
  <si>
    <t>PSPH</t>
  </si>
  <si>
    <t>RBM6</t>
  </si>
  <si>
    <t>RPP38</t>
  </si>
  <si>
    <t>RPP30</t>
  </si>
  <si>
    <t>GTF2I</t>
  </si>
  <si>
    <t>PIP4K2B</t>
  </si>
  <si>
    <t>SRPK2</t>
  </si>
  <si>
    <t>CCT2</t>
  </si>
  <si>
    <t>RAE1</t>
  </si>
  <si>
    <t>GSTO1</t>
  </si>
  <si>
    <t>PRKDC</t>
  </si>
  <si>
    <t>ADAM17</t>
  </si>
  <si>
    <t>BLOC1S1</t>
  </si>
  <si>
    <t>ARG2</t>
  </si>
  <si>
    <t>NTHL1</t>
  </si>
  <si>
    <t>PRR3</t>
  </si>
  <si>
    <t>IFI35</t>
  </si>
  <si>
    <t>MT1X</t>
  </si>
  <si>
    <t>NUCB2</t>
  </si>
  <si>
    <t>DCD</t>
  </si>
  <si>
    <t>TMF1</t>
  </si>
  <si>
    <t>MRPS10</t>
  </si>
  <si>
    <t>MRPS35</t>
  </si>
  <si>
    <t>MRPS11</t>
  </si>
  <si>
    <t>MRPS21</t>
  </si>
  <si>
    <t>MRPS6</t>
  </si>
  <si>
    <t>MRPS9</t>
  </si>
  <si>
    <t>SARNP</t>
  </si>
  <si>
    <t>LACTB</t>
  </si>
  <si>
    <t>COG7</t>
  </si>
  <si>
    <t>TXNL4A</t>
  </si>
  <si>
    <t>ARF5</t>
  </si>
  <si>
    <t>ERH</t>
  </si>
  <si>
    <t>RHOG</t>
  </si>
  <si>
    <t>SERF2</t>
  </si>
  <si>
    <t>MXRA7</t>
  </si>
  <si>
    <t>FOXK1</t>
  </si>
  <si>
    <t>CCZ1</t>
  </si>
  <si>
    <t>VLDLR</t>
  </si>
  <si>
    <t>HSPG2</t>
  </si>
  <si>
    <t>XIAP</t>
  </si>
  <si>
    <t>EFNB1</t>
  </si>
  <si>
    <t>RBM10</t>
  </si>
  <si>
    <t>RBM3</t>
  </si>
  <si>
    <t>MPP1</t>
  </si>
  <si>
    <t>TFAM</t>
  </si>
  <si>
    <t>PITPNA</t>
  </si>
  <si>
    <t>MAT1A</t>
  </si>
  <si>
    <t>SLC25A3</t>
  </si>
  <si>
    <t>HDLBP</t>
  </si>
  <si>
    <t>GTF2B</t>
  </si>
  <si>
    <t>CDK3</t>
  </si>
  <si>
    <t>CDK6</t>
  </si>
  <si>
    <t>CDK5</t>
  </si>
  <si>
    <t>CDK16</t>
  </si>
  <si>
    <t>PURA</t>
  </si>
  <si>
    <t>CLTC</t>
  </si>
  <si>
    <t>NFKB2</t>
  </si>
  <si>
    <t>FKBP3</t>
  </si>
  <si>
    <t>REEP5</t>
  </si>
  <si>
    <t>HNRNPU</t>
  </si>
  <si>
    <t>U2AF1</t>
  </si>
  <si>
    <t>SPTBN1</t>
  </si>
  <si>
    <t>TIAL1</t>
  </si>
  <si>
    <t>SET</t>
  </si>
  <si>
    <t>CD83</t>
  </si>
  <si>
    <t>FOXK2</t>
  </si>
  <si>
    <t>RUNX1</t>
  </si>
  <si>
    <t>GALK2</t>
  </si>
  <si>
    <t>AMPD3</t>
  </si>
  <si>
    <t>AMPD2</t>
  </si>
  <si>
    <t>CTBS</t>
  </si>
  <si>
    <t>FABP5</t>
  </si>
  <si>
    <t>CAP1</t>
  </si>
  <si>
    <t>FLI1</t>
  </si>
  <si>
    <t>HMGCS1</t>
  </si>
  <si>
    <t>SLC7A5</t>
  </si>
  <si>
    <t>DR1</t>
  </si>
  <si>
    <t>TFAP4</t>
  </si>
  <si>
    <t>EXOSC10</t>
  </si>
  <si>
    <t>PFKP</t>
  </si>
  <si>
    <t>SATB1</t>
  </si>
  <si>
    <t>OCRL</t>
  </si>
  <si>
    <t>PLCB3</t>
  </si>
  <si>
    <t>AKAP17A</t>
  </si>
  <si>
    <t>NAAA</t>
  </si>
  <si>
    <t>GUCY1A3</t>
  </si>
  <si>
    <t>DHODH</t>
  </si>
  <si>
    <t>CENPE</t>
  </si>
  <si>
    <t>KIF23</t>
  </si>
  <si>
    <t>ALDH6A1</t>
  </si>
  <si>
    <t>BDH1</t>
  </si>
  <si>
    <t>SEMG2</t>
  </si>
  <si>
    <t>APBA1</t>
  </si>
  <si>
    <t>SP4</t>
  </si>
  <si>
    <t>SP3</t>
  </si>
  <si>
    <t>ID3</t>
  </si>
  <si>
    <t>RPL18A</t>
  </si>
  <si>
    <t>MAP2K1</t>
  </si>
  <si>
    <t>FKBP4</t>
  </si>
  <si>
    <t>PLOD1</t>
  </si>
  <si>
    <t>NUCB1</t>
  </si>
  <si>
    <t>TOP2B</t>
  </si>
  <si>
    <t>GSTM4</t>
  </si>
  <si>
    <t>MLLT1</t>
  </si>
  <si>
    <t>PLAUR</t>
  </si>
  <si>
    <t>TAP2</t>
  </si>
  <si>
    <t>GBE1</t>
  </si>
  <si>
    <t>ATP7A</t>
  </si>
  <si>
    <t>NOTCH2</t>
  </si>
  <si>
    <t>PRKCQ</t>
  </si>
  <si>
    <t>GLO1</t>
  </si>
  <si>
    <t>SSBP1</t>
  </si>
  <si>
    <t>YWHAH</t>
  </si>
  <si>
    <t>PLP2</t>
  </si>
  <si>
    <t>CSTF1</t>
  </si>
  <si>
    <t>UBE3A</t>
  </si>
  <si>
    <t>DNM1</t>
  </si>
  <si>
    <t>SRSF11</t>
  </si>
  <si>
    <t>EEF1A2</t>
  </si>
  <si>
    <t>PRKCD</t>
  </si>
  <si>
    <t>FPGS</t>
  </si>
  <si>
    <t>PTPN11</t>
  </si>
  <si>
    <t>KDSR</t>
  </si>
  <si>
    <t>PPAT</t>
  </si>
  <si>
    <t>GFPT1</t>
  </si>
  <si>
    <t>EXOSC9</t>
  </si>
  <si>
    <t>PSME1</t>
  </si>
  <si>
    <t>RBPJ</t>
  </si>
  <si>
    <t>APLP2</t>
  </si>
  <si>
    <t>GABPA</t>
  </si>
  <si>
    <t>RING1</t>
  </si>
  <si>
    <t>RAD51</t>
  </si>
  <si>
    <t>FMR1</t>
  </si>
  <si>
    <t>PRDX1</t>
  </si>
  <si>
    <t>SOX4</t>
  </si>
  <si>
    <t>C1QBP</t>
  </si>
  <si>
    <t>CKAP4</t>
  </si>
  <si>
    <t>CD69</t>
  </si>
  <si>
    <t>SPAG1</t>
  </si>
  <si>
    <t>KHDRBS1</t>
  </si>
  <si>
    <t>BAX</t>
  </si>
  <si>
    <t>MCL1</t>
  </si>
  <si>
    <t>KLC1</t>
  </si>
  <si>
    <t>LRP1</t>
  </si>
  <si>
    <t>ARHGAP1</t>
  </si>
  <si>
    <t>SRSF4</t>
  </si>
  <si>
    <t>PPP3CA</t>
  </si>
  <si>
    <t>DHX9</t>
  </si>
  <si>
    <t>CRYZ</t>
  </si>
  <si>
    <t>SLC20A2</t>
  </si>
  <si>
    <t>GOLGA3</t>
  </si>
  <si>
    <t>GOLGA2</t>
  </si>
  <si>
    <t>LGALS3BP</t>
  </si>
  <si>
    <t>DSC1</t>
  </si>
  <si>
    <t>PPID</t>
  </si>
  <si>
    <t>ITK</t>
  </si>
  <si>
    <t>SSRP1</t>
  </si>
  <si>
    <t>CAMSAP2</t>
  </si>
  <si>
    <t>SLFN5</t>
  </si>
  <si>
    <t>MZT1</t>
  </si>
  <si>
    <t>VAC14</t>
  </si>
  <si>
    <t>NSUN2</t>
  </si>
  <si>
    <t>RBBP4</t>
  </si>
  <si>
    <t>NCBP1</t>
  </si>
  <si>
    <t>MGAT5</t>
  </si>
  <si>
    <t>EP300</t>
  </si>
  <si>
    <t>AHNAK</t>
  </si>
  <si>
    <t>ELP6</t>
  </si>
  <si>
    <t>APOBR</t>
  </si>
  <si>
    <t>HSPA14</t>
  </si>
  <si>
    <t>SCRN3</t>
  </si>
  <si>
    <t>LAMTOR4</t>
  </si>
  <si>
    <t>MGAT2</t>
  </si>
  <si>
    <t>GALNT2</t>
  </si>
  <si>
    <t>AP1B1</t>
  </si>
  <si>
    <t>CPSF1</t>
  </si>
  <si>
    <t>BST2</t>
  </si>
  <si>
    <t>PMPCA</t>
  </si>
  <si>
    <t>SCRN1</t>
  </si>
  <si>
    <t>KIAA0196</t>
  </si>
  <si>
    <t>NUP160</t>
  </si>
  <si>
    <t>TBL3</t>
  </si>
  <si>
    <t>GTF3C1</t>
  </si>
  <si>
    <t>TWF1</t>
  </si>
  <si>
    <t>ASPH</t>
  </si>
  <si>
    <t>AKAP13</t>
  </si>
  <si>
    <t>SMARCB1</t>
  </si>
  <si>
    <t>CDC20</t>
  </si>
  <si>
    <t>STX4</t>
  </si>
  <si>
    <t>SFSWAP</t>
  </si>
  <si>
    <t>SF3A3</t>
  </si>
  <si>
    <t>DPYD</t>
  </si>
  <si>
    <t>TP53BP1</t>
  </si>
  <si>
    <t>TMEM115</t>
  </si>
  <si>
    <t>TRIM26</t>
  </si>
  <si>
    <t>AIMP1</t>
  </si>
  <si>
    <t>ILF2</t>
  </si>
  <si>
    <t>ILF3</t>
  </si>
  <si>
    <t>LMAN2</t>
  </si>
  <si>
    <t>LRMP</t>
  </si>
  <si>
    <t>TRAF2</t>
  </si>
  <si>
    <t>ANK3</t>
  </si>
  <si>
    <t>DLG1</t>
  </si>
  <si>
    <t>TAF10</t>
  </si>
  <si>
    <t>PPP1R8</t>
  </si>
  <si>
    <t>PTP4A2</t>
  </si>
  <si>
    <t>ABR</t>
  </si>
  <si>
    <t>BNIP1</t>
  </si>
  <si>
    <t>CSTF3</t>
  </si>
  <si>
    <t>ECH1</t>
  </si>
  <si>
    <t>MLLT11</t>
  </si>
  <si>
    <t>ARHGAP5</t>
  </si>
  <si>
    <t>CDC16</t>
  </si>
  <si>
    <t>STK4</t>
  </si>
  <si>
    <t>FLII</t>
  </si>
  <si>
    <t>TRIM32</t>
  </si>
  <si>
    <t>COASY</t>
  </si>
  <si>
    <t>ACACA</t>
  </si>
  <si>
    <t>LCP2</t>
  </si>
  <si>
    <t>USP4</t>
  </si>
  <si>
    <t>CHAF1A</t>
  </si>
  <si>
    <t>CHAF1B</t>
  </si>
  <si>
    <t>IK</t>
  </si>
  <si>
    <t>PRKAA1</t>
  </si>
  <si>
    <t>PPFIA1</t>
  </si>
  <si>
    <t>TARDBP</t>
  </si>
  <si>
    <t>HNRNPA0</t>
  </si>
  <si>
    <t>PAK1</t>
  </si>
  <si>
    <t>AIMP2</t>
  </si>
  <si>
    <t>FADD</t>
  </si>
  <si>
    <t>PRDX4</t>
  </si>
  <si>
    <t>MAP2K5</t>
  </si>
  <si>
    <t>PAK2</t>
  </si>
  <si>
    <t>CBX3</t>
  </si>
  <si>
    <t>STK3</t>
  </si>
  <si>
    <t>STX5</t>
  </si>
  <si>
    <t>PSMD2</t>
  </si>
  <si>
    <t>ERCC8</t>
  </si>
  <si>
    <t>DNAJC3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</si>
  <si>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</si>
  <si>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</si>
  <si>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</si>
  <si>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</si>
  <si>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</si>
  <si>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</si>
  <si>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</si>
  <si>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</si>
  <si>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KCNAB2</t>
  </si>
  <si>
    <t>PTK7</t>
  </si>
  <si>
    <t>SKP2</t>
  </si>
  <si>
    <t>PABPC4</t>
  </si>
  <si>
    <t>IFIT5</t>
  </si>
  <si>
    <t>MTA1</t>
  </si>
  <si>
    <t>PTPRS</t>
  </si>
  <si>
    <t>EIF3I</t>
  </si>
  <si>
    <t>PPIL2</t>
  </si>
  <si>
    <t>PPP2R5C</t>
  </si>
  <si>
    <t>AP3B2</t>
  </si>
  <si>
    <t>PDCL</t>
  </si>
  <si>
    <t>TARBP1</t>
  </si>
  <si>
    <t>MRPL49</t>
  </si>
  <si>
    <t>DYNC1I2</t>
  </si>
  <si>
    <t>ORC2</t>
  </si>
  <si>
    <t>ILK</t>
  </si>
  <si>
    <t>NNT</t>
  </si>
  <si>
    <t>SNTB2</t>
  </si>
  <si>
    <t>XRCC4</t>
  </si>
  <si>
    <t>PPIG</t>
  </si>
  <si>
    <t>TCOF1</t>
  </si>
  <si>
    <t>UNC119</t>
  </si>
  <si>
    <t>SLC39A6</t>
  </si>
  <si>
    <t>SF3B2</t>
  </si>
  <si>
    <t>OS9</t>
  </si>
  <si>
    <t>GOLGA4</t>
  </si>
  <si>
    <t>PDAP1</t>
  </si>
  <si>
    <t>ADAM9</t>
  </si>
  <si>
    <t>TMED1</t>
  </si>
  <si>
    <t>FKBP5</t>
  </si>
  <si>
    <t>ROCK1</t>
  </si>
  <si>
    <t>NFATC2</t>
  </si>
  <si>
    <t>TOP3A</t>
  </si>
  <si>
    <t>PICALM</t>
  </si>
  <si>
    <t>MTM1</t>
  </si>
  <si>
    <t>SQSTM1</t>
  </si>
  <si>
    <t>MED21</t>
  </si>
  <si>
    <t>MTX1</t>
  </si>
  <si>
    <t>NAB1</t>
  </si>
  <si>
    <t>TUBB3</t>
  </si>
  <si>
    <t>PIN1</t>
  </si>
  <si>
    <t>EIF4EBP1</t>
  </si>
  <si>
    <t>EIF4EBP2</t>
  </si>
  <si>
    <t>HDAC1</t>
  </si>
  <si>
    <t>NAE1</t>
  </si>
  <si>
    <t>LAPTM5</t>
  </si>
  <si>
    <t>ITPK1</t>
  </si>
  <si>
    <t>SNW1</t>
  </si>
  <si>
    <t>DGKZ</t>
  </si>
  <si>
    <t>IQGAP2</t>
  </si>
  <si>
    <t>STIM1</t>
  </si>
  <si>
    <t>GRAP</t>
  </si>
  <si>
    <t>SNX1</t>
  </si>
  <si>
    <t>PEX6</t>
  </si>
  <si>
    <t>PWP1</t>
  </si>
  <si>
    <t>MTMR2</t>
  </si>
  <si>
    <t>MTMR3</t>
  </si>
  <si>
    <t>CUL1</t>
  </si>
  <si>
    <t>CUL2</t>
  </si>
  <si>
    <t>CUL3</t>
  </si>
  <si>
    <t>CUL4A</t>
  </si>
  <si>
    <t>TP53BP2</t>
  </si>
  <si>
    <t>DYRK1A</t>
  </si>
  <si>
    <t>FHL1</t>
  </si>
  <si>
    <t>FHL3</t>
  </si>
  <si>
    <t>ALKBH1</t>
  </si>
  <si>
    <t>MOGS</t>
  </si>
  <si>
    <t>ALCAM</t>
  </si>
  <si>
    <t>THOC5</t>
  </si>
  <si>
    <t>ARFRP1</t>
  </si>
  <si>
    <t>SPTAN1</t>
  </si>
  <si>
    <t>AUH</t>
  </si>
  <si>
    <t>DDX39B</t>
  </si>
  <si>
    <t>BLMH</t>
  </si>
  <si>
    <t>EXOSC2</t>
  </si>
  <si>
    <t>SNTB1</t>
  </si>
  <si>
    <t>TUBB2A</t>
  </si>
  <si>
    <t>BYSL</t>
  </si>
  <si>
    <t>RAPGEF1</t>
  </si>
  <si>
    <t>IDI1</t>
  </si>
  <si>
    <t>CBFB</t>
  </si>
  <si>
    <t>NFYC</t>
  </si>
  <si>
    <t>IL16</t>
  </si>
  <si>
    <t>CKAP5</t>
  </si>
  <si>
    <t>CIRBP</t>
  </si>
  <si>
    <t>COTL1</t>
  </si>
  <si>
    <t>COX17</t>
  </si>
  <si>
    <t>RAB33A</t>
  </si>
  <si>
    <t>HNRNPD</t>
  </si>
  <si>
    <t>SCARB2</t>
  </si>
  <si>
    <t>LRP8</t>
  </si>
  <si>
    <t>DPYS</t>
  </si>
  <si>
    <t>DAG1</t>
  </si>
  <si>
    <t>DSG2</t>
  </si>
  <si>
    <t>VGLL4</t>
  </si>
  <si>
    <t>BOP1</t>
  </si>
  <si>
    <t>UBE4A</t>
  </si>
  <si>
    <t>KEAP1</t>
  </si>
  <si>
    <t>URB2</t>
  </si>
  <si>
    <t>DHX34</t>
  </si>
  <si>
    <t>MORC3</t>
  </si>
  <si>
    <t>SAFB2</t>
  </si>
  <si>
    <t>EIF3A</t>
  </si>
  <si>
    <t>FAM53B</t>
  </si>
  <si>
    <t>UBAP2L</t>
  </si>
  <si>
    <t>SCRIB</t>
  </si>
  <si>
    <t>GIT2</t>
  </si>
  <si>
    <t>MLEC</t>
  </si>
  <si>
    <t>TTLL12</t>
  </si>
  <si>
    <t>POLA2</t>
  </si>
  <si>
    <t>DOC2A</t>
  </si>
  <si>
    <t>TFDP1</t>
  </si>
  <si>
    <t>TFDP2</t>
  </si>
  <si>
    <t>DYNC1H1</t>
  </si>
  <si>
    <t>EIF2B1</t>
  </si>
  <si>
    <t>EIF4A2</t>
  </si>
  <si>
    <t>TCEB3</t>
  </si>
  <si>
    <t>SELPLG</t>
  </si>
  <si>
    <t>CTTN</t>
  </si>
  <si>
    <t>ENDOG</t>
  </si>
  <si>
    <t>FLOT2</t>
  </si>
  <si>
    <t>RCN2</t>
  </si>
  <si>
    <t>TRIM25</t>
  </si>
  <si>
    <t>PTK2B</t>
  </si>
  <si>
    <t>FKBP8</t>
  </si>
  <si>
    <t>FAM50A</t>
  </si>
  <si>
    <t>FRG1</t>
  </si>
  <si>
    <t>GNA13</t>
  </si>
  <si>
    <t>GAMT</t>
  </si>
  <si>
    <t>GALE</t>
  </si>
  <si>
    <t>CAPRIN1</t>
  </si>
  <si>
    <t>BECN1</t>
  </si>
  <si>
    <t>HES1</t>
  </si>
  <si>
    <t>RBM39</t>
  </si>
  <si>
    <t>FAT1</t>
  </si>
  <si>
    <t>HABP2</t>
  </si>
  <si>
    <t>HLTF</t>
  </si>
  <si>
    <t>SQLE</t>
  </si>
  <si>
    <t>PDIA5</t>
  </si>
  <si>
    <t>PRPSAP1</t>
  </si>
  <si>
    <t>DHX8</t>
  </si>
  <si>
    <t>MCM6</t>
  </si>
  <si>
    <t>RASA3</t>
  </si>
  <si>
    <t>PLS1</t>
  </si>
  <si>
    <t>IRF3</t>
  </si>
  <si>
    <t>LAGE3</t>
  </si>
  <si>
    <t>TRIP12</t>
  </si>
  <si>
    <t>MDC1</t>
  </si>
  <si>
    <t>CLINT1</t>
  </si>
  <si>
    <t>KCTD2</t>
  </si>
  <si>
    <t>SMC1A</t>
  </si>
  <si>
    <t>RRP1B</t>
  </si>
  <si>
    <t>NCOA6</t>
  </si>
  <si>
    <t>GSE1</t>
  </si>
  <si>
    <t>PDCD11</t>
  </si>
  <si>
    <t>GINS1</t>
  </si>
  <si>
    <t>BMS1</t>
  </si>
  <si>
    <t>LPIN1</t>
  </si>
  <si>
    <t>USP10</t>
  </si>
  <si>
    <t>MESDC2</t>
  </si>
  <si>
    <t>GANAB</t>
  </si>
  <si>
    <t>RFTN1</t>
  </si>
  <si>
    <t>LBR</t>
  </si>
  <si>
    <t>COG2</t>
  </si>
  <si>
    <t>PTPRCAP</t>
  </si>
  <si>
    <t>MVP</t>
  </si>
  <si>
    <t>GOLGB1</t>
  </si>
  <si>
    <t>CASP8</t>
  </si>
  <si>
    <t>NAA30</t>
  </si>
  <si>
    <t>KIF22</t>
  </si>
  <si>
    <t>LASP1</t>
  </si>
  <si>
    <t>CRYM</t>
  </si>
  <si>
    <t>RAB39A</t>
  </si>
  <si>
    <t>ZNF638</t>
  </si>
  <si>
    <t>KPNB1</t>
  </si>
  <si>
    <t>NOLC1</t>
  </si>
  <si>
    <t>NUMA1</t>
  </si>
  <si>
    <t>ODF1</t>
  </si>
  <si>
    <t>PSME4</t>
  </si>
  <si>
    <t>SLMAP</t>
  </si>
  <si>
    <t>GAPVD1</t>
  </si>
  <si>
    <t>NAA25</t>
  </si>
  <si>
    <t>NCAPH</t>
  </si>
  <si>
    <t>KIAA0101</t>
  </si>
  <si>
    <t>EMC2</t>
  </si>
  <si>
    <t>WTAP</t>
  </si>
  <si>
    <t>PSMD6</t>
  </si>
  <si>
    <t>HERPUD1</t>
  </si>
  <si>
    <t>MAD2L1BP</t>
  </si>
  <si>
    <t>MORF4L2</t>
  </si>
  <si>
    <t>FAM175B</t>
  </si>
  <si>
    <t>SEPT2</t>
  </si>
  <si>
    <t>SART3</t>
  </si>
  <si>
    <t>NCAPD2</t>
  </si>
  <si>
    <t>SUZ12</t>
  </si>
  <si>
    <t>EXOSC7</t>
  </si>
  <si>
    <t>ACAP1</t>
  </si>
  <si>
    <t>EFTUD2</t>
  </si>
  <si>
    <t>LARS2</t>
  </si>
  <si>
    <t>R3HDM1</t>
  </si>
  <si>
    <t>SNX17</t>
  </si>
  <si>
    <t>RAB3GAP1</t>
  </si>
  <si>
    <t>SLC39A14</t>
  </si>
  <si>
    <t>KARS</t>
  </si>
  <si>
    <t>RRS1</t>
  </si>
  <si>
    <t>ARHGEF6</t>
  </si>
  <si>
    <t>EIF4H</t>
  </si>
  <si>
    <t>ACAP2</t>
  </si>
  <si>
    <t>KIF14</t>
  </si>
  <si>
    <t>BRD3</t>
  </si>
  <si>
    <t>WDR43</t>
  </si>
  <si>
    <t>ACOX1</t>
  </si>
  <si>
    <t>EEA1</t>
  </si>
  <si>
    <t>PAFAH1B3</t>
  </si>
  <si>
    <t>PDK1</t>
  </si>
  <si>
    <t>PDK2</t>
  </si>
  <si>
    <t>PDK3</t>
  </si>
  <si>
    <t>EBP</t>
  </si>
  <si>
    <t>PMVK</t>
  </si>
  <si>
    <t>PLEC</t>
  </si>
  <si>
    <t>PCM1</t>
  </si>
  <si>
    <t>NOMO1</t>
  </si>
  <si>
    <t>TCEAL1</t>
  </si>
  <si>
    <t>PPP2R5A</t>
  </si>
  <si>
    <t>PPP2R5B</t>
  </si>
  <si>
    <t>PPA1</t>
  </si>
  <si>
    <t>STK38</t>
  </si>
  <si>
    <t>PVRL1</t>
  </si>
  <si>
    <t>NONO</t>
  </si>
  <si>
    <t>PWP2</t>
  </si>
  <si>
    <t>QPRT</t>
  </si>
  <si>
    <t>RABEP1</t>
  </si>
  <si>
    <t>RASA2</t>
  </si>
  <si>
    <t>RAB35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</si>
  <si>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</si>
  <si>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</si>
  <si>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</si>
  <si>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</si>
  <si>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</si>
  <si>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</si>
  <si>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</si>
  <si>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</si>
  <si>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TCEB2</t>
  </si>
  <si>
    <t>RHEB</t>
  </si>
  <si>
    <t>UBE3C</t>
  </si>
  <si>
    <t>SF3B3</t>
  </si>
  <si>
    <t>DLGAP5</t>
  </si>
  <si>
    <t>RSU1</t>
  </si>
  <si>
    <t>CNN3</t>
  </si>
  <si>
    <t>SAFB</t>
  </si>
  <si>
    <t>SF3B4</t>
  </si>
  <si>
    <t>SF3A2</t>
  </si>
  <si>
    <t>PPP1R7</t>
  </si>
  <si>
    <t>SEC23B</t>
  </si>
  <si>
    <t>SF3A1</t>
  </si>
  <si>
    <t>SKIV2L</t>
  </si>
  <si>
    <t>SPA17</t>
  </si>
  <si>
    <t>SURF1</t>
  </si>
  <si>
    <t>SURF2</t>
  </si>
  <si>
    <t>TAF5</t>
  </si>
  <si>
    <t>TAF11</t>
  </si>
  <si>
    <t>TAF7</t>
  </si>
  <si>
    <t>TERF2</t>
  </si>
  <si>
    <t>MAPRE2</t>
  </si>
  <si>
    <t>TCEA2</t>
  </si>
  <si>
    <t>NCOA2</t>
  </si>
  <si>
    <t>SLC9A3R2</t>
  </si>
  <si>
    <t>TRADD</t>
  </si>
  <si>
    <t>SF1</t>
  </si>
  <si>
    <t>TRIP10</t>
  </si>
  <si>
    <t>TRIP11</t>
  </si>
  <si>
    <t>TRIP13</t>
  </si>
  <si>
    <t>MED1</t>
  </si>
  <si>
    <t>ZNHIT3</t>
  </si>
  <si>
    <t>TRIP4</t>
  </si>
  <si>
    <t>JMJD1C</t>
  </si>
  <si>
    <t>MAPRE1</t>
  </si>
  <si>
    <t>TSC22D1</t>
  </si>
  <si>
    <t>ELAVL1</t>
  </si>
  <si>
    <t>NSDHL</t>
  </si>
  <si>
    <t>NAB2</t>
  </si>
  <si>
    <t>GPR68</t>
  </si>
  <si>
    <t>MYLK</t>
  </si>
  <si>
    <t>TAB1</t>
  </si>
  <si>
    <t>HERC1</t>
  </si>
  <si>
    <t>SLC1A5</t>
  </si>
  <si>
    <t>MAPK11</t>
  </si>
  <si>
    <t>MLF2</t>
  </si>
  <si>
    <t>MPPED2</t>
  </si>
  <si>
    <t>TOMM34</t>
  </si>
  <si>
    <t>SMAD2</t>
  </si>
  <si>
    <t>MSMO1</t>
  </si>
  <si>
    <t>TBCC</t>
  </si>
  <si>
    <t>UBE2V2</t>
  </si>
  <si>
    <t>STK11</t>
  </si>
  <si>
    <t>STXBP2</t>
  </si>
  <si>
    <t>CCDC85B</t>
  </si>
  <si>
    <t>VAMP3</t>
  </si>
  <si>
    <t>USF2</t>
  </si>
  <si>
    <t>ATP6AP1</t>
  </si>
  <si>
    <t>VPS72</t>
  </si>
  <si>
    <t>RAB11B</t>
  </si>
  <si>
    <t>EZH2</t>
  </si>
  <si>
    <t>ZYX</t>
  </si>
  <si>
    <t>ZNF124</t>
  </si>
  <si>
    <t>ETFDH</t>
  </si>
  <si>
    <t>SNCB</t>
  </si>
  <si>
    <t>ADRM1</t>
  </si>
  <si>
    <t>CCDC6</t>
  </si>
  <si>
    <t>UAP1</t>
  </si>
  <si>
    <t>E2F4</t>
  </si>
  <si>
    <t>PSMD5</t>
  </si>
  <si>
    <t>PKN1</t>
  </si>
  <si>
    <t>PKN2</t>
  </si>
  <si>
    <t>TAF12</t>
  </si>
  <si>
    <t>CRY1</t>
  </si>
  <si>
    <t>DDB1</t>
  </si>
  <si>
    <t>MAPK14</t>
  </si>
  <si>
    <t>DPYSL2</t>
  </si>
  <si>
    <t>CAMK4</t>
  </si>
  <si>
    <t>RBBP7</t>
  </si>
  <si>
    <t>ZNF74</t>
  </si>
  <si>
    <t>TAF9</t>
  </si>
  <si>
    <t>OCLN</t>
  </si>
  <si>
    <t>MEA1</t>
  </si>
  <si>
    <t>DBN1</t>
  </si>
  <si>
    <t>MAPKAPK3</t>
  </si>
  <si>
    <t>NRF1</t>
  </si>
  <si>
    <t>FSCN1</t>
  </si>
  <si>
    <t>IFI16</t>
  </si>
  <si>
    <t>ZSCAN26</t>
  </si>
  <si>
    <t>MAN2A1</t>
  </si>
  <si>
    <t>NDUFA5</t>
  </si>
  <si>
    <t>CLPP</t>
  </si>
  <si>
    <t>TST</t>
  </si>
  <si>
    <t>UBE2S</t>
  </si>
  <si>
    <t>HAGH</t>
  </si>
  <si>
    <t>HIST2H2BE</t>
  </si>
  <si>
    <t>NDUFA9</t>
  </si>
  <si>
    <t>PCK2</t>
  </si>
  <si>
    <t>DGUOK</t>
  </si>
  <si>
    <t>ATP6V1F</t>
  </si>
  <si>
    <t>IMMT</t>
  </si>
  <si>
    <t>TATDN3</t>
  </si>
  <si>
    <t>FAM98C</t>
  </si>
  <si>
    <t>REL</t>
  </si>
  <si>
    <t>HNRNPUL2</t>
  </si>
  <si>
    <t>CSPP1</t>
  </si>
  <si>
    <t>INF2</t>
  </si>
  <si>
    <t>PDS5A</t>
  </si>
  <si>
    <t>CLEC16A</t>
  </si>
  <si>
    <t>MTHFSD</t>
  </si>
  <si>
    <t>AAK1</t>
  </si>
  <si>
    <t>KIAA1033</t>
  </si>
  <si>
    <t>ERCC6L</t>
  </si>
  <si>
    <t>TSR1</t>
  </si>
  <si>
    <t>VMAC</t>
  </si>
  <si>
    <t>DPY19L1</t>
  </si>
  <si>
    <t>TYSND1</t>
  </si>
  <si>
    <t>ALG11</t>
  </si>
  <si>
    <t>QRICH1</t>
  </si>
  <si>
    <t>RELA</t>
  </si>
  <si>
    <t>SMU1</t>
  </si>
  <si>
    <t>AP5B1</t>
  </si>
  <si>
    <t>STX1B</t>
  </si>
  <si>
    <t>LRRFIP1</t>
  </si>
  <si>
    <t>POLD3</t>
  </si>
  <si>
    <t>LEPRE1</t>
  </si>
  <si>
    <t>TRMT5</t>
  </si>
  <si>
    <t>NME1-NME2</t>
  </si>
  <si>
    <t>TWISTNB</t>
  </si>
  <si>
    <t>GFOD2</t>
  </si>
  <si>
    <t>EDRF1</t>
  </si>
  <si>
    <t>MAP7D1</t>
  </si>
  <si>
    <t>UAP1L1</t>
  </si>
  <si>
    <t>C2orf76</t>
  </si>
  <si>
    <t>ALKBH6</t>
  </si>
  <si>
    <t>DAK</t>
  </si>
  <si>
    <t>LSM12</t>
  </si>
  <si>
    <t>TBC1D25</t>
  </si>
  <si>
    <t>PUS10</t>
  </si>
  <si>
    <t>HSDL1</t>
  </si>
  <si>
    <t>ARL13B</t>
  </si>
  <si>
    <t>GNPTAB</t>
  </si>
  <si>
    <t>CCDC88A</t>
  </si>
  <si>
    <t>RABL6</t>
  </si>
  <si>
    <t>VMA21</t>
  </si>
  <si>
    <t>TUBB8</t>
  </si>
  <si>
    <t>TIMM50</t>
  </si>
  <si>
    <t>LGALSL</t>
  </si>
  <si>
    <t>C5orf22</t>
  </si>
  <si>
    <t>COX19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</si>
  <si>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</si>
  <si>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</si>
  <si>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</si>
  <si>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</si>
  <si>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</si>
  <si>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</si>
  <si>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</si>
  <si>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</si>
  <si>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</si>
  <si>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PLCH1</t>
  </si>
  <si>
    <t>DNAL1</t>
  </si>
  <si>
    <t>ARID4B</t>
  </si>
  <si>
    <t>NME4</t>
  </si>
  <si>
    <t>GRIPAP1</t>
  </si>
  <si>
    <t>BCL7A</t>
  </si>
  <si>
    <t>DECR2</t>
  </si>
  <si>
    <t>TMEM259</t>
  </si>
  <si>
    <t>PAN2</t>
  </si>
  <si>
    <t>C4orf46</t>
  </si>
  <si>
    <t>LIN52</t>
  </si>
  <si>
    <t>FAM98B</t>
  </si>
  <si>
    <t>PDCD4</t>
  </si>
  <si>
    <t>CRTC2</t>
  </si>
  <si>
    <t>AGPAT9</t>
  </si>
  <si>
    <t>CEP55</t>
  </si>
  <si>
    <t>C17orf85</t>
  </si>
  <si>
    <t>TP53I3</t>
  </si>
  <si>
    <t>PLEKHO1</t>
  </si>
  <si>
    <t>HSD17B12</t>
  </si>
  <si>
    <t>GLE1</t>
  </si>
  <si>
    <t>AGK</t>
  </si>
  <si>
    <t>SETMAR</t>
  </si>
  <si>
    <t>AKIRIN2</t>
  </si>
  <si>
    <t>LACTB2</t>
  </si>
  <si>
    <t>ARHGAP15</t>
  </si>
  <si>
    <t>FASTKD1</t>
  </si>
  <si>
    <t>BOLA3</t>
  </si>
  <si>
    <t>HS1BP3</t>
  </si>
  <si>
    <t>CYBRD1</t>
  </si>
  <si>
    <t>SGOL2</t>
  </si>
  <si>
    <t>ACTBL2</t>
  </si>
  <si>
    <t>MPV17L2</t>
  </si>
  <si>
    <t>OCIAD2</t>
  </si>
  <si>
    <t>SFT2D3</t>
  </si>
  <si>
    <t>HSP90AB2P</t>
  </si>
  <si>
    <t>HSP90AA4P</t>
  </si>
  <si>
    <t>DCAF6</t>
  </si>
  <si>
    <t>TMEM97</t>
  </si>
  <si>
    <t>OXLD1</t>
  </si>
  <si>
    <t>C19orf54</t>
  </si>
  <si>
    <t>ZNF326</t>
  </si>
  <si>
    <t>ANKRD20A8P</t>
  </si>
  <si>
    <t>ZC3H12A</t>
  </si>
  <si>
    <t>RILPL1</t>
  </si>
  <si>
    <t>PDZD11</t>
  </si>
  <si>
    <t>CMPK2</t>
  </si>
  <si>
    <t>DNAJC21</t>
  </si>
  <si>
    <t>SGOL1</t>
  </si>
  <si>
    <t>HERC4</t>
  </si>
  <si>
    <t>UTS2</t>
  </si>
  <si>
    <t>PKIG</t>
  </si>
  <si>
    <t>CXorf40B</t>
  </si>
  <si>
    <t>RABL3</t>
  </si>
  <si>
    <t>COQ5</t>
  </si>
  <si>
    <t>TUBB</t>
  </si>
  <si>
    <t>NOMO2</t>
  </si>
  <si>
    <t>METTL10</t>
  </si>
  <si>
    <t>RHOC</t>
  </si>
  <si>
    <t>MIA3</t>
  </si>
  <si>
    <t>SRSF10</t>
  </si>
  <si>
    <t>PITRM1</t>
  </si>
  <si>
    <t>NHLRC3</t>
  </si>
  <si>
    <t>PSMG4</t>
  </si>
  <si>
    <t>WDR44</t>
  </si>
  <si>
    <t>HMGN5</t>
  </si>
  <si>
    <t>FGD3</t>
  </si>
  <si>
    <t>TJAP1</t>
  </si>
  <si>
    <t>RRP12</t>
  </si>
  <si>
    <t>COA6</t>
  </si>
  <si>
    <t>GMEB2</t>
  </si>
  <si>
    <t>AARS2</t>
  </si>
  <si>
    <t>TOR2A</t>
  </si>
  <si>
    <t>PAGE5</t>
  </si>
  <si>
    <t>TEX30</t>
  </si>
  <si>
    <t>DLG3</t>
  </si>
  <si>
    <t>PCID2</t>
  </si>
  <si>
    <t>HABP4</t>
  </si>
  <si>
    <t>ELMO2</t>
  </si>
  <si>
    <t>TMEM230</t>
  </si>
  <si>
    <t>MED23</t>
  </si>
  <si>
    <t>CRNKL1</t>
  </si>
  <si>
    <t>SAMD9</t>
  </si>
  <si>
    <t>SPECC1</t>
  </si>
  <si>
    <t>SMEK2</t>
  </si>
  <si>
    <t>WDR45B</t>
  </si>
  <si>
    <t>DNTTIP2</t>
  </si>
  <si>
    <t>PEX19</t>
  </si>
  <si>
    <t>ATP5F1</t>
  </si>
  <si>
    <t>BCL2L1</t>
  </si>
  <si>
    <t>DCAF10</t>
  </si>
  <si>
    <t>DPM1</t>
  </si>
  <si>
    <t>PSMF1</t>
  </si>
  <si>
    <t>MPC2</t>
  </si>
  <si>
    <t>COX20</t>
  </si>
  <si>
    <t>HLA-G</t>
  </si>
  <si>
    <t>EXOSC6</t>
  </si>
  <si>
    <t>PPM1L</t>
  </si>
  <si>
    <t>HLA-F</t>
  </si>
  <si>
    <t>ATAT1</t>
  </si>
  <si>
    <t>CR2</t>
  </si>
  <si>
    <t>HIATL1</t>
  </si>
  <si>
    <t>NUP188</t>
  </si>
  <si>
    <t>HLA-A</t>
  </si>
  <si>
    <t>CSNK2B</t>
  </si>
  <si>
    <t>HP1BP3</t>
  </si>
  <si>
    <t>VARS2</t>
  </si>
  <si>
    <t>AIF1</t>
  </si>
  <si>
    <t>DNMBP</t>
  </si>
  <si>
    <t>CEP170</t>
  </si>
  <si>
    <t>LDLRAP1</t>
  </si>
  <si>
    <t>CAMK2G</t>
  </si>
  <si>
    <t>ODR4</t>
  </si>
  <si>
    <t>SNAPC4</t>
  </si>
  <si>
    <t>DNLZ</t>
  </si>
  <si>
    <t>CERS2</t>
  </si>
  <si>
    <t>GABPB2</t>
  </si>
  <si>
    <t>TDRKH</t>
  </si>
  <si>
    <t>TPRG1L</t>
  </si>
  <si>
    <t>FNBP1L</t>
  </si>
  <si>
    <t>DPYSL4</t>
  </si>
  <si>
    <t>SLIT1</t>
  </si>
  <si>
    <t>C9orf156</t>
  </si>
  <si>
    <t>SH3BGRL3</t>
  </si>
  <si>
    <t>RARS2</t>
  </si>
  <si>
    <t>PYGO2</t>
  </si>
  <si>
    <t>FKBP15</t>
  </si>
  <si>
    <t>DDX59</t>
  </si>
  <si>
    <t>PUM1</t>
  </si>
  <si>
    <t>ZC3H13</t>
  </si>
  <si>
    <t>C9orf114</t>
  </si>
  <si>
    <t>C10orf76</t>
  </si>
  <si>
    <t>PDSS1</t>
  </si>
  <si>
    <t>LRIF1</t>
  </si>
  <si>
    <t>ZNF438</t>
  </si>
  <si>
    <t>IBA57</t>
  </si>
  <si>
    <t>HECTD3</t>
  </si>
  <si>
    <t>ZFYVE27</t>
  </si>
  <si>
    <t>SLC39A1</t>
  </si>
  <si>
    <t>UBR4</t>
  </si>
  <si>
    <t>ACADM</t>
  </si>
  <si>
    <t>FAM219A</t>
  </si>
  <si>
    <t>STXBP5</t>
  </si>
  <si>
    <t>CAMSAP1</t>
  </si>
  <si>
    <t>UBAP2</t>
  </si>
  <si>
    <t>IDNK</t>
  </si>
  <si>
    <t>ABLIM1</t>
  </si>
  <si>
    <t>C9orf64</t>
  </si>
  <si>
    <t>ADCK3</t>
  </si>
  <si>
    <t>ACBD5</t>
  </si>
  <si>
    <t>COX6A1P2</t>
  </si>
  <si>
    <t>RBM26</t>
  </si>
  <si>
    <t>MED22</t>
  </si>
  <si>
    <t>SURF4</t>
  </si>
  <si>
    <t>MED4</t>
  </si>
  <si>
    <t>ATAD3B</t>
  </si>
  <si>
    <t>CPSF3L</t>
  </si>
  <si>
    <t>ZCCHC11</t>
  </si>
  <si>
    <t>RNASEH2B</t>
  </si>
  <si>
    <t>TAF4</t>
  </si>
  <si>
    <t>NQO2</t>
  </si>
  <si>
    <t>DNAJC16</t>
  </si>
  <si>
    <t>DDI2</t>
  </si>
  <si>
    <t>SMOX</t>
  </si>
  <si>
    <t>NDUFAF5</t>
  </si>
  <si>
    <t>NAGLT1</t>
  </si>
  <si>
    <t>GINM1</t>
  </si>
  <si>
    <t>NT5DC1</t>
  </si>
  <si>
    <t>VPS13D</t>
  </si>
  <si>
    <t>PRR14L</t>
  </si>
  <si>
    <t>DHX35</t>
  </si>
  <si>
    <t>SLC19A2</t>
  </si>
  <si>
    <t>SFT2D2</t>
  </si>
  <si>
    <t>CROCC</t>
  </si>
  <si>
    <t>MEX3C</t>
  </si>
  <si>
    <t>LYRM7</t>
  </si>
  <si>
    <t>RIF1</t>
  </si>
  <si>
    <t>VPS53</t>
  </si>
  <si>
    <t>STRIP1</t>
  </si>
  <si>
    <t>ABHD17B</t>
  </si>
  <si>
    <t>GKAP1</t>
  </si>
  <si>
    <t>CEP350</t>
  </si>
  <si>
    <t>RPRD2</t>
  </si>
  <si>
    <t>GHITM</t>
  </si>
  <si>
    <t>LRRC38</t>
  </si>
  <si>
    <t>PRPF38B</t>
  </si>
  <si>
    <t>RNF20</t>
  </si>
  <si>
    <t>FAM69B</t>
  </si>
  <si>
    <t>C1orf53</t>
  </si>
  <si>
    <t>C6orf57</t>
  </si>
  <si>
    <t>CDKAL1</t>
  </si>
  <si>
    <t>ZNF691</t>
  </si>
  <si>
    <t>PLEKHM2</t>
  </si>
  <si>
    <t>YOD1</t>
  </si>
  <si>
    <t>BROX</t>
  </si>
  <si>
    <t>FOCAD</t>
  </si>
  <si>
    <t>TAF3</t>
  </si>
  <si>
    <t>FAM46C</t>
  </si>
  <si>
    <t>RSBN1</t>
  </si>
  <si>
    <t>LYPLAL1</t>
  </si>
  <si>
    <t>ARHGEF2</t>
  </si>
  <si>
    <t>LY9</t>
  </si>
  <si>
    <t>ZCCHC6</t>
  </si>
  <si>
    <t>JAKMIP3</t>
  </si>
  <si>
    <t>NAA35</t>
  </si>
  <si>
    <t>C9orf91</t>
  </si>
  <si>
    <t>LRRC16A</t>
  </si>
  <si>
    <t>PFKFB3</t>
  </si>
  <si>
    <t>FAM160B1</t>
  </si>
  <si>
    <t>ZDHHC20</t>
  </si>
  <si>
    <t>NDUFB8</t>
  </si>
  <si>
    <t>QIL1</t>
  </si>
  <si>
    <t>FBXW9</t>
  </si>
  <si>
    <t>RNF213</t>
  </si>
  <si>
    <t>AP1AR</t>
  </si>
  <si>
    <t>FAM21A</t>
  </si>
  <si>
    <t>FAM91A1</t>
  </si>
  <si>
    <t>LARP1B</t>
  </si>
  <si>
    <t>CEP135</t>
  </si>
  <si>
    <t>TBC1D9B</t>
  </si>
  <si>
    <t>DCAF15</t>
  </si>
  <si>
    <t>PPP2R2D</t>
  </si>
  <si>
    <t>ARL6IP4</t>
  </si>
  <si>
    <t>PFKFB4</t>
  </si>
  <si>
    <t>KAZN</t>
  </si>
  <si>
    <t>RAP1GAP2</t>
  </si>
  <si>
    <t>ARID2</t>
  </si>
  <si>
    <t>DIEXF</t>
  </si>
  <si>
    <t>SPTY2D1</t>
  </si>
  <si>
    <t>MBLAC2</t>
  </si>
  <si>
    <t>LMBRD2</t>
  </si>
  <si>
    <t>INTS3</t>
  </si>
  <si>
    <t>ARHGAP17</t>
  </si>
  <si>
    <t>CDCA2</t>
  </si>
  <si>
    <t>CWF19L1</t>
  </si>
  <si>
    <t>KIAA1429</t>
  </si>
  <si>
    <t>SPECC1L</t>
  </si>
  <si>
    <t>C12orf73</t>
  </si>
  <si>
    <t>UHRF1BP1</t>
  </si>
  <si>
    <t>AMMECR1L</t>
  </si>
  <si>
    <t>ZNF787</t>
  </si>
  <si>
    <t>ATL3</t>
  </si>
  <si>
    <t>ADAL</t>
  </si>
  <si>
    <t>PVRIG</t>
  </si>
  <si>
    <t>NXN</t>
  </si>
  <si>
    <t>TTC19</t>
  </si>
  <si>
    <t>CIAPIN1</t>
  </si>
  <si>
    <t>ZFAND6</t>
  </si>
  <si>
    <t>FAAH2</t>
  </si>
  <si>
    <t>SMYD5</t>
  </si>
  <si>
    <t>PTRHD1</t>
  </si>
  <si>
    <t>OTUD7B</t>
  </si>
  <si>
    <t>SELS</t>
  </si>
  <si>
    <t>RALGAPA1</t>
  </si>
  <si>
    <t>THOC7</t>
  </si>
  <si>
    <t>SIGIRR</t>
  </si>
  <si>
    <t>NADSYN1</t>
  </si>
  <si>
    <t>ELP2</t>
  </si>
  <si>
    <t>LAMTOR1</t>
  </si>
  <si>
    <t>DHRS7B</t>
  </si>
  <si>
    <t>TWF2</t>
  </si>
  <si>
    <t>NCAPH2</t>
  </si>
  <si>
    <t>GRAMD4</t>
  </si>
  <si>
    <t>DESI1</t>
  </si>
  <si>
    <t>ASPHD2</t>
  </si>
  <si>
    <t>SMEK1</t>
  </si>
  <si>
    <t>TYW3</t>
  </si>
  <si>
    <t>CENPP</t>
  </si>
  <si>
    <t>RAB12</t>
  </si>
  <si>
    <t>SDE2</t>
  </si>
  <si>
    <t>GRM5</t>
  </si>
  <si>
    <t>RCSD1</t>
  </si>
  <si>
    <t>USP3</t>
  </si>
  <si>
    <t>ACAD10</t>
  </si>
  <si>
    <t>NIPBL</t>
  </si>
  <si>
    <t>SLC25A25</t>
  </si>
  <si>
    <t>LIN54</t>
  </si>
  <si>
    <t>FSTL4</t>
  </si>
  <si>
    <t>ZNF280D</t>
  </si>
  <si>
    <t>NAA16</t>
  </si>
  <si>
    <t>ALKBH2</t>
  </si>
  <si>
    <t>LRRC8E</t>
  </si>
  <si>
    <t>SLC18B1</t>
  </si>
  <si>
    <t>SLC25A24</t>
  </si>
  <si>
    <t>REEP3</t>
  </si>
  <si>
    <t>RETSAT</t>
  </si>
  <si>
    <t>RINT1</t>
  </si>
  <si>
    <t>TMEM214</t>
  </si>
  <si>
    <t>TCTN3</t>
  </si>
  <si>
    <t>HIBCH</t>
  </si>
  <si>
    <t>ARMC6</t>
  </si>
  <si>
    <t>ANKRD54</t>
  </si>
  <si>
    <t>TAPT1</t>
  </si>
  <si>
    <t>PPP1R18</t>
  </si>
  <si>
    <t>PTRF</t>
  </si>
  <si>
    <t>ZCCHC8</t>
  </si>
  <si>
    <t>RPUSD3</t>
  </si>
  <si>
    <t>MRPL54</t>
  </si>
  <si>
    <t>ERAP2</t>
  </si>
  <si>
    <t>CDC73</t>
  </si>
  <si>
    <t>PMF1</t>
  </si>
  <si>
    <t>GTF2H2C</t>
  </si>
  <si>
    <t>FAM117B</t>
  </si>
  <si>
    <t>MRPL14</t>
  </si>
  <si>
    <t>SLC27A4</t>
  </si>
  <si>
    <t>CC2D1A</t>
  </si>
  <si>
    <t>METTL2B</t>
  </si>
  <si>
    <t>DUS1L</t>
  </si>
  <si>
    <t>STAG1</t>
  </si>
  <si>
    <t>MED27</t>
  </si>
  <si>
    <t>EDC4</t>
  </si>
  <si>
    <t>CEP85</t>
  </si>
  <si>
    <t>FAHD2B</t>
  </si>
  <si>
    <t>PRMT10</t>
  </si>
  <si>
    <t>PRPF8</t>
  </si>
  <si>
    <t>DENND1B</t>
  </si>
  <si>
    <t>FBXO42</t>
  </si>
  <si>
    <t>SCYL2</t>
  </si>
  <si>
    <t>TTC27</t>
  </si>
  <si>
    <t>NIPAL3</t>
  </si>
  <si>
    <t>SFXN4</t>
  </si>
  <si>
    <t>CASC4</t>
  </si>
  <si>
    <t>FDX1L</t>
  </si>
  <si>
    <t>WDR73</t>
  </si>
  <si>
    <t>CNNM4</t>
  </si>
  <si>
    <t>NFRKB</t>
  </si>
  <si>
    <t>MZT2A</t>
  </si>
  <si>
    <t>FAHD1</t>
  </si>
  <si>
    <t>C22orf39</t>
  </si>
  <si>
    <t>C8orf47</t>
  </si>
  <si>
    <t>ANKRD16</t>
  </si>
  <si>
    <t>ALKBH5</t>
  </si>
  <si>
    <t>KIAA1609</t>
  </si>
  <si>
    <t>INTS5</t>
  </si>
  <si>
    <t>GIMAP6</t>
  </si>
  <si>
    <t>RSBN1L</t>
  </si>
  <si>
    <t>PGM2L1</t>
  </si>
  <si>
    <t>CTR9</t>
  </si>
  <si>
    <t>AAGAB</t>
  </si>
  <si>
    <t>TTC37</t>
  </si>
  <si>
    <t>C16orf87</t>
  </si>
  <si>
    <t>ULK3</t>
  </si>
  <si>
    <t>DARS2</t>
  </si>
  <si>
    <t>TMEM65</t>
  </si>
  <si>
    <t>TTC33</t>
  </si>
  <si>
    <t>CCDC174</t>
  </si>
  <si>
    <t>FBXO38</t>
  </si>
  <si>
    <t>FIGNL1</t>
  </si>
  <si>
    <t>FBXO46</t>
  </si>
  <si>
    <t>TRIM65</t>
  </si>
  <si>
    <t>ELMSAN1</t>
  </si>
  <si>
    <t>BRAT1</t>
  </si>
  <si>
    <t>ZC3H14</t>
  </si>
  <si>
    <t>CNST</t>
  </si>
  <si>
    <t>OGFOD3</t>
  </si>
  <si>
    <t>LARP1</t>
  </si>
  <si>
    <t>TMED8</t>
  </si>
  <si>
    <t>SLC30A9</t>
  </si>
  <si>
    <t>BLOC1S3</t>
  </si>
  <si>
    <t>BLOC1S2</t>
  </si>
  <si>
    <t>WDR74</t>
  </si>
  <si>
    <t>AGTRAP</t>
  </si>
  <si>
    <t>POTEE</t>
  </si>
  <si>
    <t>SMARCD3</t>
  </si>
  <si>
    <t>SARM1</t>
  </si>
  <si>
    <t>AFTPH</t>
  </si>
  <si>
    <t>FIP1L1</t>
  </si>
  <si>
    <t>CRTC1</t>
  </si>
  <si>
    <t>SASS6</t>
  </si>
  <si>
    <t>ATRAID</t>
  </si>
  <si>
    <t>KDELC1</t>
  </si>
  <si>
    <t>C16orf54</t>
  </si>
  <si>
    <t>LRSAM1</t>
  </si>
  <si>
    <t>SHISA2</t>
  </si>
  <si>
    <t>DHRS11</t>
  </si>
  <si>
    <t>LCLAT1</t>
  </si>
  <si>
    <t>PET117</t>
  </si>
  <si>
    <t>C6orf89</t>
  </si>
  <si>
    <t>CWC27</t>
  </si>
  <si>
    <t>DHRS13</t>
  </si>
  <si>
    <t>ZDHHC24</t>
  </si>
  <si>
    <t>PI16</t>
  </si>
  <si>
    <t>SEZ6L2</t>
  </si>
  <si>
    <t>CRELD2</t>
  </si>
  <si>
    <t>WDR82</t>
  </si>
  <si>
    <t>APOOL</t>
  </si>
  <si>
    <t>DPP8</t>
  </si>
  <si>
    <t>PACS1</t>
  </si>
  <si>
    <t>BCOR</t>
  </si>
  <si>
    <t>MPRIP</t>
  </si>
  <si>
    <t>RAB11FIP1</t>
  </si>
  <si>
    <t>NAPRT1</t>
  </si>
  <si>
    <t>PTPLB</t>
  </si>
  <si>
    <t>B3GALTL</t>
  </si>
  <si>
    <t>GIGYF2</t>
  </si>
  <si>
    <t>THADA</t>
  </si>
  <si>
    <t>HSDL2</t>
  </si>
  <si>
    <t>CCBL2</t>
  </si>
  <si>
    <t>CERS6</t>
  </si>
  <si>
    <t>PPP1R21</t>
  </si>
  <si>
    <t>AEBP2</t>
  </si>
  <si>
    <t>NFXL1</t>
  </si>
  <si>
    <t>GDPGP1</t>
  </si>
  <si>
    <t>DPY19L3</t>
  </si>
  <si>
    <t>C15orf39</t>
  </si>
  <si>
    <t>QSOX2</t>
  </si>
  <si>
    <t>SRCAP</t>
  </si>
  <si>
    <t>GK5</t>
  </si>
  <si>
    <t>C1orf122</t>
  </si>
  <si>
    <t>MFSD6</t>
  </si>
  <si>
    <t>UBR3</t>
  </si>
  <si>
    <t>TMPPE</t>
  </si>
  <si>
    <t>SH3BP1</t>
  </si>
  <si>
    <t>ANKRD13D</t>
  </si>
  <si>
    <t>C11orf57</t>
  </si>
  <si>
    <t>NUDT18</t>
  </si>
  <si>
    <t>TOM1L2</t>
  </si>
  <si>
    <t>TMTC3</t>
  </si>
  <si>
    <t>GTF2H5</t>
  </si>
  <si>
    <t>VPS13C</t>
  </si>
  <si>
    <t>USP34</t>
  </si>
  <si>
    <t>MOB2</t>
  </si>
  <si>
    <t>UNC13D</t>
  </si>
  <si>
    <t>IKBIP</t>
  </si>
  <si>
    <t>FRA10AC1</t>
  </si>
  <si>
    <t>UBE2R2</t>
  </si>
  <si>
    <t>MLF1IP</t>
  </si>
  <si>
    <t>LARP4</t>
  </si>
  <si>
    <t>MED25</t>
  </si>
  <si>
    <t>TUBA1A</t>
  </si>
  <si>
    <t>H2AFV</t>
  </si>
  <si>
    <t>INTS8</t>
  </si>
  <si>
    <t>NOL8</t>
  </si>
  <si>
    <t>BTN2A1</t>
  </si>
  <si>
    <t>SUPT6H</t>
  </si>
  <si>
    <t>SND1</t>
  </si>
  <si>
    <t>COX15</t>
  </si>
  <si>
    <t>DDX46</t>
  </si>
  <si>
    <t>RUFY3</t>
  </si>
  <si>
    <t>SV2A</t>
  </si>
  <si>
    <t>TRMT10C</t>
  </si>
  <si>
    <t>BZW1</t>
  </si>
  <si>
    <t>CYB5R4</t>
  </si>
  <si>
    <t>ABHD13</t>
  </si>
  <si>
    <t>ASRGL1</t>
  </si>
  <si>
    <t>KCTD9</t>
  </si>
  <si>
    <t>EIF3M</t>
  </si>
  <si>
    <t>MEPCE</t>
  </si>
  <si>
    <t>ZNF771</t>
  </si>
  <si>
    <t>PARS2</t>
  </si>
  <si>
    <t>RSRC2</t>
  </si>
  <si>
    <t>BEND5</t>
  </si>
  <si>
    <t>RRAGA</t>
  </si>
  <si>
    <t>CYFIP1</t>
  </si>
  <si>
    <t>GET4</t>
  </si>
  <si>
    <t>LPCAT2</t>
  </si>
  <si>
    <t>ENOSF1</t>
  </si>
  <si>
    <t>MAEA</t>
  </si>
  <si>
    <t>EPM2AIP1</t>
  </si>
  <si>
    <t>HIST3H2A</t>
  </si>
  <si>
    <t>TAOK1</t>
  </si>
  <si>
    <t>SH3BP5L</t>
  </si>
  <si>
    <t>FASTKD5</t>
  </si>
  <si>
    <t>ATPBD4</t>
  </si>
  <si>
    <t>EEPD1</t>
  </si>
  <si>
    <t>KDM3B</t>
  </si>
  <si>
    <t>CHMP1B</t>
  </si>
  <si>
    <t>RASGRP2</t>
  </si>
  <si>
    <t>HS2ST1</t>
  </si>
  <si>
    <t>STRADA</t>
  </si>
  <si>
    <t>NIPA1</t>
  </si>
  <si>
    <t>MICAL3</t>
  </si>
  <si>
    <t>PHF5A</t>
  </si>
  <si>
    <t>APTX</t>
  </si>
  <si>
    <t>ERMP1</t>
  </si>
  <si>
    <t>GPRIN1</t>
  </si>
  <si>
    <t>TRMT1L</t>
  </si>
  <si>
    <t>EFTUD1</t>
  </si>
  <si>
    <t>FAM122B</t>
  </si>
  <si>
    <t>TRAPPC11</t>
  </si>
  <si>
    <t>ATG9A</t>
  </si>
  <si>
    <t>LYSMD3</t>
  </si>
  <si>
    <t>C14orf159</t>
  </si>
  <si>
    <t>POGZ</t>
  </si>
  <si>
    <t>ZFYVE16</t>
  </si>
  <si>
    <t>RD3</t>
  </si>
  <si>
    <t>TMC6</t>
  </si>
  <si>
    <t>SZRD1</t>
  </si>
  <si>
    <t>MAVS</t>
  </si>
  <si>
    <t>CYP2U1</t>
  </si>
  <si>
    <t>DHX29</t>
  </si>
  <si>
    <t>COMMD6</t>
  </si>
  <si>
    <t>TRMT11</t>
  </si>
  <si>
    <t>HDDC2</t>
  </si>
  <si>
    <t>HAUS6</t>
  </si>
  <si>
    <t>HEATR3</t>
  </si>
  <si>
    <t>HDGFRP2</t>
  </si>
  <si>
    <t>DCXR</t>
  </si>
  <si>
    <t>GOLGA7</t>
  </si>
  <si>
    <t>WAPAL</t>
  </si>
  <si>
    <t>IRF2BP2</t>
  </si>
  <si>
    <t>APBB1IP</t>
  </si>
  <si>
    <t>BCDIN3D</t>
  </si>
  <si>
    <t>KCTD20</t>
  </si>
  <si>
    <t>CCDC91</t>
  </si>
  <si>
    <t>RBBP6</t>
  </si>
  <si>
    <t>ARHGAP30</t>
  </si>
  <si>
    <t>C5orf24</t>
  </si>
  <si>
    <t>UBE3D</t>
  </si>
  <si>
    <t>TSEN54</t>
  </si>
  <si>
    <t>PTAR1</t>
  </si>
  <si>
    <t>TECPR1</t>
  </si>
  <si>
    <t>RABEPK</t>
  </si>
  <si>
    <t>FBXO33</t>
  </si>
  <si>
    <t>MTERFD2</t>
  </si>
  <si>
    <t>ADAT2</t>
  </si>
  <si>
    <t>HUWE1</t>
  </si>
  <si>
    <t>CTU1</t>
  </si>
  <si>
    <t>PXK</t>
  </si>
  <si>
    <t>TAF8</t>
  </si>
  <si>
    <t>UBE2Q1</t>
  </si>
  <si>
    <t>KIAA0907</t>
  </si>
  <si>
    <t>TMED4</t>
  </si>
  <si>
    <t>MRPL10</t>
  </si>
  <si>
    <t>CENPV</t>
  </si>
  <si>
    <t>SLFN11</t>
  </si>
  <si>
    <t>TMEM179B</t>
  </si>
  <si>
    <t>NPM2</t>
  </si>
  <si>
    <t>GALNT7</t>
  </si>
  <si>
    <t>SCD5</t>
  </si>
  <si>
    <t>GLRX5</t>
  </si>
  <si>
    <t>TRAPPC6B</t>
  </si>
  <si>
    <t>TMEM55B</t>
  </si>
  <si>
    <t>PATL1</t>
  </si>
  <si>
    <t>TBC1D1</t>
  </si>
  <si>
    <t>DPP9</t>
  </si>
  <si>
    <t>SYVN1</t>
  </si>
  <si>
    <t>TRPT1</t>
  </si>
  <si>
    <t>PRUNE</t>
  </si>
  <si>
    <t>SETD3</t>
  </si>
  <si>
    <t>LGMN</t>
  </si>
  <si>
    <t>ADCK1</t>
  </si>
  <si>
    <t>RBM23</t>
  </si>
  <si>
    <t>ISCA2</t>
  </si>
  <si>
    <t>NOP9</t>
  </si>
  <si>
    <t>METTL3</t>
  </si>
  <si>
    <t>LDB1</t>
  </si>
  <si>
    <t>PBRM1</t>
  </si>
  <si>
    <t>YRDC</t>
  </si>
  <si>
    <t>PRPF39</t>
  </si>
  <si>
    <t>RPAIN</t>
  </si>
  <si>
    <t>MTDH</t>
  </si>
  <si>
    <t>TLK2</t>
  </si>
  <si>
    <t>TSPAN33</t>
  </si>
  <si>
    <t>ZNF598</t>
  </si>
  <si>
    <t>AGPAT6</t>
  </si>
  <si>
    <t>RTN4RL2</t>
  </si>
  <si>
    <t>KTN1</t>
  </si>
  <si>
    <t>SMG6</t>
  </si>
  <si>
    <t>BCL9L</t>
  </si>
  <si>
    <t>USP48</t>
  </si>
  <si>
    <t>ABCC5</t>
  </si>
  <si>
    <t>FERMT3</t>
  </si>
  <si>
    <t>TXNDC5</t>
  </si>
  <si>
    <t>NAA40</t>
  </si>
  <si>
    <t>NT5DC3</t>
  </si>
  <si>
    <t>AACS</t>
  </si>
  <si>
    <t>LUZP1</t>
  </si>
  <si>
    <t>PNMAL1</t>
  </si>
  <si>
    <t>GPR180</t>
  </si>
  <si>
    <t>FAM160B2</t>
  </si>
  <si>
    <t>MDP1</t>
  </si>
  <si>
    <t>VPS36</t>
  </si>
  <si>
    <t>TAX1BP1</t>
  </si>
  <si>
    <t>CAND1</t>
  </si>
  <si>
    <t>GLCCI1</t>
  </si>
  <si>
    <t>WASF3</t>
  </si>
  <si>
    <t>FAM134C</t>
  </si>
  <si>
    <t>HOOK3</t>
  </si>
  <si>
    <t>COMTD1</t>
  </si>
  <si>
    <t>SESTD1</t>
  </si>
  <si>
    <t>COMMD7</t>
  </si>
  <si>
    <t>MON1A</t>
  </si>
  <si>
    <t>TSPYL5</t>
  </si>
  <si>
    <t>P2RY8</t>
  </si>
  <si>
    <t>TPRA1</t>
  </si>
  <si>
    <t>THOC6</t>
  </si>
  <si>
    <t>METTL16</t>
  </si>
  <si>
    <t>PARG</t>
  </si>
  <si>
    <t>BPHL</t>
  </si>
  <si>
    <t>LONP2</t>
  </si>
  <si>
    <t>OSTM1</t>
  </si>
  <si>
    <t>CHD1L</t>
  </si>
  <si>
    <t>NR2C2AP</t>
  </si>
  <si>
    <t>CCDC25</t>
  </si>
  <si>
    <t>SKAP1</t>
  </si>
  <si>
    <t>TMEM173</t>
  </si>
  <si>
    <t>CCDC43</t>
  </si>
  <si>
    <t>RPS19BP1</t>
  </si>
  <si>
    <t>CDR2L</t>
  </si>
  <si>
    <t>RALGAPB</t>
  </si>
  <si>
    <t>ERICH1</t>
  </si>
  <si>
    <t>CARM1</t>
  </si>
  <si>
    <t>NIT1</t>
  </si>
  <si>
    <t>COMMD2</t>
  </si>
  <si>
    <t>CIR1</t>
  </si>
  <si>
    <t>NCAPG2</t>
  </si>
  <si>
    <t>SFR1</t>
  </si>
  <si>
    <t>DDX42</t>
  </si>
  <si>
    <t>SPATS2</t>
  </si>
  <si>
    <t>VRK2</t>
  </si>
  <si>
    <t>CACUL1</t>
  </si>
  <si>
    <t>NDUFA11</t>
  </si>
  <si>
    <t>HEATR2</t>
  </si>
  <si>
    <t>PTRH1</t>
  </si>
  <si>
    <t>STX12</t>
  </si>
  <si>
    <t>LRRC33</t>
  </si>
  <si>
    <t>PDSS2</t>
  </si>
  <si>
    <t>HOMER1</t>
  </si>
  <si>
    <t>GATAD2A</t>
  </si>
  <si>
    <t>GPSM1</t>
  </si>
  <si>
    <t>RAB43</t>
  </si>
  <si>
    <t>C2CD5</t>
  </si>
  <si>
    <t>MIB1</t>
  </si>
  <si>
    <t>RASAL3</t>
  </si>
  <si>
    <t>IRF2BP1</t>
  </si>
  <si>
    <t>CAMK1D</t>
  </si>
  <si>
    <t>HIST2H2AB</t>
  </si>
  <si>
    <t>MINA</t>
  </si>
  <si>
    <t>ZDHHC13</t>
  </si>
  <si>
    <t>ZDHHC17</t>
  </si>
  <si>
    <t>CRLF3</t>
  </si>
  <si>
    <t>TRAPPC5</t>
  </si>
  <si>
    <t>RELL1</t>
  </si>
  <si>
    <t>TMEM126B</t>
  </si>
  <si>
    <t>AEBP1</t>
  </si>
  <si>
    <t>AGXT2L2</t>
  </si>
  <si>
    <t>PLD3</t>
  </si>
  <si>
    <t>ANKMY2</t>
  </si>
  <si>
    <t>ERI1</t>
  </si>
  <si>
    <t>LYSMD2</t>
  </si>
  <si>
    <t>DENND1C</t>
  </si>
  <si>
    <t>VRK3</t>
  </si>
  <si>
    <t>LIX1L</t>
  </si>
  <si>
    <t>NUDCD3</t>
  </si>
  <si>
    <t>AHNAK2</t>
  </si>
  <si>
    <t>MMAA</t>
  </si>
  <si>
    <t>FUNDC1</t>
  </si>
  <si>
    <t>MCAT</t>
  </si>
  <si>
    <t>GID4</t>
  </si>
  <si>
    <t>APLF</t>
  </si>
  <si>
    <t>CARKD</t>
  </si>
  <si>
    <t>WDR75</t>
  </si>
  <si>
    <t>MFN1</t>
  </si>
  <si>
    <t>ITPRIP</t>
  </si>
  <si>
    <t>WDFY1</t>
  </si>
  <si>
    <t>CCDC117</t>
  </si>
  <si>
    <t>GCC2</t>
  </si>
  <si>
    <t>PHF6</t>
  </si>
  <si>
    <t>LRRC8A</t>
  </si>
  <si>
    <t>UBR1</t>
  </si>
  <si>
    <t>UBR2</t>
  </si>
  <si>
    <t>ARHGAP12</t>
  </si>
  <si>
    <t>CDAN1</t>
  </si>
  <si>
    <t>ANKHD1</t>
  </si>
  <si>
    <t>SUGP1</t>
  </si>
  <si>
    <t>CCAR1</t>
  </si>
  <si>
    <t>DHX40</t>
  </si>
  <si>
    <t>SKA3</t>
  </si>
  <si>
    <t>DNAJC10</t>
  </si>
  <si>
    <t>RHOT2</t>
  </si>
  <si>
    <t>RHOT1</t>
  </si>
  <si>
    <t>SIRT2</t>
  </si>
  <si>
    <t>GALNT12</t>
  </si>
  <si>
    <t>NRM</t>
  </si>
  <si>
    <t>RIMKLA</t>
  </si>
  <si>
    <t>C9orf40</t>
  </si>
  <si>
    <t>KIAA1704</t>
  </si>
  <si>
    <t>KLHL7</t>
  </si>
  <si>
    <t>PARP9</t>
  </si>
  <si>
    <t>RBM12B</t>
  </si>
  <si>
    <t>PNPLA6</t>
  </si>
  <si>
    <t>SMC5</t>
  </si>
  <si>
    <t>DDX60</t>
  </si>
  <si>
    <t>PPAPDC2</t>
  </si>
  <si>
    <t>DHX37</t>
  </si>
  <si>
    <t>KBTBD2</t>
  </si>
  <si>
    <t>TMEM192</t>
  </si>
  <si>
    <t>MB21D2</t>
  </si>
  <si>
    <t>SMAP1</t>
  </si>
  <si>
    <t>DIS3L2</t>
  </si>
  <si>
    <t>SUPV3L1</t>
  </si>
  <si>
    <t>GSPT2</t>
  </si>
  <si>
    <t>ZZZ3</t>
  </si>
  <si>
    <t>EXOC8</t>
  </si>
  <si>
    <t>SYTL1</t>
  </si>
  <si>
    <t>C1orf174</t>
  </si>
  <si>
    <t>TCEAL8</t>
  </si>
  <si>
    <t>THNSL1</t>
  </si>
  <si>
    <t>PM20D2</t>
  </si>
  <si>
    <t>KIAA2013</t>
  </si>
  <si>
    <t>FTSJD1</t>
  </si>
  <si>
    <t>MICU2</t>
  </si>
  <si>
    <t>RNF168</t>
  </si>
  <si>
    <t>ANKRD13A</t>
  </si>
  <si>
    <t>PHACTR4</t>
  </si>
  <si>
    <t>RCOR2</t>
  </si>
  <si>
    <t>MTX2</t>
  </si>
  <si>
    <t>RPUSD2</t>
  </si>
  <si>
    <t>ELMOD2</t>
  </si>
  <si>
    <t>ALDH16A1</t>
  </si>
  <si>
    <t>DCP1B</t>
  </si>
  <si>
    <t>SCYL3</t>
  </si>
  <si>
    <t>XRN1</t>
  </si>
  <si>
    <t>SELH</t>
  </si>
  <si>
    <t>CMTM4</t>
  </si>
  <si>
    <t>C8orf59</t>
  </si>
  <si>
    <t>VKORC1L1</t>
  </si>
  <si>
    <t>RBFA</t>
  </si>
  <si>
    <t>FUK</t>
  </si>
  <si>
    <t>CLYBL</t>
  </si>
  <si>
    <t>PGAM4</t>
  </si>
  <si>
    <t>TTC5</t>
  </si>
  <si>
    <t>MIER1</t>
  </si>
  <si>
    <t>RPTOR</t>
  </si>
  <si>
    <t>CNPY4</t>
  </si>
  <si>
    <t>KIAA1967</t>
  </si>
  <si>
    <t>NDUFAF2</t>
  </si>
  <si>
    <t>VPS52</t>
  </si>
  <si>
    <t>NUP93</t>
  </si>
  <si>
    <t>FTSJD2</t>
  </si>
  <si>
    <t>LRRC47</t>
  </si>
  <si>
    <t>THEMIS</t>
  </si>
  <si>
    <t>SLC39A11</t>
  </si>
  <si>
    <t>INTS1</t>
  </si>
  <si>
    <t>ARMC10</t>
  </si>
  <si>
    <t>GHDC</t>
  </si>
  <si>
    <t>ABHD12</t>
  </si>
  <si>
    <t>PIAS4</t>
  </si>
  <si>
    <t>APITD1</t>
  </si>
  <si>
    <t>CCDC23</t>
  </si>
  <si>
    <t>AGGF1</t>
  </si>
  <si>
    <t>GPD1L</t>
  </si>
  <si>
    <t>MIER2</t>
  </si>
  <si>
    <t>SLC35F6</t>
  </si>
  <si>
    <t>KDM8</t>
  </si>
  <si>
    <t>EHBP1L1</t>
  </si>
  <si>
    <t>MICALL1</t>
  </si>
  <si>
    <t>FNBP4</t>
  </si>
  <si>
    <t>GTPBP8</t>
  </si>
  <si>
    <t>GUF1</t>
  </si>
  <si>
    <t>D2HGDH</t>
  </si>
  <si>
    <t>RYBP</t>
  </si>
  <si>
    <t>PNKD</t>
  </si>
  <si>
    <t>MINK1</t>
  </si>
  <si>
    <t>TOMM5</t>
  </si>
  <si>
    <t>HDDC3</t>
  </si>
  <si>
    <t>ZADH2</t>
  </si>
  <si>
    <t>CHCHD4</t>
  </si>
  <si>
    <t>CBR4</t>
  </si>
  <si>
    <t>MMGT1</t>
  </si>
  <si>
    <t>OGFOD1</t>
  </si>
  <si>
    <t>ZCCHC9</t>
  </si>
  <si>
    <t>OXR1</t>
  </si>
  <si>
    <t>TTC39C</t>
  </si>
  <si>
    <t>ZGPAT</t>
  </si>
  <si>
    <t>DTWD1</t>
  </si>
  <si>
    <t>NKAP</t>
  </si>
  <si>
    <t>SMIM20</t>
  </si>
  <si>
    <t>TMEM57</t>
  </si>
  <si>
    <t>DHRSX</t>
  </si>
  <si>
    <t>C12orf45</t>
  </si>
  <si>
    <t>CISD2</t>
  </si>
  <si>
    <t>RPP25L</t>
  </si>
  <si>
    <t>ATPAF2</t>
  </si>
  <si>
    <t>JAGN1</t>
  </si>
  <si>
    <t>MRPL50</t>
  </si>
  <si>
    <t>ZC3H8</t>
  </si>
  <si>
    <t>PARP16</t>
  </si>
  <si>
    <t>KCTD17</t>
  </si>
  <si>
    <t>DPP10</t>
  </si>
  <si>
    <t>COMMD1</t>
  </si>
  <si>
    <t>CPSF7</t>
  </si>
  <si>
    <t>SLC15A4</t>
  </si>
  <si>
    <t>ARFGAP2</t>
  </si>
  <si>
    <t>OTUD6B</t>
  </si>
  <si>
    <t>C1orf52</t>
  </si>
  <si>
    <t>ACBD7</t>
  </si>
  <si>
    <t>METTL25</t>
  </si>
  <si>
    <t>ARL6IP6</t>
  </si>
  <si>
    <t>ARFGAP1</t>
  </si>
  <si>
    <t>SIRT6</t>
  </si>
  <si>
    <t>EMC1</t>
  </si>
  <si>
    <t>UBR7</t>
  </si>
  <si>
    <t>DDX51</t>
  </si>
  <si>
    <t>C4orf32</t>
  </si>
  <si>
    <t>SLC25A29</t>
  </si>
  <si>
    <t>C2orf69</t>
  </si>
  <si>
    <t>ENAH</t>
  </si>
  <si>
    <t>ATP6V0D2</t>
  </si>
  <si>
    <t>DCBLD1</t>
  </si>
  <si>
    <t>GPATCH11</t>
  </si>
  <si>
    <t>C12orf29</t>
  </si>
  <si>
    <t>CNEP1R1</t>
  </si>
  <si>
    <t>GDPD1</t>
  </si>
  <si>
    <t>C19orf47</t>
  </si>
  <si>
    <t>TMEM102</t>
  </si>
  <si>
    <t>LRRC57</t>
  </si>
  <si>
    <t>EIF1AD</t>
  </si>
  <si>
    <t>SREK1IP1</t>
  </si>
  <si>
    <t>SCAI</t>
  </si>
  <si>
    <t>WDSUB1</t>
  </si>
  <si>
    <t>ZNF579</t>
  </si>
  <si>
    <t>PRPF38A</t>
  </si>
  <si>
    <t>ZNF511</t>
  </si>
  <si>
    <t>MLKL</t>
  </si>
  <si>
    <t>PDDC1</t>
  </si>
  <si>
    <t>ZNF527</t>
  </si>
  <si>
    <t>ANKRD52</t>
  </si>
  <si>
    <t>ATP11C</t>
  </si>
  <si>
    <t>SPATA5</t>
  </si>
  <si>
    <t>DTWD2</t>
  </si>
  <si>
    <t>NHLRC2</t>
  </si>
  <si>
    <t>AVL9</t>
  </si>
  <si>
    <t>XXYLT1</t>
  </si>
  <si>
    <t>GOLM1</t>
  </si>
  <si>
    <t>COLGALT1</t>
  </si>
  <si>
    <t>SUMF1</t>
  </si>
  <si>
    <t>POGLUT1</t>
  </si>
  <si>
    <t>UBAC2</t>
  </si>
  <si>
    <t>PCYOX1L</t>
  </si>
  <si>
    <t>TMEM87A</t>
  </si>
  <si>
    <t>TTC13</t>
  </si>
  <si>
    <t>ATAD1</t>
  </si>
  <si>
    <t>SCCPDH</t>
  </si>
  <si>
    <t>INO80E</t>
  </si>
  <si>
    <t>UXS1</t>
  </si>
  <si>
    <t>SERBP1</t>
  </si>
  <si>
    <t>LEMD2</t>
  </si>
  <si>
    <t>NOA1</t>
  </si>
  <si>
    <t>NECAP1</t>
  </si>
  <si>
    <t>FAM98A</t>
  </si>
  <si>
    <t>PLA2G15</t>
  </si>
  <si>
    <t>MTMR14</t>
  </si>
  <si>
    <t>NFATC2IP</t>
  </si>
  <si>
    <t>DAGLB</t>
  </si>
  <si>
    <t>RNF169</t>
  </si>
  <si>
    <t>PDPR</t>
  </si>
  <si>
    <t>APOA1BP</t>
  </si>
  <si>
    <t>SMG8</t>
  </si>
  <si>
    <t>RNF214</t>
  </si>
  <si>
    <t>ZNRF1</t>
  </si>
  <si>
    <t>PPFIBP2</t>
  </si>
  <si>
    <t>LSM14A</t>
  </si>
  <si>
    <t>CCNY</t>
  </si>
  <si>
    <t>MAPK1IP1L</t>
  </si>
  <si>
    <t>C1orf131</t>
  </si>
  <si>
    <t>EHBP1</t>
  </si>
  <si>
    <t>RBM15B</t>
  </si>
  <si>
    <t>SMC1B</t>
  </si>
  <si>
    <t>C3orf58</t>
  </si>
  <si>
    <t>CNNM3</t>
  </si>
  <si>
    <t>ABCF1</t>
  </si>
  <si>
    <t>MCU</t>
  </si>
  <si>
    <t>PIK3C3</t>
  </si>
  <si>
    <t>GSTCD</t>
  </si>
  <si>
    <t>SRFBP1</t>
  </si>
  <si>
    <t>DDHD1</t>
  </si>
  <si>
    <t>SHCBP1</t>
  </si>
  <si>
    <t>PDZD8</t>
  </si>
  <si>
    <t>SLC30A7</t>
  </si>
  <si>
    <t>VPS37A</t>
  </si>
  <si>
    <t>MLL3</t>
  </si>
  <si>
    <t>FBXO22</t>
  </si>
  <si>
    <t>LPCAT1</t>
  </si>
  <si>
    <t>BOD1L1</t>
  </si>
  <si>
    <t>FLAD1</t>
  </si>
  <si>
    <t>FLCN</t>
  </si>
  <si>
    <t>NUP43</t>
  </si>
  <si>
    <t>NUP37</t>
  </si>
  <si>
    <t>ENGASE</t>
  </si>
  <si>
    <t>TOR1AIP2</t>
  </si>
  <si>
    <t>TSTD1</t>
  </si>
  <si>
    <t>IPMK</t>
  </si>
  <si>
    <t>ABHD11</t>
  </si>
  <si>
    <t>CMAS</t>
  </si>
  <si>
    <t>KBTBD8</t>
  </si>
  <si>
    <t>CADM4</t>
  </si>
  <si>
    <t>TSPAN14</t>
  </si>
  <si>
    <t>TTL</t>
  </si>
  <si>
    <t>SVIP</t>
  </si>
  <si>
    <t>ZNRF2</t>
  </si>
  <si>
    <t>MOSPD2</t>
  </si>
  <si>
    <t>PLBD2</t>
  </si>
  <si>
    <t>DDX55</t>
  </si>
  <si>
    <t>TDRD7</t>
  </si>
  <si>
    <t>GIMAP7</t>
  </si>
  <si>
    <t>NEDD1</t>
  </si>
  <si>
    <t>CDC26</t>
  </si>
  <si>
    <t>NCOA7</t>
  </si>
  <si>
    <t>MCFD2</t>
  </si>
  <si>
    <t>THOC2</t>
  </si>
  <si>
    <t>WDR36</t>
  </si>
  <si>
    <t>PPTC7</t>
  </si>
  <si>
    <t>RP9</t>
  </si>
  <si>
    <t>PSMA8</t>
  </si>
  <si>
    <t>GRPEL2</t>
  </si>
  <si>
    <t>VANGL1</t>
  </si>
  <si>
    <t>RFESD</t>
  </si>
  <si>
    <t>SNIP1</t>
  </si>
  <si>
    <t>GADD45GIP1</t>
  </si>
  <si>
    <t>WDR48</t>
  </si>
  <si>
    <t>CEP76</t>
  </si>
  <si>
    <t>PPP1R35</t>
  </si>
  <si>
    <t>SMARCC2</t>
  </si>
  <si>
    <t>NPLOC4</t>
  </si>
  <si>
    <t>FAM76A</t>
  </si>
  <si>
    <t>FAM110D</t>
  </si>
  <si>
    <t>CXorf38</t>
  </si>
  <si>
    <t>GDAP1</t>
  </si>
  <si>
    <t>NUBPL</t>
  </si>
  <si>
    <t>SLC35B2</t>
  </si>
  <si>
    <t>PUM2</t>
  </si>
  <si>
    <t>ITFG1</t>
  </si>
  <si>
    <t>GOLGA5</t>
  </si>
  <si>
    <t>KLHDC4</t>
  </si>
  <si>
    <t>UBA3</t>
  </si>
  <si>
    <t>NANP</t>
  </si>
  <si>
    <t>ZCRB1</t>
  </si>
  <si>
    <t>DNAJB14</t>
  </si>
  <si>
    <t>RAB3IL1</t>
  </si>
  <si>
    <t>SLC25A40</t>
  </si>
  <si>
    <t>TMEM167A</t>
  </si>
  <si>
    <t>PIP4K2C</t>
  </si>
  <si>
    <t>WDR20</t>
  </si>
  <si>
    <t>TRMT10A</t>
  </si>
  <si>
    <t>TBC1D15</t>
  </si>
  <si>
    <t>RDH11</t>
  </si>
  <si>
    <t>SEC61A2</t>
  </si>
  <si>
    <t>LRRC20</t>
  </si>
  <si>
    <t>C18orf32</t>
  </si>
  <si>
    <t>NT5C</t>
  </si>
  <si>
    <t>FAM45A</t>
  </si>
  <si>
    <t>KIAA1524</t>
  </si>
  <si>
    <t>PI4K2B</t>
  </si>
  <si>
    <t>STT3B</t>
  </si>
  <si>
    <t>PNPT1</t>
  </si>
  <si>
    <t>SPPL2B</t>
  </si>
  <si>
    <t>SPPL2A</t>
  </si>
  <si>
    <t>HM13</t>
  </si>
  <si>
    <t>CD99L2</t>
  </si>
  <si>
    <t>MAPK15</t>
  </si>
  <si>
    <t>BICD2</t>
  </si>
  <si>
    <t>NEK9</t>
  </si>
  <si>
    <t>GPT2</t>
  </si>
  <si>
    <t>PLEKHO2</t>
  </si>
  <si>
    <t>DTX3L</t>
  </si>
  <si>
    <t>DDX54</t>
  </si>
  <si>
    <t>BLOC1S5</t>
  </si>
  <si>
    <t>CHD5</t>
  </si>
  <si>
    <t>GNPDA2</t>
  </si>
  <si>
    <t>LRRC8C</t>
  </si>
  <si>
    <t>NEK7</t>
  </si>
  <si>
    <t>RB1CC1</t>
  </si>
  <si>
    <t>MICAL1</t>
  </si>
  <si>
    <t>PANK1</t>
  </si>
  <si>
    <t>NSUN6</t>
  </si>
  <si>
    <t>DTD1</t>
  </si>
  <si>
    <t>DCAF11</t>
  </si>
  <si>
    <t>UTP15</t>
  </si>
  <si>
    <t>DENND1A</t>
  </si>
  <si>
    <t>NUP210</t>
  </si>
  <si>
    <t>SNX29</t>
  </si>
  <si>
    <t>GEMIN5</t>
  </si>
  <si>
    <t>PARD3</t>
  </si>
  <si>
    <t>IPO4</t>
  </si>
  <si>
    <t>PNISR</t>
  </si>
  <si>
    <t>PPP4R1</t>
  </si>
  <si>
    <t>UBASH3B</t>
  </si>
  <si>
    <t>SLC16A10</t>
  </si>
  <si>
    <t>WIPF2</t>
  </si>
  <si>
    <t>ABHD5</t>
  </si>
  <si>
    <t>SETD7</t>
  </si>
  <si>
    <t>COG1</t>
  </si>
  <si>
    <t>PYROXD1</t>
  </si>
  <si>
    <t>MZB1</t>
  </si>
  <si>
    <t>SCFD2</t>
  </si>
  <si>
    <t>SMAP2</t>
  </si>
  <si>
    <t>ZC3H15</t>
  </si>
  <si>
    <t>PPIL4</t>
  </si>
  <si>
    <t>GTF3C2</t>
  </si>
  <si>
    <t>TSKU</t>
  </si>
  <si>
    <t>PHF10</t>
  </si>
  <si>
    <t>RAB2B</t>
  </si>
  <si>
    <t>PPP1R13L</t>
  </si>
  <si>
    <t>FAM172A</t>
  </si>
  <si>
    <t>CHURC1</t>
  </si>
  <si>
    <t>TGFBRAP1</t>
  </si>
  <si>
    <t>C12orf23</t>
  </si>
  <si>
    <t>HDAC7</t>
  </si>
  <si>
    <t>STYX</t>
  </si>
  <si>
    <t>PTPMT1</t>
  </si>
  <si>
    <t>NUP133</t>
  </si>
  <si>
    <t>PDCD6IP</t>
  </si>
  <si>
    <t>SLC20A1</t>
  </si>
  <si>
    <t>UBTD2</t>
  </si>
  <si>
    <t>C15orf40</t>
  </si>
  <si>
    <t>CHAC2</t>
  </si>
  <si>
    <t>CHMP7</t>
  </si>
  <si>
    <t>THEM6</t>
  </si>
  <si>
    <t>NAT14</t>
  </si>
  <si>
    <t>NSMCE1</t>
  </si>
  <si>
    <t>NUDT8</t>
  </si>
  <si>
    <t>MITD1</t>
  </si>
  <si>
    <t>CHTF18</t>
  </si>
  <si>
    <t>LEO1</t>
  </si>
  <si>
    <t>RNF138</t>
  </si>
  <si>
    <t>N6AMT2</t>
  </si>
  <si>
    <t>NUDCD2</t>
  </si>
  <si>
    <t>SNRNP27</t>
  </si>
  <si>
    <t>SKA2</t>
  </si>
  <si>
    <t>ANKRD49</t>
  </si>
  <si>
    <t>TFB1M</t>
  </si>
  <si>
    <t>SCFD1</t>
  </si>
  <si>
    <t>CANT1</t>
  </si>
  <si>
    <t>TRAPPC12</t>
  </si>
  <si>
    <t>FAR1</t>
  </si>
  <si>
    <t>UBLCP1</t>
  </si>
  <si>
    <t>KBTBD7</t>
  </si>
  <si>
    <t>TSEN15</t>
  </si>
  <si>
    <t>PCNP</t>
  </si>
  <si>
    <t>SPRYD4</t>
  </si>
  <si>
    <t>C1orf85</t>
  </si>
  <si>
    <t>C2orf47</t>
  </si>
  <si>
    <t>TRUB1</t>
  </si>
  <si>
    <t>SLC44A1</t>
  </si>
  <si>
    <t>CKAP2</t>
  </si>
  <si>
    <t>ATXN2L</t>
  </si>
  <si>
    <t>GIMAP1</t>
  </si>
  <si>
    <t>RTN4IP1</t>
  </si>
  <si>
    <t>RASSF5</t>
  </si>
  <si>
    <t>SELM</t>
  </si>
  <si>
    <t>PRPF31</t>
  </si>
  <si>
    <t>NELFB</t>
  </si>
  <si>
    <t>PALLD</t>
  </si>
  <si>
    <t>SREK1</t>
  </si>
  <si>
    <t>GEMIN6</t>
  </si>
  <si>
    <t>CASKIN2</t>
  </si>
  <si>
    <t>ATRIP</t>
  </si>
  <si>
    <t>PSPC1</t>
  </si>
  <si>
    <t>SYNE2</t>
  </si>
  <si>
    <t>GATAD2B</t>
  </si>
  <si>
    <t>DNAH7</t>
  </si>
  <si>
    <t>DNAJC9</t>
  </si>
  <si>
    <t>BRI3BP</t>
  </si>
  <si>
    <t>PPM1E</t>
  </si>
  <si>
    <t>THAP4</t>
  </si>
  <si>
    <t>CTNNBL1</t>
  </si>
  <si>
    <t>DGCR8</t>
  </si>
  <si>
    <t>LGALS9</t>
  </si>
  <si>
    <t>OVCA2</t>
  </si>
  <si>
    <t>LZIC</t>
  </si>
  <si>
    <t>IRGQ</t>
  </si>
  <si>
    <t>DDB2</t>
  </si>
  <si>
    <t>AQP3</t>
  </si>
  <si>
    <t>DDX1</t>
  </si>
  <si>
    <t>SEC14L1</t>
  </si>
  <si>
    <t>SLC39A7</t>
  </si>
  <si>
    <t>HSD17B8</t>
  </si>
  <si>
    <t>PIEZO1</t>
  </si>
  <si>
    <t>FAM3C</t>
  </si>
  <si>
    <t>H1FX</t>
  </si>
  <si>
    <t>CCT6B</t>
  </si>
  <si>
    <t>SLC7A6</t>
  </si>
  <si>
    <t>GBF1</t>
  </si>
  <si>
    <t>RTF1</t>
  </si>
  <si>
    <t>TM9SF4</t>
  </si>
  <si>
    <t>RGP1</t>
  </si>
  <si>
    <t>TOPBP1</t>
  </si>
  <si>
    <t>IP6K1</t>
  </si>
  <si>
    <t>MRPS27</t>
  </si>
  <si>
    <t>ELMO1</t>
  </si>
  <si>
    <t>WASF1</t>
  </si>
  <si>
    <t>AP3S1</t>
  </si>
  <si>
    <t>UBXN4</t>
  </si>
  <si>
    <t>PHF3</t>
  </si>
  <si>
    <t>SLC9A6</t>
  </si>
  <si>
    <t>MAML1</t>
  </si>
  <si>
    <t>NDRG1</t>
  </si>
  <si>
    <t>HSPH1</t>
  </si>
  <si>
    <t>RQCD1</t>
  </si>
  <si>
    <t>LPGAT1</t>
  </si>
  <si>
    <t>DOCK2</t>
  </si>
  <si>
    <t>TBC1D5</t>
  </si>
  <si>
    <t>ZNF592</t>
  </si>
  <si>
    <t>EDEM1</t>
  </si>
  <si>
    <t>LARP4B</t>
  </si>
  <si>
    <t>GCN1L1</t>
  </si>
  <si>
    <t>HMHA1</t>
  </si>
  <si>
    <t>DHX38</t>
  </si>
  <si>
    <t>NUP205</t>
  </si>
  <si>
    <t>TTC9</t>
  </si>
  <si>
    <t>ANKS1A</t>
  </si>
  <si>
    <t>PXDN</t>
  </si>
  <si>
    <t>NSMAF</t>
  </si>
  <si>
    <t>MRPS31</t>
  </si>
  <si>
    <t>AKAP1</t>
  </si>
  <si>
    <t>SORL1</t>
  </si>
  <si>
    <t>NRGN</t>
  </si>
  <si>
    <t>ANP32B</t>
  </si>
  <si>
    <t>PVRL2</t>
  </si>
  <si>
    <t>RABGGTA</t>
  </si>
  <si>
    <t>TFG</t>
  </si>
  <si>
    <t>ARPC1A</t>
  </si>
  <si>
    <t>GTF2H4</t>
  </si>
  <si>
    <t>RREB1</t>
  </si>
  <si>
    <t>STAM</t>
  </si>
  <si>
    <t>DPF3</t>
  </si>
  <si>
    <t>DPF2</t>
  </si>
  <si>
    <t>CREBBP</t>
  </si>
  <si>
    <t>SYMPK</t>
  </si>
  <si>
    <t>TAF15</t>
  </si>
  <si>
    <t>GOLGA1</t>
  </si>
  <si>
    <t>GGH</t>
  </si>
  <si>
    <t>CORO2A</t>
  </si>
  <si>
    <t>RPGR</t>
  </si>
  <si>
    <t>EDA</t>
  </si>
  <si>
    <t>BCL2L2</t>
  </si>
  <si>
    <t>TANK</t>
  </si>
  <si>
    <t>CASP10</t>
  </si>
  <si>
    <t>SEMA4D</t>
  </si>
  <si>
    <t>NEO1</t>
  </si>
  <si>
    <t>PMM1</t>
  </si>
  <si>
    <t>RAD50</t>
  </si>
  <si>
    <t>OSTF1</t>
  </si>
  <si>
    <t>ERCC4</t>
  </si>
  <si>
    <t>UFD1L</t>
  </si>
  <si>
    <t>GLG1</t>
  </si>
  <si>
    <t>UPF1</t>
  </si>
  <si>
    <t>COPS5</t>
  </si>
  <si>
    <t>GPKOW</t>
  </si>
  <si>
    <t>SMARCC1</t>
  </si>
  <si>
    <t>RAB8B</t>
  </si>
  <si>
    <t>BAD</t>
  </si>
  <si>
    <t>KHSRP</t>
  </si>
  <si>
    <t>GCDH</t>
  </si>
  <si>
    <t>PEX13</t>
  </si>
  <si>
    <t>TNPO1</t>
  </si>
  <si>
    <t>EMG1</t>
  </si>
  <si>
    <t>GLMN</t>
  </si>
  <si>
    <t>BRF1</t>
  </si>
  <si>
    <t>USP13</t>
  </si>
  <si>
    <t>USP9X</t>
  </si>
  <si>
    <t>NAT6</t>
  </si>
  <si>
    <t>CUL5</t>
  </si>
  <si>
    <t>LPP</t>
  </si>
  <si>
    <t>ATP2A3</t>
  </si>
  <si>
    <t>PTP4A1</t>
  </si>
  <si>
    <t>PHKB</t>
  </si>
  <si>
    <t>SCAMP4</t>
  </si>
  <si>
    <t>TCEAL3</t>
  </si>
  <si>
    <t>TSR2</t>
  </si>
  <si>
    <t>SMARCE1</t>
  </si>
  <si>
    <t>RFK</t>
  </si>
  <si>
    <t>POP5</t>
  </si>
  <si>
    <t>C19orf10</t>
  </si>
  <si>
    <t>RNF34</t>
  </si>
  <si>
    <t>TOMM40L</t>
  </si>
  <si>
    <t>YIPF5</t>
  </si>
  <si>
    <t>PIGT</t>
  </si>
  <si>
    <t>IGSF8</t>
  </si>
  <si>
    <t>RPL36AL</t>
  </si>
  <si>
    <t>RAB24</t>
  </si>
  <si>
    <t>ITFG2</t>
  </si>
  <si>
    <t>ZNF622</t>
  </si>
  <si>
    <t>GFM2</t>
  </si>
  <si>
    <t>NT5C3B</t>
  </si>
  <si>
    <t>NCLN</t>
  </si>
  <si>
    <t>MUL1</t>
  </si>
  <si>
    <t>RILPL2</t>
  </si>
  <si>
    <t>ERGIC1</t>
  </si>
  <si>
    <t>CIRH1A</t>
  </si>
  <si>
    <t>GTPBP3</t>
  </si>
  <si>
    <t>TBRG4</t>
  </si>
  <si>
    <t>CCDC47</t>
  </si>
  <si>
    <t>ISL2</t>
  </si>
  <si>
    <t>SYAP1</t>
  </si>
  <si>
    <t>EXOC4</t>
  </si>
  <si>
    <t>KIAA1191</t>
  </si>
  <si>
    <t>NTAN1</t>
  </si>
  <si>
    <t>FERMT2</t>
  </si>
  <si>
    <t>FUBP1</t>
  </si>
  <si>
    <t>SLC25A46</t>
  </si>
  <si>
    <t>LRRC59</t>
  </si>
  <si>
    <t>VTI1A</t>
  </si>
  <si>
    <t>ACD</t>
  </si>
  <si>
    <t>PBXIP1</t>
  </si>
  <si>
    <t>MCUR1</t>
  </si>
  <si>
    <t>KIAA1143</t>
  </si>
  <si>
    <t>RPE</t>
  </si>
  <si>
    <t>RAB37</t>
  </si>
  <si>
    <t>RAD51AP1</t>
  </si>
  <si>
    <t>C18orf25</t>
  </si>
  <si>
    <t>EXOSC8</t>
  </si>
  <si>
    <t>AKT1S1</t>
  </si>
  <si>
    <t>C10orf32</t>
  </si>
  <si>
    <t>TOMM6</t>
  </si>
  <si>
    <t>LENG9</t>
  </si>
  <si>
    <t>SH3KBP1</t>
  </si>
  <si>
    <t>SKA1</t>
  </si>
  <si>
    <t>RNF25</t>
  </si>
  <si>
    <t>APH1A</t>
  </si>
  <si>
    <t>PINX1</t>
  </si>
  <si>
    <t>ARL8A</t>
  </si>
  <si>
    <t>FAM105B</t>
  </si>
  <si>
    <t>CHCHD1</t>
  </si>
  <si>
    <t>PPWD1</t>
  </si>
  <si>
    <t>CCDC127</t>
  </si>
  <si>
    <t>SELRC1</t>
  </si>
  <si>
    <t>ALKBH8</t>
  </si>
  <si>
    <t>UPRT</t>
  </si>
  <si>
    <t>PTER</t>
  </si>
  <si>
    <t>MOB3A</t>
  </si>
  <si>
    <t>LENG1</t>
  </si>
  <si>
    <t>TBC1D20</t>
  </si>
  <si>
    <t>FAM136A</t>
  </si>
  <si>
    <t>EFHD2</t>
  </si>
  <si>
    <t>PYCR2</t>
  </si>
  <si>
    <t>ZNF524</t>
  </si>
  <si>
    <t>C12orf43</t>
  </si>
  <si>
    <t>DCPS</t>
  </si>
  <si>
    <t>PPP1R14B</t>
  </si>
  <si>
    <t>INTS12</t>
  </si>
  <si>
    <t>NSUN4</t>
  </si>
  <si>
    <t>FBXL8</t>
  </si>
  <si>
    <t>PPCDC</t>
  </si>
  <si>
    <t>TIFA</t>
  </si>
  <si>
    <t>CTHRC1</t>
  </si>
  <si>
    <t>ISOC1</t>
  </si>
  <si>
    <t>GCC1</t>
  </si>
  <si>
    <t>FLYWCH2</t>
  </si>
  <si>
    <t>HAUS1</t>
  </si>
  <si>
    <t>FAF2</t>
  </si>
  <si>
    <t>CCDC124</t>
  </si>
  <si>
    <t>FOXRED1</t>
  </si>
  <si>
    <t>AP2M1</t>
  </si>
  <si>
    <t>TUBGCP3</t>
  </si>
  <si>
    <t>SLC7A6OS</t>
  </si>
  <si>
    <t>KCTD12</t>
  </si>
  <si>
    <t>LRRC58</t>
  </si>
  <si>
    <t>C10orf35</t>
  </si>
  <si>
    <t>ORAI1</t>
  </si>
  <si>
    <t>ADCK4</t>
  </si>
  <si>
    <t>REPS1</t>
  </si>
  <si>
    <t>HVCN1</t>
  </si>
  <si>
    <t>RAB39B</t>
  </si>
  <si>
    <t>DNAJC19</t>
  </si>
  <si>
    <t>RMDN1</t>
  </si>
  <si>
    <t>TMCO6</t>
  </si>
  <si>
    <t>OTUB2</t>
  </si>
  <si>
    <t>ANAPC16</t>
  </si>
  <si>
    <t>DGCR14</t>
  </si>
  <si>
    <t>MSI2</t>
  </si>
  <si>
    <t>SNRNP40</t>
  </si>
  <si>
    <t>ATG4C</t>
  </si>
  <si>
    <t>SLAMF6</t>
  </si>
  <si>
    <t>MRPL38</t>
  </si>
  <si>
    <t>RSPRY1</t>
  </si>
  <si>
    <t>TRIM44</t>
  </si>
  <si>
    <t>ERLEC1</t>
  </si>
  <si>
    <t>FAM122A</t>
  </si>
  <si>
    <t>MRRF</t>
  </si>
  <si>
    <t>RMI2</t>
  </si>
  <si>
    <t>C9orf9</t>
  </si>
  <si>
    <t>OMA1</t>
  </si>
  <si>
    <t>SPDL1</t>
  </si>
  <si>
    <t>ELP4</t>
  </si>
  <si>
    <t>SIRT1</t>
  </si>
  <si>
    <t>YIPF6</t>
  </si>
  <si>
    <t>SEH1L</t>
  </si>
  <si>
    <t>MALSU1</t>
  </si>
  <si>
    <t>KIAA1279</t>
  </si>
  <si>
    <t>GNPNAT1</t>
  </si>
  <si>
    <t>KTI12</t>
  </si>
  <si>
    <t>MRPS24</t>
  </si>
  <si>
    <t>MRPL53</t>
  </si>
  <si>
    <t>L3HYPDH</t>
  </si>
  <si>
    <t>RNF31</t>
  </si>
  <si>
    <t>DAZAP1</t>
  </si>
  <si>
    <t>SGTB</t>
  </si>
  <si>
    <t>SAAL1</t>
  </si>
  <si>
    <t>CCDC51</t>
  </si>
  <si>
    <t>CCDC101</t>
  </si>
  <si>
    <t>RRP36</t>
  </si>
  <si>
    <t>RBM33</t>
  </si>
  <si>
    <t>DTNBP1</t>
  </si>
  <si>
    <t>HSPBAP1</t>
  </si>
  <si>
    <t>SMIM12</t>
  </si>
  <si>
    <t>WDR34</t>
  </si>
  <si>
    <t>DNAJA3</t>
  </si>
  <si>
    <t>MVB12A</t>
  </si>
  <si>
    <t>PTCD3</t>
  </si>
  <si>
    <t>MMAB</t>
  </si>
  <si>
    <t>ADAT3</t>
  </si>
  <si>
    <t>GIMAP5</t>
  </si>
  <si>
    <t>NRBF2</t>
  </si>
  <si>
    <t>ALG14</t>
  </si>
  <si>
    <t>TRIM11</t>
  </si>
  <si>
    <t>CCDC97</t>
  </si>
  <si>
    <t>EDC3</t>
  </si>
  <si>
    <t>PELI1</t>
  </si>
  <si>
    <t>DDX11</t>
  </si>
  <si>
    <t>MEF2BNB</t>
  </si>
  <si>
    <t>STAMBPL1</t>
  </si>
  <si>
    <t>DYNLL2</t>
  </si>
  <si>
    <t>WDR89</t>
  </si>
  <si>
    <t>CPNE2</t>
  </si>
  <si>
    <t>DTD2</t>
  </si>
  <si>
    <t>SIPA1</t>
  </si>
  <si>
    <t>THOC1</t>
  </si>
  <si>
    <t>DPH3</t>
  </si>
  <si>
    <t>TRMT61A</t>
  </si>
  <si>
    <t>C3orf37</t>
  </si>
  <si>
    <t>CHMP6</t>
  </si>
  <si>
    <t>PGM2</t>
  </si>
  <si>
    <t>MED8</t>
  </si>
  <si>
    <t>CCDC104</t>
  </si>
  <si>
    <t>DUS3L</t>
  </si>
  <si>
    <t>NUDT11</t>
  </si>
  <si>
    <t>OTUD5</t>
  </si>
  <si>
    <t>LTV1</t>
  </si>
  <si>
    <t>PDXP</t>
  </si>
  <si>
    <t>RNF185</t>
  </si>
  <si>
    <t>DCUN1D1</t>
  </si>
  <si>
    <t>FAHD2A</t>
  </si>
  <si>
    <t>SMARCD1</t>
  </si>
  <si>
    <t>TOE1</t>
  </si>
  <si>
    <t>DDX27</t>
  </si>
  <si>
    <t>C17orf59</t>
  </si>
  <si>
    <t>ABHD17A</t>
  </si>
  <si>
    <t>MARS2</t>
  </si>
  <si>
    <t>ATXN7L3B</t>
  </si>
  <si>
    <t>MASTL</t>
  </si>
  <si>
    <t>APIP</t>
  </si>
  <si>
    <t>ZC2HC1A</t>
  </si>
  <si>
    <t>SLC41A3</t>
  </si>
  <si>
    <t>SNF8</t>
  </si>
  <si>
    <t>CENPN</t>
  </si>
  <si>
    <t>ZC3HAV1L</t>
  </si>
  <si>
    <t>ZNF764</t>
  </si>
  <si>
    <t>C1orf159</t>
  </si>
  <si>
    <t>WDYHV1</t>
  </si>
  <si>
    <t>PDLIM5</t>
  </si>
  <si>
    <t>CRELD1</t>
  </si>
  <si>
    <t>ERO1L</t>
  </si>
  <si>
    <t>C7orf55</t>
  </si>
  <si>
    <t>AHCYL2</t>
  </si>
  <si>
    <t>CDKN2AIPNL</t>
  </si>
  <si>
    <t>MED30</t>
  </si>
  <si>
    <t>NAF1</t>
  </si>
  <si>
    <t>REEP6</t>
  </si>
  <si>
    <t>PGAM5</t>
  </si>
  <si>
    <t>INTS4</t>
  </si>
  <si>
    <t>DDRGK1</t>
  </si>
  <si>
    <t>DHTKD1</t>
  </si>
  <si>
    <t>SCLY</t>
  </si>
  <si>
    <t>FUBP3</t>
  </si>
  <si>
    <t>RBM17</t>
  </si>
  <si>
    <t>COX14</t>
  </si>
  <si>
    <t>NARS2</t>
  </si>
  <si>
    <t>SUCLG2</t>
  </si>
  <si>
    <t>AJUBA</t>
  </si>
  <si>
    <t>GMPPA</t>
  </si>
  <si>
    <t>BOD1</t>
  </si>
  <si>
    <t>ZNF845</t>
  </si>
  <si>
    <t>ABHD14B</t>
  </si>
  <si>
    <t>NGLY1</t>
  </si>
  <si>
    <t>USMG5</t>
  </si>
  <si>
    <t>NSL1</t>
  </si>
  <si>
    <t>PAWR</t>
  </si>
  <si>
    <t>RSRC1</t>
  </si>
  <si>
    <t>THOC3</t>
  </si>
  <si>
    <t>ITCH</t>
  </si>
  <si>
    <t>KIRREL</t>
  </si>
  <si>
    <t>EPSTI1</t>
  </si>
  <si>
    <t>COG3</t>
  </si>
  <si>
    <t>CDK5RAP3</t>
  </si>
  <si>
    <t>VPS39</t>
  </si>
  <si>
    <t>EAF1</t>
  </si>
  <si>
    <t>CCDC132</t>
  </si>
  <si>
    <t>VCPIP1</t>
  </si>
  <si>
    <t>TMX3</t>
  </si>
  <si>
    <t>CHAMP1</t>
  </si>
  <si>
    <t>ZFP91</t>
  </si>
  <si>
    <t>CLMN</t>
  </si>
  <si>
    <t>PDLIM2</t>
  </si>
  <si>
    <t>RNF170</t>
  </si>
  <si>
    <t>C8orf76</t>
  </si>
  <si>
    <t>ZC3H10</t>
  </si>
  <si>
    <t>CLPTM1L</t>
  </si>
  <si>
    <t>PBK</t>
  </si>
  <si>
    <t>DNAJC1</t>
  </si>
  <si>
    <t>ZNF512B</t>
  </si>
  <si>
    <t>EXOC2</t>
  </si>
  <si>
    <t>CNDP2</t>
  </si>
  <si>
    <t>PPP1R13B</t>
  </si>
  <si>
    <t>ZFR</t>
  </si>
  <si>
    <t>LRR1</t>
  </si>
  <si>
    <t>SNX27</t>
  </si>
  <si>
    <t>KIF16B</t>
  </si>
  <si>
    <t>PRMT6</t>
  </si>
  <si>
    <t>SENP8</t>
  </si>
  <si>
    <t>DHRS1</t>
  </si>
  <si>
    <t>UBE2E2</t>
  </si>
  <si>
    <t>C9orf72</t>
  </si>
  <si>
    <t>CNBD2</t>
  </si>
  <si>
    <t>PRRC1</t>
  </si>
  <si>
    <t>FBXL18</t>
  </si>
  <si>
    <t>NDNL2</t>
  </si>
  <si>
    <t>HEXIM2</t>
  </si>
  <si>
    <t>TMEM68</t>
  </si>
  <si>
    <t>ZNF48</t>
  </si>
  <si>
    <t>WDR92</t>
  </si>
  <si>
    <t>C7orf26</t>
  </si>
  <si>
    <t>JAKMIP1</t>
  </si>
  <si>
    <t>ENTHD2</t>
  </si>
  <si>
    <t>TTC14</t>
  </si>
  <si>
    <t>MBOAT7</t>
  </si>
  <si>
    <t>DOCK7</t>
  </si>
  <si>
    <t>FOPNL</t>
  </si>
  <si>
    <t>SFXN2</t>
  </si>
  <si>
    <t>ZNF830</t>
  </si>
  <si>
    <t>ZMAT2</t>
  </si>
  <si>
    <t>CCDC115</t>
  </si>
  <si>
    <t>NAP1L5</t>
  </si>
  <si>
    <t>NSUN5</t>
  </si>
  <si>
    <t>RPRD1A</t>
  </si>
  <si>
    <t>IPO9</t>
  </si>
  <si>
    <t>DCBLD2</t>
  </si>
  <si>
    <t>MCEE</t>
  </si>
  <si>
    <t>RBM14</t>
  </si>
  <si>
    <t>RCHY1</t>
  </si>
  <si>
    <t>UHRF2</t>
  </si>
  <si>
    <t>NEDD4L</t>
  </si>
  <si>
    <t>QKI</t>
  </si>
  <si>
    <t>LENG8</t>
  </si>
  <si>
    <t>PUS7</t>
  </si>
  <si>
    <t>FAM111A</t>
  </si>
  <si>
    <t>TRAPPC9</t>
  </si>
  <si>
    <t>TRNT1</t>
  </si>
  <si>
    <t>TMEM237</t>
  </si>
  <si>
    <t>ALKBH3</t>
  </si>
  <si>
    <t>PPP1R10</t>
  </si>
  <si>
    <t>SLC38A2</t>
  </si>
  <si>
    <t>SLC2A13</t>
  </si>
  <si>
    <t>RAB3IP</t>
  </si>
  <si>
    <t>VPS35</t>
  </si>
  <si>
    <t>PURB</t>
  </si>
  <si>
    <t>MAGI1</t>
  </si>
  <si>
    <t>SPAG5</t>
  </si>
  <si>
    <t>PANX1</t>
  </si>
  <si>
    <t>NACC1</t>
  </si>
  <si>
    <t>PASK</t>
  </si>
  <si>
    <t>VPS13A</t>
  </si>
  <si>
    <t>MED15</t>
  </si>
  <si>
    <t>GFM1</t>
  </si>
  <si>
    <t>PEO1</t>
  </si>
  <si>
    <t>CAMKK2</t>
  </si>
  <si>
    <t>TGS1</t>
  </si>
  <si>
    <t>NUDCD1</t>
  </si>
  <si>
    <t>ERBB2IP</t>
  </si>
  <si>
    <t>C16orf13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</si>
  <si>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</si>
  <si>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</si>
  <si>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</si>
  <si>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</si>
  <si>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</si>
  <si>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</si>
  <si>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</si>
  <si>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</si>
  <si>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MYADM</t>
  </si>
  <si>
    <t>PLEKHF1</t>
  </si>
  <si>
    <t>PPP1R9B</t>
  </si>
  <si>
    <t>SRPK1</t>
  </si>
  <si>
    <t>SMC6</t>
  </si>
  <si>
    <t>STRBP</t>
  </si>
  <si>
    <t>TMEM209</t>
  </si>
  <si>
    <t>ORAI2</t>
  </si>
  <si>
    <t>IWS1</t>
  </si>
  <si>
    <t>SIN3A</t>
  </si>
  <si>
    <t>ADO</t>
  </si>
  <si>
    <t>RBM15</t>
  </si>
  <si>
    <t>RUFY1</t>
  </si>
  <si>
    <t>SPEN</t>
  </si>
  <si>
    <t>PNKP</t>
  </si>
  <si>
    <t>MMS19</t>
  </si>
  <si>
    <t>SLC9A7</t>
  </si>
  <si>
    <t>UHRF1</t>
  </si>
  <si>
    <t>FAM129B</t>
  </si>
  <si>
    <t>YME1L1</t>
  </si>
  <si>
    <t>RMDN3</t>
  </si>
  <si>
    <t>TCF12</t>
  </si>
  <si>
    <t>MYCBP</t>
  </si>
  <si>
    <t>TBCB</t>
  </si>
  <si>
    <t>PSMB7</t>
  </si>
  <si>
    <t>SEC62</t>
  </si>
  <si>
    <t>PCYT2</t>
  </si>
  <si>
    <t>CDC5L</t>
  </si>
  <si>
    <t>PSMD1</t>
  </si>
  <si>
    <t>SDF2</t>
  </si>
  <si>
    <t>PFDN5</t>
  </si>
  <si>
    <t>PAFAH2</t>
  </si>
  <si>
    <t>RNF2</t>
  </si>
  <si>
    <t>PARK7</t>
  </si>
  <si>
    <t>GAS2L1</t>
  </si>
  <si>
    <t>NEU1</t>
  </si>
  <si>
    <t>SORT1</t>
  </si>
  <si>
    <t>VAT1</t>
  </si>
  <si>
    <t>DNAJC2</t>
  </si>
  <si>
    <t>MPHOSPH8</t>
  </si>
  <si>
    <t>NUP88</t>
  </si>
  <si>
    <t>PIK3R4</t>
  </si>
  <si>
    <t>POP1</t>
  </si>
  <si>
    <t>TIMM17A</t>
  </si>
  <si>
    <t>TSNAX</t>
  </si>
  <si>
    <t>NDN</t>
  </si>
  <si>
    <t>SEPHS2</t>
  </si>
  <si>
    <t>TTC1</t>
  </si>
  <si>
    <t>DNAJC7</t>
  </si>
  <si>
    <t>CDCA3</t>
  </si>
  <si>
    <t>C12orf57</t>
  </si>
  <si>
    <t>PHB2</t>
  </si>
  <si>
    <t>PRPF18</t>
  </si>
  <si>
    <t>RAD9A</t>
  </si>
  <si>
    <t>SDHC</t>
  </si>
  <si>
    <t>CHP1</t>
  </si>
  <si>
    <t>KIF2C</t>
  </si>
  <si>
    <t>DOK1</t>
  </si>
  <si>
    <t>MTR</t>
  </si>
  <si>
    <t>HSD17B10</t>
  </si>
  <si>
    <t>SEPT5</t>
  </si>
  <si>
    <t>SIGMAR1</t>
  </si>
  <si>
    <t>NAP1L4</t>
  </si>
  <si>
    <t>NAPG</t>
  </si>
  <si>
    <t>TXN2</t>
  </si>
  <si>
    <t>ATP5S</t>
  </si>
  <si>
    <t>GPA33</t>
  </si>
  <si>
    <t>MIPEP</t>
  </si>
  <si>
    <t>TM9SF2</t>
  </si>
  <si>
    <t>SLC29A1</t>
  </si>
  <si>
    <t>TSG101</t>
  </si>
  <si>
    <t>CPNE1</t>
  </si>
  <si>
    <t>CCT7</t>
  </si>
  <si>
    <t>ARID3A</t>
  </si>
  <si>
    <t>HIST1H2BM</t>
  </si>
  <si>
    <t>PTPN18</t>
  </si>
  <si>
    <t>SH3GL1</t>
  </si>
  <si>
    <t>SH3GL3</t>
  </si>
  <si>
    <t>VRK1</t>
  </si>
  <si>
    <t>DPYSL5</t>
  </si>
  <si>
    <t>NIPSNAP1</t>
  </si>
  <si>
    <t>NCAPG</t>
  </si>
  <si>
    <t>ARPC5L</t>
  </si>
  <si>
    <t>C7orf25</t>
  </si>
  <si>
    <t>PAIP2</t>
  </si>
  <si>
    <t>RBM4B</t>
  </si>
  <si>
    <t>DDX50</t>
  </si>
  <si>
    <t>ELAC2</t>
  </si>
  <si>
    <t>C19orf43</t>
  </si>
  <si>
    <t>GRWD1</t>
  </si>
  <si>
    <t>MACROD1</t>
  </si>
  <si>
    <t>TCF25</t>
  </si>
  <si>
    <t>ECSIT</t>
  </si>
  <si>
    <t>WDR77</t>
  </si>
  <si>
    <t>C17orf62</t>
  </si>
  <si>
    <t>DPH2</t>
  </si>
  <si>
    <t>SENP7</t>
  </si>
  <si>
    <t>AIF1L</t>
  </si>
  <si>
    <t>EIF2AK1</t>
  </si>
  <si>
    <t>ANKRD32</t>
  </si>
  <si>
    <t>MGME1</t>
  </si>
  <si>
    <t>FYCO1</t>
  </si>
  <si>
    <t>ACBD6</t>
  </si>
  <si>
    <t>CORO1B</t>
  </si>
  <si>
    <t>LSMD1</t>
  </si>
  <si>
    <t>TXNDC17</t>
  </si>
  <si>
    <t>BUD13</t>
  </si>
  <si>
    <t>CPPED1</t>
  </si>
  <si>
    <t>VPS25</t>
  </si>
  <si>
    <t>MRPL45</t>
  </si>
  <si>
    <t>SDF4</t>
  </si>
  <si>
    <t>SRSF8</t>
  </si>
  <si>
    <t>PDCD2L</t>
  </si>
  <si>
    <t>PAAF1</t>
  </si>
  <si>
    <t>WIBG</t>
  </si>
  <si>
    <t>ADPGK</t>
  </si>
  <si>
    <t>GPATCH1</t>
  </si>
  <si>
    <t>RIOK1</t>
  </si>
  <si>
    <t>MNF1</t>
  </si>
  <si>
    <t>MIEN1</t>
  </si>
  <si>
    <t>GINS4</t>
  </si>
  <si>
    <t>SIKE1</t>
  </si>
  <si>
    <t>PELO</t>
  </si>
  <si>
    <t>GINS3</t>
  </si>
  <si>
    <t>FAM213A</t>
  </si>
  <si>
    <t>WDR83</t>
  </si>
  <si>
    <t>TRIM56</t>
  </si>
  <si>
    <t>ERP44</t>
  </si>
  <si>
    <t>ATG101</t>
  </si>
  <si>
    <t>NTPCR</t>
  </si>
  <si>
    <t>HERPUD2</t>
  </si>
  <si>
    <t>C19orf52</t>
  </si>
  <si>
    <t>TACO1</t>
  </si>
  <si>
    <t>HDHD3</t>
  </si>
  <si>
    <t>C17orf80</t>
  </si>
  <si>
    <t>ESYT1</t>
  </si>
  <si>
    <t>SLC25A33</t>
  </si>
  <si>
    <t>UBAC1</t>
  </si>
  <si>
    <t>YIPF4</t>
  </si>
  <si>
    <t>C16orf70</t>
  </si>
  <si>
    <t>TSEN34</t>
  </si>
  <si>
    <t>EFCAB4B</t>
  </si>
  <si>
    <t>CNPY3</t>
  </si>
  <si>
    <t>ALG1</t>
  </si>
  <si>
    <t>LIMD2</t>
  </si>
  <si>
    <t>HAUS8</t>
  </si>
  <si>
    <t>ALKBH7</t>
  </si>
  <si>
    <t>PSMG3</t>
  </si>
  <si>
    <t>COPS4</t>
  </si>
  <si>
    <t>TCHP</t>
  </si>
  <si>
    <t>WAC</t>
  </si>
  <si>
    <t>DIDO1</t>
  </si>
  <si>
    <t>DCTN5</t>
  </si>
  <si>
    <t>MCMBP</t>
  </si>
  <si>
    <t>AARSD1</t>
  </si>
  <si>
    <t>DCUN1D5</t>
  </si>
  <si>
    <t>FAM103A1</t>
  </si>
  <si>
    <t>URM1</t>
  </si>
  <si>
    <t>ANP32E</t>
  </si>
  <si>
    <t>MED10</t>
  </si>
  <si>
    <t>LRRC1</t>
  </si>
  <si>
    <t>PI4K2A</t>
  </si>
  <si>
    <t>TMEM43</t>
  </si>
  <si>
    <t>FSD1</t>
  </si>
  <si>
    <t>WDR85</t>
  </si>
  <si>
    <t>CABLES2</t>
  </si>
  <si>
    <t>TMEM48</t>
  </si>
  <si>
    <t>TTPAL</t>
  </si>
  <si>
    <t>FAM203A</t>
  </si>
  <si>
    <t>DHRS4</t>
  </si>
  <si>
    <t>THTPA</t>
  </si>
  <si>
    <t>LMF2</t>
  </si>
  <si>
    <t>NDUFAF3</t>
  </si>
  <si>
    <t>CENPO</t>
  </si>
  <si>
    <t>MMTAG2</t>
  </si>
  <si>
    <t>DOHH</t>
  </si>
  <si>
    <t>C11orf84</t>
  </si>
  <si>
    <t>MKNK1</t>
  </si>
  <si>
    <t>MED18</t>
  </si>
  <si>
    <t>TUBB6</t>
  </si>
  <si>
    <t>C9orf142</t>
  </si>
  <si>
    <t>POLR3C</t>
  </si>
  <si>
    <t>HNRNPUL1</t>
  </si>
  <si>
    <t>RPP25</t>
  </si>
  <si>
    <t>EFHD1</t>
  </si>
  <si>
    <t>DDX23</t>
  </si>
  <si>
    <t>WRAP53</t>
  </si>
  <si>
    <t>BDH2</t>
  </si>
  <si>
    <t>FAM195A</t>
  </si>
  <si>
    <t>C9orf16</t>
  </si>
  <si>
    <t>ALG12</t>
  </si>
  <si>
    <t>C1orf50</t>
  </si>
  <si>
    <t>MRI1</t>
  </si>
  <si>
    <t>ABHD6</t>
  </si>
  <si>
    <t>WDR18</t>
  </si>
  <si>
    <t>THUMPD3</t>
  </si>
  <si>
    <t>ADI1</t>
  </si>
  <si>
    <t>RNF126</t>
  </si>
  <si>
    <t>CEP250</t>
  </si>
  <si>
    <t>MECR</t>
  </si>
  <si>
    <t>EMC6</t>
  </si>
  <si>
    <t>NTMT1</t>
  </si>
  <si>
    <t>KATNB1</t>
  </si>
  <si>
    <t>DSCC1</t>
  </si>
  <si>
    <t>MLST8</t>
  </si>
  <si>
    <t>C2orf49</t>
  </si>
  <si>
    <t>TMEM109</t>
  </si>
  <si>
    <t>NOC4L</t>
  </si>
  <si>
    <t>UTP14A</t>
  </si>
  <si>
    <t>TMED9</t>
  </si>
  <si>
    <t>NUPL1</t>
  </si>
  <si>
    <t>SELO</t>
  </si>
  <si>
    <t>DPCD</t>
  </si>
  <si>
    <t>GGACT</t>
  </si>
  <si>
    <t>GNL3</t>
  </si>
  <si>
    <t>SPATA5L1</t>
  </si>
  <si>
    <t>RIOK2</t>
  </si>
  <si>
    <t>TRMT61B</t>
  </si>
  <si>
    <t>TIMM21</t>
  </si>
  <si>
    <t>TIPIN</t>
  </si>
  <si>
    <t>KIFC1</t>
  </si>
  <si>
    <t>NUP85</t>
  </si>
  <si>
    <t>ELOVL1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</si>
  <si>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</si>
  <si>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</si>
  <si>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</si>
  <si>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</si>
  <si>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</si>
  <si>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</si>
  <si>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</si>
  <si>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</si>
  <si>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RBM4</t>
  </si>
  <si>
    <t>SCNM1</t>
  </si>
  <si>
    <t>FUNDC2</t>
  </si>
  <si>
    <t>RPAP1</t>
  </si>
  <si>
    <t>SF3B5</t>
  </si>
  <si>
    <t>SFXN3</t>
  </si>
  <si>
    <t>PAPOLG</t>
  </si>
  <si>
    <t>MND1</t>
  </si>
  <si>
    <t>SLC4A1AP</t>
  </si>
  <si>
    <t>SSBP3</t>
  </si>
  <si>
    <t>LSM14B</t>
  </si>
  <si>
    <t>TAPBPL</t>
  </si>
  <si>
    <t>BRIP1</t>
  </si>
  <si>
    <t>SORBS1</t>
  </si>
  <si>
    <t>JAM3</t>
  </si>
  <si>
    <t>HINT2</t>
  </si>
  <si>
    <t>BTBD2</t>
  </si>
  <si>
    <t>SGPP1</t>
  </si>
  <si>
    <t>OSBPL11</t>
  </si>
  <si>
    <t>RAB11FIP5</t>
  </si>
  <si>
    <t>TBC1D10A</t>
  </si>
  <si>
    <t>TMEM120A</t>
  </si>
  <si>
    <t>NAA15</t>
  </si>
  <si>
    <t>KLF16</t>
  </si>
  <si>
    <t>BCL2L13</t>
  </si>
  <si>
    <t>HEMGN</t>
  </si>
  <si>
    <t>CARD11</t>
  </si>
  <si>
    <t>SLC12A9</t>
  </si>
  <si>
    <t>SRRT</t>
  </si>
  <si>
    <t>QTRT1</t>
  </si>
  <si>
    <t>AP1M1</t>
  </si>
  <si>
    <t>NUSAP1</t>
  </si>
  <si>
    <t>C14orf142</t>
  </si>
  <si>
    <t>OSBPL1A</t>
  </si>
  <si>
    <t>CECR5</t>
  </si>
  <si>
    <t>FANCD2</t>
  </si>
  <si>
    <t>MAK16</t>
  </si>
  <si>
    <t>DGCR6L</t>
  </si>
  <si>
    <t>ITPA</t>
  </si>
  <si>
    <t>RTFDC1</t>
  </si>
  <si>
    <t>CHMP4A</t>
  </si>
  <si>
    <t>EIF2A</t>
  </si>
  <si>
    <t>PECR</t>
  </si>
  <si>
    <t>CADM1</t>
  </si>
  <si>
    <t>POLDIP3</t>
  </si>
  <si>
    <t>GNB1L</t>
  </si>
  <si>
    <t>FUT8</t>
  </si>
  <si>
    <t>MRPL32</t>
  </si>
  <si>
    <t>MRPL1</t>
  </si>
  <si>
    <t>MKI67IP</t>
  </si>
  <si>
    <t>PARD6B</t>
  </si>
  <si>
    <t>RBCK1</t>
  </si>
  <si>
    <t>MRPS26</t>
  </si>
  <si>
    <t>STK33</t>
  </si>
  <si>
    <t>NLN</t>
  </si>
  <si>
    <t>CEP41</t>
  </si>
  <si>
    <t>SETD2</t>
  </si>
  <si>
    <t>PANK2</t>
  </si>
  <si>
    <t>FRMD8</t>
  </si>
  <si>
    <t>WHSC1L1</t>
  </si>
  <si>
    <t>TXLNG2P</t>
  </si>
  <si>
    <t>NUF2</t>
  </si>
  <si>
    <t>MRPL37</t>
  </si>
  <si>
    <t>PUS3</t>
  </si>
  <si>
    <t>GTPBP4</t>
  </si>
  <si>
    <t>ASPSCR1</t>
  </si>
  <si>
    <t>OSBPL8</t>
  </si>
  <si>
    <t>WDR11</t>
  </si>
  <si>
    <t>UPF3B</t>
  </si>
  <si>
    <t>TBL1XR1</t>
  </si>
  <si>
    <t>UBL5</t>
  </si>
  <si>
    <t>PLA2G12A</t>
  </si>
  <si>
    <t>ULBP2</t>
  </si>
  <si>
    <t>UCK2</t>
  </si>
  <si>
    <t>API5</t>
  </si>
  <si>
    <t>DPY30</t>
  </si>
  <si>
    <t>TRIM4</t>
  </si>
  <si>
    <t>FAM117A</t>
  </si>
  <si>
    <t>UNK</t>
  </si>
  <si>
    <t>FTO</t>
  </si>
  <si>
    <t>ZDHHC5</t>
  </si>
  <si>
    <t>TANGO6</t>
  </si>
  <si>
    <t>TNKS1BP1</t>
  </si>
  <si>
    <t>ZYG11B</t>
  </si>
  <si>
    <t>TTYH3</t>
  </si>
  <si>
    <t>MTMR12</t>
  </si>
  <si>
    <t>WDR33</t>
  </si>
  <si>
    <t>BCL11B</t>
  </si>
  <si>
    <t>SLC39A8</t>
  </si>
  <si>
    <t>WDR12</t>
  </si>
  <si>
    <t>ACTR6</t>
  </si>
  <si>
    <t>C20orf27</t>
  </si>
  <si>
    <t>PITHD1</t>
  </si>
  <si>
    <t>DERL2</t>
  </si>
  <si>
    <t>COMMD5</t>
  </si>
  <si>
    <t>POLR1E</t>
  </si>
  <si>
    <t>WDR61</t>
  </si>
  <si>
    <t>SLIRP</t>
  </si>
  <si>
    <t>CCDC90B</t>
  </si>
  <si>
    <t>NIF3L1</t>
  </si>
  <si>
    <t>EGLN1</t>
  </si>
  <si>
    <t>FAM192A</t>
  </si>
  <si>
    <t>TWSG1</t>
  </si>
  <si>
    <t>MFF</t>
  </si>
  <si>
    <t>UBA5</t>
  </si>
  <si>
    <t>LHPP</t>
  </si>
  <si>
    <t>MTFR1L</t>
  </si>
  <si>
    <t>TMEM126A</t>
  </si>
  <si>
    <t>PAIP1</t>
  </si>
  <si>
    <t>CLPB</t>
  </si>
  <si>
    <t>MIS12</t>
  </si>
  <si>
    <t>RAB33B</t>
  </si>
  <si>
    <t>LSG1</t>
  </si>
  <si>
    <t>NAT10</t>
  </si>
  <si>
    <t>COMMD4</t>
  </si>
  <si>
    <t>KLC2</t>
  </si>
  <si>
    <t>ILKAP</t>
  </si>
  <si>
    <t>XRN2</t>
  </si>
  <si>
    <t>TOLLIP</t>
  </si>
  <si>
    <t>SHARPIN</t>
  </si>
  <si>
    <t>ARL6</t>
  </si>
  <si>
    <t>NSRP1</t>
  </si>
  <si>
    <t>RACGAP1</t>
  </si>
  <si>
    <t>PUS7L</t>
  </si>
  <si>
    <t>CSTF2T</t>
  </si>
  <si>
    <t>NT5C3A</t>
  </si>
  <si>
    <t>HDHD2</t>
  </si>
  <si>
    <t>QRSL1</t>
  </si>
  <si>
    <t>DDX47</t>
  </si>
  <si>
    <t>MAGT1</t>
  </si>
  <si>
    <t>RAB1B</t>
  </si>
  <si>
    <t>MRPL18</t>
  </si>
  <si>
    <t>LMAN2L</t>
  </si>
  <si>
    <t>SMG9</t>
  </si>
  <si>
    <t>C11orf54</t>
  </si>
  <si>
    <t>ITFG3</t>
  </si>
  <si>
    <t>DNTTIP1</t>
  </si>
  <si>
    <t>SIL1</t>
  </si>
  <si>
    <t>ANAPC1</t>
  </si>
  <si>
    <t>IRF2BPL</t>
  </si>
  <si>
    <t>POLR3F</t>
  </si>
  <si>
    <t>NUCKS1</t>
  </si>
  <si>
    <t>TMX4</t>
  </si>
  <si>
    <t>ASCC2</t>
  </si>
  <si>
    <t>UPF3A</t>
  </si>
  <si>
    <t>ZFYVE20</t>
  </si>
  <si>
    <t>MESDC1</t>
  </si>
  <si>
    <t>SLC25A51</t>
  </si>
  <si>
    <t>DNAJC25</t>
  </si>
  <si>
    <t>ATG5</t>
  </si>
  <si>
    <t>WDR13</t>
  </si>
  <si>
    <t>MED28</t>
  </si>
  <si>
    <t>EHD4</t>
  </si>
  <si>
    <t>C1orf21</t>
  </si>
  <si>
    <t>SPTBN4</t>
  </si>
  <si>
    <t>VPS33B</t>
  </si>
  <si>
    <t>VPS16</t>
  </si>
  <si>
    <t>VPS11</t>
  </si>
  <si>
    <t>GAN</t>
  </si>
  <si>
    <t>SLC25A32</t>
  </si>
  <si>
    <t>TRIOBP</t>
  </si>
  <si>
    <t>SLK</t>
  </si>
  <si>
    <t>PPIL3</t>
  </si>
  <si>
    <t>PDCL3</t>
  </si>
  <si>
    <t>MTIF3</t>
  </si>
  <si>
    <t>TAOK3</t>
  </si>
  <si>
    <t>RAB3GAP2</t>
  </si>
  <si>
    <t>ADNP</t>
  </si>
  <si>
    <t>DPH5</t>
  </si>
  <si>
    <t>PPA2</t>
  </si>
  <si>
    <t>MRPL46</t>
  </si>
  <si>
    <t>PARL</t>
  </si>
  <si>
    <t>PNN</t>
  </si>
  <si>
    <t>TMEM245</t>
  </si>
  <si>
    <t>GGNBP2</t>
  </si>
  <si>
    <t>KCTD10</t>
  </si>
  <si>
    <t>CPVL</t>
  </si>
  <si>
    <t>TRIT1</t>
  </si>
  <si>
    <t>C11orf68</t>
  </si>
  <si>
    <t>DPAGT1</t>
  </si>
  <si>
    <t>BOLA2</t>
  </si>
  <si>
    <t>TMX1</t>
  </si>
  <si>
    <t>NELFA</t>
  </si>
  <si>
    <t>ACBD3</t>
  </si>
  <si>
    <t>CENPH</t>
  </si>
  <si>
    <t>PIGM</t>
  </si>
  <si>
    <t>PTPN23</t>
  </si>
  <si>
    <t>UNC45A</t>
  </si>
  <si>
    <t>MFSD1</t>
  </si>
  <si>
    <t>DNAJC5</t>
  </si>
  <si>
    <t>LIME1</t>
  </si>
  <si>
    <t>DSN1</t>
  </si>
  <si>
    <t>C1orf198</t>
  </si>
  <si>
    <t>CHMP4B</t>
  </si>
  <si>
    <t>CUEDC2</t>
  </si>
  <si>
    <t>RBKS</t>
  </si>
  <si>
    <t>POFUT1</t>
  </si>
  <si>
    <t>PIGU</t>
  </si>
  <si>
    <t>IFRG15</t>
  </si>
  <si>
    <t>TOR3A</t>
  </si>
  <si>
    <t>RNPEP</t>
  </si>
  <si>
    <t>GOLPH3L</t>
  </si>
  <si>
    <t>GOLPH3</t>
  </si>
  <si>
    <t>OSGEPL1</t>
  </si>
  <si>
    <t>DEF6</t>
  </si>
  <si>
    <t>GLIPR2</t>
  </si>
  <si>
    <t>FAM83D</t>
  </si>
  <si>
    <t>ZHX3</t>
  </si>
  <si>
    <t>OSBPL3</t>
  </si>
  <si>
    <t>SMARCAD1</t>
  </si>
  <si>
    <t>EHD1</t>
  </si>
  <si>
    <t>RGCC</t>
  </si>
  <si>
    <t>PCIF1</t>
  </si>
  <si>
    <t>ESF1</t>
  </si>
  <si>
    <t>ALG2</t>
  </si>
  <si>
    <t>HEATR1</t>
  </si>
  <si>
    <t>SGK196</t>
  </si>
  <si>
    <t>RABEP2</t>
  </si>
  <si>
    <t>TFB2M</t>
  </si>
  <si>
    <t>CXorf56</t>
  </si>
  <si>
    <t>FAM96A</t>
  </si>
  <si>
    <t>HAUS4</t>
  </si>
  <si>
    <t>CCDC134</t>
  </si>
  <si>
    <t>CCDC86</t>
  </si>
  <si>
    <t>REEP4</t>
  </si>
  <si>
    <t>OPA3</t>
  </si>
  <si>
    <t>TMEM231</t>
  </si>
  <si>
    <t>FAM134B</t>
  </si>
  <si>
    <t>TASP1</t>
  </si>
  <si>
    <t>NARFL</t>
  </si>
  <si>
    <t>ACSS3</t>
  </si>
  <si>
    <t>NOL6</t>
  </si>
  <si>
    <t>ZDHHC6</t>
  </si>
  <si>
    <t>YTHDC2</t>
  </si>
  <si>
    <t>RPAP3</t>
  </si>
  <si>
    <t>BCAS3</t>
  </si>
  <si>
    <t>ALG9</t>
  </si>
  <si>
    <t>NO66</t>
  </si>
  <si>
    <t>ANTXR1</t>
  </si>
  <si>
    <t>WDR55</t>
  </si>
  <si>
    <t>RANBP3</t>
  </si>
  <si>
    <t>C12orf49</t>
  </si>
  <si>
    <t>DCTPP1</t>
  </si>
  <si>
    <t>ELAC1</t>
  </si>
  <si>
    <t>SMYD3</t>
  </si>
  <si>
    <t>WDR26</t>
  </si>
  <si>
    <t>TDRD3</t>
  </si>
  <si>
    <t>C8orf33</t>
  </si>
  <si>
    <t>ATP13A3</t>
  </si>
  <si>
    <t>METTL17</t>
  </si>
  <si>
    <t>PPP1R3E</t>
  </si>
  <si>
    <t>SUDS3</t>
  </si>
  <si>
    <t>C10orf54</t>
  </si>
  <si>
    <t>CCSER2</t>
  </si>
  <si>
    <t>ZNF696</t>
  </si>
  <si>
    <t>NRDE2</t>
  </si>
  <si>
    <t>KAT8</t>
  </si>
  <si>
    <t>PTGES2</t>
  </si>
  <si>
    <t>TMEM206</t>
  </si>
  <si>
    <t>PHAX</t>
  </si>
  <si>
    <t>UBE2Z</t>
  </si>
  <si>
    <t>GEMIN7</t>
  </si>
  <si>
    <t>ACAD9</t>
  </si>
  <si>
    <t>NT5DC2</t>
  </si>
  <si>
    <t>RMND5A</t>
  </si>
  <si>
    <t>PRKRIP1</t>
  </si>
  <si>
    <t>CAAP1</t>
  </si>
  <si>
    <t>NOL11</t>
  </si>
  <si>
    <t>C10orf88</t>
  </si>
  <si>
    <t>CNNM2</t>
  </si>
  <si>
    <t>FAM188A</t>
  </si>
  <si>
    <t>SRD5A3</t>
  </si>
  <si>
    <t>MOB1A</t>
  </si>
  <si>
    <t>ZFAND3</t>
  </si>
  <si>
    <t>FAM204A</t>
  </si>
  <si>
    <t>GORASP2</t>
  </si>
  <si>
    <t>ZWILCH</t>
  </si>
  <si>
    <t>MTHFD2L</t>
  </si>
  <si>
    <t>SLC25A22</t>
  </si>
  <si>
    <t>MED20</t>
  </si>
  <si>
    <t>QTRTD1</t>
  </si>
  <si>
    <t>WDR54</t>
  </si>
  <si>
    <t>ACTR8</t>
  </si>
  <si>
    <t>C6orf211</t>
  </si>
  <si>
    <t>PANK3</t>
  </si>
  <si>
    <t>CNOT10</t>
  </si>
  <si>
    <t>LRRC40</t>
  </si>
  <si>
    <t>SFXN1</t>
  </si>
  <si>
    <t>ACTR5</t>
  </si>
  <si>
    <t>VPS37B</t>
  </si>
  <si>
    <t>MRPL44</t>
  </si>
  <si>
    <t>L2HGDH</t>
  </si>
  <si>
    <t>NHEJ1</t>
  </si>
  <si>
    <t>FKRP</t>
  </si>
  <si>
    <t>ELP3</t>
  </si>
  <si>
    <t>GPN2</t>
  </si>
  <si>
    <t>POLR1B</t>
  </si>
  <si>
    <t>UCK1</t>
  </si>
  <si>
    <t>FN3KRP</t>
  </si>
  <si>
    <t>TBC1D17</t>
  </si>
  <si>
    <t>CARS2</t>
  </si>
  <si>
    <t>RSAD1</t>
  </si>
  <si>
    <t>PPCS</t>
  </si>
  <si>
    <t>WDR41</t>
  </si>
  <si>
    <t>MEAF6</t>
  </si>
  <si>
    <t>SAP30L</t>
  </si>
  <si>
    <t>NMNAT1</t>
  </si>
  <si>
    <t>SIAE</t>
  </si>
  <si>
    <t>PELI2</t>
  </si>
  <si>
    <t>UPF2</t>
  </si>
  <si>
    <t>XPO5</t>
  </si>
  <si>
    <t>GRPEL1</t>
  </si>
  <si>
    <t>CLSPN</t>
  </si>
  <si>
    <t>C12orf10</t>
  </si>
  <si>
    <t>BCL2L12</t>
  </si>
  <si>
    <t>PLEKHA2</t>
  </si>
  <si>
    <t>PLEKHA3</t>
  </si>
  <si>
    <t>PLEKHA1</t>
  </si>
  <si>
    <t>SCPEP1</t>
  </si>
  <si>
    <t>CACYBP</t>
  </si>
  <si>
    <t>RRAGC</t>
  </si>
  <si>
    <t>SMARCA4</t>
  </si>
  <si>
    <t>ZFYVE1</t>
  </si>
  <si>
    <t>RHOF</t>
  </si>
  <si>
    <t>PDF</t>
  </si>
  <si>
    <t>RDH14</t>
  </si>
  <si>
    <t>PARVG</t>
  </si>
  <si>
    <t>PLGRKT</t>
  </si>
  <si>
    <t>NMRAL1</t>
  </si>
  <si>
    <t>SPC25</t>
  </si>
  <si>
    <t>TAF9B</t>
  </si>
  <si>
    <t>AGPAT1</t>
  </si>
  <si>
    <t>SLC38A10</t>
  </si>
  <si>
    <t>ETNK1</t>
  </si>
  <si>
    <t>SLC25A19</t>
  </si>
  <si>
    <t>EML4</t>
  </si>
  <si>
    <t>RNMTL1</t>
  </si>
  <si>
    <t>GLOD4</t>
  </si>
  <si>
    <t>GPBP1L1</t>
  </si>
  <si>
    <t>CBX8</t>
  </si>
  <si>
    <t>MCCC2</t>
  </si>
  <si>
    <t>ZFYVE28</t>
  </si>
  <si>
    <t>NCOA5</t>
  </si>
  <si>
    <t>TANC2</t>
  </si>
  <si>
    <t>MOV10</t>
  </si>
  <si>
    <t>METTL14</t>
  </si>
  <si>
    <t>ANKH</t>
  </si>
  <si>
    <t>RAVER2</t>
  </si>
  <si>
    <t>CHD8</t>
  </si>
  <si>
    <t>ZFP14</t>
  </si>
  <si>
    <t>TMEM8A</t>
  </si>
  <si>
    <t>GPN1</t>
  </si>
  <si>
    <t>SDF2L1</t>
  </si>
  <si>
    <t>CSNK1G1</t>
  </si>
  <si>
    <t>PREB</t>
  </si>
  <si>
    <t>SRA1</t>
  </si>
  <si>
    <t>ATP13A1</t>
  </si>
  <si>
    <t>GOPC</t>
  </si>
  <si>
    <t>LYRM4</t>
  </si>
  <si>
    <t>SEPSECS</t>
  </si>
  <si>
    <t>TM9SF3</t>
  </si>
  <si>
    <t>RANGRF</t>
  </si>
  <si>
    <t>JPH1</t>
  </si>
  <si>
    <t>APMAP</t>
  </si>
  <si>
    <t>ABCB6</t>
  </si>
  <si>
    <t>HMG20A</t>
  </si>
  <si>
    <t>RAB18</t>
  </si>
  <si>
    <t>ALG13</t>
  </si>
  <si>
    <t>SSU72</t>
  </si>
  <si>
    <t>VTA1</t>
  </si>
  <si>
    <t>MRPS30</t>
  </si>
  <si>
    <t>EMC7</t>
  </si>
  <si>
    <t>MID1IP1</t>
  </si>
  <si>
    <t>ENY2</t>
  </si>
  <si>
    <t>GPCPD1</t>
  </si>
  <si>
    <t>EXOSC4</t>
  </si>
  <si>
    <t>NRN1</t>
  </si>
  <si>
    <t>UBE2T</t>
  </si>
  <si>
    <t>NOP10</t>
  </si>
  <si>
    <t>CD320</t>
  </si>
  <si>
    <t>OSGEP</t>
  </si>
  <si>
    <t>DMAP1</t>
  </si>
  <si>
    <t>ACP6</t>
  </si>
  <si>
    <t>IL1RAP</t>
  </si>
  <si>
    <t>DCP1A</t>
  </si>
  <si>
    <t>ACOT13</t>
  </si>
  <si>
    <t>NXT2</t>
  </si>
  <si>
    <t>TIMMDC1</t>
  </si>
  <si>
    <t>RIC8A</t>
  </si>
  <si>
    <t>GPR108</t>
  </si>
  <si>
    <t>ATP13A2</t>
  </si>
  <si>
    <t>LUC7L</t>
  </si>
  <si>
    <t>TMEM9B</t>
  </si>
  <si>
    <t>PPAN</t>
  </si>
  <si>
    <t>TIGAR</t>
  </si>
  <si>
    <t>HINT3</t>
  </si>
  <si>
    <t>MANBAL</t>
  </si>
  <si>
    <t>RPRD1B</t>
  </si>
  <si>
    <t>XPNPEP3</t>
  </si>
  <si>
    <t>RRAGD</t>
  </si>
  <si>
    <t>PFDN4</t>
  </si>
  <si>
    <t>NIT2</t>
  </si>
  <si>
    <t>AVEN</t>
  </si>
  <si>
    <t>EXOSC5</t>
  </si>
  <si>
    <t>EXOSC3</t>
  </si>
  <si>
    <t>KIF13B</t>
  </si>
  <si>
    <t>ANLN</t>
  </si>
  <si>
    <t>XPNPEP1</t>
  </si>
  <si>
    <t>GPHN</t>
  </si>
  <si>
    <t>BIN3</t>
  </si>
  <si>
    <t>UTP3</t>
  </si>
  <si>
    <t>STARD7</t>
  </si>
  <si>
    <t>ZC4H2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</si>
  <si>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</si>
  <si>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</si>
  <si>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</si>
  <si>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</si>
  <si>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</si>
  <si>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</si>
  <si>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</si>
  <si>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</si>
  <si>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BATF3</t>
  </si>
  <si>
    <t>PXMP2</t>
  </si>
  <si>
    <t>SLC17A5</t>
  </si>
  <si>
    <t>CHST12</t>
  </si>
  <si>
    <t>POLE3</t>
  </si>
  <si>
    <t>CHRAC1</t>
  </si>
  <si>
    <t>SMYD2</t>
  </si>
  <si>
    <t>SDR39U1</t>
  </si>
  <si>
    <t>AAAS</t>
  </si>
  <si>
    <t>YAE1D1</t>
  </si>
  <si>
    <t>ABCB10</t>
  </si>
  <si>
    <t>BAZ1A</t>
  </si>
  <si>
    <t>STRN4</t>
  </si>
  <si>
    <t>AASDHPPT</t>
  </si>
  <si>
    <t>METTL5</t>
  </si>
  <si>
    <t>OSTC</t>
  </si>
  <si>
    <t>CMC2</t>
  </si>
  <si>
    <t>ACN9</t>
  </si>
  <si>
    <t>UBQLN4</t>
  </si>
  <si>
    <t>CDC42SE1</t>
  </si>
  <si>
    <t>SNX15</t>
  </si>
  <si>
    <t>HEBP1</t>
  </si>
  <si>
    <t>RAB6B</t>
  </si>
  <si>
    <t>VPS45</t>
  </si>
  <si>
    <t>PNO1</t>
  </si>
  <si>
    <t>PHPT1</t>
  </si>
  <si>
    <t>SERINC1</t>
  </si>
  <si>
    <t>INIP</t>
  </si>
  <si>
    <t>ARHGAP35</t>
  </si>
  <si>
    <t>FAM114A2</t>
  </si>
  <si>
    <t>PLSCR3</t>
  </si>
  <si>
    <t>AGPAT4</t>
  </si>
  <si>
    <t>AGPAT3</t>
  </si>
  <si>
    <t>HELLS</t>
  </si>
  <si>
    <t>TOMM22</t>
  </si>
  <si>
    <t>LANCL2</t>
  </si>
  <si>
    <t>KIF15</t>
  </si>
  <si>
    <t>RAD18</t>
  </si>
  <si>
    <t>TM7SF3</t>
  </si>
  <si>
    <t>CTNNBIP1</t>
  </si>
  <si>
    <t>HOMER2</t>
  </si>
  <si>
    <t>HOMER3</t>
  </si>
  <si>
    <t>FARSB</t>
  </si>
  <si>
    <t>IARS2</t>
  </si>
  <si>
    <t>C1orf112</t>
  </si>
  <si>
    <t>FAM207A</t>
  </si>
  <si>
    <t>SAMSN1</t>
  </si>
  <si>
    <t>KLC4</t>
  </si>
  <si>
    <t>TREX1</t>
  </si>
  <si>
    <t>BMP2K</t>
  </si>
  <si>
    <t>ATG3</t>
  </si>
  <si>
    <t>PDS5B</t>
  </si>
  <si>
    <t>SMC4</t>
  </si>
  <si>
    <t>SACM1L</t>
  </si>
  <si>
    <t>CUTC</t>
  </si>
  <si>
    <t>SLC35D1</t>
  </si>
  <si>
    <t>ECHDC1</t>
  </si>
  <si>
    <t>RNF146</t>
  </si>
  <si>
    <t>RBM12</t>
  </si>
  <si>
    <t>TBC1D22B</t>
  </si>
  <si>
    <t>MDN1</t>
  </si>
  <si>
    <t>LYRM2</t>
  </si>
  <si>
    <t>ACSS1</t>
  </si>
  <si>
    <t>ZCCHC3</t>
  </si>
  <si>
    <t>ZDHHC18</t>
  </si>
  <si>
    <t>PDRG1</t>
  </si>
  <si>
    <t>ABHD10</t>
  </si>
  <si>
    <t>C19orf66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</si>
  <si>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</si>
  <si>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</si>
  <si>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</si>
  <si>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</si>
  <si>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</si>
  <si>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</si>
  <si>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</si>
  <si>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</si>
  <si>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</si>
  <si>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</si>
  <si>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AP5S1</t>
  </si>
  <si>
    <t>DDX19A</t>
  </si>
  <si>
    <t>TDP1</t>
  </si>
  <si>
    <t>POT1</t>
  </si>
  <si>
    <t>DCAF13</t>
  </si>
  <si>
    <t>IMP3</t>
  </si>
  <si>
    <t>NUDT15</t>
  </si>
  <si>
    <t>MRGBP</t>
  </si>
  <si>
    <t>TYW1</t>
  </si>
  <si>
    <t>EXOC1</t>
  </si>
  <si>
    <t>INTS9</t>
  </si>
  <si>
    <t>TMEM30A</t>
  </si>
  <si>
    <t>UQCC</t>
  </si>
  <si>
    <t>TMEM184C</t>
  </si>
  <si>
    <t>SLC38A7</t>
  </si>
  <si>
    <t>MED17</t>
  </si>
  <si>
    <t>PANK4</t>
  </si>
  <si>
    <t>FBXO28</t>
  </si>
  <si>
    <t>TBC1D13</t>
  </si>
  <si>
    <t>DNAJC11</t>
  </si>
  <si>
    <t>INTS7</t>
  </si>
  <si>
    <t>TMLHE</t>
  </si>
  <si>
    <t>FANCI</t>
  </si>
  <si>
    <t>ATAD3A</t>
  </si>
  <si>
    <t>ARL8B</t>
  </si>
  <si>
    <t>FGFR1OP2</t>
  </si>
  <si>
    <t>PRMT7</t>
  </si>
  <si>
    <t>DNAJC17</t>
  </si>
  <si>
    <t>ASUN</t>
  </si>
  <si>
    <t>GNL3L</t>
  </si>
  <si>
    <t>DDX18</t>
  </si>
  <si>
    <t>ASF1B</t>
  </si>
  <si>
    <t>KLHL11</t>
  </si>
  <si>
    <t>INTS10</t>
  </si>
  <si>
    <t>DNAAF2</t>
  </si>
  <si>
    <t>PNPO</t>
  </si>
  <si>
    <t>ARMC1</t>
  </si>
  <si>
    <t>POLR3E</t>
  </si>
  <si>
    <t>SDAD1</t>
  </si>
  <si>
    <t>TMEM38B</t>
  </si>
  <si>
    <t>MTPAP</t>
  </si>
  <si>
    <t>HAUS2</t>
  </si>
  <si>
    <t>NLE1</t>
  </si>
  <si>
    <t>KBTBD4</t>
  </si>
  <si>
    <t>NECAP2</t>
  </si>
  <si>
    <t>POLR3B</t>
  </si>
  <si>
    <t>ANO10</t>
  </si>
  <si>
    <t>RBM22</t>
  </si>
  <si>
    <t>GPATCH2</t>
  </si>
  <si>
    <t>ATP5SL</t>
  </si>
  <si>
    <t>WDR70</t>
  </si>
  <si>
    <t>MED9</t>
  </si>
  <si>
    <t>ARGLU1</t>
  </si>
  <si>
    <t>TMEM248</t>
  </si>
  <si>
    <t>TMEM242</t>
  </si>
  <si>
    <t>SLTM</t>
  </si>
  <si>
    <t>ZNHIT6</t>
  </si>
  <si>
    <t>FKBP14</t>
  </si>
  <si>
    <t>PAG1</t>
  </si>
  <si>
    <t>C14orf119</t>
  </si>
  <si>
    <t>CCDC109B</t>
  </si>
  <si>
    <t>PIH1D1</t>
  </si>
  <si>
    <t>FAM118A</t>
  </si>
  <si>
    <t>RMND1</t>
  </si>
  <si>
    <t>PAK1IP1</t>
  </si>
  <si>
    <t>HIF1AN</t>
  </si>
  <si>
    <t>OXSM</t>
  </si>
  <si>
    <t>GID8</t>
  </si>
  <si>
    <t>C1orf123</t>
  </si>
  <si>
    <t>NMRK1</t>
  </si>
  <si>
    <t>THG1L</t>
  </si>
  <si>
    <t>C4orf27</t>
  </si>
  <si>
    <t>IRAK4</t>
  </si>
  <si>
    <t>UCKL1</t>
  </si>
  <si>
    <t>GEMIN8</t>
  </si>
  <si>
    <t>TMEM160</t>
  </si>
  <si>
    <t>TXNL4B</t>
  </si>
  <si>
    <t>C1orf109</t>
  </si>
  <si>
    <t>TRNAU1AP</t>
  </si>
  <si>
    <t>COMMD8</t>
  </si>
  <si>
    <t>NDUFB11</t>
  </si>
  <si>
    <t>NHP2</t>
  </si>
  <si>
    <t>FAM206A</t>
  </si>
  <si>
    <t>OCIAD1</t>
  </si>
  <si>
    <t>ADPRHL2</t>
  </si>
  <si>
    <t>MARCH5</t>
  </si>
  <si>
    <t>HYPK</t>
  </si>
  <si>
    <t>LYAR</t>
  </si>
  <si>
    <t>IMPAD1</t>
  </si>
  <si>
    <t>MED29</t>
  </si>
  <si>
    <t>DUS2L</t>
  </si>
  <si>
    <t>CMTM6</t>
  </si>
  <si>
    <t>SIRT5</t>
  </si>
  <si>
    <t>GFOD1</t>
  </si>
  <si>
    <t>MIOS</t>
  </si>
  <si>
    <t>CWC25</t>
  </si>
  <si>
    <t>DCAF16</t>
  </si>
  <si>
    <t>TRMT1</t>
  </si>
  <si>
    <t>FBXL12</t>
  </si>
  <si>
    <t>NDE1</t>
  </si>
  <si>
    <t>ANKRD10</t>
  </si>
  <si>
    <t>BRE</t>
  </si>
  <si>
    <t>QPCTL</t>
  </si>
  <si>
    <t>ARL15</t>
  </si>
  <si>
    <t>KCTD5</t>
  </si>
  <si>
    <t>CDKN2AIP</t>
  </si>
  <si>
    <t>ALKBH4</t>
  </si>
  <si>
    <t>NSMCE4A</t>
  </si>
  <si>
    <t>GAR1</t>
  </si>
  <si>
    <t>PPP4R2</t>
  </si>
  <si>
    <t>DDX56</t>
  </si>
  <si>
    <t>TERF2IP</t>
  </si>
  <si>
    <t>ZDHHC3</t>
  </si>
  <si>
    <t>UTP6</t>
  </si>
  <si>
    <t>COA4</t>
  </si>
  <si>
    <t>MRPL39</t>
  </si>
  <si>
    <t>MLTK</t>
  </si>
  <si>
    <t>TMOD3</t>
  </si>
  <si>
    <t>BET1L</t>
  </si>
  <si>
    <t>MIS18A</t>
  </si>
  <si>
    <t>NKIRAS1</t>
  </si>
  <si>
    <t>UGGT1</t>
  </si>
  <si>
    <t>CDK12</t>
  </si>
  <si>
    <t>FASTKD2</t>
  </si>
  <si>
    <t>GTSE1</t>
  </si>
  <si>
    <t>TECR</t>
  </si>
  <si>
    <t>ERAP1</t>
  </si>
  <si>
    <t>UBAP1</t>
  </si>
  <si>
    <t>ACTR10</t>
  </si>
  <si>
    <t>USE1</t>
  </si>
  <si>
    <t>CISD1</t>
  </si>
  <si>
    <t>GGA3</t>
  </si>
  <si>
    <t>C9orf78</t>
  </si>
  <si>
    <t>FAM120A</t>
  </si>
  <si>
    <t>MOCS1</t>
  </si>
  <si>
    <t>GDE1</t>
  </si>
  <si>
    <t>WWOX</t>
  </si>
  <si>
    <t>GLTP</t>
  </si>
  <si>
    <t>SPG21</t>
  </si>
  <si>
    <t>NINJ2</t>
  </si>
  <si>
    <t>UBP1</t>
  </si>
  <si>
    <t>IGF2BP1</t>
  </si>
  <si>
    <t>COQ3</t>
  </si>
  <si>
    <t>MTCH1</t>
  </si>
  <si>
    <t>NUDT4</t>
  </si>
  <si>
    <t>HSPBP1</t>
  </si>
  <si>
    <t>MAT2B</t>
  </si>
  <si>
    <t>ITSN2</t>
  </si>
  <si>
    <t>NCKIPSD</t>
  </si>
  <si>
    <t>OGFR</t>
  </si>
  <si>
    <t>MPP6</t>
  </si>
  <si>
    <t>CHMP5</t>
  </si>
  <si>
    <t>COMMD9</t>
  </si>
  <si>
    <t>CWC15</t>
  </si>
  <si>
    <t>THYN1</t>
  </si>
  <si>
    <t>CRIPT</t>
  </si>
  <si>
    <t>NDUFAF4</t>
  </si>
  <si>
    <t>PTPLAD1</t>
  </si>
  <si>
    <t>MED11</t>
  </si>
  <si>
    <t>CCDC167</t>
  </si>
  <si>
    <t>EMC3</t>
  </si>
  <si>
    <t>PDP1</t>
  </si>
  <si>
    <t>KCMF1</t>
  </si>
  <si>
    <t>VAPA</t>
  </si>
  <si>
    <t>TBC1D7</t>
  </si>
  <si>
    <t>RNF181</t>
  </si>
  <si>
    <t>GSKIP</t>
  </si>
  <si>
    <t>COX16</t>
  </si>
  <si>
    <t>ABRACL</t>
  </si>
  <si>
    <t>ZNRD1</t>
  </si>
  <si>
    <t>ACTR3B</t>
  </si>
  <si>
    <t>SIRPG</t>
  </si>
  <si>
    <t>CAMSAP3</t>
  </si>
  <si>
    <t>CCDC88C</t>
  </si>
  <si>
    <t>LRFN1</t>
  </si>
  <si>
    <t>VPS18</t>
  </si>
  <si>
    <t>RCC2</t>
  </si>
  <si>
    <t>KIAA1468</t>
  </si>
  <si>
    <t>DIP2B</t>
  </si>
  <si>
    <t>SLAIN2</t>
  </si>
  <si>
    <t>BCCIP</t>
  </si>
  <si>
    <t>ABI3</t>
  </si>
  <si>
    <t>CTTNBP2NL</t>
  </si>
  <si>
    <t>KIAA1430</t>
  </si>
  <si>
    <t>TMEM181</t>
  </si>
  <si>
    <t>CHD7</t>
  </si>
  <si>
    <t>HEATR5B</t>
  </si>
  <si>
    <t>ZNFX1</t>
  </si>
  <si>
    <t>RRBP1</t>
  </si>
  <si>
    <t>CPSF2</t>
  </si>
  <si>
    <t>LARS</t>
  </si>
  <si>
    <t>PDP2</t>
  </si>
  <si>
    <t>TXNDC16</t>
  </si>
  <si>
    <t>RCOR3</t>
  </si>
  <si>
    <t>MYEF2</t>
  </si>
  <si>
    <t>EIF2AK4</t>
  </si>
  <si>
    <t>CGN</t>
  </si>
  <si>
    <t>RBM27</t>
  </si>
  <si>
    <t>KANSL3</t>
  </si>
  <si>
    <t>KLHL13</t>
  </si>
  <si>
    <t>ANKFY1</t>
  </si>
  <si>
    <t>RERE</t>
  </si>
  <si>
    <t>PSMC3IP</t>
  </si>
  <si>
    <t>DPM3</t>
  </si>
  <si>
    <t>ZNF219</t>
  </si>
  <si>
    <t>UVRAG</t>
  </si>
  <si>
    <t>ATXN10</t>
  </si>
  <si>
    <t>MBD2</t>
  </si>
  <si>
    <t>NCDN</t>
  </si>
  <si>
    <t>TFIP11</t>
  </si>
  <si>
    <t>DNMT3B</t>
  </si>
  <si>
    <t>ORC3</t>
  </si>
  <si>
    <t>CLN3</t>
  </si>
  <si>
    <t>SAE1</t>
  </si>
  <si>
    <t>COPG2</t>
  </si>
  <si>
    <t>RNF7</t>
  </si>
  <si>
    <t>PI4KB</t>
  </si>
  <si>
    <t>MRC2</t>
  </si>
  <si>
    <t>MTRR</t>
  </si>
  <si>
    <t>UXT</t>
  </si>
  <si>
    <t>ARPP21</t>
  </si>
  <si>
    <t>ASH2L</t>
  </si>
  <si>
    <t>DHCR7</t>
  </si>
  <si>
    <t>SPAST</t>
  </si>
  <si>
    <t>METTL1</t>
  </si>
  <si>
    <t>VPS29</t>
  </si>
  <si>
    <t>GRHPR</t>
  </si>
  <si>
    <t>RPS6KB2</t>
  </si>
  <si>
    <t>RNF14</t>
  </si>
  <si>
    <t>UBA2</t>
  </si>
  <si>
    <t>NXF1</t>
  </si>
  <si>
    <t>SEL1L</t>
  </si>
  <si>
    <t>B4GALT7</t>
  </si>
  <si>
    <t>PEF1</t>
  </si>
  <si>
    <t>BIN2</t>
  </si>
  <si>
    <t>ZMYM2</t>
  </si>
  <si>
    <t>COPS7A</t>
  </si>
  <si>
    <t>AASS</t>
  </si>
  <si>
    <t>CLIP2</t>
  </si>
  <si>
    <t>UQCR10</t>
  </si>
  <si>
    <t>MTFP1</t>
  </si>
  <si>
    <t>TJP2</t>
  </si>
  <si>
    <t>DNAJB4</t>
  </si>
  <si>
    <t>MALT1</t>
  </si>
  <si>
    <t>STK17A</t>
  </si>
  <si>
    <t>CFDP1</t>
  </si>
  <si>
    <t>DAXX</t>
  </si>
  <si>
    <t>FTSJ1</t>
  </si>
  <si>
    <t>VTI1B</t>
  </si>
  <si>
    <t>STK39</t>
  </si>
  <si>
    <t>ADD3</t>
  </si>
  <si>
    <t>LRWD1</t>
  </si>
  <si>
    <t>NIPSNAP3A</t>
  </si>
  <si>
    <t>CGGBP1</t>
  </si>
  <si>
    <t>ABCF2</t>
  </si>
  <si>
    <t>TUBGCP4</t>
  </si>
  <si>
    <t>SERGEF</t>
  </si>
  <si>
    <t>CHRNA9</t>
  </si>
  <si>
    <t>WARS2</t>
  </si>
  <si>
    <t>LIMD1</t>
  </si>
  <si>
    <t>SEC63</t>
  </si>
  <si>
    <t>CACFD1</t>
  </si>
  <si>
    <t>SLC2A6</t>
  </si>
  <si>
    <t>ZC3H7B</t>
  </si>
  <si>
    <t>TCF20</t>
  </si>
  <si>
    <t>NDRG3</t>
  </si>
  <si>
    <t>SEPT3</t>
  </si>
  <si>
    <t>ARMCX3</t>
  </si>
  <si>
    <t>SWAP70</t>
  </si>
  <si>
    <t>SUN2</t>
  </si>
  <si>
    <t>SS18L2</t>
  </si>
  <si>
    <t>LAMTOR3</t>
  </si>
  <si>
    <t>LIMA1</t>
  </si>
  <si>
    <t>AFF4</t>
  </si>
  <si>
    <t>SRP68</t>
  </si>
  <si>
    <t>MKRN1</t>
  </si>
  <si>
    <t>CHORDC1</t>
  </si>
  <si>
    <t>TBK1</t>
  </si>
  <si>
    <t>SEPT9</t>
  </si>
  <si>
    <t>UBQLN2</t>
  </si>
  <si>
    <t>STEAP1</t>
  </si>
  <si>
    <t>PCYOX1</t>
  </si>
  <si>
    <t>DDX20</t>
  </si>
  <si>
    <t>SHPK</t>
  </si>
  <si>
    <t>DPP7</t>
  </si>
  <si>
    <t>POLG2</t>
  </si>
  <si>
    <t>TMEM2</t>
  </si>
  <si>
    <t>NARF</t>
  </si>
  <si>
    <t>BCAP29</t>
  </si>
  <si>
    <t>CYB5R1</t>
  </si>
  <si>
    <t>ZNHIT2</t>
  </si>
  <si>
    <t>PFDN2</t>
  </si>
  <si>
    <t>GPN3</t>
  </si>
  <si>
    <t>PUF60</t>
  </si>
  <si>
    <t>NRBP1</t>
  </si>
  <si>
    <t>ENOPH1</t>
  </si>
  <si>
    <t>EVL</t>
  </si>
  <si>
    <t>NDUFA12</t>
  </si>
  <si>
    <t>EIF2B4</t>
  </si>
  <si>
    <t>ATP6V1H</t>
  </si>
  <si>
    <t>IPO11</t>
  </si>
  <si>
    <t>TRMT112</t>
  </si>
  <si>
    <t>FTSJ2</t>
  </si>
  <si>
    <t>CD84</t>
  </si>
  <si>
    <t>LCMT1</t>
  </si>
  <si>
    <t>VPS51</t>
  </si>
  <si>
    <t>BAZ1B</t>
  </si>
  <si>
    <t>ATPIF1</t>
  </si>
  <si>
    <t>AK3</t>
  </si>
  <si>
    <t>SCOC</t>
  </si>
  <si>
    <t>FKBPL</t>
  </si>
  <si>
    <t>LNPEP</t>
  </si>
  <si>
    <t>CNOT7</t>
  </si>
  <si>
    <t>GGT7</t>
  </si>
  <si>
    <t>MSRA</t>
  </si>
  <si>
    <t>NAGK</t>
  </si>
  <si>
    <t>TRMT6</t>
  </si>
  <si>
    <t>MOSPD1</t>
  </si>
  <si>
    <t>TSR3</t>
  </si>
  <si>
    <t>SLC25A13</t>
  </si>
  <si>
    <t>TUBE1</t>
  </si>
  <si>
    <t>LEF1</t>
  </si>
  <si>
    <t>DBNL</t>
  </si>
  <si>
    <t>DCTN4</t>
  </si>
  <si>
    <t>CDC23</t>
  </si>
  <si>
    <t>ANAPC7</t>
  </si>
  <si>
    <t>ANAPC4</t>
  </si>
  <si>
    <t>ANAPC2</t>
  </si>
  <si>
    <t>GGA2</t>
  </si>
  <si>
    <t>GGA1</t>
  </si>
  <si>
    <t>STOML2</t>
  </si>
  <si>
    <t>NAGPA</t>
  </si>
  <si>
    <t>VPS28</t>
  </si>
  <si>
    <t>LSM7</t>
  </si>
  <si>
    <t>DBR1</t>
  </si>
  <si>
    <t>HN1</t>
  </si>
  <si>
    <t>MRTO4</t>
  </si>
  <si>
    <t>CPSF3</t>
  </si>
  <si>
    <t>APPL1</t>
  </si>
  <si>
    <t>TLK1</t>
  </si>
  <si>
    <t>PILRA</t>
  </si>
  <si>
    <t>GPATCH8</t>
  </si>
  <si>
    <t>NXT1</t>
  </si>
  <si>
    <t>PCTP</t>
  </si>
  <si>
    <t>MAN1B1</t>
  </si>
  <si>
    <t>RALY</t>
  </si>
  <si>
    <t>GTF3C4</t>
  </si>
  <si>
    <t>C14orf1</t>
  </si>
  <si>
    <t>PACSIN3</t>
  </si>
  <si>
    <t>FBXO5</t>
  </si>
  <si>
    <t>FBXO4</t>
  </si>
  <si>
    <t>ACAD8</t>
  </si>
  <si>
    <t>AMFR</t>
  </si>
  <si>
    <t>AGO2</t>
  </si>
  <si>
    <t>VAV3</t>
  </si>
  <si>
    <t>NUP50</t>
  </si>
  <si>
    <t>ZHX1</t>
  </si>
  <si>
    <t>CDV3</t>
  </si>
  <si>
    <t>CNOT11</t>
  </si>
  <si>
    <t>BAG5</t>
  </si>
  <si>
    <t>AGO1</t>
  </si>
  <si>
    <t>RAB21</t>
  </si>
  <si>
    <t>RAB22A</t>
  </si>
  <si>
    <t>PNMA2</t>
  </si>
  <si>
    <t>PSME2</t>
  </si>
  <si>
    <t>MKLN1</t>
  </si>
  <si>
    <t>RAB23</t>
  </si>
  <si>
    <t>MCTS1</t>
  </si>
  <si>
    <t>MTUS1</t>
  </si>
  <si>
    <t>PALD1</t>
  </si>
  <si>
    <t>SLC39A10</t>
  </si>
  <si>
    <t>KIDINS220</t>
  </si>
  <si>
    <t>MKL2</t>
  </si>
  <si>
    <t>HEG1</t>
  </si>
  <si>
    <t>ZBTB21</t>
  </si>
  <si>
    <t>ZMIZ1</t>
  </si>
  <si>
    <t>PRR12</t>
  </si>
  <si>
    <t>TBC1D24</t>
  </si>
  <si>
    <t>ISY1</t>
  </si>
  <si>
    <t>PPM1H</t>
  </si>
  <si>
    <t>HECTD1</t>
  </si>
  <si>
    <t>CORO1C</t>
  </si>
  <si>
    <t>TPX2</t>
  </si>
  <si>
    <t>NOB1</t>
  </si>
  <si>
    <t>AKAP8L</t>
  </si>
  <si>
    <t>MAFF</t>
  </si>
  <si>
    <t>ANAPC10</t>
  </si>
  <si>
    <t>MGAT4A</t>
  </si>
  <si>
    <t>NOTCH3</t>
  </si>
  <si>
    <t>NFU1</t>
  </si>
  <si>
    <t>PRPF19</t>
  </si>
  <si>
    <t>SUFU</t>
  </si>
  <si>
    <t>NENF</t>
  </si>
  <si>
    <t>NOL7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</si>
  <si>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</si>
  <si>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</si>
  <si>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</si>
  <si>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</si>
  <si>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</si>
  <si>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</si>
  <si>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</si>
  <si>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</si>
  <si>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</si>
  <si>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</si>
  <si>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</si>
  <si>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</si>
  <si>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</si>
  <si>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</si>
  <si>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PPIE</t>
  </si>
  <si>
    <t>DIMT1</t>
  </si>
  <si>
    <t>TIMELESS</t>
  </si>
  <si>
    <t>COPS3</t>
  </si>
  <si>
    <t>RABL2B</t>
  </si>
  <si>
    <t>MINPP1</t>
  </si>
  <si>
    <t>RPL26L1</t>
  </si>
  <si>
    <t>WDR3</t>
  </si>
  <si>
    <t>TTF2</t>
  </si>
  <si>
    <t>NSFL1C</t>
  </si>
  <si>
    <t>C19orf53</t>
  </si>
  <si>
    <t>COG5</t>
  </si>
  <si>
    <t>SLC12A4</t>
  </si>
  <si>
    <t>SCAF8</t>
  </si>
  <si>
    <t>PPP6R1</t>
  </si>
  <si>
    <t>TRIM33</t>
  </si>
  <si>
    <t>TNRC6B</t>
  </si>
  <si>
    <t>PLCL2</t>
  </si>
  <si>
    <t>EXOC7</t>
  </si>
  <si>
    <t>USP22</t>
  </si>
  <si>
    <t>USP24</t>
  </si>
  <si>
    <t>AGTPBP1</t>
  </si>
  <si>
    <t>HPS5</t>
  </si>
  <si>
    <t>CORO2B</t>
  </si>
  <si>
    <t>SHOC2</t>
  </si>
  <si>
    <t>SRRM2</t>
  </si>
  <si>
    <t>PA2G4</t>
  </si>
  <si>
    <t>SPG7</t>
  </si>
  <si>
    <t>SMC3</t>
  </si>
  <si>
    <t>CHMP2B</t>
  </si>
  <si>
    <t>TNN</t>
  </si>
  <si>
    <t>SCML2</t>
  </si>
  <si>
    <t>ZNF148</t>
  </si>
  <si>
    <t>MTMR6</t>
  </si>
  <si>
    <t>JAG2</t>
  </si>
  <si>
    <t>NIP7</t>
  </si>
  <si>
    <t>GNE</t>
  </si>
  <si>
    <t>C14orf166</t>
  </si>
  <si>
    <t>RUVBL2</t>
  </si>
  <si>
    <t>CDYL</t>
  </si>
  <si>
    <t>PIN4</t>
  </si>
  <si>
    <t>POMP</t>
  </si>
  <si>
    <t>GINS2</t>
  </si>
  <si>
    <t>LZTS1</t>
  </si>
  <si>
    <t>CHKB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</si>
  <si>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</si>
  <si>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</si>
  <si>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</si>
  <si>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</si>
  <si>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</si>
  <si>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</si>
  <si>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</si>
  <si>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</si>
  <si>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</si>
  <si>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TRAPPC4</t>
  </si>
  <si>
    <t>NCKAP1</t>
  </si>
  <si>
    <t>CNPY2</t>
  </si>
  <si>
    <t>UST</t>
  </si>
  <si>
    <t>EXOG</t>
  </si>
  <si>
    <t>EXOC6B</t>
  </si>
  <si>
    <t>AKAP2</t>
  </si>
  <si>
    <t>CARD8</t>
  </si>
  <si>
    <t>ATP11B</t>
  </si>
  <si>
    <t>POFUT2</t>
  </si>
  <si>
    <t>DLGAP4</t>
  </si>
  <si>
    <t>STK38L</t>
  </si>
  <si>
    <t>INPP5F</t>
  </si>
  <si>
    <t>FNDC3A</t>
  </si>
  <si>
    <t>NISCH</t>
  </si>
  <si>
    <t>PIKFYVE</t>
  </si>
  <si>
    <t>WDR37</t>
  </si>
  <si>
    <t>ZBTB1</t>
  </si>
  <si>
    <t>USP20</t>
  </si>
  <si>
    <t>KDM2A</t>
  </si>
  <si>
    <t>DIS3</t>
  </si>
  <si>
    <t>LRCH1</t>
  </si>
  <si>
    <t>RCL1</t>
  </si>
  <si>
    <t>ATP8A1</t>
  </si>
  <si>
    <t>GSTK1</t>
  </si>
  <si>
    <t>LAMTOR2</t>
  </si>
  <si>
    <t>MRPS28</t>
  </si>
  <si>
    <t>COA3</t>
  </si>
  <si>
    <t>DDX52</t>
  </si>
  <si>
    <t>POLR1D</t>
  </si>
  <si>
    <t>CRYL1</t>
  </si>
  <si>
    <t>TMA7</t>
  </si>
  <si>
    <t>POLDIP2</t>
  </si>
  <si>
    <t>AP3M1</t>
  </si>
  <si>
    <t>YBX2</t>
  </si>
  <si>
    <t>MAP3K2</t>
  </si>
  <si>
    <t>LEMD3</t>
  </si>
  <si>
    <t>CARHSP1</t>
  </si>
  <si>
    <t>COG6</t>
  </si>
  <si>
    <t>THRAP3</t>
  </si>
  <si>
    <t>MED16</t>
  </si>
  <si>
    <t>NOP58</t>
  </si>
  <si>
    <t>GIT1</t>
  </si>
  <si>
    <t>POLR3K</t>
  </si>
  <si>
    <t>KLF13</t>
  </si>
  <si>
    <t>SUGT1</t>
  </si>
  <si>
    <t>YARS2</t>
  </si>
  <si>
    <t>COQ6</t>
  </si>
  <si>
    <t>AMDHD2</t>
  </si>
  <si>
    <t>NOSIP</t>
  </si>
  <si>
    <t>DERA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</si>
  <si>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</si>
  <si>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</si>
  <si>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</si>
  <si>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</si>
  <si>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</si>
  <si>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</si>
  <si>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</si>
  <si>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</si>
  <si>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</si>
  <si>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</si>
  <si>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</si>
  <si>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MOB4</t>
  </si>
  <si>
    <t>RRP7A</t>
  </si>
  <si>
    <t>SBDS</t>
  </si>
  <si>
    <t>TMED5</t>
  </si>
  <si>
    <t>TMED7</t>
  </si>
  <si>
    <t>SF3B14</t>
  </si>
  <si>
    <t>MRPL11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</si>
  <si>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</si>
  <si>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</si>
  <si>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</si>
  <si>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</si>
  <si>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</si>
  <si>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</si>
  <si>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</si>
  <si>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</si>
  <si>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MRPS18C</t>
  </si>
  <si>
    <t>FIS1</t>
  </si>
  <si>
    <t>MRPS23</t>
  </si>
  <si>
    <t>HDGFRP3</t>
  </si>
  <si>
    <t>BOLA1</t>
  </si>
  <si>
    <t>CHMP3</t>
  </si>
  <si>
    <t>STRAP</t>
  </si>
  <si>
    <t>C22orf28</t>
  </si>
  <si>
    <t>FBXO7</t>
  </si>
  <si>
    <t>RAP2C</t>
  </si>
  <si>
    <t>SIT1</t>
  </si>
  <si>
    <t>RABGAP1</t>
  </si>
  <si>
    <t>TMED3</t>
  </si>
  <si>
    <t>TSC22D4</t>
  </si>
  <si>
    <t>ZNF330</t>
  </si>
  <si>
    <t>NOC2L</t>
  </si>
  <si>
    <t>RPL36</t>
  </si>
  <si>
    <t>RWDD3</t>
  </si>
  <si>
    <t>CCDC9</t>
  </si>
  <si>
    <t>CHTOP</t>
  </si>
  <si>
    <t>FAM32A</t>
  </si>
  <si>
    <t>KNSTRN</t>
  </si>
  <si>
    <t>HBS1L</t>
  </si>
  <si>
    <t>PRKAB1</t>
  </si>
  <si>
    <t>ATP6V0A2</t>
  </si>
  <si>
    <t>TLN1</t>
  </si>
  <si>
    <t>RAD54L2</t>
  </si>
  <si>
    <t>VPRBP</t>
  </si>
  <si>
    <t>KDM3A</t>
  </si>
  <si>
    <t>FAM115A</t>
  </si>
  <si>
    <t>RBM19</t>
  </si>
  <si>
    <t>DAAM1</t>
  </si>
  <si>
    <t>PLXND1</t>
  </si>
  <si>
    <t>FAM21C</t>
  </si>
  <si>
    <t>WDR7</t>
  </si>
  <si>
    <t>TLN2</t>
  </si>
  <si>
    <t>AIM1</t>
  </si>
  <si>
    <t>TRAF6</t>
  </si>
  <si>
    <t>MAP4K5</t>
  </si>
  <si>
    <t>HYOU1</t>
  </si>
  <si>
    <t>ATG4B</t>
  </si>
  <si>
    <t>WIPI2</t>
  </si>
  <si>
    <t>TELO2</t>
  </si>
  <si>
    <t>AFG3L2</t>
  </si>
  <si>
    <t>KLF12</t>
  </si>
  <si>
    <t>ARIH1</t>
  </si>
  <si>
    <t>LSM4</t>
  </si>
  <si>
    <t>RNF114</t>
  </si>
  <si>
    <t>SAMM50</t>
  </si>
  <si>
    <t>PRRC2C</t>
  </si>
  <si>
    <t>HSPB11</t>
  </si>
  <si>
    <t>PPME1</t>
  </si>
  <si>
    <t>TIMM22</t>
  </si>
  <si>
    <t>YTHDF2</t>
  </si>
  <si>
    <t>CTDP1</t>
  </si>
  <si>
    <t>PAXBP1</t>
  </si>
  <si>
    <t>NME7</t>
  </si>
  <si>
    <t>SUPT16H</t>
  </si>
  <si>
    <t>UTP18</t>
  </si>
  <si>
    <t>TIMM10B</t>
  </si>
  <si>
    <t>TIMM9</t>
  </si>
  <si>
    <t>UCHL5</t>
  </si>
  <si>
    <t>CD2AP</t>
  </si>
  <si>
    <t>ATP6V1D</t>
  </si>
  <si>
    <t>TIMM13</t>
  </si>
  <si>
    <t>SRPRB</t>
  </si>
  <si>
    <t>N6AMT1</t>
  </si>
  <si>
    <t>ORC6</t>
  </si>
  <si>
    <t>COL4A3BP</t>
  </si>
  <si>
    <t>GMPPB</t>
  </si>
  <si>
    <t>GTF3C3</t>
  </si>
  <si>
    <t>TRAPPC1</t>
  </si>
  <si>
    <t>TRPV2</t>
  </si>
  <si>
    <t>RBM8A</t>
  </si>
  <si>
    <t>DNAJC15</t>
  </si>
  <si>
    <t>USP16</t>
  </si>
  <si>
    <t>TSSC4</t>
  </si>
  <si>
    <t>IER3IP1</t>
  </si>
  <si>
    <t>ZNF706</t>
  </si>
  <si>
    <t>MAGED1</t>
  </si>
  <si>
    <t>SNX9</t>
  </si>
  <si>
    <t>SNX8</t>
  </si>
  <si>
    <t>SNX5</t>
  </si>
  <si>
    <t>FLVCR1</t>
  </si>
  <si>
    <t>NUBP2</t>
  </si>
  <si>
    <t>HEBP2</t>
  </si>
  <si>
    <t>HCFC2</t>
  </si>
  <si>
    <t>UBIAD1</t>
  </si>
  <si>
    <t>MRFAP1</t>
  </si>
  <si>
    <t>LRRFIP2</t>
  </si>
  <si>
    <t>PSAT1</t>
  </si>
  <si>
    <t>SLC25A15</t>
  </si>
  <si>
    <t>NPTN</t>
  </si>
  <si>
    <t>SPIN1</t>
  </si>
  <si>
    <t>KPTN</t>
  </si>
  <si>
    <t>SLC12A7</t>
  </si>
  <si>
    <t>ALG5</t>
  </si>
  <si>
    <t>MRPS18B</t>
  </si>
  <si>
    <t>COPG1</t>
  </si>
  <si>
    <t>AUP1</t>
  </si>
  <si>
    <t>FKBP7</t>
  </si>
  <si>
    <t>ARL5A</t>
  </si>
  <si>
    <t>GMEB1</t>
  </si>
  <si>
    <t>CLIC4</t>
  </si>
  <si>
    <t>NFS1</t>
  </si>
  <si>
    <t>C16orf80</t>
  </si>
  <si>
    <t>TACC3</t>
  </si>
  <si>
    <t>SAR1B</t>
  </si>
  <si>
    <t>AP4B1</t>
  </si>
  <si>
    <t>ARFGEF1</t>
  </si>
  <si>
    <t>MAD1L1</t>
  </si>
  <si>
    <t>STK24</t>
  </si>
  <si>
    <t>DYNC1LI1</t>
  </si>
  <si>
    <t>CHCHD2</t>
  </si>
  <si>
    <t>XRCC6BP1</t>
  </si>
  <si>
    <t>EPN1</t>
  </si>
  <si>
    <t>TEX264</t>
  </si>
  <si>
    <t>DNMT3A</t>
  </si>
  <si>
    <t>OAS3</t>
  </si>
  <si>
    <t>CSNK1G3</t>
  </si>
  <si>
    <t>SLC30A1</t>
  </si>
  <si>
    <t>NDUFB9</t>
  </si>
  <si>
    <t>COX11</t>
  </si>
  <si>
    <t>SQRDL</t>
  </si>
  <si>
    <t>USH1C</t>
  </si>
  <si>
    <t>SESN1</t>
  </si>
  <si>
    <t>NCOA3</t>
  </si>
  <si>
    <t>DDX49</t>
  </si>
  <si>
    <t>CAPN7</t>
  </si>
  <si>
    <t>WASF2</t>
  </si>
  <si>
    <t>FAM169A</t>
  </si>
  <si>
    <t>ENPP4</t>
  </si>
  <si>
    <t>ZHX2</t>
  </si>
  <si>
    <t>MORC2</t>
  </si>
  <si>
    <t>IVNS1ABP</t>
  </si>
  <si>
    <t>PSMD8</t>
  </si>
  <si>
    <t>H6PD</t>
  </si>
  <si>
    <t>BMI1</t>
  </si>
  <si>
    <t>RANBP10</t>
  </si>
  <si>
    <t>YTHDF3</t>
  </si>
  <si>
    <t>DENND4C</t>
  </si>
  <si>
    <t>PSMC3</t>
  </si>
  <si>
    <t>TMEM219</t>
  </si>
  <si>
    <t>A0AVT1</t>
  </si>
  <si>
    <t>A0JNW5</t>
  </si>
  <si>
    <t>A0MZ66-4</t>
  </si>
  <si>
    <t>A0PJW6</t>
  </si>
  <si>
    <t>A1L0T0</t>
  </si>
  <si>
    <t>A1L188</t>
  </si>
  <si>
    <t>A1L3A6</t>
  </si>
  <si>
    <t>A1X283</t>
  </si>
  <si>
    <t>A2A274</t>
  </si>
  <si>
    <t>A2A2G4</t>
  </si>
  <si>
    <t>A2A2V1</t>
  </si>
  <si>
    <t>A2A3N6</t>
  </si>
  <si>
    <t>A2ABK1</t>
  </si>
  <si>
    <t>A2RRP1</t>
  </si>
  <si>
    <t>A2RU67</t>
  </si>
  <si>
    <t>A2VDF0-2</t>
  </si>
  <si>
    <t>A3KMH1-3</t>
  </si>
  <si>
    <t>A3KN83-3</t>
  </si>
  <si>
    <t>A4D161-2</t>
  </si>
  <si>
    <t>A4D1E9</t>
  </si>
  <si>
    <t>A4D1U4</t>
  </si>
  <si>
    <t>A4D1W8</t>
  </si>
  <si>
    <t>A4D2B0</t>
  </si>
  <si>
    <t>A5PLL7</t>
  </si>
  <si>
    <t>A5PLN9-7</t>
  </si>
  <si>
    <t>A5YKK6</t>
  </si>
  <si>
    <t>A6NC98</t>
  </si>
  <si>
    <t>A6NDG6</t>
  </si>
  <si>
    <t>A6NED2</t>
  </si>
  <si>
    <t>A6NEM2</t>
  </si>
  <si>
    <t>A6NEM5</t>
  </si>
  <si>
    <t>A6NF48</t>
  </si>
  <si>
    <t>A6NFI3</t>
  </si>
  <si>
    <t>A6NFX8</t>
  </si>
  <si>
    <t>A6NG32</t>
  </si>
  <si>
    <t>A6NG79</t>
  </si>
  <si>
    <t>A6NGP5</t>
  </si>
  <si>
    <t>A6NHB5</t>
  </si>
  <si>
    <t>A6NHL2-2</t>
  </si>
  <si>
    <t>A6NHQ2</t>
  </si>
  <si>
    <t>A6NHR9</t>
  </si>
  <si>
    <t>A6NHX0</t>
  </si>
  <si>
    <t>A6NIH7</t>
  </si>
  <si>
    <t>A6NIW2</t>
  </si>
  <si>
    <t>A6NIZ0</t>
  </si>
  <si>
    <t>A6NJ78</t>
  </si>
  <si>
    <t>A6NK58</t>
  </si>
  <si>
    <t>A6NKD9</t>
  </si>
  <si>
    <t>A6NKF9</t>
  </si>
  <si>
    <t>A6NLH6</t>
  </si>
  <si>
    <t>A6NMH6</t>
  </si>
  <si>
    <t>A6NML8</t>
  </si>
  <si>
    <t>A6NMN0</t>
  </si>
  <si>
    <t>A6NMQ1</t>
  </si>
  <si>
    <t>A6NN80</t>
  </si>
  <si>
    <t>A6PVN5</t>
  </si>
  <si>
    <t>A6QL63</t>
  </si>
  <si>
    <t>A8K0B5</t>
  </si>
  <si>
    <t>A8K0M9</t>
  </si>
  <si>
    <t>A8K186</t>
  </si>
  <si>
    <t>A8MPS7</t>
  </si>
  <si>
    <t>A8MQ02</t>
  </si>
  <si>
    <t>A8MQ14</t>
  </si>
  <si>
    <t>A8MT02</t>
  </si>
  <si>
    <t>A8MTG8</t>
  </si>
  <si>
    <t>A8MTY9</t>
  </si>
  <si>
    <t>A8MTZ6</t>
  </si>
  <si>
    <t>A8MUA9</t>
  </si>
  <si>
    <t>A8MUB1</t>
  </si>
  <si>
    <t>A8MUM1</t>
  </si>
  <si>
    <t>A8MV73</t>
  </si>
  <si>
    <t>A8MVW0</t>
  </si>
  <si>
    <t>A8MVZ6</t>
  </si>
  <si>
    <t>A8MW61</t>
  </si>
  <si>
    <t>A8MXP9</t>
  </si>
  <si>
    <t>A8MYN5</t>
  </si>
  <si>
    <t>A8MZ84</t>
  </si>
  <si>
    <t>A9UHW6</t>
  </si>
  <si>
    <t>A9Z1X7</t>
  </si>
  <si>
    <t>B0AZU2</t>
  </si>
  <si>
    <t>B0FLL2</t>
  </si>
  <si>
    <t>B0I1T2</t>
  </si>
  <si>
    <t>B0QY89</t>
  </si>
  <si>
    <t>B0QY95</t>
  </si>
  <si>
    <t>B0QYI3</t>
  </si>
  <si>
    <t>B0QYK0</t>
  </si>
  <si>
    <t>B0UX83</t>
  </si>
  <si>
    <t>B0UXB6</t>
  </si>
  <si>
    <t>B0UZY3</t>
  </si>
  <si>
    <t>B0V043</t>
  </si>
  <si>
    <t>B0YIW2</t>
  </si>
  <si>
    <t>B1AHD1</t>
  </si>
  <si>
    <t>B1AHQ6</t>
  </si>
  <si>
    <t>B1AJU2</t>
  </si>
  <si>
    <t>B1AJY7</t>
  </si>
  <si>
    <t>B1AK13</t>
  </si>
  <si>
    <t>B1AK44</t>
  </si>
  <si>
    <t>B1AKC9</t>
  </si>
  <si>
    <t>B1AKJ5</t>
  </si>
  <si>
    <t>B1AKJ6</t>
  </si>
  <si>
    <t>B1AKL4</t>
  </si>
  <si>
    <t>B1AKN7</t>
  </si>
  <si>
    <t>B1AKR6</t>
  </si>
  <si>
    <t>B1AKZ5</t>
  </si>
  <si>
    <t>B1AL69</t>
  </si>
  <si>
    <t>B1ALK7</t>
  </si>
  <si>
    <t>B1ALM5</t>
  </si>
  <si>
    <t>B1AMF0</t>
  </si>
  <si>
    <t>B1AMS2</t>
  </si>
  <si>
    <t>B1AMU7</t>
  </si>
  <si>
    <t>B1AMW1</t>
  </si>
  <si>
    <t>B1AN89</t>
  </si>
  <si>
    <t>B1AN99</t>
  </si>
  <si>
    <t>B1ANH0</t>
  </si>
  <si>
    <t>B1AQP1</t>
  </si>
  <si>
    <t>B1AZV3</t>
  </si>
  <si>
    <t>B2WTI3</t>
  </si>
  <si>
    <t>B3FL70</t>
  </si>
  <si>
    <t>B3KPJ4</t>
  </si>
  <si>
    <t>B3KRR0</t>
  </si>
  <si>
    <t>B3KS98</t>
  </si>
  <si>
    <t>B3KSH1</t>
  </si>
  <si>
    <t>B3KSI9</t>
  </si>
  <si>
    <t>B3KUK2</t>
  </si>
  <si>
    <t>B3KVH8</t>
  </si>
  <si>
    <t>B3KXW5</t>
  </si>
  <si>
    <t>B3KY83</t>
  </si>
  <si>
    <t>B3KY94</t>
  </si>
  <si>
    <t>B4DDF4</t>
  </si>
  <si>
    <t>B4DDY8</t>
  </si>
  <si>
    <t>B4DE60</t>
  </si>
  <si>
    <t>B4DEB8</t>
  </si>
  <si>
    <t>B4DEX5</t>
  </si>
  <si>
    <t>B4DEZ3</t>
  </si>
  <si>
    <t>B4DF47</t>
  </si>
  <si>
    <t>B4DF64</t>
  </si>
  <si>
    <t>B4DFI9</t>
  </si>
  <si>
    <t>B4DGU4</t>
  </si>
  <si>
    <t>B4DGX2</t>
  </si>
  <si>
    <t>B4DH26</t>
  </si>
  <si>
    <t>B4DH53</t>
  </si>
  <si>
    <t>B4DH70</t>
  </si>
  <si>
    <t>B4DHJ7</t>
  </si>
  <si>
    <t>B4DHL3</t>
  </si>
  <si>
    <t>B4DHT5</t>
  </si>
  <si>
    <t>B4DIG7</t>
  </si>
  <si>
    <t>B4DJA5</t>
  </si>
  <si>
    <t>B4DJI5</t>
  </si>
  <si>
    <t>B4DJN5</t>
  </si>
  <si>
    <t>B4DJP7</t>
  </si>
  <si>
    <t>B4DJV2</t>
  </si>
  <si>
    <t>B4DKF9</t>
  </si>
  <si>
    <t>B4DL05</t>
  </si>
  <si>
    <t>B4DL54</t>
  </si>
  <si>
    <t>B4DLN1</t>
  </si>
  <si>
    <t>B4DLT4</t>
  </si>
  <si>
    <t>B4DLU3</t>
  </si>
  <si>
    <t>B4DLZ9</t>
  </si>
  <si>
    <t>B4DN34</t>
  </si>
  <si>
    <t>B4DNC9</t>
  </si>
  <si>
    <t>B4DNW0</t>
  </si>
  <si>
    <t>B4DP21</t>
  </si>
  <si>
    <t>B4DPY8</t>
  </si>
  <si>
    <t>B4DQI6</t>
  </si>
  <si>
    <t>B4DQJ8</t>
  </si>
  <si>
    <t>B4DR12</t>
  </si>
  <si>
    <t>B4DR61</t>
  </si>
  <si>
    <t>B4DRL9</t>
  </si>
  <si>
    <t>B4DS52</t>
  </si>
  <si>
    <t>B4DSD4</t>
  </si>
  <si>
    <t>B4DSS8</t>
  </si>
  <si>
    <t>B4DT77</t>
  </si>
  <si>
    <t>B4DTZ6</t>
  </si>
  <si>
    <t>B4DUE9</t>
  </si>
  <si>
    <t>B4DVB0</t>
  </si>
  <si>
    <t>B4DVE7</t>
  </si>
  <si>
    <t>B4DVY1</t>
  </si>
  <si>
    <t>B4DWF2</t>
  </si>
  <si>
    <t>B4DWI1</t>
  </si>
  <si>
    <t>B4DXZ6</t>
  </si>
  <si>
    <t>B4DYB4</t>
  </si>
  <si>
    <t>B4DZH6</t>
  </si>
  <si>
    <t>B4E0E3</t>
  </si>
  <si>
    <t>B4E0T2</t>
  </si>
  <si>
    <t>B4E0T7</t>
  </si>
  <si>
    <t>B4E0Y9</t>
  </si>
  <si>
    <t>B4E1F4</t>
  </si>
  <si>
    <t>B4E1G1</t>
  </si>
  <si>
    <t>B4E1Q4</t>
  </si>
  <si>
    <t>B4E241</t>
  </si>
  <si>
    <t>B4E2C0</t>
  </si>
  <si>
    <t>B4E2S7</t>
  </si>
  <si>
    <t>B4E2V5</t>
  </si>
  <si>
    <t>B4E2X3</t>
  </si>
  <si>
    <t>B4E3Q4</t>
  </si>
  <si>
    <t>B5MBX5</t>
  </si>
  <si>
    <t>B5MCD7</t>
  </si>
  <si>
    <t>B5MCF9</t>
  </si>
  <si>
    <t>B5MCN7</t>
  </si>
  <si>
    <t>B5MCT7</t>
  </si>
  <si>
    <t>B5MCT9</t>
  </si>
  <si>
    <t>B5MDB6</t>
  </si>
  <si>
    <t>B5MDE0</t>
  </si>
  <si>
    <t>B5MDU6</t>
  </si>
  <si>
    <t>B7WNT5</t>
  </si>
  <si>
    <t>B7WP27</t>
  </si>
  <si>
    <t>B7WPE2</t>
  </si>
  <si>
    <t>B7WPL0</t>
  </si>
  <si>
    <t>B7Z1R5</t>
  </si>
  <si>
    <t>B7Z254</t>
  </si>
  <si>
    <t>B7Z291</t>
  </si>
  <si>
    <t>B7Z2B2</t>
  </si>
  <si>
    <t>B7Z2S5</t>
  </si>
  <si>
    <t>B7Z3I9</t>
  </si>
  <si>
    <t>B7Z3K1</t>
  </si>
  <si>
    <t>B7Z3P1</t>
  </si>
  <si>
    <t>B7Z4K6</t>
  </si>
  <si>
    <t>B7Z4R0</t>
  </si>
  <si>
    <t>B7Z4R5</t>
  </si>
  <si>
    <t>B7Z4V9</t>
  </si>
  <si>
    <t>B7Z4W5</t>
  </si>
  <si>
    <t>B7Z5G4</t>
  </si>
  <si>
    <t>B7Z5W1</t>
  </si>
  <si>
    <t>B7Z6B8</t>
  </si>
  <si>
    <t>B7Z6M4</t>
  </si>
  <si>
    <t>B7Z779</t>
  </si>
  <si>
    <t>B7Z7G5</t>
  </si>
  <si>
    <t>B7Z7H3</t>
  </si>
  <si>
    <t>B7Z7X8</t>
  </si>
  <si>
    <t>B7Z815</t>
  </si>
  <si>
    <t>B7Z817</t>
  </si>
  <si>
    <t>B7Z902</t>
  </si>
  <si>
    <t>B7Z9I3</t>
  </si>
  <si>
    <t>B7Z9S8</t>
  </si>
  <si>
    <t>B7ZAA0</t>
  </si>
  <si>
    <t>B7ZBM3</t>
  </si>
  <si>
    <t>B7ZC38</t>
  </si>
  <si>
    <t>B7ZKK9</t>
  </si>
  <si>
    <t>B7ZKQ9</t>
  </si>
  <si>
    <t>B7ZL88</t>
  </si>
  <si>
    <t>B7ZLZ0</t>
  </si>
  <si>
    <t>B7ZLZ2</t>
  </si>
  <si>
    <t>B8X2Z3</t>
  </si>
  <si>
    <t>B8ZZN6</t>
  </si>
  <si>
    <t>B8ZZQ6</t>
  </si>
  <si>
    <t>B8ZZU6</t>
  </si>
  <si>
    <t>B8ZZV9</t>
  </si>
  <si>
    <t>B9A008</t>
  </si>
  <si>
    <t>B9A018</t>
  </si>
  <si>
    <t>B9A054</t>
  </si>
  <si>
    <t>B9A057</t>
  </si>
  <si>
    <t>C0H5X6</t>
  </si>
  <si>
    <t>C0H5Y7</t>
  </si>
  <si>
    <t>C1IDX9</t>
  </si>
  <si>
    <t>C4AMC7</t>
  </si>
  <si>
    <t>C7C5T7</t>
  </si>
  <si>
    <t>C9J0E4</t>
  </si>
  <si>
    <t>C9J0I9</t>
  </si>
  <si>
    <t>C9J0J7</t>
  </si>
  <si>
    <t>C9J0K6</t>
  </si>
  <si>
    <t>C9J1K8</t>
  </si>
  <si>
    <t>C9J1X0</t>
  </si>
  <si>
    <t>C9J212</t>
  </si>
  <si>
    <t>C9J2P0</t>
  </si>
  <si>
    <t>C9J2P9</t>
  </si>
  <si>
    <t>C9J2U4</t>
  </si>
  <si>
    <t>C9J2V2</t>
  </si>
  <si>
    <t>C9J2Y9</t>
  </si>
  <si>
    <t>C9J381</t>
  </si>
  <si>
    <t>C9J384</t>
  </si>
  <si>
    <t>C9J3D7</t>
  </si>
  <si>
    <t>C9J3G2</t>
  </si>
  <si>
    <t>C9J494</t>
  </si>
  <si>
    <t>C9J5C3</t>
  </si>
  <si>
    <t>C9J5W6</t>
  </si>
  <si>
    <t>C9J5X1</t>
  </si>
  <si>
    <t>C9J6N5</t>
  </si>
  <si>
    <t>C9J6P4</t>
  </si>
  <si>
    <t>C9J712</t>
  </si>
  <si>
    <t>C9J7E5</t>
  </si>
  <si>
    <t>C9J7K9</t>
  </si>
  <si>
    <t>C9J929</t>
  </si>
  <si>
    <t>C9J975</t>
  </si>
  <si>
    <t>C9J9K3</t>
  </si>
  <si>
    <t>C9JA07</t>
  </si>
  <si>
    <t>C9JA08</t>
  </si>
  <si>
    <t>C9JA28</t>
  </si>
  <si>
    <t>C9JAB2</t>
  </si>
  <si>
    <t>C9JAX1</t>
  </si>
  <si>
    <t>C9JB13</t>
  </si>
  <si>
    <t>C9JBL1</t>
  </si>
  <si>
    <t>C9JBY7</t>
  </si>
  <si>
    <t>C9JCC6</t>
  </si>
  <si>
    <t>C9JCU6</t>
  </si>
  <si>
    <t>C9JDZ2</t>
  </si>
  <si>
    <t>C9JE12</t>
  </si>
  <si>
    <t>C9JE82</t>
  </si>
  <si>
    <t>C9JE98</t>
  </si>
  <si>
    <t>C9JEL3</t>
  </si>
  <si>
    <t>C9JF58</t>
  </si>
  <si>
    <t>C9JF66</t>
  </si>
  <si>
    <t>C9JFE4</t>
  </si>
  <si>
    <t>C9JFR7</t>
  </si>
  <si>
    <t>C9JG41</t>
  </si>
  <si>
    <t>C9JG97</t>
  </si>
  <si>
    <t>C9JIF9</t>
  </si>
  <si>
    <t>C9JIZ6</t>
  </si>
  <si>
    <t>C9JJ19</t>
  </si>
  <si>
    <t>C9JJN9</t>
  </si>
  <si>
    <t>C9JJU1</t>
  </si>
  <si>
    <t>C9JLU1</t>
  </si>
  <si>
    <t>C9JLV4</t>
  </si>
  <si>
    <t>C9JNE2</t>
  </si>
  <si>
    <t>C9JP00</t>
  </si>
  <si>
    <t>C9JP16</t>
  </si>
  <si>
    <t>C9JPL0</t>
  </si>
  <si>
    <t>C9JPP2</t>
  </si>
  <si>
    <t>C9JQ41</t>
  </si>
  <si>
    <t>C9JQE1</t>
  </si>
  <si>
    <t>C9JRY4</t>
  </si>
  <si>
    <t>C9JRZ6</t>
  </si>
  <si>
    <t>C9JRZ8-2</t>
  </si>
  <si>
    <t>C9JTB0</t>
  </si>
  <si>
    <t>C9JTC0</t>
  </si>
  <si>
    <t>C9JVP0</t>
  </si>
  <si>
    <t>C9JWL4</t>
  </si>
  <si>
    <t>C9JXA2</t>
  </si>
  <si>
    <t>C9JXB8</t>
  </si>
  <si>
    <t>C9JYM0</t>
  </si>
  <si>
    <t>C9JYQ9</t>
  </si>
  <si>
    <t>C9JZR4</t>
  </si>
  <si>
    <t>C9JZY6</t>
  </si>
  <si>
    <t>C9K044</t>
  </si>
  <si>
    <t>C9K049</t>
  </si>
  <si>
    <t>C9K0X5</t>
  </si>
  <si>
    <t>D0FY33</t>
  </si>
  <si>
    <t>D3DPN2</t>
  </si>
  <si>
    <t>D3DQV9</t>
  </si>
  <si>
    <t>D3DWF9</t>
  </si>
  <si>
    <t>D3K174</t>
  </si>
  <si>
    <t>D3YHP0</t>
  </si>
  <si>
    <t>D3YTB1</t>
  </si>
  <si>
    <t>D3YTE0</t>
  </si>
  <si>
    <t>D3YTE1</t>
  </si>
  <si>
    <t>D3YTG6</t>
  </si>
  <si>
    <t>D3YTI9</t>
  </si>
  <si>
    <t>D6R941</t>
  </si>
  <si>
    <t>D6R9P3</t>
  </si>
  <si>
    <t>D6R9U7</t>
  </si>
  <si>
    <t>D6R9Z7</t>
  </si>
  <si>
    <t>D6RAD4</t>
  </si>
  <si>
    <t>D6RAR2</t>
  </si>
  <si>
    <t>D6RAT4</t>
  </si>
  <si>
    <t>D6RB34</t>
  </si>
  <si>
    <t>D6RBW1</t>
  </si>
  <si>
    <t>D6RCD0</t>
  </si>
  <si>
    <t>D6RCM8</t>
  </si>
  <si>
    <t>D6RD25</t>
  </si>
  <si>
    <t>D6RDH5</t>
  </si>
  <si>
    <t>D6RDX3</t>
  </si>
  <si>
    <t>D6REA0</t>
  </si>
  <si>
    <t>D6REL0</t>
  </si>
  <si>
    <t>D6REL5</t>
  </si>
  <si>
    <t>D6REM4</t>
  </si>
  <si>
    <t>D6REX3</t>
  </si>
  <si>
    <t>D6RF48</t>
  </si>
  <si>
    <t>D6RFG8</t>
  </si>
  <si>
    <t>D6RGD4</t>
  </si>
  <si>
    <t>D6RGI3</t>
  </si>
  <si>
    <t>D6RGJ2</t>
  </si>
  <si>
    <t>D6RH17</t>
  </si>
  <si>
    <t>D6RHD3</t>
  </si>
  <si>
    <t>D6RHG7</t>
  </si>
  <si>
    <t>D6RHI7</t>
  </si>
  <si>
    <t>D6RHI9</t>
  </si>
  <si>
    <t>D6RI11</t>
  </si>
  <si>
    <t>D6RIE3</t>
  </si>
  <si>
    <t>D6RIE5</t>
  </si>
  <si>
    <t>D6RIU2</t>
  </si>
  <si>
    <t>D6RIZ4</t>
  </si>
  <si>
    <t>D6RJ07</t>
  </si>
  <si>
    <t>D6RJ90</t>
  </si>
  <si>
    <t>D6W592</t>
  </si>
  <si>
    <t>E2QRF9</t>
  </si>
  <si>
    <t>E2QRH7</t>
  </si>
  <si>
    <t>E5RFE7</t>
  </si>
  <si>
    <t>E5RFJ1</t>
  </si>
  <si>
    <t>E5RFP2</t>
  </si>
  <si>
    <t>E5RFU2</t>
  </si>
  <si>
    <t>E5RG17</t>
  </si>
  <si>
    <t>E5RG44</t>
  </si>
  <si>
    <t>E5RGQ3</t>
  </si>
  <si>
    <t>E5RGX5</t>
  </si>
  <si>
    <t>E5RHG8</t>
  </si>
  <si>
    <t>E5RHG9</t>
  </si>
  <si>
    <t>E5RHW0</t>
  </si>
  <si>
    <t>E5RI52</t>
  </si>
  <si>
    <t>E5RI87</t>
  </si>
  <si>
    <t>E5RIH5</t>
  </si>
  <si>
    <t>E5RIL0</t>
  </si>
  <si>
    <t>E5RIP7</t>
  </si>
  <si>
    <t>E5RIQ9</t>
  </si>
  <si>
    <t>E5RIY0</t>
  </si>
  <si>
    <t>E5RJ08</t>
  </si>
  <si>
    <t>E5RJ68</t>
  </si>
  <si>
    <t>E5RJ99</t>
  </si>
  <si>
    <t>E5RJI7</t>
  </si>
  <si>
    <t>E5RJR5</t>
  </si>
  <si>
    <t>E5RK82</t>
  </si>
  <si>
    <t>E7EM50</t>
  </si>
  <si>
    <t>E7EM64</t>
  </si>
  <si>
    <t>E7EM95</t>
  </si>
  <si>
    <t>E7EMA9</t>
  </si>
  <si>
    <t>E7EMM4</t>
  </si>
  <si>
    <t>E7EMN6</t>
  </si>
  <si>
    <t>E7EMV7</t>
  </si>
  <si>
    <t>E7EN19</t>
  </si>
  <si>
    <t>E7EN73</t>
  </si>
  <si>
    <t>E7ENA9</t>
  </si>
  <si>
    <t>E7ENK0</t>
  </si>
  <si>
    <t>E7ENR4</t>
  </si>
  <si>
    <t>E7ENU4</t>
  </si>
  <si>
    <t>E7ENX6</t>
  </si>
  <si>
    <t>E7EP72</t>
  </si>
  <si>
    <t>E7EPB3</t>
  </si>
  <si>
    <t>E7EPD0</t>
  </si>
  <si>
    <t>E7EPF0</t>
  </si>
  <si>
    <t>E7EPL4</t>
  </si>
  <si>
    <t>E7EPT4</t>
  </si>
  <si>
    <t>E7EQ45</t>
  </si>
  <si>
    <t>E7EQ69</t>
  </si>
  <si>
    <t>E7EQB2</t>
  </si>
  <si>
    <t>E7EQN6</t>
  </si>
  <si>
    <t>E7EQR8</t>
  </si>
  <si>
    <t>E7EQT4</t>
  </si>
  <si>
    <t>E7EQV9</t>
  </si>
  <si>
    <t>E7EQZ4</t>
  </si>
  <si>
    <t>E7ERC6</t>
  </si>
  <si>
    <t>E7ERR0</t>
  </si>
  <si>
    <t>E7ERS3</t>
  </si>
  <si>
    <t>E7ERU0</t>
  </si>
  <si>
    <t>E7ES43</t>
  </si>
  <si>
    <t>E7ESC9</t>
  </si>
  <si>
    <t>E7ESM9</t>
  </si>
  <si>
    <t>E7ESU6</t>
  </si>
  <si>
    <t>E7ESU7</t>
  </si>
  <si>
    <t>E7ESZ7</t>
  </si>
  <si>
    <t>E7ET15</t>
  </si>
  <si>
    <t>E7ETB3</t>
  </si>
  <si>
    <t>E7ETK0</t>
  </si>
  <si>
    <t>E7ETM6</t>
  </si>
  <si>
    <t>E7ETP9</t>
  </si>
  <si>
    <t>E7ETU5</t>
  </si>
  <si>
    <t>E7ETZ4</t>
  </si>
  <si>
    <t>E7EU13</t>
  </si>
  <si>
    <t>E7EU23</t>
  </si>
  <si>
    <t>E7EU24</t>
  </si>
  <si>
    <t>E7EU35</t>
  </si>
  <si>
    <t>E7EU96</t>
  </si>
  <si>
    <t>E7EUC7</t>
  </si>
  <si>
    <t>E7EUE1</t>
  </si>
  <si>
    <t>E7EUM5</t>
  </si>
  <si>
    <t>E7EV01</t>
  </si>
  <si>
    <t>E7EV46</t>
  </si>
  <si>
    <t>E7EVA0</t>
  </si>
  <si>
    <t>E7EVC7</t>
  </si>
  <si>
    <t>E7EVH9</t>
  </si>
  <si>
    <t>E7EVJ5</t>
  </si>
  <si>
    <t>E7EVM2</t>
  </si>
  <si>
    <t>E7EVZ3</t>
  </si>
  <si>
    <t>E7EW20</t>
  </si>
  <si>
    <t>E7EW32</t>
  </si>
  <si>
    <t>E7EW77</t>
  </si>
  <si>
    <t>E7EW84</t>
  </si>
  <si>
    <t>E7EWM3</t>
  </si>
  <si>
    <t>E7EWW0</t>
  </si>
  <si>
    <t>E7EX01</t>
  </si>
  <si>
    <t>E7EX17</t>
  </si>
  <si>
    <t>E7EX73</t>
  </si>
  <si>
    <t>E7EX90</t>
  </si>
  <si>
    <t>E7EXA8</t>
  </si>
  <si>
    <t>E9PAU2</t>
  </si>
  <si>
    <t>E9PB28</t>
  </si>
  <si>
    <t>E9PB61</t>
  </si>
  <si>
    <t>E9PBJ5</t>
  </si>
  <si>
    <t>E9PBR6</t>
  </si>
  <si>
    <t>E9PC26</t>
  </si>
  <si>
    <t>E9PC62</t>
  </si>
  <si>
    <t>E9PC74</t>
  </si>
  <si>
    <t>E9PC87</t>
  </si>
  <si>
    <t>E9PCN2</t>
  </si>
  <si>
    <t>E9PCQ3</t>
  </si>
  <si>
    <t>E9PCV0</t>
  </si>
  <si>
    <t>E9PCV4</t>
  </si>
  <si>
    <t>E9PCW1</t>
  </si>
  <si>
    <t>E9PD55</t>
  </si>
  <si>
    <t>E9PDF6</t>
  </si>
  <si>
    <t>E9PDR0</t>
  </si>
  <si>
    <t>E9PDU5</t>
  </si>
  <si>
    <t>E9PEE8</t>
  </si>
  <si>
    <t>E9PEL9</t>
  </si>
  <si>
    <t>E9PEN8</t>
  </si>
  <si>
    <t>E9PEZ3</t>
  </si>
  <si>
    <t>E9PF06</t>
  </si>
  <si>
    <t>E9PF18</t>
  </si>
  <si>
    <t>E9PF19</t>
  </si>
  <si>
    <t>E9PFK9</t>
  </si>
  <si>
    <t>E9PFP8</t>
  </si>
  <si>
    <t>E9PFR3</t>
  </si>
  <si>
    <t>E9PFU9</t>
  </si>
  <si>
    <t>E9PG19</t>
  </si>
  <si>
    <t>E9PG22</t>
  </si>
  <si>
    <t>E9PG35</t>
  </si>
  <si>
    <t>E9PGC0</t>
  </si>
  <si>
    <t>E9PGC8</t>
  </si>
  <si>
    <t>E9PGE5</t>
  </si>
  <si>
    <t>E9PGF9</t>
  </si>
  <si>
    <t>E9PGQ0</t>
  </si>
  <si>
    <t>E9PGQ4</t>
  </si>
  <si>
    <t>E9PGT1</t>
  </si>
  <si>
    <t>E9PGT3</t>
  </si>
  <si>
    <t>E9PGT6</t>
  </si>
  <si>
    <t>E9PH29</t>
  </si>
  <si>
    <t>E9PHG5</t>
  </si>
  <si>
    <t>E9PHY5</t>
  </si>
  <si>
    <t>E9PI30</t>
  </si>
  <si>
    <t>E9PI68</t>
  </si>
  <si>
    <t>E9PIB9</t>
  </si>
  <si>
    <t>E9PIE4</t>
  </si>
  <si>
    <t>E9PIM6</t>
  </si>
  <si>
    <t>E9PJ24</t>
  </si>
  <si>
    <t>E9PJ55</t>
  </si>
  <si>
    <t>E9PJ64</t>
  </si>
  <si>
    <t>E9PJ81</t>
  </si>
  <si>
    <t>E9PJD7</t>
  </si>
  <si>
    <t>E9PJF5</t>
  </si>
  <si>
    <t>E9PJK1</t>
  </si>
  <si>
    <t>E9PJM3</t>
  </si>
  <si>
    <t>E9PK01</t>
  </si>
  <si>
    <t>E9PK67</t>
  </si>
  <si>
    <t>E9PK91</t>
  </si>
  <si>
    <t>E9PKA7</t>
  </si>
  <si>
    <t>E9PKC0</t>
  </si>
  <si>
    <t>E9PKG1</t>
  </si>
  <si>
    <t>E9PKN9</t>
  </si>
  <si>
    <t>E9PKV2</t>
  </si>
  <si>
    <t>E9PKV8</t>
  </si>
  <si>
    <t>E9PKZ0</t>
  </si>
  <si>
    <t>E9PL10</t>
  </si>
  <si>
    <t>E9PL17</t>
  </si>
  <si>
    <t>E9PL33</t>
  </si>
  <si>
    <t>E9PL57</t>
  </si>
  <si>
    <t>E9PLD3</t>
  </si>
  <si>
    <t>E9PLJ2</t>
  </si>
  <si>
    <t>E9PLK3</t>
  </si>
  <si>
    <t>E9PLL6</t>
  </si>
  <si>
    <t>E9PM46</t>
  </si>
  <si>
    <t>E9PM92</t>
  </si>
  <si>
    <t>E9PMI6</t>
  </si>
  <si>
    <t>E9PMJ2</t>
  </si>
  <si>
    <t>E9PMM3</t>
  </si>
  <si>
    <t>E9PMQ6</t>
  </si>
  <si>
    <t>E9PMR4</t>
  </si>
  <si>
    <t>E9PMS6</t>
  </si>
  <si>
    <t>E9PMU5</t>
  </si>
  <si>
    <t>E9PND3</t>
  </si>
  <si>
    <t>E9PNP3</t>
  </si>
  <si>
    <t>E9PNT2</t>
  </si>
  <si>
    <t>E9PNW4</t>
  </si>
  <si>
    <t>E9PP40</t>
  </si>
  <si>
    <t>E9PPU5</t>
  </si>
  <si>
    <t>E9PPZ9</t>
  </si>
  <si>
    <t>E9PQ62</t>
  </si>
  <si>
    <t>E9PQ63</t>
  </si>
  <si>
    <t>E9PQY3</t>
  </si>
  <si>
    <t>E9PR30</t>
  </si>
  <si>
    <t>E9PR76</t>
  </si>
  <si>
    <t>E9PRK7</t>
  </si>
  <si>
    <t>E9PRM7</t>
  </si>
  <si>
    <t>E9PRY8</t>
  </si>
  <si>
    <t>E9PS17</t>
  </si>
  <si>
    <t>E9PS38</t>
  </si>
  <si>
    <t>E9PS47</t>
  </si>
  <si>
    <t>E9PS74</t>
  </si>
  <si>
    <t>E9PSH3</t>
  </si>
  <si>
    <t>E9PSH8</t>
  </si>
  <si>
    <t>E9PSI1</t>
  </si>
  <si>
    <t>F2Z2B9</t>
  </si>
  <si>
    <t>F2Z2E2</t>
  </si>
  <si>
    <t>F2Z2U4</t>
  </si>
  <si>
    <t>F2Z2U8</t>
  </si>
  <si>
    <t>F2Z2W7</t>
  </si>
  <si>
    <t>F2Z2X4</t>
  </si>
  <si>
    <t>F2Z3A6</t>
  </si>
  <si>
    <t>F2Z3L0</t>
  </si>
  <si>
    <t>F5GWD3</t>
  </si>
  <si>
    <t>F5GWH5</t>
  </si>
  <si>
    <t>F5GWI9</t>
  </si>
  <si>
    <t>F5GWN5</t>
  </si>
  <si>
    <t>F5GWT4</t>
  </si>
  <si>
    <t>F5GWU7</t>
  </si>
  <si>
    <t>F5GWX5</t>
  </si>
  <si>
    <t>F5GWY5</t>
  </si>
  <si>
    <t>F5GX09</t>
  </si>
  <si>
    <t>F5GX68</t>
  </si>
  <si>
    <t>F5GX82</t>
  </si>
  <si>
    <t>F5GXA6</t>
  </si>
  <si>
    <t>F5GXC8</t>
  </si>
  <si>
    <t>F5GXE4</t>
  </si>
  <si>
    <t>F5GXF9</t>
  </si>
  <si>
    <t>F5GXI4</t>
  </si>
  <si>
    <t>F5GXJ4</t>
  </si>
  <si>
    <t>F5GXK8</t>
  </si>
  <si>
    <t>F5GXX5</t>
  </si>
  <si>
    <t>F5GY92</t>
  </si>
  <si>
    <t>F5GY99</t>
  </si>
  <si>
    <t>F5GYC4</t>
  </si>
  <si>
    <t>F5GYN4</t>
  </si>
  <si>
    <t>F5GYQ1</t>
  </si>
  <si>
    <t>F5GZ78</t>
  </si>
  <si>
    <t>F5GZ90</t>
  </si>
  <si>
    <t>F5GZG6</t>
  </si>
  <si>
    <t>F5GZK1</t>
  </si>
  <si>
    <t>F5GZS0</t>
  </si>
  <si>
    <t>F5GZS6</t>
  </si>
  <si>
    <t>F5GZX9</t>
  </si>
  <si>
    <t>F5GZY7</t>
  </si>
  <si>
    <t>F5H012</t>
  </si>
  <si>
    <t>F5H029</t>
  </si>
  <si>
    <t>F5H0B0</t>
  </si>
  <si>
    <t>F5H0F9</t>
  </si>
  <si>
    <t>F5H0I3</t>
  </si>
  <si>
    <t>F5H0L8</t>
  </si>
  <si>
    <t>F5H0M4</t>
  </si>
  <si>
    <t>F5H0Q6</t>
  </si>
  <si>
    <t>F5H0R1</t>
  </si>
  <si>
    <t>F5H148</t>
  </si>
  <si>
    <t>F5H1D6</t>
  </si>
  <si>
    <t>F5H1F3</t>
  </si>
  <si>
    <t>F5H1G9</t>
  </si>
  <si>
    <t>F5H1I4</t>
  </si>
  <si>
    <t>F5H1L4</t>
  </si>
  <si>
    <t>F5H1N7</t>
  </si>
  <si>
    <t>F5H1R7</t>
  </si>
  <si>
    <t>F5H1Z6</t>
  </si>
  <si>
    <t>F5H254</t>
  </si>
  <si>
    <t>F5H2A8</t>
  </si>
  <si>
    <t>F5H2H5</t>
  </si>
  <si>
    <t>F5H2J3</t>
  </si>
  <si>
    <t>F5H2Q7</t>
  </si>
  <si>
    <t>F5H2S7</t>
  </si>
  <si>
    <t>F5H2U2</t>
  </si>
  <si>
    <t>F5H2X7</t>
  </si>
  <si>
    <t>F5H315</t>
  </si>
  <si>
    <t>F5H365</t>
  </si>
  <si>
    <t>F5H450</t>
  </si>
  <si>
    <t>F5H4G7</t>
  </si>
  <si>
    <t>F5H4Q5</t>
  </si>
  <si>
    <t>F5H4S8</t>
  </si>
  <si>
    <t>F5H4V9</t>
  </si>
  <si>
    <t>F5H523</t>
  </si>
  <si>
    <t>F5H527</t>
  </si>
  <si>
    <t>F5H569</t>
  </si>
  <si>
    <t>F5H577</t>
  </si>
  <si>
    <t>F5H5D3</t>
  </si>
  <si>
    <t>F5H5I6</t>
  </si>
  <si>
    <t>F5H5N1</t>
  </si>
  <si>
    <t>F5H5P2</t>
  </si>
  <si>
    <t>F5H5R8</t>
  </si>
  <si>
    <t>F5H604</t>
  </si>
  <si>
    <t>F5H620</t>
  </si>
  <si>
    <t>F5H631</t>
  </si>
  <si>
    <t>F5H6S1</t>
  </si>
  <si>
    <t>F5H6U2</t>
  </si>
  <si>
    <t>F5H715</t>
  </si>
  <si>
    <t>F5H721</t>
  </si>
  <si>
    <t>F5H7K2</t>
  </si>
  <si>
    <t>F5H7N9</t>
  </si>
  <si>
    <t>F5H7Z9</t>
  </si>
  <si>
    <t>F5H801</t>
  </si>
  <si>
    <t>F5H843</t>
  </si>
  <si>
    <t>F5H860</t>
  </si>
  <si>
    <t>F5H874</t>
  </si>
  <si>
    <t>F5H877</t>
  </si>
  <si>
    <t>F5H897</t>
  </si>
  <si>
    <t>F5H8H2</t>
  </si>
  <si>
    <t>F5H8J3</t>
  </si>
  <si>
    <t>F5H8L0</t>
  </si>
  <si>
    <t>F5H8L4</t>
  </si>
  <si>
    <t>F6PQP6</t>
  </si>
  <si>
    <t>F6RAJ7</t>
  </si>
  <si>
    <t>F6T1Q0</t>
  </si>
  <si>
    <t>F6U1T9</t>
  </si>
  <si>
    <t>F6VZ39</t>
  </si>
  <si>
    <t>F6WCX7</t>
  </si>
  <si>
    <t>F6XY72</t>
  </si>
  <si>
    <t>F8VP89</t>
  </si>
  <si>
    <t>F8VPD4</t>
  </si>
  <si>
    <t>F8VQD4</t>
  </si>
  <si>
    <t>F8VQX6</t>
  </si>
  <si>
    <t>F8VQY2</t>
  </si>
  <si>
    <t>F8VQZ7</t>
  </si>
  <si>
    <t>F8VR27</t>
  </si>
  <si>
    <t>F8VRE8</t>
  </si>
  <si>
    <t>F8VSL3</t>
  </si>
  <si>
    <t>F8VSZ4</t>
  </si>
  <si>
    <t>F8VTS6</t>
  </si>
  <si>
    <t>F8VU90</t>
  </si>
  <si>
    <t>F8VV59</t>
  </si>
  <si>
    <t>F8VVA7</t>
  </si>
  <si>
    <t>F8VVN7</t>
  </si>
  <si>
    <t>F8VW96</t>
  </si>
  <si>
    <t>F8VWA6</t>
  </si>
  <si>
    <t>F8VWA9</t>
  </si>
  <si>
    <t>F8VWL0</t>
  </si>
  <si>
    <t>F8VX04</t>
  </si>
  <si>
    <t>F8VXG3</t>
  </si>
  <si>
    <t>F8VXG7</t>
  </si>
  <si>
    <t>F8VXK3</t>
  </si>
  <si>
    <t>F8VYK6</t>
  </si>
  <si>
    <t>F8VYN9</t>
  </si>
  <si>
    <t>F8VZJ2</t>
  </si>
  <si>
    <t>F8W038</t>
  </si>
  <si>
    <t>F8W052</t>
  </si>
  <si>
    <t>F8W0J6</t>
  </si>
  <si>
    <t>F8W0Q9</t>
  </si>
  <si>
    <t>F8W0R1</t>
  </si>
  <si>
    <t>F8W181</t>
  </si>
  <si>
    <t>F8W689</t>
  </si>
  <si>
    <t>F8W6I7</t>
  </si>
  <si>
    <t>F8W6N3</t>
  </si>
  <si>
    <t>F8W6Q3</t>
  </si>
  <si>
    <t>F8W6T6</t>
  </si>
  <si>
    <t>F8W7D0</t>
  </si>
  <si>
    <t>F8W7Q4</t>
  </si>
  <si>
    <t>F8W840</t>
  </si>
  <si>
    <t>F8W8D3</t>
  </si>
  <si>
    <t>F8W8G5</t>
  </si>
  <si>
    <t>F8W8I6</t>
  </si>
  <si>
    <t>F8W8T8</t>
  </si>
  <si>
    <t>F8W914</t>
  </si>
  <si>
    <t>F8W946</t>
  </si>
  <si>
    <t>F8W966</t>
  </si>
  <si>
    <t>F8W9R9</t>
  </si>
  <si>
    <t>F8W9X7</t>
  </si>
  <si>
    <t>F8WA11</t>
  </si>
  <si>
    <t>F8WA39</t>
  </si>
  <si>
    <t>F8WAD8</t>
  </si>
  <si>
    <t>F8WAK8</t>
  </si>
  <si>
    <t>F8WBK5</t>
  </si>
  <si>
    <t>F8WC47</t>
  </si>
  <si>
    <t>F8WC68</t>
  </si>
  <si>
    <t>F8WC89</t>
  </si>
  <si>
    <t>F8WCD0</t>
  </si>
  <si>
    <t>F8WCF6</t>
  </si>
  <si>
    <t>F8WCP0</t>
  </si>
  <si>
    <t>F8WD19</t>
  </si>
  <si>
    <t>F8WDT5</t>
  </si>
  <si>
    <t>F8WE74</t>
  </si>
  <si>
    <t>F8WE88</t>
  </si>
  <si>
    <t>F8WEC0</t>
  </si>
  <si>
    <t>F8WF93</t>
  </si>
  <si>
    <t>F8WJN3</t>
  </si>
  <si>
    <t>G1K394</t>
  </si>
  <si>
    <t>G3V0I5</t>
  </si>
  <si>
    <t>G3V0I6</t>
  </si>
  <si>
    <t>G3V130</t>
  </si>
  <si>
    <t>G3V167</t>
  </si>
  <si>
    <t>G3V1A6</t>
  </si>
  <si>
    <t>G3V1D3</t>
  </si>
  <si>
    <t>G3V1P3</t>
  </si>
  <si>
    <t>G3V1Q4</t>
  </si>
  <si>
    <t>G3V1S9</t>
  </si>
  <si>
    <t>G3V1U5</t>
  </si>
  <si>
    <t>G3V1X5</t>
  </si>
  <si>
    <t>G3V203</t>
  </si>
  <si>
    <t>G3V2F7</t>
  </si>
  <si>
    <t>G3V2U7</t>
  </si>
  <si>
    <t>G3V325</t>
  </si>
  <si>
    <t>G3V3C1</t>
  </si>
  <si>
    <t>G3V3G9</t>
  </si>
  <si>
    <t>G3V3I4</t>
  </si>
  <si>
    <t>G3V3J9</t>
  </si>
  <si>
    <t>G3V3R7</t>
  </si>
  <si>
    <t>G3V3U6</t>
  </si>
  <si>
    <t>G3V439</t>
  </si>
  <si>
    <t>G3V4A5</t>
  </si>
  <si>
    <t>G3V4K3</t>
  </si>
  <si>
    <t>G3V4P7</t>
  </si>
  <si>
    <t>G3V4W0</t>
  </si>
  <si>
    <t>G3V529</t>
  </si>
  <si>
    <t>G3V583</t>
  </si>
  <si>
    <t>G3V599</t>
  </si>
  <si>
    <t>G3V5T0</t>
  </si>
  <si>
    <t>G3V5T9</t>
  </si>
  <si>
    <t>G3XAA0</t>
  </si>
  <si>
    <t>G3XAC1</t>
  </si>
  <si>
    <t>G3XAE9</t>
  </si>
  <si>
    <t>G3XAI9</t>
  </si>
  <si>
    <t>G3XAN4</t>
  </si>
  <si>
    <t>G3XAN8</t>
  </si>
  <si>
    <t>G3XAP3</t>
  </si>
  <si>
    <t>G5E933</t>
  </si>
  <si>
    <t>G5E948</t>
  </si>
  <si>
    <t>G5E994</t>
  </si>
  <si>
    <t>G5E9A6</t>
  </si>
  <si>
    <t>G5E9F3</t>
  </si>
  <si>
    <t>G5E9L8</t>
  </si>
  <si>
    <t>G5E9W7</t>
  </si>
  <si>
    <t>G5E9W9</t>
  </si>
  <si>
    <t>G5EA25</t>
  </si>
  <si>
    <t>G5EA30</t>
  </si>
  <si>
    <t>G5EA36</t>
  </si>
  <si>
    <t>G5EA52</t>
  </si>
  <si>
    <t>G8JL98</t>
  </si>
  <si>
    <t>G8JLA2</t>
  </si>
  <si>
    <t>G8JLB3</t>
  </si>
  <si>
    <t>G8JLB6</t>
  </si>
  <si>
    <t>G8JLD3</t>
  </si>
  <si>
    <t>G8JLH2</t>
  </si>
  <si>
    <t>G8JLI5</t>
  </si>
  <si>
    <t>G8JLI6</t>
  </si>
  <si>
    <t>G8JLK4</t>
  </si>
  <si>
    <t>G8JLL1</t>
  </si>
  <si>
    <t>G8JLL2</t>
  </si>
  <si>
    <t>G8JLL7</t>
  </si>
  <si>
    <t>H0UI80</t>
  </si>
  <si>
    <t>H0Y2P9</t>
  </si>
  <si>
    <t>H0Y322</t>
  </si>
  <si>
    <t>H0Y327</t>
  </si>
  <si>
    <t>H0Y384</t>
  </si>
  <si>
    <t>H0Y3A3</t>
  </si>
  <si>
    <t>H0Y412</t>
  </si>
  <si>
    <t>H0Y494</t>
  </si>
  <si>
    <t>H0Y4G9</t>
  </si>
  <si>
    <t>H0Y530</t>
  </si>
  <si>
    <t>H0Y547</t>
  </si>
  <si>
    <t>H0Y5Y0</t>
  </si>
  <si>
    <t>H0Y614</t>
  </si>
  <si>
    <t>H0Y6A0</t>
  </si>
  <si>
    <t>H0Y6C3</t>
  </si>
  <si>
    <t>H0Y6K2</t>
  </si>
  <si>
    <t>H0Y6Y6</t>
  </si>
  <si>
    <t>H0Y7A7</t>
  </si>
  <si>
    <t>H0Y7P7</t>
  </si>
  <si>
    <t>H0Y870</t>
  </si>
  <si>
    <t>H0Y8H1</t>
  </si>
  <si>
    <t>H0Y8W3</t>
  </si>
  <si>
    <t>H0Y912</t>
  </si>
  <si>
    <t>H0Y9B8</t>
  </si>
  <si>
    <t>H0Y9N0</t>
  </si>
  <si>
    <t>H0Y9S9</t>
  </si>
  <si>
    <t>H0Y9T5</t>
  </si>
  <si>
    <t>H0Y9X1</t>
  </si>
  <si>
    <t>H0Y9Z5</t>
  </si>
  <si>
    <t>H0YA52</t>
  </si>
  <si>
    <t>H0YA68</t>
  </si>
  <si>
    <t>H0YAR2</t>
  </si>
  <si>
    <t>H0YAV1</t>
  </si>
  <si>
    <t>H0YBI6</t>
  </si>
  <si>
    <t>H0YBP1</t>
  </si>
  <si>
    <t>H0YBZ4</t>
  </si>
  <si>
    <t>H0YC40</t>
  </si>
  <si>
    <t>H0YCP7</t>
  </si>
  <si>
    <t>H0YCY4</t>
  </si>
  <si>
    <t>H0YDD3</t>
  </si>
  <si>
    <t>H0YDS0</t>
  </si>
  <si>
    <t>H0YDU8</t>
  </si>
  <si>
    <t>H0YDX6</t>
  </si>
  <si>
    <t>H0YE22</t>
  </si>
  <si>
    <t>H0YE91</t>
  </si>
  <si>
    <t>H0YEB6</t>
  </si>
  <si>
    <t>H0YEF3</t>
  </si>
  <si>
    <t>H0YF29</t>
  </si>
  <si>
    <t>H0YGR4</t>
  </si>
  <si>
    <t>H0YH87</t>
  </si>
  <si>
    <t>H0YHG0</t>
  </si>
  <si>
    <t>H0YIQ8</t>
  </si>
  <si>
    <t>H0YIV9</t>
  </si>
  <si>
    <t>H0YJT2</t>
  </si>
  <si>
    <t>H0YK48</t>
  </si>
  <si>
    <t>H0YK61</t>
  </si>
  <si>
    <t>H0YKG9</t>
  </si>
  <si>
    <t>H0YKJ9</t>
  </si>
  <si>
    <t>H0YL70</t>
  </si>
  <si>
    <t>H0YLA4</t>
  </si>
  <si>
    <t>H0YLB5</t>
  </si>
  <si>
    <t>H0YLF2</t>
  </si>
  <si>
    <t>H0YLR1</t>
  </si>
  <si>
    <t>H0YLW6</t>
  </si>
  <si>
    <t>H0YLX2</t>
  </si>
  <si>
    <t>H0YMB3</t>
  </si>
  <si>
    <t>H0YMJ0</t>
  </si>
  <si>
    <t>H0YMV8</t>
  </si>
  <si>
    <t>H0YN33</t>
  </si>
  <si>
    <t>H0YN65</t>
  </si>
  <si>
    <t>H0YN78</t>
  </si>
  <si>
    <t>H0YNG3</t>
  </si>
  <si>
    <t>H0YNH6</t>
  </si>
  <si>
    <t>H0YNH8</t>
  </si>
  <si>
    <t>H0YNU5</t>
  </si>
  <si>
    <t>H3BLU2</t>
  </si>
  <si>
    <t>H3BLV0</t>
  </si>
  <si>
    <t>H3BLW6</t>
  </si>
  <si>
    <t>H3BLZ2</t>
  </si>
  <si>
    <t>H3BLZ8</t>
  </si>
  <si>
    <t>H3BM14</t>
  </si>
  <si>
    <t>H3BMM5</t>
  </si>
  <si>
    <t>H3BMQ0</t>
  </si>
  <si>
    <t>H3BN98</t>
  </si>
  <si>
    <t>H3BNE3</t>
  </si>
  <si>
    <t>H3BNK2</t>
  </si>
  <si>
    <t>H3BNT4</t>
  </si>
  <si>
    <t>H3BP13</t>
  </si>
  <si>
    <t>H3BP20</t>
  </si>
  <si>
    <t>H3BP28</t>
  </si>
  <si>
    <t>H3BPB8</t>
  </si>
  <si>
    <t>H3BPC4</t>
  </si>
  <si>
    <t>H3BPE1</t>
  </si>
  <si>
    <t>H3BPZ0</t>
  </si>
  <si>
    <t>H3BQA0</t>
  </si>
  <si>
    <t>H3BQF6</t>
  </si>
  <si>
    <t>H3BQM0</t>
  </si>
  <si>
    <t>H3BQV3</t>
  </si>
  <si>
    <t>H3BR82</t>
  </si>
  <si>
    <t>H3BRF9</t>
  </si>
  <si>
    <t>H3BRL3</t>
  </si>
  <si>
    <t>H3BRN4</t>
  </si>
  <si>
    <t>H3BRV0</t>
  </si>
  <si>
    <t>H3BRY6</t>
  </si>
  <si>
    <t>H3BS01</t>
  </si>
  <si>
    <t>H3BS66</t>
  </si>
  <si>
    <t>H3BSM7</t>
  </si>
  <si>
    <t>H3BSW6</t>
  </si>
  <si>
    <t>H3BT91</t>
  </si>
  <si>
    <t>H3BTB7</t>
  </si>
  <si>
    <t>H3BTL1</t>
  </si>
  <si>
    <t>H3BTN5</t>
  </si>
  <si>
    <t>H3BTR4</t>
  </si>
  <si>
    <t>H3BTX0</t>
  </si>
  <si>
    <t>H3BTX7</t>
  </si>
  <si>
    <t>H3BU23</t>
  </si>
  <si>
    <t>H3BU49</t>
  </si>
  <si>
    <t>H3BV80</t>
  </si>
  <si>
    <t>H6UMI1</t>
  </si>
  <si>
    <t>H7BXD5</t>
  </si>
  <si>
    <t>H7BXF4</t>
  </si>
  <si>
    <t>H7BXF5</t>
  </si>
  <si>
    <t>H7BXH2</t>
  </si>
  <si>
    <t>H7BXH9</t>
  </si>
  <si>
    <t>H7BXI1</t>
  </si>
  <si>
    <t>H7BXI5</t>
  </si>
  <si>
    <t>H7BXL1</t>
  </si>
  <si>
    <t>H7BXR8</t>
  </si>
  <si>
    <t>H7BXW7</t>
  </si>
  <si>
    <t>H7BXY3</t>
  </si>
  <si>
    <t>H7BY22</t>
  </si>
  <si>
    <t>H7BY58</t>
  </si>
  <si>
    <t>H7BY84</t>
  </si>
  <si>
    <t>H7BYE5</t>
  </si>
  <si>
    <t>H7BYY1</t>
  </si>
  <si>
    <t>H7BZ11</t>
  </si>
  <si>
    <t>H7BZJ3</t>
  </si>
  <si>
    <t>H7BZT4</t>
  </si>
  <si>
    <t>H7C096</t>
  </si>
  <si>
    <t>H7C0C1</t>
  </si>
  <si>
    <t>H7C0S3</t>
  </si>
  <si>
    <t>H7C0S8</t>
  </si>
  <si>
    <t>H7C0V4</t>
  </si>
  <si>
    <t>H7C128</t>
  </si>
  <si>
    <t>H7C155</t>
  </si>
  <si>
    <t>H7C173</t>
  </si>
  <si>
    <t>H7C1M3</t>
  </si>
  <si>
    <t>H7C1Q1</t>
  </si>
  <si>
    <t>H7C1U3</t>
  </si>
  <si>
    <t>H7C1U8</t>
  </si>
  <si>
    <t>H7C270</t>
  </si>
  <si>
    <t>H7C285</t>
  </si>
  <si>
    <t>H7C2P7</t>
  </si>
  <si>
    <t>H7C3A6</t>
  </si>
  <si>
    <t>H7C3C7</t>
  </si>
  <si>
    <t>H7C3D5</t>
  </si>
  <si>
    <t>H7C3D8</t>
  </si>
  <si>
    <t>H7C3P4</t>
  </si>
  <si>
    <t>H7C484</t>
  </si>
  <si>
    <t>H7C5F7</t>
  </si>
  <si>
    <t>H7C5G1</t>
  </si>
  <si>
    <t>H7C5R8</t>
  </si>
  <si>
    <t>H9KV46</t>
  </si>
  <si>
    <t>H9KV59</t>
  </si>
  <si>
    <t>H9KVA1</t>
  </si>
  <si>
    <t>H9KVB8</t>
  </si>
  <si>
    <t>H9ZYI9</t>
  </si>
  <si>
    <t>I3L097</t>
  </si>
  <si>
    <t>I3L0C1</t>
  </si>
  <si>
    <t>I3L0K1</t>
  </si>
  <si>
    <t>I3L0L6</t>
  </si>
  <si>
    <t>I3L0N3</t>
  </si>
  <si>
    <t>I3L0W4</t>
  </si>
  <si>
    <t>I3L112</t>
  </si>
  <si>
    <t>I3L1B5</t>
  </si>
  <si>
    <t>I3L1H5</t>
  </si>
  <si>
    <t>I3L1K6</t>
  </si>
  <si>
    <t>I3L1L3</t>
  </si>
  <si>
    <t>I3L1P8</t>
  </si>
  <si>
    <t>I3L1Q2</t>
  </si>
  <si>
    <t>I3L1Q3</t>
  </si>
  <si>
    <t>I3L232</t>
  </si>
  <si>
    <t>I3L2B0</t>
  </si>
  <si>
    <t>I3L2C7</t>
  </si>
  <si>
    <t>I3L2J0</t>
  </si>
  <si>
    <t>I3L2J8</t>
  </si>
  <si>
    <t>I3L2L5</t>
  </si>
  <si>
    <t>I3L3A8</t>
  </si>
  <si>
    <t>I3L3K5</t>
  </si>
  <si>
    <t>I3L413</t>
  </si>
  <si>
    <t>I3L448</t>
  </si>
  <si>
    <t>I3L4C3</t>
  </si>
  <si>
    <t>I3L4J3</t>
  </si>
  <si>
    <t>I3L4X3</t>
  </si>
  <si>
    <t>J3KMW4</t>
  </si>
  <si>
    <t>J3KMW7</t>
  </si>
  <si>
    <t>J3KMW8</t>
  </si>
  <si>
    <t>J3KMX2</t>
  </si>
  <si>
    <t>J3KMY5</t>
  </si>
  <si>
    <t>J3KMZ7</t>
  </si>
  <si>
    <t>J3KMZ9</t>
  </si>
  <si>
    <t>J3KN10</t>
  </si>
  <si>
    <t>J3KN16</t>
  </si>
  <si>
    <t>J3KN27</t>
  </si>
  <si>
    <t>J3KN29</t>
  </si>
  <si>
    <t>J3KN32</t>
  </si>
  <si>
    <t>J3KN47</t>
  </si>
  <si>
    <t>J3KN66</t>
  </si>
  <si>
    <t>J3KN67</t>
  </si>
  <si>
    <t>J3KN69</t>
  </si>
  <si>
    <t>J3KN93</t>
  </si>
  <si>
    <t>J3KNA0</t>
  </si>
  <si>
    <t>J3KNB8</t>
  </si>
  <si>
    <t>J3KNE0</t>
  </si>
  <si>
    <t>J3KNF4</t>
  </si>
  <si>
    <t>J3KNF5</t>
  </si>
  <si>
    <t>J3KNF8</t>
  </si>
  <si>
    <t>J3KNI1</t>
  </si>
  <si>
    <t>J3KNL2</t>
  </si>
  <si>
    <t>J3KNL3</t>
  </si>
  <si>
    <t>J3KNL6</t>
  </si>
  <si>
    <t>J3KNM6</t>
  </si>
  <si>
    <t>J3KNN3</t>
  </si>
  <si>
    <t>J3KNN5</t>
  </si>
  <si>
    <t>J3KNN7</t>
  </si>
  <si>
    <t>J3KNP4</t>
  </si>
  <si>
    <t>J3KNR0</t>
  </si>
  <si>
    <t>J3KNV1</t>
  </si>
  <si>
    <t>J3KNW4</t>
  </si>
  <si>
    <t>J3KNX9</t>
  </si>
  <si>
    <t>J3KP15</t>
  </si>
  <si>
    <t>J3KP19</t>
  </si>
  <si>
    <t>J3KP22</t>
  </si>
  <si>
    <t>J3KP26</t>
  </si>
  <si>
    <t>J3KP75</t>
  </si>
  <si>
    <t>J3KPC5</t>
  </si>
  <si>
    <t>J3KPD3</t>
  </si>
  <si>
    <t>J3KPF9</t>
  </si>
  <si>
    <t>J3KPG6</t>
  </si>
  <si>
    <t>J3KPI1</t>
  </si>
  <si>
    <t>J3KPK1</t>
  </si>
  <si>
    <t>J3KPL1</t>
  </si>
  <si>
    <t>J3KPN1</t>
  </si>
  <si>
    <t>J3KPP7</t>
  </si>
  <si>
    <t>J3KPQ4</t>
  </si>
  <si>
    <t>J3KPS0</t>
  </si>
  <si>
    <t>J3KPT4</t>
  </si>
  <si>
    <t>J3KPW7</t>
  </si>
  <si>
    <t>J3KPY9</t>
  </si>
  <si>
    <t>J3KPZ4</t>
  </si>
  <si>
    <t>J3KPZ8</t>
  </si>
  <si>
    <t>J3KQ32</t>
  </si>
  <si>
    <t>J3KQ34</t>
  </si>
  <si>
    <t>J3KQ45</t>
  </si>
  <si>
    <t>J3KQ48</t>
  </si>
  <si>
    <t>J3KQ72</t>
  </si>
  <si>
    <t>J3KQ88</t>
  </si>
  <si>
    <t>J3KQ97</t>
  </si>
  <si>
    <t>J3KQA4</t>
  </si>
  <si>
    <t>J3KQB0</t>
  </si>
  <si>
    <t>J3KQD0</t>
  </si>
  <si>
    <t>J3KQE5</t>
  </si>
  <si>
    <t>J3KQG4</t>
  </si>
  <si>
    <t>J3KQJ1</t>
  </si>
  <si>
    <t>J3KQL8</t>
  </si>
  <si>
    <t>J3KQS6</t>
  </si>
  <si>
    <t>J3KR15</t>
  </si>
  <si>
    <t>J3KR35</t>
  </si>
  <si>
    <t>J3KR72</t>
  </si>
  <si>
    <t>J3KR97</t>
  </si>
  <si>
    <t>J3KRC8</t>
  </si>
  <si>
    <t>J3KRP6</t>
  </si>
  <si>
    <t>J3KS05</t>
  </si>
  <si>
    <t>J3KS15</t>
  </si>
  <si>
    <t>J3KS81</t>
  </si>
  <si>
    <t>J3KSG1</t>
  </si>
  <si>
    <t>J3KT84</t>
  </si>
  <si>
    <t>J3KTA1</t>
  </si>
  <si>
    <t>J3KTL1</t>
  </si>
  <si>
    <t>J3KTL2</t>
  </si>
  <si>
    <t>J3QK89</t>
  </si>
  <si>
    <t>J3QL56</t>
  </si>
  <si>
    <t>J3QL71</t>
  </si>
  <si>
    <t>J3QLC9</t>
  </si>
  <si>
    <t>J3QLM1</t>
  </si>
  <si>
    <t>J3QLS3</t>
  </si>
  <si>
    <t>J3QLV8</t>
  </si>
  <si>
    <t>J3QQJ0</t>
  </si>
  <si>
    <t>J3QQJ5</t>
  </si>
  <si>
    <t>J3QQK6</t>
  </si>
  <si>
    <t>J3QQT2</t>
  </si>
  <si>
    <t>J3QQX3</t>
  </si>
  <si>
    <t>J3QR01</t>
  </si>
  <si>
    <t>J3QR07</t>
  </si>
  <si>
    <t>J3QR09</t>
  </si>
  <si>
    <t>J3QR77</t>
  </si>
  <si>
    <t>J3QRC0</t>
  </si>
  <si>
    <t>J3QRD1</t>
  </si>
  <si>
    <t>J3QRM9</t>
  </si>
  <si>
    <t>J3QRS3</t>
  </si>
  <si>
    <t>J3QRS9</t>
  </si>
  <si>
    <t>J3QRU1</t>
  </si>
  <si>
    <t>J3QRU4</t>
  </si>
  <si>
    <t>J3QSH4</t>
  </si>
  <si>
    <t>J3QT87</t>
  </si>
  <si>
    <t>J3QTA2</t>
  </si>
  <si>
    <t>J3QTA6</t>
  </si>
  <si>
    <t>J9JIC5</t>
  </si>
  <si>
    <t>J9JID7</t>
  </si>
  <si>
    <t>J9JIE6</t>
  </si>
  <si>
    <t>K4DI92</t>
  </si>
  <si>
    <t>K4DI93</t>
  </si>
  <si>
    <t>K7EIG1</t>
  </si>
  <si>
    <t>K7EIJ0</t>
  </si>
  <si>
    <t>K7EIN2</t>
  </si>
  <si>
    <t>K7EIP7</t>
  </si>
  <si>
    <t>K7EIU8</t>
  </si>
  <si>
    <t>K7EIX2</t>
  </si>
  <si>
    <t>K7EIY4</t>
  </si>
  <si>
    <t>K7EJ78</t>
  </si>
  <si>
    <t>K7EJB5</t>
  </si>
  <si>
    <t>K7EJB9</t>
  </si>
  <si>
    <t>K7EJH0</t>
  </si>
  <si>
    <t>K7EJQ7</t>
  </si>
  <si>
    <t>K7EK00</t>
  </si>
  <si>
    <t>K7EK07</t>
  </si>
  <si>
    <t>K7EKE6</t>
  </si>
  <si>
    <t>K7EKG9</t>
  </si>
  <si>
    <t>K7EKI8</t>
  </si>
  <si>
    <t>K7EKW3</t>
  </si>
  <si>
    <t>K7EL68</t>
  </si>
  <si>
    <t>K7EL81</t>
  </si>
  <si>
    <t>K7ELE3</t>
  </si>
  <si>
    <t>K7ELL7</t>
  </si>
  <si>
    <t>K7EM02</t>
  </si>
  <si>
    <t>K7EM09</t>
  </si>
  <si>
    <t>K7EMK7</t>
  </si>
  <si>
    <t>K7EMV5</t>
  </si>
  <si>
    <t>K7EMZ7</t>
  </si>
  <si>
    <t>K7EN05</t>
  </si>
  <si>
    <t>K7EN88</t>
  </si>
  <si>
    <t>K7ENF0</t>
  </si>
  <si>
    <t>K7ENL9</t>
  </si>
  <si>
    <t>K7ENQ8</t>
  </si>
  <si>
    <t>K7ENR6</t>
  </si>
  <si>
    <t>K7ENV7</t>
  </si>
  <si>
    <t>K7EP90</t>
  </si>
  <si>
    <t>K7EPS8</t>
  </si>
  <si>
    <t>K7EQE7</t>
  </si>
  <si>
    <t>K7EQW8</t>
  </si>
  <si>
    <t>K7ER00</t>
  </si>
  <si>
    <t>K7ER95</t>
  </si>
  <si>
    <t>K7ERF1</t>
  </si>
  <si>
    <t>K7ERH3</t>
  </si>
  <si>
    <t>K7ERQ0</t>
  </si>
  <si>
    <t>K7ERS5</t>
  </si>
  <si>
    <t>K7ERU0</t>
  </si>
  <si>
    <t>K7ES11</t>
  </si>
  <si>
    <t>K7ES84</t>
  </si>
  <si>
    <t>K7ESE3</t>
  </si>
  <si>
    <t>K7ESG9</t>
  </si>
  <si>
    <t>K7ESI9</t>
  </si>
  <si>
    <t>K7ESP4</t>
  </si>
  <si>
    <t>M0QWZ7</t>
  </si>
  <si>
    <t>M0QX35</t>
  </si>
  <si>
    <t>M0QX57</t>
  </si>
  <si>
    <t>M0QXA7</t>
  </si>
  <si>
    <t>M0QXZ5</t>
  </si>
  <si>
    <t>M0QY01</t>
  </si>
  <si>
    <t>M0QY97</t>
  </si>
  <si>
    <t>M0QYM7</t>
  </si>
  <si>
    <t>M0QYS1</t>
  </si>
  <si>
    <t>M0QZ22</t>
  </si>
  <si>
    <t>M0QZI3</t>
  </si>
  <si>
    <t>M0QZL8</t>
  </si>
  <si>
    <t>M0QZP6</t>
  </si>
  <si>
    <t>M0QZR4</t>
  </si>
  <si>
    <t>M0R042</t>
  </si>
  <si>
    <t>M0R087</t>
  </si>
  <si>
    <t>M0R0B4</t>
  </si>
  <si>
    <t>M0R0F0</t>
  </si>
  <si>
    <t>M0R0N4</t>
  </si>
  <si>
    <t>M0R150</t>
  </si>
  <si>
    <t>M0R226</t>
  </si>
  <si>
    <t>M0R2A0</t>
  </si>
  <si>
    <t>M0R2B7</t>
  </si>
  <si>
    <t>M0R2P6</t>
  </si>
  <si>
    <t>M0R300</t>
  </si>
  <si>
    <t>M0R3D4</t>
  </si>
  <si>
    <t>O00116</t>
  </si>
  <si>
    <t>O00124-3</t>
  </si>
  <si>
    <t>O00139</t>
  </si>
  <si>
    <t>O00148</t>
  </si>
  <si>
    <t>O00151</t>
  </si>
  <si>
    <t>O00154-4</t>
  </si>
  <si>
    <t>O00161</t>
  </si>
  <si>
    <t>O00165</t>
  </si>
  <si>
    <t>O00170</t>
  </si>
  <si>
    <t>O00178</t>
  </si>
  <si>
    <t>O00180</t>
  </si>
  <si>
    <t>O00186</t>
  </si>
  <si>
    <t>O00214</t>
  </si>
  <si>
    <t>O00217</t>
  </si>
  <si>
    <t>O00221</t>
  </si>
  <si>
    <t>O00231</t>
  </si>
  <si>
    <t>O00232</t>
  </si>
  <si>
    <t>O00244</t>
  </si>
  <si>
    <t>O00255-2</t>
  </si>
  <si>
    <t>O00257</t>
  </si>
  <si>
    <t>O00264</t>
  </si>
  <si>
    <t>O00267-2</t>
  </si>
  <si>
    <t>O00273</t>
  </si>
  <si>
    <t>O00273-2</t>
  </si>
  <si>
    <t>O00287</t>
  </si>
  <si>
    <t>O00291</t>
  </si>
  <si>
    <t>O00299</t>
  </si>
  <si>
    <t>O00329</t>
  </si>
  <si>
    <t>O00330</t>
  </si>
  <si>
    <t>O00391</t>
  </si>
  <si>
    <t>O00399</t>
  </si>
  <si>
    <t>O00400</t>
  </si>
  <si>
    <t>O00410</t>
  </si>
  <si>
    <t>O00418</t>
  </si>
  <si>
    <t>O00422</t>
  </si>
  <si>
    <t>O00425</t>
  </si>
  <si>
    <t>O00429</t>
  </si>
  <si>
    <t>O00429-3</t>
  </si>
  <si>
    <t>O00429-4</t>
  </si>
  <si>
    <t>O00442</t>
  </si>
  <si>
    <t>O00459</t>
  </si>
  <si>
    <t>O00462</t>
  </si>
  <si>
    <t>O00463</t>
  </si>
  <si>
    <t>O00471</t>
  </si>
  <si>
    <t>O00479</t>
  </si>
  <si>
    <t>O00483</t>
  </si>
  <si>
    <t>O00487</t>
  </si>
  <si>
    <t>O00488</t>
  </si>
  <si>
    <t>O00499-6</t>
  </si>
  <si>
    <t>O00505</t>
  </si>
  <si>
    <t>O00506</t>
  </si>
  <si>
    <t>O00512</t>
  </si>
  <si>
    <t>O00534</t>
  </si>
  <si>
    <t>O00560</t>
  </si>
  <si>
    <t>O00566</t>
  </si>
  <si>
    <t>O00567</t>
  </si>
  <si>
    <t>O00571</t>
  </si>
  <si>
    <t>O00629</t>
  </si>
  <si>
    <t>O00743</t>
  </si>
  <si>
    <t>O00754-2</t>
  </si>
  <si>
    <t>O00762-2</t>
  </si>
  <si>
    <t>O00764</t>
  </si>
  <si>
    <t>O00767</t>
  </si>
  <si>
    <t>O14497</t>
  </si>
  <si>
    <t>O14519-2</t>
  </si>
  <si>
    <t>O14523</t>
  </si>
  <si>
    <t>O14524-2</t>
  </si>
  <si>
    <t>O14530</t>
  </si>
  <si>
    <t>O14545</t>
  </si>
  <si>
    <t>O14548</t>
  </si>
  <si>
    <t>O14556</t>
  </si>
  <si>
    <t>O14561</t>
  </si>
  <si>
    <t>O14569</t>
  </si>
  <si>
    <t>O14578-4</t>
  </si>
  <si>
    <t>O14579</t>
  </si>
  <si>
    <t>O14602</t>
  </si>
  <si>
    <t>O14617-4</t>
  </si>
  <si>
    <t>O14656</t>
  </si>
  <si>
    <t>O14657</t>
  </si>
  <si>
    <t>O14662-2</t>
  </si>
  <si>
    <t>O14672</t>
  </si>
  <si>
    <t>O14678</t>
  </si>
  <si>
    <t>O14686</t>
  </si>
  <si>
    <t>O14732-2</t>
  </si>
  <si>
    <t>O14734</t>
  </si>
  <si>
    <t>O14737</t>
  </si>
  <si>
    <t>O14744</t>
  </si>
  <si>
    <t>O14745</t>
  </si>
  <si>
    <t>O14757</t>
  </si>
  <si>
    <t>O14763-2</t>
  </si>
  <si>
    <t>O14772</t>
  </si>
  <si>
    <t>O14773-2</t>
  </si>
  <si>
    <t>O14775-3</t>
  </si>
  <si>
    <t>O14776-2</t>
  </si>
  <si>
    <t>O14777</t>
  </si>
  <si>
    <t>O14787-2</t>
  </si>
  <si>
    <t>O14802</t>
  </si>
  <si>
    <t>O14818</t>
  </si>
  <si>
    <t>O14828</t>
  </si>
  <si>
    <t>O14841</t>
  </si>
  <si>
    <t>O14867</t>
  </si>
  <si>
    <t>O14893-2</t>
  </si>
  <si>
    <t>O14907</t>
  </si>
  <si>
    <t>O14908</t>
  </si>
  <si>
    <t>O14920</t>
  </si>
  <si>
    <t>O14925</t>
  </si>
  <si>
    <t>O14929</t>
  </si>
  <si>
    <t>O14933</t>
  </si>
  <si>
    <t>O14949</t>
  </si>
  <si>
    <t>O14964</t>
  </si>
  <si>
    <t>O14965</t>
  </si>
  <si>
    <t>O14966</t>
  </si>
  <si>
    <t>O14967</t>
  </si>
  <si>
    <t>O14974-4</t>
  </si>
  <si>
    <t>O14975-2</t>
  </si>
  <si>
    <t>O14976</t>
  </si>
  <si>
    <t>O14979</t>
  </si>
  <si>
    <t>O14980</t>
  </si>
  <si>
    <t>O14981</t>
  </si>
  <si>
    <t>O15014</t>
  </si>
  <si>
    <t>O15015</t>
  </si>
  <si>
    <t>O15020-2</t>
  </si>
  <si>
    <t>O15040</t>
  </si>
  <si>
    <t>O15047</t>
  </si>
  <si>
    <t>O15056</t>
  </si>
  <si>
    <t>O15066</t>
  </si>
  <si>
    <t>O15067</t>
  </si>
  <si>
    <t>O15084</t>
  </si>
  <si>
    <t>O15085</t>
  </si>
  <si>
    <t>O15091-2</t>
  </si>
  <si>
    <t>O15111</t>
  </si>
  <si>
    <t>O15116</t>
  </si>
  <si>
    <t>O15117</t>
  </si>
  <si>
    <t>O15118</t>
  </si>
  <si>
    <t>O15126</t>
  </si>
  <si>
    <t>O15127</t>
  </si>
  <si>
    <t>O15143</t>
  </si>
  <si>
    <t>O15144</t>
  </si>
  <si>
    <t>O15145</t>
  </si>
  <si>
    <t>O15155</t>
  </si>
  <si>
    <t>O15160</t>
  </si>
  <si>
    <t>O15165-5</t>
  </si>
  <si>
    <t>O15173</t>
  </si>
  <si>
    <t>O15212</t>
  </si>
  <si>
    <t>O15213</t>
  </si>
  <si>
    <t>O15228</t>
  </si>
  <si>
    <t>O15234</t>
  </si>
  <si>
    <t>O15235</t>
  </si>
  <si>
    <t>O15239</t>
  </si>
  <si>
    <t>O15254</t>
  </si>
  <si>
    <t>O15258</t>
  </si>
  <si>
    <t>O15269</t>
  </si>
  <si>
    <t>O15270</t>
  </si>
  <si>
    <t>O15294-3</t>
  </si>
  <si>
    <t>O15305</t>
  </si>
  <si>
    <t>O15344</t>
  </si>
  <si>
    <t>O15347</t>
  </si>
  <si>
    <t>O15355</t>
  </si>
  <si>
    <t>O15379</t>
  </si>
  <si>
    <t>O15381</t>
  </si>
  <si>
    <t>O15382</t>
  </si>
  <si>
    <t>O15392-4</t>
  </si>
  <si>
    <t>O15397</t>
  </si>
  <si>
    <t>O15400-2</t>
  </si>
  <si>
    <t>O15427</t>
  </si>
  <si>
    <t>O15431</t>
  </si>
  <si>
    <t>O15439-2</t>
  </si>
  <si>
    <t>O15446</t>
  </si>
  <si>
    <t>O15498</t>
  </si>
  <si>
    <t>O15511</t>
  </si>
  <si>
    <t>O15514</t>
  </si>
  <si>
    <t>O15530</t>
  </si>
  <si>
    <t>O15541</t>
  </si>
  <si>
    <t>O43143</t>
  </si>
  <si>
    <t>O43148</t>
  </si>
  <si>
    <t>O43149</t>
  </si>
  <si>
    <t>O43156</t>
  </si>
  <si>
    <t>O43157-2</t>
  </si>
  <si>
    <t>O43164-2</t>
  </si>
  <si>
    <t>O43172-2</t>
  </si>
  <si>
    <t>O43175</t>
  </si>
  <si>
    <t>O43181</t>
  </si>
  <si>
    <t>O43237</t>
  </si>
  <si>
    <t>O43242</t>
  </si>
  <si>
    <t>O43252</t>
  </si>
  <si>
    <t>O43264</t>
  </si>
  <si>
    <t>O43290</t>
  </si>
  <si>
    <t>O43291</t>
  </si>
  <si>
    <t>O43295</t>
  </si>
  <si>
    <t>O43298</t>
  </si>
  <si>
    <t>O43310</t>
  </si>
  <si>
    <t>O43314-2</t>
  </si>
  <si>
    <t>O43318-2</t>
  </si>
  <si>
    <t>O43324</t>
  </si>
  <si>
    <t>O43390</t>
  </si>
  <si>
    <t>O43395</t>
  </si>
  <si>
    <t>O43396</t>
  </si>
  <si>
    <t>O43399</t>
  </si>
  <si>
    <t>O43402</t>
  </si>
  <si>
    <t>O43422</t>
  </si>
  <si>
    <t>O43427-2</t>
  </si>
  <si>
    <t>O43432</t>
  </si>
  <si>
    <t>O43447</t>
  </si>
  <si>
    <t>O43464-3</t>
  </si>
  <si>
    <t>O43482</t>
  </si>
  <si>
    <t>O43488</t>
  </si>
  <si>
    <t>O43502</t>
  </si>
  <si>
    <t>O43504</t>
  </si>
  <si>
    <t>O43505</t>
  </si>
  <si>
    <t>O43513</t>
  </si>
  <si>
    <t>O43516</t>
  </si>
  <si>
    <t>O43524</t>
  </si>
  <si>
    <t>O43542</t>
  </si>
  <si>
    <t>O43543</t>
  </si>
  <si>
    <t>O43566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</si>
  <si>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</si>
  <si>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</si>
  <si>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</si>
  <si>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</si>
  <si>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</si>
  <si>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</si>
  <si>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</si>
  <si>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</si>
  <si>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O43665-2</t>
  </si>
  <si>
    <t>O43674</t>
  </si>
  <si>
    <t>O43676</t>
  </si>
  <si>
    <t>O43677</t>
  </si>
  <si>
    <t>O43678</t>
  </si>
  <si>
    <t>O43681</t>
  </si>
  <si>
    <t>O43684</t>
  </si>
  <si>
    <t>O43707</t>
  </si>
  <si>
    <t>O43708</t>
  </si>
  <si>
    <t>O43709</t>
  </si>
  <si>
    <t>O43715</t>
  </si>
  <si>
    <t>O43719</t>
  </si>
  <si>
    <t>O43736-2</t>
  </si>
  <si>
    <t>O43752</t>
  </si>
  <si>
    <t>O43760</t>
  </si>
  <si>
    <t>O43765</t>
  </si>
  <si>
    <t>O43766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</si>
  <si>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</si>
  <si>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</si>
  <si>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</si>
  <si>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</si>
  <si>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</si>
  <si>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</si>
  <si>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</si>
  <si>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</si>
  <si>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</si>
  <si>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</si>
  <si>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</si>
  <si>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O43824</t>
  </si>
  <si>
    <t>O43829</t>
  </si>
  <si>
    <t>O43837</t>
  </si>
  <si>
    <t>O43852</t>
  </si>
  <si>
    <t>O43861-2</t>
  </si>
  <si>
    <t>O43865</t>
  </si>
  <si>
    <t>O43896</t>
  </si>
  <si>
    <t>O43913</t>
  </si>
  <si>
    <t>O43920</t>
  </si>
  <si>
    <t>O43924</t>
  </si>
  <si>
    <t>O43933</t>
  </si>
  <si>
    <t>O60216</t>
  </si>
  <si>
    <t>O60218</t>
  </si>
  <si>
    <t>O60220</t>
  </si>
  <si>
    <t>O60231</t>
  </si>
  <si>
    <t>O60234</t>
  </si>
  <si>
    <t>O60239</t>
  </si>
  <si>
    <t>O60244</t>
  </si>
  <si>
    <t>O60256</t>
  </si>
  <si>
    <t>O60262</t>
  </si>
  <si>
    <t>O60264</t>
  </si>
  <si>
    <t>O60271-4</t>
  </si>
  <si>
    <t>O60287</t>
  </si>
  <si>
    <t>O60294</t>
  </si>
  <si>
    <t>O60306</t>
  </si>
  <si>
    <t>O60307</t>
  </si>
  <si>
    <t>O60313-2</t>
  </si>
  <si>
    <t>O60331-4</t>
  </si>
  <si>
    <t>O60333-2</t>
  </si>
  <si>
    <t>O60341</t>
  </si>
  <si>
    <t>O60343-2</t>
  </si>
  <si>
    <t>O60344-4</t>
  </si>
  <si>
    <t>O60353-2</t>
  </si>
  <si>
    <t>O60361</t>
  </si>
  <si>
    <t>O60427</t>
  </si>
  <si>
    <t>O60443</t>
  </si>
  <si>
    <t>O60476</t>
  </si>
  <si>
    <t>O60488-2</t>
  </si>
  <si>
    <t>O60493</t>
  </si>
  <si>
    <t>O60496</t>
  </si>
  <si>
    <t>O60504-2</t>
  </si>
  <si>
    <t>O60506-3</t>
  </si>
  <si>
    <t>O60508</t>
  </si>
  <si>
    <t>O60518</t>
  </si>
  <si>
    <t>O60524-4</t>
  </si>
  <si>
    <t>O60547</t>
  </si>
  <si>
    <t>O60551</t>
  </si>
  <si>
    <t>O60563</t>
  </si>
  <si>
    <t>O60566</t>
  </si>
  <si>
    <t>O60568</t>
  </si>
  <si>
    <t>O60583-2</t>
  </si>
  <si>
    <t>O60613</t>
  </si>
  <si>
    <t>O60645-3</t>
  </si>
  <si>
    <t>O60664</t>
  </si>
  <si>
    <t>O60671</t>
  </si>
  <si>
    <t>O60678</t>
  </si>
  <si>
    <t>O60701</t>
  </si>
  <si>
    <t>O60704</t>
  </si>
  <si>
    <t>O60711</t>
  </si>
  <si>
    <t>O60725</t>
  </si>
  <si>
    <t>O60739</t>
  </si>
  <si>
    <t>O60749</t>
  </si>
  <si>
    <t>O60763</t>
  </si>
  <si>
    <t>O60783</t>
  </si>
  <si>
    <t>O60826</t>
  </si>
  <si>
    <t>O60828</t>
  </si>
  <si>
    <t>O60830</t>
  </si>
  <si>
    <t>O60831</t>
  </si>
  <si>
    <t>O60832</t>
  </si>
  <si>
    <t>O60841</t>
  </si>
  <si>
    <t>O60858</t>
  </si>
  <si>
    <t>O60861</t>
  </si>
  <si>
    <t>O60869</t>
  </si>
  <si>
    <t>O60870</t>
  </si>
  <si>
    <t>O60880</t>
  </si>
  <si>
    <t>O60880-4</t>
  </si>
  <si>
    <t>O60884</t>
  </si>
  <si>
    <t>O60885</t>
  </si>
  <si>
    <t>O60888-3</t>
  </si>
  <si>
    <t>O60906</t>
  </si>
  <si>
    <t>O60911</t>
  </si>
  <si>
    <t>O60925</t>
  </si>
  <si>
    <t>O60927</t>
  </si>
  <si>
    <t>O60934</t>
  </si>
  <si>
    <t>O60942</t>
  </si>
  <si>
    <t>O75027</t>
  </si>
  <si>
    <t>O75044</t>
  </si>
  <si>
    <t>O75054</t>
  </si>
  <si>
    <t>O75061-3</t>
  </si>
  <si>
    <t>O75063</t>
  </si>
  <si>
    <t>O75071</t>
  </si>
  <si>
    <t>O75083</t>
  </si>
  <si>
    <t>O75113</t>
  </si>
  <si>
    <t>O75116</t>
  </si>
  <si>
    <t>O75131</t>
  </si>
  <si>
    <t>O75143-2</t>
  </si>
  <si>
    <t>O75145-2</t>
  </si>
  <si>
    <t>O75146</t>
  </si>
  <si>
    <t>O75150</t>
  </si>
  <si>
    <t>O75151</t>
  </si>
  <si>
    <t>O75152</t>
  </si>
  <si>
    <t>O75155</t>
  </si>
  <si>
    <t>O75157-2</t>
  </si>
  <si>
    <t>O75164</t>
  </si>
  <si>
    <t>O75165</t>
  </si>
  <si>
    <t>O75170-4</t>
  </si>
  <si>
    <t>O75175</t>
  </si>
  <si>
    <t>O75177</t>
  </si>
  <si>
    <t>O75179-2</t>
  </si>
  <si>
    <t>O75190</t>
  </si>
  <si>
    <t>O75191</t>
  </si>
  <si>
    <t>O75208</t>
  </si>
  <si>
    <t>O75223</t>
  </si>
  <si>
    <t>O75264</t>
  </si>
  <si>
    <t>O75306</t>
  </si>
  <si>
    <t>O75312</t>
  </si>
  <si>
    <t>O75317</t>
  </si>
  <si>
    <t>O75323</t>
  </si>
  <si>
    <t>O75326</t>
  </si>
  <si>
    <t>O75330-2</t>
  </si>
  <si>
    <t>O75340</t>
  </si>
  <si>
    <t>O75347</t>
  </si>
  <si>
    <t>O75348</t>
  </si>
  <si>
    <t>O75351</t>
  </si>
  <si>
    <t>O75362</t>
  </si>
  <si>
    <t>O75367-2</t>
  </si>
  <si>
    <t>O75368</t>
  </si>
  <si>
    <t>O75369-8</t>
  </si>
  <si>
    <t>O75376</t>
  </si>
  <si>
    <t>O75379-2</t>
  </si>
  <si>
    <t>O75380</t>
  </si>
  <si>
    <t>O75381-2</t>
  </si>
  <si>
    <t>O75385</t>
  </si>
  <si>
    <t>O75391</t>
  </si>
  <si>
    <t>O75396</t>
  </si>
  <si>
    <t>O75400</t>
  </si>
  <si>
    <t>O75419-2</t>
  </si>
  <si>
    <t>O75420</t>
  </si>
  <si>
    <t>O75427</t>
  </si>
  <si>
    <t>O75436</t>
  </si>
  <si>
    <t>O75438</t>
  </si>
  <si>
    <t>O75439</t>
  </si>
  <si>
    <t>O75446</t>
  </si>
  <si>
    <t>O75449</t>
  </si>
  <si>
    <t>O75475</t>
  </si>
  <si>
    <t>O75477</t>
  </si>
  <si>
    <t>O75489</t>
  </si>
  <si>
    <t>O75503</t>
  </si>
  <si>
    <t>O75506</t>
  </si>
  <si>
    <t>O75521-2</t>
  </si>
  <si>
    <t>O75525</t>
  </si>
  <si>
    <t>O75528</t>
  </si>
  <si>
    <t>O75530</t>
  </si>
  <si>
    <t>O75531</t>
  </si>
  <si>
    <t>O75533</t>
  </si>
  <si>
    <t>O75534</t>
  </si>
  <si>
    <t>O75554</t>
  </si>
  <si>
    <t>O75569-3</t>
  </si>
  <si>
    <t>O75570</t>
  </si>
  <si>
    <t>O75575</t>
  </si>
  <si>
    <t>O75582</t>
  </si>
  <si>
    <t>O75600</t>
  </si>
  <si>
    <t>O75607</t>
  </si>
  <si>
    <t>O75608-2</t>
  </si>
  <si>
    <t>O75616</t>
  </si>
  <si>
    <t>O75629</t>
  </si>
  <si>
    <t>O75643</t>
  </si>
  <si>
    <t>O75648</t>
  </si>
  <si>
    <t>O75663</t>
  </si>
  <si>
    <t>O75683</t>
  </si>
  <si>
    <t>O75688</t>
  </si>
  <si>
    <t>O75691</t>
  </si>
  <si>
    <t>O75694-2</t>
  </si>
  <si>
    <t>O75695</t>
  </si>
  <si>
    <t>O75717</t>
  </si>
  <si>
    <t>O75746</t>
  </si>
  <si>
    <t>O75781</t>
  </si>
  <si>
    <t>O75791</t>
  </si>
  <si>
    <t>O75792</t>
  </si>
  <si>
    <t>O75794</t>
  </si>
  <si>
    <t>O75808</t>
  </si>
  <si>
    <t>O75818</t>
  </si>
  <si>
    <t>O75821</t>
  </si>
  <si>
    <t>O75822</t>
  </si>
  <si>
    <t>O75828</t>
  </si>
  <si>
    <t>O75843</t>
  </si>
  <si>
    <t>O75844</t>
  </si>
  <si>
    <t>O75865</t>
  </si>
  <si>
    <t>O75874</t>
  </si>
  <si>
    <t>O75882</t>
  </si>
  <si>
    <t>O75884</t>
  </si>
  <si>
    <t>O75886</t>
  </si>
  <si>
    <t>O75896</t>
  </si>
  <si>
    <t>O75909</t>
  </si>
  <si>
    <t>O75915</t>
  </si>
  <si>
    <t>O75925</t>
  </si>
  <si>
    <t>O75928-2</t>
  </si>
  <si>
    <t>O75934</t>
  </si>
  <si>
    <t>O75935</t>
  </si>
  <si>
    <t>O75937</t>
  </si>
  <si>
    <t>O75940</t>
  </si>
  <si>
    <t>O75943-4</t>
  </si>
  <si>
    <t>O75947</t>
  </si>
  <si>
    <t>O75955</t>
  </si>
  <si>
    <t>O75964</t>
  </si>
  <si>
    <t>O75973</t>
  </si>
  <si>
    <t>O75976</t>
  </si>
  <si>
    <t>O75995</t>
  </si>
  <si>
    <t>O76003</t>
  </si>
  <si>
    <t>O76021</t>
  </si>
  <si>
    <t>O76024</t>
  </si>
  <si>
    <t>O76031</t>
  </si>
  <si>
    <t>O76054-4</t>
  </si>
  <si>
    <t>O76071</t>
  </si>
  <si>
    <t>O76080</t>
  </si>
  <si>
    <t>O76094</t>
  </si>
  <si>
    <t>O76095-2</t>
  </si>
  <si>
    <t>O76096</t>
  </si>
  <si>
    <t>O94762</t>
  </si>
  <si>
    <t>O94763</t>
  </si>
  <si>
    <t>O94763-4</t>
  </si>
  <si>
    <t>O94766</t>
  </si>
  <si>
    <t>O94776</t>
  </si>
  <si>
    <t>O94782</t>
  </si>
  <si>
    <t>O94804</t>
  </si>
  <si>
    <t>O94819</t>
  </si>
  <si>
    <t>O94826</t>
  </si>
  <si>
    <t>O94829</t>
  </si>
  <si>
    <t>O94830</t>
  </si>
  <si>
    <t>O94832</t>
  </si>
  <si>
    <t>O94855</t>
  </si>
  <si>
    <t>O94864-2</t>
  </si>
  <si>
    <t>O94874</t>
  </si>
  <si>
    <t>O94880</t>
  </si>
  <si>
    <t>O94886</t>
  </si>
  <si>
    <t>O94888</t>
  </si>
  <si>
    <t>O94900</t>
  </si>
  <si>
    <t>O94903</t>
  </si>
  <si>
    <t>O94905</t>
  </si>
  <si>
    <t>O94906</t>
  </si>
  <si>
    <t>O94913</t>
  </si>
  <si>
    <t>O94919</t>
  </si>
  <si>
    <t>O94925</t>
  </si>
  <si>
    <t>O94925-3</t>
  </si>
  <si>
    <t>O94927</t>
  </si>
  <si>
    <t>O94952-1</t>
  </si>
  <si>
    <t>O94966-7</t>
  </si>
  <si>
    <t>O94967-2</t>
  </si>
  <si>
    <t>O94973</t>
  </si>
  <si>
    <t>O94973-2</t>
  </si>
  <si>
    <t>O94992</t>
  </si>
  <si>
    <t>O95059</t>
  </si>
  <si>
    <t>O95067</t>
  </si>
  <si>
    <t>O95081</t>
  </si>
  <si>
    <t>O95104</t>
  </si>
  <si>
    <t>O95139</t>
  </si>
  <si>
    <t>O95140</t>
  </si>
  <si>
    <t>O95155-2</t>
  </si>
  <si>
    <t>O95159</t>
  </si>
  <si>
    <t>O95163</t>
  </si>
  <si>
    <t>O95167</t>
  </si>
  <si>
    <t>O95168</t>
  </si>
  <si>
    <t>O95182</t>
  </si>
  <si>
    <t>O95183</t>
  </si>
  <si>
    <t>O95196-2</t>
  </si>
  <si>
    <t>O95197-2</t>
  </si>
  <si>
    <t>O95202</t>
  </si>
  <si>
    <t>O95218-2</t>
  </si>
  <si>
    <t>O95219</t>
  </si>
  <si>
    <t>O95229</t>
  </si>
  <si>
    <t>O95232</t>
  </si>
  <si>
    <t>O95235</t>
  </si>
  <si>
    <t>O95239</t>
  </si>
  <si>
    <t>O95251-4</t>
  </si>
  <si>
    <t>O95292</t>
  </si>
  <si>
    <t>O95295</t>
  </si>
  <si>
    <t>O95297-2</t>
  </si>
  <si>
    <t>O95298-2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</si>
  <si>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</si>
  <si>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</si>
  <si>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</si>
  <si>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</si>
  <si>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</si>
  <si>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</si>
  <si>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</si>
  <si>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</si>
  <si>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</si>
  <si>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</si>
  <si>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</si>
  <si>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</si>
  <si>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O95402</t>
  </si>
  <si>
    <t>O95405</t>
  </si>
  <si>
    <t>O95427</t>
  </si>
  <si>
    <t>O95429-2</t>
  </si>
  <si>
    <t>O95433</t>
  </si>
  <si>
    <t>O95453-2</t>
  </si>
  <si>
    <t>O95456</t>
  </si>
  <si>
    <t>O95466-2</t>
  </si>
  <si>
    <t>O95470</t>
  </si>
  <si>
    <t>O95473</t>
  </si>
  <si>
    <t>O95475</t>
  </si>
  <si>
    <t>O95486</t>
  </si>
  <si>
    <t>O95487-2</t>
  </si>
  <si>
    <t>O95544</t>
  </si>
  <si>
    <t>O95551</t>
  </si>
  <si>
    <t>O95568</t>
  </si>
  <si>
    <t>O95571</t>
  </si>
  <si>
    <t>O95573</t>
  </si>
  <si>
    <t>O95602</t>
  </si>
  <si>
    <t>O95619</t>
  </si>
  <si>
    <t>O95620</t>
  </si>
  <si>
    <t>O95628-3</t>
  </si>
  <si>
    <t>O95630</t>
  </si>
  <si>
    <t>O95639-3</t>
  </si>
  <si>
    <t>O95671-2</t>
  </si>
  <si>
    <t>O95674</t>
  </si>
  <si>
    <t>O95684</t>
  </si>
  <si>
    <t>O95716</t>
  </si>
  <si>
    <t>O95721</t>
  </si>
  <si>
    <t>O95747</t>
  </si>
  <si>
    <t>O95749</t>
  </si>
  <si>
    <t>O95777</t>
  </si>
  <si>
    <t>O95782-2</t>
  </si>
  <si>
    <t>O95786</t>
  </si>
  <si>
    <t>O95801</t>
  </si>
  <si>
    <t>O95807</t>
  </si>
  <si>
    <t>O95816</t>
  </si>
  <si>
    <t>O95817</t>
  </si>
  <si>
    <t>O95822</t>
  </si>
  <si>
    <t>O95825</t>
  </si>
  <si>
    <t>O95831-3</t>
  </si>
  <si>
    <t>O95834-2</t>
  </si>
  <si>
    <t>O95837</t>
  </si>
  <si>
    <t>O95848</t>
  </si>
  <si>
    <t>O95861</t>
  </si>
  <si>
    <t>O95864</t>
  </si>
  <si>
    <t>O95865</t>
  </si>
  <si>
    <t>O95873</t>
  </si>
  <si>
    <t>O95881</t>
  </si>
  <si>
    <t>O95905-2</t>
  </si>
  <si>
    <t>O95926</t>
  </si>
  <si>
    <t>O95980</t>
  </si>
  <si>
    <t>O95983-2</t>
  </si>
  <si>
    <t>O95989</t>
  </si>
  <si>
    <t>O95997</t>
  </si>
  <si>
    <t>O95999</t>
  </si>
  <si>
    <t>O96000</t>
  </si>
  <si>
    <t>O96006</t>
  </si>
  <si>
    <t>O96007</t>
  </si>
  <si>
    <t>O96008</t>
  </si>
  <si>
    <t>O96011</t>
  </si>
  <si>
    <t>O96013</t>
  </si>
  <si>
    <t>O96017</t>
  </si>
  <si>
    <t>O96019</t>
  </si>
  <si>
    <t>O96033</t>
  </si>
  <si>
    <t>P00167-2</t>
  </si>
  <si>
    <t>P00326</t>
  </si>
  <si>
    <t>P00338</t>
  </si>
  <si>
    <t>P00352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</si>
  <si>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</si>
  <si>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</si>
  <si>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</si>
  <si>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</si>
  <si>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</si>
  <si>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</si>
  <si>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</si>
  <si>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</si>
  <si>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</si>
  <si>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</si>
  <si>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P00558</t>
  </si>
  <si>
    <t>P00813</t>
  </si>
  <si>
    <t>P00846</t>
  </si>
  <si>
    <t>P00966</t>
  </si>
  <si>
    <t>P01009-2</t>
  </si>
  <si>
    <t>P01023</t>
  </si>
  <si>
    <t>P01024</t>
  </si>
  <si>
    <t>P01037</t>
  </si>
  <si>
    <t>P01111</t>
  </si>
  <si>
    <t>P01112</t>
  </si>
  <si>
    <t>P01116-2</t>
  </si>
  <si>
    <t>P01137</t>
  </si>
  <si>
    <t>P01730</t>
  </si>
  <si>
    <t>P01733</t>
  </si>
  <si>
    <t>P01737</t>
  </si>
  <si>
    <t>P01833</t>
  </si>
  <si>
    <t>P01834</t>
  </si>
  <si>
    <t>P01848</t>
  </si>
  <si>
    <t>P01850</t>
  </si>
  <si>
    <t>P01889</t>
  </si>
  <si>
    <t>P02008</t>
  </si>
  <si>
    <t>P02545</t>
  </si>
  <si>
    <t>P02747</t>
  </si>
  <si>
    <t>P02763</t>
  </si>
  <si>
    <t>P02766</t>
  </si>
  <si>
    <t>P02786</t>
  </si>
  <si>
    <t>P02792</t>
  </si>
  <si>
    <t>P02794</t>
  </si>
  <si>
    <t>P02795</t>
  </si>
  <si>
    <t>P03897</t>
  </si>
  <si>
    <t>P03928</t>
  </si>
  <si>
    <t>P04040</t>
  </si>
  <si>
    <t>P04053-2</t>
  </si>
  <si>
    <t>P04066</t>
  </si>
  <si>
    <t>P04075</t>
  </si>
  <si>
    <t>P04080</t>
  </si>
  <si>
    <t>P04083</t>
  </si>
  <si>
    <t>P04114</t>
  </si>
  <si>
    <t>P04150-7</t>
  </si>
  <si>
    <t>P04181</t>
  </si>
  <si>
    <t>P04183</t>
  </si>
  <si>
    <t>P04234</t>
  </si>
  <si>
    <t>P04264</t>
  </si>
  <si>
    <t>P04275</t>
  </si>
  <si>
    <t>P04350</t>
  </si>
  <si>
    <t>P04406</t>
  </si>
  <si>
    <t>P04406-2</t>
  </si>
  <si>
    <t>P04424</t>
  </si>
  <si>
    <t>P04632</t>
  </si>
  <si>
    <t>P04745</t>
  </si>
  <si>
    <t>P04818</t>
  </si>
  <si>
    <t>P04843</t>
  </si>
  <si>
    <t>P04844</t>
  </si>
  <si>
    <t>P04899</t>
  </si>
  <si>
    <t>P04920-2</t>
  </si>
  <si>
    <t>P04921-2</t>
  </si>
  <si>
    <t>P05023-4</t>
  </si>
  <si>
    <t>P05062</t>
  </si>
  <si>
    <t>P05089-3</t>
  </si>
  <si>
    <t>P05106</t>
  </si>
  <si>
    <t>P05107</t>
  </si>
  <si>
    <t>P05109</t>
  </si>
  <si>
    <t>P05114</t>
  </si>
  <si>
    <t>P05120</t>
  </si>
  <si>
    <t>P05121-2</t>
  </si>
  <si>
    <t>P05141</t>
  </si>
  <si>
    <t>P05161</t>
  </si>
  <si>
    <t>P05165-2</t>
  </si>
  <si>
    <t>P05198</t>
  </si>
  <si>
    <t>P05204</t>
  </si>
  <si>
    <t>P05362</t>
  </si>
  <si>
    <t>P05386</t>
  </si>
  <si>
    <t>P05387</t>
  </si>
  <si>
    <t>P05388</t>
  </si>
  <si>
    <t>P05412</t>
  </si>
  <si>
    <t>P05423</t>
  </si>
  <si>
    <t>P05455</t>
  </si>
  <si>
    <t>P05556</t>
  </si>
  <si>
    <t>P05771-2</t>
  </si>
  <si>
    <t>P06126</t>
  </si>
  <si>
    <t>P06127</t>
  </si>
  <si>
    <t>P06132</t>
  </si>
  <si>
    <t>P06239</t>
  </si>
  <si>
    <t>P06241-2</t>
  </si>
  <si>
    <t>P06280</t>
  </si>
  <si>
    <t>P06396-2</t>
  </si>
  <si>
    <t>P06400</t>
  </si>
  <si>
    <t>P06493</t>
  </si>
  <si>
    <t>P06576</t>
  </si>
  <si>
    <t>P06702</t>
  </si>
  <si>
    <t>P06729</t>
  </si>
  <si>
    <t>P06733</t>
  </si>
  <si>
    <t>P06733-2</t>
  </si>
  <si>
    <t>P06744</t>
  </si>
  <si>
    <t>P06746</t>
  </si>
  <si>
    <t>P06748</t>
  </si>
  <si>
    <t>P06753-2</t>
  </si>
  <si>
    <t>P06753-3</t>
  </si>
  <si>
    <t>P06753-5</t>
  </si>
  <si>
    <t>P06756-3</t>
  </si>
  <si>
    <t>P07099</t>
  </si>
  <si>
    <t>P07108</t>
  </si>
  <si>
    <t>P07195</t>
  </si>
  <si>
    <t>P07203</t>
  </si>
  <si>
    <t>P07205</t>
  </si>
  <si>
    <t>P07237</t>
  </si>
  <si>
    <t>P07305-2</t>
  </si>
  <si>
    <t>P07339</t>
  </si>
  <si>
    <t>P07355</t>
  </si>
  <si>
    <t>P07384</t>
  </si>
  <si>
    <t>P07686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</si>
  <si>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</si>
  <si>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</si>
  <si>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</si>
  <si>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</si>
  <si>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</si>
  <si>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</si>
  <si>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</si>
  <si>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</si>
  <si>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P07954-2</t>
  </si>
  <si>
    <t>P08047</t>
  </si>
  <si>
    <t>P08107</t>
  </si>
  <si>
    <t>P08133</t>
  </si>
  <si>
    <t>P08238</t>
  </si>
  <si>
    <t>P08240</t>
  </si>
  <si>
    <t>P08243-2</t>
  </si>
  <si>
    <t>P08397-2</t>
  </si>
  <si>
    <t>P08559</t>
  </si>
  <si>
    <t>P08567</t>
  </si>
  <si>
    <t>P08571</t>
  </si>
  <si>
    <t>P08574</t>
  </si>
  <si>
    <t>P08575</t>
  </si>
  <si>
    <t>P08579</t>
  </si>
  <si>
    <t>P08582</t>
  </si>
  <si>
    <t>P08590</t>
  </si>
  <si>
    <t>P08621-2</t>
  </si>
  <si>
    <t>P08648</t>
  </si>
  <si>
    <t>P08651-4</t>
  </si>
  <si>
    <t>P08670</t>
  </si>
  <si>
    <t>P08754</t>
  </si>
  <si>
    <t>P08758</t>
  </si>
  <si>
    <t>P09012</t>
  </si>
  <si>
    <t>P09104</t>
  </si>
  <si>
    <t>P09110</t>
  </si>
  <si>
    <t>P09132</t>
  </si>
  <si>
    <t>P09211</t>
  </si>
  <si>
    <t>P09234</t>
  </si>
  <si>
    <t>P09326</t>
  </si>
  <si>
    <t>P09382</t>
  </si>
  <si>
    <t>P09417</t>
  </si>
  <si>
    <t>P09429</t>
  </si>
  <si>
    <t>P09471-2</t>
  </si>
  <si>
    <t>P09488</t>
  </si>
  <si>
    <t>P09496-2</t>
  </si>
  <si>
    <t>P09497-2</t>
  </si>
  <si>
    <t>P09525</t>
  </si>
  <si>
    <t>P09543-2</t>
  </si>
  <si>
    <t>P09564</t>
  </si>
  <si>
    <t>P09622</t>
  </si>
  <si>
    <t>P09661</t>
  </si>
  <si>
    <t>P09668</t>
  </si>
  <si>
    <t>P09669</t>
  </si>
  <si>
    <t>P09693</t>
  </si>
  <si>
    <t>P09874</t>
  </si>
  <si>
    <t>P09960</t>
  </si>
  <si>
    <t>P09972</t>
  </si>
  <si>
    <t>P0C2W1</t>
  </si>
  <si>
    <t>P0C7P0</t>
  </si>
  <si>
    <t>P0C7P4</t>
  </si>
  <si>
    <t>P0C7T5</t>
  </si>
  <si>
    <t>P0CAP2</t>
  </si>
  <si>
    <t>P0CG12</t>
  </si>
  <si>
    <t>P0CG13</t>
  </si>
  <si>
    <t>P0CW22</t>
  </si>
  <si>
    <t>P0DJ93</t>
  </si>
  <si>
    <t>P10109</t>
  </si>
  <si>
    <t>P10155</t>
  </si>
  <si>
    <t>P10176</t>
  </si>
  <si>
    <t>P10253</t>
  </si>
  <si>
    <t>P10301</t>
  </si>
  <si>
    <t>P10398</t>
  </si>
  <si>
    <t>P10412</t>
  </si>
  <si>
    <t>P10515</t>
  </si>
  <si>
    <t>P10586-2</t>
  </si>
  <si>
    <t>P10599</t>
  </si>
  <si>
    <t>P10606</t>
  </si>
  <si>
    <t>P10619</t>
  </si>
  <si>
    <t>P10636-4</t>
  </si>
  <si>
    <t>P10644</t>
  </si>
  <si>
    <t>P10721-2</t>
  </si>
  <si>
    <t>P10746</t>
  </si>
  <si>
    <t>P10747</t>
  </si>
  <si>
    <t>P10768</t>
  </si>
  <si>
    <t>P10809</t>
  </si>
  <si>
    <t>P11021</t>
  </si>
  <si>
    <t>P11142</t>
  </si>
  <si>
    <t>P11166</t>
  </si>
  <si>
    <t>P11169</t>
  </si>
  <si>
    <t>P11171-2</t>
  </si>
  <si>
    <t>P11171-4</t>
  </si>
  <si>
    <t>P11172</t>
  </si>
  <si>
    <t>P11177-2</t>
  </si>
  <si>
    <t>P11182</t>
  </si>
  <si>
    <t>P11216</t>
  </si>
  <si>
    <t>P11233</t>
  </si>
  <si>
    <t>P11234</t>
  </si>
  <si>
    <t>P11274</t>
  </si>
  <si>
    <t>P11279</t>
  </si>
  <si>
    <t>P11387</t>
  </si>
  <si>
    <t>P11388</t>
  </si>
  <si>
    <t>P11413</t>
  </si>
  <si>
    <t>P11441</t>
  </si>
  <si>
    <t>P11498</t>
  </si>
  <si>
    <t>P11586</t>
  </si>
  <si>
    <t>P11717</t>
  </si>
  <si>
    <t>P11766</t>
  </si>
  <si>
    <t>P11802</t>
  </si>
  <si>
    <t>P11831</t>
  </si>
  <si>
    <t>P11908-2</t>
  </si>
  <si>
    <t>P11926</t>
  </si>
  <si>
    <t>P11940</t>
  </si>
  <si>
    <t>P12004</t>
  </si>
  <si>
    <t>P12081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</si>
  <si>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</si>
  <si>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</si>
  <si>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</si>
  <si>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</si>
  <si>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</si>
  <si>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</si>
  <si>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</si>
  <si>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</si>
  <si>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P12544-2</t>
  </si>
  <si>
    <t>P12814</t>
  </si>
  <si>
    <t>P12931</t>
  </si>
  <si>
    <t>P12955</t>
  </si>
  <si>
    <t>P12956</t>
  </si>
  <si>
    <t>P13010</t>
  </si>
  <si>
    <t>P13051</t>
  </si>
  <si>
    <t>P13051-2</t>
  </si>
  <si>
    <t>P13056</t>
  </si>
  <si>
    <t>P13073</t>
  </si>
  <si>
    <t>P13196</t>
  </si>
  <si>
    <t>P13284</t>
  </si>
  <si>
    <t>P13489</t>
  </si>
  <si>
    <t>P13598</t>
  </si>
  <si>
    <t>P13612</t>
  </si>
  <si>
    <t>P13637</t>
  </si>
  <si>
    <t>P13639</t>
  </si>
  <si>
    <t>P13667</t>
  </si>
  <si>
    <t>P13674-2</t>
  </si>
  <si>
    <t>P13693</t>
  </si>
  <si>
    <t>P13796</t>
  </si>
  <si>
    <t>P13804</t>
  </si>
  <si>
    <t>P13807-2</t>
  </si>
  <si>
    <t>P13861</t>
  </si>
  <si>
    <t>P13929-2</t>
  </si>
  <si>
    <t>P13984</t>
  </si>
  <si>
    <t>P13995</t>
  </si>
  <si>
    <t>P14136-3</t>
  </si>
  <si>
    <t>P14151</t>
  </si>
  <si>
    <t>P14174</t>
  </si>
  <si>
    <t>P14209-3</t>
  </si>
  <si>
    <t>P14317</t>
  </si>
  <si>
    <t>P14324-2</t>
  </si>
  <si>
    <t>P14550</t>
  </si>
  <si>
    <t>P14618</t>
  </si>
  <si>
    <t>P14618-2</t>
  </si>
  <si>
    <t>P14621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</si>
  <si>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</si>
  <si>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</si>
  <si>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</si>
  <si>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</si>
  <si>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</si>
  <si>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</si>
  <si>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</si>
  <si>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</si>
  <si>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P14921</t>
  </si>
  <si>
    <t>P14923</t>
  </si>
  <si>
    <t>P14927</t>
  </si>
  <si>
    <t>P15056</t>
  </si>
  <si>
    <t>P15104</t>
  </si>
  <si>
    <t>P15121</t>
  </si>
  <si>
    <t>P15151-3</t>
  </si>
  <si>
    <t>P15153</t>
  </si>
  <si>
    <t>P15170-2</t>
  </si>
  <si>
    <t>P15289</t>
  </si>
  <si>
    <t>P15311</t>
  </si>
  <si>
    <t>P15374</t>
  </si>
  <si>
    <t>P15428</t>
  </si>
  <si>
    <t>P15498</t>
  </si>
  <si>
    <t>P15529-15</t>
  </si>
  <si>
    <t>P15529-16</t>
  </si>
  <si>
    <t>P15531</t>
  </si>
  <si>
    <t>P15813</t>
  </si>
  <si>
    <t>P15848</t>
  </si>
  <si>
    <t>P15880</t>
  </si>
  <si>
    <t>P15882</t>
  </si>
  <si>
    <t>P15907</t>
  </si>
  <si>
    <t>P15923-2</t>
  </si>
  <si>
    <t>P15927</t>
  </si>
  <si>
    <t>P16035</t>
  </si>
  <si>
    <t>P16150</t>
  </si>
  <si>
    <t>P16219</t>
  </si>
  <si>
    <t>P16220</t>
  </si>
  <si>
    <t>P16278-3</t>
  </si>
  <si>
    <t>P16284-3</t>
  </si>
  <si>
    <t>P16298</t>
  </si>
  <si>
    <t>P16333</t>
  </si>
  <si>
    <t>P16383</t>
  </si>
  <si>
    <t>P16389-2</t>
  </si>
  <si>
    <t>P16401</t>
  </si>
  <si>
    <t>P16435</t>
  </si>
  <si>
    <t>P16455</t>
  </si>
  <si>
    <t>P16473</t>
  </si>
  <si>
    <t>P16591-3</t>
  </si>
  <si>
    <t>P16615</t>
  </si>
  <si>
    <t>P16885</t>
  </si>
  <si>
    <t>P16930</t>
  </si>
  <si>
    <t>P16949</t>
  </si>
  <si>
    <t>P16989</t>
  </si>
  <si>
    <t>P17026</t>
  </si>
  <si>
    <t>P17028</t>
  </si>
  <si>
    <t>P17050</t>
  </si>
  <si>
    <t>P17066</t>
  </si>
  <si>
    <t>P17096</t>
  </si>
  <si>
    <t>P17098</t>
  </si>
  <si>
    <t>P17152</t>
  </si>
  <si>
    <t>P17174</t>
  </si>
  <si>
    <t>P17181</t>
  </si>
  <si>
    <t>P17252</t>
  </si>
  <si>
    <t>P17275</t>
  </si>
  <si>
    <t>P17480</t>
  </si>
  <si>
    <t>P17535</t>
  </si>
  <si>
    <t>P17542-3</t>
  </si>
  <si>
    <t>P17544-4</t>
  </si>
  <si>
    <t>P17568</t>
  </si>
  <si>
    <t>P17600-2</t>
  </si>
  <si>
    <t>P17612</t>
  </si>
  <si>
    <t>P17706-2</t>
  </si>
  <si>
    <t>P17707</t>
  </si>
  <si>
    <t>P17812</t>
  </si>
  <si>
    <t>P17844</t>
  </si>
  <si>
    <t>P17858</t>
  </si>
  <si>
    <t>P17900</t>
  </si>
  <si>
    <t>P17987</t>
  </si>
  <si>
    <t>P18031</t>
  </si>
  <si>
    <t>P18065</t>
  </si>
  <si>
    <t>P18074</t>
  </si>
  <si>
    <t>P18077</t>
  </si>
  <si>
    <t>P18084</t>
  </si>
  <si>
    <t>P18085</t>
  </si>
  <si>
    <t>P18124</t>
  </si>
  <si>
    <t>P18146</t>
  </si>
  <si>
    <t>P18206-2</t>
  </si>
  <si>
    <t>P18615</t>
  </si>
  <si>
    <t>P18669</t>
  </si>
  <si>
    <t>P18754-2</t>
  </si>
  <si>
    <t>P18846</t>
  </si>
  <si>
    <t>P18858</t>
  </si>
  <si>
    <t>P18859</t>
  </si>
  <si>
    <t>P18887</t>
  </si>
  <si>
    <t>P19022</t>
  </si>
  <si>
    <t>P19174</t>
  </si>
  <si>
    <t>P19174-2</t>
  </si>
  <si>
    <t>P19338</t>
  </si>
  <si>
    <t>P19387</t>
  </si>
  <si>
    <t>P19388</t>
  </si>
  <si>
    <t>P19397</t>
  </si>
  <si>
    <t>P19447</t>
  </si>
  <si>
    <t>P19525</t>
  </si>
  <si>
    <t>P19532</t>
  </si>
  <si>
    <t>P19623</t>
  </si>
  <si>
    <t>P19784</t>
  </si>
  <si>
    <t>P19835</t>
  </si>
  <si>
    <t>P19838</t>
  </si>
  <si>
    <t>P20020-5</t>
  </si>
  <si>
    <t>P20042</t>
  </si>
  <si>
    <t>P20248</t>
  </si>
  <si>
    <t>P20290</t>
  </si>
  <si>
    <t>P20290-2</t>
  </si>
  <si>
    <t>P20292</t>
  </si>
  <si>
    <t>P20336</t>
  </si>
  <si>
    <t>P20337</t>
  </si>
  <si>
    <t>P20338</t>
  </si>
  <si>
    <t>P20340</t>
  </si>
  <si>
    <t>P20340-2</t>
  </si>
  <si>
    <t>P20618</t>
  </si>
  <si>
    <t>P20645</t>
  </si>
  <si>
    <t>P20671</t>
  </si>
  <si>
    <t>P20674</t>
  </si>
  <si>
    <t>P20700</t>
  </si>
  <si>
    <t>P20701</t>
  </si>
  <si>
    <t>P20774</t>
  </si>
  <si>
    <t>P20962</t>
  </si>
  <si>
    <t>P20963</t>
  </si>
  <si>
    <t>P21127-8</t>
  </si>
  <si>
    <t>P21266</t>
  </si>
  <si>
    <t>P21281</t>
  </si>
  <si>
    <t>P21283</t>
  </si>
  <si>
    <t>P21291</t>
  </si>
  <si>
    <t>P21333-2</t>
  </si>
  <si>
    <t>P21399</t>
  </si>
  <si>
    <t>P21549</t>
  </si>
  <si>
    <t>P21580</t>
  </si>
  <si>
    <t>P21675</t>
  </si>
  <si>
    <t>P21796</t>
  </si>
  <si>
    <t>P21912</t>
  </si>
  <si>
    <t>P21953</t>
  </si>
  <si>
    <t>P21964-2</t>
  </si>
  <si>
    <t>P22033</t>
  </si>
  <si>
    <t>P22059</t>
  </si>
  <si>
    <t>P22087</t>
  </si>
  <si>
    <t>P22102</t>
  </si>
  <si>
    <t>P22234</t>
  </si>
  <si>
    <t>P22307</t>
  </si>
  <si>
    <t>P22314</t>
  </si>
  <si>
    <t>P22570-5</t>
  </si>
  <si>
    <t>P22626</t>
  </si>
  <si>
    <t>P22670</t>
  </si>
  <si>
    <t>P22681</t>
  </si>
  <si>
    <t>P22694-4</t>
  </si>
  <si>
    <t>P22695</t>
  </si>
  <si>
    <t>P22830</t>
  </si>
  <si>
    <t>P23025</t>
  </si>
  <si>
    <t>P23109-2</t>
  </si>
  <si>
    <t>P23193</t>
  </si>
  <si>
    <t>P23246</t>
  </si>
  <si>
    <t>P23258</t>
  </si>
  <si>
    <t>P23284</t>
  </si>
  <si>
    <t>P23368</t>
  </si>
  <si>
    <t>P23378</t>
  </si>
  <si>
    <t>P23381</t>
  </si>
  <si>
    <t>P23396</t>
  </si>
  <si>
    <t>P23434</t>
  </si>
  <si>
    <t>P23469-3</t>
  </si>
  <si>
    <t>P23497</t>
  </si>
  <si>
    <t>P23511-2</t>
  </si>
  <si>
    <t>P23526</t>
  </si>
  <si>
    <t>P23527</t>
  </si>
  <si>
    <t>P23528</t>
  </si>
  <si>
    <t>P23610</t>
  </si>
  <si>
    <t>P23634-7</t>
  </si>
  <si>
    <t>P23743</t>
  </si>
  <si>
    <t>P23771</t>
  </si>
  <si>
    <t>P23786</t>
  </si>
  <si>
    <t>P23919</t>
  </si>
  <si>
    <t>P23921</t>
  </si>
  <si>
    <t>P24001-2</t>
  </si>
  <si>
    <t>P24311</t>
  </si>
  <si>
    <t>P24534</t>
  </si>
  <si>
    <t>P24588</t>
  </si>
  <si>
    <t>P24666</t>
  </si>
  <si>
    <t>P24666-2</t>
  </si>
  <si>
    <t>P24752</t>
  </si>
  <si>
    <t>P24928</t>
  </si>
  <si>
    <t>P25098</t>
  </si>
  <si>
    <t>P25205</t>
  </si>
  <si>
    <t>P25325</t>
  </si>
  <si>
    <t>P25398</t>
  </si>
  <si>
    <t>P25445-6</t>
  </si>
  <si>
    <t>P25490</t>
  </si>
  <si>
    <t>P25685</t>
  </si>
  <si>
    <t>P25686</t>
  </si>
  <si>
    <t>P25705</t>
  </si>
  <si>
    <t>P25786</t>
  </si>
  <si>
    <t>P25787</t>
  </si>
  <si>
    <t>P25788-2</t>
  </si>
  <si>
    <t>P25789</t>
  </si>
  <si>
    <t>P26010-2</t>
  </si>
  <si>
    <t>P26038</t>
  </si>
  <si>
    <t>P26196</t>
  </si>
  <si>
    <t>P26358</t>
  </si>
  <si>
    <t>P26368-2</t>
  </si>
  <si>
    <t>P26373</t>
  </si>
  <si>
    <t>P26374</t>
  </si>
  <si>
    <t>P26440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</si>
  <si>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</si>
  <si>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</si>
  <si>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</si>
  <si>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</si>
  <si>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</si>
  <si>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</si>
  <si>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</si>
  <si>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</si>
  <si>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P27361</t>
  </si>
  <si>
    <t>P27540-2</t>
  </si>
  <si>
    <t>P27635</t>
  </si>
  <si>
    <t>P27694</t>
  </si>
  <si>
    <t>P27695</t>
  </si>
  <si>
    <t>P27701</t>
  </si>
  <si>
    <t>P27797</t>
  </si>
  <si>
    <t>P27815</t>
  </si>
  <si>
    <t>P27816-5</t>
  </si>
  <si>
    <t>P27824</t>
  </si>
  <si>
    <t>P27986</t>
  </si>
  <si>
    <t>P27987-2</t>
  </si>
  <si>
    <t>P28062</t>
  </si>
  <si>
    <t>P28065</t>
  </si>
  <si>
    <t>P28066</t>
  </si>
  <si>
    <t>P28070</t>
  </si>
  <si>
    <t>P28072</t>
  </si>
  <si>
    <t>P28074</t>
  </si>
  <si>
    <t>P28074-3</t>
  </si>
  <si>
    <t>P28161</t>
  </si>
  <si>
    <t>P28331-4</t>
  </si>
  <si>
    <t>P28482</t>
  </si>
  <si>
    <t>P28702</t>
  </si>
  <si>
    <t>P28715</t>
  </si>
  <si>
    <t>P28799</t>
  </si>
  <si>
    <t>P28838</t>
  </si>
  <si>
    <t>P28907</t>
  </si>
  <si>
    <t>P28908</t>
  </si>
  <si>
    <t>P29016</t>
  </si>
  <si>
    <t>P29083</t>
  </si>
  <si>
    <t>P29084</t>
  </si>
  <si>
    <t>P29144</t>
  </si>
  <si>
    <t>P29218</t>
  </si>
  <si>
    <t>P29350</t>
  </si>
  <si>
    <t>P29353-7</t>
  </si>
  <si>
    <t>P29372-5</t>
  </si>
  <si>
    <t>P29401</t>
  </si>
  <si>
    <t>P29590</t>
  </si>
  <si>
    <t>P29965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</si>
  <si>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</si>
  <si>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</si>
  <si>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</si>
  <si>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</si>
  <si>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</si>
  <si>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</si>
  <si>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</si>
  <si>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</si>
  <si>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</si>
  <si>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</si>
  <si>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</si>
  <si>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</si>
  <si>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</si>
  <si>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</si>
  <si>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</si>
  <si>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P30203-5</t>
  </si>
  <si>
    <t>P30260</t>
  </si>
  <si>
    <t>P30281</t>
  </si>
  <si>
    <t>P30291</t>
  </si>
  <si>
    <t>P30405</t>
  </si>
  <si>
    <t>P30419</t>
  </si>
  <si>
    <t>P30480</t>
  </si>
  <si>
    <t>P30493</t>
  </si>
  <si>
    <t>P30495</t>
  </si>
  <si>
    <t>P30504</t>
  </si>
  <si>
    <t>P30519</t>
  </si>
  <si>
    <t>P30520</t>
  </si>
  <si>
    <t>P30533</t>
  </si>
  <si>
    <t>P30566</t>
  </si>
  <si>
    <t>P30613-2</t>
  </si>
  <si>
    <t>P30622-2</t>
  </si>
  <si>
    <t>P30679</t>
  </si>
  <si>
    <t>P30685</t>
  </si>
  <si>
    <t>P30740</t>
  </si>
  <si>
    <t>P30793</t>
  </si>
  <si>
    <t>P30825</t>
  </si>
  <si>
    <t>P31146</t>
  </si>
  <si>
    <t>P31150</t>
  </si>
  <si>
    <t>P31153</t>
  </si>
  <si>
    <t>P31321</t>
  </si>
  <si>
    <t>P31323</t>
  </si>
  <si>
    <t>P31327</t>
  </si>
  <si>
    <t>P31350</t>
  </si>
  <si>
    <t>P31641</t>
  </si>
  <si>
    <t>P31689</t>
  </si>
  <si>
    <t>P31749</t>
  </si>
  <si>
    <t>P31751</t>
  </si>
  <si>
    <t>P31785</t>
  </si>
  <si>
    <t>P31930</t>
  </si>
  <si>
    <t>P31937</t>
  </si>
  <si>
    <t>P31939</t>
  </si>
  <si>
    <t>P31942-2</t>
  </si>
  <si>
    <t>P31946-2</t>
  </si>
  <si>
    <t>P31947-2</t>
  </si>
  <si>
    <t>P31948</t>
  </si>
  <si>
    <t>P32019-3</t>
  </si>
  <si>
    <t>P32119</t>
  </si>
  <si>
    <t>P32121</t>
  </si>
  <si>
    <t>P32189-1</t>
  </si>
  <si>
    <t>P32321-2</t>
  </si>
  <si>
    <t>P32322</t>
  </si>
  <si>
    <t>P32455</t>
  </si>
  <si>
    <t>P32519-2</t>
  </si>
  <si>
    <t>P32780</t>
  </si>
  <si>
    <t>P32856-3</t>
  </si>
  <si>
    <t>P32929</t>
  </si>
  <si>
    <t>P32942</t>
  </si>
  <si>
    <t>P32969</t>
  </si>
  <si>
    <t>P33121</t>
  </si>
  <si>
    <t>P33176</t>
  </si>
  <si>
    <t>P33240-2</t>
  </si>
  <si>
    <t>P33241</t>
  </si>
  <si>
    <t>P33316-2</t>
  </si>
  <si>
    <t>P33527</t>
  </si>
  <si>
    <t>P33552</t>
  </si>
  <si>
    <t>P33897</t>
  </si>
  <si>
    <t>P33908</t>
  </si>
  <si>
    <t>P33981-2</t>
  </si>
  <si>
    <t>P33991</t>
  </si>
  <si>
    <t>P33992</t>
  </si>
  <si>
    <t>P33993</t>
  </si>
  <si>
    <t>P34059</t>
  </si>
  <si>
    <t>P34896-2</t>
  </si>
  <si>
    <t>P34897-3</t>
  </si>
  <si>
    <t>P34932</t>
  </si>
  <si>
    <t>P34947</t>
  </si>
  <si>
    <t>P34972</t>
  </si>
  <si>
    <t>P35219</t>
  </si>
  <si>
    <t>P35221</t>
  </si>
  <si>
    <t>P35232</t>
  </si>
  <si>
    <t>P35236-2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</si>
  <si>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</si>
  <si>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</si>
  <si>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</si>
  <si>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</si>
  <si>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</si>
  <si>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</si>
  <si>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</si>
  <si>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</si>
  <si>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</si>
  <si>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</si>
  <si>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P35408</t>
  </si>
  <si>
    <t>P35520</t>
  </si>
  <si>
    <t>P35573</t>
  </si>
  <si>
    <t>P35579</t>
  </si>
  <si>
    <t>P35580</t>
  </si>
  <si>
    <t>P35606</t>
  </si>
  <si>
    <t>P35610</t>
  </si>
  <si>
    <t>P35611</t>
  </si>
  <si>
    <t>P35612</t>
  </si>
  <si>
    <t>P35613-2</t>
  </si>
  <si>
    <t>P35626</t>
  </si>
  <si>
    <t>P35637-2</t>
  </si>
  <si>
    <t>P35658-2</t>
  </si>
  <si>
    <t>P35659</t>
  </si>
  <si>
    <t>P35754</t>
  </si>
  <si>
    <t>P35790</t>
  </si>
  <si>
    <t>P35813</t>
  </si>
  <si>
    <t>P35998</t>
  </si>
  <si>
    <t>P36404</t>
  </si>
  <si>
    <t>P36405</t>
  </si>
  <si>
    <t>P36507</t>
  </si>
  <si>
    <t>P36542</t>
  </si>
  <si>
    <t>P36543</t>
  </si>
  <si>
    <t>P36551</t>
  </si>
  <si>
    <t>P36578</t>
  </si>
  <si>
    <t>P36639-4</t>
  </si>
  <si>
    <t>P36871</t>
  </si>
  <si>
    <t>P36873-2</t>
  </si>
  <si>
    <t>P36915</t>
  </si>
  <si>
    <t>P36954</t>
  </si>
  <si>
    <t>P36957</t>
  </si>
  <si>
    <t>P36969-2</t>
  </si>
  <si>
    <t>P37108</t>
  </si>
  <si>
    <t>P37198</t>
  </si>
  <si>
    <t>P37235</t>
  </si>
  <si>
    <t>P37268</t>
  </si>
  <si>
    <t>P37275-3</t>
  </si>
  <si>
    <t>P37802</t>
  </si>
  <si>
    <t>P37837</t>
  </si>
  <si>
    <t>P38117</t>
  </si>
  <si>
    <t>P38159</t>
  </si>
  <si>
    <t>P38159-2</t>
  </si>
  <si>
    <t>P38571-2</t>
  </si>
  <si>
    <t>P38646</t>
  </si>
  <si>
    <t>P38919</t>
  </si>
  <si>
    <t>P38935</t>
  </si>
  <si>
    <t>P39019</t>
  </si>
  <si>
    <t>P39023</t>
  </si>
  <si>
    <t>P39656</t>
  </si>
  <si>
    <t>P39687</t>
  </si>
  <si>
    <t>P39748</t>
  </si>
  <si>
    <t>P39880-3</t>
  </si>
  <si>
    <t>P40121</t>
  </si>
  <si>
    <t>P40222</t>
  </si>
  <si>
    <t>P40227</t>
  </si>
  <si>
    <t>P40306</t>
  </si>
  <si>
    <t>P40337-3</t>
  </si>
  <si>
    <t>P40425</t>
  </si>
  <si>
    <t>P40692</t>
  </si>
  <si>
    <t>P40763</t>
  </si>
  <si>
    <t>P40818</t>
  </si>
  <si>
    <t>P40925</t>
  </si>
  <si>
    <t>P40926</t>
  </si>
  <si>
    <t>P40937</t>
  </si>
  <si>
    <t>P40938</t>
  </si>
  <si>
    <t>P40939</t>
  </si>
  <si>
    <t>P41091</t>
  </si>
  <si>
    <t>P41134</t>
  </si>
  <si>
    <t>P41208</t>
  </si>
  <si>
    <t>P41212</t>
  </si>
  <si>
    <t>P41214</t>
  </si>
  <si>
    <t>P41223</t>
  </si>
  <si>
    <t>P41227</t>
  </si>
  <si>
    <t>P41229-3</t>
  </si>
  <si>
    <t>P41240</t>
  </si>
  <si>
    <t>P41250</t>
  </si>
  <si>
    <t>P41252</t>
  </si>
  <si>
    <t>P41440</t>
  </si>
  <si>
    <t>P41567</t>
  </si>
  <si>
    <t>P41743</t>
  </si>
  <si>
    <t>P42025</t>
  </si>
  <si>
    <t>P42166</t>
  </si>
  <si>
    <t>P42167</t>
  </si>
  <si>
    <t>P42167-2</t>
  </si>
  <si>
    <t>P42224</t>
  </si>
  <si>
    <t>P42226</t>
  </si>
  <si>
    <t>P42285</t>
  </si>
  <si>
    <t>P42330</t>
  </si>
  <si>
    <t>P42331-5</t>
  </si>
  <si>
    <t>P42336</t>
  </si>
  <si>
    <t>P42338</t>
  </si>
  <si>
    <t>P42345</t>
  </si>
  <si>
    <t>P42566</t>
  </si>
  <si>
    <t>P42574</t>
  </si>
  <si>
    <t>P42575</t>
  </si>
  <si>
    <t>P42677</t>
  </si>
  <si>
    <t>P42695</t>
  </si>
  <si>
    <t>P42704</t>
  </si>
  <si>
    <t>P42765</t>
  </si>
  <si>
    <t>P42766</t>
  </si>
  <si>
    <t>P42768</t>
  </si>
  <si>
    <t>P42773</t>
  </si>
  <si>
    <t>P42785</t>
  </si>
  <si>
    <t>P42858</t>
  </si>
  <si>
    <t>P42892-3</t>
  </si>
  <si>
    <t>P42898</t>
  </si>
  <si>
    <t>P43003-2</t>
  </si>
  <si>
    <t>P43007</t>
  </si>
  <si>
    <t>P43034</t>
  </si>
  <si>
    <t>P43155-2</t>
  </si>
  <si>
    <t>P43250-2</t>
  </si>
  <si>
    <t>P43307</t>
  </si>
  <si>
    <t>P43378</t>
  </si>
  <si>
    <t>P43403</t>
  </si>
  <si>
    <t>P43487</t>
  </si>
  <si>
    <t>P43490</t>
  </si>
  <si>
    <t>P43686</t>
  </si>
  <si>
    <t>P43897</t>
  </si>
  <si>
    <t>P45880</t>
  </si>
  <si>
    <t>P45954</t>
  </si>
  <si>
    <t>P45973</t>
  </si>
  <si>
    <t>P45974-2</t>
  </si>
  <si>
    <t>P45983-3</t>
  </si>
  <si>
    <t>P45984-2</t>
  </si>
  <si>
    <t>P45985</t>
  </si>
  <si>
    <t>P46013</t>
  </si>
  <si>
    <t>P46060</t>
  </si>
  <si>
    <t>P46063</t>
  </si>
  <si>
    <t>P46087</t>
  </si>
  <si>
    <t>P46100-4</t>
  </si>
  <si>
    <t>P46108</t>
  </si>
  <si>
    <t>P46109</t>
  </si>
  <si>
    <t>P46199</t>
  </si>
  <si>
    <t>P46527</t>
  </si>
  <si>
    <t>P46531</t>
  </si>
  <si>
    <t>P46734</t>
  </si>
  <si>
    <t>P46736-2</t>
  </si>
  <si>
    <t>P46777</t>
  </si>
  <si>
    <t>P46778</t>
  </si>
  <si>
    <t>P46779</t>
  </si>
  <si>
    <t>P46781</t>
  </si>
  <si>
    <t>P46783</t>
  </si>
  <si>
    <t>P46926</t>
  </si>
  <si>
    <t>P46934-4</t>
  </si>
  <si>
    <t>P46939</t>
  </si>
  <si>
    <t>P46940</t>
  </si>
  <si>
    <t>P46976-2</t>
  </si>
  <si>
    <t>P46977</t>
  </si>
  <si>
    <t>P47755</t>
  </si>
  <si>
    <t>P47756-2</t>
  </si>
  <si>
    <t>P47813</t>
  </si>
  <si>
    <t>P47897</t>
  </si>
  <si>
    <t>P47914</t>
  </si>
  <si>
    <t>P47974</t>
  </si>
  <si>
    <t>P47985</t>
  </si>
  <si>
    <t>P48047</t>
  </si>
  <si>
    <t>P48059-5</t>
  </si>
  <si>
    <t>P48147</t>
  </si>
  <si>
    <t>P48200</t>
  </si>
  <si>
    <t>P48380-3</t>
  </si>
  <si>
    <t>P48444</t>
  </si>
  <si>
    <t>P48449</t>
  </si>
  <si>
    <t>P48454</t>
  </si>
  <si>
    <t>P48506</t>
  </si>
  <si>
    <t>P48507</t>
  </si>
  <si>
    <t>P48553</t>
  </si>
  <si>
    <t>P48634</t>
  </si>
  <si>
    <t>P48637</t>
  </si>
  <si>
    <t>P48643</t>
  </si>
  <si>
    <t>P48723</t>
  </si>
  <si>
    <t>P48729</t>
  </si>
  <si>
    <t>P48730-2</t>
  </si>
  <si>
    <t>P48735</t>
  </si>
  <si>
    <t>P48739</t>
  </si>
  <si>
    <t>P48960-2</t>
  </si>
  <si>
    <t>P49005</t>
  </si>
  <si>
    <t>P49006</t>
  </si>
  <si>
    <t>P49069</t>
  </si>
  <si>
    <t>P49116</t>
  </si>
  <si>
    <t>P49137</t>
  </si>
  <si>
    <t>P49189</t>
  </si>
  <si>
    <t>P49207</t>
  </si>
  <si>
    <t>P49247</t>
  </si>
  <si>
    <t>P49257</t>
  </si>
  <si>
    <t>P49281-2</t>
  </si>
  <si>
    <t>P49321</t>
  </si>
  <si>
    <t>P49327</t>
  </si>
  <si>
    <t>P49336-2</t>
  </si>
  <si>
    <t>P49354</t>
  </si>
  <si>
    <t>P49366</t>
  </si>
  <si>
    <t>P49368</t>
  </si>
  <si>
    <t>P49406</t>
  </si>
  <si>
    <t>P49411</t>
  </si>
  <si>
    <t>P49427</t>
  </si>
  <si>
    <t>P49454</t>
  </si>
  <si>
    <t>P49458</t>
  </si>
  <si>
    <t>P49459</t>
  </si>
  <si>
    <t>P49585</t>
  </si>
  <si>
    <t>P49588</t>
  </si>
  <si>
    <t>P49589-3</t>
  </si>
  <si>
    <t>P49591</t>
  </si>
  <si>
    <t>P49642</t>
  </si>
  <si>
    <t>P49643</t>
  </si>
  <si>
    <t>P49674</t>
  </si>
  <si>
    <t>P49711</t>
  </si>
  <si>
    <t>P49720</t>
  </si>
  <si>
    <t>P49721</t>
  </si>
  <si>
    <t>P49736</t>
  </si>
  <si>
    <t>P49748</t>
  </si>
  <si>
    <t>P49750-4</t>
  </si>
  <si>
    <t>P49754-2</t>
  </si>
  <si>
    <t>P49755</t>
  </si>
  <si>
    <t>P49756</t>
  </si>
  <si>
    <t>P49757-4</t>
  </si>
  <si>
    <t>P49768-2</t>
  </si>
  <si>
    <t>P49770</t>
  </si>
  <si>
    <t>P49773</t>
  </si>
  <si>
    <t>P49789</t>
  </si>
  <si>
    <t>P49790</t>
  </si>
  <si>
    <t>P49792</t>
  </si>
  <si>
    <t>P49840</t>
  </si>
  <si>
    <t>P49841</t>
  </si>
  <si>
    <t>P49902</t>
  </si>
  <si>
    <t>P49903</t>
  </si>
  <si>
    <t>P49914</t>
  </si>
  <si>
    <t>P49915</t>
  </si>
  <si>
    <t>P49916</t>
  </si>
  <si>
    <t>P49917</t>
  </si>
  <si>
    <t>P49959</t>
  </si>
  <si>
    <t>P50053</t>
  </si>
  <si>
    <t>P50148</t>
  </si>
  <si>
    <t>P50150</t>
  </si>
  <si>
    <t>P50151</t>
  </si>
  <si>
    <t>P50213</t>
  </si>
  <si>
    <t>P50238</t>
  </si>
  <si>
    <t>P50336</t>
  </si>
  <si>
    <t>P50402</t>
  </si>
  <si>
    <t>P50416</t>
  </si>
  <si>
    <t>P50440-3</t>
  </si>
  <si>
    <t>P50452</t>
  </si>
  <si>
    <t>P50454</t>
  </si>
  <si>
    <t>P50502</t>
  </si>
  <si>
    <t>P50552</t>
  </si>
  <si>
    <t>P50570-4</t>
  </si>
  <si>
    <t>P50579</t>
  </si>
  <si>
    <t>P50583</t>
  </si>
  <si>
    <t>P50747</t>
  </si>
  <si>
    <t>P50748</t>
  </si>
  <si>
    <t>P50749</t>
  </si>
  <si>
    <t>P50750</t>
  </si>
  <si>
    <t>P50851</t>
  </si>
  <si>
    <t>P50895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</si>
  <si>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</si>
  <si>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</si>
  <si>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</si>
  <si>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</si>
  <si>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</si>
  <si>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</si>
  <si>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</si>
  <si>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</si>
  <si>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P51157</t>
  </si>
  <si>
    <t>P51159</t>
  </si>
  <si>
    <t>P51398-2</t>
  </si>
  <si>
    <t>P51452</t>
  </si>
  <si>
    <t>P51513-5</t>
  </si>
  <si>
    <t>P51531</t>
  </si>
  <si>
    <t>P51553</t>
  </si>
  <si>
    <t>P51570</t>
  </si>
  <si>
    <t>P51571</t>
  </si>
  <si>
    <t>P51572</t>
  </si>
  <si>
    <t>P51580</t>
  </si>
  <si>
    <t>P51608</t>
  </si>
  <si>
    <t>P51610-2</t>
  </si>
  <si>
    <t>P51649</t>
  </si>
  <si>
    <t>P51659</t>
  </si>
  <si>
    <t>P51665</t>
  </si>
  <si>
    <t>P51668</t>
  </si>
  <si>
    <t>P51688</t>
  </si>
  <si>
    <t>P51692</t>
  </si>
  <si>
    <t>P51790-4</t>
  </si>
  <si>
    <t>P51795</t>
  </si>
  <si>
    <t>P51797</t>
  </si>
  <si>
    <t>P51798-2</t>
  </si>
  <si>
    <t>P51809</t>
  </si>
  <si>
    <t>P51813</t>
  </si>
  <si>
    <t>P51858</t>
  </si>
  <si>
    <t>P51948-2</t>
  </si>
  <si>
    <t>P51970</t>
  </si>
  <si>
    <t>P51991</t>
  </si>
  <si>
    <t>P52272-2</t>
  </si>
  <si>
    <t>P52292</t>
  </si>
  <si>
    <t>P52294</t>
  </si>
  <si>
    <t>P52298</t>
  </si>
  <si>
    <t>P52306</t>
  </si>
  <si>
    <t>P52435</t>
  </si>
  <si>
    <t>P52564</t>
  </si>
  <si>
    <t>P52565</t>
  </si>
  <si>
    <t>P52566</t>
  </si>
  <si>
    <t>P52594-2</t>
  </si>
  <si>
    <t>P52597</t>
  </si>
  <si>
    <t>P52630-4</t>
  </si>
  <si>
    <t>P52655</t>
  </si>
  <si>
    <t>P52732</t>
  </si>
  <si>
    <t>P52735-3</t>
  </si>
  <si>
    <t>P52756</t>
  </si>
  <si>
    <t>P52758</t>
  </si>
  <si>
    <t>P52788</t>
  </si>
  <si>
    <t>P52789</t>
  </si>
  <si>
    <t>P52798-2</t>
  </si>
  <si>
    <t>P52815</t>
  </si>
  <si>
    <t>P52888</t>
  </si>
  <si>
    <t>P52907</t>
  </si>
  <si>
    <t>P52943</t>
  </si>
  <si>
    <t>P52948-5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</si>
  <si>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</si>
  <si>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</si>
  <si>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</si>
  <si>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</si>
  <si>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</si>
  <si>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</si>
  <si>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</si>
  <si>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</si>
  <si>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P53567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</si>
  <si>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</si>
  <si>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</si>
  <si>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</si>
  <si>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</si>
  <si>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</si>
  <si>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</si>
  <si>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</si>
  <si>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</si>
  <si>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P53701</t>
  </si>
  <si>
    <t>P53778</t>
  </si>
  <si>
    <t>P53794</t>
  </si>
  <si>
    <t>P53801</t>
  </si>
  <si>
    <t>P53803</t>
  </si>
  <si>
    <t>P53985</t>
  </si>
  <si>
    <t>P53990-2</t>
  </si>
  <si>
    <t>P53992</t>
  </si>
  <si>
    <t>P53999</t>
  </si>
  <si>
    <t>P54098</t>
  </si>
  <si>
    <t>P54136</t>
  </si>
  <si>
    <t>P54259</t>
  </si>
  <si>
    <t>P54278</t>
  </si>
  <si>
    <t>P54577</t>
  </si>
  <si>
    <t>P54578</t>
  </si>
  <si>
    <t>P54619-2</t>
  </si>
  <si>
    <t>P54652</t>
  </si>
  <si>
    <t>P54687</t>
  </si>
  <si>
    <t>P54709</t>
  </si>
  <si>
    <t>P54710-2</t>
  </si>
  <si>
    <t>P54727</t>
  </si>
  <si>
    <t>P54819</t>
  </si>
  <si>
    <t>P54868</t>
  </si>
  <si>
    <t>P54886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</si>
  <si>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</si>
  <si>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</si>
  <si>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</si>
  <si>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</si>
  <si>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</si>
  <si>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</si>
  <si>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</si>
  <si>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</si>
  <si>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P55084</t>
  </si>
  <si>
    <t>P55145</t>
  </si>
  <si>
    <t>P55160</t>
  </si>
  <si>
    <t>P55199</t>
  </si>
  <si>
    <t>P55210</t>
  </si>
  <si>
    <t>P55212</t>
  </si>
  <si>
    <t>P55263</t>
  </si>
  <si>
    <t>P55273</t>
  </si>
  <si>
    <t>P55283</t>
  </si>
  <si>
    <t>P55327-2</t>
  </si>
  <si>
    <t>P55735</t>
  </si>
  <si>
    <t>P55789</t>
  </si>
  <si>
    <t>P55795</t>
  </si>
  <si>
    <t>P55809</t>
  </si>
  <si>
    <t>P55884</t>
  </si>
  <si>
    <t>P55899</t>
  </si>
  <si>
    <t>P55957</t>
  </si>
  <si>
    <t>P56134-3</t>
  </si>
  <si>
    <t>P56159-2</t>
  </si>
  <si>
    <t>P56181</t>
  </si>
  <si>
    <t>P56181-2</t>
  </si>
  <si>
    <t>P56182</t>
  </si>
  <si>
    <t>P56192</t>
  </si>
  <si>
    <t>P56199</t>
  </si>
  <si>
    <t>P56211</t>
  </si>
  <si>
    <t>P56270-2</t>
  </si>
  <si>
    <t>P56277</t>
  </si>
  <si>
    <t>P56282</t>
  </si>
  <si>
    <t>P56377</t>
  </si>
  <si>
    <t>P56378</t>
  </si>
  <si>
    <t>P56381</t>
  </si>
  <si>
    <t>P56385</t>
  </si>
  <si>
    <t>P56524</t>
  </si>
  <si>
    <t>P56537</t>
  </si>
  <si>
    <t>P56556</t>
  </si>
  <si>
    <t>P56559</t>
  </si>
  <si>
    <t>P56589</t>
  </si>
  <si>
    <t>P56937-3</t>
  </si>
  <si>
    <t>P56962</t>
  </si>
  <si>
    <t>P57075-2</t>
  </si>
  <si>
    <t>P57076</t>
  </si>
  <si>
    <t>P57081-2</t>
  </si>
  <si>
    <t>P57088</t>
  </si>
  <si>
    <t>P57105</t>
  </si>
  <si>
    <t>P57737-3</t>
  </si>
  <si>
    <t>P57740</t>
  </si>
  <si>
    <t>P57768</t>
  </si>
  <si>
    <t>P57772</t>
  </si>
  <si>
    <t>P58004</t>
  </si>
  <si>
    <t>P58546</t>
  </si>
  <si>
    <t>P58557-2</t>
  </si>
  <si>
    <t>P59190</t>
  </si>
  <si>
    <t>P60059</t>
  </si>
  <si>
    <t>P60174</t>
  </si>
  <si>
    <t>P60228</t>
  </si>
  <si>
    <t>P60468</t>
  </si>
  <si>
    <t>P60510</t>
  </si>
  <si>
    <t>P60520</t>
  </si>
  <si>
    <t>P60602</t>
  </si>
  <si>
    <t>P60604-2</t>
  </si>
  <si>
    <t>P60709</t>
  </si>
  <si>
    <t>P60763</t>
  </si>
  <si>
    <t>P60842</t>
  </si>
  <si>
    <t>P60866</t>
  </si>
  <si>
    <t>P60880-2</t>
  </si>
  <si>
    <t>P60891</t>
  </si>
  <si>
    <t>P60896</t>
  </si>
  <si>
    <t>P60900</t>
  </si>
  <si>
    <t>P60903</t>
  </si>
  <si>
    <t>P60953</t>
  </si>
  <si>
    <t>P60953-1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</si>
  <si>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</si>
  <si>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</si>
  <si>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</si>
  <si>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</si>
  <si>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</si>
  <si>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</si>
  <si>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</si>
  <si>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</si>
  <si>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</si>
  <si>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</si>
  <si>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</si>
  <si>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</si>
  <si>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</si>
  <si>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</si>
  <si>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</si>
  <si>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</si>
  <si>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</si>
  <si>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</si>
  <si>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</si>
  <si>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</si>
  <si>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P61204</t>
  </si>
  <si>
    <t>P61221</t>
  </si>
  <si>
    <t>P61224</t>
  </si>
  <si>
    <t>P61225</t>
  </si>
  <si>
    <t>P61244-2</t>
  </si>
  <si>
    <t>P61247</t>
  </si>
  <si>
    <t>P61254</t>
  </si>
  <si>
    <t>P61289</t>
  </si>
  <si>
    <t>P61326</t>
  </si>
  <si>
    <t>P61353</t>
  </si>
  <si>
    <t>P61457</t>
  </si>
  <si>
    <t>P61513</t>
  </si>
  <si>
    <t>P61586</t>
  </si>
  <si>
    <t>P61599</t>
  </si>
  <si>
    <t>P61604</t>
  </si>
  <si>
    <t>P61758</t>
  </si>
  <si>
    <t>P61764</t>
  </si>
  <si>
    <t>P61769</t>
  </si>
  <si>
    <t>P61925</t>
  </si>
  <si>
    <t>P61927</t>
  </si>
  <si>
    <t>P61962</t>
  </si>
  <si>
    <t>P61964</t>
  </si>
  <si>
    <t>P61966</t>
  </si>
  <si>
    <t>P61968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</si>
  <si>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</si>
  <si>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</si>
  <si>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</si>
  <si>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</si>
  <si>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</si>
  <si>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</si>
  <si>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</si>
  <si>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</si>
  <si>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</si>
  <si>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</si>
  <si>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</si>
  <si>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</si>
  <si>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</si>
  <si>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</si>
  <si>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</si>
  <si>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</si>
  <si>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</si>
  <si>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</si>
  <si>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</si>
  <si>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</si>
  <si>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</si>
  <si>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</si>
  <si>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</si>
  <si>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</si>
  <si>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</si>
  <si>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</si>
  <si>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</si>
  <si>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</si>
  <si>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</si>
  <si>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</si>
  <si>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</si>
  <si>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P62341</t>
  </si>
  <si>
    <t>P62380</t>
  </si>
  <si>
    <t>P62424</t>
  </si>
  <si>
    <t>P62487</t>
  </si>
  <si>
    <t>P62495</t>
  </si>
  <si>
    <t>P62633-2</t>
  </si>
  <si>
    <t>P62633-3</t>
  </si>
  <si>
    <t>P62633-4</t>
  </si>
  <si>
    <t>P62633-5</t>
  </si>
  <si>
    <t>P62699</t>
  </si>
  <si>
    <t>P62701</t>
  </si>
  <si>
    <t>P62714</t>
  </si>
  <si>
    <t>P62750</t>
  </si>
  <si>
    <t>P62753</t>
  </si>
  <si>
    <t>P62805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</si>
  <si>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</si>
  <si>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</si>
  <si>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</si>
  <si>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</si>
  <si>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</si>
  <si>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</si>
  <si>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</si>
  <si>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</si>
  <si>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P62875</t>
  </si>
  <si>
    <t>P62877</t>
  </si>
  <si>
    <t>P62879</t>
  </si>
  <si>
    <t>P62888</t>
  </si>
  <si>
    <t>P62899</t>
  </si>
  <si>
    <t>P62906</t>
  </si>
  <si>
    <t>P62913-2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</si>
  <si>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</si>
  <si>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</si>
  <si>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</si>
  <si>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</si>
  <si>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</si>
  <si>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</si>
  <si>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</si>
  <si>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</si>
  <si>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</si>
  <si>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P63092-3</t>
  </si>
  <si>
    <t>P63104</t>
  </si>
  <si>
    <t>P63146</t>
  </si>
  <si>
    <t>P63151</t>
  </si>
  <si>
    <t>P63167</t>
  </si>
  <si>
    <t>P63172</t>
  </si>
  <si>
    <t>P63173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</si>
  <si>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</si>
  <si>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</si>
  <si>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</si>
  <si>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</si>
  <si>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</si>
  <si>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</si>
  <si>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</si>
  <si>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</si>
  <si>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</si>
  <si>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</si>
  <si>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</si>
  <si>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</si>
  <si>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</si>
  <si>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</si>
  <si>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</si>
  <si>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P68871</t>
  </si>
  <si>
    <t>P69905</t>
  </si>
  <si>
    <t>P78316</t>
  </si>
  <si>
    <t>P78318</t>
  </si>
  <si>
    <t>P78330</t>
  </si>
  <si>
    <t>P78332</t>
  </si>
  <si>
    <t>P78345</t>
  </si>
  <si>
    <t>P78346</t>
  </si>
  <si>
    <t>P78347-2</t>
  </si>
  <si>
    <t>P78356</t>
  </si>
  <si>
    <t>P78362</t>
  </si>
  <si>
    <t>P78371</t>
  </si>
  <si>
    <t>P78406</t>
  </si>
  <si>
    <t>P78417</t>
  </si>
  <si>
    <t>P78527</t>
  </si>
  <si>
    <t>P78536</t>
  </si>
  <si>
    <t>P78537-2</t>
  </si>
  <si>
    <t>P78540</t>
  </si>
  <si>
    <t>P78549</t>
  </si>
  <si>
    <t>P79522-2</t>
  </si>
  <si>
    <t>P80217</t>
  </si>
  <si>
    <t>P80297</t>
  </si>
  <si>
    <t>P80303</t>
  </si>
  <si>
    <t>P81605</t>
  </si>
  <si>
    <t>P82094</t>
  </si>
  <si>
    <t>P82664</t>
  </si>
  <si>
    <t>P82673</t>
  </si>
  <si>
    <t>P82909</t>
  </si>
  <si>
    <t>P82912-2</t>
  </si>
  <si>
    <t>P82921</t>
  </si>
  <si>
    <t>P82932</t>
  </si>
  <si>
    <t>P82933</t>
  </si>
  <si>
    <t>P82979</t>
  </si>
  <si>
    <t>P83111</t>
  </si>
  <si>
    <t>P83436</t>
  </si>
  <si>
    <t>P83876</t>
  </si>
  <si>
    <t>P84085</t>
  </si>
  <si>
    <t>P84090</t>
  </si>
  <si>
    <t>P84095</t>
  </si>
  <si>
    <t>P84101-4</t>
  </si>
  <si>
    <t>P84157-2</t>
  </si>
  <si>
    <t>P85037</t>
  </si>
  <si>
    <t>P86791</t>
  </si>
  <si>
    <t>P98155-2</t>
  </si>
  <si>
    <t>P98160</t>
  </si>
  <si>
    <t>P98170</t>
  </si>
  <si>
    <t>P98172</t>
  </si>
  <si>
    <t>P98175-2</t>
  </si>
  <si>
    <t>P98179</t>
  </si>
  <si>
    <t>Q00013-2</t>
  </si>
  <si>
    <t>Q00059</t>
  </si>
  <si>
    <t>Q00169</t>
  </si>
  <si>
    <t>Q00266</t>
  </si>
  <si>
    <t>Q00325-2</t>
  </si>
  <si>
    <t>Q00341</t>
  </si>
  <si>
    <t>Q00403</t>
  </si>
  <si>
    <t>Q00526</t>
  </si>
  <si>
    <t>Q00534</t>
  </si>
  <si>
    <t>Q00535</t>
  </si>
  <si>
    <t>Q00536</t>
  </si>
  <si>
    <t>Q00577</t>
  </si>
  <si>
    <t>Q00610-2</t>
  </si>
  <si>
    <t>Q00653-4</t>
  </si>
  <si>
    <t>Q00688</t>
  </si>
  <si>
    <t>Q00765</t>
  </si>
  <si>
    <t>Q00796</t>
  </si>
  <si>
    <t>Q00839-2</t>
  </si>
  <si>
    <t>Q01081</t>
  </si>
  <si>
    <t>Q01082</t>
  </si>
  <si>
    <t>Q01082-3</t>
  </si>
  <si>
    <t>Q01085-2</t>
  </si>
  <si>
    <t>Q01105-2</t>
  </si>
  <si>
    <t>Q01151</t>
  </si>
  <si>
    <t>Q01167</t>
  </si>
  <si>
    <t>Q01196</t>
  </si>
  <si>
    <t>Q01415</t>
  </si>
  <si>
    <t>Q01432</t>
  </si>
  <si>
    <t>Q01433</t>
  </si>
  <si>
    <t>Q01459</t>
  </si>
  <si>
    <t>Q01469</t>
  </si>
  <si>
    <t>Q01518-2</t>
  </si>
  <si>
    <t>Q01543</t>
  </si>
  <si>
    <t>Q01581</t>
  </si>
  <si>
    <t>Q01650</t>
  </si>
  <si>
    <t>Q01658</t>
  </si>
  <si>
    <t>Q01664</t>
  </si>
  <si>
    <t>Q01780-2</t>
  </si>
  <si>
    <t>Q01813</t>
  </si>
  <si>
    <t>Q01826</t>
  </si>
  <si>
    <t>Q01968</t>
  </si>
  <si>
    <t>Q01970</t>
  </si>
  <si>
    <t>Q02040</t>
  </si>
  <si>
    <t>Q02078-3</t>
  </si>
  <si>
    <t>Q02083-2</t>
  </si>
  <si>
    <t>Q02108-2</t>
  </si>
  <si>
    <t>Q02127</t>
  </si>
  <si>
    <t>Q02224-3</t>
  </si>
  <si>
    <t>Q02241</t>
  </si>
  <si>
    <t>Q02252</t>
  </si>
  <si>
    <t>Q02338</t>
  </si>
  <si>
    <t>Q02383</t>
  </si>
  <si>
    <t>Q02410</t>
  </si>
  <si>
    <t>Q02446</t>
  </si>
  <si>
    <t>Q02447-3</t>
  </si>
  <si>
    <t>Q02535</t>
  </si>
  <si>
    <t>Q02543</t>
  </si>
  <si>
    <t>Q02750</t>
  </si>
  <si>
    <t>Q02790</t>
  </si>
  <si>
    <t>Q02809</t>
  </si>
  <si>
    <t>Q02818</t>
  </si>
  <si>
    <t>Q02880-2</t>
  </si>
  <si>
    <t>Q03013</t>
  </si>
  <si>
    <t>Q03111</t>
  </si>
  <si>
    <t>Q03405</t>
  </si>
  <si>
    <t>Q03519</t>
  </si>
  <si>
    <t>Q04446</t>
  </si>
  <si>
    <t>Q04656-5</t>
  </si>
  <si>
    <t>Q04721</t>
  </si>
  <si>
    <t>Q04759</t>
  </si>
  <si>
    <t>Q04760-2</t>
  </si>
  <si>
    <t>Q04837</t>
  </si>
  <si>
    <t>Q04917</t>
  </si>
  <si>
    <t>Q04941</t>
  </si>
  <si>
    <t>Q05048</t>
  </si>
  <si>
    <t>Q05086-3</t>
  </si>
  <si>
    <t>Q05193-3</t>
  </si>
  <si>
    <t>Q05519-2</t>
  </si>
  <si>
    <t>Q05639</t>
  </si>
  <si>
    <t>Q05655</t>
  </si>
  <si>
    <t>Q05932-3</t>
  </si>
  <si>
    <t>Q06124</t>
  </si>
  <si>
    <t>Q06136</t>
  </si>
  <si>
    <t>Q06203</t>
  </si>
  <si>
    <t>Q06210-2</t>
  </si>
  <si>
    <t>Q06265</t>
  </si>
  <si>
    <t>Q06323</t>
  </si>
  <si>
    <t>Q06330-4</t>
  </si>
  <si>
    <t>Q06481</t>
  </si>
  <si>
    <t>Q06546</t>
  </si>
  <si>
    <t>Q06547-2</t>
  </si>
  <si>
    <t>Q06587</t>
  </si>
  <si>
    <t>Q06609</t>
  </si>
  <si>
    <t>Q06787-6</t>
  </si>
  <si>
    <t>Q06830</t>
  </si>
  <si>
    <t>Q06945</t>
  </si>
  <si>
    <t>Q07021</t>
  </si>
  <si>
    <t>Q07065</t>
  </si>
  <si>
    <t>Q07108</t>
  </si>
  <si>
    <t>Q07617</t>
  </si>
  <si>
    <t>Q07666</t>
  </si>
  <si>
    <t>Q07812-5</t>
  </si>
  <si>
    <t>Q07820-2</t>
  </si>
  <si>
    <t>Q07866-3</t>
  </si>
  <si>
    <t>Q07866-6</t>
  </si>
  <si>
    <t>Q07954</t>
  </si>
  <si>
    <t>Q07960</t>
  </si>
  <si>
    <t>Q08170</t>
  </si>
  <si>
    <t>Q08209-2</t>
  </si>
  <si>
    <t>Q08211</t>
  </si>
  <si>
    <t>Q08257</t>
  </si>
  <si>
    <t>Q08357</t>
  </si>
  <si>
    <t>Q08378</t>
  </si>
  <si>
    <t>Q08379</t>
  </si>
  <si>
    <t>Q08380</t>
  </si>
  <si>
    <t>Q08554-2</t>
  </si>
  <si>
    <t>Q08722</t>
  </si>
  <si>
    <t>Q08752</t>
  </si>
  <si>
    <t>Q08881</t>
  </si>
  <si>
    <t>Q08945</t>
  </si>
  <si>
    <t>Q08AD1-2</t>
  </si>
  <si>
    <t>Q08AF3</t>
  </si>
  <si>
    <t>Q08AG7</t>
  </si>
  <si>
    <t>Q08AM6</t>
  </si>
  <si>
    <t>Q08J23</t>
  </si>
  <si>
    <t>Q09028-3</t>
  </si>
  <si>
    <t>Q09161</t>
  </si>
  <si>
    <t>Q09328</t>
  </si>
  <si>
    <t>Q09472</t>
  </si>
  <si>
    <t>Q09666</t>
  </si>
  <si>
    <t>Q0PNE2</t>
  </si>
  <si>
    <t>Q0VD83</t>
  </si>
  <si>
    <t>Q0VDF9</t>
  </si>
  <si>
    <t>Q0VDG4</t>
  </si>
  <si>
    <t>Q0VGL1</t>
  </si>
  <si>
    <t>Q10469</t>
  </si>
  <si>
    <t>Q10471</t>
  </si>
  <si>
    <t>Q10567-2</t>
  </si>
  <si>
    <t>Q10570</t>
  </si>
  <si>
    <t>Q10589</t>
  </si>
  <si>
    <t>Q10713</t>
  </si>
  <si>
    <t>Q12765</t>
  </si>
  <si>
    <t>Q12768</t>
  </si>
  <si>
    <t>Q12769</t>
  </si>
  <si>
    <t>Q12788</t>
  </si>
  <si>
    <t>Q12789-3</t>
  </si>
  <si>
    <t>Q12792</t>
  </si>
  <si>
    <t>Q12797-10</t>
  </si>
  <si>
    <t>Q12802-4</t>
  </si>
  <si>
    <t>Q12824-2</t>
  </si>
  <si>
    <t>Q12834</t>
  </si>
  <si>
    <t>Q12846</t>
  </si>
  <si>
    <t>Q12872</t>
  </si>
  <si>
    <t>Q12874</t>
  </si>
  <si>
    <t>Q12882</t>
  </si>
  <si>
    <t>Q12888</t>
  </si>
  <si>
    <t>Q12893</t>
  </si>
  <si>
    <t>Q12899</t>
  </si>
  <si>
    <t>Q12904</t>
  </si>
  <si>
    <t>Q12905</t>
  </si>
  <si>
    <t>Q12906-7</t>
  </si>
  <si>
    <t>Q12907</t>
  </si>
  <si>
    <t>Q12912-2</t>
  </si>
  <si>
    <t>Q12933-3</t>
  </si>
  <si>
    <t>Q12955</t>
  </si>
  <si>
    <t>Q12959-5</t>
  </si>
  <si>
    <t>Q12962</t>
  </si>
  <si>
    <t>Q12972</t>
  </si>
  <si>
    <t>Q12974</t>
  </si>
  <si>
    <t>Q12979-4</t>
  </si>
  <si>
    <t>Q12981</t>
  </si>
  <si>
    <t>Q12996</t>
  </si>
  <si>
    <t>Q13011</t>
  </si>
  <si>
    <t>Q13015</t>
  </si>
  <si>
    <t>Q13017-2</t>
  </si>
  <si>
    <t>Q13033-2</t>
  </si>
  <si>
    <t>Q13042-3</t>
  </si>
  <si>
    <t>Q13043</t>
  </si>
  <si>
    <t>Q13045-2</t>
  </si>
  <si>
    <t>Q13049</t>
  </si>
  <si>
    <t>Q13057</t>
  </si>
  <si>
    <t>Q13085</t>
  </si>
  <si>
    <t>Q13094</t>
  </si>
  <si>
    <t>Q13107-2</t>
  </si>
  <si>
    <t>Q13111</t>
  </si>
  <si>
    <t>Q13112</t>
  </si>
  <si>
    <t>Q13123</t>
  </si>
  <si>
    <t>Q13131</t>
  </si>
  <si>
    <t>Q13136</t>
  </si>
  <si>
    <t>Q13148</t>
  </si>
  <si>
    <t>Q13151</t>
  </si>
  <si>
    <t>Q13153</t>
  </si>
  <si>
    <t>Q13155</t>
  </si>
  <si>
    <t>Q13158</t>
  </si>
  <si>
    <t>Q13162</t>
  </si>
  <si>
    <t>Q13163-4</t>
  </si>
  <si>
    <t>Q13177</t>
  </si>
  <si>
    <t>Q13185</t>
  </si>
  <si>
    <t>Q13188</t>
  </si>
  <si>
    <t>Q13190-2</t>
  </si>
  <si>
    <t>Q13200</t>
  </si>
  <si>
    <t>Q13216</t>
  </si>
  <si>
    <t>Q13217</t>
  </si>
  <si>
    <t>Q13242</t>
  </si>
  <si>
    <t>Q13243</t>
  </si>
  <si>
    <t>Q13247-3</t>
  </si>
  <si>
    <t>Q13257</t>
  </si>
  <si>
    <t>Q13263</t>
  </si>
  <si>
    <t>Q13277-2</t>
  </si>
  <si>
    <t>Q13283</t>
  </si>
  <si>
    <t>Q13287</t>
  </si>
  <si>
    <t>Q13303</t>
  </si>
  <si>
    <t>Q13303-3</t>
  </si>
  <si>
    <t>Q13308</t>
  </si>
  <si>
    <t>Q13309</t>
  </si>
  <si>
    <t>Q13310-3</t>
  </si>
  <si>
    <t>Q13325</t>
  </si>
  <si>
    <t>Q13330-3</t>
  </si>
  <si>
    <t>Q13332-6</t>
  </si>
  <si>
    <t>Q13347</t>
  </si>
  <si>
    <t>Q13356</t>
  </si>
  <si>
    <t>Q13362-3</t>
  </si>
  <si>
    <t>Q13362-4</t>
  </si>
  <si>
    <t>Q13363</t>
  </si>
  <si>
    <t>Q13367</t>
  </si>
  <si>
    <t>Q13371</t>
  </si>
  <si>
    <t>Q13395</t>
  </si>
  <si>
    <t>Q13405</t>
  </si>
  <si>
    <t>Q13409-3</t>
  </si>
  <si>
    <t>Q13416</t>
  </si>
  <si>
    <t>Q13418</t>
  </si>
  <si>
    <t>Q13422</t>
  </si>
  <si>
    <t>Q13423</t>
  </si>
  <si>
    <t>Q13425</t>
  </si>
  <si>
    <t>Q13426</t>
  </si>
  <si>
    <t>Q13427</t>
  </si>
  <si>
    <t>Q13428-3</t>
  </si>
  <si>
    <t>Q13432-2</t>
  </si>
  <si>
    <t>Q13433</t>
  </si>
  <si>
    <t>Q13435</t>
  </si>
  <si>
    <t>Q13438-4</t>
  </si>
  <si>
    <t>Q13439-3</t>
  </si>
  <si>
    <t>Q13442</t>
  </si>
  <si>
    <t>Q13443</t>
  </si>
  <si>
    <t>Q13445</t>
  </si>
  <si>
    <t>Q13451</t>
  </si>
  <si>
    <t>Q13464</t>
  </si>
  <si>
    <t>Q13469-3</t>
  </si>
  <si>
    <t>Q13472-2</t>
  </si>
  <si>
    <t>Q13492-2</t>
  </si>
  <si>
    <t>Q13496</t>
  </si>
  <si>
    <t>Q13501</t>
  </si>
  <si>
    <t>Q13503</t>
  </si>
  <si>
    <t>Q13505-3</t>
  </si>
  <si>
    <t>Q13506</t>
  </si>
  <si>
    <t>Q13509</t>
  </si>
  <si>
    <t>Q13526</t>
  </si>
  <si>
    <t>Q13541</t>
  </si>
  <si>
    <t>Q13542</t>
  </si>
  <si>
    <t>Q13547</t>
  </si>
  <si>
    <t>Q13564</t>
  </si>
  <si>
    <t>Q13571</t>
  </si>
  <si>
    <t>Q13572</t>
  </si>
  <si>
    <t>Q13573</t>
  </si>
  <si>
    <t>Q13574</t>
  </si>
  <si>
    <t>Q13576</t>
  </si>
  <si>
    <t>Q13586</t>
  </si>
  <si>
    <t>Q13588</t>
  </si>
  <si>
    <t>Q13596</t>
  </si>
  <si>
    <t>Q13608</t>
  </si>
  <si>
    <t>Q13610</t>
  </si>
  <si>
    <t>Q13614</t>
  </si>
  <si>
    <t>Q13615-3</t>
  </si>
  <si>
    <t>Q13616</t>
  </si>
  <si>
    <t>Q13617</t>
  </si>
  <si>
    <t>Q13618</t>
  </si>
  <si>
    <t>Q13619</t>
  </si>
  <si>
    <t>Q13625-2</t>
  </si>
  <si>
    <t>Q13627-2</t>
  </si>
  <si>
    <t>Q13630</t>
  </si>
  <si>
    <t>Q13642-1</t>
  </si>
  <si>
    <t>Q13643</t>
  </si>
  <si>
    <t>Q13686</t>
  </si>
  <si>
    <t>Q13724</t>
  </si>
  <si>
    <t>Q13740-2</t>
  </si>
  <si>
    <t>Q13769</t>
  </si>
  <si>
    <t>Q13795</t>
  </si>
  <si>
    <t>Q13813</t>
  </si>
  <si>
    <t>Q13813-2</t>
  </si>
  <si>
    <t>Q13825</t>
  </si>
  <si>
    <t>Q13838</t>
  </si>
  <si>
    <t>Q13867</t>
  </si>
  <si>
    <t>Q13868</t>
  </si>
  <si>
    <t>Q13884</t>
  </si>
  <si>
    <t>Q13885</t>
  </si>
  <si>
    <t>Q13895</t>
  </si>
  <si>
    <t>Q13905</t>
  </si>
  <si>
    <t>Q13907</t>
  </si>
  <si>
    <t>Q13948</t>
  </si>
  <si>
    <t>Q13951</t>
  </si>
  <si>
    <t>Q13951-2</t>
  </si>
  <si>
    <t>Q13952-3</t>
  </si>
  <si>
    <t>Q14005-3</t>
  </si>
  <si>
    <t>Q14008-2</t>
  </si>
  <si>
    <t>Q14011</t>
  </si>
  <si>
    <t>Q14019</t>
  </si>
  <si>
    <t>Q14061</t>
  </si>
  <si>
    <t>Q14088</t>
  </si>
  <si>
    <t>Q14103-3</t>
  </si>
  <si>
    <t>Q14103-4</t>
  </si>
  <si>
    <t>Q14108</t>
  </si>
  <si>
    <t>Q14114</t>
  </si>
  <si>
    <t>Q14117</t>
  </si>
  <si>
    <t>Q14118</t>
  </si>
  <si>
    <t>Q14126</t>
  </si>
  <si>
    <t>Q14135</t>
  </si>
  <si>
    <t>Q14137</t>
  </si>
  <si>
    <t>Q14139</t>
  </si>
  <si>
    <t>Q14145</t>
  </si>
  <si>
    <t>Q14146</t>
  </si>
  <si>
    <t>Q14147</t>
  </si>
  <si>
    <t>Q14149</t>
  </si>
  <si>
    <t>Q14151</t>
  </si>
  <si>
    <t>Q14152</t>
  </si>
  <si>
    <t>Q14153</t>
  </si>
  <si>
    <t>Q14157-1</t>
  </si>
  <si>
    <t>Q14157-3</t>
  </si>
  <si>
    <t>Q14160</t>
  </si>
  <si>
    <t>Q14161</t>
  </si>
  <si>
    <t>Q14165</t>
  </si>
  <si>
    <t>Q14166</t>
  </si>
  <si>
    <t>Q14181</t>
  </si>
  <si>
    <t>Q14183</t>
  </si>
  <si>
    <t>Q14186</t>
  </si>
  <si>
    <t>Q14188</t>
  </si>
  <si>
    <t>Q14204</t>
  </si>
  <si>
    <t>Q14232</t>
  </si>
  <si>
    <t>Q14240</t>
  </si>
  <si>
    <t>Q14241</t>
  </si>
  <si>
    <t>Q14242</t>
  </si>
  <si>
    <t>Q14247</t>
  </si>
  <si>
    <t>Q14247-2</t>
  </si>
  <si>
    <t>Q14249</t>
  </si>
  <si>
    <t>Q14254</t>
  </si>
  <si>
    <t>Q14257</t>
  </si>
  <si>
    <t>Q14258</t>
  </si>
  <si>
    <t>Q14289-2</t>
  </si>
  <si>
    <t>Q14318-2</t>
  </si>
  <si>
    <t>Q14320</t>
  </si>
  <si>
    <t>Q14331</t>
  </si>
  <si>
    <t>Q14344</t>
  </si>
  <si>
    <t>Q14353</t>
  </si>
  <si>
    <t>Q14376</t>
  </si>
  <si>
    <t>Q14444</t>
  </si>
  <si>
    <t>Q14457</t>
  </si>
  <si>
    <t>Q14469</t>
  </si>
  <si>
    <t>Q14498-2</t>
  </si>
  <si>
    <t>Q14517</t>
  </si>
  <si>
    <t>Q14520-2</t>
  </si>
  <si>
    <t>Q14527</t>
  </si>
  <si>
    <t>Q14534</t>
  </si>
  <si>
    <t>Q14554</t>
  </si>
  <si>
    <t>Q14558-2</t>
  </si>
  <si>
    <t>Q14562</t>
  </si>
  <si>
    <t>Q14566</t>
  </si>
  <si>
    <t>Q14644</t>
  </si>
  <si>
    <t>Q14651</t>
  </si>
  <si>
    <t>Q14653</t>
  </si>
  <si>
    <t>Q14657</t>
  </si>
  <si>
    <t>Q14669-2</t>
  </si>
  <si>
    <t>Q14676</t>
  </si>
  <si>
    <t>Q14677</t>
  </si>
  <si>
    <t>Q14677-3</t>
  </si>
  <si>
    <t>Q14681</t>
  </si>
  <si>
    <t>Q14683</t>
  </si>
  <si>
    <t>Q14684-2</t>
  </si>
  <si>
    <t>Q14686</t>
  </si>
  <si>
    <t>Q14687-2</t>
  </si>
  <si>
    <t>Q14690</t>
  </si>
  <si>
    <t>Q14691</t>
  </si>
  <si>
    <t>Q14692</t>
  </si>
  <si>
    <t>Q14693</t>
  </si>
  <si>
    <t>Q14694</t>
  </si>
  <si>
    <t>Q14696</t>
  </si>
  <si>
    <t>Q14697</t>
  </si>
  <si>
    <t>Q14697-2</t>
  </si>
  <si>
    <t>Q14699</t>
  </si>
  <si>
    <t>Q14739</t>
  </si>
  <si>
    <t>Q14746-2</t>
  </si>
  <si>
    <t>Q14761</t>
  </si>
  <si>
    <t>Q14764</t>
  </si>
  <si>
    <t>Q14789</t>
  </si>
  <si>
    <t>Q14790-2</t>
  </si>
  <si>
    <t>Q147X3</t>
  </si>
  <si>
    <t>Q14807</t>
  </si>
  <si>
    <t>Q14847</t>
  </si>
  <si>
    <t>Q14894</t>
  </si>
  <si>
    <t>Q14964</t>
  </si>
  <si>
    <t>Q14966</t>
  </si>
  <si>
    <t>Q14974</t>
  </si>
  <si>
    <t>Q14978-2</t>
  </si>
  <si>
    <t>Q14980-2</t>
  </si>
  <si>
    <t>Q14990</t>
  </si>
  <si>
    <t>Q14997</t>
  </si>
  <si>
    <t>Q14BN4-2</t>
  </si>
  <si>
    <t>Q14C86-5</t>
  </si>
  <si>
    <t>Q14CX7</t>
  </si>
  <si>
    <t>Q15003</t>
  </si>
  <si>
    <t>Q15004</t>
  </si>
  <si>
    <t>Q15006</t>
  </si>
  <si>
    <t>Q15007</t>
  </si>
  <si>
    <t>Q15008</t>
  </si>
  <si>
    <t>Q15011-3</t>
  </si>
  <si>
    <t>Q15013</t>
  </si>
  <si>
    <t>Q15014</t>
  </si>
  <si>
    <t>Q15018</t>
  </si>
  <si>
    <t>Q15019-2</t>
  </si>
  <si>
    <t>Q15020</t>
  </si>
  <si>
    <t>Q15021</t>
  </si>
  <si>
    <t>Q15022</t>
  </si>
  <si>
    <t>Q15024</t>
  </si>
  <si>
    <t>Q15027</t>
  </si>
  <si>
    <t>Q15029-2</t>
  </si>
  <si>
    <t>Q15031</t>
  </si>
  <si>
    <t>Q15032-2</t>
  </si>
  <si>
    <t>Q15036-2</t>
  </si>
  <si>
    <t>Q15042</t>
  </si>
  <si>
    <t>Q15043-2</t>
  </si>
  <si>
    <t>Q15046</t>
  </si>
  <si>
    <t>Q15050</t>
  </si>
  <si>
    <t>Q15052</t>
  </si>
  <si>
    <t>Q15056</t>
  </si>
  <si>
    <t>Q15056-2</t>
  </si>
  <si>
    <t>Q15057</t>
  </si>
  <si>
    <t>Q15058</t>
  </si>
  <si>
    <t>Q15059</t>
  </si>
  <si>
    <t>Q15061</t>
  </si>
  <si>
    <t>Q15067-2</t>
  </si>
  <si>
    <t>Q15075</t>
  </si>
  <si>
    <t>Q15102</t>
  </si>
  <si>
    <t>Q15118</t>
  </si>
  <si>
    <t>Q15119</t>
  </si>
  <si>
    <t>Q15120</t>
  </si>
  <si>
    <t>Q15125</t>
  </si>
  <si>
    <t>Q15126</t>
  </si>
  <si>
    <t>Q15149</t>
  </si>
  <si>
    <t>Q15149-3</t>
  </si>
  <si>
    <t>Q15154-2</t>
  </si>
  <si>
    <t>Q15155</t>
  </si>
  <si>
    <t>Q15170-2</t>
  </si>
  <si>
    <t>Q15172</t>
  </si>
  <si>
    <t>Q15173-2</t>
  </si>
  <si>
    <t>Q15181</t>
  </si>
  <si>
    <t>Q15208</t>
  </si>
  <si>
    <t>Q15223</t>
  </si>
  <si>
    <t>Q15233</t>
  </si>
  <si>
    <t>Q15257</t>
  </si>
  <si>
    <t>Q15269</t>
  </si>
  <si>
    <t>Q15274</t>
  </si>
  <si>
    <t>Q15276</t>
  </si>
  <si>
    <t>Q15283-2</t>
  </si>
  <si>
    <t>Q15286</t>
  </si>
  <si>
    <t>Q15291</t>
  </si>
  <si>
    <t>Q15293</t>
  </si>
  <si>
    <t>Q15311</t>
  </si>
  <si>
    <t>Q15334</t>
  </si>
  <si>
    <t>Q15345</t>
  </si>
  <si>
    <t>Q15363</t>
  </si>
  <si>
    <t>Q15365</t>
  </si>
  <si>
    <t>Q15366-2</t>
  </si>
  <si>
    <t>Q15366-3</t>
  </si>
  <si>
    <t>Q15370</t>
  </si>
  <si>
    <t>Q15382</t>
  </si>
  <si>
    <t>Q15386</t>
  </si>
  <si>
    <t>Q15393</t>
  </si>
  <si>
    <t>Q15398-3</t>
  </si>
  <si>
    <t>Q15404</t>
  </si>
  <si>
    <t>Q15417</t>
  </si>
  <si>
    <t>Q15424</t>
  </si>
  <si>
    <t>Q15427</t>
  </si>
  <si>
    <t>Q15428</t>
  </si>
  <si>
    <t>Q15435</t>
  </si>
  <si>
    <t>Q15437</t>
  </si>
  <si>
    <t>Q15438-2</t>
  </si>
  <si>
    <t>Q15459</t>
  </si>
  <si>
    <t>Q15477</t>
  </si>
  <si>
    <t>Q15506</t>
  </si>
  <si>
    <t>Q15526-2</t>
  </si>
  <si>
    <t>Q15527</t>
  </si>
  <si>
    <t>Q15542</t>
  </si>
  <si>
    <t>Q15544</t>
  </si>
  <si>
    <t>Q15545</t>
  </si>
  <si>
    <t>Q15554</t>
  </si>
  <si>
    <t>Q15555-4</t>
  </si>
  <si>
    <t>Q15560-2</t>
  </si>
  <si>
    <t>Q15596</t>
  </si>
  <si>
    <t>Q15599</t>
  </si>
  <si>
    <t>Q15628</t>
  </si>
  <si>
    <t>Q15637-5</t>
  </si>
  <si>
    <t>Q15642-2</t>
  </si>
  <si>
    <t>Q15643</t>
  </si>
  <si>
    <t>Q15645</t>
  </si>
  <si>
    <t>Q15648</t>
  </si>
  <si>
    <t>Q15649</t>
  </si>
  <si>
    <t>Q15650</t>
  </si>
  <si>
    <t>Q15652-3</t>
  </si>
  <si>
    <t>Q15691</t>
  </si>
  <si>
    <t>Q15714</t>
  </si>
  <si>
    <t>Q15717</t>
  </si>
  <si>
    <t>Q15738</t>
  </si>
  <si>
    <t>Q15742-3</t>
  </si>
  <si>
    <t>Q15743</t>
  </si>
  <si>
    <t>Q15746-4</t>
  </si>
  <si>
    <t>Q15750-2</t>
  </si>
  <si>
    <t>Q15751</t>
  </si>
  <si>
    <t>Q15758</t>
  </si>
  <si>
    <t>Q15759</t>
  </si>
  <si>
    <t>Q15773</t>
  </si>
  <si>
    <t>Q15777-2</t>
  </si>
  <si>
    <t>Q15785</t>
  </si>
  <si>
    <t>Q15796-2</t>
  </si>
  <si>
    <t>Q15800</t>
  </si>
  <si>
    <t>Q15813</t>
  </si>
  <si>
    <t>Q15814</t>
  </si>
  <si>
    <t>Q15819</t>
  </si>
  <si>
    <t>Q15831-2</t>
  </si>
  <si>
    <t>Q15833</t>
  </si>
  <si>
    <t>Q15834</t>
  </si>
  <si>
    <t>Q15836</t>
  </si>
  <si>
    <t>Q15853-2</t>
  </si>
  <si>
    <t>Q15904</t>
  </si>
  <si>
    <t>Q15906</t>
  </si>
  <si>
    <t>Q15907</t>
  </si>
  <si>
    <t>Q15910</t>
  </si>
  <si>
    <t>Q15942</t>
  </si>
  <si>
    <t>Q15973-4</t>
  </si>
  <si>
    <t>Q16134</t>
  </si>
  <si>
    <t>Q16143</t>
  </si>
  <si>
    <t>Q16181</t>
  </si>
  <si>
    <t>Q16186</t>
  </si>
  <si>
    <t>Q16204</t>
  </si>
  <si>
    <t>Q16222-2</t>
  </si>
  <si>
    <t>Q16254</t>
  </si>
  <si>
    <t>Q16401-2</t>
  </si>
  <si>
    <t>Q16512</t>
  </si>
  <si>
    <t>Q16513-2</t>
  </si>
  <si>
    <t>Q16514-2</t>
  </si>
  <si>
    <t>Q16526</t>
  </si>
  <si>
    <t>Q16531</t>
  </si>
  <si>
    <t>Q16539</t>
  </si>
  <si>
    <t>Q16543</t>
  </si>
  <si>
    <t>Q16555</t>
  </si>
  <si>
    <t>Q16566</t>
  </si>
  <si>
    <t>Q16576</t>
  </si>
  <si>
    <t>Q16587-5</t>
  </si>
  <si>
    <t>Q16594</t>
  </si>
  <si>
    <t>Q16625-4</t>
  </si>
  <si>
    <t>Q16626</t>
  </si>
  <si>
    <t>Q16643</t>
  </si>
  <si>
    <t>Q16644</t>
  </si>
  <si>
    <t>Q16656-2</t>
  </si>
  <si>
    <t>Q16658</t>
  </si>
  <si>
    <t>Q16666-2</t>
  </si>
  <si>
    <t>Q16670-2</t>
  </si>
  <si>
    <t>Q16706</t>
  </si>
  <si>
    <t>Q16718</t>
  </si>
  <si>
    <t>Q16740</t>
  </si>
  <si>
    <t>Q16762</t>
  </si>
  <si>
    <t>Q16763</t>
  </si>
  <si>
    <t>Q16775</t>
  </si>
  <si>
    <t>Q16778</t>
  </si>
  <si>
    <t>Q16795</t>
  </si>
  <si>
    <t>Q16822</t>
  </si>
  <si>
    <t>Q16854</t>
  </si>
  <si>
    <t>Q16864</t>
  </si>
  <si>
    <t>Q16891-2</t>
  </si>
  <si>
    <t>Q17R31-2</t>
  </si>
  <si>
    <t>Q17RN3</t>
  </si>
  <si>
    <t>Q17RU2</t>
  </si>
  <si>
    <t>Q1KMD3</t>
  </si>
  <si>
    <t>Q1MSJ5-1</t>
  </si>
  <si>
    <t>Q27J81-2</t>
  </si>
  <si>
    <t>Q29718</t>
  </si>
  <si>
    <t>Q29940</t>
  </si>
  <si>
    <t>Q29963</t>
  </si>
  <si>
    <t>Q29RF7</t>
  </si>
  <si>
    <t>Q2KHT3</t>
  </si>
  <si>
    <t>Q2M296-2</t>
  </si>
  <si>
    <t>Q2M2I8-2</t>
  </si>
  <si>
    <t>Q2M389</t>
  </si>
  <si>
    <t>Q2NKX8</t>
  </si>
  <si>
    <t>Q2NL82</t>
  </si>
  <si>
    <t>Q2NL98</t>
  </si>
  <si>
    <t>Q2PZI1</t>
  </si>
  <si>
    <t>Q2T9J0</t>
  </si>
  <si>
    <t>Q2TAA5</t>
  </si>
  <si>
    <t>Q2TAL8</t>
  </si>
  <si>
    <t>Q2TAM5</t>
  </si>
  <si>
    <t>Q2TAY7</t>
  </si>
  <si>
    <t>Q2VPB7</t>
  </si>
  <si>
    <t>Q2VPS2</t>
  </si>
  <si>
    <t>Q32MZ4-2</t>
  </si>
  <si>
    <t>Q32MZ4-3</t>
  </si>
  <si>
    <t>Q32MZ4-4</t>
  </si>
  <si>
    <t>Q32MZ9</t>
  </si>
  <si>
    <t>Q32P28</t>
  </si>
  <si>
    <t>Q32P41</t>
  </si>
  <si>
    <t>Q32Q12</t>
  </si>
  <si>
    <t>Q3B726</t>
  </si>
  <si>
    <t>Q3B7J2</t>
  </si>
  <si>
    <t>Q3B7T1-5</t>
  </si>
  <si>
    <t>Q3KQU3-4</t>
  </si>
  <si>
    <t>Q3KQV9</t>
  </si>
  <si>
    <t>Q3KRA6</t>
  </si>
  <si>
    <t>Q3KRA9</t>
  </si>
  <si>
    <t>Q3LXA3</t>
  </si>
  <si>
    <t>Q3MHD2</t>
  </si>
  <si>
    <t>Q3MII6</t>
  </si>
  <si>
    <t>Q3MIT2</t>
  </si>
  <si>
    <t>Q3SXM5</t>
  </si>
  <si>
    <t>Q3SXY8</t>
  </si>
  <si>
    <t>Q3T906</t>
  </si>
  <si>
    <t>Q3V6T2-2</t>
  </si>
  <si>
    <t>Q3YEC7</t>
  </si>
  <si>
    <t>Q3ZAQ7</t>
  </si>
  <si>
    <t>Q3ZCM7</t>
  </si>
  <si>
    <t>Q3ZCQ8</t>
  </si>
  <si>
    <t>Q3ZCW2</t>
  </si>
  <si>
    <t>Q49AR2</t>
  </si>
  <si>
    <t>Q49B96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</si>
  <si>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</si>
  <si>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</si>
  <si>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</si>
  <si>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</si>
  <si>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</si>
  <si>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</si>
  <si>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</si>
  <si>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</si>
  <si>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</si>
  <si>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Q4KWH8-3</t>
  </si>
  <si>
    <t>Q4LDG9</t>
  </si>
  <si>
    <t>Q4LE39-3</t>
  </si>
  <si>
    <t>Q4TT34</t>
  </si>
  <si>
    <t>Q4V328</t>
  </si>
  <si>
    <t>Q4VC05</t>
  </si>
  <si>
    <t>Q4VC05-2</t>
  </si>
  <si>
    <t>Q4VXZ8</t>
  </si>
  <si>
    <t>Q4ZIN3-2</t>
  </si>
  <si>
    <t>Q504Q3-2</t>
  </si>
  <si>
    <t>Q504U0</t>
  </si>
  <si>
    <t>Q52LA3</t>
  </si>
  <si>
    <t>Q52LJ0-2</t>
  </si>
  <si>
    <t>Q53EL6-2</t>
  </si>
  <si>
    <t>Q53ET0</t>
  </si>
  <si>
    <t>Q53EU6</t>
  </si>
  <si>
    <t>Q53EZ4</t>
  </si>
  <si>
    <t>Q53F19</t>
  </si>
  <si>
    <t>Q53FA7</t>
  </si>
  <si>
    <t>Q53GL0-2</t>
  </si>
  <si>
    <t>Q53GQ0</t>
  </si>
  <si>
    <t>Q53GS7-2</t>
  </si>
  <si>
    <t>Q53H12</t>
  </si>
  <si>
    <t>Q53H47</t>
  </si>
  <si>
    <t>Q53H80</t>
  </si>
  <si>
    <t>Q53H82</t>
  </si>
  <si>
    <t>Q53H96</t>
  </si>
  <si>
    <t>Q53QZ3</t>
  </si>
  <si>
    <t>Q53R41</t>
  </si>
  <si>
    <t>Q53S33</t>
  </si>
  <si>
    <t>Q53T59</t>
  </si>
  <si>
    <t>Q53TN4-3</t>
  </si>
  <si>
    <t>Q562F6-2</t>
  </si>
  <si>
    <t>Q562R1</t>
  </si>
  <si>
    <t>Q567Q0</t>
  </si>
  <si>
    <t>Q567V2-2</t>
  </si>
  <si>
    <t>Q56VL3</t>
  </si>
  <si>
    <t>Q587I9</t>
  </si>
  <si>
    <t>Q58FF8</t>
  </si>
  <si>
    <t>Q58FG1</t>
  </si>
  <si>
    <t>Q58WW2</t>
  </si>
  <si>
    <t>Q5BJF2</t>
  </si>
  <si>
    <t>Q5BKU9</t>
  </si>
  <si>
    <t>Q5BKX5</t>
  </si>
  <si>
    <t>Q5BKZ1</t>
  </si>
  <si>
    <t>Q5CZ79</t>
  </si>
  <si>
    <t>Q5D1E8</t>
  </si>
  <si>
    <t>Q5EBL4</t>
  </si>
  <si>
    <t>Q5EBL8</t>
  </si>
  <si>
    <t>Q5EBM0</t>
  </si>
  <si>
    <t>Q5F1R6</t>
  </si>
  <si>
    <t>Q5FBB7-5</t>
  </si>
  <si>
    <t>Q5GLZ8-3</t>
  </si>
  <si>
    <t>Q5H8X8</t>
  </si>
  <si>
    <t>Q5H937</t>
  </si>
  <si>
    <t>Q5HY62</t>
  </si>
  <si>
    <t>Q5HYI8</t>
  </si>
  <si>
    <t>Q5HYK3</t>
  </si>
  <si>
    <t>Q5JP53</t>
  </si>
  <si>
    <t>Q5JPE7-2</t>
  </si>
  <si>
    <t>Q5JPI9</t>
  </si>
  <si>
    <t>Q5JR08</t>
  </si>
  <si>
    <t>Q5JRA6</t>
  </si>
  <si>
    <t>Q5JRI1</t>
  </si>
  <si>
    <t>Q5JRX3</t>
  </si>
  <si>
    <t>Q5JS37-2</t>
  </si>
  <si>
    <t>Q5JS54</t>
  </si>
  <si>
    <t>Q5JSH3-2</t>
  </si>
  <si>
    <t>Q5JSL0</t>
  </si>
  <si>
    <t>Q5JSP0</t>
  </si>
  <si>
    <t>Q5JSZ5</t>
  </si>
  <si>
    <t>Q5JTD0-2</t>
  </si>
  <si>
    <t>Q5JTH9-2</t>
  </si>
  <si>
    <t>Q5JTJ3-3</t>
  </si>
  <si>
    <t>Q5JTV1</t>
  </si>
  <si>
    <t>Q5JTV8</t>
  </si>
  <si>
    <t>Q5JTZ9</t>
  </si>
  <si>
    <t>Q5JU69</t>
  </si>
  <si>
    <t>Q5JUL1</t>
  </si>
  <si>
    <t>Q5JUR7</t>
  </si>
  <si>
    <t>Q5JUW8</t>
  </si>
  <si>
    <t>Q5JVF3-3</t>
  </si>
  <si>
    <t>Q5JVS0</t>
  </si>
  <si>
    <t>Q5JVZ5</t>
  </si>
  <si>
    <t>Q5JWB9</t>
  </si>
  <si>
    <t>Q5JWT2</t>
  </si>
  <si>
    <t>Q5JY65</t>
  </si>
  <si>
    <t>Q5K651</t>
  </si>
  <si>
    <t>Q5M775-5</t>
  </si>
  <si>
    <t>Q5MIZ7-3</t>
  </si>
  <si>
    <t>Q5MNZ6</t>
  </si>
  <si>
    <t>Q5QJE6</t>
  </si>
  <si>
    <t>Q5QNY5</t>
  </si>
  <si>
    <t>Q5QNZ2</t>
  </si>
  <si>
    <t>Q5QP56</t>
  </si>
  <si>
    <t>Q5QP82-2</t>
  </si>
  <si>
    <t>Q5QPK2</t>
  </si>
  <si>
    <t>Q5QPM7</t>
  </si>
  <si>
    <t>Q5R372-4</t>
  </si>
  <si>
    <t>Q5R3B4</t>
  </si>
  <si>
    <t>Q5RI15</t>
  </si>
  <si>
    <t>Q5RJ85</t>
  </si>
  <si>
    <t>Q5RKV6</t>
  </si>
  <si>
    <t>Q5SGD2</t>
  </si>
  <si>
    <t>Q5SPT7</t>
  </si>
  <si>
    <t>Q5SQI0-5</t>
  </si>
  <si>
    <t>Q5SR47</t>
  </si>
  <si>
    <t>Q5SR56</t>
  </si>
  <si>
    <t>Q5SRE5</t>
  </si>
  <si>
    <t>Q5SRN5</t>
  </si>
  <si>
    <t>Q5SRQ6</t>
  </si>
  <si>
    <t>Q5SSJ5</t>
  </si>
  <si>
    <t>Q5ST30</t>
  </si>
  <si>
    <t>Q5STX8</t>
  </si>
  <si>
    <t>Q5SVK8</t>
  </si>
  <si>
    <t>Q5SW79</t>
  </si>
  <si>
    <t>Q5SW96</t>
  </si>
  <si>
    <t>Q5SWX3</t>
  </si>
  <si>
    <t>Q5SWX8-3</t>
  </si>
  <si>
    <t>Q5SXM2</t>
  </si>
  <si>
    <t>Q5SXM8</t>
  </si>
  <si>
    <t>Q5SZE3</t>
  </si>
  <si>
    <t>Q5SZG2</t>
  </si>
  <si>
    <t>Q5SZR4</t>
  </si>
  <si>
    <t>Q5T0D9</t>
  </si>
  <si>
    <t>Q5T0N5-3</t>
  </si>
  <si>
    <t>Q5T0Q6</t>
  </si>
  <si>
    <t>Q5T0V0</t>
  </si>
  <si>
    <t>Q5T114</t>
  </si>
  <si>
    <t>Q5T123</t>
  </si>
  <si>
    <t>Q5T160</t>
  </si>
  <si>
    <t>Q5T171</t>
  </si>
  <si>
    <t>Q5T1M5</t>
  </si>
  <si>
    <t>Q5T1V6</t>
  </si>
  <si>
    <t>Q5T1Z4</t>
  </si>
  <si>
    <t>Q5T200</t>
  </si>
  <si>
    <t>Q5T280</t>
  </si>
  <si>
    <t>Q5T2E6</t>
  </si>
  <si>
    <t>Q5T2R2-3</t>
  </si>
  <si>
    <t>Q5T3J3-2</t>
  </si>
  <si>
    <t>Q5T427</t>
  </si>
  <si>
    <t>Q5T440</t>
  </si>
  <si>
    <t>Q5T447</t>
  </si>
  <si>
    <t>Q5T4F4-7</t>
  </si>
  <si>
    <t>Q5T4K2</t>
  </si>
  <si>
    <t>Q5T4S7-3</t>
  </si>
  <si>
    <t>Q5T4U5</t>
  </si>
  <si>
    <t>Q5T593</t>
  </si>
  <si>
    <t>Q5T5C0-3</t>
  </si>
  <si>
    <t>Q5T5Y3</t>
  </si>
  <si>
    <t>Q5T6F2</t>
  </si>
  <si>
    <t>Q5T6J7</t>
  </si>
  <si>
    <t>Q5T6N4</t>
  </si>
  <si>
    <t>Q5T6V5</t>
  </si>
  <si>
    <t>Q5T7A4</t>
  </si>
  <si>
    <t>Q5T8D3-2</t>
  </si>
  <si>
    <t>Q5T8I0</t>
  </si>
  <si>
    <t>Q5T8P6-3</t>
  </si>
  <si>
    <t>Q5T8T7</t>
  </si>
  <si>
    <t>Q5T8U5</t>
  </si>
  <si>
    <t>Q5T911</t>
  </si>
  <si>
    <t>Q5T9A4</t>
  </si>
  <si>
    <t>Q5TA02</t>
  </si>
  <si>
    <t>Q5TA45-3</t>
  </si>
  <si>
    <t>Q5TAL2</t>
  </si>
  <si>
    <t>Q5TAX3</t>
  </si>
  <si>
    <t>Q5TBB1</t>
  </si>
  <si>
    <t>Q5TBP5</t>
  </si>
  <si>
    <t>Q5TD07</t>
  </si>
  <si>
    <t>Q5TDG9</t>
  </si>
  <si>
    <t>Q5TDH0</t>
  </si>
  <si>
    <t>Q5TE25</t>
  </si>
  <si>
    <t>Q5TEU4</t>
  </si>
  <si>
    <t>Q5TF39</t>
  </si>
  <si>
    <t>Q5TFA5</t>
  </si>
  <si>
    <t>Q5TFE4</t>
  </si>
  <si>
    <t>Q5THJ4-2</t>
  </si>
  <si>
    <t>Q5THK1-3</t>
  </si>
  <si>
    <t>Q5THR1</t>
  </si>
  <si>
    <t>Q5TIE1</t>
  </si>
  <si>
    <t>Q5TIH2</t>
  </si>
  <si>
    <t>Q5TZA2</t>
  </si>
  <si>
    <t>Q5U5Q3</t>
  </si>
  <si>
    <t>Q5U5X0</t>
  </si>
  <si>
    <t>Q5UIP0-2</t>
  </si>
  <si>
    <t>Q5VIR6-4</t>
  </si>
  <si>
    <t>Q5VSL9</t>
  </si>
  <si>
    <t>Q5VST6</t>
  </si>
  <si>
    <t>Q5VSY0-2</t>
  </si>
  <si>
    <t>Q5VT06</t>
  </si>
  <si>
    <t>Q5VT52</t>
  </si>
  <si>
    <t>Q5VT94</t>
  </si>
  <si>
    <t>Q5VT99</t>
  </si>
  <si>
    <t>Q5VTL8</t>
  </si>
  <si>
    <t>Q5VTR2</t>
  </si>
  <si>
    <t>Q5VU58</t>
  </si>
  <si>
    <t>Q5VUD6-2</t>
  </si>
  <si>
    <t>Q5VUE5</t>
  </si>
  <si>
    <t>Q5VUM1</t>
  </si>
  <si>
    <t>Q5VV42</t>
  </si>
  <si>
    <t>Q5VV50</t>
  </si>
  <si>
    <t>Q5VVD7</t>
  </si>
  <si>
    <t>Q5VVQ6-2</t>
  </si>
  <si>
    <t>Q5VW32</t>
  </si>
  <si>
    <t>Q5VW36</t>
  </si>
  <si>
    <t>Q5VWC4</t>
  </si>
  <si>
    <t>Q5VWG9</t>
  </si>
  <si>
    <t>Q5VWP2</t>
  </si>
  <si>
    <t>Q5VWQ0</t>
  </si>
  <si>
    <t>Q5VWZ2</t>
  </si>
  <si>
    <t>Q5VY93</t>
  </si>
  <si>
    <t>Q5VYH8</t>
  </si>
  <si>
    <t>Q5VYS8-6</t>
  </si>
  <si>
    <t>Q5VZ66</t>
  </si>
  <si>
    <t>Q5VZE5</t>
  </si>
  <si>
    <t>Q5VZI3-2</t>
  </si>
  <si>
    <t>Q5VZK9</t>
  </si>
  <si>
    <t>Q5W015</t>
  </si>
  <si>
    <t>Q5W0V3</t>
  </si>
  <si>
    <t>Q5W0Z9-3</t>
  </si>
  <si>
    <t>Q5W145</t>
  </si>
  <si>
    <t>Q5XKP0</t>
  </si>
  <si>
    <t>Q5XUX1-3</t>
  </si>
  <si>
    <t>Q63HN8</t>
  </si>
  <si>
    <t>Q63HQ0</t>
  </si>
  <si>
    <t>Q641Q2</t>
  </si>
  <si>
    <t>Q658Y4</t>
  </si>
  <si>
    <t>Q659C4</t>
  </si>
  <si>
    <t>Q66GS9</t>
  </si>
  <si>
    <t>Q66K14-2</t>
  </si>
  <si>
    <t>Q66K64</t>
  </si>
  <si>
    <t>Q66LE6</t>
  </si>
  <si>
    <t>Q66PJ3</t>
  </si>
  <si>
    <t>Q66S35</t>
  </si>
  <si>
    <t>Q674X7-3</t>
  </si>
  <si>
    <t>Q684P5-3</t>
  </si>
  <si>
    <t>Q68CP9-3</t>
  </si>
  <si>
    <t>Q68CQ4</t>
  </si>
  <si>
    <t>Q68D10-2</t>
  </si>
  <si>
    <t>Q68D91</t>
  </si>
  <si>
    <t>Q68DH5</t>
  </si>
  <si>
    <t>Q68E01-2</t>
  </si>
  <si>
    <t>Q68EM7</t>
  </si>
  <si>
    <t>Q69YH5</t>
  </si>
  <si>
    <t>Q69YL0</t>
  </si>
  <si>
    <t>Q69YN2</t>
  </si>
  <si>
    <t>Q69YN4</t>
  </si>
  <si>
    <t>Q69YQ0-2</t>
  </si>
  <si>
    <t>Q69YU5</t>
  </si>
  <si>
    <t>Q6BDS2</t>
  </si>
  <si>
    <t>Q6DCA0</t>
  </si>
  <si>
    <t>Q6DD87</t>
  </si>
  <si>
    <t>Q6DD88</t>
  </si>
  <si>
    <t>Q6DHV7</t>
  </si>
  <si>
    <t>Q6DKI7</t>
  </si>
  <si>
    <t>Q6DKJ4</t>
  </si>
  <si>
    <t>Q6DKK2</t>
  </si>
  <si>
    <t>Q6EEV4-2</t>
  </si>
  <si>
    <t>Q6FI81</t>
  </si>
  <si>
    <t>Q6FIF0-2</t>
  </si>
  <si>
    <t>Q6GMR7</t>
  </si>
  <si>
    <t>Q6GMV2</t>
  </si>
  <si>
    <t>Q6GMV3</t>
  </si>
  <si>
    <t>Q6GQQ9-2</t>
  </si>
  <si>
    <t>Q6GYA4</t>
  </si>
  <si>
    <t>Q6GYQ0-4</t>
  </si>
  <si>
    <t>Q6I9Y2</t>
  </si>
  <si>
    <t>Q6IA17</t>
  </si>
  <si>
    <t>Q6IA69</t>
  </si>
  <si>
    <t>Q6IA86-3</t>
  </si>
  <si>
    <t>Q6IAA8</t>
  </si>
  <si>
    <t>Q6IAN0</t>
  </si>
  <si>
    <t>Q6IBS0</t>
  </si>
  <si>
    <t>Q6IBW4-2</t>
  </si>
  <si>
    <t>Q6IC98</t>
  </si>
  <si>
    <t>Q6ICB0</t>
  </si>
  <si>
    <t>Q6ICH7</t>
  </si>
  <si>
    <t>Q6IN85</t>
  </si>
  <si>
    <t>Q6IPR3</t>
  </si>
  <si>
    <t>Q6IPU0</t>
  </si>
  <si>
    <t>Q6IQ22</t>
  </si>
  <si>
    <t>Q6IQ49-2</t>
  </si>
  <si>
    <t>Q6J164</t>
  </si>
  <si>
    <t>Q6JBY9</t>
  </si>
  <si>
    <t>Q6JHV3</t>
  </si>
  <si>
    <t>Q6JQN1</t>
  </si>
  <si>
    <t>Q6KC79-2</t>
  </si>
  <si>
    <t>Q6KCM7-2</t>
  </si>
  <si>
    <t>Q6MZP7</t>
  </si>
  <si>
    <t>Q6MZW2-2</t>
  </si>
  <si>
    <t>Q6N043-2</t>
  </si>
  <si>
    <t>Q6N069</t>
  </si>
  <si>
    <t>Q6NS38</t>
  </si>
  <si>
    <t>Q6NSJ5</t>
  </si>
  <si>
    <t>Q6NT16</t>
  </si>
  <si>
    <t>Q6NUK1</t>
  </si>
  <si>
    <t>Q6NUK4</t>
  </si>
  <si>
    <t>Q6NUM9</t>
  </si>
  <si>
    <t>Q6NUQ1</t>
  </si>
  <si>
    <t>Q6NUQ4-2</t>
  </si>
  <si>
    <t>Q6NUS6</t>
  </si>
  <si>
    <t>Q6NVY1</t>
  </si>
  <si>
    <t>Q6NXE6-2</t>
  </si>
  <si>
    <t>Q6NXT1</t>
  </si>
  <si>
    <t>Q6NXT6</t>
  </si>
  <si>
    <t>Q6NYC8</t>
  </si>
  <si>
    <t>Q6NZI2</t>
  </si>
  <si>
    <t>Q6NZY4</t>
  </si>
  <si>
    <t>Q6P087-2</t>
  </si>
  <si>
    <t>Q6P161</t>
  </si>
  <si>
    <t>Q6P179</t>
  </si>
  <si>
    <t>Q6P1J9</t>
  </si>
  <si>
    <t>Q6P1K2-4</t>
  </si>
  <si>
    <t>Q6P1K8</t>
  </si>
  <si>
    <t>Q6P1L5</t>
  </si>
  <si>
    <t>Q6P1L8</t>
  </si>
  <si>
    <t>Q6P1M0</t>
  </si>
  <si>
    <t>Q6P1N0-2</t>
  </si>
  <si>
    <t>Q6P1Q9</t>
  </si>
  <si>
    <t>Q6P1R4</t>
  </si>
  <si>
    <t>Q6P275</t>
  </si>
  <si>
    <t>Q6P2C8</t>
  </si>
  <si>
    <t>Q6P2E9</t>
  </si>
  <si>
    <t>Q6P2H3-2</t>
  </si>
  <si>
    <t>Q6P2I3</t>
  </si>
  <si>
    <t>Q6P2P2</t>
  </si>
  <si>
    <t>Q6P2Q9</t>
  </si>
  <si>
    <t>Q6P3S1-5</t>
  </si>
  <si>
    <t>Q6P3S6</t>
  </si>
  <si>
    <t>Q6P3W7</t>
  </si>
  <si>
    <t>Q6P3X3</t>
  </si>
  <si>
    <t>Q6P499-2</t>
  </si>
  <si>
    <t>Q6P4A7</t>
  </si>
  <si>
    <t>Q6P4E1-2</t>
  </si>
  <si>
    <t>Q6P4F2</t>
  </si>
  <si>
    <t>Q6P4I2</t>
  </si>
  <si>
    <t>Q6P4Q7</t>
  </si>
  <si>
    <t>Q6P4R8-3</t>
  </si>
  <si>
    <t>Q6P582</t>
  </si>
  <si>
    <t>Q6P587</t>
  </si>
  <si>
    <t>Q6P5X5</t>
  </si>
  <si>
    <t>Q6P6B1</t>
  </si>
  <si>
    <t>Q6P6B7-2</t>
  </si>
  <si>
    <t>Q6P6C2-3</t>
  </si>
  <si>
    <t>Q6P9B6</t>
  </si>
  <si>
    <t>Q6P9B9</t>
  </si>
  <si>
    <t>Q6P9H5</t>
  </si>
  <si>
    <t>Q6PCB5</t>
  </si>
  <si>
    <t>Q6PCE3</t>
  </si>
  <si>
    <t>Q6PD62</t>
  </si>
  <si>
    <t>Q6PD74</t>
  </si>
  <si>
    <t>Q6PGP7</t>
  </si>
  <si>
    <t>Q6PH81</t>
  </si>
  <si>
    <t>Q6PHR2</t>
  </si>
  <si>
    <t>Q6PI48</t>
  </si>
  <si>
    <t>Q6PI78</t>
  </si>
  <si>
    <t>Q6PID6</t>
  </si>
  <si>
    <t>Q6PII3</t>
  </si>
  <si>
    <t>Q6PIJ6-2</t>
  </si>
  <si>
    <t>Q6PIW4-2</t>
  </si>
  <si>
    <t>Q6PJ61</t>
  </si>
  <si>
    <t>Q6PJ69</t>
  </si>
  <si>
    <t>Q6PJG2</t>
  </si>
  <si>
    <t>Q6PJG6</t>
  </si>
  <si>
    <t>Q6PJT7-3</t>
  </si>
  <si>
    <t>Q6PJT7-9</t>
  </si>
  <si>
    <t>Q6PJW8</t>
  </si>
  <si>
    <t>Q6PK18</t>
  </si>
  <si>
    <t>Q6PKG0</t>
  </si>
  <si>
    <t>Q6PL24</t>
  </si>
  <si>
    <t>Q6PML9</t>
  </si>
  <si>
    <t>Q6QNY0</t>
  </si>
  <si>
    <t>Q6QNY1</t>
  </si>
  <si>
    <t>Q6RFH5</t>
  </si>
  <si>
    <t>Q6RW13-2</t>
  </si>
  <si>
    <t>Q6S8J3</t>
  </si>
  <si>
    <t>Q6STE5-2</t>
  </si>
  <si>
    <t>Q6SZW1-2</t>
  </si>
  <si>
    <t>Q6UB35</t>
  </si>
  <si>
    <t>Q6ULP2-5</t>
  </si>
  <si>
    <t>Q6UN15</t>
  </si>
  <si>
    <t>Q6UUV9-3</t>
  </si>
  <si>
    <t>Q6UVJ0</t>
  </si>
  <si>
    <t>Q6UW56</t>
  </si>
  <si>
    <t>Q6UW63</t>
  </si>
  <si>
    <t>Q6UWD8</t>
  </si>
  <si>
    <t>Q6UWE0</t>
  </si>
  <si>
    <t>Q6UWI4</t>
  </si>
  <si>
    <t>Q6UWP2</t>
  </si>
  <si>
    <t>Q6UWP7-3</t>
  </si>
  <si>
    <t>Q6UWS5</t>
  </si>
  <si>
    <t>Q6UWU4</t>
  </si>
  <si>
    <t>Q6UX04</t>
  </si>
  <si>
    <t>Q6UX07</t>
  </si>
  <si>
    <t>Q6UX98</t>
  </si>
  <si>
    <t>Q6UXB8-2</t>
  </si>
  <si>
    <t>Q6UXD5-3</t>
  </si>
  <si>
    <t>Q6UXH1-4</t>
  </si>
  <si>
    <t>Q6UXN9</t>
  </si>
  <si>
    <t>Q6UXV4</t>
  </si>
  <si>
    <t>Q6V1X1-3</t>
  </si>
  <si>
    <t>Q6VY07</t>
  </si>
  <si>
    <t>Q6W2J9-4</t>
  </si>
  <si>
    <t>Q6WCQ1-2</t>
  </si>
  <si>
    <t>Q6WKZ4</t>
  </si>
  <si>
    <t>Q6XQN6</t>
  </si>
  <si>
    <t>Q6Y1H2</t>
  </si>
  <si>
    <t>Q6Y288</t>
  </si>
  <si>
    <t>Q6Y7W6-4</t>
  </si>
  <si>
    <t>Q6YHU6-3</t>
  </si>
  <si>
    <t>Q6YN16</t>
  </si>
  <si>
    <t>Q6YP21-3</t>
  </si>
  <si>
    <t>Q6ZMG9</t>
  </si>
  <si>
    <t>Q6ZMI0</t>
  </si>
  <si>
    <t>Q6ZN18-2</t>
  </si>
  <si>
    <t>Q6ZNB6</t>
  </si>
  <si>
    <t>Q6ZNW5</t>
  </si>
  <si>
    <t>Q6ZPD9</t>
  </si>
  <si>
    <t>Q6ZRI6-2</t>
  </si>
  <si>
    <t>Q6ZRP7</t>
  </si>
  <si>
    <t>Q6ZRS2-3</t>
  </si>
  <si>
    <t>Q6ZS86</t>
  </si>
  <si>
    <t>Q6ZSJ8</t>
  </si>
  <si>
    <t>Q6ZSS7</t>
  </si>
  <si>
    <t>Q6ZT12</t>
  </si>
  <si>
    <t>Q6ZT21-2</t>
  </si>
  <si>
    <t>Q6ZT62</t>
  </si>
  <si>
    <t>Q6ZTN6</t>
  </si>
  <si>
    <t>Q6ZUT1</t>
  </si>
  <si>
    <t>Q6ZVK8</t>
  </si>
  <si>
    <t>Q6ZVM7</t>
  </si>
  <si>
    <t>Q6ZXV5-2</t>
  </si>
  <si>
    <t>Q6ZYL4</t>
  </si>
  <si>
    <t>Q709C8-3</t>
  </si>
  <si>
    <t>Q70CQ2</t>
  </si>
  <si>
    <t>Q70IA6</t>
  </si>
  <si>
    <t>Q70J99</t>
  </si>
  <si>
    <t>Q70UQ0</t>
  </si>
  <si>
    <t>Q70UQ0-4</t>
  </si>
  <si>
    <t>Q70Z53-2</t>
  </si>
  <si>
    <t>Q712K3</t>
  </si>
  <si>
    <t>Q71F23</t>
  </si>
  <si>
    <t>Q71RC2-6</t>
  </si>
  <si>
    <t>Q71SY5-2</t>
  </si>
  <si>
    <t>Q71U36-2</t>
  </si>
  <si>
    <t>Q71UI9</t>
  </si>
  <si>
    <t>Q75QN2</t>
  </si>
  <si>
    <t>Q76FK4-4</t>
  </si>
  <si>
    <t>Q7KYR7</t>
  </si>
  <si>
    <t>Q7KZ85</t>
  </si>
  <si>
    <t>Q7KZ85-2</t>
  </si>
  <si>
    <t>Q7KZF4</t>
  </si>
  <si>
    <t>Q7KZN9-2</t>
  </si>
  <si>
    <t>Q7L014</t>
  </si>
  <si>
    <t>Q7L099-2</t>
  </si>
  <si>
    <t>Q7L099-4</t>
  </si>
  <si>
    <t>Q7L0J3-2</t>
  </si>
  <si>
    <t>Q7L0Y3</t>
  </si>
  <si>
    <t>Q7L1Q6</t>
  </si>
  <si>
    <t>Q7L1T6</t>
  </si>
  <si>
    <t>Q7L211</t>
  </si>
  <si>
    <t>Q7L266</t>
  </si>
  <si>
    <t>Q7L273</t>
  </si>
  <si>
    <t>Q7L2H7</t>
  </si>
  <si>
    <t>Q7L2J0</t>
  </si>
  <si>
    <t>Q7L3S4</t>
  </si>
  <si>
    <t>Q7L3T8</t>
  </si>
  <si>
    <t>Q7L4I2</t>
  </si>
  <si>
    <t>Q7L4P6-2</t>
  </si>
  <si>
    <t>Q7L523</t>
  </si>
  <si>
    <t>Q7L576</t>
  </si>
  <si>
    <t>Q7L5D6</t>
  </si>
  <si>
    <t>Q7L5N7</t>
  </si>
  <si>
    <t>Q7L5Y1</t>
  </si>
  <si>
    <t>Q7L5Y9</t>
  </si>
  <si>
    <t>Q7L775</t>
  </si>
  <si>
    <t>Q7L7L0</t>
  </si>
  <si>
    <t>Q7L7X3</t>
  </si>
  <si>
    <t>Q7L8J4</t>
  </si>
  <si>
    <t>Q7L8L6</t>
  </si>
  <si>
    <t>Q7L8W6</t>
  </si>
  <si>
    <t>Q7L9B9</t>
  </si>
  <si>
    <t>Q7LBC6</t>
  </si>
  <si>
    <t>Q7LBR1</t>
  </si>
  <si>
    <t>Q7LDG7</t>
  </si>
  <si>
    <t>Q7LGA3</t>
  </si>
  <si>
    <t>Q7RTN6-6</t>
  </si>
  <si>
    <t>Q7RTP0</t>
  </si>
  <si>
    <t>Q7RTP6</t>
  </si>
  <si>
    <t>Q7RTV0</t>
  </si>
  <si>
    <t>Q7Z2E3-7</t>
  </si>
  <si>
    <t>Q7Z2K6</t>
  </si>
  <si>
    <t>Q7Z2K8</t>
  </si>
  <si>
    <t>Q7Z2T5</t>
  </si>
  <si>
    <t>Q7Z2W4</t>
  </si>
  <si>
    <t>Q7Z2Z2</t>
  </si>
  <si>
    <t>Q7Z309</t>
  </si>
  <si>
    <t>Q7Z392</t>
  </si>
  <si>
    <t>Q7Z3C6-2</t>
  </si>
  <si>
    <t>Q7Z3D4</t>
  </si>
  <si>
    <t>Q7Z3D6-2</t>
  </si>
  <si>
    <t>Q7Z3K3-5</t>
  </si>
  <si>
    <t>Q7Z3T8</t>
  </si>
  <si>
    <t>Q7Z3Z2</t>
  </si>
  <si>
    <t>Q7Z403-3</t>
  </si>
  <si>
    <t>Q7Z417</t>
  </si>
  <si>
    <t>Q7Z422-2</t>
  </si>
  <si>
    <t>Q7Z434</t>
  </si>
  <si>
    <t>Q7Z449</t>
  </si>
  <si>
    <t>Q7Z478</t>
  </si>
  <si>
    <t>Q7Z4G1</t>
  </si>
  <si>
    <t>Q7Z4G4-2</t>
  </si>
  <si>
    <t>Q7Z4H3</t>
  </si>
  <si>
    <t>Q7Z4H7-3</t>
  </si>
  <si>
    <t>Q7Z4Q2</t>
  </si>
  <si>
    <t>Q7Z4V5</t>
  </si>
  <si>
    <t>Q7Z4V5-2</t>
  </si>
  <si>
    <t>Q7Z4W1</t>
  </si>
  <si>
    <t>Q7Z5G4</t>
  </si>
  <si>
    <t>Q7Z5K2</t>
  </si>
  <si>
    <t>Q7Z5L9-2</t>
  </si>
  <si>
    <t>Q7Z5R6</t>
  </si>
  <si>
    <t>Q7Z5W3</t>
  </si>
  <si>
    <t>Q7Z5Y7</t>
  </si>
  <si>
    <t>Q7Z6B0-2</t>
  </si>
  <si>
    <t>Q7Z6E9</t>
  </si>
  <si>
    <t>Q7Z6I6</t>
  </si>
  <si>
    <t>Q7Z6I8</t>
  </si>
  <si>
    <t>Q7Z6J8</t>
  </si>
  <si>
    <t>Q7Z6J9</t>
  </si>
  <si>
    <t>Q7Z6K3</t>
  </si>
  <si>
    <t>Q7Z6L1</t>
  </si>
  <si>
    <t>Q7Z6M1</t>
  </si>
  <si>
    <t>Q7Z6M2</t>
  </si>
  <si>
    <t>Q7Z6M4</t>
  </si>
  <si>
    <t>Q7Z6V5</t>
  </si>
  <si>
    <t>Q7Z6Z7-2</t>
  </si>
  <si>
    <t>Q7Z7A3</t>
  </si>
  <si>
    <t>Q7Z7A4-2</t>
  </si>
  <si>
    <t>Q7Z7C8</t>
  </si>
  <si>
    <t>Q7Z7E8</t>
  </si>
  <si>
    <t>Q7Z7F0</t>
  </si>
  <si>
    <t>Q7Z7H5-3</t>
  </si>
  <si>
    <t>Q7Z7H8</t>
  </si>
  <si>
    <t>Q7Z7K6-3</t>
  </si>
  <si>
    <t>Q7Z7L1</t>
  </si>
  <si>
    <t>Q7Z7N9</t>
  </si>
  <si>
    <t>Q86SE8</t>
  </si>
  <si>
    <t>Q86SF2</t>
  </si>
  <si>
    <t>Q86SK9-2</t>
  </si>
  <si>
    <t>Q86SX6</t>
  </si>
  <si>
    <t>Q86SZ2</t>
  </si>
  <si>
    <t>Q86T03</t>
  </si>
  <si>
    <t>Q86TB9-4</t>
  </si>
  <si>
    <t>Q86TI0-2</t>
  </si>
  <si>
    <t>Q86TI2-2</t>
  </si>
  <si>
    <t>Q86TM6-2</t>
  </si>
  <si>
    <t>Q86TN4</t>
  </si>
  <si>
    <t>Q86TP1</t>
  </si>
  <si>
    <t>Q86TU7</t>
  </si>
  <si>
    <t>Q86TV2</t>
  </si>
  <si>
    <t>Q86TW2-2</t>
  </si>
  <si>
    <t>Q86U06-4</t>
  </si>
  <si>
    <t>Q86U28</t>
  </si>
  <si>
    <t>Q86U38</t>
  </si>
  <si>
    <t>Q86U44</t>
  </si>
  <si>
    <t>Q86U70-3</t>
  </si>
  <si>
    <t>Q86U86-5</t>
  </si>
  <si>
    <t>Q86U90</t>
  </si>
  <si>
    <t>Q86UA1</t>
  </si>
  <si>
    <t>Q86UA6-3</t>
  </si>
  <si>
    <t>Q86UE4</t>
  </si>
  <si>
    <t>Q86UE8-2</t>
  </si>
  <si>
    <t>Q86UF1</t>
  </si>
  <si>
    <t>Q86UK7-2</t>
  </si>
  <si>
    <t>Q86UL3</t>
  </si>
  <si>
    <t>Q86UN3</t>
  </si>
  <si>
    <t>Q86UP2</t>
  </si>
  <si>
    <t>Q86US8</t>
  </si>
  <si>
    <t>Q86UU0-4</t>
  </si>
  <si>
    <t>Q86UV5</t>
  </si>
  <si>
    <t>Q86UX3</t>
  </si>
  <si>
    <t>Q86UX7-2</t>
  </si>
  <si>
    <t>Q86UY0</t>
  </si>
  <si>
    <t>Q86UY6</t>
  </si>
  <si>
    <t>Q86UY8-2</t>
  </si>
  <si>
    <t>Q86V21</t>
  </si>
  <si>
    <t>Q86V48-2</t>
  </si>
  <si>
    <t>Q86V59-2</t>
  </si>
  <si>
    <t>Q86V85</t>
  </si>
  <si>
    <t>Q86V87</t>
  </si>
  <si>
    <t>Q86V88</t>
  </si>
  <si>
    <t>Q86VN1-2</t>
  </si>
  <si>
    <t>Q86VP1-2</t>
  </si>
  <si>
    <t>Q86VP6</t>
  </si>
  <si>
    <t>Q86VQ1</t>
  </si>
  <si>
    <t>Q86VQ2</t>
  </si>
  <si>
    <t>Q86VR2</t>
  </si>
  <si>
    <t>Q86VS8</t>
  </si>
  <si>
    <t>Q86VU5</t>
  </si>
  <si>
    <t>Q86VW0</t>
  </si>
  <si>
    <t>Q86VX2-2</t>
  </si>
  <si>
    <t>Q86VX9</t>
  </si>
  <si>
    <t>Q86VY4</t>
  </si>
  <si>
    <t>Q86VZ1</t>
  </si>
  <si>
    <t>Q86W33</t>
  </si>
  <si>
    <t>Q86W42</t>
  </si>
  <si>
    <t>Q86W50</t>
  </si>
  <si>
    <t>Q86W56</t>
  </si>
  <si>
    <t>Q86WA6-2</t>
  </si>
  <si>
    <t>Q86WA8</t>
  </si>
  <si>
    <t>Q86WC4</t>
  </si>
  <si>
    <t>Q86WJ1</t>
  </si>
  <si>
    <t>Q86WQ0</t>
  </si>
  <si>
    <t>Q86WR0</t>
  </si>
  <si>
    <t>Q86WV1-2</t>
  </si>
  <si>
    <t>Q86WV6</t>
  </si>
  <si>
    <t>Q86WV7</t>
  </si>
  <si>
    <t>Q86WX3</t>
  </si>
  <si>
    <t>Q86X02</t>
  </si>
  <si>
    <t>Q86X10</t>
  </si>
  <si>
    <t>Q86X53</t>
  </si>
  <si>
    <t>Q86X55-1</t>
  </si>
  <si>
    <t>Q86X76-2</t>
  </si>
  <si>
    <t>Q86X83</t>
  </si>
  <si>
    <t>Q86X95</t>
  </si>
  <si>
    <t>Q86XI2</t>
  </si>
  <si>
    <t>Q86XK3-3</t>
  </si>
  <si>
    <t>Q86XP3</t>
  </si>
  <si>
    <t>Q86XZ4</t>
  </si>
  <si>
    <t>Q86Y07-4</t>
  </si>
  <si>
    <t>Q86Y37</t>
  </si>
  <si>
    <t>Q86Y39</t>
  </si>
  <si>
    <t>Q86Y56</t>
  </si>
  <si>
    <t>Q86Y79</t>
  </si>
  <si>
    <t>Q86Y82</t>
  </si>
  <si>
    <t>Q86YC3</t>
  </si>
  <si>
    <t>Q86YH6</t>
  </si>
  <si>
    <t>Q86YM7</t>
  </si>
  <si>
    <t>Q86YP4</t>
  </si>
  <si>
    <t>Q86YR5-4</t>
  </si>
  <si>
    <t>Q86YS6</t>
  </si>
  <si>
    <t>Q86YS7</t>
  </si>
  <si>
    <t>Q86YT6</t>
  </si>
  <si>
    <t>Q86YV0</t>
  </si>
  <si>
    <t>Q8IU81</t>
  </si>
  <si>
    <t>Q8IU85-2</t>
  </si>
  <si>
    <t>Q8IUE6</t>
  </si>
  <si>
    <t>Q8IUF8</t>
  </si>
  <si>
    <t>Q8IUH4</t>
  </si>
  <si>
    <t>Q8IUH5</t>
  </si>
  <si>
    <t>Q8IUI8</t>
  </si>
  <si>
    <t>Q8IUR0</t>
  </si>
  <si>
    <t>Q8IUW5</t>
  </si>
  <si>
    <t>Q8IUX1-4</t>
  </si>
  <si>
    <t>Q8IUX7</t>
  </si>
  <si>
    <t>Q8IUZ5</t>
  </si>
  <si>
    <t>Q8IV08</t>
  </si>
  <si>
    <t>Q8IV38</t>
  </si>
  <si>
    <t>Q8IV48</t>
  </si>
  <si>
    <t>Q8IV50</t>
  </si>
  <si>
    <t>Q8IV53-2</t>
  </si>
  <si>
    <t>Q8IV63-3</t>
  </si>
  <si>
    <t>Q8IVB5</t>
  </si>
  <si>
    <t>Q8IVD9</t>
  </si>
  <si>
    <t>Q8IVF2-3</t>
  </si>
  <si>
    <t>Q8IVH4</t>
  </si>
  <si>
    <t>Q8IVP5</t>
  </si>
  <si>
    <t>Q8IVS2</t>
  </si>
  <si>
    <t>Q8IVV7</t>
  </si>
  <si>
    <t>Q8IW19</t>
  </si>
  <si>
    <t>Q8IW45</t>
  </si>
  <si>
    <t>Q8IWA0</t>
  </si>
  <si>
    <t>Q8IWA4</t>
  </si>
  <si>
    <t>Q8IWB1</t>
  </si>
  <si>
    <t>Q8IWB7</t>
  </si>
  <si>
    <t>Q8IWD4</t>
  </si>
  <si>
    <t>Q8IWJ2</t>
  </si>
  <si>
    <t>Q8IWS0</t>
  </si>
  <si>
    <t>Q8IWT6</t>
  </si>
  <si>
    <t>Q8IWV7</t>
  </si>
  <si>
    <t>Q8IWV8</t>
  </si>
  <si>
    <t>Q8IWW6-3</t>
  </si>
  <si>
    <t>Q8IWY9</t>
  </si>
  <si>
    <t>Q8IWZ3-6</t>
  </si>
  <si>
    <t>Q8IWZ8</t>
  </si>
  <si>
    <t>Q8IX12-2</t>
  </si>
  <si>
    <t>Q8IX18-3</t>
  </si>
  <si>
    <t>Q8IX90</t>
  </si>
  <si>
    <t>Q8IXB1</t>
  </si>
  <si>
    <t>Q8IXI1</t>
  </si>
  <si>
    <t>Q8IXI2-2</t>
  </si>
  <si>
    <t>Q8IXJ6-2</t>
  </si>
  <si>
    <t>Q8IXK2</t>
  </si>
  <si>
    <t>Q8IXM6</t>
  </si>
  <si>
    <t>Q8IXN7</t>
  </si>
  <si>
    <t>Q8IXQ3</t>
  </si>
  <si>
    <t>Q8IXQ4</t>
  </si>
  <si>
    <t>Q8IXQ5-2</t>
  </si>
  <si>
    <t>Q8IXQ6-2</t>
  </si>
  <si>
    <t>Q8IXT5</t>
  </si>
  <si>
    <t>Q8IY17-2</t>
  </si>
  <si>
    <t>Q8IY18</t>
  </si>
  <si>
    <t>Q8IY21</t>
  </si>
  <si>
    <t>Q8IY26</t>
  </si>
  <si>
    <t>Q8IY37</t>
  </si>
  <si>
    <t>Q8IY47</t>
  </si>
  <si>
    <t>Q8IY95-2</t>
  </si>
  <si>
    <t>Q8IYB1</t>
  </si>
  <si>
    <t>Q8IYB5-3</t>
  </si>
  <si>
    <t>Q8IYB7</t>
  </si>
  <si>
    <t>Q8IYB8</t>
  </si>
  <si>
    <t>Q8IYD1</t>
  </si>
  <si>
    <t>Q8IYH5-4</t>
  </si>
  <si>
    <t>Q8IYI6</t>
  </si>
  <si>
    <t>Q8IYJ3</t>
  </si>
  <si>
    <t>Q8IYL3</t>
  </si>
  <si>
    <t>Q8IYN2</t>
  </si>
  <si>
    <t>Q8IYQ7</t>
  </si>
  <si>
    <t>Q8IYS1</t>
  </si>
  <si>
    <t>Q8IYS2</t>
  </si>
  <si>
    <t>Q8IYT2</t>
  </si>
  <si>
    <t>Q8IYU8</t>
  </si>
  <si>
    <t>Q8IYW5</t>
  </si>
  <si>
    <t>Q8IZ07</t>
  </si>
  <si>
    <t>Q8IZ21-3</t>
  </si>
  <si>
    <t>Q8IZ40</t>
  </si>
  <si>
    <t>Q8IZ68</t>
  </si>
  <si>
    <t>Q8IZ73</t>
  </si>
  <si>
    <t>Q8IZ81</t>
  </si>
  <si>
    <t>Q8IZ83</t>
  </si>
  <si>
    <t>Q8IZD4</t>
  </si>
  <si>
    <t>Q8IZE3-2</t>
  </si>
  <si>
    <t>Q8IZH2-2</t>
  </si>
  <si>
    <t>Q8IZQ5</t>
  </si>
  <si>
    <t>Q8IZR5-3</t>
  </si>
  <si>
    <t>Q8N0T1</t>
  </si>
  <si>
    <t>Q8N0U8</t>
  </si>
  <si>
    <t>Q8N0V3</t>
  </si>
  <si>
    <t>Q8N0W3</t>
  </si>
  <si>
    <t>Q8N0X4</t>
  </si>
  <si>
    <t>Q8N0Y7</t>
  </si>
  <si>
    <t>Q8N0Z6</t>
  </si>
  <si>
    <t>Q8N108-17</t>
  </si>
  <si>
    <t>Q8N122</t>
  </si>
  <si>
    <t>Q8N129</t>
  </si>
  <si>
    <t>Q8N163</t>
  </si>
  <si>
    <t>Q8N183</t>
  </si>
  <si>
    <t>Q8N1B4</t>
  </si>
  <si>
    <t>Q8N1F7</t>
  </si>
  <si>
    <t>Q8N1G2</t>
  </si>
  <si>
    <t>Q8N1G4</t>
  </si>
  <si>
    <t>Q8N1K5</t>
  </si>
  <si>
    <t>Q8N1S5-2</t>
  </si>
  <si>
    <t>Q8N201</t>
  </si>
  <si>
    <t>Q8N2F6-3</t>
  </si>
  <si>
    <t>Q8N2G8-3</t>
  </si>
  <si>
    <t>Q8N2K0</t>
  </si>
  <si>
    <t>Q8N2W9</t>
  </si>
  <si>
    <t>Q8N2Z9</t>
  </si>
  <si>
    <t>Q8N300</t>
  </si>
  <si>
    <t>Q8N302</t>
  </si>
  <si>
    <t>Q8N335</t>
  </si>
  <si>
    <t>Q8N344</t>
  </si>
  <si>
    <t>Q8N357</t>
  </si>
  <si>
    <t>Q8N371</t>
  </si>
  <si>
    <t>Q8N3D4</t>
  </si>
  <si>
    <t>Q8N3F8</t>
  </si>
  <si>
    <t>Q8N3X1</t>
  </si>
  <si>
    <t>Q8N3Z3</t>
  </si>
  <si>
    <t>Q8N442</t>
  </si>
  <si>
    <t>Q8N465</t>
  </si>
  <si>
    <t>Q8N488</t>
  </si>
  <si>
    <t>Q8N490</t>
  </si>
  <si>
    <t>Q8N490-2</t>
  </si>
  <si>
    <t>Q8N4C8-5</t>
  </si>
  <si>
    <t>Q8N4H5</t>
  </si>
  <si>
    <t>Q8N4P3</t>
  </si>
  <si>
    <t>Q8N4Q0</t>
  </si>
  <si>
    <t>Q8N4Q1</t>
  </si>
  <si>
    <t>Q8N4T8</t>
  </si>
  <si>
    <t>Q8N4V1</t>
  </si>
  <si>
    <t>Q8N543</t>
  </si>
  <si>
    <t>Q8N567</t>
  </si>
  <si>
    <t>Q8N573-2</t>
  </si>
  <si>
    <t>Q8N584-2</t>
  </si>
  <si>
    <t>Q8N5A5-2</t>
  </si>
  <si>
    <t>Q8N5C7</t>
  </si>
  <si>
    <t>Q8N5F7</t>
  </si>
  <si>
    <t>Q8N5G0-2</t>
  </si>
  <si>
    <t>Q8N5G2</t>
  </si>
  <si>
    <t>Q8N5I4</t>
  </si>
  <si>
    <t>Q8N5I9</t>
  </si>
  <si>
    <t>Q8N5K1</t>
  </si>
  <si>
    <t>Q8N5L8</t>
  </si>
  <si>
    <t>Q8N5M1</t>
  </si>
  <si>
    <t>Q8N5M9</t>
  </si>
  <si>
    <t>Q8N5N7</t>
  </si>
  <si>
    <t>Q8N5P1</t>
  </si>
  <si>
    <t>Q8N5Y8</t>
  </si>
  <si>
    <t>Q8N5Z5-2</t>
  </si>
  <si>
    <t>Q8N608-4</t>
  </si>
  <si>
    <t>Q8N668</t>
  </si>
  <si>
    <t>Q8N684</t>
  </si>
  <si>
    <t>Q8N697</t>
  </si>
  <si>
    <t>Q8N6H7</t>
  </si>
  <si>
    <t>Q8N6M0</t>
  </si>
  <si>
    <t>Q8N6N3</t>
  </si>
  <si>
    <t>Q8N6N7</t>
  </si>
  <si>
    <t>Q8N6Q8</t>
  </si>
  <si>
    <t>Q8N6S5</t>
  </si>
  <si>
    <t>Q8N6T3</t>
  </si>
  <si>
    <t>Q8N6T7</t>
  </si>
  <si>
    <t>Q8N766-3</t>
  </si>
  <si>
    <t>Q8N806</t>
  </si>
  <si>
    <t>Q8N8A6</t>
  </si>
  <si>
    <t>Q8N8J7</t>
  </si>
  <si>
    <t>Q8N8R3</t>
  </si>
  <si>
    <t>Q8N8R5</t>
  </si>
  <si>
    <t>Q8N8S7-2</t>
  </si>
  <si>
    <t>Q8N8Y2</t>
  </si>
  <si>
    <t>Q8N8Z6-2</t>
  </si>
  <si>
    <t>Q8N954</t>
  </si>
  <si>
    <t>Q8N999</t>
  </si>
  <si>
    <t>Q8N9A8-2</t>
  </si>
  <si>
    <t>Q8N9F7</t>
  </si>
  <si>
    <t>Q8N9M1</t>
  </si>
  <si>
    <t>Q8N9M5</t>
  </si>
  <si>
    <t>Q8N9N7</t>
  </si>
  <si>
    <t>Q8N9N8</t>
  </si>
  <si>
    <t>Q8N9Q2</t>
  </si>
  <si>
    <t>Q8N9R8</t>
  </si>
  <si>
    <t>Q8N9V3-2</t>
  </si>
  <si>
    <t>Q8NAF0</t>
  </si>
  <si>
    <t>Q8NAV1</t>
  </si>
  <si>
    <t>Q8NB15-2</t>
  </si>
  <si>
    <t>Q8NB16</t>
  </si>
  <si>
    <t>Q8NB37</t>
  </si>
  <si>
    <t>Q8NB42-2</t>
  </si>
  <si>
    <t>Q8NB46</t>
  </si>
  <si>
    <t>Q8NB49-3</t>
  </si>
  <si>
    <t>Q8NB90</t>
  </si>
  <si>
    <t>Q8NBA8</t>
  </si>
  <si>
    <t>Q8NBF2</t>
  </si>
  <si>
    <t>Q8NBF6</t>
  </si>
  <si>
    <t>Q8NBI6</t>
  </si>
  <si>
    <t>Q8NBJ4-2</t>
  </si>
  <si>
    <t>Q8NBJ5</t>
  </si>
  <si>
    <t>Q8NBK3-4</t>
  </si>
  <si>
    <t>Q8NBL1</t>
  </si>
  <si>
    <t>Q8NBM4-4</t>
  </si>
  <si>
    <t>Q8NBM8</t>
  </si>
  <si>
    <t>Q8NBN3</t>
  </si>
  <si>
    <t>Q8NBP0</t>
  </si>
  <si>
    <t>Q8NBU5</t>
  </si>
  <si>
    <t>Q8NBX0</t>
  </si>
  <si>
    <t>Q8NBZ0</t>
  </si>
  <si>
    <t>Q8NBZ7</t>
  </si>
  <si>
    <t>Q8NC51</t>
  </si>
  <si>
    <t>Q8NC56</t>
  </si>
  <si>
    <t>Q8NC60</t>
  </si>
  <si>
    <t>Q8NC96</t>
  </si>
  <si>
    <t>Q8NCA5-2</t>
  </si>
  <si>
    <t>Q8NCC3</t>
  </si>
  <si>
    <t>Q8NCE2-2</t>
  </si>
  <si>
    <t>Q8NCF5</t>
  </si>
  <si>
    <t>Q8NCG7-4</t>
  </si>
  <si>
    <t>Q8NCN4</t>
  </si>
  <si>
    <t>Q8NCN5</t>
  </si>
  <si>
    <t>Q8NCW5</t>
  </si>
  <si>
    <t>Q8ND04</t>
  </si>
  <si>
    <t>Q8ND24</t>
  </si>
  <si>
    <t>Q8ND25</t>
  </si>
  <si>
    <t>Q8ND30</t>
  </si>
  <si>
    <t>Q8ND56-2</t>
  </si>
  <si>
    <t>Q8ND76-3</t>
  </si>
  <si>
    <t>Q8NDC0</t>
  </si>
  <si>
    <t>Q8NDD1-2</t>
  </si>
  <si>
    <t>Q8NDD1-3</t>
  </si>
  <si>
    <t>Q8NDI1-3</t>
  </si>
  <si>
    <t>Q8NDT2</t>
  </si>
  <si>
    <t>Q8NDV3-2</t>
  </si>
  <si>
    <t>Q8NDZ4</t>
  </si>
  <si>
    <t>Q8NE01</t>
  </si>
  <si>
    <t>Q8NE71</t>
  </si>
  <si>
    <t>Q8NE86-3</t>
  </si>
  <si>
    <t>Q8NEB9</t>
  </si>
  <si>
    <t>Q8NEC7</t>
  </si>
  <si>
    <t>Q8NEF9</t>
  </si>
  <si>
    <t>Q8NEL9-2</t>
  </si>
  <si>
    <t>Q8NEM2</t>
  </si>
  <si>
    <t>Q8NEN9</t>
  </si>
  <si>
    <t>Q8NEW0</t>
  </si>
  <si>
    <t>Q8NEZ2-2</t>
  </si>
  <si>
    <t>Q8NEZ4</t>
  </si>
  <si>
    <t>Q8NEZ5</t>
  </si>
  <si>
    <t>Q8NF37</t>
  </si>
  <si>
    <t>Q8NFC6</t>
  </si>
  <si>
    <t>Q8NFF5-2</t>
  </si>
  <si>
    <t>Q8NFG4</t>
  </si>
  <si>
    <t>Q8NFH3</t>
  </si>
  <si>
    <t>Q8NFH4</t>
  </si>
  <si>
    <t>Q8NFI3</t>
  </si>
  <si>
    <t>Q8NFQ8</t>
  </si>
  <si>
    <t>Q8NFU3</t>
  </si>
  <si>
    <t>Q8NFU3-4</t>
  </si>
  <si>
    <t>Q8NFU5</t>
  </si>
  <si>
    <t>Q8NFV4-4</t>
  </si>
  <si>
    <t>Q8NFW8</t>
  </si>
  <si>
    <t>Q8NFY9</t>
  </si>
  <si>
    <t>Q8NFZ8</t>
  </si>
  <si>
    <t>Q8NG11-2</t>
  </si>
  <si>
    <t>Q8NG68</t>
  </si>
  <si>
    <t>Q8NHG7</t>
  </si>
  <si>
    <t>Q8NHG8</t>
  </si>
  <si>
    <t>Q8NHP6</t>
  </si>
  <si>
    <t>Q8NHP8</t>
  </si>
  <si>
    <t>Q8NHQ9</t>
  </si>
  <si>
    <t>Q8NHU6</t>
  </si>
  <si>
    <t>Q8NHV1</t>
  </si>
  <si>
    <t>Q8NHV4</t>
  </si>
  <si>
    <t>Q8NHZ8</t>
  </si>
  <si>
    <t>Q8NI08-2</t>
  </si>
  <si>
    <t>Q8NI22-2</t>
  </si>
  <si>
    <t>Q8NI27</t>
  </si>
  <si>
    <t>Q8NI36</t>
  </si>
  <si>
    <t>Q8NI37</t>
  </si>
  <si>
    <t>Q8TA86</t>
  </si>
  <si>
    <t>Q8TAA3-5</t>
  </si>
  <si>
    <t>Q8TAA5</t>
  </si>
  <si>
    <t>Q8TAA9-2</t>
  </si>
  <si>
    <t>Q8TAC1</t>
  </si>
  <si>
    <t>Q8TAD8</t>
  </si>
  <si>
    <t>Q8TAE8</t>
  </si>
  <si>
    <t>Q8TAF3</t>
  </si>
  <si>
    <t>Q8TAP6</t>
  </si>
  <si>
    <t>Q8TAP8</t>
  </si>
  <si>
    <t>Q8TAQ2</t>
  </si>
  <si>
    <t>Q8TAT6</t>
  </si>
  <si>
    <t>Q8TAV0</t>
  </si>
  <si>
    <t>Q8TAY7</t>
  </si>
  <si>
    <t>Q8TB03</t>
  </si>
  <si>
    <t>Q8TB36</t>
  </si>
  <si>
    <t>Q8TB37</t>
  </si>
  <si>
    <t>Q8TB61-3</t>
  </si>
  <si>
    <t>Q8TB72-3</t>
  </si>
  <si>
    <t>Q8TB96</t>
  </si>
  <si>
    <t>Q8TBA6-2</t>
  </si>
  <si>
    <t>Q8TBB5-3</t>
  </si>
  <si>
    <t>Q8TBC4</t>
  </si>
  <si>
    <t>Q8TBE9</t>
  </si>
  <si>
    <t>Q8TBF4</t>
  </si>
  <si>
    <t>Q8TBM8</t>
  </si>
  <si>
    <t>Q8TBN0</t>
  </si>
  <si>
    <t>Q8TBP6</t>
  </si>
  <si>
    <t>Q8TBQ9</t>
  </si>
  <si>
    <t>Q8TBX8</t>
  </si>
  <si>
    <t>Q8TBZ3</t>
  </si>
  <si>
    <t>Q8TBZ6</t>
  </si>
  <si>
    <t>Q8TC07-2</t>
  </si>
  <si>
    <t>Q8TC12</t>
  </si>
  <si>
    <t>Q8TC24</t>
  </si>
  <si>
    <t>Q8TCA0</t>
  </si>
  <si>
    <t>Q8TCD1</t>
  </si>
  <si>
    <t>Q8TCD5</t>
  </si>
  <si>
    <t>Q8TCE6-2</t>
  </si>
  <si>
    <t>Q8TCG1</t>
  </si>
  <si>
    <t>Q8TCG2</t>
  </si>
  <si>
    <t>Q8TCJ2</t>
  </si>
  <si>
    <t>Q8TCS8</t>
  </si>
  <si>
    <t>Q8TCT7-4</t>
  </si>
  <si>
    <t>Q8TCT8</t>
  </si>
  <si>
    <t>Q8TCT9-5</t>
  </si>
  <si>
    <t>Q8TCZ2-6</t>
  </si>
  <si>
    <t>Q8TD08-2</t>
  </si>
  <si>
    <t>Q8TD16-2</t>
  </si>
  <si>
    <t>Q8TD19</t>
  </si>
  <si>
    <t>Q8TD30</t>
  </si>
  <si>
    <t>Q8TD55-2</t>
  </si>
  <si>
    <t>Q8TDB6</t>
  </si>
  <si>
    <t>Q8TDD1</t>
  </si>
  <si>
    <t>Q8TDH9</t>
  </si>
  <si>
    <t>Q8TDI0</t>
  </si>
  <si>
    <t>Q8TDQ7</t>
  </si>
  <si>
    <t>Q8TDW0</t>
  </si>
  <si>
    <t>Q8TDX7</t>
  </si>
  <si>
    <t>Q8TDY2-2</t>
  </si>
  <si>
    <t>Q8TDZ2</t>
  </si>
  <si>
    <t>Q8TE04-2</t>
  </si>
  <si>
    <t>Q8TEA1</t>
  </si>
  <si>
    <t>Q8TEA8</t>
  </si>
  <si>
    <t>Q8TEB1-2</t>
  </si>
  <si>
    <t>Q8TED0</t>
  </si>
  <si>
    <t>Q8TEH3</t>
  </si>
  <si>
    <t>Q8TEM1</t>
  </si>
  <si>
    <t>Q8TEQ0-2</t>
  </si>
  <si>
    <t>Q8TEQ6</t>
  </si>
  <si>
    <t>Q8TEW0-7</t>
  </si>
  <si>
    <t>Q8TEX9</t>
  </si>
  <si>
    <t>Q8TF01</t>
  </si>
  <si>
    <t>Q8TF05-2</t>
  </si>
  <si>
    <t>Q8TF42</t>
  </si>
  <si>
    <t>Q8TF71</t>
  </si>
  <si>
    <t>Q8TF74</t>
  </si>
  <si>
    <t>Q8WTS1</t>
  </si>
  <si>
    <t>Q8WTS6</t>
  </si>
  <si>
    <t>Q8WTW3</t>
  </si>
  <si>
    <t>Q8WU10</t>
  </si>
  <si>
    <t>Q8WU39</t>
  </si>
  <si>
    <t>Q8WU76-2</t>
  </si>
  <si>
    <t>Q8WU79</t>
  </si>
  <si>
    <t>Q8WU90</t>
  </si>
  <si>
    <t>Q8WUA2</t>
  </si>
  <si>
    <t>Q8WUA4</t>
  </si>
  <si>
    <t>Q8WUA8</t>
  </si>
  <si>
    <t>Q8WUB8-3</t>
  </si>
  <si>
    <t>Q8WUD1</t>
  </si>
  <si>
    <t>Q8WUF5</t>
  </si>
  <si>
    <t>Q8WUF8-3</t>
  </si>
  <si>
    <t>Q8WUH1</t>
  </si>
  <si>
    <t>Q8WUH2</t>
  </si>
  <si>
    <t>Q8WUH6</t>
  </si>
  <si>
    <t>Q8WUI4-3</t>
  </si>
  <si>
    <t>Q8WUJ0</t>
  </si>
  <si>
    <t>Q8WUK0</t>
  </si>
  <si>
    <t>Q8WUM0</t>
  </si>
  <si>
    <t>Q8WUM4</t>
  </si>
  <si>
    <t>Q8WUM9</t>
  </si>
  <si>
    <t>Q8WUN7</t>
  </si>
  <si>
    <t>Q8WUR7</t>
  </si>
  <si>
    <t>Q8WUX2</t>
  </si>
  <si>
    <t>Q8WUX9</t>
  </si>
  <si>
    <t>Q8WUY1</t>
  </si>
  <si>
    <t>Q8WUY8</t>
  </si>
  <si>
    <t>Q8WV22</t>
  </si>
  <si>
    <t>Q8WV74</t>
  </si>
  <si>
    <t>Q8WV92</t>
  </si>
  <si>
    <t>Q8WVB6</t>
  </si>
  <si>
    <t>Q8WVC0</t>
  </si>
  <si>
    <t>Q8WVD3</t>
  </si>
  <si>
    <t>Q8WVE0</t>
  </si>
  <si>
    <t>Q8WVJ2</t>
  </si>
  <si>
    <t>Q8WVK2</t>
  </si>
  <si>
    <t>Q8WVK7</t>
  </si>
  <si>
    <t>Q8WVL7</t>
  </si>
  <si>
    <t>Q8WVM0</t>
  </si>
  <si>
    <t>Q8WVM8</t>
  </si>
  <si>
    <t>Q8WVQ1</t>
  </si>
  <si>
    <t>Q8WVT3</t>
  </si>
  <si>
    <t>Q8WVX9</t>
  </si>
  <si>
    <t>Q8WVY7</t>
  </si>
  <si>
    <t>Q8WVZ9</t>
  </si>
  <si>
    <t>Q8WW01</t>
  </si>
  <si>
    <t>Q8WW12</t>
  </si>
  <si>
    <t>Q8WW59</t>
  </si>
  <si>
    <t>Q8WWB7-2</t>
  </si>
  <si>
    <t>Q8WWC4</t>
  </si>
  <si>
    <t>Q8WWH5</t>
  </si>
  <si>
    <t>Q8WWI5</t>
  </si>
  <si>
    <t>Q8WWK9-5</t>
  </si>
  <si>
    <t>Q8WWM7</t>
  </si>
  <si>
    <t>Q8WWP7</t>
  </si>
  <si>
    <t>Q8WWV3</t>
  </si>
  <si>
    <t>Q8WWW0-2</t>
  </si>
  <si>
    <t>Q8WWX9</t>
  </si>
  <si>
    <t>Q8WWY3</t>
  </si>
  <si>
    <t>Q8WX92</t>
  </si>
  <si>
    <t>Q8WX93-3</t>
  </si>
  <si>
    <t>Q8WXA9-2</t>
  </si>
  <si>
    <t>Q8WXD5</t>
  </si>
  <si>
    <t>Q8WXE0</t>
  </si>
  <si>
    <t>Q8WXE1-5</t>
  </si>
  <si>
    <t>Q8WXF1</t>
  </si>
  <si>
    <t>Q8WXH0</t>
  </si>
  <si>
    <t>Q8WXI9</t>
  </si>
  <si>
    <t>Q8WXX0</t>
  </si>
  <si>
    <t>Q8WXX5</t>
  </si>
  <si>
    <t>Q8WY22</t>
  </si>
  <si>
    <t>Q8WY54-2</t>
  </si>
  <si>
    <t>Q8WY91</t>
  </si>
  <si>
    <t>Q8WYA6</t>
  </si>
  <si>
    <t>Q8WYQ5-3</t>
  </si>
  <si>
    <t>Q8WYQ7</t>
  </si>
  <si>
    <t>Q8WZ82</t>
  </si>
  <si>
    <t>Q8WZA0</t>
  </si>
  <si>
    <t>Q8WZA9</t>
  </si>
  <si>
    <t>Q92466</t>
  </si>
  <si>
    <t>Q92482-2</t>
  </si>
  <si>
    <t>Q92499</t>
  </si>
  <si>
    <t>Q92503-3</t>
  </si>
  <si>
    <t>Q92504</t>
  </si>
  <si>
    <t>Q92506</t>
  </si>
  <si>
    <t>Q92508</t>
  </si>
  <si>
    <t>Q92520</t>
  </si>
  <si>
    <t>Q92522</t>
  </si>
  <si>
    <t>Q92526</t>
  </si>
  <si>
    <t>Q92536</t>
  </si>
  <si>
    <t>Q92538</t>
  </si>
  <si>
    <t>Q92541</t>
  </si>
  <si>
    <t>Q92544</t>
  </si>
  <si>
    <t>Q92546</t>
  </si>
  <si>
    <t>Q92547</t>
  </si>
  <si>
    <t>Q92551</t>
  </si>
  <si>
    <t>Q92552</t>
  </si>
  <si>
    <t>Q92556</t>
  </si>
  <si>
    <t>Q92558</t>
  </si>
  <si>
    <t>Q92572</t>
  </si>
  <si>
    <t>Q92575</t>
  </si>
  <si>
    <t>Q92576-2</t>
  </si>
  <si>
    <t>Q92581-2</t>
  </si>
  <si>
    <t>Q92585</t>
  </si>
  <si>
    <t>Q92597</t>
  </si>
  <si>
    <t>Q92598-2</t>
  </si>
  <si>
    <t>Q92600</t>
  </si>
  <si>
    <t>Q92604</t>
  </si>
  <si>
    <t>Q92608</t>
  </si>
  <si>
    <t>Q92609</t>
  </si>
  <si>
    <t>Q92610</t>
  </si>
  <si>
    <t>Q92611</t>
  </si>
  <si>
    <t>Q92614-2</t>
  </si>
  <si>
    <t>Q92615</t>
  </si>
  <si>
    <t>Q92616</t>
  </si>
  <si>
    <t>Q92619</t>
  </si>
  <si>
    <t>Q92620</t>
  </si>
  <si>
    <t>Q92621</t>
  </si>
  <si>
    <t>Q92623</t>
  </si>
  <si>
    <t>Q92625</t>
  </si>
  <si>
    <t>Q92626</t>
  </si>
  <si>
    <t>Q92636</t>
  </si>
  <si>
    <t>Q92665</t>
  </si>
  <si>
    <t>Q92667</t>
  </si>
  <si>
    <t>Q92673</t>
  </si>
  <si>
    <t>Q92686</t>
  </si>
  <si>
    <t>Q92688-2</t>
  </si>
  <si>
    <t>Q92692</t>
  </si>
  <si>
    <t>Q92692-2</t>
  </si>
  <si>
    <t>Q92696</t>
  </si>
  <si>
    <t>Q92734-2</t>
  </si>
  <si>
    <t>Q92747</t>
  </si>
  <si>
    <t>Q92759</t>
  </si>
  <si>
    <t>Q92766</t>
  </si>
  <si>
    <t>Q92783-2</t>
  </si>
  <si>
    <t>Q92784</t>
  </si>
  <si>
    <t>Q92785</t>
  </si>
  <si>
    <t>Q92793</t>
  </si>
  <si>
    <t>Q92797</t>
  </si>
  <si>
    <t>Q92804-2</t>
  </si>
  <si>
    <t>Q92805</t>
  </si>
  <si>
    <t>Q92820</t>
  </si>
  <si>
    <t>Q92828</t>
  </si>
  <si>
    <t>Q92834-4</t>
  </si>
  <si>
    <t>Q92838-2</t>
  </si>
  <si>
    <t>Q92843-2</t>
  </si>
  <si>
    <t>Q92844</t>
  </si>
  <si>
    <t>Q92851-4</t>
  </si>
  <si>
    <t>Q92854</t>
  </si>
  <si>
    <t>Q92859-3</t>
  </si>
  <si>
    <t>Q92871</t>
  </si>
  <si>
    <t>Q92878</t>
  </si>
  <si>
    <t>Q92882</t>
  </si>
  <si>
    <t>Q92889</t>
  </si>
  <si>
    <t>Q92890</t>
  </si>
  <si>
    <t>Q92896</t>
  </si>
  <si>
    <t>Q92900</t>
  </si>
  <si>
    <t>Q92905</t>
  </si>
  <si>
    <t>Q92917</t>
  </si>
  <si>
    <t>Q92922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</si>
  <si>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</si>
  <si>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</si>
  <si>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</si>
  <si>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</si>
  <si>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</si>
  <si>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</si>
  <si>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</si>
  <si>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</si>
  <si>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Q92994-5</t>
  </si>
  <si>
    <t>Q92995</t>
  </si>
  <si>
    <t>Q93008-1</t>
  </si>
  <si>
    <t>Q93015</t>
  </si>
  <si>
    <t>Q93034</t>
  </si>
  <si>
    <t>Q93052</t>
  </si>
  <si>
    <t>Q93084-2</t>
  </si>
  <si>
    <t>Q93096</t>
  </si>
  <si>
    <t>Q93100-4</t>
  </si>
  <si>
    <t>Q969E2-2</t>
  </si>
  <si>
    <t>Q969E4</t>
  </si>
  <si>
    <t>Q969E8</t>
  </si>
  <si>
    <t>Q969G3-2</t>
  </si>
  <si>
    <t>Q969G6</t>
  </si>
  <si>
    <t>Q969H6</t>
  </si>
  <si>
    <t>Q969H8</t>
  </si>
  <si>
    <t>Q969K3</t>
  </si>
  <si>
    <t>Q969M1</t>
  </si>
  <si>
    <t>Q969M3</t>
  </si>
  <si>
    <t>Q969N2-5</t>
  </si>
  <si>
    <t>Q969P0-3</t>
  </si>
  <si>
    <t>Q969Q0</t>
  </si>
  <si>
    <t>Q969Q5</t>
  </si>
  <si>
    <t>Q969R8</t>
  </si>
  <si>
    <t>Q969S3</t>
  </si>
  <si>
    <t>Q969S9-2</t>
  </si>
  <si>
    <t>Q969T7-2</t>
  </si>
  <si>
    <t>Q969V3-2</t>
  </si>
  <si>
    <t>Q969V5</t>
  </si>
  <si>
    <t>Q969X0</t>
  </si>
  <si>
    <t>Q969X5-2</t>
  </si>
  <si>
    <t>Q969X6</t>
  </si>
  <si>
    <t>Q969Y2-3</t>
  </si>
  <si>
    <t>Q969Z0</t>
  </si>
  <si>
    <t>Q96A33</t>
  </si>
  <si>
    <t>Q96A47</t>
  </si>
  <si>
    <t>Q96A49</t>
  </si>
  <si>
    <t>Q96A65</t>
  </si>
  <si>
    <t>Q96A73</t>
  </si>
  <si>
    <t>Q96AB6</t>
  </si>
  <si>
    <t>Q96AC1</t>
  </si>
  <si>
    <t>Q96AE4</t>
  </si>
  <si>
    <t>Q96AE4-2</t>
  </si>
  <si>
    <t>Q96AG3</t>
  </si>
  <si>
    <t>Q96AG4</t>
  </si>
  <si>
    <t>Q96AJ9-1</t>
  </si>
  <si>
    <t>Q96AP0-2</t>
  </si>
  <si>
    <t>Q96AQ6-2</t>
  </si>
  <si>
    <t>Q96AQ8</t>
  </si>
  <si>
    <t>Q96AT1</t>
  </si>
  <si>
    <t>Q96AT9</t>
  </si>
  <si>
    <t>Q96AX2-4</t>
  </si>
  <si>
    <t>Q96B01</t>
  </si>
  <si>
    <t>Q96B23-2</t>
  </si>
  <si>
    <t>Q96B26</t>
  </si>
  <si>
    <t>Q96B36</t>
  </si>
  <si>
    <t>Q96B45</t>
  </si>
  <si>
    <t>Q96B49</t>
  </si>
  <si>
    <t>Q96B70</t>
  </si>
  <si>
    <t>Q96B97</t>
  </si>
  <si>
    <t>Q96BD8-2</t>
  </si>
  <si>
    <t>Q96BH1</t>
  </si>
  <si>
    <t>Q96BI3</t>
  </si>
  <si>
    <t>Q96BK5</t>
  </si>
  <si>
    <t>Q96BM9</t>
  </si>
  <si>
    <t>Q96BN8</t>
  </si>
  <si>
    <t>Q96BP2</t>
  </si>
  <si>
    <t>Q96BP3</t>
  </si>
  <si>
    <t>Q96BQ5</t>
  </si>
  <si>
    <t>Q96BR5</t>
  </si>
  <si>
    <t>Q96BT7</t>
  </si>
  <si>
    <t>Q96BW1</t>
  </si>
  <si>
    <t>Q96BW5-2</t>
  </si>
  <si>
    <t>Q96BX8</t>
  </si>
  <si>
    <t>Q96BZ8</t>
  </si>
  <si>
    <t>Q96BZ9</t>
  </si>
  <si>
    <t>Q96C01</t>
  </si>
  <si>
    <t>Q96C19</t>
  </si>
  <si>
    <t>Q96C36</t>
  </si>
  <si>
    <t>Q96C55</t>
  </si>
  <si>
    <t>Q96C57</t>
  </si>
  <si>
    <t>Q96C86</t>
  </si>
  <si>
    <t>Q96C90</t>
  </si>
  <si>
    <t>Q96CB8</t>
  </si>
  <si>
    <t>Q96CB9</t>
  </si>
  <si>
    <t>Q96CD0</t>
  </si>
  <si>
    <t>Q96CD2</t>
  </si>
  <si>
    <t>Q96CG3</t>
  </si>
  <si>
    <t>Q96CG8-3</t>
  </si>
  <si>
    <t>Q96CN7</t>
  </si>
  <si>
    <t>Q96CN9</t>
  </si>
  <si>
    <t>Q96CP2</t>
  </si>
  <si>
    <t>Q96CS2</t>
  </si>
  <si>
    <t>Q96CS3</t>
  </si>
  <si>
    <t>Q96CT7</t>
  </si>
  <si>
    <t>Q96CU9</t>
  </si>
  <si>
    <t>Q96CW1-2</t>
  </si>
  <si>
    <t>Q96CW5</t>
  </si>
  <si>
    <t>Q96CW6</t>
  </si>
  <si>
    <t>Q96CX2</t>
  </si>
  <si>
    <t>Q96CX6</t>
  </si>
  <si>
    <t>Q96D05</t>
  </si>
  <si>
    <t>Q96D31-2</t>
  </si>
  <si>
    <t>Q96D53</t>
  </si>
  <si>
    <t>Q96D71-3</t>
  </si>
  <si>
    <t>Q96D96-4</t>
  </si>
  <si>
    <t>Q96DA2</t>
  </si>
  <si>
    <t>Q96DA6</t>
  </si>
  <si>
    <t>Q96DB5</t>
  </si>
  <si>
    <t>Q96DC7</t>
  </si>
  <si>
    <t>Q96DC9</t>
  </si>
  <si>
    <t>Q96DE5</t>
  </si>
  <si>
    <t>Q96DF8</t>
  </si>
  <si>
    <t>Q96DH6-2</t>
  </si>
  <si>
    <t>Q96DI7</t>
  </si>
  <si>
    <t>Q96DT6</t>
  </si>
  <si>
    <t>Q96DU3-2</t>
  </si>
  <si>
    <t>Q96DV4</t>
  </si>
  <si>
    <t>Q96DX4</t>
  </si>
  <si>
    <t>Q96DX7</t>
  </si>
  <si>
    <t>Q96DZ1</t>
  </si>
  <si>
    <t>Q96E09</t>
  </si>
  <si>
    <t>Q96E11-3</t>
  </si>
  <si>
    <t>Q96E14</t>
  </si>
  <si>
    <t>Q96E40-2</t>
  </si>
  <si>
    <t>Q96E52</t>
  </si>
  <si>
    <t>Q96EA4</t>
  </si>
  <si>
    <t>Q96EB1</t>
  </si>
  <si>
    <t>Q96EB6</t>
  </si>
  <si>
    <t>Q96EC8</t>
  </si>
  <si>
    <t>Q96EE3</t>
  </si>
  <si>
    <t>Q96EH3</t>
  </si>
  <si>
    <t>Q96EK5</t>
  </si>
  <si>
    <t>Q96EK6</t>
  </si>
  <si>
    <t>Q96EK9</t>
  </si>
  <si>
    <t>Q96EL2</t>
  </si>
  <si>
    <t>Q96EL3</t>
  </si>
  <si>
    <t>Q96EM0</t>
  </si>
  <si>
    <t>Q96EP0</t>
  </si>
  <si>
    <t>Q96EP5</t>
  </si>
  <si>
    <t>Q96EQ0</t>
  </si>
  <si>
    <t>Q96ER3</t>
  </si>
  <si>
    <t>Q96ER9</t>
  </si>
  <si>
    <t>Q96ES7</t>
  </si>
  <si>
    <t>Q96EU6-2</t>
  </si>
  <si>
    <t>Q96EV2</t>
  </si>
  <si>
    <t>Q96EV8-2</t>
  </si>
  <si>
    <t>Q96EW2</t>
  </si>
  <si>
    <t>Q96EX1</t>
  </si>
  <si>
    <t>Q96EX3</t>
  </si>
  <si>
    <t>Q96EY1</t>
  </si>
  <si>
    <t>Q96EY5</t>
  </si>
  <si>
    <t>Q96EY7</t>
  </si>
  <si>
    <t>Q96EY8</t>
  </si>
  <si>
    <t>Q96EY9</t>
  </si>
  <si>
    <t>Q96F15</t>
  </si>
  <si>
    <t>Q96F24-2</t>
  </si>
  <si>
    <t>Q96F25</t>
  </si>
  <si>
    <t>Q96F44-3</t>
  </si>
  <si>
    <t>Q96F63</t>
  </si>
  <si>
    <t>Q96F86</t>
  </si>
  <si>
    <t>Q96FA3</t>
  </si>
  <si>
    <t>Q96FC9-3</t>
  </si>
  <si>
    <t>Q96FH0</t>
  </si>
  <si>
    <t>Q96FJ0</t>
  </si>
  <si>
    <t>Q96FJ2</t>
  </si>
  <si>
    <t>Q96FK6</t>
  </si>
  <si>
    <t>Q96FN4</t>
  </si>
  <si>
    <t>Q96FN9</t>
  </si>
  <si>
    <t>Q96FS4</t>
  </si>
  <si>
    <t>Q96FV9</t>
  </si>
  <si>
    <t>Q96FX2</t>
  </si>
  <si>
    <t>Q96FX7</t>
  </si>
  <si>
    <t>Q96FZ2</t>
  </si>
  <si>
    <t>Q96FZ7</t>
  </si>
  <si>
    <t>Q96G03</t>
  </si>
  <si>
    <t>Q96G25</t>
  </si>
  <si>
    <t>Q96G28</t>
  </si>
  <si>
    <t>Q96G46</t>
  </si>
  <si>
    <t>Q96G61</t>
  </si>
  <si>
    <t>Q96G74-3</t>
  </si>
  <si>
    <t>Q96GA3</t>
  </si>
  <si>
    <t>Q96GD0</t>
  </si>
  <si>
    <t>Q96GF1</t>
  </si>
  <si>
    <t>Q96GG9</t>
  </si>
  <si>
    <t>Q96GK7</t>
  </si>
  <si>
    <t>Q96GM5</t>
  </si>
  <si>
    <t>Q96GM8</t>
  </si>
  <si>
    <t>Q96GQ7</t>
  </si>
  <si>
    <t>Q96GS4</t>
  </si>
  <si>
    <t>Q96GS6</t>
  </si>
  <si>
    <t>Q96GW9</t>
  </si>
  <si>
    <t>Q96GX2</t>
  </si>
  <si>
    <t>Q96GX5-2</t>
  </si>
  <si>
    <t>Q96GX9</t>
  </si>
  <si>
    <t>Q96GX9-3</t>
  </si>
  <si>
    <t>Q96GY0</t>
  </si>
  <si>
    <t>Q96GZ6-6</t>
  </si>
  <si>
    <t>Q96H20</t>
  </si>
  <si>
    <t>Q96H22-4</t>
  </si>
  <si>
    <t>Q96H79</t>
  </si>
  <si>
    <t>Q96H86-2</t>
  </si>
  <si>
    <t>Q96HA4-4</t>
  </si>
  <si>
    <t>Q96HA8</t>
  </si>
  <si>
    <t>Q96HC4</t>
  </si>
  <si>
    <t>Q96HD1</t>
  </si>
  <si>
    <t>Q96HE7</t>
  </si>
  <si>
    <t>Q96HJ9</t>
  </si>
  <si>
    <t>Q96HJ9-2</t>
  </si>
  <si>
    <t>Q96HN2</t>
  </si>
  <si>
    <t>Q96HQ2</t>
  </si>
  <si>
    <t>Q96HR3</t>
  </si>
  <si>
    <t>Q96HR8-2</t>
  </si>
  <si>
    <t>Q96HR9</t>
  </si>
  <si>
    <t>Q96HS1</t>
  </si>
  <si>
    <t>Q96HW7</t>
  </si>
  <si>
    <t>Q96HY6</t>
  </si>
  <si>
    <t>Q96HY7</t>
  </si>
  <si>
    <t>Q96I15</t>
  </si>
  <si>
    <t>Q96I24</t>
  </si>
  <si>
    <t>Q96I25</t>
  </si>
  <si>
    <t>Q96I36</t>
  </si>
  <si>
    <t>Q96I59</t>
  </si>
  <si>
    <t>Q96I99</t>
  </si>
  <si>
    <t>Q96IF1</t>
  </si>
  <si>
    <t>Q96IJ6</t>
  </si>
  <si>
    <t>Q96IK1</t>
  </si>
  <si>
    <t>Q96IR2</t>
  </si>
  <si>
    <t>Q96IU4</t>
  </si>
  <si>
    <t>Q96IV0-5</t>
  </si>
  <si>
    <t>Q96IX5</t>
  </si>
  <si>
    <t>Q96IY1</t>
  </si>
  <si>
    <t>Q96IZ0</t>
  </si>
  <si>
    <t>Q96IZ7-2</t>
  </si>
  <si>
    <t>Q96J01</t>
  </si>
  <si>
    <t>Q96J02-2</t>
  </si>
  <si>
    <t>Q96J84-2</t>
  </si>
  <si>
    <t>Q96J88-2</t>
  </si>
  <si>
    <t>Q96JB2</t>
  </si>
  <si>
    <t>Q96JB5</t>
  </si>
  <si>
    <t>Q96JC1-2</t>
  </si>
  <si>
    <t>Q96JC9</t>
  </si>
  <si>
    <t>Q96JG6</t>
  </si>
  <si>
    <t>Q96JH7</t>
  </si>
  <si>
    <t>Q96JJ7</t>
  </si>
  <si>
    <t>Q96JM3</t>
  </si>
  <si>
    <t>Q96JP5</t>
  </si>
  <si>
    <t>Q96JQ2</t>
  </si>
  <si>
    <t>Q96JY6</t>
  </si>
  <si>
    <t>Q96K19-2</t>
  </si>
  <si>
    <t>Q96K31</t>
  </si>
  <si>
    <t>Q96K80</t>
  </si>
  <si>
    <t>Q96KA5-2</t>
  </si>
  <si>
    <t>Q96KB5</t>
  </si>
  <si>
    <t>Q96KC8</t>
  </si>
  <si>
    <t>Q96KM6</t>
  </si>
  <si>
    <t>Q96KP1</t>
  </si>
  <si>
    <t>Q96KP4</t>
  </si>
  <si>
    <t>Q96KQ4</t>
  </si>
  <si>
    <t>Q96KR1</t>
  </si>
  <si>
    <t>Q96L50</t>
  </si>
  <si>
    <t>Q96L92-3</t>
  </si>
  <si>
    <t>Q96L93-6</t>
  </si>
  <si>
    <t>Q96LA8</t>
  </si>
  <si>
    <t>Q96LD8</t>
  </si>
  <si>
    <t>Q96LJ7</t>
  </si>
  <si>
    <t>Q96LR5</t>
  </si>
  <si>
    <t>Q96LT7</t>
  </si>
  <si>
    <t>Q96M20-2</t>
  </si>
  <si>
    <t>Q96M27</t>
  </si>
  <si>
    <t>Q96ME1-4</t>
  </si>
  <si>
    <t>Q96MG7</t>
  </si>
  <si>
    <t>Q96MH2</t>
  </si>
  <si>
    <t>Q96MH6</t>
  </si>
  <si>
    <t>Q96MX3</t>
  </si>
  <si>
    <t>Q96MX6</t>
  </si>
  <si>
    <t>Q96N11-2</t>
  </si>
  <si>
    <t>Q96N16</t>
  </si>
  <si>
    <t>Q96N21-2</t>
  </si>
  <si>
    <t>Q96N46</t>
  </si>
  <si>
    <t>Q96N66-2</t>
  </si>
  <si>
    <t>Q96N67-4</t>
  </si>
  <si>
    <t>Q96NB1</t>
  </si>
  <si>
    <t>Q96NB2</t>
  </si>
  <si>
    <t>Q96NB3</t>
  </si>
  <si>
    <t>Q96NC0</t>
  </si>
  <si>
    <t>Q96NT0</t>
  </si>
  <si>
    <t>Q96NT1</t>
  </si>
  <si>
    <t>Q96P11-2</t>
  </si>
  <si>
    <t>Q96P16</t>
  </si>
  <si>
    <t>Q96P70</t>
  </si>
  <si>
    <t>Q96PD2</t>
  </si>
  <si>
    <t>Q96PE7</t>
  </si>
  <si>
    <t>Q96PK6</t>
  </si>
  <si>
    <t>Q96PM5</t>
  </si>
  <si>
    <t>Q96PU4</t>
  </si>
  <si>
    <t>Q96PU5-2</t>
  </si>
  <si>
    <t>Q96PU8-9</t>
  </si>
  <si>
    <t>Q96PV6-2</t>
  </si>
  <si>
    <t>Q96PZ0</t>
  </si>
  <si>
    <t>Q96PZ2</t>
  </si>
  <si>
    <t>Q96Q05-3</t>
  </si>
  <si>
    <t>Q96Q11-2</t>
  </si>
  <si>
    <t>Q96Q45-2</t>
  </si>
  <si>
    <t>Q96Q83</t>
  </si>
  <si>
    <t>Q96QC0</t>
  </si>
  <si>
    <t>Q96QD8</t>
  </si>
  <si>
    <t>Q96QE2</t>
  </si>
  <si>
    <t>Q96QF0-2</t>
  </si>
  <si>
    <t>Q96QK1</t>
  </si>
  <si>
    <t>Q96QR8</t>
  </si>
  <si>
    <t>Q96QZ7-6</t>
  </si>
  <si>
    <t>Q96R06</t>
  </si>
  <si>
    <t>Q96RD7-2</t>
  </si>
  <si>
    <t>Q96RE7</t>
  </si>
  <si>
    <t>Q96RG2</t>
  </si>
  <si>
    <t>Q96RL7-4</t>
  </si>
  <si>
    <t>Q96RN5-3</t>
  </si>
  <si>
    <t>Q96RP9</t>
  </si>
  <si>
    <t>Q96RR1</t>
  </si>
  <si>
    <t>Q96RR4-2</t>
  </si>
  <si>
    <t>Q96RS0</t>
  </si>
  <si>
    <t>Q96RS6</t>
  </si>
  <si>
    <t>Q96RT1-7</t>
  </si>
  <si>
    <t>Q96S19</t>
  </si>
  <si>
    <t>Q96S44</t>
  </si>
  <si>
    <t>Q96S52</t>
  </si>
  <si>
    <t>Q96S55-2</t>
  </si>
  <si>
    <t>Q96S59</t>
  </si>
  <si>
    <t>Q96S66</t>
  </si>
  <si>
    <t>Q96S82</t>
  </si>
  <si>
    <t>Q96S90</t>
  </si>
  <si>
    <t>Q96S94</t>
  </si>
  <si>
    <t>Q96S97</t>
  </si>
  <si>
    <t>Q96S99</t>
  </si>
  <si>
    <t>Q96SB3</t>
  </si>
  <si>
    <t>Q96SB4</t>
  </si>
  <si>
    <t>Q96SB8</t>
  </si>
  <si>
    <t>Q96SI9-2</t>
  </si>
  <si>
    <t>Q96SK2-2</t>
  </si>
  <si>
    <t>Q96SN7</t>
  </si>
  <si>
    <t>Q96ST2</t>
  </si>
  <si>
    <t>Q96ST3</t>
  </si>
  <si>
    <t>Q96SZ5</t>
  </si>
  <si>
    <t>Q96T37-2</t>
  </si>
  <si>
    <t>Q96T51</t>
  </si>
  <si>
    <t>Q96T58</t>
  </si>
  <si>
    <t>Q96T60</t>
  </si>
  <si>
    <t>Q96T76</t>
  </si>
  <si>
    <t>Q96T83</t>
  </si>
  <si>
    <t>Q96T88</t>
  </si>
  <si>
    <t>Q96TA1-2</t>
  </si>
  <si>
    <t>Q96TA2-3</t>
  </si>
  <si>
    <t>Q96TC7</t>
  </si>
  <si>
    <t>Q99081</t>
  </si>
  <si>
    <t>Q99417</t>
  </si>
  <si>
    <t>Q99426</t>
  </si>
  <si>
    <t>Q99436</t>
  </si>
  <si>
    <t>Q99442</t>
  </si>
  <si>
    <t>Q99447</t>
  </si>
  <si>
    <t>Q99459</t>
  </si>
  <si>
    <t>Q99460</t>
  </si>
  <si>
    <t>Q99470</t>
  </si>
  <si>
    <t>Q99471</t>
  </si>
  <si>
    <t>Q99487</t>
  </si>
  <si>
    <t>Q99490-2</t>
  </si>
  <si>
    <t>Q99496</t>
  </si>
  <si>
    <t>Q99497</t>
  </si>
  <si>
    <t>Q99501</t>
  </si>
  <si>
    <t>Q99519</t>
  </si>
  <si>
    <t>Q99523</t>
  </si>
  <si>
    <t>Q99536</t>
  </si>
  <si>
    <t>Q99543</t>
  </si>
  <si>
    <t>Q99549</t>
  </si>
  <si>
    <t>Q99567</t>
  </si>
  <si>
    <t>Q99570</t>
  </si>
  <si>
    <t>Q99575</t>
  </si>
  <si>
    <t>Q99595</t>
  </si>
  <si>
    <t>Q99598</t>
  </si>
  <si>
    <t>Q99608</t>
  </si>
  <si>
    <t>Q99611</t>
  </si>
  <si>
    <t>Q99614</t>
  </si>
  <si>
    <t>Q99615</t>
  </si>
  <si>
    <t>Q99618</t>
  </si>
  <si>
    <t>Q99622</t>
  </si>
  <si>
    <t>Q99623</t>
  </si>
  <si>
    <t>Q99633</t>
  </si>
  <si>
    <t>Q99638</t>
  </si>
  <si>
    <t>Q99643-5</t>
  </si>
  <si>
    <t>Q99653</t>
  </si>
  <si>
    <t>Q99661</t>
  </si>
  <si>
    <t>Q99704</t>
  </si>
  <si>
    <t>Q99707</t>
  </si>
  <si>
    <t>Q99714</t>
  </si>
  <si>
    <t>Q99719</t>
  </si>
  <si>
    <t>Q99720-4</t>
  </si>
  <si>
    <t>Q99733</t>
  </si>
  <si>
    <t>Q99747</t>
  </si>
  <si>
    <t>Q99757</t>
  </si>
  <si>
    <t>Q99766</t>
  </si>
  <si>
    <t>Q99795</t>
  </si>
  <si>
    <t>Q99797</t>
  </si>
  <si>
    <t>Q99805</t>
  </si>
  <si>
    <t>Q99808</t>
  </si>
  <si>
    <t>Q99816</t>
  </si>
  <si>
    <t>Q99829</t>
  </si>
  <si>
    <t>Q99832</t>
  </si>
  <si>
    <t>Q99856</t>
  </si>
  <si>
    <t>Q99879</t>
  </si>
  <si>
    <t>Q99952-2</t>
  </si>
  <si>
    <t>Q99961</t>
  </si>
  <si>
    <t>Q99963-4</t>
  </si>
  <si>
    <t>Q99986</t>
  </si>
  <si>
    <t>Q9BPU6</t>
  </si>
  <si>
    <t>Q9BPW8</t>
  </si>
  <si>
    <t>Q9BPX3</t>
  </si>
  <si>
    <t>Q9BPX5</t>
  </si>
  <si>
    <t>Q9BPX7</t>
  </si>
  <si>
    <t>Q9BPZ3</t>
  </si>
  <si>
    <t>Q9BQ04</t>
  </si>
  <si>
    <t>Q9BQ39</t>
  </si>
  <si>
    <t>Q9BQ52</t>
  </si>
  <si>
    <t>Q9BQ61</t>
  </si>
  <si>
    <t>Q9BQ67</t>
  </si>
  <si>
    <t>Q9BQ69</t>
  </si>
  <si>
    <t>Q9BQ70</t>
  </si>
  <si>
    <t>Q9BQ95</t>
  </si>
  <si>
    <t>Q9BQA1</t>
  </si>
  <si>
    <t>Q9BQA9-2</t>
  </si>
  <si>
    <t>Q9BQC3</t>
  </si>
  <si>
    <t>Q9BQF6-5</t>
  </si>
  <si>
    <t>Q9BQI0</t>
  </si>
  <si>
    <t>Q9BQI3-2</t>
  </si>
  <si>
    <t>Q9BQI6</t>
  </si>
  <si>
    <t>Q9BQP7</t>
  </si>
  <si>
    <t>Q9BQS8</t>
  </si>
  <si>
    <t>Q9BR61</t>
  </si>
  <si>
    <t>Q9BR76</t>
  </si>
  <si>
    <t>Q9BRA0-2</t>
  </si>
  <si>
    <t>Q9BRA2</t>
  </si>
  <si>
    <t>Q9BRD0</t>
  </si>
  <si>
    <t>Q9BRF8</t>
  </si>
  <si>
    <t>Q9BRG1</t>
  </si>
  <si>
    <t>Q9BRJ2</t>
  </si>
  <si>
    <t>Q9BRK5</t>
  </si>
  <si>
    <t>Q9BRL6-2</t>
  </si>
  <si>
    <t>Q9BRP1</t>
  </si>
  <si>
    <t>Q9BRP4</t>
  </si>
  <si>
    <t>Q9BRP8-2</t>
  </si>
  <si>
    <t>Q9BRR6-2</t>
  </si>
  <si>
    <t>Q9BRR8</t>
  </si>
  <si>
    <t>Q9BRS2</t>
  </si>
  <si>
    <t>Q9BRT2</t>
  </si>
  <si>
    <t>Q9BRT3</t>
  </si>
  <si>
    <t>Q9BRT9</t>
  </si>
  <si>
    <t>Q9BRV8</t>
  </si>
  <si>
    <t>Q9BRX2</t>
  </si>
  <si>
    <t>Q9BRX5</t>
  </si>
  <si>
    <t>Q9BRX8-2</t>
  </si>
  <si>
    <t>Q9BRX9</t>
  </si>
  <si>
    <t>Q9BRZ2</t>
  </si>
  <si>
    <t>Q9BS26</t>
  </si>
  <si>
    <t>Q9BSB4</t>
  </si>
  <si>
    <t>Q9BSD7</t>
  </si>
  <si>
    <t>Q9BSE4</t>
  </si>
  <si>
    <t>Q9BSF4</t>
  </si>
  <si>
    <t>Q9BSH4</t>
  </si>
  <si>
    <t>Q9BSH5</t>
  </si>
  <si>
    <t>Q9BSJ5-3</t>
  </si>
  <si>
    <t>Q9BSJ8</t>
  </si>
  <si>
    <t>Q9BSK2</t>
  </si>
  <si>
    <t>Q9BSL1</t>
  </si>
  <si>
    <t>Q9BSR8</t>
  </si>
  <si>
    <t>Q9BSU1</t>
  </si>
  <si>
    <t>Q9BSV6</t>
  </si>
  <si>
    <t>Q9BSW2-2</t>
  </si>
  <si>
    <t>Q9BT09</t>
  </si>
  <si>
    <t>Q9BT22</t>
  </si>
  <si>
    <t>Q9BT23</t>
  </si>
  <si>
    <t>Q9BT25-2</t>
  </si>
  <si>
    <t>Q9BT30</t>
  </si>
  <si>
    <t>Q9BT73</t>
  </si>
  <si>
    <t>Q9BT78</t>
  </si>
  <si>
    <t>Q9BT92</t>
  </si>
  <si>
    <t>Q9BTA9-5</t>
  </si>
  <si>
    <t>Q9BTC0</t>
  </si>
  <si>
    <t>Q9BTE1</t>
  </si>
  <si>
    <t>Q9BTE3-2</t>
  </si>
  <si>
    <t>Q9BTE6</t>
  </si>
  <si>
    <t>Q9BTE7</t>
  </si>
  <si>
    <t>Q9BTL3</t>
  </si>
  <si>
    <t>Q9BTM9</t>
  </si>
  <si>
    <t>Q9BTT0</t>
  </si>
  <si>
    <t>Q9BTT4</t>
  </si>
  <si>
    <t>Q9BTT6</t>
  </si>
  <si>
    <t>Q9BTU6</t>
  </si>
  <si>
    <t>Q9BTV4</t>
  </si>
  <si>
    <t>Q9BTV5</t>
  </si>
  <si>
    <t>Q9BTV6</t>
  </si>
  <si>
    <t>Q9BTV7</t>
  </si>
  <si>
    <t>Q9BTX1-4</t>
  </si>
  <si>
    <t>Q9BTX7</t>
  </si>
  <si>
    <t>Q9BTY7</t>
  </si>
  <si>
    <t>Q9BTZ2</t>
  </si>
  <si>
    <t>Q9BU02</t>
  </si>
  <si>
    <t>Q9BU23-2</t>
  </si>
  <si>
    <t>Q9BU61</t>
  </si>
  <si>
    <t>Q9BU64</t>
  </si>
  <si>
    <t>Q9BU76-3</t>
  </si>
  <si>
    <t>Q9BU89</t>
  </si>
  <si>
    <t>Q9BUA3</t>
  </si>
  <si>
    <t>Q9BUB5-2</t>
  </si>
  <si>
    <t>Q9BUE0</t>
  </si>
  <si>
    <t>Q9BUF5</t>
  </si>
  <si>
    <t>Q9BUH6</t>
  </si>
  <si>
    <t>Q9BUI4</t>
  </si>
  <si>
    <t>Q9BUJ2-2</t>
  </si>
  <si>
    <t>Q9BUL9</t>
  </si>
  <si>
    <t>Q9BUP0</t>
  </si>
  <si>
    <t>Q9BUQ8</t>
  </si>
  <si>
    <t>Q9BUR4</t>
  </si>
  <si>
    <t>Q9BUT1</t>
  </si>
  <si>
    <t>Q9BUT9</t>
  </si>
  <si>
    <t>Q9BUW7</t>
  </si>
  <si>
    <t>Q9BV10</t>
  </si>
  <si>
    <t>Q9BV19</t>
  </si>
  <si>
    <t>Q9BV20</t>
  </si>
  <si>
    <t>Q9BV23</t>
  </si>
  <si>
    <t>Q9BV38</t>
  </si>
  <si>
    <t>Q9BV44</t>
  </si>
  <si>
    <t>Q9BV57</t>
  </si>
  <si>
    <t>Q9BV68-2</t>
  </si>
  <si>
    <t>Q9BV73-2</t>
  </si>
  <si>
    <t>Q9BV79</t>
  </si>
  <si>
    <t>Q9BV81</t>
  </si>
  <si>
    <t>Q9BV86</t>
  </si>
  <si>
    <t>Q9BVA0</t>
  </si>
  <si>
    <t>Q9BVC3</t>
  </si>
  <si>
    <t>Q9BVC4</t>
  </si>
  <si>
    <t>Q9BVC5</t>
  </si>
  <si>
    <t>Q9BVC6</t>
  </si>
  <si>
    <t>Q9BVI4</t>
  </si>
  <si>
    <t>Q9BVJ6</t>
  </si>
  <si>
    <t>Q9BVK6</t>
  </si>
  <si>
    <t>Q9BVL2-3</t>
  </si>
  <si>
    <t>Q9BVL4</t>
  </si>
  <si>
    <t>Q9BVM2</t>
  </si>
  <si>
    <t>Q9BVM4</t>
  </si>
  <si>
    <t>Q9BVP2-2</t>
  </si>
  <si>
    <t>Q9BVQ7</t>
  </si>
  <si>
    <t>Q9BVS4</t>
  </si>
  <si>
    <t>Q9BVS5</t>
  </si>
  <si>
    <t>Q9BVV7</t>
  </si>
  <si>
    <t>Q9BVW5</t>
  </si>
  <si>
    <t>Q9BW19</t>
  </si>
  <si>
    <t>Q9BW27</t>
  </si>
  <si>
    <t>Q9BW60</t>
  </si>
  <si>
    <t>Q9BW61</t>
  </si>
  <si>
    <t>Q9BW62</t>
  </si>
  <si>
    <t>Q9BW71</t>
  </si>
  <si>
    <t>Q9BW71-3</t>
  </si>
  <si>
    <t>Q9BW83</t>
  </si>
  <si>
    <t>Q9BW85</t>
  </si>
  <si>
    <t>Q9BW91-2</t>
  </si>
  <si>
    <t>Q9BW92</t>
  </si>
  <si>
    <t>Q9BWD1</t>
  </si>
  <si>
    <t>Q9BWF3</t>
  </si>
  <si>
    <t>Q9BWG6</t>
  </si>
  <si>
    <t>Q9BWH2</t>
  </si>
  <si>
    <t>Q9BWH6</t>
  </si>
  <si>
    <t>Q9BWJ5</t>
  </si>
  <si>
    <t>Q9BWM7</t>
  </si>
  <si>
    <t>Q9BWT3</t>
  </si>
  <si>
    <t>Q9BWT6</t>
  </si>
  <si>
    <t>Q9BWU0</t>
  </si>
  <si>
    <t>Q9BWW4-2</t>
  </si>
  <si>
    <t>Q9BX40</t>
  </si>
  <si>
    <t>Q9BX59</t>
  </si>
  <si>
    <t>Q9BX63</t>
  </si>
  <si>
    <t>Q9BX66-9</t>
  </si>
  <si>
    <t>Q9BX67</t>
  </si>
  <si>
    <t>Q9BX68</t>
  </si>
  <si>
    <t>Q9BX70</t>
  </si>
  <si>
    <t>Q9BX95</t>
  </si>
  <si>
    <t>Q9BXB4</t>
  </si>
  <si>
    <t>Q9BXF6</t>
  </si>
  <si>
    <t>Q9BXI6</t>
  </si>
  <si>
    <t>Q9BXJ8-2</t>
  </si>
  <si>
    <t>Q9BXJ9</t>
  </si>
  <si>
    <t>Q9BXK1</t>
  </si>
  <si>
    <t>Q9BXK5</t>
  </si>
  <si>
    <t>Q9BXL5</t>
  </si>
  <si>
    <t>Q9BXL7</t>
  </si>
  <si>
    <t>Q9BXP2</t>
  </si>
  <si>
    <t>Q9BXP5-4</t>
  </si>
  <si>
    <t>Q9BXR0</t>
  </si>
  <si>
    <t>Q9BXS5</t>
  </si>
  <si>
    <t>Q9BXS6-2</t>
  </si>
  <si>
    <t>Q9BXV9</t>
  </si>
  <si>
    <t>Q9BXW6</t>
  </si>
  <si>
    <t>Q9BXW7-2</t>
  </si>
  <si>
    <t>Q9BXW9-2</t>
  </si>
  <si>
    <t>Q9BXY0</t>
  </si>
  <si>
    <t>Q9BY27</t>
  </si>
  <si>
    <t>Q9BY32</t>
  </si>
  <si>
    <t>Q9BY42</t>
  </si>
  <si>
    <t>Q9BY43</t>
  </si>
  <si>
    <t>Q9BY44</t>
  </si>
  <si>
    <t>Q9BY49</t>
  </si>
  <si>
    <t>Q9BY67-2</t>
  </si>
  <si>
    <t>Q9BY77</t>
  </si>
  <si>
    <t>Q9BYB4</t>
  </si>
  <si>
    <t>Q9BYC5</t>
  </si>
  <si>
    <t>Q9BYC8</t>
  </si>
  <si>
    <t>Q9BYD6</t>
  </si>
  <si>
    <t>Q9BYG3</t>
  </si>
  <si>
    <t>Q9BYG5</t>
  </si>
  <si>
    <t>Q9BYM8</t>
  </si>
  <si>
    <t>Q9BYN8</t>
  </si>
  <si>
    <t>Q9BYT3</t>
  </si>
  <si>
    <t>Q9BYT8</t>
  </si>
  <si>
    <t>Q9BYV8</t>
  </si>
  <si>
    <t>Q9BYW2</t>
  </si>
  <si>
    <t>Q9BZ23-3</t>
  </si>
  <si>
    <t>Q9BZ67-2</t>
  </si>
  <si>
    <t>Q9BZ95-3</t>
  </si>
  <si>
    <t>Q9BZA5</t>
  </si>
  <si>
    <t>Q9BZD4</t>
  </si>
  <si>
    <t>Q9BZE1</t>
  </si>
  <si>
    <t>Q9BZE2</t>
  </si>
  <si>
    <t>Q9BZE4</t>
  </si>
  <si>
    <t>Q9BZE9</t>
  </si>
  <si>
    <t>Q9BZF1-3</t>
  </si>
  <si>
    <t>Q9BZH6</t>
  </si>
  <si>
    <t>Q9BZI7-2</t>
  </si>
  <si>
    <t>Q9BZK7</t>
  </si>
  <si>
    <t>Q9BZL1</t>
  </si>
  <si>
    <t>Q9BZM1</t>
  </si>
  <si>
    <t>Q9BZM5</t>
  </si>
  <si>
    <t>Q9BZX2</t>
  </si>
  <si>
    <t>Q9BZZ5</t>
  </si>
  <si>
    <t>Q9BZZ5-2</t>
  </si>
  <si>
    <t>Q9C005</t>
  </si>
  <si>
    <t>Q9C037-2</t>
  </si>
  <si>
    <t>Q9C073</t>
  </si>
  <si>
    <t>Q9C0B0</t>
  </si>
  <si>
    <t>Q9C0B1</t>
  </si>
  <si>
    <t>Q9C0B5-2</t>
  </si>
  <si>
    <t>Q9C0B7</t>
  </si>
  <si>
    <t>Q9C0C2</t>
  </si>
  <si>
    <t>Q9C0C9</t>
  </si>
  <si>
    <t>Q9C0D3</t>
  </si>
  <si>
    <t>Q9C0H2-2</t>
  </si>
  <si>
    <t>Q9C0I1</t>
  </si>
  <si>
    <t>Q9C0J8</t>
  </si>
  <si>
    <t>Q9C0K0-2</t>
  </si>
  <si>
    <t>Q9C0K1-2</t>
  </si>
  <si>
    <t>Q9GZL7</t>
  </si>
  <si>
    <t>Q9GZN1</t>
  </si>
  <si>
    <t>Q9GZN8</t>
  </si>
  <si>
    <t>Q9GZP4</t>
  </si>
  <si>
    <t>Q9GZP9</t>
  </si>
  <si>
    <t>Q9GZQ3</t>
  </si>
  <si>
    <t>Q9GZS1-2</t>
  </si>
  <si>
    <t>Q9GZS3</t>
  </si>
  <si>
    <t>Q9GZT3-2</t>
  </si>
  <si>
    <t>Q9GZT6-2</t>
  </si>
  <si>
    <t>Q9GZT8-2</t>
  </si>
  <si>
    <t>Q9GZT9</t>
  </si>
  <si>
    <t>Q9GZU8</t>
  </si>
  <si>
    <t>Q9GZX9</t>
  </si>
  <si>
    <t>Q9GZY8-2</t>
  </si>
  <si>
    <t>Q9GZY8-4</t>
  </si>
  <si>
    <t>Q9GZZ9</t>
  </si>
  <si>
    <t>Q9H008</t>
  </si>
  <si>
    <t>Q9H019-3</t>
  </si>
  <si>
    <t>Q9H061</t>
  </si>
  <si>
    <t>Q9H074</t>
  </si>
  <si>
    <t>Q9H078-2</t>
  </si>
  <si>
    <t>Q9H081</t>
  </si>
  <si>
    <t>Q9H082</t>
  </si>
  <si>
    <t>Q9H089</t>
  </si>
  <si>
    <t>Q9H0A0</t>
  </si>
  <si>
    <t>Q9H0A8</t>
  </si>
  <si>
    <t>Q9H0B6</t>
  </si>
  <si>
    <t>Q9H0C8</t>
  </si>
  <si>
    <t>Q9H0D6</t>
  </si>
  <si>
    <t>Q9H0E2</t>
  </si>
  <si>
    <t>Q9H0F6-2</t>
  </si>
  <si>
    <t>Q9H0F7</t>
  </si>
  <si>
    <t>Q9H0G5</t>
  </si>
  <si>
    <t>Q9H0H5</t>
  </si>
  <si>
    <t>Q9H0K6</t>
  </si>
  <si>
    <t>Q9H0L4</t>
  </si>
  <si>
    <t>Q9H0P0</t>
  </si>
  <si>
    <t>Q9H0R4</t>
  </si>
  <si>
    <t>Q9H0R6</t>
  </si>
  <si>
    <t>Q9H0S4-2</t>
  </si>
  <si>
    <t>Q9H0U3</t>
  </si>
  <si>
    <t>Q9H0U4</t>
  </si>
  <si>
    <t>Q9H0U6</t>
  </si>
  <si>
    <t>Q9H0V9</t>
  </si>
  <si>
    <t>Q9H0W8</t>
  </si>
  <si>
    <t>Q9H0W9</t>
  </si>
  <si>
    <t>Q9H0X4</t>
  </si>
  <si>
    <t>Q9H147</t>
  </si>
  <si>
    <t>Q9H173</t>
  </si>
  <si>
    <t>Q9H1A4</t>
  </si>
  <si>
    <t>Q9H1B7</t>
  </si>
  <si>
    <t>Q9H1D9</t>
  </si>
  <si>
    <t>Q9H1E3</t>
  </si>
  <si>
    <t>Q9H1E5</t>
  </si>
  <si>
    <t>Q9H1I8-3</t>
  </si>
  <si>
    <t>Q9H1J1-2</t>
  </si>
  <si>
    <t>Q9H1K0</t>
  </si>
  <si>
    <t>Q9H1K1</t>
  </si>
  <si>
    <t>Q9H1K6</t>
  </si>
  <si>
    <t>Q9H1U9</t>
  </si>
  <si>
    <t>Q9H1X3-3</t>
  </si>
  <si>
    <t>Q9H1Y0</t>
  </si>
  <si>
    <t>Q9H1Z4</t>
  </si>
  <si>
    <t>Q9H204</t>
  </si>
  <si>
    <t>Q9H223</t>
  </si>
  <si>
    <t>Q9H246</t>
  </si>
  <si>
    <t>Q9H254-4</t>
  </si>
  <si>
    <t>Q9H267</t>
  </si>
  <si>
    <t>Q9H269</t>
  </si>
  <si>
    <t>Q9H270</t>
  </si>
  <si>
    <t>Q9H2C0</t>
  </si>
  <si>
    <t>Q9H2D1</t>
  </si>
  <si>
    <t>Q9H2D6-5</t>
  </si>
  <si>
    <t>Q9H2G2-2</t>
  </si>
  <si>
    <t>Q9H2H8</t>
  </si>
  <si>
    <t>Q9H2J4</t>
  </si>
  <si>
    <t>Q9H2K0</t>
  </si>
  <si>
    <t>Q9H2K8</t>
  </si>
  <si>
    <t>Q9H2M9</t>
  </si>
  <si>
    <t>Q9H2P0</t>
  </si>
  <si>
    <t>Q9H2P9</t>
  </si>
  <si>
    <t>Q9H2U2</t>
  </si>
  <si>
    <t>Q9H2W6</t>
  </si>
  <si>
    <t>Q9H300</t>
  </si>
  <si>
    <t>Q9H307</t>
  </si>
  <si>
    <t>Q9H330-2</t>
  </si>
  <si>
    <t>Q9H3C7</t>
  </si>
  <si>
    <t>Q9H3F6</t>
  </si>
  <si>
    <t>Q9H3G5</t>
  </si>
  <si>
    <t>Q9H3H1</t>
  </si>
  <si>
    <t>Q9H3H3-2</t>
  </si>
  <si>
    <t>Q9H3H5-2</t>
  </si>
  <si>
    <t>Q9H3K6</t>
  </si>
  <si>
    <t>Q9H3N1</t>
  </si>
  <si>
    <t>Q9H3P2</t>
  </si>
  <si>
    <t>Q9H3P7</t>
  </si>
  <si>
    <t>Q9H3R5</t>
  </si>
  <si>
    <t>Q9H3S5</t>
  </si>
  <si>
    <t>Q9H3S7</t>
  </si>
  <si>
    <t>Q9H3U1-2</t>
  </si>
  <si>
    <t>Q9H3U5-3</t>
  </si>
  <si>
    <t>Q9H3Z4-2</t>
  </si>
  <si>
    <t>Q9H400</t>
  </si>
  <si>
    <t>Q9H410</t>
  </si>
  <si>
    <t>Q9H425</t>
  </si>
  <si>
    <t>Q9H444</t>
  </si>
  <si>
    <t>Q9H467</t>
  </si>
  <si>
    <t>Q9H477</t>
  </si>
  <si>
    <t>Q9H488</t>
  </si>
  <si>
    <t>Q9H490-2</t>
  </si>
  <si>
    <t>Q9H496</t>
  </si>
  <si>
    <t>Q9H497</t>
  </si>
  <si>
    <t>Q9H4A4</t>
  </si>
  <si>
    <t>Q9H4A5</t>
  </si>
  <si>
    <t>Q9H4A6</t>
  </si>
  <si>
    <t>Q9H4B0</t>
  </si>
  <si>
    <t>Q9H4E7</t>
  </si>
  <si>
    <t>Q9H4G4</t>
  </si>
  <si>
    <t>Q9H4H8-2</t>
  </si>
  <si>
    <t>Q9H4I2</t>
  </si>
  <si>
    <t>Q9H4L5-2</t>
  </si>
  <si>
    <t>Q9H4L7-2</t>
  </si>
  <si>
    <t>Q9H4M9</t>
  </si>
  <si>
    <t>Q9H4X1-2</t>
  </si>
  <si>
    <t>Q9H4Z3</t>
  </si>
  <si>
    <t>Q9H501</t>
  </si>
  <si>
    <t>Q9H553</t>
  </si>
  <si>
    <t>Q9H583</t>
  </si>
  <si>
    <t>Q9H5K3</t>
  </si>
  <si>
    <t>Q9H5N1</t>
  </si>
  <si>
    <t>Q9H5Q4</t>
  </si>
  <si>
    <t>Q9H5V9-3</t>
  </si>
  <si>
    <t>Q9H5X1</t>
  </si>
  <si>
    <t>Q9H6D7</t>
  </si>
  <si>
    <t>Q9H6E4</t>
  </si>
  <si>
    <t>Q9H6F5</t>
  </si>
  <si>
    <t>Q9H6H4</t>
  </si>
  <si>
    <t>Q9H6K4</t>
  </si>
  <si>
    <t>Q9H6L2</t>
  </si>
  <si>
    <t>Q9H6L5</t>
  </si>
  <si>
    <t>Q9H6P5</t>
  </si>
  <si>
    <t>Q9H6Q4</t>
  </si>
  <si>
    <t>Q9H6R3</t>
  </si>
  <si>
    <t>Q9H6R4-4</t>
  </si>
  <si>
    <t>Q9H6R6-2</t>
  </si>
  <si>
    <t>Q9H6S0</t>
  </si>
  <si>
    <t>Q9H6T3</t>
  </si>
  <si>
    <t>Q9H6U6-2</t>
  </si>
  <si>
    <t>Q9H6U8</t>
  </si>
  <si>
    <t>Q9H6W3</t>
  </si>
  <si>
    <t>Q9H6X2</t>
  </si>
  <si>
    <t>Q9H6Y2</t>
  </si>
  <si>
    <t>Q9H6Z4-3</t>
  </si>
  <si>
    <t>Q9H741</t>
  </si>
  <si>
    <t>Q9H773</t>
  </si>
  <si>
    <t>Q9H777</t>
  </si>
  <si>
    <t>Q9H7B4</t>
  </si>
  <si>
    <t>Q9H7D7-2</t>
  </si>
  <si>
    <t>Q9H7E2-3</t>
  </si>
  <si>
    <t>Q9H7E9</t>
  </si>
  <si>
    <t>Q9H7F0</t>
  </si>
  <si>
    <t>Q9H7H0-3</t>
  </si>
  <si>
    <t>Q9H7J1</t>
  </si>
  <si>
    <t>Q9H7L9</t>
  </si>
  <si>
    <t>Q9H7M9</t>
  </si>
  <si>
    <t>Q9H7U1-3</t>
  </si>
  <si>
    <t>Q9H7X3</t>
  </si>
  <si>
    <t>Q9H7Z3</t>
  </si>
  <si>
    <t>Q9H7Z6</t>
  </si>
  <si>
    <t>Q9H7Z7</t>
  </si>
  <si>
    <t>Q9H813</t>
  </si>
  <si>
    <t>Q9H814</t>
  </si>
  <si>
    <t>Q9H832</t>
  </si>
  <si>
    <t>Q9H840</t>
  </si>
  <si>
    <t>Q9H845</t>
  </si>
  <si>
    <t>Q9H857-2</t>
  </si>
  <si>
    <t>Q9H871</t>
  </si>
  <si>
    <t>Q9H875</t>
  </si>
  <si>
    <t>Q9H8G2</t>
  </si>
  <si>
    <t>Q9H8H0</t>
  </si>
  <si>
    <t>Q9H8K7</t>
  </si>
  <si>
    <t>Q9H8M5-3</t>
  </si>
  <si>
    <t>Q9H8M7</t>
  </si>
  <si>
    <t>Q9H8P0</t>
  </si>
  <si>
    <t>Q9H8S9</t>
  </si>
  <si>
    <t>Q9H8U3</t>
  </si>
  <si>
    <t>Q9H8W3</t>
  </si>
  <si>
    <t>Q9H8Y8</t>
  </si>
  <si>
    <t>Q9H900</t>
  </si>
  <si>
    <t>Q9H903-1</t>
  </si>
  <si>
    <t>Q9H910-2</t>
  </si>
  <si>
    <t>Q9H936</t>
  </si>
  <si>
    <t>Q9H944</t>
  </si>
  <si>
    <t>Q9H974</t>
  </si>
  <si>
    <t>Q9H977</t>
  </si>
  <si>
    <t>Q9H981</t>
  </si>
  <si>
    <t>Q9H993</t>
  </si>
  <si>
    <t>Q9H999</t>
  </si>
  <si>
    <t>Q9H9A5-2</t>
  </si>
  <si>
    <t>Q9H9A6</t>
  </si>
  <si>
    <t>Q9H9B4</t>
  </si>
  <si>
    <t>Q9H9F9</t>
  </si>
  <si>
    <t>Q9H9H4</t>
  </si>
  <si>
    <t>Q9H9J2</t>
  </si>
  <si>
    <t>Q9H9P8</t>
  </si>
  <si>
    <t>Q9H9Q4</t>
  </si>
  <si>
    <t>Q9H9S5</t>
  </si>
  <si>
    <t>Q9H9T3-2</t>
  </si>
  <si>
    <t>Q9H9Y4</t>
  </si>
  <si>
    <t>Q9H9Y6</t>
  </si>
  <si>
    <t>Q9HA47-3</t>
  </si>
  <si>
    <t>Q9HA64</t>
  </si>
  <si>
    <t>Q9HA65</t>
  </si>
  <si>
    <t>Q9HA77</t>
  </si>
  <si>
    <t>Q9HA92</t>
  </si>
  <si>
    <t>Q9HAB8</t>
  </si>
  <si>
    <t>Q9HAD4</t>
  </si>
  <si>
    <t>Q9HAF1-2</t>
  </si>
  <si>
    <t>Q9HAJ7</t>
  </si>
  <si>
    <t>Q9HAN9</t>
  </si>
  <si>
    <t>Q9HAT2-2</t>
  </si>
  <si>
    <t>Q9HAT8</t>
  </si>
  <si>
    <t>Q9HAU5</t>
  </si>
  <si>
    <t>Q9HAV4</t>
  </si>
  <si>
    <t>Q9HAV7</t>
  </si>
  <si>
    <t>Q9HAW4</t>
  </si>
  <si>
    <t>Q9HB07</t>
  </si>
  <si>
    <t>Q9HB09</t>
  </si>
  <si>
    <t>Q9HB19</t>
  </si>
  <si>
    <t>Q9HB20</t>
  </si>
  <si>
    <t>Q9HB21</t>
  </si>
  <si>
    <t>Q9HB40</t>
  </si>
  <si>
    <t>Q9HB71</t>
  </si>
  <si>
    <t>Q9HB90</t>
  </si>
  <si>
    <t>Q9HBD4</t>
  </si>
  <si>
    <t>Q9HBF4</t>
  </si>
  <si>
    <t>Q9HBH0</t>
  </si>
  <si>
    <t>Q9HBH1</t>
  </si>
  <si>
    <t>Q9HBH5</t>
  </si>
  <si>
    <t>Q9HBI0</t>
  </si>
  <si>
    <t>Q9HBL7</t>
  </si>
  <si>
    <t>Q9HBL8</t>
  </si>
  <si>
    <t>Q9HBM1</t>
  </si>
  <si>
    <t>Q9HBM6</t>
  </si>
  <si>
    <t>Q9HBM8</t>
  </si>
  <si>
    <t>Q9HBR0</t>
  </si>
  <si>
    <t>Q9HBU6</t>
  </si>
  <si>
    <t>Q9HC21</t>
  </si>
  <si>
    <t>Q9HC35</t>
  </si>
  <si>
    <t>Q9HC36</t>
  </si>
  <si>
    <t>Q9HC38-2</t>
  </si>
  <si>
    <t>Q9HC44</t>
  </si>
  <si>
    <t>Q9HC52</t>
  </si>
  <si>
    <t>Q9HCC0</t>
  </si>
  <si>
    <t>Q9HCC9-5</t>
  </si>
  <si>
    <t>Q9HCD5</t>
  </si>
  <si>
    <t>Q9HCD6</t>
  </si>
  <si>
    <t>Q9HCE1</t>
  </si>
  <si>
    <t>Q9HCE5</t>
  </si>
  <si>
    <t>Q9HCJ1</t>
  </si>
  <si>
    <t>Q9HCJ3-2</t>
  </si>
  <si>
    <t>Q9HCK8</t>
  </si>
  <si>
    <t>Q9HCL3</t>
  </si>
  <si>
    <t>Q9HCN3</t>
  </si>
  <si>
    <t>Q9HCN4</t>
  </si>
  <si>
    <t>Q9HCN8</t>
  </si>
  <si>
    <t>Q9HCP0-2</t>
  </si>
  <si>
    <t>Q9HCU5</t>
  </si>
  <si>
    <t>Q9HD15</t>
  </si>
  <si>
    <t>Q9HD20-2</t>
  </si>
  <si>
    <t>Q9HD26</t>
  </si>
  <si>
    <t>Q9HD34</t>
  </si>
  <si>
    <t>Q9HD40</t>
  </si>
  <si>
    <t>Q9HD42</t>
  </si>
  <si>
    <t>Q9HD45</t>
  </si>
  <si>
    <t>Q9HD47</t>
  </si>
  <si>
    <t>Q9HDC5</t>
  </si>
  <si>
    <t>Q9HDC9</t>
  </si>
  <si>
    <t>Q9NP58-4</t>
  </si>
  <si>
    <t>Q9NP66</t>
  </si>
  <si>
    <t>Q9NP72</t>
  </si>
  <si>
    <t>Q9NP73-2</t>
  </si>
  <si>
    <t>Q9NP77</t>
  </si>
  <si>
    <t>Q9NP79</t>
  </si>
  <si>
    <t>Q9NP92</t>
  </si>
  <si>
    <t>Q9NPA0</t>
  </si>
  <si>
    <t>Q9NPA3</t>
  </si>
  <si>
    <t>Q9NPA8-2</t>
  </si>
  <si>
    <t>Q9NPB8</t>
  </si>
  <si>
    <t>Q9NPD3</t>
  </si>
  <si>
    <t>Q9NPD7</t>
  </si>
  <si>
    <t>Q9NPD8</t>
  </si>
  <si>
    <t>Q9NPE3</t>
  </si>
  <si>
    <t>Q9NPF0</t>
  </si>
  <si>
    <t>Q9NPF4</t>
  </si>
  <si>
    <t>Q9NPF5</t>
  </si>
  <si>
    <t>Q9NPH0</t>
  </si>
  <si>
    <t>Q9NPH3</t>
  </si>
  <si>
    <t>Q9NPI6</t>
  </si>
  <si>
    <t>Q9NPJ3-2</t>
  </si>
  <si>
    <t>Q9NPJ8-3</t>
  </si>
  <si>
    <t>Q9NPL8</t>
  </si>
  <si>
    <t>Q9NPQ8-4</t>
  </si>
  <si>
    <t>Q9NPR9</t>
  </si>
  <si>
    <t>Q9NQ11-3</t>
  </si>
  <si>
    <t>Q9NQ29</t>
  </si>
  <si>
    <t>Q9NQ34</t>
  </si>
  <si>
    <t>Q9NQ55-2</t>
  </si>
  <si>
    <t>Q9NQ88</t>
  </si>
  <si>
    <t>Q9NQC3</t>
  </si>
  <si>
    <t>Q9NQE9</t>
  </si>
  <si>
    <t>Q9NQG1</t>
  </si>
  <si>
    <t>Q9NQG5</t>
  </si>
  <si>
    <t>Q9NQH7-2</t>
  </si>
  <si>
    <t>Q9NQL2</t>
  </si>
  <si>
    <t>Q9NQP4</t>
  </si>
  <si>
    <t>Q9NQR4</t>
  </si>
  <si>
    <t>Q9NQS1</t>
  </si>
  <si>
    <t>Q9NQT4</t>
  </si>
  <si>
    <t>Q9NQT5</t>
  </si>
  <si>
    <t>Q9NQT8</t>
  </si>
  <si>
    <t>Q9NQW6</t>
  </si>
  <si>
    <t>Q9NQW7-3</t>
  </si>
  <si>
    <t>Q9NQX3</t>
  </si>
  <si>
    <t>Q9NQY0</t>
  </si>
  <si>
    <t>Q9NQZ2</t>
  </si>
  <si>
    <t>Q9NQZ5</t>
  </si>
  <si>
    <t>Q9NQZ6-3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</si>
  <si>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</si>
  <si>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</si>
  <si>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</si>
  <si>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</si>
  <si>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</si>
  <si>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</si>
  <si>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</si>
  <si>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</si>
  <si>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Q9NR55</t>
  </si>
  <si>
    <t>Q9NR77</t>
  </si>
  <si>
    <t>Q9NRA2</t>
  </si>
  <si>
    <t>Q9NRB3</t>
  </si>
  <si>
    <t>Q9NRF9</t>
  </si>
  <si>
    <t>Q9NRG0</t>
  </si>
  <si>
    <t>Q9NRG4</t>
  </si>
  <si>
    <t>Q9NRG7-2</t>
  </si>
  <si>
    <t>Q9NRG9</t>
  </si>
  <si>
    <t>Q9NRH1</t>
  </si>
  <si>
    <t>Q9NRK6</t>
  </si>
  <si>
    <t>Q9NRL2-2</t>
  </si>
  <si>
    <t>Q9NRL3</t>
  </si>
  <si>
    <t>Q9NRN7</t>
  </si>
  <si>
    <t>Q9NRN9</t>
  </si>
  <si>
    <t>Q9NRP0</t>
  </si>
  <si>
    <t>Q9NRP2</t>
  </si>
  <si>
    <t>Q9NRP4</t>
  </si>
  <si>
    <t>Q9NRR5</t>
  </si>
  <si>
    <t>Q9NRR8</t>
  </si>
  <si>
    <t>Q9NRS6</t>
  </si>
  <si>
    <t>Q9NRV9</t>
  </si>
  <si>
    <t>Q9NRW1</t>
  </si>
  <si>
    <t>Q9NRW7</t>
  </si>
  <si>
    <t>Q9NRX1</t>
  </si>
  <si>
    <t>Q9NRX4</t>
  </si>
  <si>
    <t>Q9NRX5</t>
  </si>
  <si>
    <t>Q9NRY2</t>
  </si>
  <si>
    <t>Q9NRY4</t>
  </si>
  <si>
    <t>Q9NRY5</t>
  </si>
  <si>
    <t>Q9NRY6</t>
  </si>
  <si>
    <t>Q9NRZ5</t>
  </si>
  <si>
    <t>Q9NRZ7-2</t>
  </si>
  <si>
    <t>Q9NRZ9-2</t>
  </si>
  <si>
    <t>Q9NS69</t>
  </si>
  <si>
    <t>Q9NS86</t>
  </si>
  <si>
    <t>Q9NS87</t>
  </si>
  <si>
    <t>Q9NS91</t>
  </si>
  <si>
    <t>Q9NS93</t>
  </si>
  <si>
    <t>Q9NSA3</t>
  </si>
  <si>
    <t>Q9NSB8-2</t>
  </si>
  <si>
    <t>Q9NSC5-5</t>
  </si>
  <si>
    <t>Q9NSD9</t>
  </si>
  <si>
    <t>Q9NSE4</t>
  </si>
  <si>
    <t>Q9NSG2</t>
  </si>
  <si>
    <t>Q9NSI2-2</t>
  </si>
  <si>
    <t>Q9NSI8-3</t>
  </si>
  <si>
    <t>Q9NSK0</t>
  </si>
  <si>
    <t>Q9NSU2-2</t>
  </si>
  <si>
    <t>Q9NSY1</t>
  </si>
  <si>
    <t>Q9NT62</t>
  </si>
  <si>
    <t>Q9NTI5-2</t>
  </si>
  <si>
    <t>Q9NTJ3</t>
  </si>
  <si>
    <t>Q9NTJ5</t>
  </si>
  <si>
    <t>Q9NTK5-2</t>
  </si>
  <si>
    <t>Q9NTM9</t>
  </si>
  <si>
    <t>Q9NTN3</t>
  </si>
  <si>
    <t>Q9NTX5-2</t>
  </si>
  <si>
    <t>Q9NTX7-2</t>
  </si>
  <si>
    <t>Q9NTZ6</t>
  </si>
  <si>
    <t>Q9NU19</t>
  </si>
  <si>
    <t>Q9NU22</t>
  </si>
  <si>
    <t>Q9NU23</t>
  </si>
  <si>
    <t>Q9NUB1-2</t>
  </si>
  <si>
    <t>Q9NUD5</t>
  </si>
  <si>
    <t>Q9NUE0</t>
  </si>
  <si>
    <t>Q9NUG6</t>
  </si>
  <si>
    <t>Q9NUJ1</t>
  </si>
  <si>
    <t>Q9NUL5-3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</si>
  <si>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</si>
  <si>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</si>
  <si>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</si>
  <si>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</si>
  <si>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</si>
  <si>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</si>
  <si>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</si>
  <si>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</si>
  <si>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</si>
  <si>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</si>
  <si>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Q9NUS5</t>
  </si>
  <si>
    <t>Q9NUU7</t>
  </si>
  <si>
    <t>Q9NUW8</t>
  </si>
  <si>
    <t>Q9NUX5-2</t>
  </si>
  <si>
    <t>Q9NV06</t>
  </si>
  <si>
    <t>Q9NV31</t>
  </si>
  <si>
    <t>Q9NV35</t>
  </si>
  <si>
    <t>Q9NV56</t>
  </si>
  <si>
    <t>Q9NV66</t>
  </si>
  <si>
    <t>Q9NV70-2</t>
  </si>
  <si>
    <t>Q9NV88-3</t>
  </si>
  <si>
    <t>Q9NV96</t>
  </si>
  <si>
    <t>Q9NVA1</t>
  </si>
  <si>
    <t>Q9NVA4</t>
  </si>
  <si>
    <t>Q9NVC3</t>
  </si>
  <si>
    <t>Q9NVC6</t>
  </si>
  <si>
    <t>Q9NVE7</t>
  </si>
  <si>
    <t>Q9NVF7</t>
  </si>
  <si>
    <t>Q9NVG8</t>
  </si>
  <si>
    <t>Q9NVH1</t>
  </si>
  <si>
    <t>Q9NVH2-3</t>
  </si>
  <si>
    <t>Q9NVH6-7</t>
  </si>
  <si>
    <t>Q9NVI1</t>
  </si>
  <si>
    <t>Q9NVI7-2</t>
  </si>
  <si>
    <t>Q9NVJ2</t>
  </si>
  <si>
    <t>Q9NVK5-2</t>
  </si>
  <si>
    <t>Q9NVM4-3</t>
  </si>
  <si>
    <t>Q9NVM6</t>
  </si>
  <si>
    <t>Q9NVM9</t>
  </si>
  <si>
    <t>Q9NVN8</t>
  </si>
  <si>
    <t>Q9NVP1</t>
  </si>
  <si>
    <t>Q9NVP2</t>
  </si>
  <si>
    <t>Q9NVR0</t>
  </si>
  <si>
    <t>Q9NVR2</t>
  </si>
  <si>
    <t>Q9NVR5</t>
  </si>
  <si>
    <t>Q9NVS9</t>
  </si>
  <si>
    <t>Q9NVT9</t>
  </si>
  <si>
    <t>Q9NVU0-5</t>
  </si>
  <si>
    <t>Q9NVU7</t>
  </si>
  <si>
    <t>Q9NVV0</t>
  </si>
  <si>
    <t>Q9NVV4</t>
  </si>
  <si>
    <t>Q9NVX0-2</t>
  </si>
  <si>
    <t>Q9NVX2</t>
  </si>
  <si>
    <t>Q9NVX7</t>
  </si>
  <si>
    <t>Q9NVZ3</t>
  </si>
  <si>
    <t>Q9NW08-2</t>
  </si>
  <si>
    <t>Q9NW15-2</t>
  </si>
  <si>
    <t>Q9NW64</t>
  </si>
  <si>
    <t>Q9NW75-2</t>
  </si>
  <si>
    <t>Q9NW81</t>
  </si>
  <si>
    <t>Q9NW82</t>
  </si>
  <si>
    <t>Q9NWA0</t>
  </si>
  <si>
    <t>Q9NWB6</t>
  </si>
  <si>
    <t>Q9NWD8</t>
  </si>
  <si>
    <t>Q9NWH2</t>
  </si>
  <si>
    <t>Q9NWH9</t>
  </si>
  <si>
    <t>Q9NWK9</t>
  </si>
  <si>
    <t>Q9NWM8</t>
  </si>
  <si>
    <t>Q9NWQ8</t>
  </si>
  <si>
    <t>Q9NWQ9</t>
  </si>
  <si>
    <t>Q9NWR8</t>
  </si>
  <si>
    <t>Q9NWS0</t>
  </si>
  <si>
    <t>Q9NWS6</t>
  </si>
  <si>
    <t>Q9NWS8</t>
  </si>
  <si>
    <t>Q9NWT1</t>
  </si>
  <si>
    <t>Q9NWT6</t>
  </si>
  <si>
    <t>Q9NWU1</t>
  </si>
  <si>
    <t>Q9NWU2</t>
  </si>
  <si>
    <t>Q9NWV4</t>
  </si>
  <si>
    <t>Q9NWW6</t>
  </si>
  <si>
    <t>Q9NWX6</t>
  </si>
  <si>
    <t>Q9NWY4</t>
  </si>
  <si>
    <t>Q9NWZ3</t>
  </si>
  <si>
    <t>Q9NWZ5</t>
  </si>
  <si>
    <t>Q9NWZ8</t>
  </si>
  <si>
    <t>Q9NX00</t>
  </si>
  <si>
    <t>Q9NX01</t>
  </si>
  <si>
    <t>Q9NX04</t>
  </si>
  <si>
    <t>Q9NX07</t>
  </si>
  <si>
    <t>Q9NX08</t>
  </si>
  <si>
    <t>Q9NX14-2</t>
  </si>
  <si>
    <t>Q9NX24</t>
  </si>
  <si>
    <t>Q9NX38</t>
  </si>
  <si>
    <t>Q9NX40</t>
  </si>
  <si>
    <t>Q9NX46</t>
  </si>
  <si>
    <t>Q9NX47</t>
  </si>
  <si>
    <t>Q9NX55</t>
  </si>
  <si>
    <t>Q9NX58</t>
  </si>
  <si>
    <t>Q9NX62</t>
  </si>
  <si>
    <t>Q9NX70</t>
  </si>
  <si>
    <t>Q9NX74</t>
  </si>
  <si>
    <t>Q9NX76</t>
  </si>
  <si>
    <t>Q9NXA8</t>
  </si>
  <si>
    <t>Q9NXC2</t>
  </si>
  <si>
    <t>Q9NXC5</t>
  </si>
  <si>
    <t>Q9NXE8</t>
  </si>
  <si>
    <t>Q9NXF7</t>
  </si>
  <si>
    <t>Q9NXH9</t>
  </si>
  <si>
    <t>Q9NXK8</t>
  </si>
  <si>
    <t>Q9NXR1-2</t>
  </si>
  <si>
    <t>Q9NXR5</t>
  </si>
  <si>
    <t>Q9NXR7</t>
  </si>
  <si>
    <t>Q9NXS2</t>
  </si>
  <si>
    <t>Q9NXU5</t>
  </si>
  <si>
    <t>Q9NXV2</t>
  </si>
  <si>
    <t>Q9NXV6</t>
  </si>
  <si>
    <t>Q9NXW9</t>
  </si>
  <si>
    <t>Q9NXX6</t>
  </si>
  <si>
    <t>Q9NY12-2</t>
  </si>
  <si>
    <t>Q9NY27</t>
  </si>
  <si>
    <t>Q9NY93-2</t>
  </si>
  <si>
    <t>Q9NYB0</t>
  </si>
  <si>
    <t>Q9NYF8-2</t>
  </si>
  <si>
    <t>Q9NYG2</t>
  </si>
  <si>
    <t>Q9NYH9</t>
  </si>
  <si>
    <t>Q9NYJ1</t>
  </si>
  <si>
    <t>Q9NYK5</t>
  </si>
  <si>
    <t>Q9NYL2</t>
  </si>
  <si>
    <t>Q9NYL9</t>
  </si>
  <si>
    <t>Q9NYM9</t>
  </si>
  <si>
    <t>Q9NYP9</t>
  </si>
  <si>
    <t>Q9NYS0</t>
  </si>
  <si>
    <t>Q9NYU2-2</t>
  </si>
  <si>
    <t>Q9NYV4-2</t>
  </si>
  <si>
    <t>Q9NYY8</t>
  </si>
  <si>
    <t>Q9NYZ3</t>
  </si>
  <si>
    <t>Q9NZ01</t>
  </si>
  <si>
    <t>Q9NZ08</t>
  </si>
  <si>
    <t>Q9NZ09</t>
  </si>
  <si>
    <t>Q9NZ32</t>
  </si>
  <si>
    <t>Q9NZ43</t>
  </si>
  <si>
    <t>Q9NZ45</t>
  </si>
  <si>
    <t>Q9NZ52</t>
  </si>
  <si>
    <t>Q9NZ63</t>
  </si>
  <si>
    <t>Q9NZB2</t>
  </si>
  <si>
    <t>Q9NZB8-2</t>
  </si>
  <si>
    <t>Q9NZC3</t>
  </si>
  <si>
    <t>Q9NZC7</t>
  </si>
  <si>
    <t>Q9NZD2</t>
  </si>
  <si>
    <t>Q9NZD8-2</t>
  </si>
  <si>
    <t>Q9NZG7</t>
  </si>
  <si>
    <t>Q9NZI7</t>
  </si>
  <si>
    <t>Q9NZI8</t>
  </si>
  <si>
    <t>Q9NZJ6</t>
  </si>
  <si>
    <t>Q9NZJ7-2</t>
  </si>
  <si>
    <t>Q9NZJ9</t>
  </si>
  <si>
    <t>Q9NZL4</t>
  </si>
  <si>
    <t>Q9NZL9</t>
  </si>
  <si>
    <t>Q9NZL9-2</t>
  </si>
  <si>
    <t>Q9NZM3-2</t>
  </si>
  <si>
    <t>Q9NZQ3-3</t>
  </si>
  <si>
    <t>Q9NZT2-2</t>
  </si>
  <si>
    <t>Q9NZW5</t>
  </si>
  <si>
    <t>Q9NZZ3</t>
  </si>
  <si>
    <t>Q9P000</t>
  </si>
  <si>
    <t>Q9P013</t>
  </si>
  <si>
    <t>Q9P016</t>
  </si>
  <si>
    <t>Q9P021</t>
  </si>
  <si>
    <t>Q9P032</t>
  </si>
  <si>
    <t>Q9P035</t>
  </si>
  <si>
    <t>Q9P086</t>
  </si>
  <si>
    <t>Q9P0B6</t>
  </si>
  <si>
    <t>Q9P0I2</t>
  </si>
  <si>
    <t>Q9P0J1</t>
  </si>
  <si>
    <t>Q9P0J7</t>
  </si>
  <si>
    <t>Q9P0L0</t>
  </si>
  <si>
    <t>Q9P0N9-3</t>
  </si>
  <si>
    <t>Q9P0P0</t>
  </si>
  <si>
    <t>Q9P0R6</t>
  </si>
  <si>
    <t>Q9P0S2</t>
  </si>
  <si>
    <t>Q9P1F3</t>
  </si>
  <si>
    <t>Q9P1U0</t>
  </si>
  <si>
    <t>Q9P1U1</t>
  </si>
  <si>
    <t>Q9P1W8-4</t>
  </si>
  <si>
    <t>Q9P1Y5</t>
  </si>
  <si>
    <t>Q9P219</t>
  </si>
  <si>
    <t>Q9P244</t>
  </si>
  <si>
    <t>Q9P253</t>
  </si>
  <si>
    <t>Q9P258</t>
  </si>
  <si>
    <t>Q9P260</t>
  </si>
  <si>
    <t>Q9P265</t>
  </si>
  <si>
    <t>Q9P270</t>
  </si>
  <si>
    <t>Q9P287</t>
  </si>
  <si>
    <t>Q9P287-2</t>
  </si>
  <si>
    <t>Q9P2A4-2</t>
  </si>
  <si>
    <t>Q9P2B4</t>
  </si>
  <si>
    <t>Q9P2B7</t>
  </si>
  <si>
    <t>Q9P2C4</t>
  </si>
  <si>
    <t>Q9P2D1</t>
  </si>
  <si>
    <t>Q9P2D3-3</t>
  </si>
  <si>
    <t>Q9P2E3</t>
  </si>
  <si>
    <t>Q9P2E9</t>
  </si>
  <si>
    <t>Q9P2I0</t>
  </si>
  <si>
    <t>Q9P2J5</t>
  </si>
  <si>
    <t>Q9P2J9</t>
  </si>
  <si>
    <t>Q9P2K2</t>
  </si>
  <si>
    <t>Q9P2K3-4</t>
  </si>
  <si>
    <t>Q9P2K5</t>
  </si>
  <si>
    <t>Q9P2K8-2</t>
  </si>
  <si>
    <t>Q9P2M7</t>
  </si>
  <si>
    <t>Q9P2N5</t>
  </si>
  <si>
    <t>Q9P2N6-3</t>
  </si>
  <si>
    <t>Q9P2N7-2</t>
  </si>
  <si>
    <t>Q9P2R3</t>
  </si>
  <si>
    <t>Q9P2R6</t>
  </si>
  <si>
    <t>Q9P2W1</t>
  </si>
  <si>
    <t>Q9P2X0</t>
  </si>
  <si>
    <t>Q9P2Y4</t>
  </si>
  <si>
    <t>Q9P2Y5</t>
  </si>
  <si>
    <t>Q9UBB4</t>
  </si>
  <si>
    <t>Q9UBB5</t>
  </si>
  <si>
    <t>Q9UBB6-2</t>
  </si>
  <si>
    <t>Q9UBB9</t>
  </si>
  <si>
    <t>Q9UBC2-2</t>
  </si>
  <si>
    <t>Q9UBC3-7</t>
  </si>
  <si>
    <t>Q9UBD5-2</t>
  </si>
  <si>
    <t>Q9UBD8</t>
  </si>
  <si>
    <t>Q9UBE0</t>
  </si>
  <si>
    <t>Q9UBF2</t>
  </si>
  <si>
    <t>Q9UBF6</t>
  </si>
  <si>
    <t>Q9UBF8-2</t>
  </si>
  <si>
    <t>Q9UBG0</t>
  </si>
  <si>
    <t>Q9UBK8-2</t>
  </si>
  <si>
    <t>Q9UBK9</t>
  </si>
  <si>
    <t>Q9UBL0</t>
  </si>
  <si>
    <t>Q9UBL3-3</t>
  </si>
  <si>
    <t>Q9UBM7</t>
  </si>
  <si>
    <t>Q9UBP0-3</t>
  </si>
  <si>
    <t>Q9UBP6</t>
  </si>
  <si>
    <t>Q9UBQ0</t>
  </si>
  <si>
    <t>Q9UBQ7</t>
  </si>
  <si>
    <t>Q9UBS0</t>
  </si>
  <si>
    <t>Q9UBS4</t>
  </si>
  <si>
    <t>Q9UBS8</t>
  </si>
  <si>
    <t>Q9UBT2</t>
  </si>
  <si>
    <t>Q9UBU9</t>
  </si>
  <si>
    <t>Q9UBV2</t>
  </si>
  <si>
    <t>Q9UBV7</t>
  </si>
  <si>
    <t>Q9UBV8</t>
  </si>
  <si>
    <t>Q9UBW5</t>
  </si>
  <si>
    <t>Q9UBW7</t>
  </si>
  <si>
    <t>Q9UBW8</t>
  </si>
  <si>
    <t>Q9UBX3</t>
  </si>
  <si>
    <t>Q9UDR5</t>
  </si>
  <si>
    <t>Q9UDT6-2</t>
  </si>
  <si>
    <t>Q9UDW1</t>
  </si>
  <si>
    <t>Q9UDX5</t>
  </si>
  <si>
    <t>Q9UDY2-6</t>
  </si>
  <si>
    <t>Q9UDY4</t>
  </si>
  <si>
    <t>Q9UDY8-2</t>
  </si>
  <si>
    <t>Q9UEE5</t>
  </si>
  <si>
    <t>Q9UEE9</t>
  </si>
  <si>
    <t>Q9UEL6</t>
  </si>
  <si>
    <t>Q9UER7-2</t>
  </si>
  <si>
    <t>Q9UET6-2</t>
  </si>
  <si>
    <t>Q9UEU0</t>
  </si>
  <si>
    <t>Q9UEW8</t>
  </si>
  <si>
    <t>Q9UEY8-2</t>
  </si>
  <si>
    <t>Q9UFC0</t>
  </si>
  <si>
    <t>Q9UFN0</t>
  </si>
  <si>
    <t>Q9UFW8</t>
  </si>
  <si>
    <t>Q9UG63</t>
  </si>
  <si>
    <t>Q9UGJ1-2</t>
  </si>
  <si>
    <t>Q9UGK8</t>
  </si>
  <si>
    <t>Q9UGM1</t>
  </si>
  <si>
    <t>Q9UGM6</t>
  </si>
  <si>
    <t>Q9UGP4</t>
  </si>
  <si>
    <t>Q9UGP8</t>
  </si>
  <si>
    <t>Q9UGQ2-2</t>
  </si>
  <si>
    <t>Q9UGQ3-2</t>
  </si>
  <si>
    <t>Q9UGR2-2</t>
  </si>
  <si>
    <t>Q9UGU0-2</t>
  </si>
  <si>
    <t>Q9UGV2</t>
  </si>
  <si>
    <t>Q9UH03-2</t>
  </si>
  <si>
    <t>Q9UH62</t>
  </si>
  <si>
    <t>Q9UH65</t>
  </si>
  <si>
    <t>Q9UH99</t>
  </si>
  <si>
    <t>Q9UHA2</t>
  </si>
  <si>
    <t>Q9UHA4</t>
  </si>
  <si>
    <t>Q9UHB6</t>
  </si>
  <si>
    <t>Q9UHB7</t>
  </si>
  <si>
    <t>Q9UHB9</t>
  </si>
  <si>
    <t>Q9UHC7-4</t>
  </si>
  <si>
    <t>Q9UHD1</t>
  </si>
  <si>
    <t>Q9UHD2</t>
  </si>
  <si>
    <t>Q9UHD8</t>
  </si>
  <si>
    <t>Q9UHD9</t>
  </si>
  <si>
    <t>Q9UHE8</t>
  </si>
  <si>
    <t>Q9UHG3</t>
  </si>
  <si>
    <t>Q9UHI6</t>
  </si>
  <si>
    <t>Q9UHJ6</t>
  </si>
  <si>
    <t>Q9UHL4</t>
  </si>
  <si>
    <t>Q9UHN1</t>
  </si>
  <si>
    <t>Q9UHN6-2</t>
  </si>
  <si>
    <t>Q9UHQ1</t>
  </si>
  <si>
    <t>Q9UHQ4</t>
  </si>
  <si>
    <t>Q9UHQ9</t>
  </si>
  <si>
    <t>Q9UHR6</t>
  </si>
  <si>
    <t>Q9UHV9</t>
  </si>
  <si>
    <t>Q9UHW5</t>
  </si>
  <si>
    <t>Q9UHX1</t>
  </si>
  <si>
    <t>Q9UHY1</t>
  </si>
  <si>
    <t>Q9UHY7</t>
  </si>
  <si>
    <t>Q9UI08-2</t>
  </si>
  <si>
    <t>Q9UI09</t>
  </si>
  <si>
    <t>Q9UI10</t>
  </si>
  <si>
    <t>Q9UI10-3</t>
  </si>
  <si>
    <t>Q9UI12-2</t>
  </si>
  <si>
    <t>Q9UI26</t>
  </si>
  <si>
    <t>Q9UI30</t>
  </si>
  <si>
    <t>Q9UI43</t>
  </si>
  <si>
    <t>Q9UIB8-3</t>
  </si>
  <si>
    <t>Q9UIC8</t>
  </si>
  <si>
    <t>Q9UID3</t>
  </si>
  <si>
    <t>Q9UIG0-2</t>
  </si>
  <si>
    <t>Q9UII2</t>
  </si>
  <si>
    <t>Q9UIJ7</t>
  </si>
  <si>
    <t>Q9UIL1-3</t>
  </si>
  <si>
    <t>Q9UIM3</t>
  </si>
  <si>
    <t>Q9UIQ6-3</t>
  </si>
  <si>
    <t>Q9UIV1</t>
  </si>
  <si>
    <t>Q9UJ14</t>
  </si>
  <si>
    <t>Q9UJ68-2</t>
  </si>
  <si>
    <t>Q9UJ70</t>
  </si>
  <si>
    <t>Q9UJA5</t>
  </si>
  <si>
    <t>Q9UJG1-2</t>
  </si>
  <si>
    <t>Q9UJK0</t>
  </si>
  <si>
    <t>Q9UJS0</t>
  </si>
  <si>
    <t>Q9UJT0</t>
  </si>
  <si>
    <t>Q9UJU2</t>
  </si>
  <si>
    <t>Q9UJU6</t>
  </si>
  <si>
    <t>Q9UJU6-2</t>
  </si>
  <si>
    <t>Q9UJW0</t>
  </si>
  <si>
    <t>Q9UJX2</t>
  </si>
  <si>
    <t>Q9UJX3</t>
  </si>
  <si>
    <t>Q9UJX5</t>
  </si>
  <si>
    <t>Q9UJX6-2</t>
  </si>
  <si>
    <t>Q9UJY4</t>
  </si>
  <si>
    <t>Q9UJY5-4</t>
  </si>
  <si>
    <t>Q9UJZ1</t>
  </si>
  <si>
    <t>Q9UK23-2</t>
  </si>
  <si>
    <t>Q9UK41</t>
  </si>
  <si>
    <t>Q9UK45</t>
  </si>
  <si>
    <t>Q9UK59</t>
  </si>
  <si>
    <t>Q9UK76</t>
  </si>
  <si>
    <t>Q9UKD2</t>
  </si>
  <si>
    <t>Q9UKF6</t>
  </si>
  <si>
    <t>Q9UKG1</t>
  </si>
  <si>
    <t>Q9UKI8-5</t>
  </si>
  <si>
    <t>Q9UKJ1-3</t>
  </si>
  <si>
    <t>Q9UKJ3</t>
  </si>
  <si>
    <t>Q9UKK6</t>
  </si>
  <si>
    <t>Q9UKL6</t>
  </si>
  <si>
    <t>Q9UKM7</t>
  </si>
  <si>
    <t>Q9UKM9</t>
  </si>
  <si>
    <t>Q9UKN8</t>
  </si>
  <si>
    <t>Q9UKR5</t>
  </si>
  <si>
    <t>Q9UKS6</t>
  </si>
  <si>
    <t>Q9UKT4-2</t>
  </si>
  <si>
    <t>Q9UKT5</t>
  </si>
  <si>
    <t>Q9UKU7</t>
  </si>
  <si>
    <t>Q9UKV5</t>
  </si>
  <si>
    <t>Q9UKV8</t>
  </si>
  <si>
    <t>Q9UKW4</t>
  </si>
  <si>
    <t>Q9UKX7</t>
  </si>
  <si>
    <t>Q9UKY1</t>
  </si>
  <si>
    <t>Q9UKY7</t>
  </si>
  <si>
    <t>Q9UKZ1</t>
  </si>
  <si>
    <t>Q9UL15</t>
  </si>
  <si>
    <t>Q9UL18</t>
  </si>
  <si>
    <t>Q9UL25</t>
  </si>
  <si>
    <t>Q9UL26</t>
  </si>
  <si>
    <t>Q9UL42</t>
  </si>
  <si>
    <t>Q9UL46</t>
  </si>
  <si>
    <t>Q9UL63</t>
  </si>
  <si>
    <t>Q9ULC3</t>
  </si>
  <si>
    <t>Q9ULC4</t>
  </si>
  <si>
    <t>Q9ULD2-4</t>
  </si>
  <si>
    <t>Q9ULE6</t>
  </si>
  <si>
    <t>Q9ULF5</t>
  </si>
  <si>
    <t>Q9ULH0-2</t>
  </si>
  <si>
    <t>Q9ULH7-4</t>
  </si>
  <si>
    <t>Q9ULI3</t>
  </si>
  <si>
    <t>Q9ULJ3-2</t>
  </si>
  <si>
    <t>Q9ULJ6</t>
  </si>
  <si>
    <t>Q9ULL5-3</t>
  </si>
  <si>
    <t>Q9ULP9-2</t>
  </si>
  <si>
    <t>Q9ULR0</t>
  </si>
  <si>
    <t>Q9ULR3</t>
  </si>
  <si>
    <t>Q9ULT8</t>
  </si>
  <si>
    <t>Q9ULV4</t>
  </si>
  <si>
    <t>Q9ULW0</t>
  </si>
  <si>
    <t>Q9ULX3</t>
  </si>
  <si>
    <t>Q9ULX6</t>
  </si>
  <si>
    <t>Q9ULX9-2</t>
  </si>
  <si>
    <t>Q9UM13</t>
  </si>
  <si>
    <t>Q9UM21</t>
  </si>
  <si>
    <t>Q9UM47</t>
  </si>
  <si>
    <t>Q9UMS0-3</t>
  </si>
  <si>
    <t>Q9UMS4</t>
  </si>
  <si>
    <t>Q9UMX0</t>
  </si>
  <si>
    <t>Q9UMX0-2</t>
  </si>
  <si>
    <t>Q9UMX1-2</t>
  </si>
  <si>
    <t>Q9UMX5</t>
  </si>
  <si>
    <t>Q9UMY1</t>
  </si>
  <si>
    <t>Q9UMY4-2</t>
  </si>
  <si>
    <t>Q9UMZ2-5</t>
  </si>
  <si>
    <t>Q9UN36-2</t>
  </si>
  <si>
    <t>Q9UN37</t>
  </si>
  <si>
    <t>Q9UN86-2</t>
  </si>
  <si>
    <t>Q9UNA1-2</t>
  </si>
  <si>
    <t>Q9UNE7</t>
  </si>
  <si>
    <t>Q9UNF0-2</t>
  </si>
  <si>
    <t>Q9UNF1</t>
  </si>
  <si>
    <t>Q9UNH7</t>
  </si>
  <si>
    <t>Q9UNI6</t>
  </si>
  <si>
    <t>Q9UNK0</t>
  </si>
  <si>
    <t>Q9UNM6</t>
  </si>
  <si>
    <t>Q9UNN5</t>
  </si>
  <si>
    <t>Q9UNP9</t>
  </si>
  <si>
    <t>Q9UNQ2</t>
  </si>
  <si>
    <t>Q9UNS1-2</t>
  </si>
  <si>
    <t>Q9UNS2</t>
  </si>
  <si>
    <t>Q9UNT1-2</t>
  </si>
  <si>
    <t>Q9UNW1</t>
  </si>
  <si>
    <t>Q9UNX3</t>
  </si>
  <si>
    <t>Q9UNX4</t>
  </si>
  <si>
    <t>Q9UNY4</t>
  </si>
  <si>
    <t>Q9UNZ2</t>
  </si>
  <si>
    <t>Q9UNZ5</t>
  </si>
  <si>
    <t>Q9UP83</t>
  </si>
  <si>
    <t>Q9UP95-5</t>
  </si>
  <si>
    <t>Q9UPN6</t>
  </si>
  <si>
    <t>Q9UPN7</t>
  </si>
  <si>
    <t>Q9UPN9</t>
  </si>
  <si>
    <t>Q9UPN9-2</t>
  </si>
  <si>
    <t>Q9UPQ9-1</t>
  </si>
  <si>
    <t>Q9UPR0</t>
  </si>
  <si>
    <t>Q9UPT5-1</t>
  </si>
  <si>
    <t>Q9UPT9</t>
  </si>
  <si>
    <t>Q9UPU5</t>
  </si>
  <si>
    <t>Q9UPW5</t>
  </si>
  <si>
    <t>Q9UPZ3-2</t>
  </si>
  <si>
    <t>Q9UQ03-2</t>
  </si>
  <si>
    <t>Q9UQ13-2</t>
  </si>
  <si>
    <t>Q9UQ35</t>
  </si>
  <si>
    <t>Q9UQ80</t>
  </si>
  <si>
    <t>Q9UQ90</t>
  </si>
  <si>
    <t>Q9UQE7</t>
  </si>
  <si>
    <t>Q9UQN3</t>
  </si>
  <si>
    <t>Q9UQP3</t>
  </si>
  <si>
    <t>Q9UQR0</t>
  </si>
  <si>
    <t>Q9UQR1</t>
  </si>
  <si>
    <t>Q9Y217</t>
  </si>
  <si>
    <t>Q9Y219</t>
  </si>
  <si>
    <t>Q9Y221</t>
  </si>
  <si>
    <t>Q9Y223-3</t>
  </si>
  <si>
    <t>Q9Y224</t>
  </si>
  <si>
    <t>Q9Y228</t>
  </si>
  <si>
    <t>Q9Y230</t>
  </si>
  <si>
    <t>Q9Y232-2</t>
  </si>
  <si>
    <t>Q9Y237</t>
  </si>
  <si>
    <t>Q9Y244</t>
  </si>
  <si>
    <t>Q9Y248</t>
  </si>
  <si>
    <t>Q9Y250-5</t>
  </si>
  <si>
    <t>Q9Y259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</si>
  <si>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</si>
  <si>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</si>
  <si>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</si>
  <si>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</si>
  <si>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</si>
  <si>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</si>
  <si>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</si>
  <si>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</si>
  <si>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</si>
  <si>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Q9Y296</t>
  </si>
  <si>
    <t>Q9Y2A7</t>
  </si>
  <si>
    <t>Q9Y2B0</t>
  </si>
  <si>
    <t>Q9Y2C2</t>
  </si>
  <si>
    <t>Q9Y2C4</t>
  </si>
  <si>
    <t>Q9Y2D4</t>
  </si>
  <si>
    <t>Q9Y2D5-6</t>
  </si>
  <si>
    <t>Q9Y2G2-4</t>
  </si>
  <si>
    <t>Q9Y2G3</t>
  </si>
  <si>
    <t>Q9Y2G5</t>
  </si>
  <si>
    <t>Q9Y2H0-3</t>
  </si>
  <si>
    <t>Q9Y2H1</t>
  </si>
  <si>
    <t>Q9Y2H2-3</t>
  </si>
  <si>
    <t>Q9Y2H6-2</t>
  </si>
  <si>
    <t>Q9Y2I1</t>
  </si>
  <si>
    <t>Q9Y2I7</t>
  </si>
  <si>
    <t>Q9Y2I8</t>
  </si>
  <si>
    <t>Q9Y2K1</t>
  </si>
  <si>
    <t>Q9Y2K6</t>
  </si>
  <si>
    <t>Q9Y2K7</t>
  </si>
  <si>
    <t>Q9Y2L1</t>
  </si>
  <si>
    <t>Q9Y2L9-2</t>
  </si>
  <si>
    <t>Q9Y2P8</t>
  </si>
  <si>
    <t>Q9Y2Q0-3</t>
  </si>
  <si>
    <t>Q9Y2Q3</t>
  </si>
  <si>
    <t>Q9Y2Q5</t>
  </si>
  <si>
    <t>Q9Y2Q9</t>
  </si>
  <si>
    <t>Q9Y2R0</t>
  </si>
  <si>
    <t>Q9Y2R4</t>
  </si>
  <si>
    <t>Q9Y2S0</t>
  </si>
  <si>
    <t>Q9Y2S2-2</t>
  </si>
  <si>
    <t>Q9Y2S6</t>
  </si>
  <si>
    <t>Q9Y2S7</t>
  </si>
  <si>
    <t>Q9Y2T2</t>
  </si>
  <si>
    <t>Q9Y2T7</t>
  </si>
  <si>
    <t>Q9Y2U5</t>
  </si>
  <si>
    <t>Q9Y2U8</t>
  </si>
  <si>
    <t>Q9Y2V2</t>
  </si>
  <si>
    <t>Q9Y2V7-2</t>
  </si>
  <si>
    <t>Q9Y2W1</t>
  </si>
  <si>
    <t>Q9Y2X0-2</t>
  </si>
  <si>
    <t>Q9Y2X3</t>
  </si>
  <si>
    <t>Q9Y2X7</t>
  </si>
  <si>
    <t>Q9Y2Y1</t>
  </si>
  <si>
    <t>Q9Y2Y9</t>
  </si>
  <si>
    <t>Q9Y2Z0</t>
  </si>
  <si>
    <t>Q9Y2Z0-2</t>
  </si>
  <si>
    <t>Q9Y2Z4</t>
  </si>
  <si>
    <t>Q9Y2Z9-3</t>
  </si>
  <si>
    <t>Q9Y303</t>
  </si>
  <si>
    <t>Q9Y314</t>
  </si>
  <si>
    <t>Q9Y315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</si>
  <si>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</si>
  <si>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</si>
  <si>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</si>
  <si>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</si>
  <si>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</si>
  <si>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</si>
  <si>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</si>
  <si>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</si>
  <si>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Q9Y388</t>
  </si>
  <si>
    <t>Q9Y394-2</t>
  </si>
  <si>
    <t>Q9Y399</t>
  </si>
  <si>
    <t>Q9Y3A3-3</t>
  </si>
  <si>
    <t>Q9Y3A4</t>
  </si>
  <si>
    <t>Q9Y3A5</t>
  </si>
  <si>
    <t>Q9Y3A6</t>
  </si>
  <si>
    <t>Q9Y3B3</t>
  </si>
  <si>
    <t>Q9Y3B4</t>
  </si>
  <si>
    <t>Q9Y3B7-2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</si>
  <si>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</si>
  <si>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</si>
  <si>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</si>
  <si>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</si>
  <si>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</si>
  <si>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</si>
  <si>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</si>
  <si>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</si>
  <si>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Q9Y3D5</t>
  </si>
  <si>
    <t>Q9Y3D6</t>
  </si>
  <si>
    <t>Q9Y3D8</t>
  </si>
  <si>
    <t>Q9Y3D9</t>
  </si>
  <si>
    <t>Q9Y3E1</t>
  </si>
  <si>
    <t>Q9Y3E2</t>
  </si>
  <si>
    <t>Q9Y3E7-4</t>
  </si>
  <si>
    <t>Q9Y3F4</t>
  </si>
  <si>
    <t>Q9Y3I0</t>
  </si>
  <si>
    <t>Q9Y3I1-3</t>
  </si>
  <si>
    <t>Q9Y3L3</t>
  </si>
  <si>
    <t>Q9Y3L5</t>
  </si>
  <si>
    <t>Q9Y3P8</t>
  </si>
  <si>
    <t>Q9Y3P9</t>
  </si>
  <si>
    <t>Q9Y3Q3</t>
  </si>
  <si>
    <t>Q9Y3Q8</t>
  </si>
  <si>
    <t>Q9Y3S2</t>
  </si>
  <si>
    <t>Q9Y3T9</t>
  </si>
  <si>
    <t>Q9Y3U8</t>
  </si>
  <si>
    <t>Q9Y3V2-2</t>
  </si>
  <si>
    <t>Q9Y3X0</t>
  </si>
  <si>
    <t>Q9Y3Y2-4</t>
  </si>
  <si>
    <t>Q9Y421</t>
  </si>
  <si>
    <t>Q9Y448</t>
  </si>
  <si>
    <t>Q9Y450</t>
  </si>
  <si>
    <t>Q9Y450-2</t>
  </si>
  <si>
    <t>Q9Y478</t>
  </si>
  <si>
    <t>Q9Y487</t>
  </si>
  <si>
    <t>Q9Y490</t>
  </si>
  <si>
    <t>Q9Y4B4</t>
  </si>
  <si>
    <t>Q9Y4B6-2</t>
  </si>
  <si>
    <t>Q9Y4C1</t>
  </si>
  <si>
    <t>Q9Y4C2-2</t>
  </si>
  <si>
    <t>Q9Y4C8</t>
  </si>
  <si>
    <t>Q9Y4D1-2</t>
  </si>
  <si>
    <t>Q9Y4D7-2</t>
  </si>
  <si>
    <t>Q9Y4E1-2</t>
  </si>
  <si>
    <t>Q9Y4E6-2</t>
  </si>
  <si>
    <t>Q9Y4G6</t>
  </si>
  <si>
    <t>Q9Y4K1</t>
  </si>
  <si>
    <t>Q9Y4K3</t>
  </si>
  <si>
    <t>Q9Y4K4</t>
  </si>
  <si>
    <t>Q9Y4L1</t>
  </si>
  <si>
    <t>Q9Y4P1-6</t>
  </si>
  <si>
    <t>Q9Y4P8-3</t>
  </si>
  <si>
    <t>Q9Y4R8</t>
  </si>
  <si>
    <t>Q9Y4W6</t>
  </si>
  <si>
    <t>Q9Y4X4</t>
  </si>
  <si>
    <t>Q9Y4X5</t>
  </si>
  <si>
    <t>Q9Y4Z0</t>
  </si>
  <si>
    <t>Q9Y508</t>
  </si>
  <si>
    <t>Q9Y512</t>
  </si>
  <si>
    <t>Q9Y520-5</t>
  </si>
  <si>
    <t>Q9Y547</t>
  </si>
  <si>
    <t>Q9Y570</t>
  </si>
  <si>
    <t>Q9Y584</t>
  </si>
  <si>
    <t>Q9Y5A9</t>
  </si>
  <si>
    <t>Q9Y5B0</t>
  </si>
  <si>
    <t>Q9Y5B6</t>
  </si>
  <si>
    <t>Q9Y5B8</t>
  </si>
  <si>
    <t>Q9Y5B9</t>
  </si>
  <si>
    <t>Q9Y5J1</t>
  </si>
  <si>
    <t>Q9Y5J6</t>
  </si>
  <si>
    <t>Q9Y5J7</t>
  </si>
  <si>
    <t>Q9Y5K5-2</t>
  </si>
  <si>
    <t>Q9Y5K6</t>
  </si>
  <si>
    <t>Q9Y5K8</t>
  </si>
  <si>
    <t>Q9Y5L4</t>
  </si>
  <si>
    <t>Q9Y5M8</t>
  </si>
  <si>
    <t>Q9Y5N5</t>
  </si>
  <si>
    <t>Q9Y5N6</t>
  </si>
  <si>
    <t>Q9Y5P4-2</t>
  </si>
  <si>
    <t>Q9Y5P6</t>
  </si>
  <si>
    <t>Q9Y5Q9</t>
  </si>
  <si>
    <t>Q9Y5R8</t>
  </si>
  <si>
    <t>Q9Y5S1</t>
  </si>
  <si>
    <t>Q9Y5S9</t>
  </si>
  <si>
    <t>Q9Y5T4</t>
  </si>
  <si>
    <t>Q9Y5T5-2</t>
  </si>
  <si>
    <t>Q9Y5U2-2</t>
  </si>
  <si>
    <t>Q9Y5U9</t>
  </si>
  <si>
    <t>Q9Y5V0</t>
  </si>
  <si>
    <t>Q9Y5V3</t>
  </si>
  <si>
    <t>Q9Y5X1</t>
  </si>
  <si>
    <t>Q9Y5X2</t>
  </si>
  <si>
    <t>Q9Y5X3</t>
  </si>
  <si>
    <t>Q9Y5Y0</t>
  </si>
  <si>
    <t>Q9Y5Y2</t>
  </si>
  <si>
    <t>Q9Y5Z4</t>
  </si>
  <si>
    <t>Q9Y5Z7</t>
  </si>
  <si>
    <t>Q9Y5Z9-2</t>
  </si>
  <si>
    <t>Q9Y605</t>
  </si>
  <si>
    <t>Q9Y608-4</t>
  </si>
  <si>
    <t>Q9Y617</t>
  </si>
  <si>
    <t>Q9Y619</t>
  </si>
  <si>
    <t>Q9Y639-1</t>
  </si>
  <si>
    <t>Q9Y657</t>
  </si>
  <si>
    <t>Q9Y664</t>
  </si>
  <si>
    <t>Q9Y666</t>
  </si>
  <si>
    <t>Q9Y673</t>
  </si>
  <si>
    <t>Q9Y676</t>
  </si>
  <si>
    <t>Q9Y678</t>
  </si>
  <si>
    <t>Q9Y679-2</t>
  </si>
  <si>
    <t>Q9Y680-2</t>
  </si>
  <si>
    <t>Q9Y689-2</t>
  </si>
  <si>
    <t>Q9Y692-2</t>
  </si>
  <si>
    <t>Q9Y696</t>
  </si>
  <si>
    <t>Q9Y697-2</t>
  </si>
  <si>
    <t>Q9Y6A4</t>
  </si>
  <si>
    <t>Q9Y6A5</t>
  </si>
  <si>
    <t>Q9Y6B6</t>
  </si>
  <si>
    <t>Q9Y6B7</t>
  </si>
  <si>
    <t>Q9Y6C9</t>
  </si>
  <si>
    <t>Q9Y6D6</t>
  </si>
  <si>
    <t>Q9Y6D9</t>
  </si>
  <si>
    <t>Q9Y6E0-2</t>
  </si>
  <si>
    <t>Q9Y6G9</t>
  </si>
  <si>
    <t>Q9Y6H1</t>
  </si>
  <si>
    <t>Q9Y6H3</t>
  </si>
  <si>
    <t>Q9Y6I3</t>
  </si>
  <si>
    <t>Q9Y6I9</t>
  </si>
  <si>
    <t>Q9Y6K1</t>
  </si>
  <si>
    <t>Q9Y6K5</t>
  </si>
  <si>
    <t>Q9Y6K9</t>
  </si>
  <si>
    <t>Q9Y6M4</t>
  </si>
  <si>
    <t>Q9Y6M5</t>
  </si>
  <si>
    <t>Q9Y6M9</t>
  </si>
  <si>
    <t>Q9Y6N1</t>
  </si>
  <si>
    <t>Q9Y6N5</t>
  </si>
  <si>
    <t>Q9Y6N9-3</t>
  </si>
  <si>
    <t>Q9Y6P5-2</t>
  </si>
  <si>
    <t>Q9Y6Q9-5</t>
  </si>
  <si>
    <t>Q9Y6V7</t>
  </si>
  <si>
    <t>Q9Y6W3</t>
  </si>
  <si>
    <t>Q9Y6W5</t>
  </si>
  <si>
    <t>Q9Y6X4</t>
  </si>
  <si>
    <t>Q9Y6X5</t>
  </si>
  <si>
    <t>Q9Y6X8</t>
  </si>
  <si>
    <t>Q9Y6X9</t>
  </si>
  <si>
    <t>Q9Y6Y0</t>
  </si>
  <si>
    <t>R4GMR5</t>
  </si>
  <si>
    <t>R4GMU1</t>
  </si>
  <si>
    <t>R4GMX3</t>
  </si>
  <si>
    <t>R4GMX8</t>
  </si>
  <si>
    <t>R4GN55</t>
  </si>
  <si>
    <t>R4GNB2</t>
  </si>
  <si>
    <t>R4GNH3</t>
  </si>
  <si>
    <t>R4GNJ4</t>
  </si>
  <si>
    <t>norm_FC_TMT126_H.sapiens_Jurkat_P015964</t>
  </si>
  <si>
    <t>norm_FC_TMT127L_H.sapiens_Jurkat_P015964</t>
  </si>
  <si>
    <t>norm_FC_TMT127H_H.sapiens_Jurkat_P015964</t>
  </si>
  <si>
    <t>norm_FC_TMT128L_H.sapiens_Jurkat_P015964</t>
  </si>
  <si>
    <t>norm_FC_TMT128H_H.sapiens_Jurkat_P015964</t>
  </si>
  <si>
    <t>norm_FC_TMT129L_H.sapiens_Jurkat_P015964</t>
  </si>
  <si>
    <t>norm_FC_TMT129H_H.sapiens_Jurkat_P015964</t>
  </si>
  <si>
    <t>norm_FC_TMT130L_H.sapiens_Jurkat_P015964</t>
  </si>
  <si>
    <t>norm_FC_TMT130H_H.sapiens_Jurkat_P015964</t>
  </si>
  <si>
    <t>norm_FC_TMT131L_H.sapiens_Jurkat_P015964</t>
  </si>
  <si>
    <t>a_H.sapiens_Jurkat_P015964</t>
  </si>
  <si>
    <t>b_H.sapiens_Jurkat_P015964</t>
  </si>
  <si>
    <t>meltPoint_H.sapiens_Jurkat_P015964</t>
  </si>
  <si>
    <t>inflPoint_H.sapiens_Jurkat_P015964</t>
  </si>
  <si>
    <t>slope_H.sapiens_Jurkat_P015964</t>
  </si>
  <si>
    <t>plateau_H.sapiens_Jurkat_P015964</t>
  </si>
  <si>
    <t>R_sq_H.sapiens_Jurkat_P015964</t>
  </si>
  <si>
    <t>protein_identified_in_H.sapiens_Jurkat_P015964</t>
  </si>
  <si>
    <t>model_converged_H.sapiens_Jurkat_P015964</t>
  </si>
  <si>
    <t>sufficient_data_for_fit_H.sapiens_Jurkat_P015964</t>
  </si>
  <si>
    <t>Proteinname_H.sapiens_Jurkat_P015964</t>
  </si>
  <si>
    <t>numSpec_H.sapiens_Jurkat_P015964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</si>
</sst>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667"/>
  <sheetViews>
    <sheetView tabSelected="1" workbookViewId="0">
      <selection sqref="A1:XFD1"/>
    </sheetView>
  </sheetViews>
  <sheetFormatPr defaultRowHeight="15" x14ac:dyDescent="0.25"/>
  <sheetData>
    <row r="1" spans="1:28" s="2" customFormat="1" ht="90" x14ac:dyDescent="0.25">
      <c r="A1" s="1" t="s">
        <v>0</v>
      </c>
      <c r="B1" s="1" t="s">
        <v>33083</v>
      </c>
      <c r="C1" s="1" t="s">
        <v>33084</v>
      </c>
      <c r="D1" s="1" t="s">
        <v>33085</v>
      </c>
      <c r="E1" s="1" t="s">
        <v>33086</v>
      </c>
      <c r="F1" s="1" t="s">
        <v>33087</v>
      </c>
      <c r="G1" s="1" t="s">
        <v>33088</v>
      </c>
      <c r="H1" s="1" t="s">
        <v>33089</v>
      </c>
      <c r="I1" s="1" t="s">
        <v>33090</v>
      </c>
      <c r="J1" s="1" t="s">
        <v>33091</v>
      </c>
      <c r="K1" s="1" t="s">
        <v>33092</v>
      </c>
      <c r="L1" s="1" t="s">
        <v>33093</v>
      </c>
      <c r="M1" s="1" t="s">
        <v>33094</v>
      </c>
      <c r="N1" s="1" t="s">
        <v>33095</v>
      </c>
      <c r="O1" s="1" t="s">
        <v>33096</v>
      </c>
      <c r="P1" s="1" t="s">
        <v>33097</v>
      </c>
      <c r="Q1" s="1" t="s">
        <v>33098</v>
      </c>
      <c r="R1" s="1" t="s">
        <v>33099</v>
      </c>
      <c r="S1" s="1" t="s">
        <v>1</v>
      </c>
      <c r="T1" s="1" t="s">
        <v>33100</v>
      </c>
      <c r="U1" s="1" t="s">
        <v>33101</v>
      </c>
      <c r="V1" s="1" t="s">
        <v>33102</v>
      </c>
      <c r="W1" s="1" t="s">
        <v>33103</v>
      </c>
      <c r="X1" s="1" t="s">
        <v>33104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0.99193492352474899</v>
      </c>
      <c r="C2">
        <v>0.90016845928128297</v>
      </c>
      <c r="D2">
        <v>0.87057539298077802</v>
      </c>
      <c r="E2">
        <v>0.37971799407366802</v>
      </c>
      <c r="F2">
        <v>0.17007999378935701</v>
      </c>
      <c r="G2">
        <v>9.5123865752176698E-2</v>
      </c>
      <c r="H2">
        <v>5.7976877620108502E-2</v>
      </c>
      <c r="I2">
        <v>6.1423780010856799E-2</v>
      </c>
      <c r="J2">
        <v>6.6411570714434195E-2</v>
      </c>
      <c r="K2">
        <v>7.2321100593536899E-2</v>
      </c>
      <c r="L2">
        <v>1326.7514386403</v>
      </c>
      <c r="M2">
        <v>27.323576360908099</v>
      </c>
      <c r="N2">
        <v>48.818863341360803</v>
      </c>
      <c r="O2">
        <v>48.299150656487498</v>
      </c>
      <c r="P2">
        <v>-0.13179036663629001</v>
      </c>
      <c r="Q2">
        <v>6.8159456561618703E-2</v>
      </c>
      <c r="R2">
        <v>0.99388260061884603</v>
      </c>
      <c r="S2" t="s">
        <v>6672</v>
      </c>
      <c r="T2" t="s">
        <v>13338</v>
      </c>
      <c r="U2" t="s">
        <v>13338</v>
      </c>
      <c r="V2" t="s">
        <v>13338</v>
      </c>
      <c r="W2" t="s">
        <v>13340</v>
      </c>
      <c r="X2">
        <v>36</v>
      </c>
      <c r="Y2" t="s">
        <v>19942</v>
      </c>
      <c r="Z2" t="s">
        <v>26417</v>
      </c>
      <c r="AA2">
        <v>0.34079916805333799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0.99193492352474899</v>
      </c>
      <c r="C3">
        <v>0.82603799025856195</v>
      </c>
      <c r="D3">
        <v>0.85526022754769204</v>
      </c>
      <c r="E3">
        <v>0.65761767840260499</v>
      </c>
      <c r="F3">
        <v>0.56137896230069895</v>
      </c>
      <c r="G3">
        <v>0.14508946087111901</v>
      </c>
      <c r="H3">
        <v>0.112253063545078</v>
      </c>
      <c r="I3">
        <v>0.18333528421944401</v>
      </c>
      <c r="J3">
        <v>0.187045048137394</v>
      </c>
      <c r="K3">
        <v>0.230126567905058</v>
      </c>
      <c r="L3">
        <v>777.03766831520704</v>
      </c>
      <c r="M3">
        <v>15.2674134681428</v>
      </c>
      <c r="N3">
        <v>51.982036937242299</v>
      </c>
      <c r="O3">
        <v>50.045994321486702</v>
      </c>
      <c r="P3">
        <v>-6.5851967452314294E-2</v>
      </c>
      <c r="Q3">
        <v>0.13664087303037101</v>
      </c>
      <c r="R3">
        <v>0.93497406791419901</v>
      </c>
      <c r="S3" t="s">
        <v>6673</v>
      </c>
      <c r="T3" t="s">
        <v>13338</v>
      </c>
      <c r="U3" t="s">
        <v>13338</v>
      </c>
      <c r="V3" t="s">
        <v>13338</v>
      </c>
      <c r="W3" t="s">
        <v>13341</v>
      </c>
      <c r="X3">
        <v>4</v>
      </c>
      <c r="Y3" t="s">
        <v>19943</v>
      </c>
      <c r="Z3" t="s">
        <v>26418</v>
      </c>
      <c r="AA3">
        <v>0.46961950340697067</v>
      </c>
      <c r="AB3" t="str">
        <f>HYPERLINK("Melting_Curves/meltCurve_A0JNW5_UHRF1BP1L.pdf", "Melting_Curves/meltCurve_A0JNW5_UHRF1BP1L.pdf")</f>
        <v>Melting_Curves/meltCurve_A0JNW5_UHRF1BP1L.pdf</v>
      </c>
    </row>
    <row r="4" spans="1:28" x14ac:dyDescent="0.25">
      <c r="A4" t="s">
        <v>8</v>
      </c>
      <c r="B4">
        <v>0.99193492352474899</v>
      </c>
      <c r="C4">
        <v>0.96100688059922601</v>
      </c>
      <c r="D4">
        <v>0.79686841234835404</v>
      </c>
      <c r="E4">
        <v>0.33287693282155301</v>
      </c>
      <c r="F4">
        <v>0.26633734700608802</v>
      </c>
      <c r="G4">
        <v>0.14818630750411599</v>
      </c>
      <c r="H4">
        <v>8.1174162036633093E-2</v>
      </c>
      <c r="I4">
        <v>0.125115884894614</v>
      </c>
      <c r="J4">
        <v>0.15629022917702901</v>
      </c>
      <c r="K4">
        <v>0.14857480121966299</v>
      </c>
      <c r="L4">
        <v>1306.9461679624901</v>
      </c>
      <c r="M4">
        <v>27.350050115285601</v>
      </c>
      <c r="N4">
        <v>48.3614096548487</v>
      </c>
      <c r="O4">
        <v>47.532612309303403</v>
      </c>
      <c r="P4">
        <v>-0.123867950428118</v>
      </c>
      <c r="Q4">
        <v>0.138910454856601</v>
      </c>
      <c r="R4">
        <v>0.99010395392746697</v>
      </c>
      <c r="S4" t="s">
        <v>6674</v>
      </c>
      <c r="T4" t="s">
        <v>13338</v>
      </c>
      <c r="U4" t="s">
        <v>13338</v>
      </c>
      <c r="V4" t="s">
        <v>13338</v>
      </c>
      <c r="W4" t="s">
        <v>13342</v>
      </c>
      <c r="X4">
        <v>12</v>
      </c>
      <c r="Y4" t="s">
        <v>19944</v>
      </c>
      <c r="Z4" t="s">
        <v>26419</v>
      </c>
      <c r="AA4">
        <v>0.36867787976927252</v>
      </c>
      <c r="AB4" t="str">
        <f>HYPERLINK("Melting_Curves/meltCurve_A0MZ66_4_KIAA1598.pdf", "Melting_Curves/meltCurve_A0MZ66_4_KIAA1598.pdf")</f>
        <v>Melting_Curves/meltCurve_A0MZ66_4_KIAA1598.pdf</v>
      </c>
    </row>
    <row r="5" spans="1:28" x14ac:dyDescent="0.25">
      <c r="A5" t="s">
        <v>9</v>
      </c>
      <c r="B5">
        <v>0.99193492352474899</v>
      </c>
      <c r="C5">
        <v>0.83633161795020405</v>
      </c>
      <c r="D5">
        <v>0.97616453261261504</v>
      </c>
      <c r="E5">
        <v>0.767374884611282</v>
      </c>
      <c r="F5">
        <v>0.365376834299665</v>
      </c>
      <c r="G5">
        <v>0.141043004134106</v>
      </c>
      <c r="H5">
        <v>8.2632760235494901E-2</v>
      </c>
      <c r="I5">
        <v>0.109844203568589</v>
      </c>
      <c r="J5">
        <v>0.135820980824161</v>
      </c>
      <c r="K5">
        <v>0.120124310499453</v>
      </c>
      <c r="L5">
        <v>1467.38752641818</v>
      </c>
      <c r="M5">
        <v>28.532155661662902</v>
      </c>
      <c r="N5">
        <v>51.8585220601313</v>
      </c>
      <c r="O5">
        <v>51.178608079878103</v>
      </c>
      <c r="P5">
        <v>-0.124716830023351</v>
      </c>
      <c r="Q5">
        <v>0.10518040411901999</v>
      </c>
      <c r="R5">
        <v>0.97927497431420796</v>
      </c>
      <c r="S5" t="s">
        <v>6675</v>
      </c>
      <c r="T5" t="s">
        <v>13338</v>
      </c>
      <c r="U5" t="s">
        <v>13338</v>
      </c>
      <c r="V5" t="s">
        <v>13338</v>
      </c>
      <c r="W5" t="s">
        <v>13343</v>
      </c>
      <c r="X5">
        <v>2</v>
      </c>
      <c r="Y5" t="s">
        <v>19945</v>
      </c>
      <c r="Z5" t="s">
        <v>26420</v>
      </c>
      <c r="AA5">
        <v>0.45234494331140268</v>
      </c>
      <c r="AB5" t="str">
        <f>HYPERLINK("Melting_Curves/meltCurve_A0PJW6_TMEM223.pdf", "Melting_Curves/meltCurve_A0PJW6_TMEM223.pdf")</f>
        <v>Melting_Curves/meltCurve_A0PJW6_TMEM223.pdf</v>
      </c>
    </row>
    <row r="6" spans="1:28" x14ac:dyDescent="0.25">
      <c r="A6" t="s">
        <v>10</v>
      </c>
      <c r="B6">
        <v>0.99193492352474899</v>
      </c>
      <c r="C6">
        <v>1.2596149145550799</v>
      </c>
      <c r="D6">
        <v>1.0487903418159501</v>
      </c>
      <c r="E6">
        <v>1.1084360852431401</v>
      </c>
      <c r="F6">
        <v>0.89052194287013597</v>
      </c>
      <c r="G6">
        <v>0.68711102523979894</v>
      </c>
      <c r="H6">
        <v>0.38147813811693299</v>
      </c>
      <c r="I6">
        <v>0.30666041121412002</v>
      </c>
      <c r="J6">
        <v>0.28698341098158803</v>
      </c>
      <c r="K6">
        <v>0.25796031945018699</v>
      </c>
      <c r="L6">
        <v>1630.17611219328</v>
      </c>
      <c r="M6">
        <v>28.4495120441401</v>
      </c>
      <c r="N6">
        <v>58.872739686230297</v>
      </c>
      <c r="O6">
        <v>57.019796105970599</v>
      </c>
      <c r="P6">
        <v>-9.1544853807071794E-2</v>
      </c>
      <c r="Q6">
        <v>0.266092593033807</v>
      </c>
      <c r="R6">
        <v>0.93636921570400999</v>
      </c>
      <c r="S6" t="s">
        <v>6676</v>
      </c>
      <c r="T6" t="s">
        <v>13338</v>
      </c>
      <c r="U6" t="s">
        <v>13338</v>
      </c>
      <c r="V6" t="s">
        <v>13338</v>
      </c>
      <c r="W6" t="s">
        <v>13344</v>
      </c>
      <c r="X6">
        <v>16</v>
      </c>
      <c r="Y6" t="s">
        <v>19946</v>
      </c>
      <c r="Z6" t="s">
        <v>26421</v>
      </c>
      <c r="AA6">
        <v>0.69466585528440039</v>
      </c>
      <c r="AB6" t="str">
        <f>HYPERLINK("Melting_Curves/meltCurve_A1L0T0_ILVBL.pdf", "Melting_Curves/meltCurve_A1L0T0_ILVBL.pdf")</f>
        <v>Melting_Curves/meltCurve_A1L0T0_ILVBL.pdf</v>
      </c>
    </row>
    <row r="7" spans="1:28" x14ac:dyDescent="0.25">
      <c r="A7" t="s">
        <v>11</v>
      </c>
      <c r="B7">
        <v>0.99193492352474899</v>
      </c>
      <c r="C7">
        <v>1.05600008255939</v>
      </c>
      <c r="D7">
        <v>0.91155292603318605</v>
      </c>
      <c r="E7">
        <v>0.94146641972206901</v>
      </c>
      <c r="F7">
        <v>0.59193061875744901</v>
      </c>
      <c r="G7">
        <v>0.40803153623569</v>
      </c>
      <c r="H7">
        <v>0.35530960761546398</v>
      </c>
      <c r="I7">
        <v>0.42913803649655202</v>
      </c>
      <c r="J7">
        <v>0.48591626415184702</v>
      </c>
      <c r="K7">
        <v>0.50761018960049797</v>
      </c>
      <c r="L7">
        <v>2403.9187700556599</v>
      </c>
      <c r="M7">
        <v>46.2167860776757</v>
      </c>
      <c r="N7">
        <v>54.434367311255002</v>
      </c>
      <c r="O7">
        <v>51.916873402383303</v>
      </c>
      <c r="P7">
        <v>-0.125529590652774</v>
      </c>
      <c r="Q7">
        <v>0.43595417737613601</v>
      </c>
      <c r="R7">
        <v>0.960537871609069</v>
      </c>
      <c r="S7" t="s">
        <v>6677</v>
      </c>
      <c r="T7" t="s">
        <v>13338</v>
      </c>
      <c r="U7" t="s">
        <v>13338</v>
      </c>
      <c r="V7" t="s">
        <v>13338</v>
      </c>
      <c r="W7" t="s">
        <v>13345</v>
      </c>
      <c r="X7">
        <v>1</v>
      </c>
      <c r="Y7" t="s">
        <v>19947</v>
      </c>
      <c r="Z7" t="s">
        <v>26422</v>
      </c>
      <c r="AA7">
        <v>0.66335111419478621</v>
      </c>
      <c r="AB7" t="str">
        <f>HYPERLINK("Melting_Curves/meltCurve_A1L188_C17orf89.pdf", "Melting_Curves/meltCurve_A1L188_C17orf89.pdf")</f>
        <v>Melting_Curves/meltCurve_A1L188_C17orf89.pdf</v>
      </c>
    </row>
    <row r="8" spans="1:28" x14ac:dyDescent="0.25">
      <c r="A8" t="s">
        <v>12</v>
      </c>
      <c r="B8">
        <v>0.99193492352474899</v>
      </c>
      <c r="C8">
        <v>0.96222883495737499</v>
      </c>
      <c r="D8">
        <v>0.78805864905937595</v>
      </c>
      <c r="E8">
        <v>0.58323024700256199</v>
      </c>
      <c r="F8">
        <v>0.43649127699629198</v>
      </c>
      <c r="G8">
        <v>0.44582804205000398</v>
      </c>
      <c r="H8">
        <v>0.63662643842306499</v>
      </c>
      <c r="I8">
        <v>0.89749983251339305</v>
      </c>
      <c r="J8">
        <v>0.89017708059292</v>
      </c>
      <c r="K8">
        <v>1.67352420288518</v>
      </c>
      <c r="L8">
        <v>10789.1010998411</v>
      </c>
      <c r="M8">
        <v>250</v>
      </c>
      <c r="O8">
        <v>43.153636597608497</v>
      </c>
      <c r="P8">
        <v>-0.29845472031867298</v>
      </c>
      <c r="Q8">
        <v>0.79392946648919804</v>
      </c>
      <c r="R8">
        <v>4.6357215862889697E-2</v>
      </c>
      <c r="S8" t="s">
        <v>6678</v>
      </c>
      <c r="T8" t="s">
        <v>13338</v>
      </c>
      <c r="U8" t="s">
        <v>13338</v>
      </c>
      <c r="V8" t="s">
        <v>13338</v>
      </c>
      <c r="W8" t="s">
        <v>13346</v>
      </c>
      <c r="X8">
        <v>3</v>
      </c>
      <c r="Y8" t="s">
        <v>19948</v>
      </c>
      <c r="Z8" t="s">
        <v>26423</v>
      </c>
      <c r="AA8">
        <v>0.81562647198234228</v>
      </c>
      <c r="AB8" t="str">
        <f>HYPERLINK("Melting_Curves/meltCurve_A1L3A6_NUFIP2.pdf", "Melting_Curves/meltCurve_A1L3A6_NUFIP2.pdf")</f>
        <v>Melting_Curves/meltCurve_A1L3A6_NUFIP2.pdf</v>
      </c>
    </row>
    <row r="9" spans="1:28" x14ac:dyDescent="0.25">
      <c r="A9" t="s">
        <v>13</v>
      </c>
      <c r="B9">
        <v>0.99193492352474899</v>
      </c>
      <c r="C9">
        <v>0.800906691420186</v>
      </c>
      <c r="D9">
        <v>0.64431845989054504</v>
      </c>
      <c r="E9">
        <v>0.21505135609708401</v>
      </c>
      <c r="F9">
        <v>0.19220485058188899</v>
      </c>
      <c r="G9">
        <v>0.13720821983280801</v>
      </c>
      <c r="H9">
        <v>7.9893564641763198E-2</v>
      </c>
      <c r="I9">
        <v>0.104118938277886</v>
      </c>
      <c r="J9">
        <v>8.7676043794553599E-2</v>
      </c>
      <c r="K9">
        <v>0.162707474140177</v>
      </c>
      <c r="L9">
        <v>1000.24890322405</v>
      </c>
      <c r="M9">
        <v>21.618000037677302</v>
      </c>
      <c r="N9">
        <v>46.803174828894797</v>
      </c>
      <c r="O9">
        <v>45.878795455448703</v>
      </c>
      <c r="P9">
        <v>-0.104929713984487</v>
      </c>
      <c r="Q9">
        <v>0.10927306180188499</v>
      </c>
      <c r="R9">
        <v>0.98272835783442503</v>
      </c>
      <c r="S9" t="s">
        <v>6679</v>
      </c>
      <c r="T9" t="s">
        <v>13338</v>
      </c>
      <c r="U9" t="s">
        <v>13338</v>
      </c>
      <c r="V9" t="s">
        <v>13338</v>
      </c>
      <c r="W9" t="s">
        <v>13347</v>
      </c>
      <c r="X9">
        <v>11</v>
      </c>
      <c r="Y9" t="s">
        <v>19949</v>
      </c>
      <c r="Z9" t="s">
        <v>26424</v>
      </c>
      <c r="AA9">
        <v>0.30674235588919252</v>
      </c>
      <c r="AB9" t="str">
        <f>HYPERLINK("Melting_Curves/meltCurve_A1X283_SH3PXD2B.pdf", "Melting_Curves/meltCurve_A1X283_SH3PXD2B.pdf")</f>
        <v>Melting_Curves/meltCurve_A1X283_SH3PXD2B.pdf</v>
      </c>
    </row>
    <row r="10" spans="1:28" x14ac:dyDescent="0.25">
      <c r="A10" t="s">
        <v>14</v>
      </c>
      <c r="B10">
        <v>0.99193492352474899</v>
      </c>
      <c r="C10">
        <v>0.915069691038505</v>
      </c>
      <c r="D10">
        <v>0.80599411281980704</v>
      </c>
      <c r="E10">
        <v>0.57701155250742897</v>
      </c>
      <c r="F10">
        <v>0.127933939876687</v>
      </c>
      <c r="G10">
        <v>7.6117004395658605E-2</v>
      </c>
      <c r="H10">
        <v>4.2929962916658598E-2</v>
      </c>
      <c r="I10">
        <v>5.2778104099404699E-2</v>
      </c>
      <c r="J10">
        <v>5.0042796475024402E-2</v>
      </c>
      <c r="K10">
        <v>5.5344110277911203E-2</v>
      </c>
      <c r="L10">
        <v>1116.3212694844201</v>
      </c>
      <c r="M10">
        <v>22.560479470525198</v>
      </c>
      <c r="N10">
        <v>49.6387947424072</v>
      </c>
      <c r="O10">
        <v>49.097416680236698</v>
      </c>
      <c r="P10">
        <v>-0.110909975249509</v>
      </c>
      <c r="Q10">
        <v>3.45446582774845E-2</v>
      </c>
      <c r="R10">
        <v>0.98880081747716497</v>
      </c>
      <c r="S10" t="s">
        <v>6680</v>
      </c>
      <c r="T10" t="s">
        <v>13338</v>
      </c>
      <c r="U10" t="s">
        <v>13338</v>
      </c>
      <c r="V10" t="s">
        <v>13338</v>
      </c>
      <c r="W10" t="s">
        <v>13348</v>
      </c>
      <c r="X10">
        <v>31</v>
      </c>
      <c r="Y10" t="s">
        <v>19950</v>
      </c>
      <c r="Z10" t="s">
        <v>26425</v>
      </c>
      <c r="AA10">
        <v>0.3502465625082587</v>
      </c>
      <c r="AB10" t="str">
        <f>HYPERLINK("Melting_Curves/meltCurve_A2A274_ACO2.pdf", "Melting_Curves/meltCurve_A2A274_ACO2.pdf")</f>
        <v>Melting_Curves/meltCurve_A2A274_ACO2.pdf</v>
      </c>
    </row>
    <row r="11" spans="1:28" x14ac:dyDescent="0.25">
      <c r="A11" t="s">
        <v>15</v>
      </c>
      <c r="B11">
        <v>0.99193492352474899</v>
      </c>
      <c r="C11">
        <v>0.63344699809619198</v>
      </c>
      <c r="D11">
        <v>0.69539292314722401</v>
      </c>
      <c r="E11">
        <v>0.63793093114722099</v>
      </c>
      <c r="F11">
        <v>0.29846455828654</v>
      </c>
      <c r="G11">
        <v>0.169616239296212</v>
      </c>
      <c r="H11">
        <v>0.128398040490982</v>
      </c>
      <c r="I11">
        <v>0.13689988797741201</v>
      </c>
      <c r="J11">
        <v>0.29892669312465298</v>
      </c>
      <c r="K11">
        <v>0.39718293605851301</v>
      </c>
      <c r="L11">
        <v>583.91675022768402</v>
      </c>
      <c r="M11">
        <v>12.4504860056194</v>
      </c>
      <c r="N11">
        <v>48.951092362730698</v>
      </c>
      <c r="O11">
        <v>45.738503504789499</v>
      </c>
      <c r="P11">
        <v>-5.4228174244686303E-2</v>
      </c>
      <c r="Q11">
        <v>0.20330869601024601</v>
      </c>
      <c r="R11">
        <v>0.80762476153248497</v>
      </c>
      <c r="S11" t="s">
        <v>6681</v>
      </c>
      <c r="T11" t="s">
        <v>13338</v>
      </c>
      <c r="U11" t="s">
        <v>13338</v>
      </c>
      <c r="V11" t="s">
        <v>13338</v>
      </c>
      <c r="W11" t="s">
        <v>13349</v>
      </c>
      <c r="X11">
        <v>2</v>
      </c>
      <c r="Y11" t="s">
        <v>19951</v>
      </c>
      <c r="Z11" t="s">
        <v>26426</v>
      </c>
      <c r="AA11">
        <v>0.41799777701108859</v>
      </c>
      <c r="AB11" t="str">
        <f>HYPERLINK("Melting_Curves/meltCurve_A2A2G4_ALG6.pdf", "Melting_Curves/meltCurve_A2A2G4_ALG6.pdf")</f>
        <v>Melting_Curves/meltCurve_A2A2G4_ALG6.pdf</v>
      </c>
    </row>
    <row r="12" spans="1:28" x14ac:dyDescent="0.25">
      <c r="A12" t="s">
        <v>16</v>
      </c>
      <c r="B12">
        <v>0.99193492352474899</v>
      </c>
      <c r="C12">
        <v>0.890831031945574</v>
      </c>
      <c r="D12">
        <v>0.80856586002682296</v>
      </c>
      <c r="E12">
        <v>0.912820656398177</v>
      </c>
      <c r="F12">
        <v>0.64607067940702101</v>
      </c>
      <c r="G12">
        <v>0.73341432534064399</v>
      </c>
      <c r="H12">
        <v>0.68236417045295505</v>
      </c>
      <c r="I12">
        <v>0.71295364731769695</v>
      </c>
      <c r="J12">
        <v>0.71582991698085396</v>
      </c>
      <c r="K12">
        <v>0.92535503107604</v>
      </c>
      <c r="L12">
        <v>756.44194688290202</v>
      </c>
      <c r="M12">
        <v>17.0208045944037</v>
      </c>
      <c r="O12">
        <v>43.842341119177</v>
      </c>
      <c r="P12">
        <v>-2.4510048324788699E-2</v>
      </c>
      <c r="Q12">
        <v>0.74748273391138198</v>
      </c>
      <c r="R12">
        <v>0.45713765764563402</v>
      </c>
      <c r="S12" t="s">
        <v>6682</v>
      </c>
      <c r="T12" t="s">
        <v>13338</v>
      </c>
      <c r="U12" t="s">
        <v>13338</v>
      </c>
      <c r="V12" t="s">
        <v>13338</v>
      </c>
      <c r="W12" t="s">
        <v>13350</v>
      </c>
      <c r="X12">
        <v>3</v>
      </c>
      <c r="Y12" t="s">
        <v>19952</v>
      </c>
      <c r="Z12" t="s">
        <v>26427</v>
      </c>
      <c r="AA12">
        <v>0.79148055099304815</v>
      </c>
      <c r="AB12" t="str">
        <f>HYPERLINK("Melting_Curves/meltCurve_A2A2V1_PRNP.pdf", "Melting_Curves/meltCurve_A2A2V1_PRNP.pdf")</f>
        <v>Melting_Curves/meltCurve_A2A2V1_PRNP.pdf</v>
      </c>
    </row>
    <row r="13" spans="1:28" x14ac:dyDescent="0.25">
      <c r="A13" t="s">
        <v>17</v>
      </c>
      <c r="B13">
        <v>0.99193492352474899</v>
      </c>
      <c r="C13">
        <v>0.56089537429010605</v>
      </c>
      <c r="D13">
        <v>0.92049537503826795</v>
      </c>
      <c r="E13">
        <v>0.516379984198436</v>
      </c>
      <c r="F13">
        <v>0.14338359141891399</v>
      </c>
      <c r="G13">
        <v>7.3968633762359307E-2</v>
      </c>
      <c r="H13">
        <v>3.5894790785593697E-2</v>
      </c>
      <c r="I13">
        <v>4.01948846661856E-2</v>
      </c>
      <c r="J13">
        <v>5.9675830175764999E-2</v>
      </c>
      <c r="K13">
        <v>3.9428525151377701E-2</v>
      </c>
      <c r="L13">
        <v>710.68892343610798</v>
      </c>
      <c r="M13">
        <v>14.4975880761026</v>
      </c>
      <c r="N13">
        <v>49.021183228020398</v>
      </c>
      <c r="O13">
        <v>48.116775414380101</v>
      </c>
      <c r="P13">
        <v>-7.5333680209516501E-2</v>
      </c>
      <c r="Q13">
        <v>0</v>
      </c>
      <c r="R13">
        <v>0.87292643345482801</v>
      </c>
      <c r="S13" t="s">
        <v>6683</v>
      </c>
      <c r="T13" t="s">
        <v>13338</v>
      </c>
      <c r="U13" t="s">
        <v>13338</v>
      </c>
      <c r="V13" t="s">
        <v>13338</v>
      </c>
      <c r="W13" t="s">
        <v>13351</v>
      </c>
      <c r="X13">
        <v>9</v>
      </c>
      <c r="Y13" t="s">
        <v>19953</v>
      </c>
      <c r="Z13" t="s">
        <v>26428</v>
      </c>
      <c r="AA13">
        <v>0.32698506903181851</v>
      </c>
      <c r="AB13" t="str">
        <f>HYPERLINK("Melting_Curves/meltCurve_A2A3N6_PIPSL.pdf", "Melting_Curves/meltCurve_A2A3N6_PIPSL.pdf")</f>
        <v>Melting_Curves/meltCurve_A2A3N6_PIPSL.pdf</v>
      </c>
    </row>
    <row r="14" spans="1:28" x14ac:dyDescent="0.25">
      <c r="A14" t="s">
        <v>18</v>
      </c>
      <c r="B14">
        <v>0.99193492352474899</v>
      </c>
      <c r="C14">
        <v>0.887572188892638</v>
      </c>
      <c r="D14">
        <v>0.68987023047235496</v>
      </c>
      <c r="E14">
        <v>0.47658977782591999</v>
      </c>
      <c r="F14">
        <v>0.22099755773642701</v>
      </c>
      <c r="G14">
        <v>0.159453326334239</v>
      </c>
      <c r="H14">
        <v>0.15793829459435399</v>
      </c>
      <c r="I14">
        <v>0.31934568866171897</v>
      </c>
      <c r="J14">
        <v>0.36296366213127101</v>
      </c>
      <c r="K14">
        <v>0.49504960521845398</v>
      </c>
      <c r="L14">
        <v>1146.14293142581</v>
      </c>
      <c r="M14">
        <v>24.651228815519101</v>
      </c>
      <c r="N14">
        <v>48.170752226507098</v>
      </c>
      <c r="O14">
        <v>46.191602037606899</v>
      </c>
      <c r="P14">
        <v>-9.4998838137541897E-2</v>
      </c>
      <c r="Q14">
        <v>0.28797248070489501</v>
      </c>
      <c r="R14">
        <v>0.87267814838163504</v>
      </c>
      <c r="S14" t="s">
        <v>6684</v>
      </c>
      <c r="T14" t="s">
        <v>13338</v>
      </c>
      <c r="U14" t="s">
        <v>13338</v>
      </c>
      <c r="V14" t="s">
        <v>13338</v>
      </c>
      <c r="W14" t="s">
        <v>13352</v>
      </c>
      <c r="X14">
        <v>12</v>
      </c>
      <c r="Y14" t="s">
        <v>19954</v>
      </c>
      <c r="Z14" t="s">
        <v>26429</v>
      </c>
      <c r="AA14">
        <v>0.44876089941135022</v>
      </c>
      <c r="AB14" t="str">
        <f>HYPERLINK("Melting_Curves/meltCurve_A2ABK1_NELFE.pdf", "Melting_Curves/meltCurve_A2ABK1_NELFE.pdf")</f>
        <v>Melting_Curves/meltCurve_A2ABK1_NELFE.pdf</v>
      </c>
    </row>
    <row r="15" spans="1:28" x14ac:dyDescent="0.25">
      <c r="A15" t="s">
        <v>19</v>
      </c>
      <c r="B15">
        <v>0.99193492352474899</v>
      </c>
      <c r="C15">
        <v>0.87369946725957204</v>
      </c>
      <c r="D15">
        <v>0.52600471473660304</v>
      </c>
      <c r="E15">
        <v>0.270620231552962</v>
      </c>
      <c r="F15">
        <v>0.14910894647307499</v>
      </c>
      <c r="G15">
        <v>8.8085823245082101E-2</v>
      </c>
      <c r="H15">
        <v>5.4364487218432699E-2</v>
      </c>
      <c r="I15">
        <v>6.9059255089522306E-2</v>
      </c>
      <c r="J15">
        <v>8.4696558919249099E-2</v>
      </c>
      <c r="K15">
        <v>8.6555926023714605E-2</v>
      </c>
      <c r="L15">
        <v>994.08101993109096</v>
      </c>
      <c r="M15">
        <v>21.523411659300798</v>
      </c>
      <c r="N15">
        <v>46.547551777664502</v>
      </c>
      <c r="O15">
        <v>45.792881948410901</v>
      </c>
      <c r="P15">
        <v>-0.108462679580751</v>
      </c>
      <c r="Q15">
        <v>7.6968237627652494E-2</v>
      </c>
      <c r="R15">
        <v>0.99634583011537503</v>
      </c>
      <c r="S15" t="s">
        <v>6685</v>
      </c>
      <c r="T15" t="s">
        <v>13338</v>
      </c>
      <c r="U15" t="s">
        <v>13338</v>
      </c>
      <c r="V15" t="s">
        <v>13338</v>
      </c>
      <c r="W15" t="s">
        <v>13353</v>
      </c>
      <c r="X15">
        <v>8</v>
      </c>
      <c r="Y15" t="s">
        <v>19955</v>
      </c>
      <c r="Z15" t="s">
        <v>26430</v>
      </c>
      <c r="AA15">
        <v>0.27921308571083597</v>
      </c>
      <c r="AB15" t="str">
        <f>HYPERLINK("Melting_Curves/meltCurve_A2RRP1_NBAS.pdf", "Melting_Curves/meltCurve_A2RRP1_NBAS.pdf")</f>
        <v>Melting_Curves/meltCurve_A2RRP1_NBAS.pdf</v>
      </c>
    </row>
    <row r="16" spans="1:28" x14ac:dyDescent="0.25">
      <c r="A16" t="s">
        <v>20</v>
      </c>
      <c r="B16">
        <v>0.99193492352474899</v>
      </c>
      <c r="C16">
        <v>1.02164756772431</v>
      </c>
      <c r="D16">
        <v>0.95280250605205696</v>
      </c>
      <c r="E16">
        <v>0.87749596386839201</v>
      </c>
      <c r="F16">
        <v>0.73415932611156898</v>
      </c>
      <c r="G16">
        <v>0.67848780736859304</v>
      </c>
      <c r="H16">
        <v>0.54303455787618604</v>
      </c>
      <c r="I16">
        <v>0.64043064846217401</v>
      </c>
      <c r="J16">
        <v>0.68256158806527301</v>
      </c>
      <c r="K16">
        <v>0.73954327489935201</v>
      </c>
      <c r="L16">
        <v>1362.3871177378301</v>
      </c>
      <c r="M16">
        <v>26.916813824063102</v>
      </c>
      <c r="O16">
        <v>50.337841316696199</v>
      </c>
      <c r="P16">
        <v>-4.6327072326758097E-2</v>
      </c>
      <c r="Q16">
        <v>0.65345366025124096</v>
      </c>
      <c r="R16">
        <v>0.90531953219499395</v>
      </c>
      <c r="S16" t="s">
        <v>6686</v>
      </c>
      <c r="T16" t="s">
        <v>13338</v>
      </c>
      <c r="U16" t="s">
        <v>13338</v>
      </c>
      <c r="V16" t="s">
        <v>13338</v>
      </c>
      <c r="W16" t="s">
        <v>13354</v>
      </c>
      <c r="X16">
        <v>3</v>
      </c>
      <c r="Y16" t="s">
        <v>19956</v>
      </c>
      <c r="Z16" t="s">
        <v>26431</v>
      </c>
      <c r="AA16">
        <v>0.77876116429342435</v>
      </c>
      <c r="AB16" t="str">
        <f>HYPERLINK("Melting_Curves/meltCurve_A2RU67_KIAA1467.pdf", "Melting_Curves/meltCurve_A2RU67_KIAA1467.pdf")</f>
        <v>Melting_Curves/meltCurve_A2RU67_KIAA1467.pdf</v>
      </c>
    </row>
    <row r="17" spans="1:28" x14ac:dyDescent="0.25">
      <c r="A17" t="s">
        <v>21</v>
      </c>
      <c r="B17">
        <v>0.99193492352474899</v>
      </c>
      <c r="C17">
        <v>0.68470757033195295</v>
      </c>
      <c r="D17">
        <v>0.74456629129010798</v>
      </c>
      <c r="E17">
        <v>0.68378728121546495</v>
      </c>
      <c r="F17">
        <v>0.43785972209163099</v>
      </c>
      <c r="G17">
        <v>0.23787856429022</v>
      </c>
      <c r="H17">
        <v>0.28078526055631903</v>
      </c>
      <c r="I17">
        <v>0.16417908226904199</v>
      </c>
      <c r="J17">
        <v>0.302407875429474</v>
      </c>
      <c r="K17">
        <v>0.49382712657812899</v>
      </c>
      <c r="L17">
        <v>561.32337327445805</v>
      </c>
      <c r="M17">
        <v>11.7794396554894</v>
      </c>
      <c r="N17">
        <v>51.000478987404797</v>
      </c>
      <c r="O17">
        <v>46.341637852742302</v>
      </c>
      <c r="P17">
        <v>-4.6449848325780599E-2</v>
      </c>
      <c r="Q17">
        <v>0.26923362302985798</v>
      </c>
      <c r="R17">
        <v>0.80010417128519495</v>
      </c>
      <c r="S17" t="s">
        <v>6687</v>
      </c>
      <c r="T17" t="s">
        <v>13338</v>
      </c>
      <c r="U17" t="s">
        <v>13338</v>
      </c>
      <c r="V17" t="s">
        <v>13338</v>
      </c>
      <c r="W17" t="s">
        <v>13355</v>
      </c>
      <c r="X17">
        <v>4</v>
      </c>
      <c r="Y17" t="s">
        <v>19957</v>
      </c>
      <c r="Z17" t="s">
        <v>26432</v>
      </c>
      <c r="AA17">
        <v>0.48590528943078198</v>
      </c>
      <c r="AB17" t="str">
        <f>HYPERLINK("Melting_Curves/meltCurve_A2VDF0_2_FUOM.pdf", "Melting_Curves/meltCurve_A2VDF0_2_FUOM.pdf")</f>
        <v>Melting_Curves/meltCurve_A2VDF0_2_FUOM.pdf</v>
      </c>
    </row>
    <row r="18" spans="1:28" x14ac:dyDescent="0.25">
      <c r="A18" t="s">
        <v>22</v>
      </c>
      <c r="B18">
        <v>0.99193492352474899</v>
      </c>
      <c r="C18">
        <v>0.85321459465423599</v>
      </c>
      <c r="D18">
        <v>0.99500761127556703</v>
      </c>
      <c r="E18">
        <v>0.64629719528140395</v>
      </c>
      <c r="F18">
        <v>0.316332626047646</v>
      </c>
      <c r="G18">
        <v>0.14759178392879299</v>
      </c>
      <c r="H18">
        <v>9.2580123567237799E-2</v>
      </c>
      <c r="I18">
        <v>0.16496484034058101</v>
      </c>
      <c r="J18">
        <v>0.15578191446336101</v>
      </c>
      <c r="K18">
        <v>0.19325901041395999</v>
      </c>
      <c r="L18">
        <v>1478.69562749789</v>
      </c>
      <c r="M18">
        <v>29.386818363129201</v>
      </c>
      <c r="N18">
        <v>50.921630759171201</v>
      </c>
      <c r="O18">
        <v>50.087062488567298</v>
      </c>
      <c r="P18">
        <v>-0.12511660831101501</v>
      </c>
      <c r="Q18">
        <v>0.147008436481119</v>
      </c>
      <c r="R18">
        <v>0.97630043879958495</v>
      </c>
      <c r="S18" t="s">
        <v>6688</v>
      </c>
      <c r="T18" t="s">
        <v>13338</v>
      </c>
      <c r="U18" t="s">
        <v>13338</v>
      </c>
      <c r="V18" t="s">
        <v>13338</v>
      </c>
      <c r="W18" t="s">
        <v>13356</v>
      </c>
      <c r="X18">
        <v>25</v>
      </c>
      <c r="Y18" t="s">
        <v>19958</v>
      </c>
      <c r="Z18" t="s">
        <v>26433</v>
      </c>
      <c r="AA18">
        <v>0.44591887104071048</v>
      </c>
      <c r="AB18" t="str">
        <f>HYPERLINK("Melting_Curves/meltCurve_A3KMH1_3_VWA8.pdf", "Melting_Curves/meltCurve_A3KMH1_3_VWA8.pdf")</f>
        <v>Melting_Curves/meltCurve_A3KMH1_3_VWA8.pdf</v>
      </c>
    </row>
    <row r="19" spans="1:28" x14ac:dyDescent="0.25">
      <c r="A19" t="s">
        <v>23</v>
      </c>
      <c r="B19">
        <v>0.99193492352474899</v>
      </c>
      <c r="C19">
        <v>0.95568331861842004</v>
      </c>
      <c r="D19">
        <v>0.90101740216650095</v>
      </c>
      <c r="E19">
        <v>0.66232898479461899</v>
      </c>
      <c r="F19">
        <v>0.21963486736878199</v>
      </c>
      <c r="G19">
        <v>0.10956815828288299</v>
      </c>
      <c r="H19">
        <v>6.8489012694030807E-2</v>
      </c>
      <c r="I19">
        <v>8.3684428611627407E-2</v>
      </c>
      <c r="J19">
        <v>9.3029405159944095E-2</v>
      </c>
      <c r="K19">
        <v>0.119536731986347</v>
      </c>
      <c r="L19">
        <v>1482.51107861747</v>
      </c>
      <c r="M19">
        <v>29.4656154614648</v>
      </c>
      <c r="N19">
        <v>50.634674165791203</v>
      </c>
      <c r="O19">
        <v>50.083239040105603</v>
      </c>
      <c r="P19">
        <v>-0.13453885811489899</v>
      </c>
      <c r="Q19">
        <v>8.5294195356031097E-2</v>
      </c>
      <c r="R19">
        <v>0.99574014822014301</v>
      </c>
      <c r="S19" t="s">
        <v>6689</v>
      </c>
      <c r="T19" t="s">
        <v>13338</v>
      </c>
      <c r="U19" t="s">
        <v>13338</v>
      </c>
      <c r="V19" t="s">
        <v>13338</v>
      </c>
      <c r="W19" t="s">
        <v>13357</v>
      </c>
      <c r="X19">
        <v>25</v>
      </c>
      <c r="Y19" t="s">
        <v>19959</v>
      </c>
      <c r="Z19" t="s">
        <v>26434</v>
      </c>
      <c r="AA19">
        <v>0.40564382606542071</v>
      </c>
      <c r="AB19" t="str">
        <f>HYPERLINK("Melting_Curves/meltCurve_A3KN83_3_SBNO1.pdf", "Melting_Curves/meltCurve_A3KN83_3_SBNO1.pdf")</f>
        <v>Melting_Curves/meltCurve_A3KN83_3_SBNO1.pdf</v>
      </c>
    </row>
    <row r="20" spans="1:28" x14ac:dyDescent="0.25">
      <c r="A20" t="s">
        <v>24</v>
      </c>
      <c r="B20">
        <v>0.99193492352474899</v>
      </c>
      <c r="C20">
        <v>0.966314807218287</v>
      </c>
      <c r="D20">
        <v>0.80348367043847102</v>
      </c>
      <c r="E20">
        <v>0.61438790475904403</v>
      </c>
      <c r="F20">
        <v>0.27954466888665103</v>
      </c>
      <c r="G20">
        <v>0.14341399390686199</v>
      </c>
      <c r="H20">
        <v>0.102250527195695</v>
      </c>
      <c r="I20">
        <v>0.111742462474481</v>
      </c>
      <c r="J20">
        <v>0.16789572429019001</v>
      </c>
      <c r="K20">
        <v>0.19029868591964499</v>
      </c>
      <c r="L20">
        <v>1043.9270417585401</v>
      </c>
      <c r="M20">
        <v>21.055894255936401</v>
      </c>
      <c r="N20">
        <v>50.281094881497197</v>
      </c>
      <c r="O20">
        <v>49.138138320329503</v>
      </c>
      <c r="P20">
        <v>-9.3481905330971504E-2</v>
      </c>
      <c r="Q20">
        <v>0.127388074902615</v>
      </c>
      <c r="R20">
        <v>0.98760760858338803</v>
      </c>
      <c r="S20" t="s">
        <v>6690</v>
      </c>
      <c r="T20" t="s">
        <v>13338</v>
      </c>
      <c r="U20" t="s">
        <v>13338</v>
      </c>
      <c r="V20" t="s">
        <v>13338</v>
      </c>
      <c r="W20" t="s">
        <v>13358</v>
      </c>
      <c r="X20">
        <v>5</v>
      </c>
      <c r="Y20" t="s">
        <v>19960</v>
      </c>
      <c r="Z20" t="s">
        <v>26435</v>
      </c>
      <c r="AA20">
        <v>0.41699411924111179</v>
      </c>
      <c r="AB20" t="str">
        <f>HYPERLINK("Melting_Curves/meltCurve_A4D161_2_FAM221A.pdf", "Melting_Curves/meltCurve_A4D161_2_FAM221A.pdf")</f>
        <v>Melting_Curves/meltCurve_A4D161_2_FAM221A.pdf</v>
      </c>
    </row>
    <row r="21" spans="1:28" x14ac:dyDescent="0.25">
      <c r="A21" t="s">
        <v>25</v>
      </c>
      <c r="B21">
        <v>0.99193492352474899</v>
      </c>
      <c r="C21">
        <v>0.59147269951978798</v>
      </c>
      <c r="D21">
        <v>0.53387792340503903</v>
      </c>
      <c r="E21">
        <v>0.118836599714398</v>
      </c>
      <c r="F21">
        <v>5.3549425066132098E-2</v>
      </c>
      <c r="G21">
        <v>3.2539974717066003E-2</v>
      </c>
      <c r="H21">
        <v>1.51767898047392E-2</v>
      </c>
      <c r="I21">
        <v>1.67923843610896E-2</v>
      </c>
      <c r="J21">
        <v>2.6504840606755901E-2</v>
      </c>
      <c r="K21">
        <v>1.6675129296169999E-2</v>
      </c>
      <c r="L21">
        <v>791.81118707885605</v>
      </c>
      <c r="M21">
        <v>17.5424696552851</v>
      </c>
      <c r="N21">
        <v>45.170779175470301</v>
      </c>
      <c r="O21">
        <v>44.562523661692502</v>
      </c>
      <c r="P21">
        <v>-9.7775130497141302E-2</v>
      </c>
      <c r="Q21">
        <v>6.55524093291806E-3</v>
      </c>
      <c r="R21">
        <v>0.96294694283627602</v>
      </c>
      <c r="S21" t="s">
        <v>6691</v>
      </c>
      <c r="T21" t="s">
        <v>13338</v>
      </c>
      <c r="U21" t="s">
        <v>13338</v>
      </c>
      <c r="V21" t="s">
        <v>13338</v>
      </c>
      <c r="W21" t="s">
        <v>13359</v>
      </c>
      <c r="X21">
        <v>4</v>
      </c>
      <c r="Y21" t="s">
        <v>19961</v>
      </c>
      <c r="Z21" t="s">
        <v>26436</v>
      </c>
      <c r="AA21">
        <v>0.1990265716883213</v>
      </c>
      <c r="AB21" t="str">
        <f>HYPERLINK("Melting_Curves/meltCurve_A4D1E9_GTPBP10.pdf", "Melting_Curves/meltCurve_A4D1E9_GTPBP10.pdf")</f>
        <v>Melting_Curves/meltCurve_A4D1E9_GTPBP10.pdf</v>
      </c>
    </row>
    <row r="22" spans="1:28" x14ac:dyDescent="0.25">
      <c r="A22" t="s">
        <v>26</v>
      </c>
      <c r="B22">
        <v>0.99193492352474899</v>
      </c>
      <c r="C22">
        <v>1.4353145365672499</v>
      </c>
      <c r="D22">
        <v>0.40382554827631101</v>
      </c>
      <c r="E22">
        <v>0.88689531870840899</v>
      </c>
      <c r="F22">
        <v>0.21992850222473501</v>
      </c>
      <c r="G22">
        <v>0.22770274347303601</v>
      </c>
      <c r="H22">
        <v>7.9006778720831103E-2</v>
      </c>
      <c r="I22">
        <v>7.1826615096447902E-2</v>
      </c>
      <c r="J22">
        <v>7.01290577542618E-2</v>
      </c>
      <c r="K22">
        <v>9.5369342233992196E-2</v>
      </c>
      <c r="L22">
        <v>874.59456021040205</v>
      </c>
      <c r="M22">
        <v>17.219310104365</v>
      </c>
      <c r="N22">
        <v>51.136884671198601</v>
      </c>
      <c r="O22">
        <v>50.121314016533603</v>
      </c>
      <c r="P22">
        <v>-8.1177951116428407E-2</v>
      </c>
      <c r="Q22">
        <v>5.4896764487579602E-2</v>
      </c>
      <c r="R22">
        <v>0.75013294156873001</v>
      </c>
      <c r="S22" t="s">
        <v>6692</v>
      </c>
      <c r="T22" t="s">
        <v>13338</v>
      </c>
      <c r="U22" t="s">
        <v>13338</v>
      </c>
      <c r="V22" t="s">
        <v>13338</v>
      </c>
      <c r="W22" t="s">
        <v>13360</v>
      </c>
      <c r="X22">
        <v>2</v>
      </c>
      <c r="Y22" t="s">
        <v>19962</v>
      </c>
      <c r="Z22" t="s">
        <v>26437</v>
      </c>
      <c r="AA22">
        <v>0.41216159843722971</v>
      </c>
      <c r="AB22" t="str">
        <f>HYPERLINK("Melting_Curves/meltCurve_A4D1U4_LCHN.pdf", "Melting_Curves/meltCurve_A4D1U4_LCHN.pdf")</f>
        <v>Melting_Curves/meltCurve_A4D1U4_LCHN.pdf</v>
      </c>
    </row>
    <row r="23" spans="1:28" x14ac:dyDescent="0.25">
      <c r="A23" t="s">
        <v>27</v>
      </c>
      <c r="B23">
        <v>0.99193492352474899</v>
      </c>
      <c r="C23">
        <v>1.0557263012770699</v>
      </c>
      <c r="D23">
        <v>0.88443858941220399</v>
      </c>
      <c r="E23">
        <v>0.86123357548999602</v>
      </c>
      <c r="F23">
        <v>0.64718182849805495</v>
      </c>
      <c r="G23">
        <v>0.501966802328216</v>
      </c>
      <c r="H23">
        <v>0.40511732341412898</v>
      </c>
      <c r="I23">
        <v>0.49322348272331201</v>
      </c>
      <c r="J23">
        <v>0.53958326374722498</v>
      </c>
      <c r="K23">
        <v>0.65114333109615397</v>
      </c>
      <c r="L23">
        <v>1386.39654398073</v>
      </c>
      <c r="M23">
        <v>27.230170806703999</v>
      </c>
      <c r="O23">
        <v>50.641770819985197</v>
      </c>
      <c r="P23">
        <v>-6.5215117934420794E-2</v>
      </c>
      <c r="Q23">
        <v>0.514864979336211</v>
      </c>
      <c r="R23">
        <v>0.90040728215661103</v>
      </c>
      <c r="S23" t="s">
        <v>6693</v>
      </c>
      <c r="T23" t="s">
        <v>13338</v>
      </c>
      <c r="U23" t="s">
        <v>13338</v>
      </c>
      <c r="V23" t="s">
        <v>13338</v>
      </c>
      <c r="W23" t="s">
        <v>13361</v>
      </c>
      <c r="X23">
        <v>2</v>
      </c>
      <c r="Y23" t="s">
        <v>19963</v>
      </c>
      <c r="Z23" t="s">
        <v>26438</v>
      </c>
      <c r="AA23">
        <v>0.69505341894703299</v>
      </c>
      <c r="AB23" t="str">
        <f>HYPERLINK("Melting_Curves/meltCurve_A4D1W8_UCC1.pdf", "Melting_Curves/meltCurve_A4D1W8_UCC1.pdf")</f>
        <v>Melting_Curves/meltCurve_A4D1W8_UCC1.pdf</v>
      </c>
    </row>
    <row r="24" spans="1:28" x14ac:dyDescent="0.25">
      <c r="A24" t="s">
        <v>28</v>
      </c>
      <c r="B24">
        <v>0.99193492352474899</v>
      </c>
      <c r="C24">
        <v>0.92075065126198896</v>
      </c>
      <c r="D24">
        <v>0.78667631896870904</v>
      </c>
      <c r="E24">
        <v>0.714769032024136</v>
      </c>
      <c r="F24">
        <v>0.65202984788245599</v>
      </c>
      <c r="G24">
        <v>0.41906646095324002</v>
      </c>
      <c r="H24">
        <v>0.27916763826021801</v>
      </c>
      <c r="I24">
        <v>0.38843543391517299</v>
      </c>
      <c r="J24">
        <v>0.445034265077831</v>
      </c>
      <c r="K24">
        <v>0.52055050732275698</v>
      </c>
      <c r="L24">
        <v>688.45428478900897</v>
      </c>
      <c r="M24">
        <v>13.9482677370156</v>
      </c>
      <c r="N24">
        <v>55.501428398927203</v>
      </c>
      <c r="O24">
        <v>48.376352740510498</v>
      </c>
      <c r="P24">
        <v>-4.3742508556603901E-2</v>
      </c>
      <c r="Q24">
        <v>0.393238111368441</v>
      </c>
      <c r="R24">
        <v>0.89028570450594702</v>
      </c>
      <c r="S24" t="s">
        <v>6694</v>
      </c>
      <c r="T24" t="s">
        <v>13338</v>
      </c>
      <c r="U24" t="s">
        <v>13338</v>
      </c>
      <c r="V24" t="s">
        <v>13338</v>
      </c>
      <c r="W24" t="s">
        <v>13362</v>
      </c>
      <c r="X24">
        <v>3</v>
      </c>
      <c r="Y24" t="s">
        <v>19964</v>
      </c>
      <c r="Z24" t="s">
        <v>26439</v>
      </c>
      <c r="AA24">
        <v>0.59936690042272012</v>
      </c>
      <c r="AB24" t="str">
        <f>HYPERLINK("Melting_Curves/meltCurve_A4D2B0_MBLAC1.pdf", "Melting_Curves/meltCurve_A4D2B0_MBLAC1.pdf")</f>
        <v>Melting_Curves/meltCurve_A4D2B0_MBLAC1.pdf</v>
      </c>
    </row>
    <row r="25" spans="1:28" x14ac:dyDescent="0.25">
      <c r="A25" t="s">
        <v>29</v>
      </c>
      <c r="B25">
        <v>0.99193492352474899</v>
      </c>
      <c r="C25">
        <v>0.82473384988401499</v>
      </c>
      <c r="D25">
        <v>0.94975175347377705</v>
      </c>
      <c r="E25">
        <v>0.83947615332032</v>
      </c>
      <c r="F25">
        <v>1.03175144363159</v>
      </c>
      <c r="G25">
        <v>0.71430701653112405</v>
      </c>
      <c r="H25">
        <v>0.548910952051058</v>
      </c>
      <c r="I25">
        <v>0.640862787532543</v>
      </c>
      <c r="J25">
        <v>0.58888364968547402</v>
      </c>
      <c r="K25">
        <v>0.48218687398367699</v>
      </c>
      <c r="L25">
        <v>351.83515774864702</v>
      </c>
      <c r="M25">
        <v>5.0518983287580497</v>
      </c>
      <c r="N25">
        <v>69.644148700663493</v>
      </c>
      <c r="O25">
        <v>60.929308420758197</v>
      </c>
      <c r="P25">
        <v>-2.08511299849602E-2</v>
      </c>
      <c r="Q25">
        <v>0</v>
      </c>
      <c r="R25">
        <v>0.75513772795581002</v>
      </c>
      <c r="S25" t="s">
        <v>6695</v>
      </c>
      <c r="T25" t="s">
        <v>13338</v>
      </c>
      <c r="U25" t="s">
        <v>13338</v>
      </c>
      <c r="V25" t="s">
        <v>13338</v>
      </c>
      <c r="W25" t="s">
        <v>13363</v>
      </c>
      <c r="X25">
        <v>3</v>
      </c>
      <c r="Y25" t="s">
        <v>19965</v>
      </c>
      <c r="Z25" t="s">
        <v>26440</v>
      </c>
      <c r="AA25">
        <v>0.77263961556257366</v>
      </c>
      <c r="AB25" t="str">
        <f>HYPERLINK("Melting_Curves/meltCurve_A5PLL7_TMEM189.pdf", "Melting_Curves/meltCurve_A5PLL7_TMEM189.pdf")</f>
        <v>Melting_Curves/meltCurve_A5PLL7_TMEM189.pdf</v>
      </c>
    </row>
    <row r="26" spans="1:28" x14ac:dyDescent="0.25">
      <c r="A26" t="s">
        <v>30</v>
      </c>
      <c r="B26">
        <v>0.99193492352474899</v>
      </c>
      <c r="C26">
        <v>1.0644014161442501</v>
      </c>
      <c r="D26">
        <v>0.93024008053990803</v>
      </c>
      <c r="E26">
        <v>0.663524168239778</v>
      </c>
      <c r="F26">
        <v>0.55848725622191597</v>
      </c>
      <c r="G26">
        <v>0.45309411270460398</v>
      </c>
      <c r="H26">
        <v>0.268808088336497</v>
      </c>
      <c r="I26">
        <v>0.23610528608866299</v>
      </c>
      <c r="J26">
        <v>0.43099610579158498</v>
      </c>
      <c r="K26">
        <v>0.13774221286045399</v>
      </c>
      <c r="L26">
        <v>785.43141754842497</v>
      </c>
      <c r="M26">
        <v>15.186477581046301</v>
      </c>
      <c r="N26">
        <v>54.071706351858801</v>
      </c>
      <c r="O26">
        <v>50.847217211268003</v>
      </c>
      <c r="P26">
        <v>-5.6620697814738101E-2</v>
      </c>
      <c r="Q26">
        <v>0.241765503874908</v>
      </c>
      <c r="R26">
        <v>0.93379178493633197</v>
      </c>
      <c r="S26" t="s">
        <v>6696</v>
      </c>
      <c r="T26" t="s">
        <v>13338</v>
      </c>
      <c r="U26" t="s">
        <v>13338</v>
      </c>
      <c r="V26" t="s">
        <v>13338</v>
      </c>
      <c r="W26" t="s">
        <v>13364</v>
      </c>
      <c r="X26">
        <v>1</v>
      </c>
      <c r="Y26" t="s">
        <v>19966</v>
      </c>
      <c r="Z26" t="s">
        <v>26441</v>
      </c>
      <c r="AA26">
        <v>0.55474678228928531</v>
      </c>
      <c r="AB26" t="str">
        <f>HYPERLINK("Melting_Curves/meltCurve_A5PLN9_7_TRAPPC13.pdf", "Melting_Curves/meltCurve_A5PLN9_7_TRAPPC13.pdf")</f>
        <v>Melting_Curves/meltCurve_A5PLN9_7_TRAPPC13.pdf</v>
      </c>
    </row>
    <row r="27" spans="1:28" x14ac:dyDescent="0.25">
      <c r="A27" t="s">
        <v>31</v>
      </c>
      <c r="B27">
        <v>0.99193492352474899</v>
      </c>
      <c r="C27">
        <v>0.74790946697488303</v>
      </c>
      <c r="D27">
        <v>0.888374947241382</v>
      </c>
      <c r="E27">
        <v>0.416937793077158</v>
      </c>
      <c r="F27">
        <v>0.18954298330792199</v>
      </c>
      <c r="G27">
        <v>0.100171235617538</v>
      </c>
      <c r="H27">
        <v>6.2926161479685605E-2</v>
      </c>
      <c r="I27">
        <v>7.5723985608505601E-2</v>
      </c>
      <c r="J27">
        <v>8.47493505506864E-2</v>
      </c>
      <c r="K27">
        <v>7.9476433771839702E-2</v>
      </c>
      <c r="L27">
        <v>989.99741946530298</v>
      </c>
      <c r="M27">
        <v>20.344655407312501</v>
      </c>
      <c r="N27">
        <v>48.984759842009701</v>
      </c>
      <c r="O27">
        <v>48.198480874805803</v>
      </c>
      <c r="P27">
        <v>-9.8895745767747595E-2</v>
      </c>
      <c r="Q27">
        <v>6.2853838816305505E-2</v>
      </c>
      <c r="R27">
        <v>0.95873261525603704</v>
      </c>
      <c r="S27" t="s">
        <v>6697</v>
      </c>
      <c r="T27" t="s">
        <v>13338</v>
      </c>
      <c r="U27" t="s">
        <v>13338</v>
      </c>
      <c r="V27" t="s">
        <v>13338</v>
      </c>
      <c r="W27" t="s">
        <v>13365</v>
      </c>
      <c r="X27">
        <v>40</v>
      </c>
      <c r="Y27" t="s">
        <v>19967</v>
      </c>
      <c r="Z27" t="s">
        <v>26442</v>
      </c>
      <c r="AA27">
        <v>0.3461363134201359</v>
      </c>
      <c r="AB27" t="str">
        <f>HYPERLINK("Melting_Curves/meltCurve_A5YKK6_CNOT1.pdf", "Melting_Curves/meltCurve_A5YKK6_CNOT1.pdf")</f>
        <v>Melting_Curves/meltCurve_A5YKK6_CNOT1.pdf</v>
      </c>
    </row>
    <row r="28" spans="1:28" x14ac:dyDescent="0.25">
      <c r="A28" t="s">
        <v>32</v>
      </c>
      <c r="B28">
        <v>0.99193492352474899</v>
      </c>
      <c r="C28">
        <v>0.86824210802409096</v>
      </c>
      <c r="D28">
        <v>0.471116826832084</v>
      </c>
      <c r="E28">
        <v>0.21376759756640401</v>
      </c>
      <c r="F28">
        <v>0.15937287995891899</v>
      </c>
      <c r="G28">
        <v>8.4361087153963094E-2</v>
      </c>
      <c r="H28">
        <v>8.1305364210421699E-2</v>
      </c>
      <c r="I28">
        <v>0.10036438605218399</v>
      </c>
      <c r="J28">
        <v>0.146385821385912</v>
      </c>
      <c r="K28">
        <v>0.17263724979877501</v>
      </c>
      <c r="L28">
        <v>1288.8999406109799</v>
      </c>
      <c r="M28">
        <v>28.3821935472258</v>
      </c>
      <c r="N28">
        <v>45.868252296138003</v>
      </c>
      <c r="O28">
        <v>45.188625716524001</v>
      </c>
      <c r="P28">
        <v>-0.13772093063333399</v>
      </c>
      <c r="Q28">
        <v>0.122919244798632</v>
      </c>
      <c r="R28">
        <v>0.99199952994382401</v>
      </c>
      <c r="S28" t="s">
        <v>6698</v>
      </c>
      <c r="T28" t="s">
        <v>13338</v>
      </c>
      <c r="U28" t="s">
        <v>13338</v>
      </c>
      <c r="V28" t="s">
        <v>13338</v>
      </c>
      <c r="W28" t="s">
        <v>13366</v>
      </c>
      <c r="X28">
        <v>3</v>
      </c>
      <c r="Y28" t="s">
        <v>19968</v>
      </c>
      <c r="Z28" t="s">
        <v>26443</v>
      </c>
      <c r="AA28">
        <v>0.28739328402829267</v>
      </c>
      <c r="AB28" t="str">
        <f>HYPERLINK("Melting_Curves/meltCurve_A6NC98_CCDC88B.pdf", "Melting_Curves/meltCurve_A6NC98_CCDC88B.pdf")</f>
        <v>Melting_Curves/meltCurve_A6NC98_CCDC88B.pdf</v>
      </c>
    </row>
    <row r="29" spans="1:28" x14ac:dyDescent="0.25">
      <c r="A29" t="s">
        <v>33</v>
      </c>
      <c r="B29">
        <v>0.99193492352474899</v>
      </c>
      <c r="C29">
        <v>1.00941247793893</v>
      </c>
      <c r="D29">
        <v>1.0390154229900399</v>
      </c>
      <c r="E29">
        <v>0.95829696225818295</v>
      </c>
      <c r="F29">
        <v>0.91917419979000903</v>
      </c>
      <c r="G29">
        <v>0.63994799137678504</v>
      </c>
      <c r="H29">
        <v>0.45456920752012703</v>
      </c>
      <c r="I29">
        <v>0.19922066427219901</v>
      </c>
      <c r="J29">
        <v>0.14044138406419601</v>
      </c>
      <c r="K29">
        <v>8.2303759657519293E-2</v>
      </c>
      <c r="L29">
        <v>1035.9728019219499</v>
      </c>
      <c r="M29">
        <v>17.468226629433499</v>
      </c>
      <c r="N29">
        <v>59.433934723553101</v>
      </c>
      <c r="O29">
        <v>58.545260604813897</v>
      </c>
      <c r="P29">
        <v>-7.3221853914561597E-2</v>
      </c>
      <c r="Q29">
        <v>1.84339552211478E-2</v>
      </c>
      <c r="R29">
        <v>0.99308626708679504</v>
      </c>
      <c r="S29" t="s">
        <v>6699</v>
      </c>
      <c r="T29" t="s">
        <v>13338</v>
      </c>
      <c r="U29" t="s">
        <v>13338</v>
      </c>
      <c r="V29" t="s">
        <v>13338</v>
      </c>
      <c r="W29" t="s">
        <v>13367</v>
      </c>
      <c r="X29">
        <v>9</v>
      </c>
      <c r="Y29" t="s">
        <v>19969</v>
      </c>
      <c r="Z29" t="s">
        <v>26444</v>
      </c>
      <c r="AA29">
        <v>0.65988806136148292</v>
      </c>
      <c r="AB29" t="str">
        <f>HYPERLINK("Melting_Curves/meltCurve_A6NDG6_PGP.pdf", "Melting_Curves/meltCurve_A6NDG6_PGP.pdf")</f>
        <v>Melting_Curves/meltCurve_A6NDG6_PGP.pdf</v>
      </c>
    </row>
    <row r="30" spans="1:28" x14ac:dyDescent="0.25">
      <c r="A30" t="s">
        <v>34</v>
      </c>
      <c r="B30">
        <v>0.99193492352474899</v>
      </c>
      <c r="C30">
        <v>0.94741652024850198</v>
      </c>
      <c r="D30">
        <v>0.963758616994568</v>
      </c>
      <c r="E30">
        <v>0.73965841203543903</v>
      </c>
      <c r="F30">
        <v>0.49070891628054297</v>
      </c>
      <c r="G30">
        <v>0.22737575643455499</v>
      </c>
      <c r="H30">
        <v>0.131570518418308</v>
      </c>
      <c r="I30">
        <v>0.143483644096459</v>
      </c>
      <c r="J30">
        <v>0.18685829047299701</v>
      </c>
      <c r="K30">
        <v>0.158748582565989</v>
      </c>
      <c r="L30">
        <v>1124.40479512306</v>
      </c>
      <c r="M30">
        <v>21.695786903816199</v>
      </c>
      <c r="N30">
        <v>52.625853584711699</v>
      </c>
      <c r="O30">
        <v>51.391692018803603</v>
      </c>
      <c r="P30">
        <v>-9.0719564382663598E-2</v>
      </c>
      <c r="Q30">
        <v>0.140456011373466</v>
      </c>
      <c r="R30">
        <v>0.99321540582364798</v>
      </c>
      <c r="S30" t="s">
        <v>6700</v>
      </c>
      <c r="T30" t="s">
        <v>13338</v>
      </c>
      <c r="U30" t="s">
        <v>13338</v>
      </c>
      <c r="V30" t="s">
        <v>13338</v>
      </c>
      <c r="W30" t="s">
        <v>13368</v>
      </c>
      <c r="X30">
        <v>8</v>
      </c>
      <c r="Y30" t="s">
        <v>19970</v>
      </c>
      <c r="Z30" t="s">
        <v>26445</v>
      </c>
      <c r="AA30">
        <v>0.48953950470554669</v>
      </c>
      <c r="AB30" t="str">
        <f>HYPERLINK("Melting_Curves/meltCurve_A6NED2_RCCD1.pdf", "Melting_Curves/meltCurve_A6NED2_RCCD1.pdf")</f>
        <v>Melting_Curves/meltCurve_A6NED2_RCCD1.pdf</v>
      </c>
    </row>
    <row r="31" spans="1:28" x14ac:dyDescent="0.25">
      <c r="A31" t="s">
        <v>35</v>
      </c>
      <c r="B31">
        <v>0.99193492352474899</v>
      </c>
      <c r="C31">
        <v>0.80211933562303805</v>
      </c>
      <c r="D31">
        <v>0.73690483278735897</v>
      </c>
      <c r="E31">
        <v>0.55013634657174804</v>
      </c>
      <c r="F31">
        <v>0.27914047516114698</v>
      </c>
      <c r="G31">
        <v>0.108043665488362</v>
      </c>
      <c r="H31">
        <v>6.1758995653481703E-2</v>
      </c>
      <c r="I31">
        <v>7.6527786447309704E-2</v>
      </c>
      <c r="J31">
        <v>9.8956087501978901E-2</v>
      </c>
      <c r="K31">
        <v>0.117024662170379</v>
      </c>
      <c r="L31">
        <v>697.759122523938</v>
      </c>
      <c r="M31">
        <v>14.235973493085099</v>
      </c>
      <c r="N31">
        <v>49.386235108835102</v>
      </c>
      <c r="O31">
        <v>48.077070276608303</v>
      </c>
      <c r="P31">
        <v>-7.0267733548808206E-2</v>
      </c>
      <c r="Q31">
        <v>5.0898000969963102E-2</v>
      </c>
      <c r="R31">
        <v>0.98047206113610397</v>
      </c>
      <c r="S31" t="s">
        <v>6701</v>
      </c>
      <c r="T31" t="s">
        <v>13338</v>
      </c>
      <c r="U31" t="s">
        <v>13338</v>
      </c>
      <c r="V31" t="s">
        <v>13338</v>
      </c>
      <c r="W31" t="s">
        <v>13369</v>
      </c>
      <c r="X31">
        <v>30</v>
      </c>
      <c r="Y31" t="s">
        <v>19971</v>
      </c>
      <c r="Z31" t="s">
        <v>26446</v>
      </c>
      <c r="AA31">
        <v>0.36186630588193769</v>
      </c>
      <c r="AB31" t="str">
        <f>HYPERLINK("Melting_Curves/meltCurve_A6NEM2_HCFC1.pdf", "Melting_Curves/meltCurve_A6NEM2_HCFC1.pdf")</f>
        <v>Melting_Curves/meltCurve_A6NEM2_HCFC1.pdf</v>
      </c>
    </row>
    <row r="32" spans="1:28" x14ac:dyDescent="0.25">
      <c r="A32" t="s">
        <v>36</v>
      </c>
      <c r="B32">
        <v>0.99193492352474899</v>
      </c>
      <c r="C32">
        <v>1.1265459000174001</v>
      </c>
      <c r="D32">
        <v>1.28398729031336</v>
      </c>
      <c r="E32">
        <v>0.991835800968346</v>
      </c>
      <c r="F32">
        <v>0.397874602978327</v>
      </c>
      <c r="G32">
        <v>0.26625497123396902</v>
      </c>
      <c r="H32">
        <v>0.17054432629626601</v>
      </c>
      <c r="I32">
        <v>0.17244671616953899</v>
      </c>
      <c r="J32">
        <v>0.25987595653169498</v>
      </c>
      <c r="K32">
        <v>0.168243397452987</v>
      </c>
      <c r="L32">
        <v>3673.0892846393099</v>
      </c>
      <c r="M32">
        <v>70.174312515826003</v>
      </c>
      <c r="N32">
        <v>52.742723201849103</v>
      </c>
      <c r="O32">
        <v>52.299909954955197</v>
      </c>
      <c r="P32">
        <v>-0.26617837890109503</v>
      </c>
      <c r="Q32">
        <v>0.20648454351658599</v>
      </c>
      <c r="R32">
        <v>0.942921065576519</v>
      </c>
      <c r="S32" t="s">
        <v>6702</v>
      </c>
      <c r="T32" t="s">
        <v>13338</v>
      </c>
      <c r="U32" t="s">
        <v>13338</v>
      </c>
      <c r="V32" t="s">
        <v>13338</v>
      </c>
      <c r="W32" t="s">
        <v>13370</v>
      </c>
      <c r="X32">
        <v>3</v>
      </c>
      <c r="Y32" t="s">
        <v>19972</v>
      </c>
      <c r="Z32" t="s">
        <v>26447</v>
      </c>
      <c r="AA32">
        <v>0.53387392611571227</v>
      </c>
      <c r="AB32" t="str">
        <f>HYPERLINK("Melting_Curves/meltCurve_A6NEM5_PIGK.pdf", "Melting_Curves/meltCurve_A6NEM5_PIGK.pdf")</f>
        <v>Melting_Curves/meltCurve_A6NEM5_PIGK.pdf</v>
      </c>
    </row>
    <row r="33" spans="1:28" x14ac:dyDescent="0.25">
      <c r="A33" t="s">
        <v>37</v>
      </c>
      <c r="B33">
        <v>0.99193492352474899</v>
      </c>
      <c r="C33">
        <v>0.43681333425266899</v>
      </c>
      <c r="D33">
        <v>0.38957613875070901</v>
      </c>
      <c r="E33">
        <v>0.106107412728933</v>
      </c>
      <c r="F33">
        <v>1.46600585789112E-2</v>
      </c>
      <c r="G33">
        <v>7.7808083462973396E-2</v>
      </c>
      <c r="H33">
        <v>0.11588043689762199</v>
      </c>
      <c r="I33">
        <v>0.26082910141386401</v>
      </c>
      <c r="J33">
        <v>0.57280316276663101</v>
      </c>
      <c r="K33">
        <v>0.94261452168132898</v>
      </c>
      <c r="L33">
        <v>3181.09107528706</v>
      </c>
      <c r="M33">
        <v>75.625740617636893</v>
      </c>
      <c r="N33">
        <v>42.608003866671403</v>
      </c>
      <c r="O33">
        <v>42.034224022390603</v>
      </c>
      <c r="P33">
        <v>-0.31046697225023201</v>
      </c>
      <c r="Q33">
        <v>0.30974644185557698</v>
      </c>
      <c r="R33">
        <v>0.37322110071085202</v>
      </c>
      <c r="S33" t="s">
        <v>6703</v>
      </c>
      <c r="T33" t="s">
        <v>13338</v>
      </c>
      <c r="U33" t="s">
        <v>13338</v>
      </c>
      <c r="V33" t="s">
        <v>13338</v>
      </c>
      <c r="W33" t="s">
        <v>13371</v>
      </c>
      <c r="X33">
        <v>1</v>
      </c>
      <c r="Y33" t="s">
        <v>19973</v>
      </c>
      <c r="Z33" t="s">
        <v>26448</v>
      </c>
      <c r="AA33">
        <v>0.35801072143794099</v>
      </c>
      <c r="AB33" t="str">
        <f>HYPERLINK("Melting_Curves/meltCurve_A6NF48_ZNF281.pdf", "Melting_Curves/meltCurve_A6NF48_ZNF281.pdf")</f>
        <v>Melting_Curves/meltCurve_A6NF48_ZNF281.pdf</v>
      </c>
    </row>
    <row r="34" spans="1:28" x14ac:dyDescent="0.25">
      <c r="A34" t="s">
        <v>38</v>
      </c>
      <c r="B34">
        <v>0.99193492352474899</v>
      </c>
      <c r="C34">
        <v>1.2618170470080301</v>
      </c>
      <c r="D34">
        <v>0.97487341768086699</v>
      </c>
      <c r="E34">
        <v>0.25945762328655703</v>
      </c>
      <c r="F34">
        <v>2.02467533677267</v>
      </c>
      <c r="G34">
        <v>0.27109034154253298</v>
      </c>
      <c r="H34">
        <v>0.15699022199090201</v>
      </c>
      <c r="I34">
        <v>0.20610109433595999</v>
      </c>
      <c r="J34">
        <v>0.27437273014869601</v>
      </c>
      <c r="K34">
        <v>0.23039881399871701</v>
      </c>
      <c r="L34">
        <v>14052.3218307078</v>
      </c>
      <c r="M34">
        <v>250</v>
      </c>
      <c r="N34">
        <v>56.337535878604299</v>
      </c>
      <c r="O34">
        <v>56.205690227576802</v>
      </c>
      <c r="P34">
        <v>-0.87072695876795803</v>
      </c>
      <c r="Q34">
        <v>0.216963044414134</v>
      </c>
      <c r="R34">
        <v>0.52656847835952003</v>
      </c>
      <c r="S34" t="s">
        <v>6704</v>
      </c>
      <c r="T34" t="s">
        <v>13338</v>
      </c>
      <c r="U34" t="s">
        <v>13338</v>
      </c>
      <c r="V34" t="s">
        <v>13338</v>
      </c>
      <c r="W34" t="s">
        <v>13372</v>
      </c>
      <c r="X34">
        <v>3</v>
      </c>
      <c r="Y34" t="s">
        <v>19974</v>
      </c>
      <c r="Z34" t="s">
        <v>26449</v>
      </c>
      <c r="AA34">
        <v>0.64012265479288566</v>
      </c>
      <c r="AB34" t="str">
        <f>HYPERLINK("Melting_Curves/meltCurve_A6NFI3_ZNF316.pdf", "Melting_Curves/meltCurve_A6NFI3_ZNF316.pdf")</f>
        <v>Melting_Curves/meltCurve_A6NFI3_ZNF316.pdf</v>
      </c>
    </row>
    <row r="35" spans="1:28" x14ac:dyDescent="0.25">
      <c r="A35" t="s">
        <v>39</v>
      </c>
      <c r="B35">
        <v>0.99193492352474899</v>
      </c>
      <c r="C35">
        <v>0.849516303550088</v>
      </c>
      <c r="D35">
        <v>0.90011873768947503</v>
      </c>
      <c r="E35">
        <v>0.77212457508549603</v>
      </c>
      <c r="F35">
        <v>0.73495912794636997</v>
      </c>
      <c r="G35">
        <v>0.55252866257424904</v>
      </c>
      <c r="H35">
        <v>0.48058935445367801</v>
      </c>
      <c r="I35">
        <v>0.574285876872075</v>
      </c>
      <c r="J35">
        <v>0.74678692809104397</v>
      </c>
      <c r="K35">
        <v>0.87183247748319903</v>
      </c>
      <c r="L35">
        <v>774.44774621874296</v>
      </c>
      <c r="M35">
        <v>16.561141395003801</v>
      </c>
      <c r="O35">
        <v>46.097078935937297</v>
      </c>
      <c r="P35">
        <v>-3.1228414953433301E-2</v>
      </c>
      <c r="Q35">
        <v>0.65233313382782498</v>
      </c>
      <c r="R35">
        <v>0.51361964373296198</v>
      </c>
      <c r="S35" t="s">
        <v>6705</v>
      </c>
      <c r="T35" t="s">
        <v>13338</v>
      </c>
      <c r="U35" t="s">
        <v>13338</v>
      </c>
      <c r="V35" t="s">
        <v>13338</v>
      </c>
      <c r="W35" t="s">
        <v>13373</v>
      </c>
      <c r="X35">
        <v>12</v>
      </c>
      <c r="Y35" t="s">
        <v>19975</v>
      </c>
      <c r="Z35" t="s">
        <v>26450</v>
      </c>
      <c r="AA35">
        <v>0.73849035676714103</v>
      </c>
      <c r="AB35" t="str">
        <f>HYPERLINK("Melting_Curves/meltCurve_A6NFX8_NUDT5.pdf", "Melting_Curves/meltCurve_A6NFX8_NUDT5.pdf")</f>
        <v>Melting_Curves/meltCurve_A6NFX8_NUDT5.pdf</v>
      </c>
    </row>
    <row r="36" spans="1:28" x14ac:dyDescent="0.25">
      <c r="A36" t="s">
        <v>40</v>
      </c>
      <c r="B36">
        <v>0.99193492352474899</v>
      </c>
      <c r="C36">
        <v>0.89301077090578895</v>
      </c>
      <c r="D36">
        <v>0.93162735126025198</v>
      </c>
      <c r="E36">
        <v>0.87657709864534505</v>
      </c>
      <c r="F36">
        <v>0.61217199332420302</v>
      </c>
      <c r="G36">
        <v>0.44289794898187701</v>
      </c>
      <c r="H36">
        <v>0.20162504786336999</v>
      </c>
      <c r="I36">
        <v>0.213776024067001</v>
      </c>
      <c r="J36">
        <v>0.28453888354573698</v>
      </c>
      <c r="K36">
        <v>0.31082659439219601</v>
      </c>
      <c r="L36">
        <v>1127.5987438034999</v>
      </c>
      <c r="M36">
        <v>21.2132253820693</v>
      </c>
      <c r="N36">
        <v>54.866949513840098</v>
      </c>
      <c r="O36">
        <v>52.689852922667797</v>
      </c>
      <c r="P36">
        <v>-7.6294019726878007E-2</v>
      </c>
      <c r="Q36">
        <v>0.24201685820242899</v>
      </c>
      <c r="R36">
        <v>0.96776107253489496</v>
      </c>
      <c r="S36" t="s">
        <v>6706</v>
      </c>
      <c r="T36" t="s">
        <v>13338</v>
      </c>
      <c r="U36" t="s">
        <v>13338</v>
      </c>
      <c r="V36" t="s">
        <v>13338</v>
      </c>
      <c r="W36" t="s">
        <v>13374</v>
      </c>
      <c r="X36">
        <v>4</v>
      </c>
      <c r="Y36" t="s">
        <v>19976</v>
      </c>
      <c r="Z36" t="s">
        <v>26451</v>
      </c>
      <c r="AA36">
        <v>0.58381170965799023</v>
      </c>
      <c r="AB36" t="str">
        <f>HYPERLINK("Melting_Curves/meltCurve_A6NG32_CHMP1A.pdf", "Melting_Curves/meltCurve_A6NG32_CHMP1A.pdf")</f>
        <v>Melting_Curves/meltCurve_A6NG32_CHMP1A.pdf</v>
      </c>
    </row>
    <row r="37" spans="1:28" x14ac:dyDescent="0.25">
      <c r="A37" t="s">
        <v>41</v>
      </c>
      <c r="B37">
        <v>0.99193492352474899</v>
      </c>
      <c r="C37">
        <v>0.81237469304830201</v>
      </c>
      <c r="D37">
        <v>0.85451557268165201</v>
      </c>
      <c r="E37">
        <v>0.59337235559556301</v>
      </c>
      <c r="F37">
        <v>0.41465720545171703</v>
      </c>
      <c r="G37">
        <v>0.26494049566495098</v>
      </c>
      <c r="H37">
        <v>0.27236146244676002</v>
      </c>
      <c r="I37">
        <v>0.38042669042534299</v>
      </c>
      <c r="J37">
        <v>0.38877210421136099</v>
      </c>
      <c r="K37">
        <v>0.60680877370435005</v>
      </c>
      <c r="L37">
        <v>1022.60928716756</v>
      </c>
      <c r="M37">
        <v>21.465340510567799</v>
      </c>
      <c r="N37">
        <v>51.001888602277297</v>
      </c>
      <c r="O37">
        <v>47.232330887382403</v>
      </c>
      <c r="P37">
        <v>-7.0610809710563702E-2</v>
      </c>
      <c r="Q37">
        <v>0.37852725126811099</v>
      </c>
      <c r="R37">
        <v>0.82424509888337405</v>
      </c>
      <c r="S37" t="s">
        <v>6707</v>
      </c>
      <c r="T37" t="s">
        <v>13338</v>
      </c>
      <c r="U37" t="s">
        <v>13338</v>
      </c>
      <c r="V37" t="s">
        <v>13338</v>
      </c>
      <c r="W37" t="s">
        <v>13375</v>
      </c>
      <c r="X37">
        <v>5</v>
      </c>
      <c r="Y37" t="s">
        <v>19977</v>
      </c>
      <c r="Z37" t="s">
        <v>26452</v>
      </c>
      <c r="AA37">
        <v>0.54444279833733222</v>
      </c>
      <c r="AB37" t="str">
        <f>HYPERLINK("Melting_Curves/meltCurve_A6NG79_PRCC.pdf", "Melting_Curves/meltCurve_A6NG79_PRCC.pdf")</f>
        <v>Melting_Curves/meltCurve_A6NG79_PRCC.pdf</v>
      </c>
    </row>
    <row r="38" spans="1:28" x14ac:dyDescent="0.25">
      <c r="A38" t="s">
        <v>42</v>
      </c>
      <c r="B38">
        <v>0.99193492352474899</v>
      </c>
      <c r="C38">
        <v>0.93643701610887897</v>
      </c>
      <c r="D38">
        <v>0.95740848178726101</v>
      </c>
      <c r="E38">
        <v>0.91139750474004499</v>
      </c>
      <c r="F38">
        <v>0.67810612992329</v>
      </c>
      <c r="G38">
        <v>0.45397275925674302</v>
      </c>
      <c r="H38">
        <v>0.50939619977783501</v>
      </c>
      <c r="I38">
        <v>0.70711016460861797</v>
      </c>
      <c r="J38">
        <v>0.86166316604961601</v>
      </c>
      <c r="K38">
        <v>1.0389040296221601</v>
      </c>
      <c r="L38">
        <v>12441.1708381187</v>
      </c>
      <c r="M38">
        <v>250</v>
      </c>
      <c r="O38">
        <v>49.7614987654486</v>
      </c>
      <c r="P38">
        <v>-0.36650816449377899</v>
      </c>
      <c r="Q38">
        <v>0.70819207127497996</v>
      </c>
      <c r="R38">
        <v>0.35981049846535401</v>
      </c>
      <c r="S38" t="s">
        <v>6708</v>
      </c>
      <c r="T38" t="s">
        <v>13338</v>
      </c>
      <c r="U38" t="s">
        <v>13338</v>
      </c>
      <c r="V38" t="s">
        <v>13338</v>
      </c>
      <c r="W38" t="s">
        <v>13376</v>
      </c>
      <c r="X38">
        <v>12</v>
      </c>
      <c r="Y38" t="s">
        <v>19978</v>
      </c>
      <c r="Z38" t="s">
        <v>26453</v>
      </c>
      <c r="AA38">
        <v>0.80319795747504863</v>
      </c>
      <c r="AB38" t="str">
        <f>HYPERLINK("Melting_Curves/meltCurve_A6NGP5_HN1L.pdf", "Melting_Curves/meltCurve_A6NGP5_HN1L.pdf")</f>
        <v>Melting_Curves/meltCurve_A6NGP5_HN1L.pdf</v>
      </c>
    </row>
    <row r="39" spans="1:28" x14ac:dyDescent="0.25">
      <c r="A39" t="s">
        <v>43</v>
      </c>
      <c r="B39">
        <v>0.99193492352474899</v>
      </c>
      <c r="C39">
        <v>0.79730362564466495</v>
      </c>
      <c r="D39">
        <v>0.71488409582770995</v>
      </c>
      <c r="E39">
        <v>0.62702126385094603</v>
      </c>
      <c r="F39">
        <v>0.464746008653737</v>
      </c>
      <c r="G39">
        <v>0.30227592021739103</v>
      </c>
      <c r="H39">
        <v>0.192638578938296</v>
      </c>
      <c r="I39">
        <v>0.22046497623282399</v>
      </c>
      <c r="J39">
        <v>0.23674166828936</v>
      </c>
      <c r="K39">
        <v>0.28945560028189699</v>
      </c>
      <c r="L39">
        <v>546.88557499335104</v>
      </c>
      <c r="M39">
        <v>11.145991743849899</v>
      </c>
      <c r="N39">
        <v>51.239651352197498</v>
      </c>
      <c r="O39">
        <v>47.565737526809698</v>
      </c>
      <c r="P39">
        <v>-4.7560240567839897E-2</v>
      </c>
      <c r="Q39">
        <v>0.18840322981760499</v>
      </c>
      <c r="R39">
        <v>0.96406109872780998</v>
      </c>
      <c r="S39" t="s">
        <v>6709</v>
      </c>
      <c r="T39" t="s">
        <v>13338</v>
      </c>
      <c r="U39" t="s">
        <v>13338</v>
      </c>
      <c r="V39" t="s">
        <v>13338</v>
      </c>
      <c r="W39" t="s">
        <v>13377</v>
      </c>
      <c r="X39">
        <v>4</v>
      </c>
      <c r="Y39" t="s">
        <v>19979</v>
      </c>
      <c r="Z39" t="s">
        <v>26454</v>
      </c>
      <c r="AA39">
        <v>0.46714848892391231</v>
      </c>
      <c r="AB39" t="str">
        <f>HYPERLINK("Melting_Curves/meltCurve_A6NHB5_ZMYM3.pdf", "Melting_Curves/meltCurve_A6NHB5_ZMYM3.pdf")</f>
        <v>Melting_Curves/meltCurve_A6NHB5_ZMYM3.pdf</v>
      </c>
    </row>
    <row r="40" spans="1:28" x14ac:dyDescent="0.25">
      <c r="A40" t="s">
        <v>44</v>
      </c>
      <c r="B40">
        <v>0.99193492352474899</v>
      </c>
      <c r="C40">
        <v>0.670925023704668</v>
      </c>
      <c r="D40">
        <v>2.01551458641155</v>
      </c>
      <c r="E40">
        <v>0.78221147366371202</v>
      </c>
      <c r="F40">
        <v>1.3049485749240199</v>
      </c>
      <c r="G40">
        <v>0.86736990005843495</v>
      </c>
      <c r="H40">
        <v>0.239756090568605</v>
      </c>
      <c r="I40">
        <v>0.16409061237700001</v>
      </c>
      <c r="J40">
        <v>0.16908167623923401</v>
      </c>
      <c r="K40">
        <v>0.230481869124668</v>
      </c>
      <c r="L40">
        <v>4092.5012289987299</v>
      </c>
      <c r="M40">
        <v>70.358771737596101</v>
      </c>
      <c r="N40">
        <v>58.566945472746397</v>
      </c>
      <c r="O40">
        <v>58.119254168291697</v>
      </c>
      <c r="P40">
        <v>-0.24482563415942299</v>
      </c>
      <c r="Q40">
        <v>0.19105589296223099</v>
      </c>
      <c r="R40">
        <v>0.59878180636381595</v>
      </c>
      <c r="S40" t="s">
        <v>6710</v>
      </c>
      <c r="T40" t="s">
        <v>13338</v>
      </c>
      <c r="U40" t="s">
        <v>13338</v>
      </c>
      <c r="V40" t="s">
        <v>13338</v>
      </c>
      <c r="W40" t="s">
        <v>13378</v>
      </c>
      <c r="X40">
        <v>8</v>
      </c>
      <c r="Y40" t="s">
        <v>19980</v>
      </c>
      <c r="Z40" t="s">
        <v>26455</v>
      </c>
      <c r="AA40">
        <v>0.68194850365464188</v>
      </c>
      <c r="AB40" t="str">
        <f>HYPERLINK("Melting_Curves/meltCurve_A6NHL2_2_TUBAL3.pdf", "Melting_Curves/meltCurve_A6NHL2_2_TUBAL3.pdf")</f>
        <v>Melting_Curves/meltCurve_A6NHL2_2_TUBAL3.pdf</v>
      </c>
    </row>
    <row r="41" spans="1:28" x14ac:dyDescent="0.25">
      <c r="A41" t="s">
        <v>45</v>
      </c>
      <c r="B41">
        <v>0.99193492352474899</v>
      </c>
      <c r="C41">
        <v>0.83183142467543503</v>
      </c>
      <c r="D41">
        <v>1.13414835233916</v>
      </c>
      <c r="E41">
        <v>0.76831344958805703</v>
      </c>
      <c r="F41">
        <v>0.532611618652996</v>
      </c>
      <c r="G41">
        <v>0.31335335192643599</v>
      </c>
      <c r="H41">
        <v>0.211964681314432</v>
      </c>
      <c r="I41">
        <v>0.248174800905752</v>
      </c>
      <c r="J41">
        <v>0.303499909533959</v>
      </c>
      <c r="K41">
        <v>0.23506341274479201</v>
      </c>
      <c r="L41">
        <v>1374.86791522369</v>
      </c>
      <c r="M41">
        <v>26.512760652300798</v>
      </c>
      <c r="N41">
        <v>53.222776229138098</v>
      </c>
      <c r="O41">
        <v>51.5645142418064</v>
      </c>
      <c r="P41">
        <v>-9.6818147994168699E-2</v>
      </c>
      <c r="Q41">
        <v>0.24680379894376001</v>
      </c>
      <c r="R41">
        <v>0.94224840218822403</v>
      </c>
      <c r="S41" t="s">
        <v>6711</v>
      </c>
      <c r="T41" t="s">
        <v>13338</v>
      </c>
      <c r="U41" t="s">
        <v>13338</v>
      </c>
      <c r="V41" t="s">
        <v>13338</v>
      </c>
      <c r="W41" t="s">
        <v>13379</v>
      </c>
      <c r="X41">
        <v>1</v>
      </c>
      <c r="Y41" t="s">
        <v>19981</v>
      </c>
      <c r="Z41" t="s">
        <v>26456</v>
      </c>
      <c r="AA41">
        <v>0.55061366045996507</v>
      </c>
      <c r="AB41" t="str">
        <f>HYPERLINK("Melting_Curves/meltCurve_A6NHQ2_FBLL1.pdf", "Melting_Curves/meltCurve_A6NHQ2_FBLL1.pdf")</f>
        <v>Melting_Curves/meltCurve_A6NHQ2_FBLL1.pdf</v>
      </c>
    </row>
    <row r="42" spans="1:28" x14ac:dyDescent="0.25">
      <c r="A42" t="s">
        <v>46</v>
      </c>
      <c r="B42">
        <v>0.99193492352474899</v>
      </c>
      <c r="C42">
        <v>0.48863464439071902</v>
      </c>
      <c r="D42">
        <v>0.35941418372414602</v>
      </c>
      <c r="E42">
        <v>0.139633898922495</v>
      </c>
      <c r="F42">
        <v>0.10100223296595399</v>
      </c>
      <c r="G42">
        <v>6.2668524998258299E-2</v>
      </c>
      <c r="H42">
        <v>4.0087478349817102E-2</v>
      </c>
      <c r="I42">
        <v>4.5558541784529803E-2</v>
      </c>
      <c r="J42">
        <v>5.3226680803623298E-2</v>
      </c>
      <c r="K42">
        <v>4.9466801541102903E-2</v>
      </c>
      <c r="L42">
        <v>906.27163611770902</v>
      </c>
      <c r="M42">
        <v>20.8083044216812</v>
      </c>
      <c r="N42">
        <v>43.813461933440401</v>
      </c>
      <c r="O42">
        <v>43.157096357131003</v>
      </c>
      <c r="P42">
        <v>-0.11353781346966101</v>
      </c>
      <c r="Q42">
        <v>5.8101827277404698E-2</v>
      </c>
      <c r="R42">
        <v>0.960747013466003</v>
      </c>
      <c r="S42" t="s">
        <v>6712</v>
      </c>
      <c r="T42" t="s">
        <v>13338</v>
      </c>
      <c r="U42" t="s">
        <v>13338</v>
      </c>
      <c r="V42" t="s">
        <v>13338</v>
      </c>
      <c r="W42" t="s">
        <v>13380</v>
      </c>
      <c r="X42">
        <v>23</v>
      </c>
      <c r="Y42" t="s">
        <v>19982</v>
      </c>
      <c r="Z42" t="s">
        <v>26457</v>
      </c>
      <c r="AA42">
        <v>0.1877850858555784</v>
      </c>
      <c r="AB42" t="str">
        <f>HYPERLINK("Melting_Curves/meltCurve_A6NHR9_SMCHD1.pdf", "Melting_Curves/meltCurve_A6NHR9_SMCHD1.pdf")</f>
        <v>Melting_Curves/meltCurve_A6NHR9_SMCHD1.pdf</v>
      </c>
    </row>
    <row r="43" spans="1:28" x14ac:dyDescent="0.25">
      <c r="A43" t="s">
        <v>47</v>
      </c>
      <c r="B43">
        <v>0.99193492352474899</v>
      </c>
      <c r="C43">
        <v>1.04697597912415</v>
      </c>
      <c r="D43">
        <v>0.99432727692526002</v>
      </c>
      <c r="E43">
        <v>1.0385079953321199</v>
      </c>
      <c r="F43">
        <v>0.75191713198537302</v>
      </c>
      <c r="G43">
        <v>0.533136444140349</v>
      </c>
      <c r="H43">
        <v>0.21629919359435201</v>
      </c>
      <c r="I43">
        <v>0.208849022193172</v>
      </c>
      <c r="J43">
        <v>0.46007992690981397</v>
      </c>
      <c r="K43">
        <v>0.117009424160537</v>
      </c>
      <c r="L43">
        <v>1546.71483123646</v>
      </c>
      <c r="M43">
        <v>28.019987229618899</v>
      </c>
      <c r="N43">
        <v>56.517141886827801</v>
      </c>
      <c r="O43">
        <v>54.921543465788503</v>
      </c>
      <c r="P43">
        <v>-9.6972581619607201E-2</v>
      </c>
      <c r="Q43">
        <v>0.23970867018476499</v>
      </c>
      <c r="R43">
        <v>0.93472759538013195</v>
      </c>
      <c r="S43" t="s">
        <v>6713</v>
      </c>
      <c r="T43" t="s">
        <v>13338</v>
      </c>
      <c r="U43" t="s">
        <v>13338</v>
      </c>
      <c r="V43" t="s">
        <v>13338</v>
      </c>
      <c r="W43" t="s">
        <v>13381</v>
      </c>
      <c r="X43">
        <v>2</v>
      </c>
      <c r="Y43" t="s">
        <v>19983</v>
      </c>
      <c r="Z43" t="s">
        <v>26458</v>
      </c>
      <c r="AA43">
        <v>0.63066643231973485</v>
      </c>
      <c r="AB43" t="str">
        <f>HYPERLINK("Melting_Curves/meltCurve_A6NHX0_GATSL2.pdf", "Melting_Curves/meltCurve_A6NHX0_GATSL2.pdf")</f>
        <v>Melting_Curves/meltCurve_A6NHX0_GATSL2.pdf</v>
      </c>
    </row>
    <row r="44" spans="1:28" x14ac:dyDescent="0.25">
      <c r="A44" t="s">
        <v>48</v>
      </c>
      <c r="B44">
        <v>0.99193492352474899</v>
      </c>
      <c r="C44">
        <v>0.86875466911925003</v>
      </c>
      <c r="D44">
        <v>0.89205378911376398</v>
      </c>
      <c r="E44">
        <v>0.79999997340510598</v>
      </c>
      <c r="F44">
        <v>0.45116509077316802</v>
      </c>
      <c r="G44">
        <v>0.21482666971362899</v>
      </c>
      <c r="H44">
        <v>0.13887340236176601</v>
      </c>
      <c r="I44">
        <v>0.150966364693014</v>
      </c>
      <c r="J44">
        <v>0.17870258895910601</v>
      </c>
      <c r="K44">
        <v>0.200612667204352</v>
      </c>
      <c r="L44">
        <v>1207.0731484118401</v>
      </c>
      <c r="M44">
        <v>23.351954723426999</v>
      </c>
      <c r="N44">
        <v>52.513759519582898</v>
      </c>
      <c r="O44">
        <v>51.315864205256503</v>
      </c>
      <c r="P44">
        <v>-9.6328696692555102E-2</v>
      </c>
      <c r="Q44">
        <v>0.15328660815833101</v>
      </c>
      <c r="R44">
        <v>0.977669024225577</v>
      </c>
      <c r="S44" t="s">
        <v>6714</v>
      </c>
      <c r="T44" t="s">
        <v>13338</v>
      </c>
      <c r="U44" t="s">
        <v>13338</v>
      </c>
      <c r="V44" t="s">
        <v>13338</v>
      </c>
      <c r="W44" t="s">
        <v>13382</v>
      </c>
      <c r="X44">
        <v>9</v>
      </c>
      <c r="Y44" t="s">
        <v>19984</v>
      </c>
      <c r="Z44" t="s">
        <v>26459</v>
      </c>
      <c r="AA44">
        <v>0.49202143676498711</v>
      </c>
      <c r="AB44" t="str">
        <f>HYPERLINK("Melting_Curves/meltCurve_A6NIH7_UNC119B.pdf", "Melting_Curves/meltCurve_A6NIH7_UNC119B.pdf")</f>
        <v>Melting_Curves/meltCurve_A6NIH7_UNC119B.pdf</v>
      </c>
    </row>
    <row r="45" spans="1:28" x14ac:dyDescent="0.25">
      <c r="A45" t="s">
        <v>49</v>
      </c>
      <c r="B45">
        <v>0.99193492352474899</v>
      </c>
      <c r="C45">
        <v>0.94296760868977703</v>
      </c>
      <c r="D45">
        <v>0.781655883628393</v>
      </c>
      <c r="E45">
        <v>0.365807818568958</v>
      </c>
      <c r="F45">
        <v>0.13572155702590299</v>
      </c>
      <c r="G45">
        <v>0.10683447338075</v>
      </c>
      <c r="H45">
        <v>5.4468716521438802E-2</v>
      </c>
      <c r="I45">
        <v>7.1205919025043807E-2</v>
      </c>
      <c r="J45">
        <v>6.6828874112742895E-2</v>
      </c>
      <c r="K45">
        <v>5.2431852021346002E-2</v>
      </c>
      <c r="L45">
        <v>1189.6609253812401</v>
      </c>
      <c r="M45">
        <v>24.7127560698388</v>
      </c>
      <c r="N45">
        <v>48.401781106181197</v>
      </c>
      <c r="O45">
        <v>47.827657339965697</v>
      </c>
      <c r="P45">
        <v>-0.12108406224372401</v>
      </c>
      <c r="Q45">
        <v>6.2656593004232097E-2</v>
      </c>
      <c r="R45">
        <v>0.999141811367388</v>
      </c>
      <c r="S45" t="s">
        <v>6715</v>
      </c>
      <c r="T45" t="s">
        <v>13338</v>
      </c>
      <c r="U45" t="s">
        <v>13338</v>
      </c>
      <c r="V45" t="s">
        <v>13338</v>
      </c>
      <c r="W45" t="s">
        <v>13383</v>
      </c>
      <c r="X45">
        <v>4</v>
      </c>
      <c r="Y45" t="s">
        <v>19985</v>
      </c>
      <c r="Z45" t="s">
        <v>26460</v>
      </c>
      <c r="AA45">
        <v>0.32546297185737821</v>
      </c>
      <c r="AB45" t="str">
        <f>HYPERLINK("Melting_Curves/meltCurve_A6NIW2_DOCK11.pdf", "Melting_Curves/meltCurve_A6NIW2_DOCK11.pdf")</f>
        <v>Melting_Curves/meltCurve_A6NIW2_DOCK11.pdf</v>
      </c>
    </row>
    <row r="46" spans="1:28" x14ac:dyDescent="0.25">
      <c r="A46" t="s">
        <v>50</v>
      </c>
      <c r="B46">
        <v>0.99193492352474899</v>
      </c>
      <c r="C46">
        <v>0.85234142763943099</v>
      </c>
      <c r="D46">
        <v>0.83562088486694497</v>
      </c>
      <c r="E46">
        <v>0.56142011698093996</v>
      </c>
      <c r="F46">
        <v>0.32631381536843601</v>
      </c>
      <c r="G46">
        <v>0.196315603929057</v>
      </c>
      <c r="H46">
        <v>0.147686141720033</v>
      </c>
      <c r="I46">
        <v>0.237774057425757</v>
      </c>
      <c r="J46">
        <v>0.279521994235433</v>
      </c>
      <c r="K46">
        <v>0.46217950076743303</v>
      </c>
      <c r="L46">
        <v>1086.6154882487001</v>
      </c>
      <c r="M46">
        <v>22.485406220416401</v>
      </c>
      <c r="N46">
        <v>49.948918910199801</v>
      </c>
      <c r="O46">
        <v>47.948000637752102</v>
      </c>
      <c r="P46">
        <v>-8.6845521032959602E-2</v>
      </c>
      <c r="Q46">
        <v>0.25925566403544198</v>
      </c>
      <c r="R46">
        <v>0.909120360802671</v>
      </c>
      <c r="S46" t="s">
        <v>6716</v>
      </c>
      <c r="T46" t="s">
        <v>13338</v>
      </c>
      <c r="U46" t="s">
        <v>13338</v>
      </c>
      <c r="V46" t="s">
        <v>13338</v>
      </c>
      <c r="W46" t="s">
        <v>13384</v>
      </c>
      <c r="X46">
        <v>5</v>
      </c>
      <c r="Y46" t="s">
        <v>19986</v>
      </c>
      <c r="Z46" t="s">
        <v>26461</v>
      </c>
      <c r="AA46">
        <v>0.47300341371981069</v>
      </c>
      <c r="AB46" t="str">
        <f>HYPERLINK("Melting_Curves/meltCurve_A6NIZ0_NDEL1.pdf", "Melting_Curves/meltCurve_A6NIZ0_NDEL1.pdf")</f>
        <v>Melting_Curves/meltCurve_A6NIZ0_NDEL1.pdf</v>
      </c>
    </row>
    <row r="47" spans="1:28" x14ac:dyDescent="0.25">
      <c r="A47" t="s">
        <v>51</v>
      </c>
      <c r="B47">
        <v>0.99193492352474899</v>
      </c>
      <c r="C47">
        <v>0.91561751687077797</v>
      </c>
      <c r="D47">
        <v>0.93809268252285105</v>
      </c>
      <c r="E47">
        <v>0.37347515419574501</v>
      </c>
      <c r="F47">
        <v>0.185501024256404</v>
      </c>
      <c r="G47">
        <v>9.4411585104926907E-2</v>
      </c>
      <c r="H47">
        <v>5.7086606236074901E-2</v>
      </c>
      <c r="I47">
        <v>9.3310074948083202E-2</v>
      </c>
      <c r="J47">
        <v>9.1219166895675496E-2</v>
      </c>
      <c r="K47">
        <v>0.203255847199935</v>
      </c>
      <c r="L47">
        <v>1965.44476276911</v>
      </c>
      <c r="M47">
        <v>40.446106193901002</v>
      </c>
      <c r="N47">
        <v>48.909179714595602</v>
      </c>
      <c r="O47">
        <v>48.475833312949398</v>
      </c>
      <c r="P47">
        <v>-0.18467061853445299</v>
      </c>
      <c r="Q47">
        <v>0.11466946815187801</v>
      </c>
      <c r="R47">
        <v>0.98433453630696</v>
      </c>
      <c r="S47" t="s">
        <v>6717</v>
      </c>
      <c r="T47" t="s">
        <v>13338</v>
      </c>
      <c r="U47" t="s">
        <v>13338</v>
      </c>
      <c r="V47" t="s">
        <v>13338</v>
      </c>
      <c r="W47" t="s">
        <v>13385</v>
      </c>
      <c r="X47">
        <v>5</v>
      </c>
      <c r="Y47" t="s">
        <v>19987</v>
      </c>
      <c r="Z47" t="s">
        <v>26462</v>
      </c>
      <c r="AA47">
        <v>0.37120440497559681</v>
      </c>
      <c r="AB47" t="str">
        <f>HYPERLINK("Melting_Curves/meltCurve_A6NJ78_METTL15.pdf", "Melting_Curves/meltCurve_A6NJ78_METTL15.pdf")</f>
        <v>Melting_Curves/meltCurve_A6NJ78_METTL15.pdf</v>
      </c>
    </row>
    <row r="48" spans="1:28" x14ac:dyDescent="0.25">
      <c r="A48" t="s">
        <v>52</v>
      </c>
      <c r="B48">
        <v>0.99193492352474899</v>
      </c>
      <c r="C48">
        <v>0.890357660151882</v>
      </c>
      <c r="D48">
        <v>1.1490366601220099</v>
      </c>
      <c r="E48">
        <v>0.901021203977172</v>
      </c>
      <c r="F48">
        <v>0.87648510608479102</v>
      </c>
      <c r="G48">
        <v>0.50683169989996402</v>
      </c>
      <c r="H48">
        <v>0.28003903914165401</v>
      </c>
      <c r="I48">
        <v>0.24992912594480299</v>
      </c>
      <c r="J48">
        <v>0.242908220464368</v>
      </c>
      <c r="K48">
        <v>0.28650876966543798</v>
      </c>
      <c r="L48">
        <v>1835.4443100261201</v>
      </c>
      <c r="M48">
        <v>32.988004354647003</v>
      </c>
      <c r="N48">
        <v>56.8452663176069</v>
      </c>
      <c r="O48">
        <v>55.436479416036697</v>
      </c>
      <c r="P48">
        <v>-0.11133583531130201</v>
      </c>
      <c r="Q48">
        <v>0.25160204765294197</v>
      </c>
      <c r="R48">
        <v>0.96211347931550695</v>
      </c>
      <c r="S48" t="s">
        <v>6718</v>
      </c>
      <c r="T48" t="s">
        <v>13338</v>
      </c>
      <c r="U48" t="s">
        <v>13338</v>
      </c>
      <c r="V48" t="s">
        <v>13338</v>
      </c>
      <c r="W48" t="s">
        <v>13386</v>
      </c>
      <c r="X48">
        <v>4</v>
      </c>
      <c r="Y48" t="s">
        <v>19988</v>
      </c>
      <c r="Z48" t="s">
        <v>26463</v>
      </c>
      <c r="AA48">
        <v>0.64592858849464529</v>
      </c>
      <c r="AB48" t="str">
        <f>HYPERLINK("Melting_Curves/meltCurve_A6NK58_LIPT2.pdf", "Melting_Curves/meltCurve_A6NK58_LIPT2.pdf")</f>
        <v>Melting_Curves/meltCurve_A6NK58_LIPT2.pdf</v>
      </c>
    </row>
    <row r="49" spans="1:28" x14ac:dyDescent="0.25">
      <c r="A49" t="s">
        <v>53</v>
      </c>
      <c r="B49">
        <v>0.99193492352474899</v>
      </c>
      <c r="C49">
        <v>0.70850443693974496</v>
      </c>
      <c r="D49">
        <v>0.54649961726337504</v>
      </c>
      <c r="E49">
        <v>0.315004329222765</v>
      </c>
      <c r="F49">
        <v>0.222983110213063</v>
      </c>
      <c r="G49">
        <v>0.152013238909327</v>
      </c>
      <c r="H49">
        <v>0.17042620990837501</v>
      </c>
      <c r="I49">
        <v>0.31314818806939698</v>
      </c>
      <c r="J49">
        <v>0.38174215039082698</v>
      </c>
      <c r="K49">
        <v>0.64984074431953598</v>
      </c>
      <c r="L49">
        <v>1119.2402905814299</v>
      </c>
      <c r="M49">
        <v>25.469444720343802</v>
      </c>
      <c r="N49">
        <v>45.718355032415701</v>
      </c>
      <c r="O49">
        <v>43.676211461873301</v>
      </c>
      <c r="P49">
        <v>-0.100026944348014</v>
      </c>
      <c r="Q49">
        <v>0.31388476775929303</v>
      </c>
      <c r="R49">
        <v>0.72377381684680298</v>
      </c>
      <c r="S49" t="s">
        <v>6719</v>
      </c>
      <c r="T49" t="s">
        <v>13338</v>
      </c>
      <c r="U49" t="s">
        <v>13338</v>
      </c>
      <c r="V49" t="s">
        <v>13338</v>
      </c>
      <c r="W49" t="s">
        <v>13387</v>
      </c>
      <c r="X49">
        <v>4</v>
      </c>
      <c r="Y49" t="s">
        <v>19989</v>
      </c>
      <c r="Z49" t="s">
        <v>26464</v>
      </c>
      <c r="AA49">
        <v>0.41168096064709908</v>
      </c>
      <c r="AB49" t="str">
        <f>HYPERLINK("Melting_Curves/meltCurve_A6NKD9_CCDC85C.pdf", "Melting_Curves/meltCurve_A6NKD9_CCDC85C.pdf")</f>
        <v>Melting_Curves/meltCurve_A6NKD9_CCDC85C.pdf</v>
      </c>
    </row>
    <row r="50" spans="1:28" x14ac:dyDescent="0.25">
      <c r="A50" t="s">
        <v>54</v>
      </c>
      <c r="B50">
        <v>0.99193492352474899</v>
      </c>
      <c r="C50">
        <v>0.89374663741383997</v>
      </c>
      <c r="D50">
        <v>0.998398721757906</v>
      </c>
      <c r="E50">
        <v>0.62643046141347503</v>
      </c>
      <c r="F50">
        <v>0.39302236021095899</v>
      </c>
      <c r="G50">
        <v>0.13037224090563601</v>
      </c>
      <c r="H50">
        <v>7.6892252703356895E-2</v>
      </c>
      <c r="I50">
        <v>8.7385496850791097E-2</v>
      </c>
      <c r="J50">
        <v>0.109171988645882</v>
      </c>
      <c r="K50">
        <v>0.13370903020076499</v>
      </c>
      <c r="L50">
        <v>1157.8607387351401</v>
      </c>
      <c r="M50">
        <v>22.754435420614801</v>
      </c>
      <c r="N50">
        <v>51.339225045277203</v>
      </c>
      <c r="O50">
        <v>50.496930413898703</v>
      </c>
      <c r="P50">
        <v>-0.102384654960821</v>
      </c>
      <c r="Q50">
        <v>9.1164465823466795E-2</v>
      </c>
      <c r="R50">
        <v>0.98276699395633205</v>
      </c>
      <c r="S50" t="s">
        <v>6720</v>
      </c>
      <c r="T50" t="s">
        <v>13338</v>
      </c>
      <c r="U50" t="s">
        <v>13338</v>
      </c>
      <c r="V50" t="s">
        <v>13338</v>
      </c>
      <c r="W50" t="s">
        <v>13388</v>
      </c>
      <c r="X50">
        <v>2</v>
      </c>
      <c r="Y50" t="s">
        <v>19990</v>
      </c>
      <c r="Z50" t="s">
        <v>26465</v>
      </c>
      <c r="AA50">
        <v>0.4307812795118714</v>
      </c>
      <c r="AB50" t="str">
        <f>HYPERLINK("Melting_Curves/meltCurve_A6NKF9_GPR89C.pdf", "Melting_Curves/meltCurve_A6NKF9_GPR89C.pdf")</f>
        <v>Melting_Curves/meltCurve_A6NKF9_GPR89C.pdf</v>
      </c>
    </row>
    <row r="51" spans="1:28" x14ac:dyDescent="0.25">
      <c r="A51" t="s">
        <v>55</v>
      </c>
      <c r="B51">
        <v>0.99193492352474899</v>
      </c>
      <c r="C51">
        <v>1.35844306210623</v>
      </c>
      <c r="D51">
        <v>1.2758174847116599</v>
      </c>
      <c r="E51">
        <v>0.83558282972658604</v>
      </c>
      <c r="F51">
        <v>0.61370353483402296</v>
      </c>
      <c r="G51">
        <v>0.32475199431218499</v>
      </c>
      <c r="H51">
        <v>0.15442372959783601</v>
      </c>
      <c r="I51">
        <v>9.4262872387338006E-2</v>
      </c>
      <c r="J51">
        <v>0.237648630935413</v>
      </c>
      <c r="K51">
        <v>0.35742439774342</v>
      </c>
      <c r="L51">
        <v>1633.8936163473099</v>
      </c>
      <c r="M51">
        <v>30.771351993199598</v>
      </c>
      <c r="N51">
        <v>54.063706082428702</v>
      </c>
      <c r="O51">
        <v>52.875141075659997</v>
      </c>
      <c r="P51">
        <v>-0.114728298535894</v>
      </c>
      <c r="Q51">
        <v>0.21144326286638401</v>
      </c>
      <c r="R51">
        <v>0.86788711094349602</v>
      </c>
      <c r="S51" t="s">
        <v>6721</v>
      </c>
      <c r="T51" t="s">
        <v>13338</v>
      </c>
      <c r="U51" t="s">
        <v>13338</v>
      </c>
      <c r="V51" t="s">
        <v>13338</v>
      </c>
      <c r="W51" t="s">
        <v>13389</v>
      </c>
      <c r="X51">
        <v>1</v>
      </c>
      <c r="Y51" t="s">
        <v>19991</v>
      </c>
      <c r="Z51" t="s">
        <v>26466</v>
      </c>
      <c r="AA51">
        <v>0.56059618256562682</v>
      </c>
      <c r="AB51" t="str">
        <f>HYPERLINK("Melting_Curves/meltCurve_A6NLH6_CNIH4.pdf", "Melting_Curves/meltCurve_A6NLH6_CNIH4.pdf")</f>
        <v>Melting_Curves/meltCurve_A6NLH6_CNIH4.pdf</v>
      </c>
    </row>
    <row r="52" spans="1:28" x14ac:dyDescent="0.25">
      <c r="A52" t="s">
        <v>56</v>
      </c>
      <c r="B52">
        <v>0.99193492352474899</v>
      </c>
      <c r="C52">
        <v>0.95582525228494797</v>
      </c>
      <c r="D52">
        <v>1.01057362652558</v>
      </c>
      <c r="E52">
        <v>0.82173654796760398</v>
      </c>
      <c r="F52">
        <v>0.633823936185267</v>
      </c>
      <c r="G52">
        <v>0.252984921764697</v>
      </c>
      <c r="H52">
        <v>0.15808215264699399</v>
      </c>
      <c r="I52">
        <v>0.107300235432011</v>
      </c>
      <c r="J52">
        <v>0.12137580966412501</v>
      </c>
      <c r="K52">
        <v>0.112038645749282</v>
      </c>
      <c r="L52">
        <v>1225.5412977056901</v>
      </c>
      <c r="M52">
        <v>22.878603061865601</v>
      </c>
      <c r="N52">
        <v>54.086492962744899</v>
      </c>
      <c r="O52">
        <v>53.162931789825898</v>
      </c>
      <c r="P52">
        <v>-9.6979004080003303E-2</v>
      </c>
      <c r="Q52">
        <v>9.8618265527108395E-2</v>
      </c>
      <c r="R52">
        <v>0.99318828473778498</v>
      </c>
      <c r="S52" t="s">
        <v>6722</v>
      </c>
      <c r="T52" t="s">
        <v>13338</v>
      </c>
      <c r="U52" t="s">
        <v>13338</v>
      </c>
      <c r="V52" t="s">
        <v>13338</v>
      </c>
      <c r="W52" t="s">
        <v>13390</v>
      </c>
      <c r="X52">
        <v>11</v>
      </c>
      <c r="Y52" t="s">
        <v>19992</v>
      </c>
      <c r="Z52" t="s">
        <v>26467</v>
      </c>
      <c r="AA52">
        <v>0.51603840019477087</v>
      </c>
      <c r="AB52" t="str">
        <f>HYPERLINK("Melting_Curves/meltCurve_A6NMH6_SEPT8.pdf", "Melting_Curves/meltCurve_A6NMH6_SEPT8.pdf")</f>
        <v>Melting_Curves/meltCurve_A6NMH6_SEPT8.pdf</v>
      </c>
    </row>
    <row r="53" spans="1:28" x14ac:dyDescent="0.25">
      <c r="A53" t="s">
        <v>57</v>
      </c>
      <c r="B53">
        <v>0.99193492352474899</v>
      </c>
      <c r="C53">
        <v>0.80274175431986805</v>
      </c>
      <c r="D53">
        <v>0.55808638165194402</v>
      </c>
      <c r="E53">
        <v>0.226333643032088</v>
      </c>
      <c r="F53">
        <v>0.16703829511643101</v>
      </c>
      <c r="G53">
        <v>0.10070767508839699</v>
      </c>
      <c r="H53">
        <v>8.1261293735138102E-2</v>
      </c>
      <c r="I53">
        <v>9.0976619459689004E-2</v>
      </c>
      <c r="J53">
        <v>9.6528242772501299E-2</v>
      </c>
      <c r="K53">
        <v>9.6160614132350206E-2</v>
      </c>
      <c r="L53">
        <v>957.85646734410398</v>
      </c>
      <c r="M53">
        <v>20.8563385901797</v>
      </c>
      <c r="N53">
        <v>46.369555489644199</v>
      </c>
      <c r="O53">
        <v>45.510431511846903</v>
      </c>
      <c r="P53">
        <v>-0.10421904256598</v>
      </c>
      <c r="Q53">
        <v>9.0363278969431401E-2</v>
      </c>
      <c r="R53">
        <v>0.99634012377273395</v>
      </c>
      <c r="S53" t="s">
        <v>6723</v>
      </c>
      <c r="T53" t="s">
        <v>13338</v>
      </c>
      <c r="U53" t="s">
        <v>13338</v>
      </c>
      <c r="V53" t="s">
        <v>13338</v>
      </c>
      <c r="W53" t="s">
        <v>13391</v>
      </c>
      <c r="X53">
        <v>10</v>
      </c>
      <c r="Y53" t="s">
        <v>19993</v>
      </c>
      <c r="Z53" t="s">
        <v>26468</v>
      </c>
      <c r="AA53">
        <v>0.28289532855497512</v>
      </c>
      <c r="AB53" t="str">
        <f>HYPERLINK("Melting_Curves/meltCurve_A6NML8_DIAPH2.pdf", "Melting_Curves/meltCurve_A6NML8_DIAPH2.pdf")</f>
        <v>Melting_Curves/meltCurve_A6NML8_DIAPH2.pdf</v>
      </c>
    </row>
    <row r="54" spans="1:28" x14ac:dyDescent="0.25">
      <c r="A54" t="s">
        <v>58</v>
      </c>
      <c r="B54">
        <v>0.99193492352474899</v>
      </c>
      <c r="C54">
        <v>0.83348726759541902</v>
      </c>
      <c r="D54">
        <v>0.86407084119847899</v>
      </c>
      <c r="E54">
        <v>0.45366660469020298</v>
      </c>
      <c r="F54">
        <v>0.32096530392543898</v>
      </c>
      <c r="G54">
        <v>0.14220030710836701</v>
      </c>
      <c r="H54">
        <v>6.9058650466427299E-2</v>
      </c>
      <c r="I54">
        <v>9.4086799254962106E-2</v>
      </c>
      <c r="J54">
        <v>0.106448319135742</v>
      </c>
      <c r="K54">
        <v>9.0530005251550694E-2</v>
      </c>
      <c r="L54">
        <v>833.16658361903103</v>
      </c>
      <c r="M54">
        <v>16.930629230230299</v>
      </c>
      <c r="N54">
        <v>49.676469953509901</v>
      </c>
      <c r="O54">
        <v>48.539460137389703</v>
      </c>
      <c r="P54">
        <v>-8.0804460804997702E-2</v>
      </c>
      <c r="Q54">
        <v>7.3405198610856703E-2</v>
      </c>
      <c r="R54">
        <v>0.980906071542752</v>
      </c>
      <c r="S54" t="s">
        <v>6724</v>
      </c>
      <c r="T54" t="s">
        <v>13338</v>
      </c>
      <c r="U54" t="s">
        <v>13338</v>
      </c>
      <c r="V54" t="s">
        <v>13338</v>
      </c>
      <c r="W54" t="s">
        <v>13392</v>
      </c>
      <c r="X54">
        <v>1</v>
      </c>
      <c r="Y54" t="s">
        <v>19994</v>
      </c>
      <c r="Z54" t="s">
        <v>26469</v>
      </c>
      <c r="AA54">
        <v>0.3759144505496706</v>
      </c>
      <c r="AB54" t="str">
        <f>HYPERLINK("Melting_Curves/meltCurve_A6NMN0_PHKA1.pdf", "Melting_Curves/meltCurve_A6NMN0_PHKA1.pdf")</f>
        <v>Melting_Curves/meltCurve_A6NMN0_PHKA1.pdf</v>
      </c>
    </row>
    <row r="55" spans="1:28" x14ac:dyDescent="0.25">
      <c r="A55" t="s">
        <v>59</v>
      </c>
      <c r="B55">
        <v>0.99193492352474899</v>
      </c>
      <c r="C55">
        <v>0.830334656929401</v>
      </c>
      <c r="D55">
        <v>0.69339223457181698</v>
      </c>
      <c r="E55">
        <v>0.28026762386767501</v>
      </c>
      <c r="F55">
        <v>0.146121230725625</v>
      </c>
      <c r="G55">
        <v>8.1688370549511599E-2</v>
      </c>
      <c r="H55">
        <v>5.1190657599674602E-2</v>
      </c>
      <c r="I55">
        <v>6.1891950214885402E-2</v>
      </c>
      <c r="J55">
        <v>7.8389744520330595E-2</v>
      </c>
      <c r="K55">
        <v>9.4616623330327998E-2</v>
      </c>
      <c r="L55">
        <v>982.88002106522504</v>
      </c>
      <c r="M55">
        <v>20.869756625781498</v>
      </c>
      <c r="N55">
        <v>47.409469389917803</v>
      </c>
      <c r="O55">
        <v>46.669885999304903</v>
      </c>
      <c r="P55">
        <v>-0.104590597684572</v>
      </c>
      <c r="Q55">
        <v>6.4464986951628306E-2</v>
      </c>
      <c r="R55">
        <v>0.99278212135584398</v>
      </c>
      <c r="S55" t="s">
        <v>6725</v>
      </c>
      <c r="T55" t="s">
        <v>13338</v>
      </c>
      <c r="U55" t="s">
        <v>13338</v>
      </c>
      <c r="V55" t="s">
        <v>13338</v>
      </c>
      <c r="W55" t="s">
        <v>13393</v>
      </c>
      <c r="X55">
        <v>25</v>
      </c>
      <c r="Y55" t="s">
        <v>19995</v>
      </c>
      <c r="Z55" t="s">
        <v>26470</v>
      </c>
      <c r="AA55">
        <v>0.29816880524788197</v>
      </c>
      <c r="AB55" t="str">
        <f>HYPERLINK("Melting_Curves/meltCurve_A6NMQ1_POLA1.pdf", "Melting_Curves/meltCurve_A6NMQ1_POLA1.pdf")</f>
        <v>Melting_Curves/meltCurve_A6NMQ1_POLA1.pdf</v>
      </c>
    </row>
    <row r="56" spans="1:28" x14ac:dyDescent="0.25">
      <c r="A56" t="s">
        <v>60</v>
      </c>
      <c r="B56">
        <v>0.99193492352474899</v>
      </c>
      <c r="C56">
        <v>0.66896460996377605</v>
      </c>
      <c r="D56">
        <v>0.70930608176623</v>
      </c>
      <c r="E56">
        <v>0.15288162867642599</v>
      </c>
      <c r="F56">
        <v>9.3295939216458498E-2</v>
      </c>
      <c r="G56">
        <v>3.8450862637428598E-2</v>
      </c>
      <c r="H56">
        <v>3.18818250892779E-2</v>
      </c>
      <c r="I56">
        <v>3.7318934933810298E-2</v>
      </c>
      <c r="J56">
        <v>5.30292862323649E-2</v>
      </c>
      <c r="K56">
        <v>4.3294511977697799E-2</v>
      </c>
      <c r="L56">
        <v>866.56471367728898</v>
      </c>
      <c r="M56">
        <v>18.675743244880501</v>
      </c>
      <c r="N56">
        <v>46.516570430981297</v>
      </c>
      <c r="O56">
        <v>45.878361362040899</v>
      </c>
      <c r="P56">
        <v>-9.9456069460828106E-2</v>
      </c>
      <c r="Q56">
        <v>2.2756636341857799E-2</v>
      </c>
      <c r="R56">
        <v>0.94779790279523402</v>
      </c>
      <c r="S56" t="s">
        <v>6726</v>
      </c>
      <c r="T56" t="s">
        <v>13338</v>
      </c>
      <c r="U56" t="s">
        <v>13338</v>
      </c>
      <c r="V56" t="s">
        <v>13338</v>
      </c>
      <c r="W56" t="s">
        <v>13394</v>
      </c>
      <c r="X56">
        <v>56</v>
      </c>
      <c r="Y56" t="s">
        <v>19996</v>
      </c>
      <c r="Z56" t="s">
        <v>26471</v>
      </c>
      <c r="AA56">
        <v>0.24843387442402609</v>
      </c>
      <c r="AB56" t="str">
        <f>HYPERLINK("Melting_Curves/meltCurve_A6NN80_ANXA6.pdf", "Melting_Curves/meltCurve_A6NN80_ANXA6.pdf")</f>
        <v>Melting_Curves/meltCurve_A6NN80_ANXA6.pdf</v>
      </c>
    </row>
    <row r="57" spans="1:28" x14ac:dyDescent="0.25">
      <c r="A57" t="s">
        <v>61</v>
      </c>
      <c r="B57">
        <v>0.99193492352474899</v>
      </c>
      <c r="C57">
        <v>1.1521149318468</v>
      </c>
      <c r="D57">
        <v>1.2154092025707901</v>
      </c>
      <c r="E57">
        <v>1.79121133618074</v>
      </c>
      <c r="F57">
        <v>1.03210722127357</v>
      </c>
      <c r="G57">
        <v>0.50681887258149705</v>
      </c>
      <c r="H57">
        <v>0.180340753382498</v>
      </c>
      <c r="I57">
        <v>0.27265980522370398</v>
      </c>
      <c r="J57">
        <v>0.268855010931217</v>
      </c>
      <c r="K57">
        <v>0.26067260927578201</v>
      </c>
      <c r="L57">
        <v>14163.8956197727</v>
      </c>
      <c r="M57">
        <v>250</v>
      </c>
      <c r="N57">
        <v>56.809154922940003</v>
      </c>
      <c r="O57">
        <v>56.651957035292803</v>
      </c>
      <c r="P57">
        <v>-0.83223952454565597</v>
      </c>
      <c r="Q57">
        <v>0.245632038115528</v>
      </c>
      <c r="R57">
        <v>0.73790870101631201</v>
      </c>
      <c r="S57" t="s">
        <v>6727</v>
      </c>
      <c r="T57" t="s">
        <v>13338</v>
      </c>
      <c r="U57" t="s">
        <v>13338</v>
      </c>
      <c r="V57" t="s">
        <v>13338</v>
      </c>
      <c r="W57" t="s">
        <v>13395</v>
      </c>
      <c r="X57">
        <v>10</v>
      </c>
      <c r="Y57" t="s">
        <v>19997</v>
      </c>
      <c r="Z57" t="s">
        <v>26472</v>
      </c>
      <c r="AA57">
        <v>0.66452163829465349</v>
      </c>
      <c r="AB57" t="str">
        <f>HYPERLINK("Melting_Curves/meltCurve_A6PVN5_PPP2R4.pdf", "Melting_Curves/meltCurve_A6PVN5_PPP2R4.pdf")</f>
        <v>Melting_Curves/meltCurve_A6PVN5_PPP2R4.pdf</v>
      </c>
    </row>
    <row r="58" spans="1:28" x14ac:dyDescent="0.25">
      <c r="A58" t="s">
        <v>62</v>
      </c>
      <c r="B58">
        <v>0.99193492352474899</v>
      </c>
      <c r="C58">
        <v>0.94153814302191596</v>
      </c>
      <c r="D58">
        <v>0.89329204549450203</v>
      </c>
      <c r="E58">
        <v>0.467736893521562</v>
      </c>
      <c r="F58">
        <v>0.20557780091245201</v>
      </c>
      <c r="G58">
        <v>0.110533910220486</v>
      </c>
      <c r="H58">
        <v>6.6014441460030701E-2</v>
      </c>
      <c r="I58">
        <v>7.9986281081633401E-2</v>
      </c>
      <c r="J58">
        <v>0.105895055653452</v>
      </c>
      <c r="K58">
        <v>5.0616531326735499E-2</v>
      </c>
      <c r="L58">
        <v>1275.33231110471</v>
      </c>
      <c r="M58">
        <v>25.944446766192002</v>
      </c>
      <c r="N58">
        <v>49.473590836406899</v>
      </c>
      <c r="O58">
        <v>48.867021198333703</v>
      </c>
      <c r="P58">
        <v>-0.122557852139889</v>
      </c>
      <c r="Q58">
        <v>7.6647468550847794E-2</v>
      </c>
      <c r="R58">
        <v>0.99681663488634698</v>
      </c>
      <c r="S58" t="s">
        <v>6728</v>
      </c>
      <c r="T58" t="s">
        <v>13338</v>
      </c>
      <c r="U58" t="s">
        <v>13338</v>
      </c>
      <c r="V58" t="s">
        <v>13338</v>
      </c>
      <c r="W58" t="s">
        <v>13396</v>
      </c>
      <c r="X58">
        <v>6</v>
      </c>
      <c r="Y58" t="s">
        <v>19998</v>
      </c>
      <c r="Z58" t="s">
        <v>26473</v>
      </c>
      <c r="AA58">
        <v>0.36605380600364851</v>
      </c>
      <c r="AB58" t="str">
        <f>HYPERLINK("Melting_Curves/meltCurve_A6QL63_BTBD11.pdf", "Melting_Curves/meltCurve_A6QL63_BTBD11.pdf")</f>
        <v>Melting_Curves/meltCurve_A6QL63_BTBD11.pdf</v>
      </c>
    </row>
    <row r="59" spans="1:28" x14ac:dyDescent="0.25">
      <c r="A59" t="s">
        <v>63</v>
      </c>
      <c r="B59">
        <v>0.99193492352474899</v>
      </c>
      <c r="C59">
        <v>0.86221960197996295</v>
      </c>
      <c r="D59">
        <v>1.0467357474260699</v>
      </c>
      <c r="E59">
        <v>0.822264574295415</v>
      </c>
      <c r="F59">
        <v>0.722511818999513</v>
      </c>
      <c r="G59">
        <v>0.191808936121767</v>
      </c>
      <c r="H59">
        <v>0.10773542094328099</v>
      </c>
      <c r="I59">
        <v>9.9097872036300799E-2</v>
      </c>
      <c r="J59">
        <v>0.100489106971655</v>
      </c>
      <c r="K59">
        <v>0.12646389800132099</v>
      </c>
      <c r="L59">
        <v>1895.37816083539</v>
      </c>
      <c r="M59">
        <v>35.060786335360298</v>
      </c>
      <c r="N59">
        <v>54.391325861979297</v>
      </c>
      <c r="O59">
        <v>53.884814428184498</v>
      </c>
      <c r="P59">
        <v>-0.14701515214309099</v>
      </c>
      <c r="Q59">
        <v>9.6214682319692699E-2</v>
      </c>
      <c r="R59">
        <v>0.96959505099695498</v>
      </c>
      <c r="S59" t="s">
        <v>6729</v>
      </c>
      <c r="T59" t="s">
        <v>13338</v>
      </c>
      <c r="U59" t="s">
        <v>13338</v>
      </c>
      <c r="V59" t="s">
        <v>13338</v>
      </c>
      <c r="W59" t="s">
        <v>13397</v>
      </c>
      <c r="X59">
        <v>2</v>
      </c>
      <c r="Y59" t="s">
        <v>19999</v>
      </c>
      <c r="Z59" t="s">
        <v>26474</v>
      </c>
      <c r="AA59">
        <v>0.52416221459672363</v>
      </c>
      <c r="AB59" t="str">
        <f>HYPERLINK("Melting_Curves/meltCurve_A8K0B5_ZBTB8OS.pdf", "Melting_Curves/meltCurve_A8K0B5_ZBTB8OS.pdf")</f>
        <v>Melting_Curves/meltCurve_A8K0B5_ZBTB8OS.pdf</v>
      </c>
    </row>
    <row r="60" spans="1:28" x14ac:dyDescent="0.25">
      <c r="A60" t="s">
        <v>64</v>
      </c>
      <c r="B60">
        <v>0.99193492352474899</v>
      </c>
      <c r="C60">
        <v>0.90870616023256001</v>
      </c>
      <c r="D60">
        <v>0.68678408498851395</v>
      </c>
      <c r="E60">
        <v>0.70117433859316403</v>
      </c>
      <c r="F60">
        <v>0.43764353389962701</v>
      </c>
      <c r="G60">
        <v>0.35784285252873599</v>
      </c>
      <c r="H60">
        <v>0.271807603672023</v>
      </c>
      <c r="I60">
        <v>0.21572465717372299</v>
      </c>
      <c r="J60">
        <v>0.24051084064707701</v>
      </c>
      <c r="K60">
        <v>0.33461707250183698</v>
      </c>
      <c r="L60">
        <v>608.721598139153</v>
      </c>
      <c r="M60">
        <v>12.3155925597734</v>
      </c>
      <c r="N60">
        <v>52.010905452604597</v>
      </c>
      <c r="O60">
        <v>48.1779221765063</v>
      </c>
      <c r="P60">
        <v>-4.9293799961370302E-2</v>
      </c>
      <c r="Q60">
        <v>0.228829266149914</v>
      </c>
      <c r="R60">
        <v>0.95800408499034895</v>
      </c>
      <c r="S60" t="s">
        <v>6730</v>
      </c>
      <c r="T60" t="s">
        <v>13338</v>
      </c>
      <c r="U60" t="s">
        <v>13338</v>
      </c>
      <c r="V60" t="s">
        <v>13338</v>
      </c>
      <c r="W60" t="s">
        <v>13398</v>
      </c>
      <c r="X60">
        <v>2</v>
      </c>
      <c r="Y60" t="s">
        <v>20000</v>
      </c>
      <c r="Z60" t="s">
        <v>26475</v>
      </c>
      <c r="AA60">
        <v>0.49761661585447309</v>
      </c>
      <c r="AB60" t="str">
        <f>HYPERLINK("Melting_Curves/meltCurve_A8K0M9_SELK.pdf", "Melting_Curves/meltCurve_A8K0M9_SELK.pdf")</f>
        <v>Melting_Curves/meltCurve_A8K0M9_SELK.pdf</v>
      </c>
    </row>
    <row r="61" spans="1:28" x14ac:dyDescent="0.25">
      <c r="A61" t="s">
        <v>65</v>
      </c>
      <c r="B61">
        <v>0.99193492352474899</v>
      </c>
      <c r="C61">
        <v>0</v>
      </c>
      <c r="D61">
        <v>0</v>
      </c>
      <c r="E61">
        <v>0</v>
      </c>
      <c r="F61">
        <v>0</v>
      </c>
      <c r="G61">
        <v>1.3700040740830099</v>
      </c>
      <c r="H61">
        <v>2.5016069572534101</v>
      </c>
      <c r="I61">
        <v>13.6365910096657</v>
      </c>
      <c r="J61">
        <v>10.2183955319963</v>
      </c>
      <c r="K61">
        <v>8.4865483864109503</v>
      </c>
      <c r="L61">
        <v>14140.5869531433</v>
      </c>
      <c r="M61">
        <v>250</v>
      </c>
      <c r="O61">
        <v>56.558728214877902</v>
      </c>
      <c r="P61">
        <v>0.55252303282908699</v>
      </c>
      <c r="Q61">
        <v>1.5</v>
      </c>
      <c r="R61">
        <v>-0.188903195901931</v>
      </c>
      <c r="S61" t="s">
        <v>6731</v>
      </c>
      <c r="T61" t="s">
        <v>13338</v>
      </c>
      <c r="U61" t="s">
        <v>13338</v>
      </c>
      <c r="V61" t="s">
        <v>13338</v>
      </c>
      <c r="W61" t="s">
        <v>13399</v>
      </c>
      <c r="X61">
        <v>1</v>
      </c>
      <c r="Y61" t="s">
        <v>20001</v>
      </c>
      <c r="Z61" t="s">
        <v>26476</v>
      </c>
      <c r="AA61">
        <v>1.2239112367703939</v>
      </c>
      <c r="AB61" t="str">
        <f>HYPERLINK("Melting_Curves/meltCurve_A8K186_ZNF276.pdf", "Melting_Curves/meltCurve_A8K186_ZNF276.pdf")</f>
        <v>Melting_Curves/meltCurve_A8K186_ZNF276.pdf</v>
      </c>
    </row>
    <row r="62" spans="1:28" x14ac:dyDescent="0.25">
      <c r="A62" t="s">
        <v>66</v>
      </c>
      <c r="B62">
        <v>0.99193492352474899</v>
      </c>
      <c r="C62">
        <v>0.91472071629126395</v>
      </c>
      <c r="D62">
        <v>0.72705841101750401</v>
      </c>
      <c r="E62">
        <v>0.52665011180673305</v>
      </c>
      <c r="F62">
        <v>0.425006403096793</v>
      </c>
      <c r="G62">
        <v>0.176875759644568</v>
      </c>
      <c r="H62">
        <v>9.4473276929740099E-2</v>
      </c>
      <c r="I62">
        <v>0.114515468895822</v>
      </c>
      <c r="J62">
        <v>0.13992790921116799</v>
      </c>
      <c r="K62">
        <v>0.39260577895121301</v>
      </c>
      <c r="L62">
        <v>789.37356787461499</v>
      </c>
      <c r="M62">
        <v>16.249347522683902</v>
      </c>
      <c r="N62">
        <v>49.879232349261201</v>
      </c>
      <c r="O62">
        <v>47.860900521701502</v>
      </c>
      <c r="P62">
        <v>-7.0226929427403995E-2</v>
      </c>
      <c r="Q62">
        <v>0.17267396628027901</v>
      </c>
      <c r="R62">
        <v>0.92114455350589097</v>
      </c>
      <c r="S62" t="s">
        <v>6732</v>
      </c>
      <c r="T62" t="s">
        <v>13338</v>
      </c>
      <c r="U62" t="s">
        <v>13338</v>
      </c>
      <c r="V62" t="s">
        <v>13338</v>
      </c>
      <c r="W62" t="s">
        <v>13400</v>
      </c>
      <c r="X62">
        <v>2</v>
      </c>
      <c r="Y62" t="s">
        <v>20002</v>
      </c>
      <c r="Z62" t="s">
        <v>26477</v>
      </c>
      <c r="AA62">
        <v>0.42701002811727451</v>
      </c>
      <c r="AB62" t="str">
        <f>HYPERLINK("Melting_Curves/meltCurve_A8MPS7_YDJC.pdf", "Melting_Curves/meltCurve_A8MPS7_YDJC.pdf")</f>
        <v>Melting_Curves/meltCurve_A8MPS7_YDJC.pdf</v>
      </c>
    </row>
    <row r="63" spans="1:28" x14ac:dyDescent="0.25">
      <c r="A63" t="s">
        <v>67</v>
      </c>
      <c r="B63">
        <v>0.99193492352474899</v>
      </c>
      <c r="C63">
        <v>0.88283619741581998</v>
      </c>
      <c r="D63">
        <v>0.82714771203131798</v>
      </c>
      <c r="E63">
        <v>0.53623982874757503</v>
      </c>
      <c r="F63">
        <v>0.15179043098070399</v>
      </c>
      <c r="G63">
        <v>0.147322189144692</v>
      </c>
      <c r="H63">
        <v>0.17321210316404301</v>
      </c>
      <c r="I63">
        <v>0.31822359237818199</v>
      </c>
      <c r="J63">
        <v>0.26198269360330201</v>
      </c>
      <c r="K63">
        <v>0.43766351684865401</v>
      </c>
      <c r="L63">
        <v>1427.7311422503401</v>
      </c>
      <c r="M63">
        <v>29.672462360848101</v>
      </c>
      <c r="N63">
        <v>49.255155634518097</v>
      </c>
      <c r="O63">
        <v>47.899411059821198</v>
      </c>
      <c r="P63">
        <v>-0.116428719354241</v>
      </c>
      <c r="Q63">
        <v>0.248214837158026</v>
      </c>
      <c r="R63">
        <v>0.90133185303022401</v>
      </c>
      <c r="S63" t="s">
        <v>6733</v>
      </c>
      <c r="T63" t="s">
        <v>13338</v>
      </c>
      <c r="U63" t="s">
        <v>13338</v>
      </c>
      <c r="V63" t="s">
        <v>13338</v>
      </c>
      <c r="W63" t="s">
        <v>13401</v>
      </c>
      <c r="X63">
        <v>4</v>
      </c>
      <c r="Y63" t="s">
        <v>20003</v>
      </c>
      <c r="Z63" t="s">
        <v>26478</v>
      </c>
      <c r="AA63">
        <v>0.45624143207085621</v>
      </c>
      <c r="AB63" t="str">
        <f>HYPERLINK("Melting_Curves/meltCurve_A8MQ02_MLLT4.pdf", "Melting_Curves/meltCurve_A8MQ02_MLLT4.pdf")</f>
        <v>Melting_Curves/meltCurve_A8MQ02_MLLT4.pdf</v>
      </c>
    </row>
    <row r="64" spans="1:28" x14ac:dyDescent="0.25">
      <c r="A64" t="s">
        <v>68</v>
      </c>
      <c r="B64">
        <v>0.99193492352474899</v>
      </c>
      <c r="C64">
        <v>0.76239749897201603</v>
      </c>
      <c r="D64">
        <v>0.53032251893330395</v>
      </c>
      <c r="E64">
        <v>0.55529751403591698</v>
      </c>
      <c r="F64">
        <v>0.23839701408206801</v>
      </c>
      <c r="G64">
        <v>0.34635014412434101</v>
      </c>
      <c r="H64">
        <v>0.24929282056065799</v>
      </c>
      <c r="I64">
        <v>0.41822081587603699</v>
      </c>
      <c r="J64">
        <v>0.108726428588737</v>
      </c>
      <c r="K64">
        <v>0.61317497439603996</v>
      </c>
      <c r="L64">
        <v>879.98907294136404</v>
      </c>
      <c r="M64">
        <v>19.762438438363802</v>
      </c>
      <c r="N64">
        <v>47.2361669694955</v>
      </c>
      <c r="O64">
        <v>44.0799525743072</v>
      </c>
      <c r="P64">
        <v>-7.4095243085558093E-2</v>
      </c>
      <c r="Q64">
        <v>0.33894738649536799</v>
      </c>
      <c r="R64">
        <v>0.71297221627224705</v>
      </c>
      <c r="S64" t="s">
        <v>6734</v>
      </c>
      <c r="T64" t="s">
        <v>13338</v>
      </c>
      <c r="U64" t="s">
        <v>13338</v>
      </c>
      <c r="V64" t="s">
        <v>13338</v>
      </c>
      <c r="W64" t="s">
        <v>13402</v>
      </c>
      <c r="X64">
        <v>1</v>
      </c>
      <c r="Y64" t="s">
        <v>20004</v>
      </c>
      <c r="Z64" t="s">
        <v>26479</v>
      </c>
      <c r="AA64">
        <v>0.45093234034617458</v>
      </c>
      <c r="AB64" t="str">
        <f>HYPERLINK("Melting_Curves/meltCurve_A8MQ14_ZNF850.pdf", "Melting_Curves/meltCurve_A8MQ14_ZNF850.pdf")</f>
        <v>Melting_Curves/meltCurve_A8MQ14_ZNF850.pdf</v>
      </c>
    </row>
    <row r="65" spans="1:28" x14ac:dyDescent="0.25">
      <c r="A65" t="s">
        <v>69</v>
      </c>
      <c r="B65">
        <v>0.99193492352474899</v>
      </c>
      <c r="C65">
        <v>0.87294476851857195</v>
      </c>
      <c r="D65">
        <v>0.88104396845738997</v>
      </c>
      <c r="E65">
        <v>0.65023269998020194</v>
      </c>
      <c r="F65">
        <v>0.50473055843125103</v>
      </c>
      <c r="G65">
        <v>0.63110715330405398</v>
      </c>
      <c r="H65">
        <v>0.48814790649759499</v>
      </c>
      <c r="I65">
        <v>1.04422177882959</v>
      </c>
      <c r="J65">
        <v>1.2624437202949601</v>
      </c>
      <c r="K65">
        <v>3.0540612890122798</v>
      </c>
      <c r="L65">
        <v>15000</v>
      </c>
      <c r="M65">
        <v>223.650889864693</v>
      </c>
      <c r="O65">
        <v>67.063446861792897</v>
      </c>
      <c r="P65">
        <v>0.41686433689583802</v>
      </c>
      <c r="Q65">
        <v>1.5</v>
      </c>
      <c r="R65">
        <v>0.366416038017851</v>
      </c>
      <c r="S65" t="s">
        <v>6735</v>
      </c>
      <c r="T65" t="s">
        <v>13338</v>
      </c>
      <c r="U65" t="s">
        <v>13338</v>
      </c>
      <c r="V65" t="s">
        <v>13338</v>
      </c>
      <c r="W65" t="s">
        <v>13403</v>
      </c>
      <c r="X65">
        <v>2</v>
      </c>
      <c r="Y65" t="s">
        <v>20005</v>
      </c>
      <c r="Z65" t="s">
        <v>26480</v>
      </c>
      <c r="AA65">
        <v>1.0487800252594011</v>
      </c>
      <c r="AB65" t="str">
        <f>HYPERLINK("Melting_Curves/meltCurve_A8MT02_SNRPB.pdf", "Melting_Curves/meltCurve_A8MT02_SNRPB.pdf")</f>
        <v>Melting_Curves/meltCurve_A8MT02_SNRPB.pdf</v>
      </c>
    </row>
    <row r="66" spans="1:28" x14ac:dyDescent="0.25">
      <c r="A66" t="s">
        <v>70</v>
      </c>
      <c r="B66">
        <v>0.99193492352474899</v>
      </c>
      <c r="C66">
        <v>0.71003387684774</v>
      </c>
      <c r="D66">
        <v>0.75607684133774999</v>
      </c>
      <c r="E66">
        <v>0.51374050229009105</v>
      </c>
      <c r="F66">
        <v>0.36586735414400401</v>
      </c>
      <c r="G66">
        <v>0.20263775478040399</v>
      </c>
      <c r="H66">
        <v>9.7789579723822698E-2</v>
      </c>
      <c r="I66">
        <v>8.7116713916721406E-2</v>
      </c>
      <c r="J66">
        <v>0.106439348387756</v>
      </c>
      <c r="K66">
        <v>9.9738619624748004E-2</v>
      </c>
      <c r="L66">
        <v>520.10983600999896</v>
      </c>
      <c r="M66">
        <v>10.5144436243247</v>
      </c>
      <c r="N66">
        <v>49.707598998806297</v>
      </c>
      <c r="O66">
        <v>47.777407021412898</v>
      </c>
      <c r="P66">
        <v>-5.3670095578527498E-2</v>
      </c>
      <c r="Q66">
        <v>2.4888298147084001E-2</v>
      </c>
      <c r="R66">
        <v>0.97001476507479201</v>
      </c>
      <c r="S66" t="s">
        <v>6736</v>
      </c>
      <c r="T66" t="s">
        <v>13338</v>
      </c>
      <c r="U66" t="s">
        <v>13338</v>
      </c>
      <c r="V66" t="s">
        <v>13338</v>
      </c>
      <c r="W66" t="s">
        <v>13404</v>
      </c>
      <c r="X66">
        <v>13</v>
      </c>
      <c r="Y66" t="s">
        <v>20006</v>
      </c>
      <c r="Z66" t="s">
        <v>26481</v>
      </c>
      <c r="AA66">
        <v>0.37534699766397878</v>
      </c>
      <c r="AB66" t="str">
        <f>HYPERLINK("Melting_Curves/meltCurve_A8MTG8_ARMC8.pdf", "Melting_Curves/meltCurve_A8MTG8_ARMC8.pdf")</f>
        <v>Melting_Curves/meltCurve_A8MTG8_ARMC8.pdf</v>
      </c>
    </row>
    <row r="67" spans="1:28" x14ac:dyDescent="0.25">
      <c r="A67" t="s">
        <v>71</v>
      </c>
      <c r="B67">
        <v>0.99193492352474899</v>
      </c>
      <c r="C67">
        <v>0.90754029109269296</v>
      </c>
      <c r="D67">
        <v>0.90717186157834595</v>
      </c>
      <c r="E67">
        <v>0.60755660480516005</v>
      </c>
      <c r="F67">
        <v>0.22221930693030001</v>
      </c>
      <c r="G67">
        <v>0.120317385052926</v>
      </c>
      <c r="H67">
        <v>9.0925669864410696E-2</v>
      </c>
      <c r="I67">
        <v>0.134681843867967</v>
      </c>
      <c r="J67">
        <v>0.16427143935637201</v>
      </c>
      <c r="K67">
        <v>0.20313918226067601</v>
      </c>
      <c r="L67">
        <v>1524.2425916877901</v>
      </c>
      <c r="M67">
        <v>30.64708088131</v>
      </c>
      <c r="N67">
        <v>50.258541627455799</v>
      </c>
      <c r="O67">
        <v>49.525008310144798</v>
      </c>
      <c r="P67">
        <v>-0.13357618978077301</v>
      </c>
      <c r="Q67">
        <v>0.13658043630935299</v>
      </c>
      <c r="R67">
        <v>0.98601685874167799</v>
      </c>
      <c r="S67" t="s">
        <v>6737</v>
      </c>
      <c r="T67" t="s">
        <v>13338</v>
      </c>
      <c r="U67" t="s">
        <v>13338</v>
      </c>
      <c r="V67" t="s">
        <v>13338</v>
      </c>
      <c r="W67" t="s">
        <v>13405</v>
      </c>
      <c r="X67">
        <v>6</v>
      </c>
      <c r="Y67" t="s">
        <v>20007</v>
      </c>
      <c r="Z67" t="s">
        <v>26482</v>
      </c>
      <c r="AA67">
        <v>0.42186184624639611</v>
      </c>
      <c r="AB67" t="str">
        <f>HYPERLINK("Melting_Curves/meltCurve_A8MTY9_DSCR3.pdf", "Melting_Curves/meltCurve_A8MTY9_DSCR3.pdf")</f>
        <v>Melting_Curves/meltCurve_A8MTY9_DSCR3.pdf</v>
      </c>
    </row>
    <row r="68" spans="1:28" x14ac:dyDescent="0.25">
      <c r="A68" t="s">
        <v>72</v>
      </c>
      <c r="B68">
        <v>0.99193492352474899</v>
      </c>
      <c r="C68">
        <v>0.87359789591344705</v>
      </c>
      <c r="D68">
        <v>0.75979308141012603</v>
      </c>
      <c r="E68">
        <v>0.58089778352862598</v>
      </c>
      <c r="F68">
        <v>0.46012634162245902</v>
      </c>
      <c r="G68">
        <v>0.27069837356071103</v>
      </c>
      <c r="H68">
        <v>0.24332727564724699</v>
      </c>
      <c r="I68">
        <v>0.36816746302669301</v>
      </c>
      <c r="J68">
        <v>0.50899080473611302</v>
      </c>
      <c r="K68">
        <v>0.552120005769971</v>
      </c>
      <c r="L68">
        <v>938.13212016648595</v>
      </c>
      <c r="M68">
        <v>20.016115108113599</v>
      </c>
      <c r="N68">
        <v>50.754882051183799</v>
      </c>
      <c r="O68">
        <v>46.408547197488403</v>
      </c>
      <c r="P68">
        <v>-6.5559450617409698E-2</v>
      </c>
      <c r="Q68">
        <v>0.39200586612288302</v>
      </c>
      <c r="R68">
        <v>0.84511785634908398</v>
      </c>
      <c r="S68" t="s">
        <v>6738</v>
      </c>
      <c r="T68" t="s">
        <v>13338</v>
      </c>
      <c r="U68" t="s">
        <v>13338</v>
      </c>
      <c r="V68" t="s">
        <v>13338</v>
      </c>
      <c r="W68" t="s">
        <v>13406</v>
      </c>
      <c r="X68">
        <v>1</v>
      </c>
      <c r="Y68" t="s">
        <v>20008</v>
      </c>
      <c r="Z68" t="s">
        <v>26483</v>
      </c>
      <c r="AA68">
        <v>0.54014677409111123</v>
      </c>
      <c r="AB68" t="str">
        <f>HYPERLINK("Melting_Curves/meltCurve_A8MTZ6_S100PBP.pdf", "Melting_Curves/meltCurve_A8MTZ6_S100PBP.pdf")</f>
        <v>Melting_Curves/meltCurve_A8MTZ6_S100PBP.pdf</v>
      </c>
    </row>
    <row r="69" spans="1:28" x14ac:dyDescent="0.25">
      <c r="A69" t="s">
        <v>73</v>
      </c>
      <c r="B69">
        <v>0.99193492352474899</v>
      </c>
      <c r="C69">
        <v>0.611772689604834</v>
      </c>
      <c r="D69">
        <v>0.64724326211166705</v>
      </c>
      <c r="E69">
        <v>0.34948109471355898</v>
      </c>
      <c r="F69">
        <v>0.39588708940705403</v>
      </c>
      <c r="G69">
        <v>0.29720826441289899</v>
      </c>
      <c r="H69">
        <v>0.26923332441182801</v>
      </c>
      <c r="I69">
        <v>0.323612899139955</v>
      </c>
      <c r="J69">
        <v>0.38663521204363099</v>
      </c>
      <c r="K69">
        <v>0.48450968307888598</v>
      </c>
      <c r="L69">
        <v>844.36795439802904</v>
      </c>
      <c r="M69">
        <v>19.344142592672899</v>
      </c>
      <c r="N69">
        <v>46.601392857369802</v>
      </c>
      <c r="O69">
        <v>43.191342133212601</v>
      </c>
      <c r="P69">
        <v>-7.2428799316902895E-2</v>
      </c>
      <c r="Q69">
        <v>0.35315173404390798</v>
      </c>
      <c r="R69">
        <v>0.84017397468569599</v>
      </c>
      <c r="S69" t="s">
        <v>6739</v>
      </c>
      <c r="T69" t="s">
        <v>13338</v>
      </c>
      <c r="U69" t="s">
        <v>13338</v>
      </c>
      <c r="V69" t="s">
        <v>13338</v>
      </c>
      <c r="W69" t="s">
        <v>13407</v>
      </c>
      <c r="X69">
        <v>3</v>
      </c>
      <c r="Y69" t="s">
        <v>20009</v>
      </c>
      <c r="Z69" t="s">
        <v>26484</v>
      </c>
      <c r="AA69">
        <v>0.44624958337082993</v>
      </c>
      <c r="AB69" t="str">
        <f>HYPERLINK("Melting_Curves/meltCurve_A8MUA9_SUMO3.pdf", "Melting_Curves/meltCurve_A8MUA9_SUMO3.pdf")</f>
        <v>Melting_Curves/meltCurve_A8MUA9_SUMO3.pdf</v>
      </c>
    </row>
    <row r="70" spans="1:28" x14ac:dyDescent="0.25">
      <c r="A70" t="s">
        <v>74</v>
      </c>
      <c r="B70">
        <v>0.99193492352474899</v>
      </c>
      <c r="C70">
        <v>1.0175510536921799</v>
      </c>
      <c r="D70">
        <v>1.0316395012686299</v>
      </c>
      <c r="E70">
        <v>0.77848675558966896</v>
      </c>
      <c r="F70">
        <v>0.83240889498790005</v>
      </c>
      <c r="G70">
        <v>0.51723893629856599</v>
      </c>
      <c r="H70">
        <v>0.20183341555933601</v>
      </c>
      <c r="I70">
        <v>0.112166912316766</v>
      </c>
      <c r="J70">
        <v>0.14548564214753901</v>
      </c>
      <c r="K70">
        <v>0.14519112076857901</v>
      </c>
      <c r="L70">
        <v>1128.1004151974701</v>
      </c>
      <c r="M70">
        <v>20.104153943993602</v>
      </c>
      <c r="N70">
        <v>56.665313197627903</v>
      </c>
      <c r="O70">
        <v>55.566462125803902</v>
      </c>
      <c r="P70">
        <v>-8.2403086914324006E-2</v>
      </c>
      <c r="Q70">
        <v>8.9003786646057806E-2</v>
      </c>
      <c r="R70">
        <v>0.97236250604799301</v>
      </c>
      <c r="S70" t="s">
        <v>6740</v>
      </c>
      <c r="T70" t="s">
        <v>13338</v>
      </c>
      <c r="U70" t="s">
        <v>13338</v>
      </c>
      <c r="V70" t="s">
        <v>13338</v>
      </c>
      <c r="W70" t="s">
        <v>13408</v>
      </c>
      <c r="X70">
        <v>25</v>
      </c>
      <c r="Y70" t="s">
        <v>20010</v>
      </c>
      <c r="Z70" t="s">
        <v>26485</v>
      </c>
      <c r="AA70">
        <v>0.58989209461892744</v>
      </c>
      <c r="AB70" t="str">
        <f>HYPERLINK("Melting_Curves/meltCurve_A8MUB1_TUBA4A.pdf", "Melting_Curves/meltCurve_A8MUB1_TUBA4A.pdf")</f>
        <v>Melting_Curves/meltCurve_A8MUB1_TUBA4A.pdf</v>
      </c>
    </row>
    <row r="71" spans="1:28" x14ac:dyDescent="0.25">
      <c r="A71" t="s">
        <v>75</v>
      </c>
      <c r="B71">
        <v>0.99193492352474899</v>
      </c>
      <c r="C71">
        <v>0.90139439463590498</v>
      </c>
      <c r="D71">
        <v>0.87957157959413401</v>
      </c>
      <c r="E71">
        <v>0.72082294288784798</v>
      </c>
      <c r="F71">
        <v>0.51964206010917902</v>
      </c>
      <c r="G71">
        <v>0.221074505644306</v>
      </c>
      <c r="H71">
        <v>7.9706115937057606E-2</v>
      </c>
      <c r="I71">
        <v>7.5679547564084806E-2</v>
      </c>
      <c r="J71">
        <v>7.7088284992226405E-2</v>
      </c>
      <c r="K71">
        <v>7.7323606738258999E-2</v>
      </c>
      <c r="L71">
        <v>812.552577548724</v>
      </c>
      <c r="M71">
        <v>15.476477569082499</v>
      </c>
      <c r="N71">
        <v>52.677602499845698</v>
      </c>
      <c r="O71">
        <v>51.649281746053902</v>
      </c>
      <c r="P71">
        <v>-7.3038819966748506E-2</v>
      </c>
      <c r="Q71">
        <v>2.5084241417672699E-2</v>
      </c>
      <c r="R71">
        <v>0.990008165027221</v>
      </c>
      <c r="S71" t="s">
        <v>6741</v>
      </c>
      <c r="T71" t="s">
        <v>13338</v>
      </c>
      <c r="U71" t="s">
        <v>13338</v>
      </c>
      <c r="V71" t="s">
        <v>13338</v>
      </c>
      <c r="W71" t="s">
        <v>13409</v>
      </c>
      <c r="X71">
        <v>13</v>
      </c>
      <c r="Y71" t="s">
        <v>20011</v>
      </c>
      <c r="Z71" t="s">
        <v>26486</v>
      </c>
      <c r="AA71">
        <v>0.45181172475419168</v>
      </c>
      <c r="AB71" t="str">
        <f>HYPERLINK("Melting_Curves/meltCurve_A8MUM1_TSSC1.pdf", "Melting_Curves/meltCurve_A8MUM1_TSSC1.pdf")</f>
        <v>Melting_Curves/meltCurve_A8MUM1_TSSC1.pdf</v>
      </c>
    </row>
    <row r="72" spans="1:28" x14ac:dyDescent="0.25">
      <c r="A72" t="s">
        <v>76</v>
      </c>
      <c r="B72">
        <v>0.99193492352474899</v>
      </c>
      <c r="C72">
        <v>0.86990355025655497</v>
      </c>
      <c r="D72">
        <v>0.50847522646992505</v>
      </c>
      <c r="E72">
        <v>0.23309421935479499</v>
      </c>
      <c r="F72">
        <v>0.12647503198280299</v>
      </c>
      <c r="G72">
        <v>6.5142024187839695E-2</v>
      </c>
      <c r="H72">
        <v>5.2620424683359299E-2</v>
      </c>
      <c r="I72">
        <v>5.9131056598071802E-2</v>
      </c>
      <c r="J72">
        <v>7.7306410932961797E-2</v>
      </c>
      <c r="K72">
        <v>7.9530703432065405E-2</v>
      </c>
      <c r="L72">
        <v>1071.8450052686701</v>
      </c>
      <c r="M72">
        <v>23.310075344176099</v>
      </c>
      <c r="N72">
        <v>46.2768929360616</v>
      </c>
      <c r="O72">
        <v>45.647638339091301</v>
      </c>
      <c r="P72">
        <v>-0.118856172376544</v>
      </c>
      <c r="Q72">
        <v>6.9002123119152603E-2</v>
      </c>
      <c r="R72">
        <v>0.99746395083373696</v>
      </c>
      <c r="S72" t="s">
        <v>6742</v>
      </c>
      <c r="T72" t="s">
        <v>13338</v>
      </c>
      <c r="U72" t="s">
        <v>13338</v>
      </c>
      <c r="V72" t="s">
        <v>13338</v>
      </c>
      <c r="W72" t="s">
        <v>13410</v>
      </c>
      <c r="X72">
        <v>3</v>
      </c>
      <c r="Y72" t="s">
        <v>20012</v>
      </c>
      <c r="Z72" t="s">
        <v>26487</v>
      </c>
      <c r="AA72">
        <v>0.26476526853892751</v>
      </c>
      <c r="AB72" t="str">
        <f>HYPERLINK("Melting_Curves/meltCurve_A8MV73_ATF7IP.pdf", "Melting_Curves/meltCurve_A8MV73_ATF7IP.pdf")</f>
        <v>Melting_Curves/meltCurve_A8MV73_ATF7IP.pdf</v>
      </c>
    </row>
    <row r="73" spans="1:28" x14ac:dyDescent="0.25">
      <c r="A73" t="s">
        <v>77</v>
      </c>
      <c r="B73">
        <v>0.99193492352474899</v>
      </c>
      <c r="C73">
        <v>0.91038147733471497</v>
      </c>
      <c r="D73">
        <v>0.92988925511158604</v>
      </c>
      <c r="E73">
        <v>0.69874045955837805</v>
      </c>
      <c r="F73">
        <v>0.61328538305267999</v>
      </c>
      <c r="G73">
        <v>0.38265514916137799</v>
      </c>
      <c r="H73">
        <v>0.24311538264317201</v>
      </c>
      <c r="I73">
        <v>0.314705817398027</v>
      </c>
      <c r="J73">
        <v>0.50017536304642696</v>
      </c>
      <c r="K73">
        <v>0.46662154133230699</v>
      </c>
      <c r="L73">
        <v>999.90414877754597</v>
      </c>
      <c r="M73">
        <v>19.906316983834099</v>
      </c>
      <c r="N73">
        <v>53.994162325048002</v>
      </c>
      <c r="O73">
        <v>49.731819421307797</v>
      </c>
      <c r="P73">
        <v>-6.2528803856896895E-2</v>
      </c>
      <c r="Q73">
        <v>0.37515954289807302</v>
      </c>
      <c r="R73">
        <v>0.89968168887010802</v>
      </c>
      <c r="S73" t="s">
        <v>6743</v>
      </c>
      <c r="T73" t="s">
        <v>13338</v>
      </c>
      <c r="U73" t="s">
        <v>13338</v>
      </c>
      <c r="V73" t="s">
        <v>13338</v>
      </c>
      <c r="W73" t="s">
        <v>13411</v>
      </c>
      <c r="X73">
        <v>7</v>
      </c>
      <c r="Y73" t="s">
        <v>20013</v>
      </c>
      <c r="Z73" t="s">
        <v>26488</v>
      </c>
      <c r="AA73">
        <v>0.5970111875520403</v>
      </c>
      <c r="AB73" t="str">
        <f>HYPERLINK("Melting_Curves/meltCurve_A8MVW0_FAM171A2.pdf", "Melting_Curves/meltCurve_A8MVW0_FAM171A2.pdf")</f>
        <v>Melting_Curves/meltCurve_A8MVW0_FAM171A2.pdf</v>
      </c>
    </row>
    <row r="74" spans="1:28" x14ac:dyDescent="0.25">
      <c r="A74" t="s">
        <v>78</v>
      </c>
      <c r="B74">
        <v>0.99193492352474899</v>
      </c>
      <c r="C74">
        <v>0.82448924394641798</v>
      </c>
      <c r="D74">
        <v>0.66889378978853198</v>
      </c>
      <c r="E74">
        <v>0.31468688456282901</v>
      </c>
      <c r="F74">
        <v>0.23332867116022599</v>
      </c>
      <c r="G74">
        <v>0.14260535932142299</v>
      </c>
      <c r="H74">
        <v>0.101470727446169</v>
      </c>
      <c r="I74">
        <v>0.1296481759026</v>
      </c>
      <c r="J74">
        <v>0.12303279399907401</v>
      </c>
      <c r="K74">
        <v>0.13233975503977899</v>
      </c>
      <c r="L74">
        <v>873.41638635568904</v>
      </c>
      <c r="M74">
        <v>18.645809728097799</v>
      </c>
      <c r="N74">
        <v>47.523764024597</v>
      </c>
      <c r="O74">
        <v>46.313677221982601</v>
      </c>
      <c r="P74">
        <v>-8.8849733046666698E-2</v>
      </c>
      <c r="Q74">
        <v>0.11727487426819901</v>
      </c>
      <c r="R74">
        <v>0.99327899286812904</v>
      </c>
      <c r="S74" t="s">
        <v>6744</v>
      </c>
      <c r="T74" t="s">
        <v>13338</v>
      </c>
      <c r="U74" t="s">
        <v>13338</v>
      </c>
      <c r="V74" t="s">
        <v>13338</v>
      </c>
      <c r="W74" t="s">
        <v>13412</v>
      </c>
      <c r="X74">
        <v>11</v>
      </c>
      <c r="Y74" t="s">
        <v>20014</v>
      </c>
      <c r="Z74" t="s">
        <v>26489</v>
      </c>
      <c r="AA74">
        <v>0.33380399064032051</v>
      </c>
      <c r="AB74" t="str">
        <f>HYPERLINK("Melting_Curves/meltCurve_A8MVZ6_BICD1.pdf", "Melting_Curves/meltCurve_A8MVZ6_BICD1.pdf")</f>
        <v>Melting_Curves/meltCurve_A8MVZ6_BICD1.pdf</v>
      </c>
    </row>
    <row r="75" spans="1:28" x14ac:dyDescent="0.25">
      <c r="A75" t="s">
        <v>79</v>
      </c>
      <c r="B75">
        <v>0.99193492352474899</v>
      </c>
      <c r="C75">
        <v>1.0026269850176499</v>
      </c>
      <c r="D75">
        <v>0.832062602370085</v>
      </c>
      <c r="E75">
        <v>0.80506942268675596</v>
      </c>
      <c r="F75">
        <v>0.61351799345472302</v>
      </c>
      <c r="G75">
        <v>0.34372434614457598</v>
      </c>
      <c r="H75">
        <v>0.25940902393971998</v>
      </c>
      <c r="I75">
        <v>0.24575046458327501</v>
      </c>
      <c r="J75">
        <v>0.18558769008451201</v>
      </c>
      <c r="K75">
        <v>0.22074198939578599</v>
      </c>
      <c r="L75">
        <v>788.15701217306105</v>
      </c>
      <c r="M75">
        <v>14.893479275303701</v>
      </c>
      <c r="N75">
        <v>54.4439720968793</v>
      </c>
      <c r="O75">
        <v>51.993028505774703</v>
      </c>
      <c r="P75">
        <v>-5.9409888657368702E-2</v>
      </c>
      <c r="Q75">
        <v>0.17048821124760899</v>
      </c>
      <c r="R75">
        <v>0.98485927973892995</v>
      </c>
      <c r="S75" t="s">
        <v>6745</v>
      </c>
      <c r="T75" t="s">
        <v>13338</v>
      </c>
      <c r="U75" t="s">
        <v>13338</v>
      </c>
      <c r="V75" t="s">
        <v>13338</v>
      </c>
      <c r="W75" t="s">
        <v>13413</v>
      </c>
      <c r="X75">
        <v>12</v>
      </c>
      <c r="Y75" t="s">
        <v>20015</v>
      </c>
      <c r="Z75" t="s">
        <v>26490</v>
      </c>
      <c r="AA75">
        <v>0.54580991614444063</v>
      </c>
      <c r="AB75" t="str">
        <f>HYPERLINK("Melting_Curves/meltCurve_A8MW61_PLRG1.pdf", "Melting_Curves/meltCurve_A8MW61_PLRG1.pdf")</f>
        <v>Melting_Curves/meltCurve_A8MW61_PLRG1.pdf</v>
      </c>
    </row>
    <row r="76" spans="1:28" x14ac:dyDescent="0.25">
      <c r="A76" t="s">
        <v>80</v>
      </c>
      <c r="B76">
        <v>0.99193492352474899</v>
      </c>
      <c r="C76">
        <v>0.34301042235675699</v>
      </c>
      <c r="D76">
        <v>0.28140998728936301</v>
      </c>
      <c r="E76">
        <v>0.170921446163217</v>
      </c>
      <c r="F76">
        <v>0.11494224034284201</v>
      </c>
      <c r="G76">
        <v>8.8985985664663994E-2</v>
      </c>
      <c r="H76">
        <v>6.2965766285263194E-2</v>
      </c>
      <c r="I76">
        <v>8.3047088247794901E-2</v>
      </c>
      <c r="J76">
        <v>0.117966117209926</v>
      </c>
      <c r="K76">
        <v>0.112677615470116</v>
      </c>
      <c r="L76">
        <v>2553.9449132833502</v>
      </c>
      <c r="M76">
        <v>60.590525485557698</v>
      </c>
      <c r="N76">
        <v>42.356783848589302</v>
      </c>
      <c r="O76">
        <v>42.105039228316301</v>
      </c>
      <c r="P76">
        <v>-0.31387159468967601</v>
      </c>
      <c r="Q76">
        <v>0.12754842170137501</v>
      </c>
      <c r="R76">
        <v>0.95382900306031204</v>
      </c>
      <c r="S76" t="s">
        <v>6746</v>
      </c>
      <c r="T76" t="s">
        <v>13338</v>
      </c>
      <c r="U76" t="s">
        <v>13338</v>
      </c>
      <c r="V76" t="s">
        <v>13338</v>
      </c>
      <c r="W76" t="s">
        <v>13414</v>
      </c>
      <c r="X76">
        <v>19</v>
      </c>
      <c r="Y76" t="s">
        <v>20016</v>
      </c>
      <c r="Z76" t="s">
        <v>26491</v>
      </c>
      <c r="AA76">
        <v>0.19186964406116991</v>
      </c>
      <c r="AB76" t="str">
        <f>HYPERLINK("Melting_Curves/meltCurve_A8MXP9_MATR3.pdf", "Melting_Curves/meltCurve_A8MXP9_MATR3.pdf")</f>
        <v>Melting_Curves/meltCurve_A8MXP9_MATR3.pdf</v>
      </c>
    </row>
    <row r="77" spans="1:28" x14ac:dyDescent="0.25">
      <c r="A77" t="s">
        <v>81</v>
      </c>
      <c r="B77">
        <v>0.99193492352474899</v>
      </c>
      <c r="C77">
        <v>1.3642673110227199</v>
      </c>
      <c r="D77">
        <v>1.10671221570911</v>
      </c>
      <c r="E77">
        <v>1.0685944497387001</v>
      </c>
      <c r="F77">
        <v>1.06587983304262</v>
      </c>
      <c r="G77">
        <v>0.59336966955424597</v>
      </c>
      <c r="H77">
        <v>0.49534826173635799</v>
      </c>
      <c r="I77">
        <v>0.37685477767195302</v>
      </c>
      <c r="J77">
        <v>0.14778989362138401</v>
      </c>
      <c r="K77">
        <v>0.170083797415229</v>
      </c>
      <c r="L77">
        <v>1209.3209900295001</v>
      </c>
      <c r="M77">
        <v>20.459104640101401</v>
      </c>
      <c r="N77">
        <v>60.108342001141999</v>
      </c>
      <c r="O77">
        <v>58.553157049567702</v>
      </c>
      <c r="P77">
        <v>-7.4763748993238205E-2</v>
      </c>
      <c r="Q77">
        <v>0.144141755877782</v>
      </c>
      <c r="R77">
        <v>0.876769002321793</v>
      </c>
      <c r="S77" t="s">
        <v>6747</v>
      </c>
      <c r="T77" t="s">
        <v>13338</v>
      </c>
      <c r="U77" t="s">
        <v>13338</v>
      </c>
      <c r="V77" t="s">
        <v>13338</v>
      </c>
      <c r="W77" t="s">
        <v>13415</v>
      </c>
      <c r="X77">
        <v>2</v>
      </c>
      <c r="Y77" t="s">
        <v>20017</v>
      </c>
      <c r="Z77" t="s">
        <v>26492</v>
      </c>
      <c r="AA77">
        <v>0.69765870769631255</v>
      </c>
      <c r="AB77" t="str">
        <f>HYPERLINK("Melting_Curves/meltCurve_A8MYN5_ADH1B.pdf", "Melting_Curves/meltCurve_A8MYN5_ADH1B.pdf")</f>
        <v>Melting_Curves/meltCurve_A8MYN5_ADH1B.pdf</v>
      </c>
    </row>
    <row r="78" spans="1:28" x14ac:dyDescent="0.25">
      <c r="A78" t="s">
        <v>82</v>
      </c>
      <c r="B78">
        <v>0.99193492352474899</v>
      </c>
      <c r="C78">
        <v>0.94639659568648304</v>
      </c>
      <c r="D78">
        <v>0.95483153501977702</v>
      </c>
      <c r="E78">
        <v>0.80824360434861098</v>
      </c>
      <c r="F78">
        <v>0.65585446778259704</v>
      </c>
      <c r="G78">
        <v>0.45667321520295201</v>
      </c>
      <c r="H78">
        <v>0.38305208760304299</v>
      </c>
      <c r="I78">
        <v>0.40547247403911701</v>
      </c>
      <c r="J78">
        <v>0.52040813904792504</v>
      </c>
      <c r="K78">
        <v>0.70094215873885501</v>
      </c>
      <c r="L78">
        <v>1347.33078335597</v>
      </c>
      <c r="M78">
        <v>26.576555195229101</v>
      </c>
      <c r="N78">
        <v>60.666651219661503</v>
      </c>
      <c r="O78">
        <v>50.411793481000302</v>
      </c>
      <c r="P78">
        <v>-6.6734895236942302E-2</v>
      </c>
      <c r="Q78">
        <v>0.493660446239085</v>
      </c>
      <c r="R78">
        <v>0.85066516734451902</v>
      </c>
      <c r="S78" t="s">
        <v>6748</v>
      </c>
      <c r="T78" t="s">
        <v>13338</v>
      </c>
      <c r="U78" t="s">
        <v>13338</v>
      </c>
      <c r="V78" t="s">
        <v>13338</v>
      </c>
      <c r="W78" t="s">
        <v>13416</v>
      </c>
      <c r="X78">
        <v>4</v>
      </c>
      <c r="Y78" t="s">
        <v>20018</v>
      </c>
      <c r="Z78" t="s">
        <v>26493</v>
      </c>
      <c r="AA78">
        <v>0.67822843148745871</v>
      </c>
      <c r="AB78" t="str">
        <f>HYPERLINK("Melting_Curves/meltCurve_A8MZ84_LAIR1.pdf", "Melting_Curves/meltCurve_A8MZ84_LAIR1.pdf")</f>
        <v>Melting_Curves/meltCurve_A8MZ84_LAIR1.pdf</v>
      </c>
    </row>
    <row r="79" spans="1:28" x14ac:dyDescent="0.25">
      <c r="A79" t="s">
        <v>83</v>
      </c>
      <c r="B79">
        <v>0.99193492352474899</v>
      </c>
      <c r="C79">
        <v>0.84743251722059398</v>
      </c>
      <c r="D79">
        <v>0.87436287002431801</v>
      </c>
      <c r="E79">
        <v>0.70096377151890599</v>
      </c>
      <c r="F79">
        <v>0.39699070981712198</v>
      </c>
      <c r="G79">
        <v>0.167606298735854</v>
      </c>
      <c r="H79">
        <v>8.6382274195881806E-2</v>
      </c>
      <c r="I79">
        <v>8.9176528166849803E-2</v>
      </c>
      <c r="J79">
        <v>0.113311404349333</v>
      </c>
      <c r="K79">
        <v>0.10423533575722201</v>
      </c>
      <c r="L79">
        <v>894.20208598932902</v>
      </c>
      <c r="M79">
        <v>17.468940644301298</v>
      </c>
      <c r="N79">
        <v>51.618239954004601</v>
      </c>
      <c r="O79">
        <v>50.531451540534299</v>
      </c>
      <c r="P79">
        <v>-8.0576642005926E-2</v>
      </c>
      <c r="Q79">
        <v>6.7733136981865394E-2</v>
      </c>
      <c r="R79">
        <v>0.98307854248128002</v>
      </c>
      <c r="S79" t="s">
        <v>6749</v>
      </c>
      <c r="T79" t="s">
        <v>13338</v>
      </c>
      <c r="U79" t="s">
        <v>13338</v>
      </c>
      <c r="V79" t="s">
        <v>13338</v>
      </c>
      <c r="W79" t="s">
        <v>13417</v>
      </c>
      <c r="X79">
        <v>6</v>
      </c>
      <c r="Y79" t="s">
        <v>20019</v>
      </c>
      <c r="Z79" t="s">
        <v>26494</v>
      </c>
      <c r="AA79">
        <v>0.43193876605267251</v>
      </c>
      <c r="AB79" t="str">
        <f>HYPERLINK("Melting_Curves/meltCurve_A9UHW6_MIF4GD.pdf", "Melting_Curves/meltCurve_A9UHW6_MIF4GD.pdf")</f>
        <v>Melting_Curves/meltCurve_A9UHW6_MIF4GD.pdf</v>
      </c>
    </row>
    <row r="80" spans="1:28" x14ac:dyDescent="0.25">
      <c r="A80" t="s">
        <v>84</v>
      </c>
      <c r="B80">
        <v>0.99193492352474899</v>
      </c>
      <c r="C80">
        <v>0.74985743299211205</v>
      </c>
      <c r="D80">
        <v>0.91980645125833205</v>
      </c>
      <c r="E80">
        <v>0.74936282564711898</v>
      </c>
      <c r="F80">
        <v>0.448853861742049</v>
      </c>
      <c r="G80">
        <v>0.193096302074384</v>
      </c>
      <c r="H80">
        <v>0.140921660905174</v>
      </c>
      <c r="I80">
        <v>0.17233561406630299</v>
      </c>
      <c r="J80">
        <v>0.19828826739244701</v>
      </c>
      <c r="K80">
        <v>0.225386258848113</v>
      </c>
      <c r="L80">
        <v>1073.70675458506</v>
      </c>
      <c r="M80">
        <v>20.974156669383198</v>
      </c>
      <c r="N80">
        <v>52.176962728794201</v>
      </c>
      <c r="O80">
        <v>50.733348476399598</v>
      </c>
      <c r="P80">
        <v>-8.6459709179729505E-2</v>
      </c>
      <c r="Q80">
        <v>0.163490037861627</v>
      </c>
      <c r="R80">
        <v>0.93401822162688897</v>
      </c>
      <c r="S80" t="s">
        <v>6750</v>
      </c>
      <c r="T80" t="s">
        <v>13338</v>
      </c>
      <c r="U80" t="s">
        <v>13338</v>
      </c>
      <c r="V80" t="s">
        <v>13338</v>
      </c>
      <c r="W80" t="s">
        <v>13418</v>
      </c>
      <c r="X80">
        <v>10</v>
      </c>
      <c r="Y80" t="s">
        <v>20020</v>
      </c>
      <c r="Z80" t="s">
        <v>26495</v>
      </c>
      <c r="AA80">
        <v>0.48617945295236942</v>
      </c>
      <c r="AB80" t="str">
        <f>HYPERLINK("Melting_Curves/meltCurve_A9Z1X7_SRRM1.pdf", "Melting_Curves/meltCurve_A9Z1X7_SRRM1.pdf")</f>
        <v>Melting_Curves/meltCurve_A9Z1X7_SRRM1.pdf</v>
      </c>
    </row>
    <row r="81" spans="1:28" x14ac:dyDescent="0.25">
      <c r="A81" t="s">
        <v>85</v>
      </c>
      <c r="B81">
        <v>0.99193492352474899</v>
      </c>
      <c r="C81">
        <v>1.00907969806209</v>
      </c>
      <c r="D81">
        <v>0.74942015277748297</v>
      </c>
      <c r="E81">
        <v>0.72270718715912297</v>
      </c>
      <c r="F81">
        <v>0.526296540975838</v>
      </c>
      <c r="G81">
        <v>0.36287430039408303</v>
      </c>
      <c r="H81">
        <v>0.101950176496412</v>
      </c>
      <c r="I81">
        <v>0.105651422091016</v>
      </c>
      <c r="J81">
        <v>0.156041926104246</v>
      </c>
      <c r="K81">
        <v>0.16991688626038101</v>
      </c>
      <c r="L81">
        <v>668.25258837700596</v>
      </c>
      <c r="M81">
        <v>12.7691649750351</v>
      </c>
      <c r="N81">
        <v>52.989071033239902</v>
      </c>
      <c r="O81">
        <v>51.099595331455603</v>
      </c>
      <c r="P81">
        <v>-5.7917104680689703E-2</v>
      </c>
      <c r="Q81">
        <v>7.3085786327969596E-2</v>
      </c>
      <c r="R81">
        <v>0.96658326907223402</v>
      </c>
      <c r="S81" t="s">
        <v>6751</v>
      </c>
      <c r="T81" t="s">
        <v>13338</v>
      </c>
      <c r="U81" t="s">
        <v>13338</v>
      </c>
      <c r="V81" t="s">
        <v>13338</v>
      </c>
      <c r="W81" t="s">
        <v>13419</v>
      </c>
      <c r="X81">
        <v>6</v>
      </c>
      <c r="Y81" t="s">
        <v>20021</v>
      </c>
      <c r="Z81" t="s">
        <v>26496</v>
      </c>
      <c r="AA81">
        <v>0.47977746022346551</v>
      </c>
      <c r="AB81" t="str">
        <f>HYPERLINK("Melting_Curves/meltCurve_B0AZU2_KIAA0930.pdf", "Melting_Curves/meltCurve_B0AZU2_KIAA0930.pdf")</f>
        <v>Melting_Curves/meltCurve_B0AZU2_KIAA0930.pdf</v>
      </c>
    </row>
    <row r="82" spans="1:28" x14ac:dyDescent="0.25">
      <c r="A82" t="s">
        <v>86</v>
      </c>
      <c r="B82">
        <v>0.99193492352474899</v>
      </c>
      <c r="C82">
        <v>0.89407703328351595</v>
      </c>
      <c r="D82">
        <v>0.92683109615080905</v>
      </c>
      <c r="E82">
        <v>0.732508350545373</v>
      </c>
      <c r="F82">
        <v>0.52981556449322798</v>
      </c>
      <c r="G82">
        <v>0.192490463270788</v>
      </c>
      <c r="H82">
        <v>9.5016407983242401E-2</v>
      </c>
      <c r="I82">
        <v>9.8985631912865094E-2</v>
      </c>
      <c r="J82">
        <v>9.9440760398419203E-2</v>
      </c>
      <c r="K82">
        <v>8.8932397497759899E-2</v>
      </c>
      <c r="L82">
        <v>948.979181377087</v>
      </c>
      <c r="M82">
        <v>18.109202390034799</v>
      </c>
      <c r="N82">
        <v>52.772992077897598</v>
      </c>
      <c r="O82">
        <v>51.776669095116098</v>
      </c>
      <c r="P82">
        <v>-8.22320314195846E-2</v>
      </c>
      <c r="Q82">
        <v>5.9595114855458202E-2</v>
      </c>
      <c r="R82">
        <v>0.98734196246126704</v>
      </c>
      <c r="S82" t="s">
        <v>6752</v>
      </c>
      <c r="T82" t="s">
        <v>13338</v>
      </c>
      <c r="U82" t="s">
        <v>13338</v>
      </c>
      <c r="V82" t="s">
        <v>13338</v>
      </c>
      <c r="W82" t="s">
        <v>13420</v>
      </c>
      <c r="X82">
        <v>17</v>
      </c>
      <c r="Y82" t="s">
        <v>20022</v>
      </c>
      <c r="Z82" t="s">
        <v>26497</v>
      </c>
      <c r="AA82">
        <v>0.46379549972539302</v>
      </c>
      <c r="AB82" t="str">
        <f>HYPERLINK("Melting_Curves/meltCurve_B0FLL2_PFKFB2.pdf", "Melting_Curves/meltCurve_B0FLL2_PFKFB2.pdf")</f>
        <v>Melting_Curves/meltCurve_B0FLL2_PFKFB2.pdf</v>
      </c>
    </row>
    <row r="83" spans="1:28" x14ac:dyDescent="0.25">
      <c r="A83" t="s">
        <v>87</v>
      </c>
      <c r="B83">
        <v>0.99193492352474899</v>
      </c>
      <c r="C83">
        <v>0.83383738543438801</v>
      </c>
      <c r="D83">
        <v>0.85178371910238804</v>
      </c>
      <c r="E83">
        <v>0.34532913205597798</v>
      </c>
      <c r="F83">
        <v>0.23140884369739501</v>
      </c>
      <c r="G83">
        <v>0.136621406457137</v>
      </c>
      <c r="H83">
        <v>0.101392582673168</v>
      </c>
      <c r="I83">
        <v>8.7778610460005305E-2</v>
      </c>
      <c r="J83">
        <v>0.126002839641595</v>
      </c>
      <c r="K83">
        <v>0.120401630441035</v>
      </c>
      <c r="L83">
        <v>1149.65674991727</v>
      </c>
      <c r="M83">
        <v>23.911294034950298</v>
      </c>
      <c r="N83">
        <v>48.5883829446894</v>
      </c>
      <c r="O83">
        <v>47.747571937294097</v>
      </c>
      <c r="P83">
        <v>-0.11134366695891799</v>
      </c>
      <c r="Q83">
        <v>0.110662204690962</v>
      </c>
      <c r="R83">
        <v>0.97812618825626796</v>
      </c>
      <c r="S83" t="s">
        <v>6753</v>
      </c>
      <c r="T83" t="s">
        <v>13338</v>
      </c>
      <c r="U83" t="s">
        <v>13338</v>
      </c>
      <c r="V83" t="s">
        <v>13338</v>
      </c>
      <c r="W83" t="s">
        <v>13421</v>
      </c>
      <c r="X83">
        <v>26</v>
      </c>
      <c r="Y83" t="s">
        <v>20023</v>
      </c>
      <c r="Z83" t="s">
        <v>26498</v>
      </c>
      <c r="AA83">
        <v>0.35883016830989029</v>
      </c>
      <c r="AB83" t="str">
        <f>HYPERLINK("Melting_Curves/meltCurve_B0I1T2_MYO1G.pdf", "Melting_Curves/meltCurve_B0I1T2_MYO1G.pdf")</f>
        <v>Melting_Curves/meltCurve_B0I1T2_MYO1G.pdf</v>
      </c>
    </row>
    <row r="84" spans="1:28" x14ac:dyDescent="0.25">
      <c r="A84" t="s">
        <v>88</v>
      </c>
      <c r="B84">
        <v>0.99193492352474899</v>
      </c>
      <c r="C84">
        <v>0.80748706135704196</v>
      </c>
      <c r="D84">
        <v>0.98275568188104601</v>
      </c>
      <c r="E84">
        <v>0.71933608102972701</v>
      </c>
      <c r="F84">
        <v>0.31711384905468698</v>
      </c>
      <c r="G84">
        <v>0.10084441846973501</v>
      </c>
      <c r="H84">
        <v>6.1517802341533798E-2</v>
      </c>
      <c r="I84">
        <v>6.2367333159909603E-2</v>
      </c>
      <c r="J84">
        <v>7.3500940878107102E-2</v>
      </c>
      <c r="K84">
        <v>6.4929445036249298E-2</v>
      </c>
      <c r="L84">
        <v>1369.66482693288</v>
      </c>
      <c r="M84">
        <v>26.750469452181399</v>
      </c>
      <c r="N84">
        <v>51.435324944350299</v>
      </c>
      <c r="O84">
        <v>50.9179564268048</v>
      </c>
      <c r="P84">
        <v>-0.123823034881178</v>
      </c>
      <c r="Q84">
        <v>5.7250031521764201E-2</v>
      </c>
      <c r="R84">
        <v>0.97558631060545498</v>
      </c>
      <c r="S84" t="s">
        <v>6754</v>
      </c>
      <c r="T84" t="s">
        <v>13338</v>
      </c>
      <c r="U84" t="s">
        <v>13338</v>
      </c>
      <c r="V84" t="s">
        <v>13338</v>
      </c>
      <c r="W84" t="s">
        <v>13422</v>
      </c>
      <c r="X84">
        <v>21</v>
      </c>
      <c r="Y84" t="s">
        <v>20024</v>
      </c>
      <c r="Z84" t="s">
        <v>26499</v>
      </c>
      <c r="AA84">
        <v>0.41672856219910109</v>
      </c>
      <c r="AB84" t="str">
        <f>HYPERLINK("Melting_Curves/meltCurve_B0QY89_EIF3L.pdf", "Melting_Curves/meltCurve_B0QY89_EIF3L.pdf")</f>
        <v>Melting_Curves/meltCurve_B0QY89_EIF3L.pdf</v>
      </c>
    </row>
    <row r="85" spans="1:28" x14ac:dyDescent="0.25">
      <c r="A85" t="s">
        <v>89</v>
      </c>
      <c r="B85">
        <v>0.99193492352474899</v>
      </c>
      <c r="C85">
        <v>1.14470503914783</v>
      </c>
      <c r="D85">
        <v>0.72636645275477196</v>
      </c>
      <c r="E85">
        <v>0.61918800604553903</v>
      </c>
      <c r="F85">
        <v>0.23043437819746501</v>
      </c>
      <c r="G85">
        <v>0.105808202878565</v>
      </c>
      <c r="H85">
        <v>5.8272461437799801E-2</v>
      </c>
      <c r="I85">
        <v>5.2959519508736001E-2</v>
      </c>
      <c r="J85">
        <v>5.4485225018190198E-2</v>
      </c>
      <c r="K85">
        <v>4.4647699543197902E-2</v>
      </c>
      <c r="L85">
        <v>1013.7625982839299</v>
      </c>
      <c r="M85">
        <v>20.287745296154299</v>
      </c>
      <c r="N85">
        <v>50.166698810926697</v>
      </c>
      <c r="O85">
        <v>49.491290618658098</v>
      </c>
      <c r="P85">
        <v>-9.8551149049549994E-2</v>
      </c>
      <c r="Q85">
        <v>3.8379932376703903E-2</v>
      </c>
      <c r="R85">
        <v>0.96759078753814798</v>
      </c>
      <c r="S85" t="s">
        <v>6755</v>
      </c>
      <c r="T85" t="s">
        <v>13338</v>
      </c>
      <c r="U85" t="s">
        <v>13338</v>
      </c>
      <c r="V85" t="s">
        <v>13338</v>
      </c>
      <c r="W85" t="s">
        <v>13423</v>
      </c>
      <c r="X85">
        <v>5</v>
      </c>
      <c r="Y85" t="s">
        <v>20025</v>
      </c>
      <c r="Z85" t="s">
        <v>26500</v>
      </c>
      <c r="AA85">
        <v>0.37095270070326419</v>
      </c>
      <c r="AB85" t="str">
        <f>HYPERLINK("Melting_Curves/meltCurve_B0QY95_SMCR7L.pdf", "Melting_Curves/meltCurve_B0QY95_SMCR7L.pdf")</f>
        <v>Melting_Curves/meltCurve_B0QY95_SMCR7L.pdf</v>
      </c>
    </row>
    <row r="86" spans="1:28" x14ac:dyDescent="0.25">
      <c r="A86" t="s">
        <v>90</v>
      </c>
      <c r="B86">
        <v>0.99193492352474899</v>
      </c>
      <c r="C86">
        <v>1.0895259872974199</v>
      </c>
      <c r="D86">
        <v>1.1470252257144899</v>
      </c>
      <c r="E86">
        <v>0.92682124238800601</v>
      </c>
      <c r="F86">
        <v>0.73644851597152705</v>
      </c>
      <c r="G86">
        <v>0.39780919462109599</v>
      </c>
      <c r="H86">
        <v>0.13967549748413199</v>
      </c>
      <c r="I86">
        <v>0.14918427519082</v>
      </c>
      <c r="J86">
        <v>0.131048316434875</v>
      </c>
      <c r="K86">
        <v>0.208523104814995</v>
      </c>
      <c r="L86">
        <v>1584.45763986471</v>
      </c>
      <c r="M86">
        <v>28.929728495460299</v>
      </c>
      <c r="N86">
        <v>55.430720440197298</v>
      </c>
      <c r="O86">
        <v>54.509488421915499</v>
      </c>
      <c r="P86">
        <v>-0.11331369785954799</v>
      </c>
      <c r="Q86">
        <v>0.14598228224313201</v>
      </c>
      <c r="R86">
        <v>0.97593827476769701</v>
      </c>
      <c r="S86" t="s">
        <v>6756</v>
      </c>
      <c r="T86" t="s">
        <v>13338</v>
      </c>
      <c r="U86" t="s">
        <v>13338</v>
      </c>
      <c r="V86" t="s">
        <v>13338</v>
      </c>
      <c r="W86" t="s">
        <v>13424</v>
      </c>
      <c r="X86">
        <v>6</v>
      </c>
      <c r="Y86" t="s">
        <v>20026</v>
      </c>
      <c r="Z86" t="s">
        <v>26501</v>
      </c>
      <c r="AA86">
        <v>0.57247600050222436</v>
      </c>
      <c r="AB86" t="str">
        <f>HYPERLINK("Melting_Curves/meltCurve_B0QYI3_TBC1D22A.pdf", "Melting_Curves/meltCurve_B0QYI3_TBC1D22A.pdf")</f>
        <v>Melting_Curves/meltCurve_B0QYI3_TBC1D22A.pdf</v>
      </c>
    </row>
    <row r="87" spans="1:28" x14ac:dyDescent="0.25">
      <c r="A87" t="s">
        <v>91</v>
      </c>
      <c r="B87">
        <v>0.99193492352474899</v>
      </c>
      <c r="C87">
        <v>0.39727048161086798</v>
      </c>
      <c r="D87">
        <v>0.894457002730219</v>
      </c>
      <c r="E87">
        <v>0.47315188296124699</v>
      </c>
      <c r="F87">
        <v>0.535152588272643</v>
      </c>
      <c r="G87">
        <v>0.34745353895150599</v>
      </c>
      <c r="H87">
        <v>0.41557299285688798</v>
      </c>
      <c r="I87">
        <v>0.38245342711081298</v>
      </c>
      <c r="J87">
        <v>0.47653445231541097</v>
      </c>
      <c r="K87">
        <v>0.58285002242073902</v>
      </c>
      <c r="L87">
        <v>545.34905473255196</v>
      </c>
      <c r="M87">
        <v>12.734996443539</v>
      </c>
      <c r="N87">
        <v>51.972615587264599</v>
      </c>
      <c r="O87">
        <v>41.808145261536701</v>
      </c>
      <c r="P87">
        <v>-4.2129195052471799E-2</v>
      </c>
      <c r="Q87">
        <v>0.44687650189638101</v>
      </c>
      <c r="R87">
        <v>0.41809233484900699</v>
      </c>
      <c r="S87" t="s">
        <v>6757</v>
      </c>
      <c r="T87" t="s">
        <v>13338</v>
      </c>
      <c r="U87" t="s">
        <v>13338</v>
      </c>
      <c r="V87" t="s">
        <v>13338</v>
      </c>
      <c r="W87" t="s">
        <v>13425</v>
      </c>
      <c r="X87">
        <v>7</v>
      </c>
      <c r="Y87" t="s">
        <v>20027</v>
      </c>
      <c r="Z87" t="s">
        <v>26502</v>
      </c>
      <c r="AA87">
        <v>0.53104455387661875</v>
      </c>
      <c r="AB87" t="str">
        <f>HYPERLINK("Melting_Curves/meltCurve_B0QYK0_EWSR1.pdf", "Melting_Curves/meltCurve_B0QYK0_EWSR1.pdf")</f>
        <v>Melting_Curves/meltCurve_B0QYK0_EWSR1.pdf</v>
      </c>
    </row>
    <row r="88" spans="1:28" x14ac:dyDescent="0.25">
      <c r="A88" t="s">
        <v>92</v>
      </c>
      <c r="B88">
        <v>0.99193492352474899</v>
      </c>
      <c r="C88">
        <v>0.842397369369843</v>
      </c>
      <c r="D88">
        <v>0.720984437222704</v>
      </c>
      <c r="E88">
        <v>0.31898551422520699</v>
      </c>
      <c r="F88">
        <v>0.258555644791084</v>
      </c>
      <c r="G88">
        <v>0.129484797413526</v>
      </c>
      <c r="H88">
        <v>8.4569566656273104E-2</v>
      </c>
      <c r="I88">
        <v>9.3265795638562701E-2</v>
      </c>
      <c r="J88">
        <v>0.115243501126168</v>
      </c>
      <c r="K88">
        <v>0.118948668095092</v>
      </c>
      <c r="L88">
        <v>881.75052438127796</v>
      </c>
      <c r="M88">
        <v>18.6066496462198</v>
      </c>
      <c r="N88">
        <v>47.961872382856498</v>
      </c>
      <c r="O88">
        <v>46.851786093500998</v>
      </c>
      <c r="P88">
        <v>-8.9395852908164306E-2</v>
      </c>
      <c r="Q88">
        <v>9.96391514668655E-2</v>
      </c>
      <c r="R88">
        <v>0.98879076470693394</v>
      </c>
      <c r="S88" t="s">
        <v>6758</v>
      </c>
      <c r="T88" t="s">
        <v>13338</v>
      </c>
      <c r="U88" t="s">
        <v>13338</v>
      </c>
      <c r="V88" t="s">
        <v>13338</v>
      </c>
      <c r="W88" t="s">
        <v>13426</v>
      </c>
      <c r="X88">
        <v>24</v>
      </c>
      <c r="Y88" t="s">
        <v>20028</v>
      </c>
      <c r="Z88" t="s">
        <v>26503</v>
      </c>
      <c r="AA88">
        <v>0.33659867841796209</v>
      </c>
      <c r="AB88" t="str">
        <f>HYPERLINK("Melting_Curves/meltCurve_B0UX83_BAG6.pdf", "Melting_Curves/meltCurve_B0UX83_BAG6.pdf")</f>
        <v>Melting_Curves/meltCurve_B0UX83_BAG6.pdf</v>
      </c>
    </row>
    <row r="89" spans="1:28" x14ac:dyDescent="0.25">
      <c r="A89" t="s">
        <v>93</v>
      </c>
      <c r="B89">
        <v>0.99193492352474899</v>
      </c>
      <c r="C89">
        <v>1.12917484899438</v>
      </c>
      <c r="D89">
        <v>1.0400374477001699</v>
      </c>
      <c r="E89">
        <v>0.63691783742227703</v>
      </c>
      <c r="F89">
        <v>0.41915884896697803</v>
      </c>
      <c r="G89">
        <v>0.26904507589432303</v>
      </c>
      <c r="H89">
        <v>0.17533858695097501</v>
      </c>
      <c r="I89">
        <v>0.22530620089845299</v>
      </c>
      <c r="J89">
        <v>0.20936613850357</v>
      </c>
      <c r="K89">
        <v>0.257533149192118</v>
      </c>
      <c r="L89">
        <v>1442.93151875184</v>
      </c>
      <c r="M89">
        <v>28.650477885995802</v>
      </c>
      <c r="N89">
        <v>51.440286502719196</v>
      </c>
      <c r="O89">
        <v>50.119825182492797</v>
      </c>
      <c r="P89">
        <v>-0.110676704327964</v>
      </c>
      <c r="Q89">
        <v>0.225555296818576</v>
      </c>
      <c r="R89">
        <v>0.97184133769773895</v>
      </c>
      <c r="S89" t="s">
        <v>6759</v>
      </c>
      <c r="T89" t="s">
        <v>13338</v>
      </c>
      <c r="U89" t="s">
        <v>13338</v>
      </c>
      <c r="V89" t="s">
        <v>13338</v>
      </c>
      <c r="W89" t="s">
        <v>13427</v>
      </c>
      <c r="X89">
        <v>3</v>
      </c>
      <c r="Y89" t="s">
        <v>20029</v>
      </c>
      <c r="Z89" t="s">
        <v>26504</v>
      </c>
      <c r="AA89">
        <v>0.49836773624531339</v>
      </c>
      <c r="AB89" t="str">
        <f>HYPERLINK("Melting_Curves/meltCurve_B0UXB6_ABHD16A.pdf", "Melting_Curves/meltCurve_B0UXB6_ABHD16A.pdf")</f>
        <v>Melting_Curves/meltCurve_B0UXB6_ABHD16A.pdf</v>
      </c>
    </row>
    <row r="90" spans="1:28" x14ac:dyDescent="0.25">
      <c r="A90" t="s">
        <v>94</v>
      </c>
      <c r="B90">
        <v>0.99193492352474899</v>
      </c>
      <c r="C90">
        <v>0.88614475530288295</v>
      </c>
      <c r="D90">
        <v>0.98866230789663101</v>
      </c>
      <c r="E90">
        <v>0.75680169073002701</v>
      </c>
      <c r="F90">
        <v>0.63826103765160802</v>
      </c>
      <c r="G90">
        <v>0.46655326916164702</v>
      </c>
      <c r="H90">
        <v>0.39862244847699502</v>
      </c>
      <c r="I90">
        <v>0.59755634003366698</v>
      </c>
      <c r="J90">
        <v>0.79396972724319403</v>
      </c>
      <c r="K90">
        <v>1.22819295150282</v>
      </c>
      <c r="L90">
        <v>3570.3315584236798</v>
      </c>
      <c r="M90">
        <v>73.257134668360393</v>
      </c>
      <c r="O90">
        <v>48.700686464000299</v>
      </c>
      <c r="P90">
        <v>-0.11761493001779399</v>
      </c>
      <c r="Q90">
        <v>0.68724256823304197</v>
      </c>
      <c r="R90">
        <v>0.23156679861417501</v>
      </c>
      <c r="S90" t="s">
        <v>6760</v>
      </c>
      <c r="T90" t="s">
        <v>13338</v>
      </c>
      <c r="U90" t="s">
        <v>13338</v>
      </c>
      <c r="V90" t="s">
        <v>13338</v>
      </c>
      <c r="W90" t="s">
        <v>13428</v>
      </c>
      <c r="X90">
        <v>1</v>
      </c>
      <c r="Y90" t="s">
        <v>20030</v>
      </c>
      <c r="Z90" t="s">
        <v>26505</v>
      </c>
      <c r="AA90">
        <v>0.77864003890021705</v>
      </c>
      <c r="AB90" t="str">
        <f>HYPERLINK("Melting_Curves/meltCurve_B0UZY3_EHMT2.pdf", "Melting_Curves/meltCurve_B0UZY3_EHMT2.pdf")</f>
        <v>Melting_Curves/meltCurve_B0UZY3_EHMT2.pdf</v>
      </c>
    </row>
    <row r="91" spans="1:28" x14ac:dyDescent="0.25">
      <c r="A91" t="s">
        <v>95</v>
      </c>
      <c r="B91">
        <v>0.99193492352474899</v>
      </c>
      <c r="C91">
        <v>0.81950424427842805</v>
      </c>
      <c r="D91">
        <v>0.92973284933571598</v>
      </c>
      <c r="E91">
        <v>0.46702982774284102</v>
      </c>
      <c r="F91">
        <v>0.18444302614890201</v>
      </c>
      <c r="G91">
        <v>9.74383596347701E-2</v>
      </c>
      <c r="H91">
        <v>5.9828084165571997E-2</v>
      </c>
      <c r="I91">
        <v>6.9691949504260706E-2</v>
      </c>
      <c r="J91">
        <v>7.8768404664271E-2</v>
      </c>
      <c r="K91">
        <v>8.2464394112667899E-2</v>
      </c>
      <c r="L91">
        <v>1318.77895506867</v>
      </c>
      <c r="M91">
        <v>26.816105392851298</v>
      </c>
      <c r="N91">
        <v>49.461375847919498</v>
      </c>
      <c r="O91">
        <v>48.9075752463161</v>
      </c>
      <c r="P91">
        <v>-0.12733563415340099</v>
      </c>
      <c r="Q91">
        <v>7.1063749034801199E-2</v>
      </c>
      <c r="R91">
        <v>0.97795345906947195</v>
      </c>
      <c r="S91" t="s">
        <v>6761</v>
      </c>
      <c r="T91" t="s">
        <v>13338</v>
      </c>
      <c r="U91" t="s">
        <v>13338</v>
      </c>
      <c r="V91" t="s">
        <v>13338</v>
      </c>
      <c r="W91" t="s">
        <v>13429</v>
      </c>
      <c r="X91">
        <v>40</v>
      </c>
      <c r="Y91" t="s">
        <v>20031</v>
      </c>
      <c r="Z91" t="s">
        <v>26506</v>
      </c>
      <c r="AA91">
        <v>0.36241308773140268</v>
      </c>
      <c r="AB91" t="str">
        <f>HYPERLINK("Melting_Curves/meltCurve_B0V043_VARS.pdf", "Melting_Curves/meltCurve_B0V043_VARS.pdf")</f>
        <v>Melting_Curves/meltCurve_B0V043_VARS.pdf</v>
      </c>
    </row>
    <row r="92" spans="1:28" x14ac:dyDescent="0.25">
      <c r="A92" t="s">
        <v>96</v>
      </c>
      <c r="B92">
        <v>0.99193492352474899</v>
      </c>
      <c r="C92">
        <v>0.67361325687529905</v>
      </c>
      <c r="D92">
        <v>0.88712987182019598</v>
      </c>
      <c r="E92">
        <v>0.64938629760351196</v>
      </c>
      <c r="F92">
        <v>0.60505778001283494</v>
      </c>
      <c r="G92">
        <v>0.46247684208138101</v>
      </c>
      <c r="H92">
        <v>0.36615288518869099</v>
      </c>
      <c r="I92">
        <v>0.51836656185567798</v>
      </c>
      <c r="J92">
        <v>0.74410015565538201</v>
      </c>
      <c r="K92">
        <v>0.89007583280295199</v>
      </c>
      <c r="L92">
        <v>694.33673209498602</v>
      </c>
      <c r="M92">
        <v>15.895691749836599</v>
      </c>
      <c r="O92">
        <v>43.007021881358199</v>
      </c>
      <c r="P92">
        <v>-3.6865738900104403E-2</v>
      </c>
      <c r="Q92">
        <v>0.60105969589474495</v>
      </c>
      <c r="R92">
        <v>0.33231063167390001</v>
      </c>
      <c r="S92" t="s">
        <v>6762</v>
      </c>
      <c r="T92" t="s">
        <v>13338</v>
      </c>
      <c r="U92" t="s">
        <v>13338</v>
      </c>
      <c r="V92" t="s">
        <v>13338</v>
      </c>
      <c r="W92" t="s">
        <v>13430</v>
      </c>
      <c r="X92">
        <v>1</v>
      </c>
      <c r="Y92" t="s">
        <v>20032</v>
      </c>
      <c r="Z92" t="s">
        <v>26507</v>
      </c>
      <c r="AA92">
        <v>0.66346165432814874</v>
      </c>
      <c r="AB92" t="str">
        <f>HYPERLINK("Melting_Curves/meltCurve_B0YIW2_APOC3.pdf", "Melting_Curves/meltCurve_B0YIW2_APOC3.pdf")</f>
        <v>Melting_Curves/meltCurve_B0YIW2_APOC3.pdf</v>
      </c>
    </row>
    <row r="93" spans="1:28" x14ac:dyDescent="0.25">
      <c r="A93" t="s">
        <v>97</v>
      </c>
      <c r="B93">
        <v>0.99193492352474899</v>
      </c>
      <c r="C93">
        <v>0.86786147512907796</v>
      </c>
      <c r="D93">
        <v>0.79872339103497902</v>
      </c>
      <c r="E93">
        <v>0.76746210977838802</v>
      </c>
      <c r="F93">
        <v>0.42706696980846098</v>
      </c>
      <c r="G93">
        <v>0.30083679675067598</v>
      </c>
      <c r="H93">
        <v>0.18362470302154801</v>
      </c>
      <c r="I93">
        <v>0.16407420497844399</v>
      </c>
      <c r="J93">
        <v>0.12731815891728801</v>
      </c>
      <c r="K93">
        <v>0.125847059243541</v>
      </c>
      <c r="L93">
        <v>636.44431999239396</v>
      </c>
      <c r="M93">
        <v>12.256180203173599</v>
      </c>
      <c r="N93">
        <v>52.591602566495297</v>
      </c>
      <c r="O93">
        <v>50.604048329026803</v>
      </c>
      <c r="P93">
        <v>-5.6226671616455601E-2</v>
      </c>
      <c r="Q93">
        <v>7.1598061134566598E-2</v>
      </c>
      <c r="R93">
        <v>0.98178994730552605</v>
      </c>
      <c r="S93" t="s">
        <v>6763</v>
      </c>
      <c r="T93" t="s">
        <v>13338</v>
      </c>
      <c r="U93" t="s">
        <v>13338</v>
      </c>
      <c r="V93" t="s">
        <v>13338</v>
      </c>
      <c r="W93" t="s">
        <v>13431</v>
      </c>
      <c r="X93">
        <v>5</v>
      </c>
      <c r="Y93" t="s">
        <v>20033</v>
      </c>
      <c r="Z93" t="s">
        <v>26508</v>
      </c>
      <c r="AA93">
        <v>0.46851565679547108</v>
      </c>
      <c r="AB93" t="str">
        <f>HYPERLINK("Melting_Curves/meltCurve_B1AHD1_NHP2L1.pdf", "Melting_Curves/meltCurve_B1AHD1_NHP2L1.pdf")</f>
        <v>Melting_Curves/meltCurve_B1AHD1_NHP2L1.pdf</v>
      </c>
    </row>
    <row r="94" spans="1:28" x14ac:dyDescent="0.25">
      <c r="A94" t="s">
        <v>98</v>
      </c>
      <c r="B94">
        <v>0.99193492352474899</v>
      </c>
      <c r="C94">
        <v>0.69119475871415503</v>
      </c>
      <c r="D94">
        <v>0.52019342355967801</v>
      </c>
      <c r="E94">
        <v>1.1794052590128701</v>
      </c>
      <c r="F94">
        <v>0.59173404254668904</v>
      </c>
      <c r="G94">
        <v>0.37000086671341298</v>
      </c>
      <c r="H94">
        <v>0.53485802617549305</v>
      </c>
      <c r="I94">
        <v>0.65872012581759398</v>
      </c>
      <c r="J94">
        <v>1.1210661181395301</v>
      </c>
      <c r="K94">
        <v>1.6389922095691201</v>
      </c>
      <c r="L94">
        <v>15000</v>
      </c>
      <c r="M94">
        <v>222.40823817683901</v>
      </c>
      <c r="O94">
        <v>67.438092383029101</v>
      </c>
      <c r="P94">
        <v>0.41224520250898999</v>
      </c>
      <c r="Q94">
        <v>1.5</v>
      </c>
      <c r="R94">
        <v>8.2129456659423505E-2</v>
      </c>
      <c r="S94" t="s">
        <v>6764</v>
      </c>
      <c r="T94" t="s">
        <v>13338</v>
      </c>
      <c r="U94" t="s">
        <v>13338</v>
      </c>
      <c r="V94" t="s">
        <v>13338</v>
      </c>
      <c r="W94" t="s">
        <v>13432</v>
      </c>
      <c r="X94">
        <v>1</v>
      </c>
      <c r="Y94" t="s">
        <v>20034</v>
      </c>
      <c r="Z94" t="s">
        <v>26509</v>
      </c>
      <c r="AA94">
        <v>1.0425344353605741</v>
      </c>
      <c r="AB94" t="str">
        <f>HYPERLINK("Melting_Curves/meltCurve_B1AHQ6_CENPM.pdf", "Melting_Curves/meltCurve_B1AHQ6_CENPM.pdf")</f>
        <v>Melting_Curves/meltCurve_B1AHQ6_CENPM.pdf</v>
      </c>
    </row>
    <row r="95" spans="1:28" x14ac:dyDescent="0.25">
      <c r="A95" t="s">
        <v>99</v>
      </c>
      <c r="B95">
        <v>0.99193492352474899</v>
      </c>
      <c r="C95">
        <v>0.94557412362347304</v>
      </c>
      <c r="D95">
        <v>0.85330725832175303</v>
      </c>
      <c r="E95">
        <v>0.70695144955609801</v>
      </c>
      <c r="F95">
        <v>0.52671824317918003</v>
      </c>
      <c r="G95">
        <v>0.44462000704735199</v>
      </c>
      <c r="H95">
        <v>0.33194734996081898</v>
      </c>
      <c r="I95">
        <v>0.403810004546587</v>
      </c>
      <c r="J95">
        <v>0.33691226426145698</v>
      </c>
      <c r="K95">
        <v>0.42890001615017598</v>
      </c>
      <c r="L95">
        <v>815.703841695135</v>
      </c>
      <c r="M95">
        <v>16.398782505014399</v>
      </c>
      <c r="N95">
        <v>54.021809980968797</v>
      </c>
      <c r="O95">
        <v>49.019690893598103</v>
      </c>
      <c r="P95">
        <v>-5.3225574358515701E-2</v>
      </c>
      <c r="Q95">
        <v>0.36363190954336899</v>
      </c>
      <c r="R95">
        <v>0.98292082022469296</v>
      </c>
      <c r="S95" t="s">
        <v>6765</v>
      </c>
      <c r="T95" t="s">
        <v>13338</v>
      </c>
      <c r="U95" t="s">
        <v>13338</v>
      </c>
      <c r="V95" t="s">
        <v>13338</v>
      </c>
      <c r="W95" t="s">
        <v>13433</v>
      </c>
      <c r="X95">
        <v>11</v>
      </c>
      <c r="Y95" t="s">
        <v>20035</v>
      </c>
      <c r="Z95" t="s">
        <v>26510</v>
      </c>
      <c r="AA95">
        <v>0.58327073591855549</v>
      </c>
      <c r="AB95" t="str">
        <f>HYPERLINK("Melting_Curves/meltCurve_B1AJU2_TRAF3IP3.pdf", "Melting_Curves/meltCurve_B1AJU2_TRAF3IP3.pdf")</f>
        <v>Melting_Curves/meltCurve_B1AJU2_TRAF3IP3.pdf</v>
      </c>
    </row>
    <row r="96" spans="1:28" x14ac:dyDescent="0.25">
      <c r="A96" t="s">
        <v>100</v>
      </c>
      <c r="B96">
        <v>0.99193492352474899</v>
      </c>
      <c r="C96">
        <v>0.84620082336827196</v>
      </c>
      <c r="D96">
        <v>0.94949697777116104</v>
      </c>
      <c r="E96">
        <v>0.49828950691788898</v>
      </c>
      <c r="F96">
        <v>0.20127024000572899</v>
      </c>
      <c r="G96">
        <v>0.120326173544932</v>
      </c>
      <c r="H96">
        <v>8.1092984941354307E-2</v>
      </c>
      <c r="I96">
        <v>0.110069279864538</v>
      </c>
      <c r="J96">
        <v>0.14681662228300499</v>
      </c>
      <c r="K96">
        <v>0.131041790325683</v>
      </c>
      <c r="L96">
        <v>1575.98609732507</v>
      </c>
      <c r="M96">
        <v>32.005128289179098</v>
      </c>
      <c r="N96">
        <v>49.651800164614698</v>
      </c>
      <c r="O96">
        <v>49.050627887316203</v>
      </c>
      <c r="P96">
        <v>-0.14417582851637101</v>
      </c>
      <c r="Q96">
        <v>0.116156735608292</v>
      </c>
      <c r="R96">
        <v>0.98052364995986396</v>
      </c>
      <c r="S96" t="s">
        <v>6766</v>
      </c>
      <c r="T96" t="s">
        <v>13338</v>
      </c>
      <c r="U96" t="s">
        <v>13338</v>
      </c>
      <c r="V96" t="s">
        <v>13338</v>
      </c>
      <c r="W96" t="s">
        <v>13434</v>
      </c>
      <c r="X96">
        <v>8</v>
      </c>
      <c r="Y96" t="s">
        <v>20036</v>
      </c>
      <c r="Z96" t="s">
        <v>26511</v>
      </c>
      <c r="AA96">
        <v>0.39316390120381128</v>
      </c>
      <c r="AB96" t="str">
        <f>HYPERLINK("Melting_Curves/meltCurve_B1AJY7_PSMD10.pdf", "Melting_Curves/meltCurve_B1AJY7_PSMD10.pdf")</f>
        <v>Melting_Curves/meltCurve_B1AJY7_PSMD10.pdf</v>
      </c>
    </row>
    <row r="97" spans="1:28" x14ac:dyDescent="0.25">
      <c r="A97" t="s">
        <v>101</v>
      </c>
      <c r="B97">
        <v>0.99193492352474899</v>
      </c>
      <c r="C97">
        <v>0.80767644877358502</v>
      </c>
      <c r="D97">
        <v>0.97290236706340205</v>
      </c>
      <c r="E97">
        <v>0.73810523581910303</v>
      </c>
      <c r="F97">
        <v>0.65303557923466105</v>
      </c>
      <c r="G97">
        <v>0.38281062429128299</v>
      </c>
      <c r="H97">
        <v>0.206367261277772</v>
      </c>
      <c r="I97">
        <v>0.18222867479572499</v>
      </c>
      <c r="J97">
        <v>0.23057575383860901</v>
      </c>
      <c r="K97">
        <v>0.18467335599126899</v>
      </c>
      <c r="L97">
        <v>733.78209773675303</v>
      </c>
      <c r="M97">
        <v>13.7330439643397</v>
      </c>
      <c r="N97">
        <v>54.648718430969403</v>
      </c>
      <c r="O97">
        <v>52.337105028572097</v>
      </c>
      <c r="P97">
        <v>-5.6965749255717499E-2</v>
      </c>
      <c r="Q97">
        <v>0.131730123849156</v>
      </c>
      <c r="R97">
        <v>0.95489157084973497</v>
      </c>
      <c r="S97" t="s">
        <v>6767</v>
      </c>
      <c r="T97" t="s">
        <v>13338</v>
      </c>
      <c r="U97" t="s">
        <v>13338</v>
      </c>
      <c r="V97" t="s">
        <v>13338</v>
      </c>
      <c r="W97" t="s">
        <v>13435</v>
      </c>
      <c r="X97">
        <v>8</v>
      </c>
      <c r="Y97" t="s">
        <v>20037</v>
      </c>
      <c r="Z97" t="s">
        <v>26512</v>
      </c>
      <c r="AA97">
        <v>0.54098497517660438</v>
      </c>
      <c r="AB97" t="str">
        <f>HYPERLINK("Melting_Curves/meltCurve_B1AK13_HMGCL.pdf", "Melting_Curves/meltCurve_B1AK13_HMGCL.pdf")</f>
        <v>Melting_Curves/meltCurve_B1AK13_HMGCL.pdf</v>
      </c>
    </row>
    <row r="98" spans="1:28" x14ac:dyDescent="0.25">
      <c r="A98" t="s">
        <v>102</v>
      </c>
      <c r="B98">
        <v>0.99193492352474899</v>
      </c>
      <c r="C98">
        <v>0.87487601521722103</v>
      </c>
      <c r="D98">
        <v>0.78347099924816199</v>
      </c>
      <c r="E98">
        <v>0.40561724497305601</v>
      </c>
      <c r="F98">
        <v>0.209502810751725</v>
      </c>
      <c r="G98">
        <v>0.13350032074356899</v>
      </c>
      <c r="H98">
        <v>7.58355292140169E-2</v>
      </c>
      <c r="I98">
        <v>7.2028047653815402E-2</v>
      </c>
      <c r="J98">
        <v>7.5450073118059499E-2</v>
      </c>
      <c r="K98">
        <v>7.2833774808161306E-2</v>
      </c>
      <c r="L98">
        <v>918.82059707707697</v>
      </c>
      <c r="M98">
        <v>18.9963153836439</v>
      </c>
      <c r="N98">
        <v>48.7397439613394</v>
      </c>
      <c r="O98">
        <v>47.841914890042297</v>
      </c>
      <c r="P98">
        <v>-9.2581261995631201E-2</v>
      </c>
      <c r="Q98">
        <v>6.7379579137447104E-2</v>
      </c>
      <c r="R98">
        <v>0.99623050193666896</v>
      </c>
      <c r="S98" t="s">
        <v>6768</v>
      </c>
      <c r="T98" t="s">
        <v>13338</v>
      </c>
      <c r="U98" t="s">
        <v>13338</v>
      </c>
      <c r="V98" t="s">
        <v>13338</v>
      </c>
      <c r="W98" t="s">
        <v>13436</v>
      </c>
      <c r="X98">
        <v>3</v>
      </c>
      <c r="Y98" t="s">
        <v>20038</v>
      </c>
      <c r="Z98" t="s">
        <v>26513</v>
      </c>
      <c r="AA98">
        <v>0.34218446975300387</v>
      </c>
      <c r="AB98" t="str">
        <f>HYPERLINK("Melting_Curves/meltCurve_B1AK44_MAD2L2.pdf", "Melting_Curves/meltCurve_B1AK44_MAD2L2.pdf")</f>
        <v>Melting_Curves/meltCurve_B1AK44_MAD2L2.pdf</v>
      </c>
    </row>
    <row r="99" spans="1:28" x14ac:dyDescent="0.25">
      <c r="A99" t="s">
        <v>103</v>
      </c>
      <c r="B99">
        <v>0.99193492352474899</v>
      </c>
      <c r="C99">
        <v>0.89980474729642501</v>
      </c>
      <c r="D99">
        <v>0.87001270686319199</v>
      </c>
      <c r="E99">
        <v>0.62037444192014002</v>
      </c>
      <c r="F99">
        <v>0.37107488844971898</v>
      </c>
      <c r="G99">
        <v>0.13604526842450601</v>
      </c>
      <c r="H99">
        <v>6.4888265182902402E-2</v>
      </c>
      <c r="I99">
        <v>7.2284828926026806E-2</v>
      </c>
      <c r="J99">
        <v>6.9664322825625596E-2</v>
      </c>
      <c r="K99">
        <v>7.4799858526171104E-2</v>
      </c>
      <c r="L99">
        <v>875.50803083775804</v>
      </c>
      <c r="M99">
        <v>17.244347836012899</v>
      </c>
      <c r="N99">
        <v>51.030708117502698</v>
      </c>
      <c r="O99">
        <v>50.102715765771897</v>
      </c>
      <c r="P99">
        <v>-8.2431307858376698E-2</v>
      </c>
      <c r="Q99">
        <v>4.2053418990554099E-2</v>
      </c>
      <c r="R99">
        <v>0.99427900775811695</v>
      </c>
      <c r="S99" t="s">
        <v>6769</v>
      </c>
      <c r="T99" t="s">
        <v>13338</v>
      </c>
      <c r="U99" t="s">
        <v>13338</v>
      </c>
      <c r="V99" t="s">
        <v>13338</v>
      </c>
      <c r="W99" t="s">
        <v>13437</v>
      </c>
      <c r="X99">
        <v>4</v>
      </c>
      <c r="Y99" t="s">
        <v>20039</v>
      </c>
      <c r="Z99" t="s">
        <v>26514</v>
      </c>
      <c r="AA99">
        <v>0.40347007766378179</v>
      </c>
      <c r="AB99" t="str">
        <f>HYPERLINK("Melting_Curves/meltCurve_B1AKC9_EPHB2.pdf", "Melting_Curves/meltCurve_B1AKC9_EPHB2.pdf")</f>
        <v>Melting_Curves/meltCurve_B1AKC9_EPHB2.pdf</v>
      </c>
    </row>
    <row r="100" spans="1:28" x14ac:dyDescent="0.25">
      <c r="A100" t="s">
        <v>104</v>
      </c>
      <c r="B100">
        <v>0.99193492352474899</v>
      </c>
      <c r="C100">
        <v>0.90714369356775704</v>
      </c>
      <c r="D100">
        <v>0.91999899329411805</v>
      </c>
      <c r="E100">
        <v>0.60777157154372297</v>
      </c>
      <c r="F100">
        <v>0.21491612145748201</v>
      </c>
      <c r="G100">
        <v>0.120506131280932</v>
      </c>
      <c r="H100">
        <v>7.7935075083408106E-2</v>
      </c>
      <c r="I100">
        <v>7.8216515923587304E-2</v>
      </c>
      <c r="J100">
        <v>8.7884310332560098E-2</v>
      </c>
      <c r="K100">
        <v>9.4108105076097903E-2</v>
      </c>
      <c r="L100">
        <v>1360.2319944327101</v>
      </c>
      <c r="M100">
        <v>27.1889102840228</v>
      </c>
      <c r="N100">
        <v>50.3546042688317</v>
      </c>
      <c r="O100">
        <v>49.760636645023403</v>
      </c>
      <c r="P100">
        <v>-0.12558619768179399</v>
      </c>
      <c r="Q100">
        <v>8.0626783004657601E-2</v>
      </c>
      <c r="R100">
        <v>0.99455496512918995</v>
      </c>
      <c r="S100" t="s">
        <v>6770</v>
      </c>
      <c r="T100" t="s">
        <v>13338</v>
      </c>
      <c r="U100" t="s">
        <v>13338</v>
      </c>
      <c r="V100" t="s">
        <v>13338</v>
      </c>
      <c r="W100" t="s">
        <v>13438</v>
      </c>
      <c r="X100">
        <v>35</v>
      </c>
      <c r="Y100" t="s">
        <v>20040</v>
      </c>
      <c r="Z100" t="s">
        <v>26515</v>
      </c>
      <c r="AA100">
        <v>0.39491185550937569</v>
      </c>
      <c r="AB100" t="str">
        <f>HYPERLINK("Melting_Curves/meltCurve_B1AKJ5_NRD1.pdf", "Melting_Curves/meltCurve_B1AKJ5_NRD1.pdf")</f>
        <v>Melting_Curves/meltCurve_B1AKJ5_NRD1.pdf</v>
      </c>
    </row>
    <row r="101" spans="1:28" x14ac:dyDescent="0.25">
      <c r="A101" t="s">
        <v>105</v>
      </c>
      <c r="B101">
        <v>0.99193492352474899</v>
      </c>
      <c r="C101">
        <v>0.802319828273651</v>
      </c>
      <c r="D101">
        <v>0.43402150268712603</v>
      </c>
      <c r="E101">
        <v>0.18378334304577301</v>
      </c>
      <c r="F101">
        <v>0.12551913567006501</v>
      </c>
      <c r="G101">
        <v>9.4521992690696E-2</v>
      </c>
      <c r="H101">
        <v>4.9191169972110697E-2</v>
      </c>
      <c r="I101">
        <v>5.8663851517813802E-2</v>
      </c>
      <c r="J101">
        <v>7.3379859999434596E-2</v>
      </c>
      <c r="K101">
        <v>8.2234692329316197E-2</v>
      </c>
      <c r="L101">
        <v>1093.0922101735</v>
      </c>
      <c r="M101">
        <v>24.1699464051107</v>
      </c>
      <c r="N101">
        <v>45.533298560298697</v>
      </c>
      <c r="O101">
        <v>44.919097873564603</v>
      </c>
      <c r="P101">
        <v>-0.124374979774324</v>
      </c>
      <c r="Q101">
        <v>7.5426187490699695E-2</v>
      </c>
      <c r="R101">
        <v>0.99707138656684202</v>
      </c>
      <c r="S101" t="s">
        <v>6771</v>
      </c>
      <c r="T101" t="s">
        <v>13338</v>
      </c>
      <c r="U101" t="s">
        <v>13338</v>
      </c>
      <c r="V101" t="s">
        <v>13338</v>
      </c>
      <c r="W101" t="s">
        <v>13439</v>
      </c>
      <c r="X101">
        <v>12</v>
      </c>
      <c r="Y101" t="s">
        <v>20041</v>
      </c>
      <c r="Z101" t="s">
        <v>26516</v>
      </c>
      <c r="AA101">
        <v>0.246233006485713</v>
      </c>
      <c r="AB101" t="str">
        <f>HYPERLINK("Melting_Curves/meltCurve_B1AKJ6_OSBPL9.pdf", "Melting_Curves/meltCurve_B1AKJ6_OSBPL9.pdf")</f>
        <v>Melting_Curves/meltCurve_B1AKJ6_OSBPL9.pdf</v>
      </c>
    </row>
    <row r="102" spans="1:28" x14ac:dyDescent="0.25">
      <c r="A102" t="s">
        <v>106</v>
      </c>
      <c r="B102">
        <v>0.99193492352474899</v>
      </c>
      <c r="C102">
        <v>0.73286108920622495</v>
      </c>
      <c r="D102">
        <v>0.60939261980495496</v>
      </c>
      <c r="E102">
        <v>0.334457872720195</v>
      </c>
      <c r="F102">
        <v>0.26847680593804202</v>
      </c>
      <c r="G102">
        <v>0.203769333979643</v>
      </c>
      <c r="H102">
        <v>0.18554052885975</v>
      </c>
      <c r="I102">
        <v>0.23666505075750999</v>
      </c>
      <c r="J102">
        <v>0.31610511681619502</v>
      </c>
      <c r="K102">
        <v>0.45618814341494501</v>
      </c>
      <c r="L102">
        <v>948.30815872894505</v>
      </c>
      <c r="M102">
        <v>21.131834488434599</v>
      </c>
      <c r="N102">
        <v>46.611138310646297</v>
      </c>
      <c r="O102">
        <v>44.479743454331398</v>
      </c>
      <c r="P102">
        <v>-8.6428814608006804E-2</v>
      </c>
      <c r="Q102">
        <v>0.27233386747487198</v>
      </c>
      <c r="R102">
        <v>0.90105966307680896</v>
      </c>
      <c r="S102" t="s">
        <v>6772</v>
      </c>
      <c r="T102" t="s">
        <v>13338</v>
      </c>
      <c r="U102" t="s">
        <v>13338</v>
      </c>
      <c r="V102" t="s">
        <v>13338</v>
      </c>
      <c r="W102" t="s">
        <v>13440</v>
      </c>
      <c r="X102">
        <v>4</v>
      </c>
      <c r="Y102" t="s">
        <v>20042</v>
      </c>
      <c r="Z102" t="s">
        <v>26517</v>
      </c>
      <c r="AA102">
        <v>0.40158197576854282</v>
      </c>
      <c r="AB102" t="str">
        <f>HYPERLINK("Melting_Curves/meltCurve_B1AKL4_EIF4ENIF1.pdf", "Melting_Curves/meltCurve_B1AKL4_EIF4ENIF1.pdf")</f>
        <v>Melting_Curves/meltCurve_B1AKL4_EIF4ENIF1.pdf</v>
      </c>
    </row>
    <row r="103" spans="1:28" x14ac:dyDescent="0.25">
      <c r="A103" t="s">
        <v>107</v>
      </c>
      <c r="B103">
        <v>0.99193492352474899</v>
      </c>
      <c r="C103">
        <v>0.68615471589061405</v>
      </c>
      <c r="D103">
        <v>0.98883087765402</v>
      </c>
      <c r="E103">
        <v>0.61922918075053002</v>
      </c>
      <c r="F103">
        <v>0.50765772109531204</v>
      </c>
      <c r="G103">
        <v>0.31975196075866102</v>
      </c>
      <c r="H103">
        <v>0.33493824206424799</v>
      </c>
      <c r="I103">
        <v>0.28717256008855602</v>
      </c>
      <c r="J103">
        <v>0.36109737785785501</v>
      </c>
      <c r="K103">
        <v>0.30486444537204199</v>
      </c>
      <c r="L103">
        <v>658.86664051577702</v>
      </c>
      <c r="M103">
        <v>13.2687583491146</v>
      </c>
      <c r="N103">
        <v>52.913667909956999</v>
      </c>
      <c r="O103">
        <v>48.568282126781497</v>
      </c>
      <c r="P103">
        <v>-4.9243167561935003E-2</v>
      </c>
      <c r="Q103">
        <v>0.27912906622241102</v>
      </c>
      <c r="R103">
        <v>0.85694305079065902</v>
      </c>
      <c r="S103" t="s">
        <v>6773</v>
      </c>
      <c r="T103" t="s">
        <v>13338</v>
      </c>
      <c r="U103" t="s">
        <v>13338</v>
      </c>
      <c r="V103" t="s">
        <v>13338</v>
      </c>
      <c r="W103" t="s">
        <v>13441</v>
      </c>
      <c r="X103">
        <v>3</v>
      </c>
      <c r="Y103" t="s">
        <v>20043</v>
      </c>
      <c r="Z103" t="s">
        <v>26518</v>
      </c>
      <c r="AA103">
        <v>0.53270886091573799</v>
      </c>
      <c r="AB103" t="str">
        <f>HYPERLINK("Melting_Curves/meltCurve_B1AKN7_NFIA.pdf", "Melting_Curves/meltCurve_B1AKN7_NFIA.pdf")</f>
        <v>Melting_Curves/meltCurve_B1AKN7_NFIA.pdf</v>
      </c>
    </row>
    <row r="104" spans="1:28" x14ac:dyDescent="0.25">
      <c r="A104" t="s">
        <v>108</v>
      </c>
      <c r="B104">
        <v>0.99193492352474899</v>
      </c>
      <c r="C104">
        <v>0.63200812822882502</v>
      </c>
      <c r="D104">
        <v>0.838933323651056</v>
      </c>
      <c r="E104">
        <v>0.60386125925187195</v>
      </c>
      <c r="F104">
        <v>0.60717852431755504</v>
      </c>
      <c r="G104">
        <v>0.36106794978229501</v>
      </c>
      <c r="H104">
        <v>0.35307036489340199</v>
      </c>
      <c r="I104">
        <v>0.23202702495137401</v>
      </c>
      <c r="J104">
        <v>0.29527153301676901</v>
      </c>
      <c r="K104">
        <v>0.23789311769096</v>
      </c>
      <c r="L104">
        <v>337.78255039707699</v>
      </c>
      <c r="M104">
        <v>6.3997902934795201</v>
      </c>
      <c r="N104">
        <v>53.938471757046798</v>
      </c>
      <c r="O104">
        <v>48.333415184687901</v>
      </c>
      <c r="P104">
        <v>-3.1056751228302901E-2</v>
      </c>
      <c r="Q104">
        <v>6.4199072806457494E-2</v>
      </c>
      <c r="R104">
        <v>0.87718680793861104</v>
      </c>
      <c r="S104" t="s">
        <v>6774</v>
      </c>
      <c r="T104" t="s">
        <v>13338</v>
      </c>
      <c r="U104" t="s">
        <v>13338</v>
      </c>
      <c r="V104" t="s">
        <v>13338</v>
      </c>
      <c r="W104" t="s">
        <v>13442</v>
      </c>
      <c r="X104">
        <v>3</v>
      </c>
      <c r="Y104" t="s">
        <v>20044</v>
      </c>
      <c r="Z104" t="s">
        <v>26519</v>
      </c>
      <c r="AA104">
        <v>0.50813093500407014</v>
      </c>
      <c r="AB104" t="str">
        <f>HYPERLINK("Melting_Curves/meltCurve_B1AKR6_DYNLRB1.pdf", "Melting_Curves/meltCurve_B1AKR6_DYNLRB1.pdf")</f>
        <v>Melting_Curves/meltCurve_B1AKR6_DYNLRB1.pdf</v>
      </c>
    </row>
    <row r="105" spans="1:28" x14ac:dyDescent="0.25">
      <c r="A105" t="s">
        <v>109</v>
      </c>
      <c r="B105">
        <v>0.99193492352474899</v>
      </c>
      <c r="C105">
        <v>0.61944438367689103</v>
      </c>
      <c r="D105">
        <v>0.73642898683028402</v>
      </c>
      <c r="E105">
        <v>0.28287142775536001</v>
      </c>
      <c r="F105">
        <v>0.16107005779314201</v>
      </c>
      <c r="G105">
        <v>9.7160658212862794E-2</v>
      </c>
      <c r="H105">
        <v>6.7370058856193196E-2</v>
      </c>
      <c r="I105">
        <v>7.8182003804931094E-2</v>
      </c>
      <c r="J105">
        <v>0.10475401748866101</v>
      </c>
      <c r="K105">
        <v>0.16693071937797699</v>
      </c>
      <c r="L105">
        <v>716.208320059019</v>
      </c>
      <c r="M105">
        <v>15.4276713185528</v>
      </c>
      <c r="N105">
        <v>46.948870245186903</v>
      </c>
      <c r="O105">
        <v>45.6646030557811</v>
      </c>
      <c r="P105">
        <v>-7.7774179620383493E-2</v>
      </c>
      <c r="Q105">
        <v>7.9263324863465406E-2</v>
      </c>
      <c r="R105">
        <v>0.92303873093672495</v>
      </c>
      <c r="S105" t="s">
        <v>6775</v>
      </c>
      <c r="T105" t="s">
        <v>13338</v>
      </c>
      <c r="U105" t="s">
        <v>13338</v>
      </c>
      <c r="V105" t="s">
        <v>13338</v>
      </c>
      <c r="W105" t="s">
        <v>13443</v>
      </c>
      <c r="X105">
        <v>5</v>
      </c>
      <c r="Y105" t="s">
        <v>20045</v>
      </c>
      <c r="Z105" t="s">
        <v>26520</v>
      </c>
      <c r="AA105">
        <v>0.3009335639734253</v>
      </c>
      <c r="AB105" t="str">
        <f>HYPERLINK("Melting_Curves/meltCurve_B1AKZ5_PEA15.pdf", "Melting_Curves/meltCurve_B1AKZ5_PEA15.pdf")</f>
        <v>Melting_Curves/meltCurve_B1AKZ5_PEA15.pdf</v>
      </c>
    </row>
    <row r="106" spans="1:28" x14ac:dyDescent="0.25">
      <c r="A106" t="s">
        <v>110</v>
      </c>
      <c r="B106">
        <v>0.99193492352474899</v>
      </c>
      <c r="C106">
        <v>0.811579061775621</v>
      </c>
      <c r="D106">
        <v>0.73066446849964595</v>
      </c>
      <c r="E106">
        <v>0.33257963839671201</v>
      </c>
      <c r="F106">
        <v>0.36010319818361602</v>
      </c>
      <c r="G106">
        <v>8.3900595058874095E-2</v>
      </c>
      <c r="H106">
        <v>6.2306074045504901E-2</v>
      </c>
      <c r="I106">
        <v>6.24540212947403E-2</v>
      </c>
      <c r="J106">
        <v>7.1547873613908297E-2</v>
      </c>
      <c r="K106">
        <v>0.10217045176072601</v>
      </c>
      <c r="L106">
        <v>704.903367831472</v>
      </c>
      <c r="M106">
        <v>14.6718774253616</v>
      </c>
      <c r="N106">
        <v>48.420547432555303</v>
      </c>
      <c r="O106">
        <v>47.178466188249701</v>
      </c>
      <c r="P106">
        <v>-7.3568458869690198E-2</v>
      </c>
      <c r="Q106">
        <v>5.3845761178654201E-2</v>
      </c>
      <c r="R106">
        <v>0.96860456160152397</v>
      </c>
      <c r="S106" t="s">
        <v>6776</v>
      </c>
      <c r="T106" t="s">
        <v>13338</v>
      </c>
      <c r="U106" t="s">
        <v>13338</v>
      </c>
      <c r="V106" t="s">
        <v>13338</v>
      </c>
      <c r="W106" t="s">
        <v>13444</v>
      </c>
      <c r="X106">
        <v>3</v>
      </c>
      <c r="Y106" t="s">
        <v>20046</v>
      </c>
      <c r="Z106" t="s">
        <v>26521</v>
      </c>
      <c r="AA106">
        <v>0.33293483023566778</v>
      </c>
      <c r="AB106" t="str">
        <f>HYPERLINK("Melting_Curves/meltCurve_B1AL69_CDC37L1.pdf", "Melting_Curves/meltCurve_B1AL69_CDC37L1.pdf")</f>
        <v>Melting_Curves/meltCurve_B1AL69_CDC37L1.pdf</v>
      </c>
    </row>
    <row r="107" spans="1:28" x14ac:dyDescent="0.25">
      <c r="A107" t="s">
        <v>111</v>
      </c>
      <c r="B107">
        <v>0.99193492352474899</v>
      </c>
      <c r="C107">
        <v>0.89669252037967195</v>
      </c>
      <c r="D107">
        <v>0.92053827385063203</v>
      </c>
      <c r="E107">
        <v>0.39765405654938102</v>
      </c>
      <c r="F107">
        <v>0.21683300552575199</v>
      </c>
      <c r="G107">
        <v>0.12907781664940399</v>
      </c>
      <c r="H107">
        <v>7.4958082388292893E-2</v>
      </c>
      <c r="I107">
        <v>6.8485665363052395E-2</v>
      </c>
      <c r="J107">
        <v>9.9581488125657106E-2</v>
      </c>
      <c r="K107">
        <v>5.7850661024966603E-2</v>
      </c>
      <c r="L107">
        <v>1394.3884414827801</v>
      </c>
      <c r="M107">
        <v>28.575432080708602</v>
      </c>
      <c r="N107">
        <v>49.126656776422699</v>
      </c>
      <c r="O107">
        <v>48.559660257947101</v>
      </c>
      <c r="P107">
        <v>-0.13427268167245399</v>
      </c>
      <c r="Q107">
        <v>8.7302207598732806E-2</v>
      </c>
      <c r="R107">
        <v>0.98755708712028101</v>
      </c>
      <c r="S107" t="s">
        <v>6777</v>
      </c>
      <c r="T107" t="s">
        <v>13338</v>
      </c>
      <c r="U107" t="s">
        <v>13338</v>
      </c>
      <c r="V107" t="s">
        <v>13338</v>
      </c>
      <c r="W107" t="s">
        <v>13445</v>
      </c>
      <c r="X107">
        <v>5</v>
      </c>
      <c r="Y107" t="s">
        <v>20047</v>
      </c>
      <c r="Z107" t="s">
        <v>26522</v>
      </c>
      <c r="AA107">
        <v>0.36105563084270559</v>
      </c>
      <c r="AB107" t="str">
        <f>HYPERLINK("Melting_Curves/meltCurve_B1ALK7_ARHGEF7.pdf", "Melting_Curves/meltCurve_B1ALK7_ARHGEF7.pdf")</f>
        <v>Melting_Curves/meltCurve_B1ALK7_ARHGEF7.pdf</v>
      </c>
    </row>
    <row r="108" spans="1:28" x14ac:dyDescent="0.25">
      <c r="A108" t="s">
        <v>112</v>
      </c>
      <c r="B108">
        <v>0.99193492352474899</v>
      </c>
      <c r="C108">
        <v>1.46376532029981</v>
      </c>
      <c r="D108">
        <v>0.49081933118253701</v>
      </c>
      <c r="E108">
        <v>0.73017694906146802</v>
      </c>
      <c r="F108">
        <v>0.244413913218469</v>
      </c>
      <c r="G108">
        <v>0.34494740261061102</v>
      </c>
      <c r="H108">
        <v>0.182803292099254</v>
      </c>
      <c r="I108">
        <v>0.23308851850472201</v>
      </c>
      <c r="J108">
        <v>0.16743263551877399</v>
      </c>
      <c r="K108">
        <v>0.321108122502481</v>
      </c>
      <c r="L108">
        <v>1024.62375129779</v>
      </c>
      <c r="M108">
        <v>20.9972945422371</v>
      </c>
      <c r="N108">
        <v>50.2872024654068</v>
      </c>
      <c r="O108">
        <v>48.361748577862301</v>
      </c>
      <c r="P108">
        <v>-8.3414528038211505E-2</v>
      </c>
      <c r="Q108">
        <v>0.23152688053874201</v>
      </c>
      <c r="R108">
        <v>0.73217078584259998</v>
      </c>
      <c r="S108" t="s">
        <v>6778</v>
      </c>
      <c r="T108" t="s">
        <v>13338</v>
      </c>
      <c r="U108" t="s">
        <v>13338</v>
      </c>
      <c r="V108" t="s">
        <v>13338</v>
      </c>
      <c r="W108" t="s">
        <v>13446</v>
      </c>
      <c r="X108">
        <v>2</v>
      </c>
      <c r="Y108" t="s">
        <v>20048</v>
      </c>
      <c r="Z108" t="s">
        <v>26523</v>
      </c>
      <c r="AA108">
        <v>0.46665160907135428</v>
      </c>
      <c r="AB108" t="str">
        <f>HYPERLINK("Melting_Curves/meltCurve_B1ALM5_TMEM9.pdf", "Melting_Curves/meltCurve_B1ALM5_TMEM9.pdf")</f>
        <v>Melting_Curves/meltCurve_B1ALM5_TMEM9.pdf</v>
      </c>
    </row>
    <row r="109" spans="1:28" x14ac:dyDescent="0.25">
      <c r="A109" t="s">
        <v>113</v>
      </c>
      <c r="B109">
        <v>0.99193492352474899</v>
      </c>
      <c r="C109">
        <v>1.0241987221332201</v>
      </c>
      <c r="D109">
        <v>0.87244080341129504</v>
      </c>
      <c r="E109">
        <v>0.63129348473786895</v>
      </c>
      <c r="F109">
        <v>0.23966630504403</v>
      </c>
      <c r="G109">
        <v>0.15203727806473499</v>
      </c>
      <c r="H109">
        <v>9.3241829073038102E-2</v>
      </c>
      <c r="I109">
        <v>0.19813737276385801</v>
      </c>
      <c r="J109">
        <v>0.13967849667250901</v>
      </c>
      <c r="K109">
        <v>0.242481964564709</v>
      </c>
      <c r="L109">
        <v>1486.45428827765</v>
      </c>
      <c r="M109">
        <v>29.8689348116954</v>
      </c>
      <c r="N109">
        <v>50.406046445937598</v>
      </c>
      <c r="O109">
        <v>49.544421491457499</v>
      </c>
      <c r="P109">
        <v>-0.12692935879313899</v>
      </c>
      <c r="Q109">
        <v>0.15784074635494499</v>
      </c>
      <c r="R109">
        <v>0.98407493405038104</v>
      </c>
      <c r="S109" t="s">
        <v>6779</v>
      </c>
      <c r="T109" t="s">
        <v>13338</v>
      </c>
      <c r="U109" t="s">
        <v>13338</v>
      </c>
      <c r="V109" t="s">
        <v>13338</v>
      </c>
      <c r="W109" t="s">
        <v>13447</v>
      </c>
      <c r="X109">
        <v>3</v>
      </c>
      <c r="Y109" t="s">
        <v>20049</v>
      </c>
      <c r="Z109" t="s">
        <v>26524</v>
      </c>
      <c r="AA109">
        <v>0.43722436052549329</v>
      </c>
      <c r="AB109" t="str">
        <f>HYPERLINK("Melting_Curves/meltCurve_B1AMF0_UBE2J2.pdf", "Melting_Curves/meltCurve_B1AMF0_UBE2J2.pdf")</f>
        <v>Melting_Curves/meltCurve_B1AMF0_UBE2J2.pdf</v>
      </c>
    </row>
    <row r="110" spans="1:28" x14ac:dyDescent="0.25">
      <c r="A110" t="s">
        <v>114</v>
      </c>
      <c r="B110">
        <v>0.99193492352474899</v>
      </c>
      <c r="C110">
        <v>0.89771612418302604</v>
      </c>
      <c r="D110">
        <v>0.95029289454956001</v>
      </c>
      <c r="E110">
        <v>0.74837545961056395</v>
      </c>
      <c r="F110">
        <v>0.58984959770064105</v>
      </c>
      <c r="G110">
        <v>0.25965026369858901</v>
      </c>
      <c r="H110">
        <v>0.17550166006590101</v>
      </c>
      <c r="I110">
        <v>0.12926282215489701</v>
      </c>
      <c r="J110">
        <v>9.9342558989532703E-2</v>
      </c>
      <c r="K110">
        <v>8.9511959883841599E-2</v>
      </c>
      <c r="L110">
        <v>847.67471198991802</v>
      </c>
      <c r="M110">
        <v>15.9370317973044</v>
      </c>
      <c r="N110">
        <v>53.642926673056202</v>
      </c>
      <c r="O110">
        <v>52.3726798691455</v>
      </c>
      <c r="P110">
        <v>-7.1281893978356894E-2</v>
      </c>
      <c r="Q110">
        <v>6.3081128770046693E-2</v>
      </c>
      <c r="R110">
        <v>0.98896106032982101</v>
      </c>
      <c r="S110" t="s">
        <v>6780</v>
      </c>
      <c r="T110" t="s">
        <v>13338</v>
      </c>
      <c r="U110" t="s">
        <v>13338</v>
      </c>
      <c r="V110" t="s">
        <v>13338</v>
      </c>
      <c r="W110" t="s">
        <v>13448</v>
      </c>
      <c r="X110">
        <v>26</v>
      </c>
      <c r="Y110" t="s">
        <v>20050</v>
      </c>
      <c r="Z110" t="s">
        <v>26525</v>
      </c>
      <c r="AA110">
        <v>0.49335093033749261</v>
      </c>
      <c r="AB110" t="str">
        <f>HYPERLINK("Melting_Curves/meltCurve_B1AMS2_SEPT6.pdf", "Melting_Curves/meltCurve_B1AMS2_SEPT6.pdf")</f>
        <v>Melting_Curves/meltCurve_B1AMS2_SEPT6.pdf</v>
      </c>
    </row>
    <row r="111" spans="1:28" x14ac:dyDescent="0.25">
      <c r="A111" t="s">
        <v>115</v>
      </c>
      <c r="B111">
        <v>0.99193492352474899</v>
      </c>
      <c r="C111">
        <v>0.62137924517334198</v>
      </c>
      <c r="D111">
        <v>0.73084521537734604</v>
      </c>
      <c r="E111">
        <v>0.19185833316889001</v>
      </c>
      <c r="F111">
        <v>8.1542558889148006E-2</v>
      </c>
      <c r="G111">
        <v>4.5167224545370199E-2</v>
      </c>
      <c r="H111">
        <v>3.6118256960431701E-2</v>
      </c>
      <c r="I111">
        <v>3.5960823134151602E-2</v>
      </c>
      <c r="J111">
        <v>3.0257609062785899E-2</v>
      </c>
      <c r="K111">
        <v>2.9933059872619801E-2</v>
      </c>
      <c r="L111">
        <v>767.28816670949004</v>
      </c>
      <c r="M111">
        <v>16.4957795066023</v>
      </c>
      <c r="N111">
        <v>46.566902033552701</v>
      </c>
      <c r="O111">
        <v>45.846769643970497</v>
      </c>
      <c r="P111">
        <v>-8.9125160318038202E-2</v>
      </c>
      <c r="Q111">
        <v>9.2460529857842297E-3</v>
      </c>
      <c r="R111">
        <v>0.93429774040060098</v>
      </c>
      <c r="S111" t="s">
        <v>6781</v>
      </c>
      <c r="T111" t="s">
        <v>13338</v>
      </c>
      <c r="U111" t="s">
        <v>13338</v>
      </c>
      <c r="V111" t="s">
        <v>13338</v>
      </c>
      <c r="W111" t="s">
        <v>13449</v>
      </c>
      <c r="X111">
        <v>5</v>
      </c>
      <c r="Y111" t="s">
        <v>20051</v>
      </c>
      <c r="Z111" t="s">
        <v>26526</v>
      </c>
      <c r="AA111">
        <v>0.24710285733582671</v>
      </c>
      <c r="AB111" t="str">
        <f>HYPERLINK("Melting_Curves/meltCurve_B1AMU7_EXOSC1.pdf", "Melting_Curves/meltCurve_B1AMU7_EXOSC1.pdf")</f>
        <v>Melting_Curves/meltCurve_B1AMU7_EXOSC1.pdf</v>
      </c>
    </row>
    <row r="112" spans="1:28" x14ac:dyDescent="0.25">
      <c r="A112" t="s">
        <v>116</v>
      </c>
      <c r="B112">
        <v>0.99193492352474899</v>
      </c>
      <c r="C112">
        <v>0.93492608450379</v>
      </c>
      <c r="D112">
        <v>0.98586608218690996</v>
      </c>
      <c r="E112">
        <v>0.77668576693719305</v>
      </c>
      <c r="F112">
        <v>0.69588303268025198</v>
      </c>
      <c r="G112">
        <v>0.54826625352930802</v>
      </c>
      <c r="H112">
        <v>0.48745338310237302</v>
      </c>
      <c r="I112">
        <v>0.44350070840671002</v>
      </c>
      <c r="J112">
        <v>0.67197733252937197</v>
      </c>
      <c r="K112">
        <v>0.63577383310206403</v>
      </c>
      <c r="L112">
        <v>1205.0736030517801</v>
      </c>
      <c r="M112">
        <v>24.053846221308198</v>
      </c>
      <c r="O112">
        <v>49.756582483169602</v>
      </c>
      <c r="P112">
        <v>-5.3506854719223597E-2</v>
      </c>
      <c r="Q112">
        <v>0.55728052481867296</v>
      </c>
      <c r="R112">
        <v>0.87017120962162597</v>
      </c>
      <c r="S112" t="s">
        <v>6782</v>
      </c>
      <c r="T112" t="s">
        <v>13338</v>
      </c>
      <c r="U112" t="s">
        <v>13338</v>
      </c>
      <c r="V112" t="s">
        <v>13338</v>
      </c>
      <c r="W112" t="s">
        <v>13450</v>
      </c>
      <c r="X112">
        <v>5</v>
      </c>
      <c r="Y112" t="s">
        <v>20052</v>
      </c>
      <c r="Z112" t="s">
        <v>26527</v>
      </c>
      <c r="AA112">
        <v>0.71059379759660346</v>
      </c>
      <c r="AB112" t="str">
        <f>HYPERLINK("Melting_Curves/meltCurve_B1AMW1_CD58.pdf", "Melting_Curves/meltCurve_B1AMW1_CD58.pdf")</f>
        <v>Melting_Curves/meltCurve_B1AMW1_CD58.pdf</v>
      </c>
    </row>
    <row r="113" spans="1:28" x14ac:dyDescent="0.25">
      <c r="A113" t="s">
        <v>117</v>
      </c>
      <c r="B113">
        <v>0.99193492352474899</v>
      </c>
      <c r="C113">
        <v>0.54079352283939297</v>
      </c>
      <c r="D113">
        <v>0.40165293311551897</v>
      </c>
      <c r="E113">
        <v>0.68778714710066302</v>
      </c>
      <c r="F113">
        <v>0.51468680121619603</v>
      </c>
      <c r="G113">
        <v>0.65434256694178705</v>
      </c>
      <c r="H113">
        <v>0.80345253914985504</v>
      </c>
      <c r="I113">
        <v>1.45573099024187</v>
      </c>
      <c r="J113">
        <v>1.8522606767991701</v>
      </c>
      <c r="K113">
        <v>3.17264186036333</v>
      </c>
      <c r="L113">
        <v>15000</v>
      </c>
      <c r="M113">
        <v>236.704111715018</v>
      </c>
      <c r="O113">
        <v>63.365727395841901</v>
      </c>
      <c r="P113">
        <v>0.46694030336571102</v>
      </c>
      <c r="Q113">
        <v>1.5</v>
      </c>
      <c r="R113">
        <v>0.396577694262845</v>
      </c>
      <c r="S113" t="s">
        <v>6783</v>
      </c>
      <c r="T113" t="s">
        <v>13338</v>
      </c>
      <c r="U113" t="s">
        <v>13338</v>
      </c>
      <c r="V113" t="s">
        <v>13338</v>
      </c>
      <c r="W113" t="s">
        <v>13451</v>
      </c>
      <c r="X113">
        <v>2</v>
      </c>
      <c r="Y113" t="s">
        <v>20053</v>
      </c>
      <c r="Z113" t="s">
        <v>26528</v>
      </c>
      <c r="AA113">
        <v>1.1104337133698099</v>
      </c>
      <c r="AB113" t="str">
        <f>HYPERLINK("Melting_Curves/meltCurve_B1AN89_EIF4G3.pdf", "Melting_Curves/meltCurve_B1AN89_EIF4G3.pdf")</f>
        <v>Melting_Curves/meltCurve_B1AN89_EIF4G3.pdf</v>
      </c>
    </row>
    <row r="114" spans="1:28" x14ac:dyDescent="0.25">
      <c r="A114" t="s">
        <v>118</v>
      </c>
      <c r="B114">
        <v>0.99193492352474899</v>
      </c>
      <c r="C114">
        <v>1.04422782775009</v>
      </c>
      <c r="D114">
        <v>1.29933178806133</v>
      </c>
      <c r="E114">
        <v>0.90865702700032602</v>
      </c>
      <c r="F114">
        <v>0.91850640892612101</v>
      </c>
      <c r="G114">
        <v>1.0213739687754</v>
      </c>
      <c r="H114">
        <v>0.78359000658074796</v>
      </c>
      <c r="I114">
        <v>0.86748967114434195</v>
      </c>
      <c r="J114">
        <v>0.96863977732474005</v>
      </c>
      <c r="K114">
        <v>1.3882545814076399</v>
      </c>
      <c r="L114">
        <v>15000</v>
      </c>
      <c r="M114">
        <v>215.53046229042599</v>
      </c>
      <c r="O114">
        <v>69.589737522207699</v>
      </c>
      <c r="P114">
        <v>0.38714483383460402</v>
      </c>
      <c r="Q114">
        <v>1.5</v>
      </c>
      <c r="R114">
        <v>0.46024364193360201</v>
      </c>
      <c r="S114" t="s">
        <v>6784</v>
      </c>
      <c r="T114" t="s">
        <v>13338</v>
      </c>
      <c r="U114" t="s">
        <v>13338</v>
      </c>
      <c r="V114" t="s">
        <v>13338</v>
      </c>
      <c r="W114" t="s">
        <v>13452</v>
      </c>
      <c r="X114">
        <v>1</v>
      </c>
      <c r="Y114" t="s">
        <v>20054</v>
      </c>
      <c r="Z114" t="s">
        <v>26529</v>
      </c>
      <c r="AA114">
        <v>1.0080475456483351</v>
      </c>
      <c r="AB114" t="str">
        <f>HYPERLINK("Melting_Curves/meltCurve_B1AN99_PRSS3.pdf", "Melting_Curves/meltCurve_B1AN99_PRSS3.pdf")</f>
        <v>Melting_Curves/meltCurve_B1AN99_PRSS3.pdf</v>
      </c>
    </row>
    <row r="115" spans="1:28" x14ac:dyDescent="0.25">
      <c r="A115" t="s">
        <v>119</v>
      </c>
      <c r="B115">
        <v>0.99193492352474899</v>
      </c>
      <c r="C115">
        <v>0.78649679884691204</v>
      </c>
      <c r="D115">
        <v>0.81931351393023499</v>
      </c>
      <c r="E115">
        <v>0.32357385110716902</v>
      </c>
      <c r="F115">
        <v>0.18455414880541399</v>
      </c>
      <c r="G115">
        <v>0.10652998460754801</v>
      </c>
      <c r="H115">
        <v>7.0092845953330804E-2</v>
      </c>
      <c r="I115">
        <v>9.3755698822360997E-2</v>
      </c>
      <c r="J115">
        <v>9.4517215173852406E-2</v>
      </c>
      <c r="K115">
        <v>0.10908964468641499</v>
      </c>
      <c r="L115">
        <v>1026.9722508408099</v>
      </c>
      <c r="M115">
        <v>21.487662916230398</v>
      </c>
      <c r="N115">
        <v>48.207146016276397</v>
      </c>
      <c r="O115">
        <v>47.385408366004299</v>
      </c>
      <c r="P115">
        <v>-0.103826454710974</v>
      </c>
      <c r="Q115">
        <v>8.4174320826915602E-2</v>
      </c>
      <c r="R115">
        <v>0.97223215409478503</v>
      </c>
      <c r="S115" t="s">
        <v>6785</v>
      </c>
      <c r="T115" t="s">
        <v>13338</v>
      </c>
      <c r="U115" t="s">
        <v>13338</v>
      </c>
      <c r="V115" t="s">
        <v>13338</v>
      </c>
      <c r="W115" t="s">
        <v>13453</v>
      </c>
      <c r="X115">
        <v>8</v>
      </c>
      <c r="Y115" t="s">
        <v>20055</v>
      </c>
      <c r="Z115" t="s">
        <v>26530</v>
      </c>
      <c r="AA115">
        <v>0.33330357139255479</v>
      </c>
      <c r="AB115" t="str">
        <f>HYPERLINK("Melting_Curves/meltCurve_B1ANH0_GUK1.pdf", "Melting_Curves/meltCurve_B1ANH0_GUK1.pdf")</f>
        <v>Melting_Curves/meltCurve_B1ANH0_GUK1.pdf</v>
      </c>
    </row>
    <row r="116" spans="1:28" x14ac:dyDescent="0.25">
      <c r="A116" t="s">
        <v>120</v>
      </c>
      <c r="B116">
        <v>0.99193492352474899</v>
      </c>
      <c r="C116">
        <v>0.70952684822831802</v>
      </c>
      <c r="D116">
        <v>0.66762584672167102</v>
      </c>
      <c r="E116">
        <v>0.44325969768169099</v>
      </c>
      <c r="F116">
        <v>0.26653968693448998</v>
      </c>
      <c r="G116">
        <v>0.19185740911250199</v>
      </c>
      <c r="H116">
        <v>0.143712960325696</v>
      </c>
      <c r="I116">
        <v>0.20734969323961799</v>
      </c>
      <c r="J116">
        <v>0.199291646540077</v>
      </c>
      <c r="K116">
        <v>0.39780703347757002</v>
      </c>
      <c r="L116">
        <v>732.489961058071</v>
      </c>
      <c r="M116">
        <v>15.917424154311099</v>
      </c>
      <c r="N116">
        <v>47.7218639127099</v>
      </c>
      <c r="O116">
        <v>45.310163933830196</v>
      </c>
      <c r="P116">
        <v>-6.8794145987917596E-2</v>
      </c>
      <c r="Q116">
        <v>0.216751524043785</v>
      </c>
      <c r="R116">
        <v>0.91116853784999796</v>
      </c>
      <c r="S116" t="s">
        <v>6786</v>
      </c>
      <c r="T116" t="s">
        <v>13338</v>
      </c>
      <c r="U116" t="s">
        <v>13338</v>
      </c>
      <c r="V116" t="s">
        <v>13338</v>
      </c>
      <c r="W116" t="s">
        <v>13454</v>
      </c>
      <c r="X116">
        <v>5</v>
      </c>
      <c r="Y116" t="s">
        <v>20056</v>
      </c>
      <c r="Z116" t="s">
        <v>26531</v>
      </c>
      <c r="AA116">
        <v>0.39400249151235639</v>
      </c>
      <c r="AB116" t="str">
        <f>HYPERLINK("Melting_Curves/meltCurve_B1AQP1_USF1.pdf", "Melting_Curves/meltCurve_B1AQP1_USF1.pdf")</f>
        <v>Melting_Curves/meltCurve_B1AQP1_USF1.pdf</v>
      </c>
    </row>
    <row r="117" spans="1:28" x14ac:dyDescent="0.25">
      <c r="A117" t="s">
        <v>121</v>
      </c>
      <c r="B117">
        <v>0.99193492352474899</v>
      </c>
      <c r="C117">
        <v>1.24802051994682</v>
      </c>
      <c r="D117">
        <v>0.872248730347288</v>
      </c>
      <c r="E117">
        <v>0.30352494483531101</v>
      </c>
      <c r="F117">
        <v>0.15891818264917101</v>
      </c>
      <c r="G117">
        <v>9.3925516917215401E-2</v>
      </c>
      <c r="H117">
        <v>5.3881850294815702E-2</v>
      </c>
      <c r="I117">
        <v>7.4223485183658497E-2</v>
      </c>
      <c r="J117">
        <v>9.7187687192853103E-2</v>
      </c>
      <c r="K117">
        <v>9.3213488638873396E-2</v>
      </c>
      <c r="L117">
        <v>2014.49576621854</v>
      </c>
      <c r="M117">
        <v>41.792954180822299</v>
      </c>
      <c r="N117">
        <v>48.435928020278197</v>
      </c>
      <c r="O117">
        <v>48.091855504598101</v>
      </c>
      <c r="P117">
        <v>-0.19738642683302801</v>
      </c>
      <c r="Q117">
        <v>9.1458415206146004E-2</v>
      </c>
      <c r="R117">
        <v>0.963120363217707</v>
      </c>
      <c r="S117" t="s">
        <v>6787</v>
      </c>
      <c r="T117" t="s">
        <v>13338</v>
      </c>
      <c r="U117" t="s">
        <v>13338</v>
      </c>
      <c r="V117" t="s">
        <v>13338</v>
      </c>
      <c r="W117" t="s">
        <v>13455</v>
      </c>
      <c r="X117">
        <v>9</v>
      </c>
      <c r="Y117" t="s">
        <v>20057</v>
      </c>
      <c r="Z117" t="s">
        <v>26532</v>
      </c>
      <c r="AA117">
        <v>0.34262363930157852</v>
      </c>
      <c r="AB117" t="str">
        <f>HYPERLINK("Melting_Curves/meltCurve_B1AZV3_TAP1.pdf", "Melting_Curves/meltCurve_B1AZV3_TAP1.pdf")</f>
        <v>Melting_Curves/meltCurve_B1AZV3_TAP1.pdf</v>
      </c>
    </row>
    <row r="118" spans="1:28" x14ac:dyDescent="0.25">
      <c r="A118" t="s">
        <v>122</v>
      </c>
      <c r="B118">
        <v>0.99193492352474899</v>
      </c>
      <c r="C118">
        <v>0.94618737761393601</v>
      </c>
      <c r="D118">
        <v>0.81054311885846897</v>
      </c>
      <c r="E118">
        <v>0.36706611749694101</v>
      </c>
      <c r="F118">
        <v>0.18081568878093701</v>
      </c>
      <c r="G118">
        <v>8.9119569921918801E-2</v>
      </c>
      <c r="H118">
        <v>6.7294643530202702E-2</v>
      </c>
      <c r="I118">
        <v>7.4998626798675597E-2</v>
      </c>
      <c r="J118">
        <v>9.1164633251445998E-2</v>
      </c>
      <c r="K118">
        <v>7.7557291464356901E-2</v>
      </c>
      <c r="L118">
        <v>1237.93475685316</v>
      </c>
      <c r="M118">
        <v>25.658309907957801</v>
      </c>
      <c r="N118">
        <v>48.567107158478898</v>
      </c>
      <c r="O118">
        <v>47.956728155599301</v>
      </c>
      <c r="P118">
        <v>-0.123351573585855</v>
      </c>
      <c r="Q118">
        <v>7.7808919276401795E-2</v>
      </c>
      <c r="R118">
        <v>0.99856988690843196</v>
      </c>
      <c r="S118" t="s">
        <v>6788</v>
      </c>
      <c r="T118" t="s">
        <v>13338</v>
      </c>
      <c r="U118" t="s">
        <v>13338</v>
      </c>
      <c r="V118" t="s">
        <v>13338</v>
      </c>
      <c r="W118" t="s">
        <v>13456</v>
      </c>
      <c r="X118">
        <v>7</v>
      </c>
      <c r="Y118" t="s">
        <v>20058</v>
      </c>
      <c r="Z118" t="s">
        <v>26533</v>
      </c>
      <c r="AA118">
        <v>0.3390323798410364</v>
      </c>
      <c r="AB118" t="str">
        <f>HYPERLINK("Melting_Curves/meltCurve_B2WTI3_JMJD6.pdf", "Melting_Curves/meltCurve_B2WTI3_JMJD6.pdf")</f>
        <v>Melting_Curves/meltCurve_B2WTI3_JMJD6.pdf</v>
      </c>
    </row>
    <row r="119" spans="1:28" x14ac:dyDescent="0.25">
      <c r="A119" t="s">
        <v>123</v>
      </c>
      <c r="B119">
        <v>0.99193492352474899</v>
      </c>
      <c r="C119">
        <v>0.87301327516827198</v>
      </c>
      <c r="D119">
        <v>1.0605716129148199</v>
      </c>
      <c r="E119">
        <v>0.78673539648292001</v>
      </c>
      <c r="F119">
        <v>0.222447737970774</v>
      </c>
      <c r="G119">
        <v>0.11251339697545901</v>
      </c>
      <c r="H119">
        <v>7.5938188358511405E-2</v>
      </c>
      <c r="I119">
        <v>8.4974287237313706E-2</v>
      </c>
      <c r="J119">
        <v>0.10504958732078799</v>
      </c>
      <c r="K119">
        <v>9.6093844953196395E-2</v>
      </c>
      <c r="L119">
        <v>2233.3552287186999</v>
      </c>
      <c r="M119">
        <v>43.809564657852803</v>
      </c>
      <c r="N119">
        <v>51.219846542544502</v>
      </c>
      <c r="O119">
        <v>50.872855768735597</v>
      </c>
      <c r="P119">
        <v>-0.195227758395359</v>
      </c>
      <c r="Q119">
        <v>9.3186583485530397E-2</v>
      </c>
      <c r="R119">
        <v>0.98690343857295504</v>
      </c>
      <c r="S119" t="s">
        <v>6789</v>
      </c>
      <c r="T119" t="s">
        <v>13338</v>
      </c>
      <c r="U119" t="s">
        <v>13338</v>
      </c>
      <c r="V119" t="s">
        <v>13338</v>
      </c>
      <c r="W119" t="s">
        <v>13457</v>
      </c>
      <c r="X119">
        <v>15</v>
      </c>
      <c r="Y119" t="s">
        <v>13457</v>
      </c>
      <c r="Z119" t="s">
        <v>26534</v>
      </c>
      <c r="AA119">
        <v>0.42770172739837931</v>
      </c>
      <c r="AB119" t="str">
        <f>HYPERLINK("Melting_Curves/meltCurve_B3FL70_DOCK10_2.pdf", "Melting_Curves/meltCurve_B3FL70_DOCK10_2.pdf")</f>
        <v>Melting_Curves/meltCurve_B3FL70_DOCK10_2.pdf</v>
      </c>
    </row>
    <row r="120" spans="1:28" x14ac:dyDescent="0.25">
      <c r="A120" t="s">
        <v>124</v>
      </c>
      <c r="B120">
        <v>0.99193492352474899</v>
      </c>
      <c r="C120">
        <v>0.73546661346053299</v>
      </c>
      <c r="D120">
        <v>0.85516702964841396</v>
      </c>
      <c r="E120">
        <v>0.42128110311308398</v>
      </c>
      <c r="F120">
        <v>0.331433254444776</v>
      </c>
      <c r="G120">
        <v>0.22838819689696499</v>
      </c>
      <c r="H120">
        <v>0.14764778362584899</v>
      </c>
      <c r="I120">
        <v>0.191250358102977</v>
      </c>
      <c r="J120">
        <v>0.21530553443603401</v>
      </c>
      <c r="K120">
        <v>0.289314838852267</v>
      </c>
      <c r="L120">
        <v>803.11979830005396</v>
      </c>
      <c r="M120">
        <v>16.828383449575401</v>
      </c>
      <c r="N120">
        <v>49.187922258709499</v>
      </c>
      <c r="O120">
        <v>47.065488239660098</v>
      </c>
      <c r="P120">
        <v>-7.1785145539897302E-2</v>
      </c>
      <c r="Q120">
        <v>0.196979165898826</v>
      </c>
      <c r="R120">
        <v>0.92810960439146295</v>
      </c>
      <c r="S120" t="s">
        <v>6790</v>
      </c>
      <c r="T120" t="s">
        <v>13338</v>
      </c>
      <c r="U120" t="s">
        <v>13338</v>
      </c>
      <c r="V120" t="s">
        <v>13338</v>
      </c>
      <c r="W120" t="s">
        <v>13458</v>
      </c>
      <c r="X120">
        <v>3</v>
      </c>
      <c r="Y120" t="s">
        <v>20059</v>
      </c>
      <c r="Z120" t="s">
        <v>26535</v>
      </c>
      <c r="AA120">
        <v>0.42028994607285841</v>
      </c>
      <c r="AB120" t="str">
        <f>HYPERLINK("Melting_Curves/meltCurve_B3KPJ4_PHC2.pdf", "Melting_Curves/meltCurve_B3KPJ4_PHC2.pdf")</f>
        <v>Melting_Curves/meltCurve_B3KPJ4_PHC2.pdf</v>
      </c>
    </row>
    <row r="121" spans="1:28" x14ac:dyDescent="0.25">
      <c r="A121" t="s">
        <v>125</v>
      </c>
      <c r="B121">
        <v>0.99193492352474899</v>
      </c>
      <c r="C121">
        <v>0.728860117554611</v>
      </c>
      <c r="D121">
        <v>0.83849041943063096</v>
      </c>
      <c r="E121">
        <v>0.38342472283515899</v>
      </c>
      <c r="F121">
        <v>0.18362360640213601</v>
      </c>
      <c r="G121">
        <v>0.113303704956031</v>
      </c>
      <c r="H121">
        <v>7.7379626281543504E-2</v>
      </c>
      <c r="I121">
        <v>7.4375768448809498E-2</v>
      </c>
      <c r="J121">
        <v>6.6174394374056394E-2</v>
      </c>
      <c r="K121">
        <v>6.4154540263072504E-2</v>
      </c>
      <c r="L121">
        <v>816.19198909136503</v>
      </c>
      <c r="M121">
        <v>16.9244323755278</v>
      </c>
      <c r="N121">
        <v>48.528192022665102</v>
      </c>
      <c r="O121">
        <v>47.567472657686103</v>
      </c>
      <c r="P121">
        <v>-8.4501776655341698E-2</v>
      </c>
      <c r="Q121">
        <v>5.0063700187491102E-2</v>
      </c>
      <c r="R121">
        <v>0.96029943625374603</v>
      </c>
      <c r="S121" t="s">
        <v>6791</v>
      </c>
      <c r="T121" t="s">
        <v>13338</v>
      </c>
      <c r="U121" t="s">
        <v>13338</v>
      </c>
      <c r="V121" t="s">
        <v>13338</v>
      </c>
      <c r="W121" t="s">
        <v>13459</v>
      </c>
      <c r="X121">
        <v>3</v>
      </c>
      <c r="Y121" t="s">
        <v>20060</v>
      </c>
      <c r="Z121" t="s">
        <v>26536</v>
      </c>
      <c r="AA121">
        <v>0.32952924193836031</v>
      </c>
      <c r="AB121" t="str">
        <f>HYPERLINK("Melting_Curves/meltCurve_B3KRR0_ERCC1.pdf", "Melting_Curves/meltCurve_B3KRR0_ERCC1.pdf")</f>
        <v>Melting_Curves/meltCurve_B3KRR0_ERCC1.pdf</v>
      </c>
    </row>
    <row r="122" spans="1:28" x14ac:dyDescent="0.25">
      <c r="A122" t="s">
        <v>126</v>
      </c>
      <c r="B122">
        <v>0.99193492352474899</v>
      </c>
      <c r="C122">
        <v>0.68000027025485998</v>
      </c>
      <c r="D122">
        <v>0.85232592606062596</v>
      </c>
      <c r="E122">
        <v>0.367953732720668</v>
      </c>
      <c r="F122">
        <v>0.229478255325718</v>
      </c>
      <c r="G122">
        <v>0.121603988023189</v>
      </c>
      <c r="H122">
        <v>8.6623992551625895E-2</v>
      </c>
      <c r="I122">
        <v>0.100751706596067</v>
      </c>
      <c r="J122">
        <v>0.1268660470921</v>
      </c>
      <c r="K122">
        <v>0.123797900331674</v>
      </c>
      <c r="L122">
        <v>765.58957260752004</v>
      </c>
      <c r="M122">
        <v>15.991249920614001</v>
      </c>
      <c r="N122">
        <v>48.439766455783698</v>
      </c>
      <c r="O122">
        <v>47.145597795966097</v>
      </c>
      <c r="P122">
        <v>-7.7597510718741103E-2</v>
      </c>
      <c r="Q122">
        <v>8.4975949406668999E-2</v>
      </c>
      <c r="R122">
        <v>0.93134247088764699</v>
      </c>
      <c r="S122" t="s">
        <v>6792</v>
      </c>
      <c r="T122" t="s">
        <v>13338</v>
      </c>
      <c r="U122" t="s">
        <v>13338</v>
      </c>
      <c r="V122" t="s">
        <v>13338</v>
      </c>
      <c r="W122" t="s">
        <v>13460</v>
      </c>
      <c r="X122">
        <v>19</v>
      </c>
      <c r="Y122" t="s">
        <v>20061</v>
      </c>
      <c r="Z122" t="s">
        <v>26537</v>
      </c>
      <c r="AA122">
        <v>0.34600927590756608</v>
      </c>
      <c r="AB122" t="str">
        <f>HYPERLINK("Melting_Curves/meltCurve_B3KS98_EIF3S3.pdf", "Melting_Curves/meltCurve_B3KS98_EIF3S3.pdf")</f>
        <v>Melting_Curves/meltCurve_B3KS98_EIF3S3.pdf</v>
      </c>
    </row>
    <row r="123" spans="1:28" x14ac:dyDescent="0.25">
      <c r="A123" t="s">
        <v>127</v>
      </c>
      <c r="B123">
        <v>0.99193492352474899</v>
      </c>
      <c r="C123">
        <v>0.82018458452923904</v>
      </c>
      <c r="D123">
        <v>0.86111194162711102</v>
      </c>
      <c r="E123">
        <v>0.30863891069490701</v>
      </c>
      <c r="F123">
        <v>0.124938544228358</v>
      </c>
      <c r="G123">
        <v>5.8446227132040798E-2</v>
      </c>
      <c r="H123">
        <v>3.49328330825616E-2</v>
      </c>
      <c r="I123">
        <v>3.9049927743353002E-2</v>
      </c>
      <c r="J123">
        <v>4.3759656847379397E-2</v>
      </c>
      <c r="K123">
        <v>5.3904773337059397E-2</v>
      </c>
      <c r="L123">
        <v>1359.45576991348</v>
      </c>
      <c r="M123">
        <v>28.212675783169399</v>
      </c>
      <c r="N123">
        <v>48.341788815972897</v>
      </c>
      <c r="O123">
        <v>47.945846342714802</v>
      </c>
      <c r="P123">
        <v>-0.14071538585944399</v>
      </c>
      <c r="Q123">
        <v>4.3456604063031097E-2</v>
      </c>
      <c r="R123">
        <v>0.98012442653599796</v>
      </c>
      <c r="S123" t="s">
        <v>6793</v>
      </c>
      <c r="T123" t="s">
        <v>13338</v>
      </c>
      <c r="U123" t="s">
        <v>13338</v>
      </c>
      <c r="V123" t="s">
        <v>13338</v>
      </c>
      <c r="W123" t="s">
        <v>13461</v>
      </c>
      <c r="X123">
        <v>11</v>
      </c>
      <c r="Y123" t="s">
        <v>20062</v>
      </c>
      <c r="Z123" t="s">
        <v>26538</v>
      </c>
      <c r="AA123">
        <v>0.31102089305743719</v>
      </c>
      <c r="AB123" t="str">
        <f>HYPERLINK("Melting_Curves/meltCurve_B3KSH1_EIF3F.pdf", "Melting_Curves/meltCurve_B3KSH1_EIF3F.pdf")</f>
        <v>Melting_Curves/meltCurve_B3KSH1_EIF3F.pdf</v>
      </c>
    </row>
    <row r="124" spans="1:28" x14ac:dyDescent="0.25">
      <c r="A124" t="s">
        <v>128</v>
      </c>
      <c r="B124">
        <v>0.99193492352474899</v>
      </c>
      <c r="C124">
        <v>0.91781976425782696</v>
      </c>
      <c r="D124">
        <v>0.97684329545597903</v>
      </c>
      <c r="E124">
        <v>0.82012873421828802</v>
      </c>
      <c r="F124">
        <v>0.430284044193947</v>
      </c>
      <c r="G124">
        <v>0.1290424436233</v>
      </c>
      <c r="H124">
        <v>7.6109295465247598E-2</v>
      </c>
      <c r="I124">
        <v>9.1523869512758801E-2</v>
      </c>
      <c r="J124">
        <v>0.123234248423363</v>
      </c>
      <c r="K124">
        <v>0.138200367556016</v>
      </c>
      <c r="L124">
        <v>1572.25182811431</v>
      </c>
      <c r="M124">
        <v>30.2064537780237</v>
      </c>
      <c r="N124">
        <v>52.429513499993597</v>
      </c>
      <c r="O124">
        <v>51.823666108076203</v>
      </c>
      <c r="P124">
        <v>-0.131415609641685</v>
      </c>
      <c r="Q124">
        <v>9.8153585820140901E-2</v>
      </c>
      <c r="R124">
        <v>0.99196775806426796</v>
      </c>
      <c r="S124" t="s">
        <v>6794</v>
      </c>
      <c r="T124" t="s">
        <v>13338</v>
      </c>
      <c r="U124" t="s">
        <v>13338</v>
      </c>
      <c r="V124" t="s">
        <v>13338</v>
      </c>
      <c r="W124" t="s">
        <v>13462</v>
      </c>
      <c r="X124">
        <v>23</v>
      </c>
      <c r="Y124" t="s">
        <v>20063</v>
      </c>
      <c r="Z124" t="s">
        <v>26539</v>
      </c>
      <c r="AA124">
        <v>0.46608993808047322</v>
      </c>
      <c r="AB124" t="str">
        <f>HYPERLINK("Melting_Curves/meltCurve_B3KSI9_LZTFL1.pdf", "Melting_Curves/meltCurve_B3KSI9_LZTFL1.pdf")</f>
        <v>Melting_Curves/meltCurve_B3KSI9_LZTFL1.pdf</v>
      </c>
    </row>
    <row r="125" spans="1:28" x14ac:dyDescent="0.25">
      <c r="A125" t="s">
        <v>129</v>
      </c>
      <c r="B125">
        <v>0.99193492352474899</v>
      </c>
      <c r="C125">
        <v>0.82155374971570305</v>
      </c>
      <c r="D125">
        <v>0.63293137906576102</v>
      </c>
      <c r="E125">
        <v>0.79793232856678598</v>
      </c>
      <c r="F125">
        <v>0.75206993709048797</v>
      </c>
      <c r="G125">
        <v>0.40839391670513597</v>
      </c>
      <c r="H125">
        <v>0.60502416129672598</v>
      </c>
      <c r="I125">
        <v>0.63701932415926799</v>
      </c>
      <c r="J125">
        <v>0.86667495034034203</v>
      </c>
      <c r="K125">
        <v>1.24964854922199</v>
      </c>
      <c r="L125">
        <v>10689.409841686</v>
      </c>
      <c r="M125">
        <v>250</v>
      </c>
      <c r="O125">
        <v>42.7548787140908</v>
      </c>
      <c r="P125">
        <v>-0.37464735202239002</v>
      </c>
      <c r="Q125">
        <v>0.74371181890359706</v>
      </c>
      <c r="R125">
        <v>0.11712330804188401</v>
      </c>
      <c r="S125" t="s">
        <v>6795</v>
      </c>
      <c r="T125" t="s">
        <v>13338</v>
      </c>
      <c r="U125" t="s">
        <v>13338</v>
      </c>
      <c r="V125" t="s">
        <v>13338</v>
      </c>
      <c r="W125" t="s">
        <v>13463</v>
      </c>
      <c r="X125">
        <v>11</v>
      </c>
      <c r="Y125" t="s">
        <v>20064</v>
      </c>
      <c r="Z125" t="s">
        <v>26540</v>
      </c>
      <c r="AA125">
        <v>0.76728939646589367</v>
      </c>
      <c r="AB125" t="str">
        <f>HYPERLINK("Melting_Curves/meltCurve_B3KUK2_SOD2.pdf", "Melting_Curves/meltCurve_B3KUK2_SOD2.pdf")</f>
        <v>Melting_Curves/meltCurve_B3KUK2_SOD2.pdf</v>
      </c>
    </row>
    <row r="126" spans="1:28" x14ac:dyDescent="0.25">
      <c r="A126" t="s">
        <v>130</v>
      </c>
      <c r="B126">
        <v>0.99193492352474899</v>
      </c>
      <c r="C126">
        <v>0.96585230210721496</v>
      </c>
      <c r="D126">
        <v>0.91309959726582401</v>
      </c>
      <c r="E126">
        <v>0.74055834825579103</v>
      </c>
      <c r="F126">
        <v>0.433181675576776</v>
      </c>
      <c r="G126">
        <v>0.28361476628871302</v>
      </c>
      <c r="H126">
        <v>0.19506675593379499</v>
      </c>
      <c r="I126">
        <v>0.219742637338224</v>
      </c>
      <c r="J126">
        <v>0.243360406433895</v>
      </c>
      <c r="K126">
        <v>0.31757323948992</v>
      </c>
      <c r="L126">
        <v>1229.5843969943601</v>
      </c>
      <c r="M126">
        <v>24.2094517321692</v>
      </c>
      <c r="N126">
        <v>52.182712137383099</v>
      </c>
      <c r="O126">
        <v>50.446700080800703</v>
      </c>
      <c r="P126">
        <v>-9.1418755653349601E-2</v>
      </c>
      <c r="Q126">
        <v>0.238032462166545</v>
      </c>
      <c r="R126">
        <v>0.98814284766217797</v>
      </c>
      <c r="S126" t="s">
        <v>6796</v>
      </c>
      <c r="T126" t="s">
        <v>13338</v>
      </c>
      <c r="U126" t="s">
        <v>13338</v>
      </c>
      <c r="V126" t="s">
        <v>13338</v>
      </c>
      <c r="W126" t="s">
        <v>13464</v>
      </c>
      <c r="X126">
        <v>4</v>
      </c>
      <c r="Y126" t="s">
        <v>20065</v>
      </c>
      <c r="Z126" t="s">
        <v>26541</v>
      </c>
      <c r="AA126">
        <v>0.51938951525126698</v>
      </c>
      <c r="AB126" t="str">
        <f>HYPERLINK("Melting_Curves/meltCurve_B3KVH8_PHF23.pdf", "Melting_Curves/meltCurve_B3KVH8_PHF23.pdf")</f>
        <v>Melting_Curves/meltCurve_B3KVH8_PHF23.pdf</v>
      </c>
    </row>
    <row r="127" spans="1:28" x14ac:dyDescent="0.25">
      <c r="A127" t="s">
        <v>131</v>
      </c>
      <c r="B127">
        <v>0.99193492352474899</v>
      </c>
      <c r="C127">
        <v>0.90381790486432201</v>
      </c>
      <c r="D127">
        <v>0.78281965136211396</v>
      </c>
      <c r="E127">
        <v>0.280632848833475</v>
      </c>
      <c r="F127">
        <v>0.16660445409880001</v>
      </c>
      <c r="G127">
        <v>0.101318758637833</v>
      </c>
      <c r="H127">
        <v>5.7503789280781502E-2</v>
      </c>
      <c r="I127">
        <v>7.5092673013782599E-2</v>
      </c>
      <c r="J127">
        <v>9.3976405907564703E-2</v>
      </c>
      <c r="K127">
        <v>0.12131410040794301</v>
      </c>
      <c r="L127">
        <v>1362.07641072455</v>
      </c>
      <c r="M127">
        <v>28.622714116569899</v>
      </c>
      <c r="N127">
        <v>47.923366408727702</v>
      </c>
      <c r="O127">
        <v>47.356790103225201</v>
      </c>
      <c r="P127">
        <v>-0.137362222093216</v>
      </c>
      <c r="Q127">
        <v>9.0934251167483895E-2</v>
      </c>
      <c r="R127">
        <v>0.99335668862111903</v>
      </c>
      <c r="S127" t="s">
        <v>6797</v>
      </c>
      <c r="T127" t="s">
        <v>13338</v>
      </c>
      <c r="U127" t="s">
        <v>13338</v>
      </c>
      <c r="V127" t="s">
        <v>13338</v>
      </c>
      <c r="W127" t="s">
        <v>13465</v>
      </c>
      <c r="X127">
        <v>14</v>
      </c>
      <c r="Y127" t="s">
        <v>20066</v>
      </c>
      <c r="Z127" t="s">
        <v>26542</v>
      </c>
      <c r="AA127">
        <v>0.32687151903936612</v>
      </c>
      <c r="AB127" t="str">
        <f>HYPERLINK("Melting_Curves/meltCurve_B3KXW5_AP1G1.pdf", "Melting_Curves/meltCurve_B3KXW5_AP1G1.pdf")</f>
        <v>Melting_Curves/meltCurve_B3KXW5_AP1G1.pdf</v>
      </c>
    </row>
    <row r="128" spans="1:28" x14ac:dyDescent="0.25">
      <c r="A128" t="s">
        <v>132</v>
      </c>
      <c r="B128">
        <v>0.99193492352474899</v>
      </c>
      <c r="C128">
        <v>0.85675625565686397</v>
      </c>
      <c r="D128">
        <v>0.60586491328057701</v>
      </c>
      <c r="E128">
        <v>0.271704605313141</v>
      </c>
      <c r="F128">
        <v>0.179220165824131</v>
      </c>
      <c r="G128">
        <v>0.13233568554787201</v>
      </c>
      <c r="H128">
        <v>7.0424879086517594E-2</v>
      </c>
      <c r="I128">
        <v>7.7068032108545195E-2</v>
      </c>
      <c r="J128">
        <v>7.3819742541853695E-2</v>
      </c>
      <c r="K128">
        <v>6.4981402145582998E-2</v>
      </c>
      <c r="L128">
        <v>924.72376073189002</v>
      </c>
      <c r="M128">
        <v>19.826492991067798</v>
      </c>
      <c r="N128">
        <v>47.039341266257999</v>
      </c>
      <c r="O128">
        <v>46.174101344486999</v>
      </c>
      <c r="P128">
        <v>-9.9050531165463501E-2</v>
      </c>
      <c r="Q128">
        <v>7.7312324586349804E-2</v>
      </c>
      <c r="R128">
        <v>0.99708160042594196</v>
      </c>
      <c r="S128" t="s">
        <v>6798</v>
      </c>
      <c r="T128" t="s">
        <v>13338</v>
      </c>
      <c r="U128" t="s">
        <v>13338</v>
      </c>
      <c r="V128" t="s">
        <v>13338</v>
      </c>
      <c r="W128" t="s">
        <v>13466</v>
      </c>
      <c r="X128">
        <v>4</v>
      </c>
      <c r="Y128" t="s">
        <v>20067</v>
      </c>
      <c r="Z128" t="s">
        <v>26543</v>
      </c>
      <c r="AA128">
        <v>0.29555680144544128</v>
      </c>
      <c r="AB128" t="str">
        <f>HYPERLINK("Melting_Curves/meltCurve_B3KY83_RXRA.pdf", "Melting_Curves/meltCurve_B3KY83_RXRA.pdf")</f>
        <v>Melting_Curves/meltCurve_B3KY83_RXRA.pdf</v>
      </c>
    </row>
    <row r="129" spans="1:28" x14ac:dyDescent="0.25">
      <c r="A129" t="s">
        <v>133</v>
      </c>
      <c r="B129">
        <v>0.99193492352474899</v>
      </c>
      <c r="C129">
        <v>1.1842087839347699</v>
      </c>
      <c r="D129">
        <v>1.18075845423389</v>
      </c>
      <c r="E129">
        <v>1.2038367533246399</v>
      </c>
      <c r="F129">
        <v>1.0633251417729801</v>
      </c>
      <c r="G129">
        <v>0.85899673240552699</v>
      </c>
      <c r="H129">
        <v>0.33819275248409503</v>
      </c>
      <c r="I129">
        <v>0.23125671949514701</v>
      </c>
      <c r="J129">
        <v>0.22436006991662699</v>
      </c>
      <c r="K129">
        <v>0.17069830559037999</v>
      </c>
      <c r="L129">
        <v>2751.5419124527298</v>
      </c>
      <c r="M129">
        <v>46.844447524420097</v>
      </c>
      <c r="N129">
        <v>59.394976284022903</v>
      </c>
      <c r="O129">
        <v>58.631100963202201</v>
      </c>
      <c r="P129">
        <v>-0.15934929900175901</v>
      </c>
      <c r="Q129">
        <v>0.20222651549333201</v>
      </c>
      <c r="R129">
        <v>0.93623689963004397</v>
      </c>
      <c r="S129" t="s">
        <v>6799</v>
      </c>
      <c r="T129" t="s">
        <v>13338</v>
      </c>
      <c r="U129" t="s">
        <v>13338</v>
      </c>
      <c r="V129" t="s">
        <v>13338</v>
      </c>
      <c r="W129" t="s">
        <v>13467</v>
      </c>
      <c r="X129">
        <v>1</v>
      </c>
      <c r="Y129" t="s">
        <v>20068</v>
      </c>
      <c r="Z129" t="s">
        <v>26544</v>
      </c>
      <c r="AA129">
        <v>0.70284178528596497</v>
      </c>
      <c r="AB129" t="str">
        <f>HYPERLINK("Melting_Curves/meltCurve_B3KY94_CDIPT.pdf", "Melting_Curves/meltCurve_B3KY94_CDIPT.pdf")</f>
        <v>Melting_Curves/meltCurve_B3KY94_CDIPT.pdf</v>
      </c>
    </row>
    <row r="130" spans="1:28" x14ac:dyDescent="0.25">
      <c r="A130" t="s">
        <v>134</v>
      </c>
      <c r="B130">
        <v>0.99193492352474899</v>
      </c>
      <c r="C130">
        <v>0.94081983742814301</v>
      </c>
      <c r="D130">
        <v>0.66845640973138398</v>
      </c>
      <c r="E130">
        <v>0.27216628194760101</v>
      </c>
      <c r="F130">
        <v>0.15263520646273401</v>
      </c>
      <c r="G130">
        <v>0.101831834636516</v>
      </c>
      <c r="H130">
        <v>6.84026358398621E-2</v>
      </c>
      <c r="I130">
        <v>8.7158931103505199E-2</v>
      </c>
      <c r="J130">
        <v>0.108080932030342</v>
      </c>
      <c r="K130">
        <v>0.181570834785967</v>
      </c>
      <c r="L130">
        <v>1294.44706202865</v>
      </c>
      <c r="M130">
        <v>27.6053715501988</v>
      </c>
      <c r="N130">
        <v>47.315274263529297</v>
      </c>
      <c r="O130">
        <v>46.647132143962203</v>
      </c>
      <c r="P130">
        <v>-0.13173297576005399</v>
      </c>
      <c r="Q130">
        <v>0.109606651551232</v>
      </c>
      <c r="R130">
        <v>0.99344626158827098</v>
      </c>
      <c r="S130" t="s">
        <v>6800</v>
      </c>
      <c r="T130" t="s">
        <v>13338</v>
      </c>
      <c r="U130" t="s">
        <v>13338</v>
      </c>
      <c r="V130" t="s">
        <v>13338</v>
      </c>
      <c r="W130" t="s">
        <v>13468</v>
      </c>
      <c r="X130">
        <v>10</v>
      </c>
      <c r="Y130" t="s">
        <v>20069</v>
      </c>
      <c r="Z130" t="s">
        <v>26545</v>
      </c>
      <c r="AA130">
        <v>0.32053817141727348</v>
      </c>
      <c r="AB130" t="str">
        <f>HYPERLINK("Melting_Curves/meltCurve_B4DDF4_CNN2.pdf", "Melting_Curves/meltCurve_B4DDF4_CNN2.pdf")</f>
        <v>Melting_Curves/meltCurve_B4DDF4_CNN2.pdf</v>
      </c>
    </row>
    <row r="131" spans="1:28" x14ac:dyDescent="0.25">
      <c r="A131" t="s">
        <v>135</v>
      </c>
      <c r="B131">
        <v>0.99193492352474899</v>
      </c>
      <c r="C131">
        <v>1.0723105981296699</v>
      </c>
      <c r="D131">
        <v>0.974104463461264</v>
      </c>
      <c r="E131">
        <v>0.93837810909195396</v>
      </c>
      <c r="F131">
        <v>0.81685241238117001</v>
      </c>
      <c r="G131">
        <v>0.60878259330513196</v>
      </c>
      <c r="H131">
        <v>0.16388712694395199</v>
      </c>
      <c r="I131">
        <v>9.9538420640619102E-2</v>
      </c>
      <c r="J131">
        <v>0.111693459049944</v>
      </c>
      <c r="K131">
        <v>0.112275800826763</v>
      </c>
      <c r="L131">
        <v>1465.6372961977299</v>
      </c>
      <c r="M131">
        <v>25.763167701706699</v>
      </c>
      <c r="N131">
        <v>57.245009558214001</v>
      </c>
      <c r="O131">
        <v>56.549428552675501</v>
      </c>
      <c r="P131">
        <v>-0.105463936123387</v>
      </c>
      <c r="Q131">
        <v>7.4049555761078703E-2</v>
      </c>
      <c r="R131">
        <v>0.98785653296818499</v>
      </c>
      <c r="S131" t="s">
        <v>6801</v>
      </c>
      <c r="T131" t="s">
        <v>13338</v>
      </c>
      <c r="U131" t="s">
        <v>13338</v>
      </c>
      <c r="V131" t="s">
        <v>13338</v>
      </c>
      <c r="W131" t="s">
        <v>13469</v>
      </c>
      <c r="X131">
        <v>23</v>
      </c>
      <c r="Y131" t="s">
        <v>20070</v>
      </c>
      <c r="Z131" t="s">
        <v>26546</v>
      </c>
      <c r="AA131">
        <v>0.6033010887505007</v>
      </c>
      <c r="AB131" t="str">
        <f>HYPERLINK("Melting_Curves/meltCurve_B4DDY8_HARS2.pdf", "Melting_Curves/meltCurve_B4DDY8_HARS2.pdf")</f>
        <v>Melting_Curves/meltCurve_B4DDY8_HARS2.pdf</v>
      </c>
    </row>
    <row r="132" spans="1:28" x14ac:dyDescent="0.25">
      <c r="A132" t="s">
        <v>136</v>
      </c>
      <c r="B132">
        <v>0.99193492352474899</v>
      </c>
      <c r="C132">
        <v>0.81615583693396299</v>
      </c>
      <c r="D132">
        <v>0.93342907818114995</v>
      </c>
      <c r="E132">
        <v>0.62014903608671001</v>
      </c>
      <c r="F132">
        <v>0.68440257162331897</v>
      </c>
      <c r="G132">
        <v>0.396054849026651</v>
      </c>
      <c r="H132">
        <v>0.306940417629395</v>
      </c>
      <c r="I132">
        <v>0.32049422770238001</v>
      </c>
      <c r="J132">
        <v>0.40750271968226398</v>
      </c>
      <c r="K132">
        <v>0.388326253508188</v>
      </c>
      <c r="L132">
        <v>632.01305978032701</v>
      </c>
      <c r="M132">
        <v>12.5224387551246</v>
      </c>
      <c r="N132">
        <v>54.9415180980386</v>
      </c>
      <c r="O132">
        <v>49.235231397369802</v>
      </c>
      <c r="P132">
        <v>-4.3276170770252698E-2</v>
      </c>
      <c r="Q132">
        <v>0.31953311575474203</v>
      </c>
      <c r="R132">
        <v>0.89567537649166096</v>
      </c>
      <c r="S132" t="s">
        <v>6802</v>
      </c>
      <c r="T132" t="s">
        <v>13338</v>
      </c>
      <c r="U132" t="s">
        <v>13338</v>
      </c>
      <c r="V132" t="s">
        <v>13338</v>
      </c>
      <c r="W132" t="s">
        <v>13470</v>
      </c>
      <c r="X132">
        <v>3</v>
      </c>
      <c r="Y132" t="s">
        <v>20071</v>
      </c>
      <c r="Z132" t="s">
        <v>26547</v>
      </c>
      <c r="AA132">
        <v>0.57849552602714782</v>
      </c>
      <c r="AB132" t="str">
        <f>HYPERLINK("Melting_Curves/meltCurve_B4DE60_REEP2.pdf", "Melting_Curves/meltCurve_B4DE60_REEP2.pdf")</f>
        <v>Melting_Curves/meltCurve_B4DE60_REEP2.pdf</v>
      </c>
    </row>
    <row r="133" spans="1:28" x14ac:dyDescent="0.25">
      <c r="A133" t="s">
        <v>137</v>
      </c>
      <c r="B133">
        <v>0.99193492352474899</v>
      </c>
      <c r="C133">
        <v>0.89516180026998604</v>
      </c>
      <c r="D133">
        <v>1.05318505153509</v>
      </c>
      <c r="E133">
        <v>0.6893567210771</v>
      </c>
      <c r="F133">
        <v>0.76791808531567496</v>
      </c>
      <c r="G133">
        <v>0.58121884687801895</v>
      </c>
      <c r="H133">
        <v>0.60108206130387098</v>
      </c>
      <c r="I133">
        <v>0.72282486053237904</v>
      </c>
      <c r="J133">
        <v>1.02285299606264</v>
      </c>
      <c r="K133">
        <v>0.92555471228924402</v>
      </c>
      <c r="L133">
        <v>11928.492051068501</v>
      </c>
      <c r="M133">
        <v>250</v>
      </c>
      <c r="O133">
        <v>47.710897309766501</v>
      </c>
      <c r="P133">
        <v>-0.31611509369183599</v>
      </c>
      <c r="Q133">
        <v>0.75868575480449596</v>
      </c>
      <c r="R133">
        <v>0.36895469149219001</v>
      </c>
      <c r="S133" t="s">
        <v>6803</v>
      </c>
      <c r="T133" t="s">
        <v>13338</v>
      </c>
      <c r="U133" t="s">
        <v>13338</v>
      </c>
      <c r="V133" t="s">
        <v>13338</v>
      </c>
      <c r="W133" t="s">
        <v>13471</v>
      </c>
      <c r="X133">
        <v>3</v>
      </c>
      <c r="Y133" t="s">
        <v>20072</v>
      </c>
      <c r="Z133" t="s">
        <v>26548</v>
      </c>
      <c r="AA133">
        <v>0.82075564229020193</v>
      </c>
      <c r="AB133" t="str">
        <f>HYPERLINK("Melting_Curves/meltCurve_B4DEB8_TSPAN7.pdf", "Melting_Curves/meltCurve_B4DEB8_TSPAN7.pdf")</f>
        <v>Melting_Curves/meltCurve_B4DEB8_TSPAN7.pdf</v>
      </c>
    </row>
    <row r="134" spans="1:28" x14ac:dyDescent="0.25">
      <c r="A134" t="s">
        <v>138</v>
      </c>
      <c r="B134">
        <v>0.99193492352474899</v>
      </c>
      <c r="C134">
        <v>0.71528231864851899</v>
      </c>
      <c r="D134">
        <v>0.95897188900223196</v>
      </c>
      <c r="E134">
        <v>0.65667075107190698</v>
      </c>
      <c r="F134">
        <v>0.530107046344374</v>
      </c>
      <c r="G134">
        <v>0.21158642711805101</v>
      </c>
      <c r="H134">
        <v>0.12288317001431</v>
      </c>
      <c r="I134">
        <v>0.129005326772382</v>
      </c>
      <c r="J134">
        <v>0.162399401095212</v>
      </c>
      <c r="K134">
        <v>0.179472323223761</v>
      </c>
      <c r="L134">
        <v>747.366137412174</v>
      </c>
      <c r="M134">
        <v>14.513935228952301</v>
      </c>
      <c r="N134">
        <v>52.300682599372898</v>
      </c>
      <c r="O134">
        <v>50.545090446450601</v>
      </c>
      <c r="P134">
        <v>-6.4587267909473306E-2</v>
      </c>
      <c r="Q134">
        <v>0.100397219897603</v>
      </c>
      <c r="R134">
        <v>0.919998726040545</v>
      </c>
      <c r="S134" t="s">
        <v>6804</v>
      </c>
      <c r="T134" t="s">
        <v>13338</v>
      </c>
      <c r="U134" t="s">
        <v>13338</v>
      </c>
      <c r="V134" t="s">
        <v>13338</v>
      </c>
      <c r="W134" t="s">
        <v>13472</v>
      </c>
      <c r="X134">
        <v>4</v>
      </c>
      <c r="Y134" t="s">
        <v>20073</v>
      </c>
      <c r="Z134" t="s">
        <v>26549</v>
      </c>
      <c r="AA134">
        <v>0.46658477642333163</v>
      </c>
      <c r="AB134" t="str">
        <f>HYPERLINK("Melting_Curves/meltCurve_B4DEX5_PRNPIP.pdf", "Melting_Curves/meltCurve_B4DEX5_PRNPIP.pdf")</f>
        <v>Melting_Curves/meltCurve_B4DEX5_PRNPIP.pdf</v>
      </c>
    </row>
    <row r="135" spans="1:28" x14ac:dyDescent="0.25">
      <c r="A135" t="s">
        <v>139</v>
      </c>
      <c r="B135">
        <v>0.99193492352474899</v>
      </c>
      <c r="C135">
        <v>1.25743038795295</v>
      </c>
      <c r="D135">
        <v>0.97649585673818895</v>
      </c>
      <c r="E135">
        <v>1.02458917070101</v>
      </c>
      <c r="F135">
        <v>0.53320640040525602</v>
      </c>
      <c r="G135">
        <v>0.40652460130574902</v>
      </c>
      <c r="H135">
        <v>0.238905233346484</v>
      </c>
      <c r="I135">
        <v>0.20332100701781999</v>
      </c>
      <c r="J135">
        <v>0.16012190867868401</v>
      </c>
      <c r="K135">
        <v>0.137416888415482</v>
      </c>
      <c r="L135">
        <v>1423.56447969491</v>
      </c>
      <c r="M135">
        <v>26.5775278651078</v>
      </c>
      <c r="N135">
        <v>54.482275968784997</v>
      </c>
      <c r="O135">
        <v>53.2622356529236</v>
      </c>
      <c r="P135">
        <v>-0.10220335106631701</v>
      </c>
      <c r="Q135">
        <v>0.18073329126707099</v>
      </c>
      <c r="R135">
        <v>0.94040302458228497</v>
      </c>
      <c r="S135" t="s">
        <v>6805</v>
      </c>
      <c r="T135" t="s">
        <v>13338</v>
      </c>
      <c r="U135" t="s">
        <v>13338</v>
      </c>
      <c r="V135" t="s">
        <v>13338</v>
      </c>
      <c r="W135" t="s">
        <v>13473</v>
      </c>
      <c r="X135">
        <v>7</v>
      </c>
      <c r="Y135" t="s">
        <v>20074</v>
      </c>
      <c r="Z135" t="s">
        <v>26550</v>
      </c>
      <c r="AA135">
        <v>0.55786750400188789</v>
      </c>
      <c r="AB135" t="str">
        <f>HYPERLINK("Melting_Curves/meltCurve_B4DEZ3_NDUFA13.pdf", "Melting_Curves/meltCurve_B4DEZ3_NDUFA13.pdf")</f>
        <v>Melting_Curves/meltCurve_B4DEZ3_NDUFA13.pdf</v>
      </c>
    </row>
    <row r="136" spans="1:28" x14ac:dyDescent="0.25">
      <c r="A136" t="s">
        <v>140</v>
      </c>
      <c r="B136">
        <v>0.99193492352474899</v>
      </c>
      <c r="C136">
        <v>0.95437028900012999</v>
      </c>
      <c r="D136">
        <v>0.844842960165192</v>
      </c>
      <c r="E136">
        <v>0.61745742917860702</v>
      </c>
      <c r="F136">
        <v>0.242705023065593</v>
      </c>
      <c r="G136">
        <v>0.105540226049422</v>
      </c>
      <c r="H136">
        <v>5.9228634361626002E-2</v>
      </c>
      <c r="I136">
        <v>7.7081965100685199E-2</v>
      </c>
      <c r="J136">
        <v>7.9420957981298806E-2</v>
      </c>
      <c r="K136">
        <v>7.5470413015926302E-2</v>
      </c>
      <c r="L136">
        <v>1099.88345416744</v>
      </c>
      <c r="M136">
        <v>21.963973990213599</v>
      </c>
      <c r="N136">
        <v>50.366903802081097</v>
      </c>
      <c r="O136">
        <v>49.6671376346142</v>
      </c>
      <c r="P136">
        <v>-0.10398734610898799</v>
      </c>
      <c r="Q136">
        <v>5.94347275061817E-2</v>
      </c>
      <c r="R136">
        <v>0.996466629450245</v>
      </c>
      <c r="S136" t="s">
        <v>6806</v>
      </c>
      <c r="T136" t="s">
        <v>13338</v>
      </c>
      <c r="U136" t="s">
        <v>13338</v>
      </c>
      <c r="V136" t="s">
        <v>13338</v>
      </c>
      <c r="W136" t="s">
        <v>13474</v>
      </c>
      <c r="X136">
        <v>7</v>
      </c>
      <c r="Y136" t="s">
        <v>20075</v>
      </c>
      <c r="Z136" t="s">
        <v>26551</v>
      </c>
      <c r="AA136">
        <v>0.38625335247894932</v>
      </c>
      <c r="AB136" t="str">
        <f>HYPERLINK("Melting_Curves/meltCurve_B4DF47_MSTO1.pdf", "Melting_Curves/meltCurve_B4DF47_MSTO1.pdf")</f>
        <v>Melting_Curves/meltCurve_B4DF47_MSTO1.pdf</v>
      </c>
    </row>
    <row r="137" spans="1:28" x14ac:dyDescent="0.25">
      <c r="A137" t="s">
        <v>141</v>
      </c>
      <c r="B137">
        <v>0.99193492352474899</v>
      </c>
      <c r="C137">
        <v>0.61933443029213897</v>
      </c>
      <c r="D137">
        <v>0.40296893935258798</v>
      </c>
      <c r="E137">
        <v>0.14213144280632301</v>
      </c>
      <c r="F137">
        <v>0.12242869015001601</v>
      </c>
      <c r="G137">
        <v>6.6484571850323596E-2</v>
      </c>
      <c r="H137">
        <v>5.9347426663939301E-2</v>
      </c>
      <c r="I137">
        <v>5.9357601233048903E-2</v>
      </c>
      <c r="J137">
        <v>7.2742775083317293E-2</v>
      </c>
      <c r="K137">
        <v>7.3760576108233694E-2</v>
      </c>
      <c r="L137">
        <v>926.08066627654</v>
      </c>
      <c r="M137">
        <v>20.906911359458299</v>
      </c>
      <c r="N137">
        <v>44.608612575608497</v>
      </c>
      <c r="O137">
        <v>43.896157893137797</v>
      </c>
      <c r="P137">
        <v>-0.110945933662402</v>
      </c>
      <c r="Q137">
        <v>6.8257158101132601E-2</v>
      </c>
      <c r="R137">
        <v>0.98433945057262695</v>
      </c>
      <c r="S137" t="s">
        <v>6807</v>
      </c>
      <c r="T137" t="s">
        <v>13338</v>
      </c>
      <c r="U137" t="s">
        <v>13338</v>
      </c>
      <c r="V137" t="s">
        <v>13338</v>
      </c>
      <c r="W137" t="s">
        <v>13475</v>
      </c>
      <c r="X137">
        <v>4</v>
      </c>
      <c r="Y137" t="s">
        <v>20076</v>
      </c>
      <c r="Z137" t="s">
        <v>26552</v>
      </c>
      <c r="AA137">
        <v>0.2172600807966682</v>
      </c>
      <c r="AB137" t="str">
        <f>HYPERLINK("Melting_Curves/meltCurve_B4DF64_HAUS3.pdf", "Melting_Curves/meltCurve_B4DF64_HAUS3.pdf")</f>
        <v>Melting_Curves/meltCurve_B4DF64_HAUS3.pdf</v>
      </c>
    </row>
    <row r="138" spans="1:28" x14ac:dyDescent="0.25">
      <c r="A138" t="s">
        <v>142</v>
      </c>
      <c r="B138">
        <v>0.99193492352474899</v>
      </c>
      <c r="C138">
        <v>0.81134528344457302</v>
      </c>
      <c r="D138">
        <v>0.86105024889977499</v>
      </c>
      <c r="E138">
        <v>0.67656322123995005</v>
      </c>
      <c r="F138">
        <v>0.60531864810153702</v>
      </c>
      <c r="G138">
        <v>0.36033057996270801</v>
      </c>
      <c r="H138">
        <v>0.18920908522570101</v>
      </c>
      <c r="I138">
        <v>0.16485760295871299</v>
      </c>
      <c r="J138">
        <v>0.13951892459547199</v>
      </c>
      <c r="K138">
        <v>0.14499911521028</v>
      </c>
      <c r="L138">
        <v>510.37030766839803</v>
      </c>
      <c r="M138">
        <v>9.4997628872973703</v>
      </c>
      <c r="N138">
        <v>53.779292224597597</v>
      </c>
      <c r="O138">
        <v>51.505453763034097</v>
      </c>
      <c r="P138">
        <v>-4.59156718037688E-2</v>
      </c>
      <c r="Q138">
        <v>4.81331001783735E-3</v>
      </c>
      <c r="R138">
        <v>0.97421879518286403</v>
      </c>
      <c r="S138" t="s">
        <v>6808</v>
      </c>
      <c r="T138" t="s">
        <v>13338</v>
      </c>
      <c r="U138" t="s">
        <v>13338</v>
      </c>
      <c r="V138" t="s">
        <v>13338</v>
      </c>
      <c r="W138" t="s">
        <v>13476</v>
      </c>
      <c r="X138">
        <v>4</v>
      </c>
      <c r="Y138" t="s">
        <v>20077</v>
      </c>
      <c r="Z138" t="s">
        <v>26553</v>
      </c>
      <c r="AA138">
        <v>0.49244939607765092</v>
      </c>
      <c r="AB138" t="str">
        <f>HYPERLINK("Melting_Curves/meltCurve_B4DFI9_HUS1.pdf", "Melting_Curves/meltCurve_B4DFI9_HUS1.pdf")</f>
        <v>Melting_Curves/meltCurve_B4DFI9_HUS1.pdf</v>
      </c>
    </row>
    <row r="139" spans="1:28" x14ac:dyDescent="0.25">
      <c r="A139" t="s">
        <v>143</v>
      </c>
      <c r="B139">
        <v>0.99193492352474899</v>
      </c>
      <c r="C139">
        <v>1.1084620381506201</v>
      </c>
      <c r="D139">
        <v>0.96142164811964304</v>
      </c>
      <c r="E139">
        <v>0.95848509714630503</v>
      </c>
      <c r="F139">
        <v>0.77831375847078998</v>
      </c>
      <c r="G139">
        <v>0.411622608712368</v>
      </c>
      <c r="H139">
        <v>0.129544893947969</v>
      </c>
      <c r="I139">
        <v>0.11203152462501299</v>
      </c>
      <c r="J139">
        <v>0.10383529887602801</v>
      </c>
      <c r="K139">
        <v>9.2747380031971804E-2</v>
      </c>
      <c r="L139">
        <v>1534.07654349428</v>
      </c>
      <c r="M139">
        <v>27.667702265885499</v>
      </c>
      <c r="N139">
        <v>55.825181273348598</v>
      </c>
      <c r="O139">
        <v>55.159245659114802</v>
      </c>
      <c r="P139">
        <v>-0.11467044787758</v>
      </c>
      <c r="Q139">
        <v>8.5565029803448198E-2</v>
      </c>
      <c r="R139">
        <v>0.99143515765023504</v>
      </c>
      <c r="S139" t="s">
        <v>6809</v>
      </c>
      <c r="T139" t="s">
        <v>13338</v>
      </c>
      <c r="U139" t="s">
        <v>13338</v>
      </c>
      <c r="V139" t="s">
        <v>13338</v>
      </c>
      <c r="W139" t="s">
        <v>13477</v>
      </c>
      <c r="X139">
        <v>7</v>
      </c>
      <c r="Y139" t="s">
        <v>20078</v>
      </c>
      <c r="Z139" t="s">
        <v>26554</v>
      </c>
      <c r="AA139">
        <v>0.56345088312932712</v>
      </c>
      <c r="AB139" t="str">
        <f>HYPERLINK("Melting_Curves/meltCurve_B4DGU4_CTNNB1.pdf", "Melting_Curves/meltCurve_B4DGU4_CTNNB1.pdf")</f>
        <v>Melting_Curves/meltCurve_B4DGU4_CTNNB1.pdf</v>
      </c>
    </row>
    <row r="140" spans="1:28" x14ac:dyDescent="0.25">
      <c r="A140" t="s">
        <v>144</v>
      </c>
      <c r="B140">
        <v>0.99193492352474899</v>
      </c>
      <c r="C140">
        <v>0.85600709531317798</v>
      </c>
      <c r="D140">
        <v>0.85859442939745401</v>
      </c>
      <c r="E140">
        <v>0.69951683940996701</v>
      </c>
      <c r="F140">
        <v>0.32359441586506599</v>
      </c>
      <c r="G140">
        <v>0.14557461127479901</v>
      </c>
      <c r="H140">
        <v>7.0709546109913299E-2</v>
      </c>
      <c r="I140">
        <v>8.1296361751906396E-2</v>
      </c>
      <c r="J140">
        <v>7.00826252812774E-2</v>
      </c>
      <c r="K140">
        <v>6.8005607082801303E-2</v>
      </c>
      <c r="L140">
        <v>931.816077307314</v>
      </c>
      <c r="M140">
        <v>18.291591776127699</v>
      </c>
      <c r="N140">
        <v>51.209684671294397</v>
      </c>
      <c r="O140">
        <v>50.345161188898601</v>
      </c>
      <c r="P140">
        <v>-8.6698407311874795E-2</v>
      </c>
      <c r="Q140">
        <v>4.5541214616922503E-2</v>
      </c>
      <c r="R140">
        <v>0.985576091042632</v>
      </c>
      <c r="S140" t="s">
        <v>6810</v>
      </c>
      <c r="T140" t="s">
        <v>13338</v>
      </c>
      <c r="U140" t="s">
        <v>13338</v>
      </c>
      <c r="V140" t="s">
        <v>13338</v>
      </c>
      <c r="W140" t="s">
        <v>13478</v>
      </c>
      <c r="X140">
        <v>14</v>
      </c>
      <c r="Y140" t="s">
        <v>20079</v>
      </c>
      <c r="Z140" t="s">
        <v>26555</v>
      </c>
      <c r="AA140">
        <v>0.40930455147494182</v>
      </c>
      <c r="AB140" t="str">
        <f>HYPERLINK("Melting_Curves/meltCurve_B4DGX2_PIP4K2A.pdf", "Melting_Curves/meltCurve_B4DGX2_PIP4K2A.pdf")</f>
        <v>Melting_Curves/meltCurve_B4DGX2_PIP4K2A.pdf</v>
      </c>
    </row>
    <row r="141" spans="1:28" x14ac:dyDescent="0.25">
      <c r="A141" t="s">
        <v>145</v>
      </c>
      <c r="B141">
        <v>0.99193492352474899</v>
      </c>
      <c r="C141">
        <v>0.73998859853619003</v>
      </c>
      <c r="D141">
        <v>1.02929372457306</v>
      </c>
      <c r="E141">
        <v>0.46744451606355503</v>
      </c>
      <c r="F141">
        <v>0.61522012421344296</v>
      </c>
      <c r="G141">
        <v>0.32944213246419601</v>
      </c>
      <c r="H141">
        <v>0.11398146898350101</v>
      </c>
      <c r="I141">
        <v>0.10992967719812401</v>
      </c>
      <c r="J141">
        <v>0.15492709026101201</v>
      </c>
      <c r="K141">
        <v>0.16636677658438401</v>
      </c>
      <c r="L141">
        <v>585.36098468819898</v>
      </c>
      <c r="M141">
        <v>11.266579617267301</v>
      </c>
      <c r="N141">
        <v>52.543451793787398</v>
      </c>
      <c r="O141">
        <v>50.399414770046498</v>
      </c>
      <c r="P141">
        <v>-5.2592939368509499E-2</v>
      </c>
      <c r="Q141">
        <v>5.9222120849975801E-2</v>
      </c>
      <c r="R141">
        <v>0.87086171218668096</v>
      </c>
      <c r="S141" t="s">
        <v>6811</v>
      </c>
      <c r="T141" t="s">
        <v>13338</v>
      </c>
      <c r="U141" t="s">
        <v>13338</v>
      </c>
      <c r="V141" t="s">
        <v>13338</v>
      </c>
      <c r="W141" t="s">
        <v>13479</v>
      </c>
      <c r="X141">
        <v>2</v>
      </c>
      <c r="Y141" t="s">
        <v>20080</v>
      </c>
      <c r="Z141" t="s">
        <v>26556</v>
      </c>
      <c r="AA141">
        <v>0.4653945667931893</v>
      </c>
      <c r="AB141" t="str">
        <f>HYPERLINK("Melting_Curves/meltCurve_B4DH26_DCUN1D4.pdf", "Melting_Curves/meltCurve_B4DH26_DCUN1D4.pdf")</f>
        <v>Melting_Curves/meltCurve_B4DH26_DCUN1D4.pdf</v>
      </c>
    </row>
    <row r="142" spans="1:28" x14ac:dyDescent="0.25">
      <c r="A142" t="s">
        <v>146</v>
      </c>
      <c r="B142">
        <v>0.99193492352474899</v>
      </c>
      <c r="C142">
        <v>0.94800463104169097</v>
      </c>
      <c r="D142">
        <v>0.97734655370866097</v>
      </c>
      <c r="E142">
        <v>0.53581398371459199</v>
      </c>
      <c r="F142">
        <v>0.26362935287712702</v>
      </c>
      <c r="G142">
        <v>0.163458676862762</v>
      </c>
      <c r="H142">
        <v>0.10259811431346801</v>
      </c>
      <c r="I142">
        <v>0.104006074981879</v>
      </c>
      <c r="J142">
        <v>0.10480172348015</v>
      </c>
      <c r="K142">
        <v>9.40283997088113E-2</v>
      </c>
      <c r="L142">
        <v>1391.39606784236</v>
      </c>
      <c r="M142">
        <v>27.975922445212198</v>
      </c>
      <c r="N142">
        <v>50.178675305895197</v>
      </c>
      <c r="O142">
        <v>49.483439692442502</v>
      </c>
      <c r="P142">
        <v>-0.125868729420511</v>
      </c>
      <c r="Q142">
        <v>0.109467920368457</v>
      </c>
      <c r="R142">
        <v>0.99375881357998097</v>
      </c>
      <c r="S142" t="s">
        <v>6812</v>
      </c>
      <c r="T142" t="s">
        <v>13338</v>
      </c>
      <c r="U142" t="s">
        <v>13338</v>
      </c>
      <c r="V142" t="s">
        <v>13338</v>
      </c>
      <c r="W142" t="s">
        <v>13480</v>
      </c>
      <c r="X142">
        <v>9</v>
      </c>
      <c r="Y142" t="s">
        <v>20081</v>
      </c>
      <c r="Z142" t="s">
        <v>26557</v>
      </c>
      <c r="AA142">
        <v>0.4047802459199254</v>
      </c>
      <c r="AB142" t="str">
        <f>HYPERLINK("Melting_Curves/meltCurve_B4DH53_MAP1S.pdf", "Melting_Curves/meltCurve_B4DH53_MAP1S.pdf")</f>
        <v>Melting_Curves/meltCurve_B4DH53_MAP1S.pdf</v>
      </c>
    </row>
    <row r="143" spans="1:28" x14ac:dyDescent="0.25">
      <c r="A143" t="s">
        <v>147</v>
      </c>
      <c r="B143">
        <v>0.99193492352474899</v>
      </c>
      <c r="C143">
        <v>0.84824274104467501</v>
      </c>
      <c r="D143">
        <v>1.0732279196387799</v>
      </c>
      <c r="E143">
        <v>0.64349252511258903</v>
      </c>
      <c r="F143">
        <v>0.71175744963477205</v>
      </c>
      <c r="G143">
        <v>0.27118659512336202</v>
      </c>
      <c r="H143">
        <v>0.11924706458781099</v>
      </c>
      <c r="I143">
        <v>0.153271831924885</v>
      </c>
      <c r="J143">
        <v>0.14909858510872401</v>
      </c>
      <c r="K143">
        <v>0.162096896840253</v>
      </c>
      <c r="L143">
        <v>920.58906698672001</v>
      </c>
      <c r="M143">
        <v>17.291431576628099</v>
      </c>
      <c r="N143">
        <v>53.968146007923799</v>
      </c>
      <c r="O143">
        <v>52.542842835407498</v>
      </c>
      <c r="P143">
        <v>-7.3713398730117494E-2</v>
      </c>
      <c r="Q143">
        <v>0.104090911864766</v>
      </c>
      <c r="R143">
        <v>0.92538462683246403</v>
      </c>
      <c r="S143" t="s">
        <v>6813</v>
      </c>
      <c r="T143" t="s">
        <v>13338</v>
      </c>
      <c r="U143" t="s">
        <v>13338</v>
      </c>
      <c r="V143" t="s">
        <v>13338</v>
      </c>
      <c r="W143" t="s">
        <v>13481</v>
      </c>
      <c r="X143">
        <v>2</v>
      </c>
      <c r="Y143" t="s">
        <v>20082</v>
      </c>
      <c r="Z143" t="s">
        <v>26558</v>
      </c>
      <c r="AA143">
        <v>0.5150122088305199</v>
      </c>
      <c r="AB143" t="str">
        <f>HYPERLINK("Melting_Curves/meltCurve_B4DH70_FBXW11.pdf", "Melting_Curves/meltCurve_B4DH70_FBXW11.pdf")</f>
        <v>Melting_Curves/meltCurve_B4DH70_FBXW11.pdf</v>
      </c>
    </row>
    <row r="144" spans="1:28" x14ac:dyDescent="0.25">
      <c r="A144" t="s">
        <v>148</v>
      </c>
      <c r="B144">
        <v>0.99193492352474899</v>
      </c>
      <c r="C144">
        <v>1.4265634335493</v>
      </c>
      <c r="D144">
        <v>0.63614343742624802</v>
      </c>
      <c r="E144">
        <v>0.64174535233989405</v>
      </c>
      <c r="F144">
        <v>0.21282851391256699</v>
      </c>
      <c r="G144">
        <v>0.194282753436294</v>
      </c>
      <c r="H144">
        <v>9.11938955492827E-2</v>
      </c>
      <c r="I144">
        <v>0.207189267602129</v>
      </c>
      <c r="J144">
        <v>0.15703061909517599</v>
      </c>
      <c r="K144">
        <v>0.19879700830350899</v>
      </c>
      <c r="L144">
        <v>1199.79164120721</v>
      </c>
      <c r="M144">
        <v>24.391690191389099</v>
      </c>
      <c r="N144">
        <v>49.963287223701201</v>
      </c>
      <c r="O144">
        <v>48.861496648312901</v>
      </c>
      <c r="P144">
        <v>-0.105150743108781</v>
      </c>
      <c r="Q144">
        <v>0.15745957234951699</v>
      </c>
      <c r="R144">
        <v>0.84163665530482101</v>
      </c>
      <c r="S144" t="s">
        <v>6814</v>
      </c>
      <c r="T144" t="s">
        <v>13338</v>
      </c>
      <c r="U144" t="s">
        <v>13338</v>
      </c>
      <c r="V144" t="s">
        <v>13338</v>
      </c>
      <c r="W144" t="s">
        <v>13482</v>
      </c>
      <c r="X144">
        <v>1</v>
      </c>
      <c r="Y144" t="s">
        <v>20083</v>
      </c>
      <c r="Z144" t="s">
        <v>26559</v>
      </c>
      <c r="AA144">
        <v>0.42337986533493033</v>
      </c>
      <c r="AB144" t="str">
        <f>HYPERLINK("Melting_Curves/meltCurve_B4DHJ7_BNIP3.pdf", "Melting_Curves/meltCurve_B4DHJ7_BNIP3.pdf")</f>
        <v>Melting_Curves/meltCurve_B4DHJ7_BNIP3.pdf</v>
      </c>
    </row>
    <row r="145" spans="1:28" x14ac:dyDescent="0.25">
      <c r="A145" t="s">
        <v>149</v>
      </c>
      <c r="B145">
        <v>0.99193492352474899</v>
      </c>
      <c r="C145">
        <v>0.93706944109085599</v>
      </c>
      <c r="D145">
        <v>0.90936592468726296</v>
      </c>
      <c r="E145">
        <v>0.53798022485905395</v>
      </c>
      <c r="F145">
        <v>0.38866472653892697</v>
      </c>
      <c r="G145">
        <v>0.19870162626333199</v>
      </c>
      <c r="H145">
        <v>5.6748716399305302E-2</v>
      </c>
      <c r="I145">
        <v>2.2083358410098099E-2</v>
      </c>
      <c r="J145">
        <v>6.2942040625567297E-2</v>
      </c>
      <c r="K145">
        <v>5.1550832220261703E-2</v>
      </c>
      <c r="L145">
        <v>815.50441869523797</v>
      </c>
      <c r="M145">
        <v>16.034682411550399</v>
      </c>
      <c r="N145">
        <v>51.006480442650201</v>
      </c>
      <c r="O145">
        <v>50.087469748008303</v>
      </c>
      <c r="P145">
        <v>-7.8223647882378497E-2</v>
      </c>
      <c r="Q145">
        <v>2.2688489947055201E-2</v>
      </c>
      <c r="R145">
        <v>0.99005183551619402</v>
      </c>
      <c r="S145" t="s">
        <v>6815</v>
      </c>
      <c r="T145" t="s">
        <v>13338</v>
      </c>
      <c r="U145" t="s">
        <v>13338</v>
      </c>
      <c r="V145" t="s">
        <v>13338</v>
      </c>
      <c r="W145" t="s">
        <v>13483</v>
      </c>
      <c r="X145">
        <v>1</v>
      </c>
      <c r="Y145" t="s">
        <v>20084</v>
      </c>
      <c r="Z145" t="s">
        <v>26560</v>
      </c>
      <c r="AA145">
        <v>0.39668530918029937</v>
      </c>
      <c r="AB145" t="str">
        <f>HYPERLINK("Melting_Curves/meltCurve_B4DHL3_LRRC28.pdf", "Melting_Curves/meltCurve_B4DHL3_LRRC28.pdf")</f>
        <v>Melting_Curves/meltCurve_B4DHL3_LRRC28.pdf</v>
      </c>
    </row>
    <row r="146" spans="1:28" x14ac:dyDescent="0.25">
      <c r="A146" t="s">
        <v>150</v>
      </c>
      <c r="B146">
        <v>0.99193492352474899</v>
      </c>
      <c r="C146">
        <v>0.91102751699665396</v>
      </c>
      <c r="D146">
        <v>0.80605836802779895</v>
      </c>
      <c r="E146">
        <v>0.61416714550661999</v>
      </c>
      <c r="F146">
        <v>0.19470174413949001</v>
      </c>
      <c r="G146">
        <v>9.1436186866177702E-2</v>
      </c>
      <c r="H146">
        <v>4.8372912786847397E-2</v>
      </c>
      <c r="I146">
        <v>5.9434305983249502E-2</v>
      </c>
      <c r="J146">
        <v>7.1620713369290101E-2</v>
      </c>
      <c r="K146">
        <v>6.5728403918373507E-2</v>
      </c>
      <c r="L146">
        <v>1025.6836781142699</v>
      </c>
      <c r="M146">
        <v>20.593731902496799</v>
      </c>
      <c r="N146">
        <v>50.022894168606697</v>
      </c>
      <c r="O146">
        <v>49.343103153680403</v>
      </c>
      <c r="P146">
        <v>-9.98785076290504E-2</v>
      </c>
      <c r="Q146">
        <v>4.2781577644465899E-2</v>
      </c>
      <c r="R146">
        <v>0.98950977454542499</v>
      </c>
      <c r="S146" t="s">
        <v>6816</v>
      </c>
      <c r="T146" t="s">
        <v>13338</v>
      </c>
      <c r="U146" t="s">
        <v>13338</v>
      </c>
      <c r="V146" t="s">
        <v>13338</v>
      </c>
      <c r="W146" t="s">
        <v>13484</v>
      </c>
      <c r="X146">
        <v>20</v>
      </c>
      <c r="Y146" t="s">
        <v>20085</v>
      </c>
      <c r="Z146" t="s">
        <v>26561</v>
      </c>
      <c r="AA146">
        <v>0.36824144041843188</v>
      </c>
      <c r="AB146" t="str">
        <f>HYPERLINK("Melting_Curves/meltCurve_B4DHT5_ACSF2.pdf", "Melting_Curves/meltCurve_B4DHT5_ACSF2.pdf")</f>
        <v>Melting_Curves/meltCurve_B4DHT5_ACSF2.pdf</v>
      </c>
    </row>
    <row r="147" spans="1:28" x14ac:dyDescent="0.25">
      <c r="A147" t="s">
        <v>151</v>
      </c>
      <c r="B147">
        <v>0.99193492352474899</v>
      </c>
      <c r="C147">
        <v>1.06859104873599</v>
      </c>
      <c r="D147">
        <v>0</v>
      </c>
      <c r="E147">
        <v>0</v>
      </c>
      <c r="F147">
        <v>1.27458070852678</v>
      </c>
      <c r="G147">
        <v>2.1835451441932601</v>
      </c>
      <c r="H147">
        <v>1.9158721471745801</v>
      </c>
      <c r="I147">
        <v>7.3360264656326999</v>
      </c>
      <c r="J147">
        <v>0</v>
      </c>
      <c r="K147">
        <v>9.5549794854454397</v>
      </c>
      <c r="L147">
        <v>13289.5044504532</v>
      </c>
      <c r="M147">
        <v>250</v>
      </c>
      <c r="O147">
        <v>53.154614166017602</v>
      </c>
      <c r="P147">
        <v>0.58790754902182096</v>
      </c>
      <c r="Q147">
        <v>1.5</v>
      </c>
      <c r="R147">
        <v>-5.8149686552464198E-2</v>
      </c>
      <c r="S147" t="s">
        <v>6817</v>
      </c>
      <c r="T147" t="s">
        <v>13338</v>
      </c>
      <c r="U147" t="s">
        <v>13338</v>
      </c>
      <c r="V147" t="s">
        <v>13338</v>
      </c>
      <c r="W147" t="s">
        <v>13485</v>
      </c>
      <c r="X147">
        <v>2</v>
      </c>
      <c r="Y147" t="s">
        <v>20086</v>
      </c>
      <c r="Z147" t="s">
        <v>26562</v>
      </c>
      <c r="AA147">
        <v>1.280653057556159</v>
      </c>
      <c r="AB147" t="str">
        <f>HYPERLINK("Melting_Curves/meltCurve_B4DIG7_PIP5K1B.pdf", "Melting_Curves/meltCurve_B4DIG7_PIP5K1B.pdf")</f>
        <v>Melting_Curves/meltCurve_B4DIG7_PIP5K1B.pdf</v>
      </c>
    </row>
    <row r="148" spans="1:28" x14ac:dyDescent="0.25">
      <c r="A148" t="s">
        <v>152</v>
      </c>
      <c r="B148">
        <v>0.99193492352474899</v>
      </c>
      <c r="C148">
        <v>0.90743795780308001</v>
      </c>
      <c r="D148">
        <v>0.87452084799045804</v>
      </c>
      <c r="E148">
        <v>0.78703255801472805</v>
      </c>
      <c r="F148">
        <v>0.60014352999693799</v>
      </c>
      <c r="G148">
        <v>0.425257270454445</v>
      </c>
      <c r="H148">
        <v>0.29285987242431599</v>
      </c>
      <c r="I148">
        <v>0.114707453032403</v>
      </c>
      <c r="J148">
        <v>8.2803651978554105E-2</v>
      </c>
      <c r="K148">
        <v>4.3085150437015898E-2</v>
      </c>
      <c r="L148">
        <v>640.08492410819804</v>
      </c>
      <c r="M148">
        <v>11.646445347067401</v>
      </c>
      <c r="N148">
        <v>54.959681250363197</v>
      </c>
      <c r="O148">
        <v>53.414332493087699</v>
      </c>
      <c r="P148">
        <v>-5.4524679699314599E-2</v>
      </c>
      <c r="Q148">
        <v>0</v>
      </c>
      <c r="R148">
        <v>0.99121118425788401</v>
      </c>
      <c r="S148" t="s">
        <v>6818</v>
      </c>
      <c r="T148" t="s">
        <v>13338</v>
      </c>
      <c r="U148" t="s">
        <v>13338</v>
      </c>
      <c r="V148" t="s">
        <v>13338</v>
      </c>
      <c r="W148" t="s">
        <v>13486</v>
      </c>
      <c r="X148">
        <v>8</v>
      </c>
      <c r="Y148" t="s">
        <v>20087</v>
      </c>
      <c r="Z148" t="s">
        <v>26563</v>
      </c>
      <c r="AA148">
        <v>0.52270290533829455</v>
      </c>
      <c r="AB148" t="str">
        <f>HYPERLINK("Melting_Curves/meltCurve_B4DJA5_RAB5A.pdf", "Melting_Curves/meltCurve_B4DJA5_RAB5A.pdf")</f>
        <v>Melting_Curves/meltCurve_B4DJA5_RAB5A.pdf</v>
      </c>
    </row>
    <row r="149" spans="1:28" x14ac:dyDescent="0.25">
      <c r="A149" t="s">
        <v>153</v>
      </c>
      <c r="B149">
        <v>0.99193492352474899</v>
      </c>
      <c r="C149">
        <v>0.88727653794199901</v>
      </c>
      <c r="D149">
        <v>0.84407487421361904</v>
      </c>
      <c r="E149">
        <v>0.639277947299844</v>
      </c>
      <c r="F149">
        <v>0.40732172987624898</v>
      </c>
      <c r="G149">
        <v>0.29073007760775799</v>
      </c>
      <c r="H149">
        <v>0.168870893604639</v>
      </c>
      <c r="I149">
        <v>0.12988913539043301</v>
      </c>
      <c r="J149">
        <v>0.14001164564586499</v>
      </c>
      <c r="K149">
        <v>0.16696066134420501</v>
      </c>
      <c r="L149">
        <v>710.638134552613</v>
      </c>
      <c r="M149">
        <v>14.006278368087001</v>
      </c>
      <c r="N149">
        <v>51.671892845778999</v>
      </c>
      <c r="O149">
        <v>49.736431274501399</v>
      </c>
      <c r="P149">
        <v>-6.2531706597271794E-2</v>
      </c>
      <c r="Q149">
        <v>0.111914616581822</v>
      </c>
      <c r="R149">
        <v>0.994429529175472</v>
      </c>
      <c r="S149" t="s">
        <v>6819</v>
      </c>
      <c r="T149" t="s">
        <v>13338</v>
      </c>
      <c r="U149" t="s">
        <v>13338</v>
      </c>
      <c r="V149" t="s">
        <v>13338</v>
      </c>
      <c r="W149" t="s">
        <v>13487</v>
      </c>
      <c r="X149">
        <v>2</v>
      </c>
      <c r="Y149" t="s">
        <v>20088</v>
      </c>
      <c r="Z149" t="s">
        <v>26564</v>
      </c>
      <c r="AA149">
        <v>0.45293702599180491</v>
      </c>
      <c r="AB149" t="str">
        <f>HYPERLINK("Melting_Curves/meltCurve_B4DJI5_ISCA1.pdf", "Melting_Curves/meltCurve_B4DJI5_ISCA1.pdf")</f>
        <v>Melting_Curves/meltCurve_B4DJI5_ISCA1.pdf</v>
      </c>
    </row>
    <row r="150" spans="1:28" x14ac:dyDescent="0.25">
      <c r="A150" t="s">
        <v>154</v>
      </c>
      <c r="B150">
        <v>0.99193492352474899</v>
      </c>
      <c r="C150">
        <v>1.28168596275321</v>
      </c>
      <c r="D150">
        <v>1.48389712073755</v>
      </c>
      <c r="E150">
        <v>1.0168160543856899</v>
      </c>
      <c r="F150">
        <v>0.16129235621281501</v>
      </c>
      <c r="G150">
        <v>8.7297944745075795E-2</v>
      </c>
      <c r="H150">
        <v>3.22565795945262E-2</v>
      </c>
      <c r="I150">
        <v>6.0691584074054498E-2</v>
      </c>
      <c r="J150">
        <v>4.4024807274132903E-2</v>
      </c>
      <c r="K150">
        <v>6.0571186782897399E-2</v>
      </c>
      <c r="L150">
        <v>13189.111995683401</v>
      </c>
      <c r="M150">
        <v>250</v>
      </c>
      <c r="N150">
        <v>52.781988317802501</v>
      </c>
      <c r="O150">
        <v>52.753071919897302</v>
      </c>
      <c r="P150">
        <v>-1.1172709408675201</v>
      </c>
      <c r="Q150">
        <v>5.6968412342201499E-2</v>
      </c>
      <c r="R150">
        <v>0.90079831597356097</v>
      </c>
      <c r="S150" t="s">
        <v>6820</v>
      </c>
      <c r="T150" t="s">
        <v>13338</v>
      </c>
      <c r="U150" t="s">
        <v>13338</v>
      </c>
      <c r="V150" t="s">
        <v>13338</v>
      </c>
      <c r="W150" t="s">
        <v>13488</v>
      </c>
      <c r="X150">
        <v>1</v>
      </c>
      <c r="Y150" t="s">
        <v>20089</v>
      </c>
      <c r="Z150" t="s">
        <v>26565</v>
      </c>
      <c r="AA150">
        <v>0.45804683770184468</v>
      </c>
      <c r="AB150" t="str">
        <f>HYPERLINK("Melting_Curves/meltCurve_B4DJN5_PRKCH.pdf", "Melting_Curves/meltCurve_B4DJN5_PRKCH.pdf")</f>
        <v>Melting_Curves/meltCurve_B4DJN5_PRKCH.pdf</v>
      </c>
    </row>
    <row r="151" spans="1:28" x14ac:dyDescent="0.25">
      <c r="A151" t="s">
        <v>155</v>
      </c>
      <c r="B151">
        <v>0.99193492352474899</v>
      </c>
      <c r="C151">
        <v>0.94498041078014205</v>
      </c>
      <c r="D151">
        <v>0.86315527168222805</v>
      </c>
      <c r="E151">
        <v>0.76167608262223296</v>
      </c>
      <c r="F151">
        <v>0.71491383698650302</v>
      </c>
      <c r="G151">
        <v>0.56921818718147998</v>
      </c>
      <c r="H151">
        <v>0.43339083739075202</v>
      </c>
      <c r="I151">
        <v>0.450341666766917</v>
      </c>
      <c r="J151">
        <v>0.37610075864953701</v>
      </c>
      <c r="K151">
        <v>0.28136914917540901</v>
      </c>
      <c r="L151">
        <v>422.02752663205598</v>
      </c>
      <c r="M151">
        <v>7.3846119424063499</v>
      </c>
      <c r="N151">
        <v>59.713550502010001</v>
      </c>
      <c r="O151">
        <v>53.407321723382502</v>
      </c>
      <c r="P151">
        <v>-2.9916459862436E-2</v>
      </c>
      <c r="Q151">
        <v>0.13586313842547501</v>
      </c>
      <c r="R151">
        <v>0.98590048545769804</v>
      </c>
      <c r="S151" t="s">
        <v>6821</v>
      </c>
      <c r="T151" t="s">
        <v>13338</v>
      </c>
      <c r="U151" t="s">
        <v>13338</v>
      </c>
      <c r="V151" t="s">
        <v>13338</v>
      </c>
      <c r="W151" t="s">
        <v>13489</v>
      </c>
      <c r="X151">
        <v>9</v>
      </c>
      <c r="Y151" t="s">
        <v>20090</v>
      </c>
      <c r="Z151" t="s">
        <v>26566</v>
      </c>
      <c r="AA151">
        <v>0.63727370590619159</v>
      </c>
      <c r="AB151" t="str">
        <f>HYPERLINK("Melting_Curves/meltCurve_B4DJP7_SNRPD3.pdf", "Melting_Curves/meltCurve_B4DJP7_SNRPD3.pdf")</f>
        <v>Melting_Curves/meltCurve_B4DJP7_SNRPD3.pdf</v>
      </c>
    </row>
    <row r="152" spans="1:28" x14ac:dyDescent="0.25">
      <c r="A152" t="s">
        <v>156</v>
      </c>
      <c r="B152">
        <v>0.99193492352474899</v>
      </c>
      <c r="C152">
        <v>0.87974051680686205</v>
      </c>
      <c r="D152">
        <v>0.88749071597277696</v>
      </c>
      <c r="E152">
        <v>0.60195485654714598</v>
      </c>
      <c r="F152">
        <v>0.30115727053857699</v>
      </c>
      <c r="G152">
        <v>0.109982844125179</v>
      </c>
      <c r="H152">
        <v>6.0867029546967398E-2</v>
      </c>
      <c r="I152">
        <v>6.9426465545342597E-2</v>
      </c>
      <c r="J152">
        <v>8.45539564147995E-2</v>
      </c>
      <c r="K152">
        <v>7.5996180773787406E-2</v>
      </c>
      <c r="L152">
        <v>1002.38791960174</v>
      </c>
      <c r="M152">
        <v>19.935327110391999</v>
      </c>
      <c r="N152">
        <v>50.5782762348218</v>
      </c>
      <c r="O152">
        <v>49.784231075584401</v>
      </c>
      <c r="P152">
        <v>-9.4594793577347902E-2</v>
      </c>
      <c r="Q152">
        <v>5.5109797005223803E-2</v>
      </c>
      <c r="R152">
        <v>0.99199657287675003</v>
      </c>
      <c r="S152" t="s">
        <v>6822</v>
      </c>
      <c r="T152" t="s">
        <v>13338</v>
      </c>
      <c r="U152" t="s">
        <v>13338</v>
      </c>
      <c r="V152" t="s">
        <v>13338</v>
      </c>
      <c r="W152" t="s">
        <v>13490</v>
      </c>
      <c r="X152">
        <v>20</v>
      </c>
      <c r="Y152" t="s">
        <v>20091</v>
      </c>
      <c r="Z152" t="s">
        <v>26567</v>
      </c>
      <c r="AA152">
        <v>0.39217851113137048</v>
      </c>
      <c r="AB152" t="str">
        <f>HYPERLINK("Melting_Curves/meltCurve_B4DJV2_CS.pdf", "Melting_Curves/meltCurve_B4DJV2_CS.pdf")</f>
        <v>Melting_Curves/meltCurve_B4DJV2_CS.pdf</v>
      </c>
    </row>
    <row r="153" spans="1:28" x14ac:dyDescent="0.25">
      <c r="A153" t="s">
        <v>157</v>
      </c>
      <c r="B153">
        <v>0.99193492352474899</v>
      </c>
      <c r="C153">
        <v>0.67841487546770596</v>
      </c>
      <c r="D153">
        <v>0.854351877451903</v>
      </c>
      <c r="E153">
        <v>0.53993668871687195</v>
      </c>
      <c r="F153">
        <v>0.47753645400092898</v>
      </c>
      <c r="G153">
        <v>0.28957987683951297</v>
      </c>
      <c r="H153">
        <v>0.26285349062786201</v>
      </c>
      <c r="I153">
        <v>0.30603551375397198</v>
      </c>
      <c r="J153">
        <v>0.45495200605915798</v>
      </c>
      <c r="K153">
        <v>0.60550137563764905</v>
      </c>
      <c r="L153">
        <v>691.04197255833799</v>
      </c>
      <c r="M153">
        <v>14.9279874939864</v>
      </c>
      <c r="N153">
        <v>51.192310564639499</v>
      </c>
      <c r="O153">
        <v>45.484812802318601</v>
      </c>
      <c r="P153">
        <v>-5.08568315221299E-2</v>
      </c>
      <c r="Q153">
        <v>0.38023117169495202</v>
      </c>
      <c r="R153">
        <v>0.71595055410209096</v>
      </c>
      <c r="S153" t="s">
        <v>6823</v>
      </c>
      <c r="T153" t="s">
        <v>13338</v>
      </c>
      <c r="U153" t="s">
        <v>13338</v>
      </c>
      <c r="V153" t="s">
        <v>13338</v>
      </c>
      <c r="W153" t="s">
        <v>13491</v>
      </c>
      <c r="X153">
        <v>3</v>
      </c>
      <c r="Y153" t="s">
        <v>20092</v>
      </c>
      <c r="Z153" t="s">
        <v>26568</v>
      </c>
      <c r="AA153">
        <v>0.52807486888877508</v>
      </c>
      <c r="AB153" t="str">
        <f>HYPERLINK("Melting_Curves/meltCurve_B4DKF9_ZNF286A.pdf", "Melting_Curves/meltCurve_B4DKF9_ZNF286A.pdf")</f>
        <v>Melting_Curves/meltCurve_B4DKF9_ZNF286A.pdf</v>
      </c>
    </row>
    <row r="154" spans="1:28" x14ac:dyDescent="0.25">
      <c r="A154" t="s">
        <v>158</v>
      </c>
      <c r="B154">
        <v>0.99193492352474899</v>
      </c>
      <c r="C154">
        <v>0.60330462862405998</v>
      </c>
      <c r="D154">
        <v>0.39528020714224499</v>
      </c>
      <c r="E154">
        <v>0.183045515094589</v>
      </c>
      <c r="F154">
        <v>0.15579846752128801</v>
      </c>
      <c r="G154">
        <v>8.21258550907146E-2</v>
      </c>
      <c r="H154">
        <v>5.0999678086753902E-2</v>
      </c>
      <c r="I154">
        <v>7.5108131863210997E-2</v>
      </c>
      <c r="J154">
        <v>0.111863174984051</v>
      </c>
      <c r="K154">
        <v>0.144968671338429</v>
      </c>
      <c r="L154">
        <v>928.70270552022498</v>
      </c>
      <c r="M154">
        <v>21.083690958557099</v>
      </c>
      <c r="N154">
        <v>44.5174931736587</v>
      </c>
      <c r="O154">
        <v>43.657869658840603</v>
      </c>
      <c r="P154">
        <v>-0.108708901266459</v>
      </c>
      <c r="Q154">
        <v>9.9612352225726605E-2</v>
      </c>
      <c r="R154">
        <v>0.97475579389098699</v>
      </c>
      <c r="S154" t="s">
        <v>6824</v>
      </c>
      <c r="T154" t="s">
        <v>13338</v>
      </c>
      <c r="U154" t="s">
        <v>13338</v>
      </c>
      <c r="V154" t="s">
        <v>13338</v>
      </c>
      <c r="W154" t="s">
        <v>13492</v>
      </c>
      <c r="X154">
        <v>1</v>
      </c>
      <c r="Y154" t="s">
        <v>20093</v>
      </c>
      <c r="Z154" t="s">
        <v>26569</v>
      </c>
      <c r="AA154">
        <v>0.2364829342806011</v>
      </c>
      <c r="AB154" t="str">
        <f>HYPERLINK("Melting_Curves/meltCurve_B4DL05_SHQ1.pdf", "Melting_Curves/meltCurve_B4DL05_SHQ1.pdf")</f>
        <v>Melting_Curves/meltCurve_B4DL05_SHQ1.pdf</v>
      </c>
    </row>
    <row r="155" spans="1:28" x14ac:dyDescent="0.25">
      <c r="A155" t="s">
        <v>159</v>
      </c>
      <c r="B155">
        <v>0.99193492352474899</v>
      </c>
      <c r="C155">
        <v>0.90119209415156598</v>
      </c>
      <c r="D155">
        <v>0.99043781929472796</v>
      </c>
      <c r="E155">
        <v>0.78724776018962095</v>
      </c>
      <c r="F155">
        <v>0.56915713154410996</v>
      </c>
      <c r="G155">
        <v>0.322505499588296</v>
      </c>
      <c r="H155">
        <v>8.9430371546737303E-2</v>
      </c>
      <c r="I155">
        <v>8.5968242313856205E-2</v>
      </c>
      <c r="J155">
        <v>0.12171837047074401</v>
      </c>
      <c r="K155">
        <v>0.101313491404932</v>
      </c>
      <c r="L155">
        <v>993.05576408071704</v>
      </c>
      <c r="M155">
        <v>18.599203776264101</v>
      </c>
      <c r="N155">
        <v>53.8080632503045</v>
      </c>
      <c r="O155">
        <v>52.786643142430897</v>
      </c>
      <c r="P155">
        <v>-8.2195615125302698E-2</v>
      </c>
      <c r="Q155">
        <v>6.6918665513884798E-2</v>
      </c>
      <c r="R155">
        <v>0.98741083821881204</v>
      </c>
      <c r="S155" t="s">
        <v>6825</v>
      </c>
      <c r="T155" t="s">
        <v>13338</v>
      </c>
      <c r="U155" t="s">
        <v>13338</v>
      </c>
      <c r="V155" t="s">
        <v>13338</v>
      </c>
      <c r="W155" t="s">
        <v>13493</v>
      </c>
      <c r="X155">
        <v>5</v>
      </c>
      <c r="Y155" t="s">
        <v>20094</v>
      </c>
      <c r="Z155" t="s">
        <v>26570</v>
      </c>
      <c r="AA155">
        <v>0.49785156897097849</v>
      </c>
      <c r="AB155" t="str">
        <f>HYPERLINK("Melting_Curves/meltCurve_B4DL54_CHURC1_FNTB.pdf", "Melting_Curves/meltCurve_B4DL54_CHURC1_FNTB.pdf")</f>
        <v>Melting_Curves/meltCurve_B4DL54_CHURC1_FNTB.pdf</v>
      </c>
    </row>
    <row r="156" spans="1:28" x14ac:dyDescent="0.25">
      <c r="A156" t="s">
        <v>160</v>
      </c>
      <c r="B156">
        <v>0.99193492352474899</v>
      </c>
      <c r="C156">
        <v>0.73293004624045799</v>
      </c>
      <c r="D156">
        <v>0.85698885111688705</v>
      </c>
      <c r="E156">
        <v>0.706195788166875</v>
      </c>
      <c r="F156">
        <v>0.48299377769707402</v>
      </c>
      <c r="G156">
        <v>0.37443060543585799</v>
      </c>
      <c r="H156">
        <v>0.26839225585515802</v>
      </c>
      <c r="I156">
        <v>0.264496773079474</v>
      </c>
      <c r="J156">
        <v>0.24792216403689499</v>
      </c>
      <c r="K156">
        <v>0.32490450844722601</v>
      </c>
      <c r="L156">
        <v>536.74158749243304</v>
      </c>
      <c r="M156">
        <v>10.6404388328765</v>
      </c>
      <c r="N156">
        <v>53.1568215264288</v>
      </c>
      <c r="O156">
        <v>48.759698955030103</v>
      </c>
      <c r="P156">
        <v>-4.3140923975132202E-2</v>
      </c>
      <c r="Q156">
        <v>0.20953175287011799</v>
      </c>
      <c r="R156">
        <v>0.93226754088554697</v>
      </c>
      <c r="S156" t="s">
        <v>6826</v>
      </c>
      <c r="T156" t="s">
        <v>13338</v>
      </c>
      <c r="U156" t="s">
        <v>13338</v>
      </c>
      <c r="V156" t="s">
        <v>13338</v>
      </c>
      <c r="W156" t="s">
        <v>13494</v>
      </c>
      <c r="X156">
        <v>12</v>
      </c>
      <c r="Y156" t="s">
        <v>20095</v>
      </c>
      <c r="Z156" t="s">
        <v>26571</v>
      </c>
      <c r="AA156">
        <v>0.51641097164698069</v>
      </c>
      <c r="AB156" t="str">
        <f>HYPERLINK("Melting_Curves/meltCurve_B4DLN1_SLC25A10.pdf", "Melting_Curves/meltCurve_B4DLN1_SLC25A10.pdf")</f>
        <v>Melting_Curves/meltCurve_B4DLN1_SLC25A10.pdf</v>
      </c>
    </row>
    <row r="157" spans="1:28" x14ac:dyDescent="0.25">
      <c r="A157" t="s">
        <v>161</v>
      </c>
      <c r="B157">
        <v>0.99193492352474899</v>
      </c>
      <c r="C157">
        <v>0.89398357412569596</v>
      </c>
      <c r="D157">
        <v>0.82943647187018399</v>
      </c>
      <c r="E157">
        <v>0.56060087727537</v>
      </c>
      <c r="F157">
        <v>0.18205825021334399</v>
      </c>
      <c r="G157">
        <v>0.15467404939575499</v>
      </c>
      <c r="H157">
        <v>6.9573762625617402E-2</v>
      </c>
      <c r="I157">
        <v>8.7503851059431897E-2</v>
      </c>
      <c r="J157">
        <v>0.11367299101572401</v>
      </c>
      <c r="K157">
        <v>0.14399411786335001</v>
      </c>
      <c r="L157">
        <v>1085.7996327414901</v>
      </c>
      <c r="M157">
        <v>22.051316204426701</v>
      </c>
      <c r="N157">
        <v>49.7122226461846</v>
      </c>
      <c r="O157">
        <v>48.840093725272901</v>
      </c>
      <c r="P157">
        <v>-0.102204947982098</v>
      </c>
      <c r="Q157">
        <v>9.45504029831956E-2</v>
      </c>
      <c r="R157">
        <v>0.98749737691319095</v>
      </c>
      <c r="S157" t="s">
        <v>6827</v>
      </c>
      <c r="T157" t="s">
        <v>13338</v>
      </c>
      <c r="U157" t="s">
        <v>13338</v>
      </c>
      <c r="V157" t="s">
        <v>13338</v>
      </c>
      <c r="W157" t="s">
        <v>13495</v>
      </c>
      <c r="X157">
        <v>8</v>
      </c>
      <c r="Y157" t="s">
        <v>20096</v>
      </c>
      <c r="Z157" t="s">
        <v>26572</v>
      </c>
      <c r="AA157">
        <v>0.38380551055003509</v>
      </c>
      <c r="AB157" t="str">
        <f>HYPERLINK("Melting_Curves/meltCurve_B4DLT4_RPS6KB1.pdf", "Melting_Curves/meltCurve_B4DLT4_RPS6KB1.pdf")</f>
        <v>Melting_Curves/meltCurve_B4DLT4_RPS6KB1.pdf</v>
      </c>
    </row>
    <row r="158" spans="1:28" x14ac:dyDescent="0.25">
      <c r="A158" t="s">
        <v>162</v>
      </c>
      <c r="B158">
        <v>0.99193492352474899</v>
      </c>
      <c r="C158">
        <v>1.1537485472646301</v>
      </c>
      <c r="D158">
        <v>0.804752879261453</v>
      </c>
      <c r="E158">
        <v>0.67090431891063695</v>
      </c>
      <c r="F158">
        <v>0.30765898343606701</v>
      </c>
      <c r="G158">
        <v>0.19702111586579699</v>
      </c>
      <c r="H158">
        <v>0.133208113882991</v>
      </c>
      <c r="I158">
        <v>0.20355553078293701</v>
      </c>
      <c r="J158">
        <v>0.225843774867097</v>
      </c>
      <c r="K158">
        <v>0.19016563423542601</v>
      </c>
      <c r="L158">
        <v>1240.2660104326001</v>
      </c>
      <c r="M158">
        <v>24.8362454044338</v>
      </c>
      <c r="N158">
        <v>50.844815860358999</v>
      </c>
      <c r="O158">
        <v>49.617344354309601</v>
      </c>
      <c r="P158">
        <v>-0.102743931059198</v>
      </c>
      <c r="Q158">
        <v>0.17897201116601899</v>
      </c>
      <c r="R158">
        <v>0.96316561121699096</v>
      </c>
      <c r="S158" t="s">
        <v>6828</v>
      </c>
      <c r="T158" t="s">
        <v>13338</v>
      </c>
      <c r="U158" t="s">
        <v>13338</v>
      </c>
      <c r="V158" t="s">
        <v>13338</v>
      </c>
      <c r="W158" t="s">
        <v>13496</v>
      </c>
      <c r="X158">
        <v>4</v>
      </c>
      <c r="Y158" t="s">
        <v>20097</v>
      </c>
      <c r="Z158" t="s">
        <v>26573</v>
      </c>
      <c r="AA158">
        <v>0.45837536257198452</v>
      </c>
      <c r="AB158" t="str">
        <f>HYPERLINK("Melting_Curves/meltCurve_B4DLU3_PGS1.pdf", "Melting_Curves/meltCurve_B4DLU3_PGS1.pdf")</f>
        <v>Melting_Curves/meltCurve_B4DLU3_PGS1.pdf</v>
      </c>
    </row>
    <row r="159" spans="1:28" x14ac:dyDescent="0.25">
      <c r="A159" t="s">
        <v>163</v>
      </c>
      <c r="B159">
        <v>0.99193492352474899</v>
      </c>
      <c r="C159">
        <v>0.72852164402705999</v>
      </c>
      <c r="D159">
        <v>1.07970683451919</v>
      </c>
      <c r="E159">
        <v>0.51907031258834901</v>
      </c>
      <c r="F159">
        <v>0.48363357887963798</v>
      </c>
      <c r="G159">
        <v>0.14140306681041101</v>
      </c>
      <c r="H159">
        <v>0.118361130925699</v>
      </c>
      <c r="I159">
        <v>0.15261125251518201</v>
      </c>
      <c r="J159">
        <v>0.28175615411321198</v>
      </c>
      <c r="K159">
        <v>0.28042586235837103</v>
      </c>
      <c r="L159">
        <v>1214.29992318871</v>
      </c>
      <c r="M159">
        <v>24.3410434816034</v>
      </c>
      <c r="N159">
        <v>50.9606138255659</v>
      </c>
      <c r="O159">
        <v>49.553874188273298</v>
      </c>
      <c r="P159">
        <v>-9.8168099750218105E-2</v>
      </c>
      <c r="Q159">
        <v>0.20060339368348001</v>
      </c>
      <c r="R159">
        <v>0.85703045688593604</v>
      </c>
      <c r="S159" t="s">
        <v>6829</v>
      </c>
      <c r="T159" t="s">
        <v>13338</v>
      </c>
      <c r="U159" t="s">
        <v>13338</v>
      </c>
      <c r="V159" t="s">
        <v>13338</v>
      </c>
      <c r="W159" t="s">
        <v>13497</v>
      </c>
      <c r="X159">
        <v>3</v>
      </c>
      <c r="Y159" t="s">
        <v>20098</v>
      </c>
      <c r="Z159" t="s">
        <v>26574</v>
      </c>
      <c r="AA159">
        <v>0.47158721482707988</v>
      </c>
      <c r="AB159" t="str">
        <f>HYPERLINK("Melting_Curves/meltCurve_B4DLZ9_RNF220.pdf", "Melting_Curves/meltCurve_B4DLZ9_RNF220.pdf")</f>
        <v>Melting_Curves/meltCurve_B4DLZ9_RNF220.pdf</v>
      </c>
    </row>
    <row r="160" spans="1:28" x14ac:dyDescent="0.25">
      <c r="A160" t="s">
        <v>164</v>
      </c>
      <c r="B160">
        <v>0.99193492352474899</v>
      </c>
      <c r="C160">
        <v>0.33791249541917001</v>
      </c>
      <c r="D160">
        <v>0.64159444212772798</v>
      </c>
      <c r="E160">
        <v>0.224774055497625</v>
      </c>
      <c r="F160">
        <v>5.2896566431283702E-2</v>
      </c>
      <c r="G160">
        <v>3.1468611860710899E-2</v>
      </c>
      <c r="H160">
        <v>1.7800605199251699E-2</v>
      </c>
      <c r="I160">
        <v>1.9983864622315599E-2</v>
      </c>
      <c r="J160">
        <v>2.00768144453023E-2</v>
      </c>
      <c r="K160">
        <v>0</v>
      </c>
      <c r="L160">
        <v>574.87038508262799</v>
      </c>
      <c r="M160">
        <v>12.826363884137301</v>
      </c>
      <c r="N160">
        <v>44.819435643831497</v>
      </c>
      <c r="O160">
        <v>43.771899820440503</v>
      </c>
      <c r="P160">
        <v>-7.3270474964852297E-2</v>
      </c>
      <c r="Q160">
        <v>0</v>
      </c>
      <c r="R160">
        <v>0.82871571379508802</v>
      </c>
      <c r="S160" t="s">
        <v>6830</v>
      </c>
      <c r="T160" t="s">
        <v>13338</v>
      </c>
      <c r="U160" t="s">
        <v>13338</v>
      </c>
      <c r="V160" t="s">
        <v>13338</v>
      </c>
      <c r="W160" t="s">
        <v>13498</v>
      </c>
      <c r="X160">
        <v>2</v>
      </c>
      <c r="Y160" t="s">
        <v>20099</v>
      </c>
      <c r="Z160" t="s">
        <v>26575</v>
      </c>
      <c r="AA160">
        <v>0.20552543449062841</v>
      </c>
      <c r="AB160" t="str">
        <f>HYPERLINK("Melting_Curves/meltCurve_B4DN34_MRPL48.pdf", "Melting_Curves/meltCurve_B4DN34_MRPL48.pdf")</f>
        <v>Melting_Curves/meltCurve_B4DN34_MRPL48.pdf</v>
      </c>
    </row>
    <row r="161" spans="1:28" x14ac:dyDescent="0.25">
      <c r="A161" t="s">
        <v>165</v>
      </c>
      <c r="B161">
        <v>0.99193492352474899</v>
      </c>
      <c r="C161">
        <v>0.78153681637868699</v>
      </c>
      <c r="D161">
        <v>0.95084132618857198</v>
      </c>
      <c r="E161">
        <v>0.60623041056266203</v>
      </c>
      <c r="F161">
        <v>0.43271257929301699</v>
      </c>
      <c r="G161">
        <v>0.26312425511834697</v>
      </c>
      <c r="H161">
        <v>0.18561018345483599</v>
      </c>
      <c r="I161">
        <v>0.304063650226987</v>
      </c>
      <c r="J161">
        <v>0.487466015645933</v>
      </c>
      <c r="K161">
        <v>0.64071539915315001</v>
      </c>
      <c r="L161">
        <v>1590.3649093378699</v>
      </c>
      <c r="M161">
        <v>32.609848900156202</v>
      </c>
      <c r="N161">
        <v>50.9768474503121</v>
      </c>
      <c r="O161">
        <v>48.587144086564599</v>
      </c>
      <c r="P161">
        <v>-0.104336035794678</v>
      </c>
      <c r="Q161">
        <v>0.37817951196278898</v>
      </c>
      <c r="R161">
        <v>0.74126926220634404</v>
      </c>
      <c r="S161" t="s">
        <v>6831</v>
      </c>
      <c r="T161" t="s">
        <v>13338</v>
      </c>
      <c r="U161" t="s">
        <v>13338</v>
      </c>
      <c r="V161" t="s">
        <v>13338</v>
      </c>
      <c r="W161" t="s">
        <v>13499</v>
      </c>
      <c r="X161">
        <v>10</v>
      </c>
      <c r="Y161" t="s">
        <v>20100</v>
      </c>
      <c r="Z161" t="s">
        <v>26576</v>
      </c>
      <c r="AA161">
        <v>0.56312855388489491</v>
      </c>
      <c r="AB161" t="str">
        <f>HYPERLINK("Melting_Curves/meltCurve_B4DNC9_ISCU.pdf", "Melting_Curves/meltCurve_B4DNC9_ISCU.pdf")</f>
        <v>Melting_Curves/meltCurve_B4DNC9_ISCU.pdf</v>
      </c>
    </row>
    <row r="162" spans="1:28" x14ac:dyDescent="0.25">
      <c r="A162" t="s">
        <v>166</v>
      </c>
      <c r="B162">
        <v>0.99193492352474899</v>
      </c>
      <c r="C162">
        <v>0.95176190019149998</v>
      </c>
      <c r="D162">
        <v>0.91985628414509502</v>
      </c>
      <c r="E162">
        <v>0.79085389311338194</v>
      </c>
      <c r="F162">
        <v>0.71123068623397501</v>
      </c>
      <c r="G162">
        <v>0.55752268922027004</v>
      </c>
      <c r="H162">
        <v>0.43401995781886699</v>
      </c>
      <c r="I162">
        <v>0.47563474358777702</v>
      </c>
      <c r="J162">
        <v>0.50928525120253698</v>
      </c>
      <c r="K162">
        <v>0.51059488155436705</v>
      </c>
      <c r="L162">
        <v>796.137250386132</v>
      </c>
      <c r="M162">
        <v>15.4942065064063</v>
      </c>
      <c r="N162">
        <v>62.074707473409198</v>
      </c>
      <c r="O162">
        <v>50.549807882206501</v>
      </c>
      <c r="P162">
        <v>-4.0974549255755097E-2</v>
      </c>
      <c r="Q162">
        <v>0.46533013652893301</v>
      </c>
      <c r="R162">
        <v>0.97277616973026804</v>
      </c>
      <c r="S162" t="s">
        <v>6832</v>
      </c>
      <c r="T162" t="s">
        <v>13338</v>
      </c>
      <c r="U162" t="s">
        <v>13338</v>
      </c>
      <c r="V162" t="s">
        <v>13338</v>
      </c>
      <c r="W162" t="s">
        <v>13500</v>
      </c>
      <c r="X162">
        <v>16</v>
      </c>
      <c r="Y162" t="s">
        <v>20101</v>
      </c>
      <c r="Z162" t="s">
        <v>26577</v>
      </c>
      <c r="AA162">
        <v>0.67977807535234858</v>
      </c>
      <c r="AB162" t="str">
        <f>HYPERLINK("Melting_Curves/meltCurve_B4DNW0_ACY1.pdf", "Melting_Curves/meltCurve_B4DNW0_ACY1.pdf")</f>
        <v>Melting_Curves/meltCurve_B4DNW0_ACY1.pdf</v>
      </c>
    </row>
    <row r="163" spans="1:28" x14ac:dyDescent="0.25">
      <c r="A163" t="s">
        <v>167</v>
      </c>
      <c r="B163">
        <v>0.99193492352474899</v>
      </c>
      <c r="C163">
        <v>0.76371078980166396</v>
      </c>
      <c r="D163">
        <v>0.73419929682100804</v>
      </c>
      <c r="E163">
        <v>0.27440551325642398</v>
      </c>
      <c r="F163">
        <v>0.13509163198242299</v>
      </c>
      <c r="G163">
        <v>7.7062527646121204E-2</v>
      </c>
      <c r="H163">
        <v>6.2206318682407002E-2</v>
      </c>
      <c r="I163">
        <v>5.7735997545744003E-2</v>
      </c>
      <c r="J163">
        <v>5.76677089459234E-2</v>
      </c>
      <c r="K163">
        <v>6.1916459357603898E-2</v>
      </c>
      <c r="L163">
        <v>897.50019753829804</v>
      </c>
      <c r="M163">
        <v>19.014391285576899</v>
      </c>
      <c r="N163">
        <v>47.446971734943098</v>
      </c>
      <c r="O163">
        <v>46.688317389592797</v>
      </c>
      <c r="P163">
        <v>-9.7042615627772402E-2</v>
      </c>
      <c r="Q163">
        <v>4.6916346940770001E-2</v>
      </c>
      <c r="R163">
        <v>0.97923850354758701</v>
      </c>
      <c r="S163" t="s">
        <v>6833</v>
      </c>
      <c r="T163" t="s">
        <v>13338</v>
      </c>
      <c r="U163" t="s">
        <v>13338</v>
      </c>
      <c r="V163" t="s">
        <v>13338</v>
      </c>
      <c r="W163" t="s">
        <v>13501</v>
      </c>
      <c r="X163">
        <v>9</v>
      </c>
      <c r="Y163" t="s">
        <v>20102</v>
      </c>
      <c r="Z163" t="s">
        <v>26578</v>
      </c>
      <c r="AA163">
        <v>0.29115612044675898</v>
      </c>
      <c r="AB163" t="str">
        <f>HYPERLINK("Melting_Curves/meltCurve_B4DP21_PTGES3.pdf", "Melting_Curves/meltCurve_B4DP21_PTGES3.pdf")</f>
        <v>Melting_Curves/meltCurve_B4DP21_PTGES3.pdf</v>
      </c>
    </row>
    <row r="164" spans="1:28" x14ac:dyDescent="0.25">
      <c r="A164" t="s">
        <v>168</v>
      </c>
      <c r="B164">
        <v>0.99193492352474899</v>
      </c>
      <c r="C164">
        <v>0.52197980096627505</v>
      </c>
      <c r="D164">
        <v>0.60785542165131601</v>
      </c>
      <c r="E164">
        <v>0.34975704258940399</v>
      </c>
      <c r="F164">
        <v>0.20412625719223801</v>
      </c>
      <c r="G164">
        <v>0.124207924094226</v>
      </c>
      <c r="H164">
        <v>0.136090813612017</v>
      </c>
      <c r="I164">
        <v>0.17945352116699301</v>
      </c>
      <c r="J164">
        <v>0.22373770991788999</v>
      </c>
      <c r="K164">
        <v>0.30965472135543398</v>
      </c>
      <c r="L164">
        <v>688.17873728412405</v>
      </c>
      <c r="M164">
        <v>15.5048383917543</v>
      </c>
      <c r="N164">
        <v>45.775313426070902</v>
      </c>
      <c r="O164">
        <v>43.666105782679402</v>
      </c>
      <c r="P164">
        <v>-7.2103872586950099E-2</v>
      </c>
      <c r="Q164">
        <v>0.187810701399102</v>
      </c>
      <c r="R164">
        <v>0.86487777630274498</v>
      </c>
      <c r="S164" t="s">
        <v>6834</v>
      </c>
      <c r="T164" t="s">
        <v>13338</v>
      </c>
      <c r="U164" t="s">
        <v>13338</v>
      </c>
      <c r="V164" t="s">
        <v>13338</v>
      </c>
      <c r="W164" t="s">
        <v>13502</v>
      </c>
      <c r="X164">
        <v>11</v>
      </c>
      <c r="Y164" t="s">
        <v>20103</v>
      </c>
      <c r="Z164" t="s">
        <v>26579</v>
      </c>
      <c r="AA164">
        <v>0.33267635442303511</v>
      </c>
      <c r="AB164" t="str">
        <f>HYPERLINK("Melting_Curves/meltCurve_B4DPY8_TOX4.pdf", "Melting_Curves/meltCurve_B4DPY8_TOX4.pdf")</f>
        <v>Melting_Curves/meltCurve_B4DPY8_TOX4.pdf</v>
      </c>
    </row>
    <row r="165" spans="1:28" x14ac:dyDescent="0.25">
      <c r="A165" t="s">
        <v>169</v>
      </c>
      <c r="B165">
        <v>0.99193492352474899</v>
      </c>
      <c r="C165">
        <v>0.82021172032517498</v>
      </c>
      <c r="D165">
        <v>0.714948440819415</v>
      </c>
      <c r="E165">
        <v>0.40777289038898901</v>
      </c>
      <c r="F165">
        <v>0.29303763192264298</v>
      </c>
      <c r="G165">
        <v>0.15650042880714499</v>
      </c>
      <c r="H165">
        <v>0.13999534564607599</v>
      </c>
      <c r="I165">
        <v>0.21798549084219701</v>
      </c>
      <c r="J165">
        <v>0.290387960772863</v>
      </c>
      <c r="K165">
        <v>0.48601104753804297</v>
      </c>
      <c r="L165">
        <v>1003.16936501193</v>
      </c>
      <c r="M165">
        <v>21.5904250735197</v>
      </c>
      <c r="N165">
        <v>48.052960628113397</v>
      </c>
      <c r="O165">
        <v>46.070534513381297</v>
      </c>
      <c r="P165">
        <v>-8.7264700581392102E-2</v>
      </c>
      <c r="Q165">
        <v>0.25518202138995599</v>
      </c>
      <c r="R165">
        <v>0.885167802575059</v>
      </c>
      <c r="S165" t="s">
        <v>6835</v>
      </c>
      <c r="T165" t="s">
        <v>13338</v>
      </c>
      <c r="U165" t="s">
        <v>13338</v>
      </c>
      <c r="V165" t="s">
        <v>13338</v>
      </c>
      <c r="W165" t="s">
        <v>13503</v>
      </c>
      <c r="X165">
        <v>6</v>
      </c>
      <c r="Y165" t="s">
        <v>20104</v>
      </c>
      <c r="Z165" t="s">
        <v>26580</v>
      </c>
      <c r="AA165">
        <v>0.42506202701369178</v>
      </c>
      <c r="AB165" t="str">
        <f>HYPERLINK("Melting_Curves/meltCurve_B4DQI6_TRA2A.pdf", "Melting_Curves/meltCurve_B4DQI6_TRA2A.pdf")</f>
        <v>Melting_Curves/meltCurve_B4DQI6_TRA2A.pdf</v>
      </c>
    </row>
    <row r="166" spans="1:28" x14ac:dyDescent="0.25">
      <c r="A166" t="s">
        <v>170</v>
      </c>
      <c r="B166">
        <v>0.99193492352474899</v>
      </c>
      <c r="C166">
        <v>0.93059094600618397</v>
      </c>
      <c r="D166">
        <v>0.84505752227550002</v>
      </c>
      <c r="E166">
        <v>0.72209440810561298</v>
      </c>
      <c r="F166">
        <v>0.43730409076265703</v>
      </c>
      <c r="G166">
        <v>0.117771171409877</v>
      </c>
      <c r="H166">
        <v>6.9700578512733993E-2</v>
      </c>
      <c r="I166">
        <v>7.6719151093193105E-2</v>
      </c>
      <c r="J166">
        <v>7.9871857355384906E-2</v>
      </c>
      <c r="K166">
        <v>7.9633989397204896E-2</v>
      </c>
      <c r="L166">
        <v>957.56569879467997</v>
      </c>
      <c r="M166">
        <v>18.559515887575198</v>
      </c>
      <c r="N166">
        <v>51.851655044762801</v>
      </c>
      <c r="O166">
        <v>51.006527853447203</v>
      </c>
      <c r="P166">
        <v>-8.6967999080570901E-2</v>
      </c>
      <c r="Q166">
        <v>4.3996245090457999E-2</v>
      </c>
      <c r="R166">
        <v>0.98800353842852895</v>
      </c>
      <c r="S166" t="s">
        <v>6836</v>
      </c>
      <c r="T166" t="s">
        <v>13338</v>
      </c>
      <c r="U166" t="s">
        <v>13338</v>
      </c>
      <c r="V166" t="s">
        <v>13338</v>
      </c>
      <c r="W166" t="s">
        <v>13504</v>
      </c>
      <c r="X166">
        <v>34</v>
      </c>
      <c r="Y166" t="s">
        <v>20105</v>
      </c>
      <c r="Z166" t="s">
        <v>26581</v>
      </c>
      <c r="AA166">
        <v>0.42862573053774522</v>
      </c>
      <c r="AB166" t="str">
        <f>HYPERLINK("Melting_Curves/meltCurve_B4DQJ8_PGD.pdf", "Melting_Curves/meltCurve_B4DQJ8_PGD.pdf")</f>
        <v>Melting_Curves/meltCurve_B4DQJ8_PGD.pdf</v>
      </c>
    </row>
    <row r="167" spans="1:28" x14ac:dyDescent="0.25">
      <c r="A167" t="s">
        <v>171</v>
      </c>
      <c r="B167">
        <v>0.99193492352474899</v>
      </c>
      <c r="C167">
        <v>0.85624860950041604</v>
      </c>
      <c r="D167">
        <v>0.88166915325017603</v>
      </c>
      <c r="E167">
        <v>0.77815791690997704</v>
      </c>
      <c r="F167">
        <v>0.68527871687638398</v>
      </c>
      <c r="G167">
        <v>0.38520591442839902</v>
      </c>
      <c r="H167">
        <v>0.36856903815207298</v>
      </c>
      <c r="I167">
        <v>0.34611174787408799</v>
      </c>
      <c r="J167">
        <v>0.392056238669165</v>
      </c>
      <c r="K167">
        <v>0.26086848989162797</v>
      </c>
      <c r="L167">
        <v>596.67653855174899</v>
      </c>
      <c r="M167">
        <v>11.321676066555099</v>
      </c>
      <c r="N167">
        <v>56.2193815862436</v>
      </c>
      <c r="O167">
        <v>51.138233620280403</v>
      </c>
      <c r="P167">
        <v>-4.1315454736174102E-2</v>
      </c>
      <c r="Q167">
        <v>0.25376359226602802</v>
      </c>
      <c r="R167">
        <v>0.95081103666314604</v>
      </c>
      <c r="S167" t="s">
        <v>6837</v>
      </c>
      <c r="T167" t="s">
        <v>13338</v>
      </c>
      <c r="U167" t="s">
        <v>13338</v>
      </c>
      <c r="V167" t="s">
        <v>13338</v>
      </c>
      <c r="W167" t="s">
        <v>13505</v>
      </c>
      <c r="X167">
        <v>2</v>
      </c>
      <c r="Y167" t="s">
        <v>20106</v>
      </c>
      <c r="Z167" t="s">
        <v>26582</v>
      </c>
      <c r="AA167">
        <v>0.59294057819902868</v>
      </c>
      <c r="AB167" t="str">
        <f>HYPERLINK("Melting_Curves/meltCurve_B4DR12_MGRN1.pdf", "Melting_Curves/meltCurve_B4DR12_MGRN1.pdf")</f>
        <v>Melting_Curves/meltCurve_B4DR12_MGRN1.pdf</v>
      </c>
    </row>
    <row r="168" spans="1:28" x14ac:dyDescent="0.25">
      <c r="A168" t="s">
        <v>172</v>
      </c>
      <c r="B168">
        <v>0.99193492352474899</v>
      </c>
      <c r="C168">
        <v>0.82728714990278895</v>
      </c>
      <c r="D168">
        <v>0.929164323513339</v>
      </c>
      <c r="E168">
        <v>0.74005445628204702</v>
      </c>
      <c r="F168">
        <v>0.67498741290035702</v>
      </c>
      <c r="G168">
        <v>0.510701484280775</v>
      </c>
      <c r="H168">
        <v>0.339875398699305</v>
      </c>
      <c r="I168">
        <v>0.25132483085688301</v>
      </c>
      <c r="J168">
        <v>0.22679568703939701</v>
      </c>
      <c r="K168">
        <v>0.13440241598087799</v>
      </c>
      <c r="L168">
        <v>488.43385904219002</v>
      </c>
      <c r="M168">
        <v>8.6276106218273991</v>
      </c>
      <c r="N168">
        <v>56.612865127797797</v>
      </c>
      <c r="O168">
        <v>53.817784698563599</v>
      </c>
      <c r="P168">
        <v>-4.0112028680884801E-2</v>
      </c>
      <c r="Q168">
        <v>0</v>
      </c>
      <c r="R168">
        <v>0.97693621918009699</v>
      </c>
      <c r="S168" t="s">
        <v>6838</v>
      </c>
      <c r="T168" t="s">
        <v>13338</v>
      </c>
      <c r="U168" t="s">
        <v>13338</v>
      </c>
      <c r="V168" t="s">
        <v>13338</v>
      </c>
      <c r="W168" t="s">
        <v>13506</v>
      </c>
      <c r="X168">
        <v>7</v>
      </c>
      <c r="Y168" t="s">
        <v>20107</v>
      </c>
      <c r="Z168" t="s">
        <v>26583</v>
      </c>
      <c r="AA168">
        <v>0.5700984103198129</v>
      </c>
      <c r="AB168" t="str">
        <f>HYPERLINK("Melting_Curves/meltCurve_B4DR61_SEC61A1.pdf", "Melting_Curves/meltCurve_B4DR61_SEC61A1.pdf")</f>
        <v>Melting_Curves/meltCurve_B4DR61_SEC61A1.pdf</v>
      </c>
    </row>
    <row r="169" spans="1:28" x14ac:dyDescent="0.25">
      <c r="A169" t="s">
        <v>173</v>
      </c>
      <c r="B169">
        <v>0.99193492352474899</v>
      </c>
      <c r="C169">
        <v>0.90572338798305196</v>
      </c>
      <c r="D169">
        <v>0.85891852191073703</v>
      </c>
      <c r="E169">
        <v>0.73880383614598799</v>
      </c>
      <c r="F169">
        <v>0.43859610011295402</v>
      </c>
      <c r="G169">
        <v>0.32383833363631498</v>
      </c>
      <c r="H169">
        <v>0.199050514375542</v>
      </c>
      <c r="I169">
        <v>0.12189858371288199</v>
      </c>
      <c r="J169">
        <v>0.12809587192657501</v>
      </c>
      <c r="K169">
        <v>7.9914009496750898E-2</v>
      </c>
      <c r="L169">
        <v>669.41321753258103</v>
      </c>
      <c r="M169">
        <v>12.7696566821282</v>
      </c>
      <c r="N169">
        <v>52.883845009154001</v>
      </c>
      <c r="O169">
        <v>51.186468965559399</v>
      </c>
      <c r="P169">
        <v>-5.9089961342609597E-2</v>
      </c>
      <c r="Q169">
        <v>5.2743966204592499E-2</v>
      </c>
      <c r="R169">
        <v>0.99398311420096497</v>
      </c>
      <c r="S169" t="s">
        <v>6839</v>
      </c>
      <c r="T169" t="s">
        <v>13338</v>
      </c>
      <c r="U169" t="s">
        <v>13338</v>
      </c>
      <c r="V169" t="s">
        <v>13338</v>
      </c>
      <c r="W169" t="s">
        <v>13507</v>
      </c>
      <c r="X169">
        <v>4</v>
      </c>
      <c r="Y169" t="s">
        <v>20108</v>
      </c>
      <c r="Z169" t="s">
        <v>26584</v>
      </c>
      <c r="AA169">
        <v>0.4710247738697298</v>
      </c>
      <c r="AB169" t="str">
        <f>HYPERLINK("Melting_Curves/meltCurve_B4DRL9_CHM.pdf", "Melting_Curves/meltCurve_B4DRL9_CHM.pdf")</f>
        <v>Melting_Curves/meltCurve_B4DRL9_CHM.pdf</v>
      </c>
    </row>
    <row r="170" spans="1:28" x14ac:dyDescent="0.25">
      <c r="A170" t="s">
        <v>174</v>
      </c>
      <c r="B170">
        <v>0.99193492352474899</v>
      </c>
      <c r="C170">
        <v>1.0990332788597199</v>
      </c>
      <c r="D170">
        <v>0.99128972231359602</v>
      </c>
      <c r="E170">
        <v>0.73622005162466198</v>
      </c>
      <c r="F170">
        <v>0.41099804439924997</v>
      </c>
      <c r="G170">
        <v>0.24739755583253101</v>
      </c>
      <c r="H170">
        <v>9.8505554843896906E-2</v>
      </c>
      <c r="I170">
        <v>0.101218922927611</v>
      </c>
      <c r="J170">
        <v>0.11853836547562099</v>
      </c>
      <c r="K170">
        <v>0.144719032427056</v>
      </c>
      <c r="L170">
        <v>1234.53189719185</v>
      </c>
      <c r="M170">
        <v>23.891090973342301</v>
      </c>
      <c r="N170">
        <v>52.242676924014702</v>
      </c>
      <c r="O170">
        <v>51.315368079706403</v>
      </c>
      <c r="P170">
        <v>-0.103054269047424</v>
      </c>
      <c r="Q170">
        <v>0.114618480345324</v>
      </c>
      <c r="R170">
        <v>0.98866570700851397</v>
      </c>
      <c r="S170" t="s">
        <v>6840</v>
      </c>
      <c r="T170" t="s">
        <v>13338</v>
      </c>
      <c r="U170" t="s">
        <v>13338</v>
      </c>
      <c r="V170" t="s">
        <v>13338</v>
      </c>
      <c r="W170" t="s">
        <v>13508</v>
      </c>
      <c r="X170">
        <v>1</v>
      </c>
      <c r="Y170" t="s">
        <v>20109</v>
      </c>
      <c r="Z170" t="s">
        <v>26585</v>
      </c>
      <c r="AA170">
        <v>0.46792308257936899</v>
      </c>
      <c r="AB170" t="str">
        <f>HYPERLINK("Melting_Curves/meltCurve_B4DS52_TXNDC15.pdf", "Melting_Curves/meltCurve_B4DS52_TXNDC15.pdf")</f>
        <v>Melting_Curves/meltCurve_B4DS52_TXNDC15.pdf</v>
      </c>
    </row>
    <row r="171" spans="1:28" x14ac:dyDescent="0.25">
      <c r="A171" t="s">
        <v>175</v>
      </c>
      <c r="B171">
        <v>0.99193492352474899</v>
      </c>
      <c r="C171">
        <v>0.68716554578785305</v>
      </c>
      <c r="D171">
        <v>0.88704939373272595</v>
      </c>
      <c r="E171">
        <v>0.58803204955937205</v>
      </c>
      <c r="F171">
        <v>0.24702068843449199</v>
      </c>
      <c r="G171">
        <v>7.36656039546153E-2</v>
      </c>
      <c r="H171">
        <v>3.2955989296277501E-2</v>
      </c>
      <c r="I171">
        <v>3.9520602060244603E-2</v>
      </c>
      <c r="J171">
        <v>4.4195877887277503E-2</v>
      </c>
      <c r="K171">
        <v>3.1977131444499998E-2</v>
      </c>
      <c r="L171">
        <v>788.96073917792796</v>
      </c>
      <c r="M171">
        <v>15.7813763518584</v>
      </c>
      <c r="N171">
        <v>49.993147749023102</v>
      </c>
      <c r="O171">
        <v>49.211074396399098</v>
      </c>
      <c r="P171">
        <v>-8.0178523288940207E-2</v>
      </c>
      <c r="Q171">
        <v>0</v>
      </c>
      <c r="R171">
        <v>0.94273910502770697</v>
      </c>
      <c r="S171" t="s">
        <v>6841</v>
      </c>
      <c r="T171" t="s">
        <v>13338</v>
      </c>
      <c r="U171" t="s">
        <v>13338</v>
      </c>
      <c r="V171" t="s">
        <v>13338</v>
      </c>
      <c r="W171" t="s">
        <v>13509</v>
      </c>
      <c r="X171">
        <v>4</v>
      </c>
      <c r="Y171" t="s">
        <v>20110</v>
      </c>
      <c r="Z171" t="s">
        <v>26586</v>
      </c>
      <c r="AA171">
        <v>0.35488159338032949</v>
      </c>
      <c r="AB171" t="str">
        <f>HYPERLINK("Melting_Curves/meltCurve_B4DSD4_C9orf41.pdf", "Melting_Curves/meltCurve_B4DSD4_C9orf41.pdf")</f>
        <v>Melting_Curves/meltCurve_B4DSD4_C9orf41.pdf</v>
      </c>
    </row>
    <row r="172" spans="1:28" x14ac:dyDescent="0.25">
      <c r="A172" t="s">
        <v>176</v>
      </c>
      <c r="B172">
        <v>0.99193492352474899</v>
      </c>
      <c r="C172">
        <v>0.444935271407295</v>
      </c>
      <c r="D172">
        <v>0.80182148952976895</v>
      </c>
      <c r="E172">
        <v>0.14569101751990299</v>
      </c>
      <c r="F172">
        <v>9.3609246059908599E-2</v>
      </c>
      <c r="G172">
        <v>3.6568253195529303E-2</v>
      </c>
      <c r="H172">
        <v>2.7029732040539101E-2</v>
      </c>
      <c r="I172">
        <v>4.54042535283408E-2</v>
      </c>
      <c r="J172">
        <v>4.5733500983807698E-2</v>
      </c>
      <c r="K172">
        <v>6.6037411546261596E-2</v>
      </c>
      <c r="L172">
        <v>644.44733817179804</v>
      </c>
      <c r="M172">
        <v>14.041423786329499</v>
      </c>
      <c r="N172">
        <v>45.965953365229801</v>
      </c>
      <c r="O172">
        <v>44.995344107947801</v>
      </c>
      <c r="P172">
        <v>-7.7203186741377397E-2</v>
      </c>
      <c r="Q172">
        <v>1.0548218269226599E-2</v>
      </c>
      <c r="R172">
        <v>0.81900257264767296</v>
      </c>
      <c r="S172" t="s">
        <v>6842</v>
      </c>
      <c r="T172" t="s">
        <v>13338</v>
      </c>
      <c r="U172" t="s">
        <v>13338</v>
      </c>
      <c r="V172" t="s">
        <v>13338</v>
      </c>
      <c r="W172" t="s">
        <v>13510</v>
      </c>
      <c r="X172">
        <v>4</v>
      </c>
      <c r="Y172" t="s">
        <v>20111</v>
      </c>
      <c r="Z172" t="s">
        <v>26587</v>
      </c>
      <c r="AA172">
        <v>0.2384420207780539</v>
      </c>
      <c r="AB172" t="str">
        <f>HYPERLINK("Melting_Curves/meltCurve_B4DSS8_PTBP2.pdf", "Melting_Curves/meltCurve_B4DSS8_PTBP2.pdf")</f>
        <v>Melting_Curves/meltCurve_B4DSS8_PTBP2.pdf</v>
      </c>
    </row>
    <row r="173" spans="1:28" x14ac:dyDescent="0.25">
      <c r="A173" t="s">
        <v>177</v>
      </c>
      <c r="B173">
        <v>0.99193492352474899</v>
      </c>
      <c r="C173">
        <v>0.85168576984371103</v>
      </c>
      <c r="D173">
        <v>0.92468742299280704</v>
      </c>
      <c r="E173">
        <v>0.70528360854115602</v>
      </c>
      <c r="F173">
        <v>0.154437691957757</v>
      </c>
      <c r="G173">
        <v>7.7729608892101704E-2</v>
      </c>
      <c r="H173">
        <v>4.5034330226521001E-2</v>
      </c>
      <c r="I173">
        <v>5.2001818444808702E-2</v>
      </c>
      <c r="J173">
        <v>6.6942680320942999E-2</v>
      </c>
      <c r="K173">
        <v>6.1211054253200302E-2</v>
      </c>
      <c r="L173">
        <v>1969.0506357361901</v>
      </c>
      <c r="M173">
        <v>38.975123129927297</v>
      </c>
      <c r="N173">
        <v>50.673199632685801</v>
      </c>
      <c r="O173">
        <v>50.388267789240999</v>
      </c>
      <c r="P173">
        <v>-0.18267265566076399</v>
      </c>
      <c r="Q173">
        <v>5.5342579650441599E-2</v>
      </c>
      <c r="R173">
        <v>0.98349368506646295</v>
      </c>
      <c r="S173" t="s">
        <v>6843</v>
      </c>
      <c r="T173" t="s">
        <v>13338</v>
      </c>
      <c r="U173" t="s">
        <v>13338</v>
      </c>
      <c r="V173" t="s">
        <v>13338</v>
      </c>
      <c r="W173" t="s">
        <v>13394</v>
      </c>
      <c r="X173">
        <v>22</v>
      </c>
      <c r="Y173" t="s">
        <v>20112</v>
      </c>
      <c r="Z173" t="s">
        <v>26588</v>
      </c>
      <c r="AA173">
        <v>0.39010111718711032</v>
      </c>
      <c r="AB173" t="str">
        <f>HYPERLINK("Melting_Curves/meltCurve_B4DT77_ANXA7.pdf", "Melting_Curves/meltCurve_B4DT77_ANXA7.pdf")</f>
        <v>Melting_Curves/meltCurve_B4DT77_ANXA7.pdf</v>
      </c>
    </row>
    <row r="174" spans="1:28" x14ac:dyDescent="0.25">
      <c r="A174" t="s">
        <v>178</v>
      </c>
      <c r="B174">
        <v>0.99193492352474899</v>
      </c>
      <c r="C174">
        <v>1.01914858489635</v>
      </c>
      <c r="D174">
        <v>0.88088830772077398</v>
      </c>
      <c r="E174">
        <v>0.64522019628779803</v>
      </c>
      <c r="F174">
        <v>0.36386662383850099</v>
      </c>
      <c r="G174">
        <v>0.15067735866889501</v>
      </c>
      <c r="H174">
        <v>7.9397200039102001E-2</v>
      </c>
      <c r="I174">
        <v>9.3005216386682799E-2</v>
      </c>
      <c r="J174">
        <v>0.118111047451866</v>
      </c>
      <c r="K174">
        <v>0.130014809258021</v>
      </c>
      <c r="L174">
        <v>1075.85122786786</v>
      </c>
      <c r="M174">
        <v>21.231131096743301</v>
      </c>
      <c r="N174">
        <v>51.169047120077998</v>
      </c>
      <c r="O174">
        <v>50.230158698199503</v>
      </c>
      <c r="P174">
        <v>-9.5848527799080194E-2</v>
      </c>
      <c r="Q174">
        <v>9.2961555457374903E-2</v>
      </c>
      <c r="R174">
        <v>0.995170654708467</v>
      </c>
      <c r="S174" t="s">
        <v>6844</v>
      </c>
      <c r="T174" t="s">
        <v>13338</v>
      </c>
      <c r="U174" t="s">
        <v>13338</v>
      </c>
      <c r="V174" t="s">
        <v>13338</v>
      </c>
      <c r="W174" t="s">
        <v>13511</v>
      </c>
      <c r="X174">
        <v>3</v>
      </c>
      <c r="Y174" t="s">
        <v>20113</v>
      </c>
      <c r="Z174" t="s">
        <v>26589</v>
      </c>
      <c r="AA174">
        <v>0.42690530024354739</v>
      </c>
      <c r="AB174" t="str">
        <f>HYPERLINK("Melting_Curves/meltCurve_B4DTZ6_SLC9A1.pdf", "Melting_Curves/meltCurve_B4DTZ6_SLC9A1.pdf")</f>
        <v>Melting_Curves/meltCurve_B4DTZ6_SLC9A1.pdf</v>
      </c>
    </row>
    <row r="175" spans="1:28" x14ac:dyDescent="0.25">
      <c r="A175" t="s">
        <v>179</v>
      </c>
      <c r="B175">
        <v>0.99193492352474899</v>
      </c>
      <c r="C175">
        <v>0.83736082744773599</v>
      </c>
      <c r="D175">
        <v>0.88057473222653404</v>
      </c>
      <c r="E175">
        <v>0.64168651408793798</v>
      </c>
      <c r="F175">
        <v>0.61474548137496499</v>
      </c>
      <c r="G175">
        <v>0.48174516489084201</v>
      </c>
      <c r="H175">
        <v>0.40380564666762198</v>
      </c>
      <c r="I175">
        <v>0.61391765304517598</v>
      </c>
      <c r="J175">
        <v>0.79289959027980905</v>
      </c>
      <c r="K175">
        <v>0.92525685190431595</v>
      </c>
      <c r="L175">
        <v>1012.0218596434499</v>
      </c>
      <c r="M175">
        <v>22.304446257333399</v>
      </c>
      <c r="O175">
        <v>45.013105150331299</v>
      </c>
      <c r="P175">
        <v>-4.5120428809918997E-2</v>
      </c>
      <c r="Q175">
        <v>0.635773555951053</v>
      </c>
      <c r="R175">
        <v>0.40389954717833298</v>
      </c>
      <c r="S175" t="s">
        <v>6845</v>
      </c>
      <c r="T175" t="s">
        <v>13338</v>
      </c>
      <c r="U175" t="s">
        <v>13338</v>
      </c>
      <c r="V175" t="s">
        <v>13338</v>
      </c>
      <c r="W175" t="s">
        <v>13512</v>
      </c>
      <c r="X175">
        <v>1</v>
      </c>
      <c r="Y175" t="s">
        <v>20114</v>
      </c>
      <c r="Z175" t="s">
        <v>26590</v>
      </c>
      <c r="AA175">
        <v>0.7056009295807506</v>
      </c>
      <c r="AB175" t="str">
        <f>HYPERLINK("Melting_Curves/meltCurve_B4DUE9_SERINC3.pdf", "Melting_Curves/meltCurve_B4DUE9_SERINC3.pdf")</f>
        <v>Melting_Curves/meltCurve_B4DUE9_SERINC3.pdf</v>
      </c>
    </row>
    <row r="176" spans="1:28" x14ac:dyDescent="0.25">
      <c r="A176" t="s">
        <v>180</v>
      </c>
      <c r="B176">
        <v>0.99193492352474899</v>
      </c>
      <c r="C176">
        <v>0.47823746946592499</v>
      </c>
      <c r="D176">
        <v>0.30182346197073001</v>
      </c>
      <c r="E176">
        <v>0.20654132001234601</v>
      </c>
      <c r="F176">
        <v>0.113309622990246</v>
      </c>
      <c r="G176">
        <v>7.6387322921727993E-2</v>
      </c>
      <c r="H176">
        <v>8.7152159177668401E-2</v>
      </c>
      <c r="I176">
        <v>5.7541647274030397E-2</v>
      </c>
      <c r="J176">
        <v>3.1108765346613498E-2</v>
      </c>
      <c r="K176">
        <v>0.196047016758434</v>
      </c>
      <c r="L176">
        <v>1154.41435643614</v>
      </c>
      <c r="M176">
        <v>26.883159707697899</v>
      </c>
      <c r="N176">
        <v>43.338501900851703</v>
      </c>
      <c r="O176">
        <v>42.706420822921203</v>
      </c>
      <c r="P176">
        <v>-0.14021333409442599</v>
      </c>
      <c r="Q176">
        <v>0.109041054845003</v>
      </c>
      <c r="R176">
        <v>0.94226904939049805</v>
      </c>
      <c r="S176" t="s">
        <v>6846</v>
      </c>
      <c r="T176" t="s">
        <v>13338</v>
      </c>
      <c r="U176" t="s">
        <v>13338</v>
      </c>
      <c r="V176" t="s">
        <v>13338</v>
      </c>
      <c r="W176" t="s">
        <v>13439</v>
      </c>
      <c r="X176">
        <v>2</v>
      </c>
      <c r="Y176" t="s">
        <v>20115</v>
      </c>
      <c r="Z176" t="s">
        <v>26591</v>
      </c>
      <c r="AA176">
        <v>0.20732020272312901</v>
      </c>
      <c r="AB176" t="str">
        <f>HYPERLINK("Melting_Curves/meltCurve_B4DVB0_OSBPL5.pdf", "Melting_Curves/meltCurve_B4DVB0_OSBPL5.pdf")</f>
        <v>Melting_Curves/meltCurve_B4DVB0_OSBPL5.pdf</v>
      </c>
    </row>
    <row r="177" spans="1:28" x14ac:dyDescent="0.25">
      <c r="A177" t="s">
        <v>181</v>
      </c>
      <c r="B177">
        <v>0.99193492352474899</v>
      </c>
      <c r="C177">
        <v>0.91136288429537504</v>
      </c>
      <c r="D177">
        <v>0.80254265440203898</v>
      </c>
      <c r="E177">
        <v>0.376803328320853</v>
      </c>
      <c r="F177">
        <v>0.145584404617082</v>
      </c>
      <c r="G177">
        <v>9.3169179189240697E-2</v>
      </c>
      <c r="H177">
        <v>5.6319959437706103E-2</v>
      </c>
      <c r="I177">
        <v>6.0960168890079901E-2</v>
      </c>
      <c r="J177">
        <v>6.4708842783652798E-2</v>
      </c>
      <c r="K177">
        <v>7.2450105071411502E-2</v>
      </c>
      <c r="L177">
        <v>1169.20339274139</v>
      </c>
      <c r="M177">
        <v>24.224493646628702</v>
      </c>
      <c r="N177">
        <v>48.5277310218815</v>
      </c>
      <c r="O177">
        <v>47.940056447965198</v>
      </c>
      <c r="P177">
        <v>-0.118574431325182</v>
      </c>
      <c r="Q177">
        <v>6.1383750318153601E-2</v>
      </c>
      <c r="R177">
        <v>0.99789160249080699</v>
      </c>
      <c r="S177" t="s">
        <v>6847</v>
      </c>
      <c r="T177" t="s">
        <v>13338</v>
      </c>
      <c r="U177" t="s">
        <v>13338</v>
      </c>
      <c r="V177" t="s">
        <v>13338</v>
      </c>
      <c r="W177" t="s">
        <v>13394</v>
      </c>
      <c r="X177">
        <v>25</v>
      </c>
      <c r="Y177" t="s">
        <v>20116</v>
      </c>
      <c r="Z177" t="s">
        <v>26592</v>
      </c>
      <c r="AA177">
        <v>0.32884674298007199</v>
      </c>
      <c r="AB177" t="str">
        <f>HYPERLINK("Melting_Curves/meltCurve_B4DVE7_ANXA11.pdf", "Melting_Curves/meltCurve_B4DVE7_ANXA11.pdf")</f>
        <v>Melting_Curves/meltCurve_B4DVE7_ANXA11.pdf</v>
      </c>
    </row>
    <row r="178" spans="1:28" x14ac:dyDescent="0.25">
      <c r="A178" t="s">
        <v>182</v>
      </c>
      <c r="B178">
        <v>0.99193492352474899</v>
      </c>
      <c r="C178">
        <v>0.77183323397449599</v>
      </c>
      <c r="D178">
        <v>0.81263374518646603</v>
      </c>
      <c r="E178">
        <v>0.20302276581617101</v>
      </c>
      <c r="F178">
        <v>0.13803623703692799</v>
      </c>
      <c r="G178">
        <v>8.0390596723675795E-2</v>
      </c>
      <c r="H178">
        <v>5.0317564844366301E-2</v>
      </c>
      <c r="I178">
        <v>5.7625500356362297E-2</v>
      </c>
      <c r="J178">
        <v>6.4382495319295199E-2</v>
      </c>
      <c r="K178">
        <v>6.2731372017241493E-2</v>
      </c>
      <c r="L178">
        <v>1375.6604082782301</v>
      </c>
      <c r="M178">
        <v>29.007791727788401</v>
      </c>
      <c r="N178">
        <v>47.639594948697699</v>
      </c>
      <c r="O178">
        <v>47.200156093412403</v>
      </c>
      <c r="P178">
        <v>-0.14418635602610499</v>
      </c>
      <c r="Q178">
        <v>6.1553136167410802E-2</v>
      </c>
      <c r="R178">
        <v>0.96269725383342597</v>
      </c>
      <c r="S178" t="s">
        <v>6848</v>
      </c>
      <c r="T178" t="s">
        <v>13338</v>
      </c>
      <c r="U178" t="s">
        <v>13338</v>
      </c>
      <c r="V178" t="s">
        <v>13338</v>
      </c>
      <c r="W178" t="s">
        <v>13513</v>
      </c>
      <c r="X178">
        <v>24</v>
      </c>
      <c r="Y178" t="s">
        <v>20117</v>
      </c>
      <c r="Z178" t="s">
        <v>26593</v>
      </c>
      <c r="AA178">
        <v>0.29982796508366388</v>
      </c>
      <c r="AB178" t="str">
        <f>HYPERLINK("Melting_Curves/meltCurve_B4DVY1_EIF3D.pdf", "Melting_Curves/meltCurve_B4DVY1_EIF3D.pdf")</f>
        <v>Melting_Curves/meltCurve_B4DVY1_EIF3D.pdf</v>
      </c>
    </row>
    <row r="179" spans="1:28" x14ac:dyDescent="0.25">
      <c r="A179" t="s">
        <v>183</v>
      </c>
      <c r="B179">
        <v>0.99193492352474899</v>
      </c>
      <c r="C179">
        <v>0.89235951867195495</v>
      </c>
      <c r="D179">
        <v>0.76196266952538905</v>
      </c>
      <c r="E179">
        <v>0.67463705377531702</v>
      </c>
      <c r="F179">
        <v>0.38738648623212701</v>
      </c>
      <c r="G179">
        <v>0.28945834600154002</v>
      </c>
      <c r="H179">
        <v>0.38430921655519801</v>
      </c>
      <c r="I179">
        <v>0.71560567846142598</v>
      </c>
      <c r="J179">
        <v>0.68661229140246205</v>
      </c>
      <c r="K179">
        <v>1.1780488840822001</v>
      </c>
      <c r="L179">
        <v>1312.1411766091601</v>
      </c>
      <c r="M179">
        <v>29.274656684295699</v>
      </c>
      <c r="O179">
        <v>44.614163539705899</v>
      </c>
      <c r="P179">
        <v>-6.3247758079649705E-2</v>
      </c>
      <c r="Q179">
        <v>0.61444807541541502</v>
      </c>
      <c r="R179">
        <v>0.24005730538246001</v>
      </c>
      <c r="S179" t="s">
        <v>6849</v>
      </c>
      <c r="T179" t="s">
        <v>13338</v>
      </c>
      <c r="U179" t="s">
        <v>13338</v>
      </c>
      <c r="V179" t="s">
        <v>13338</v>
      </c>
      <c r="W179" t="s">
        <v>13514</v>
      </c>
      <c r="X179">
        <v>8</v>
      </c>
      <c r="Y179" t="s">
        <v>20118</v>
      </c>
      <c r="Z179" t="s">
        <v>26594</v>
      </c>
      <c r="AA179">
        <v>0.67909032195793961</v>
      </c>
      <c r="AB179" t="str">
        <f>HYPERLINK("Melting_Curves/meltCurve_B4DWF2_ZNFN1A2.pdf", "Melting_Curves/meltCurve_B4DWF2_ZNFN1A2.pdf")</f>
        <v>Melting_Curves/meltCurve_B4DWF2_ZNFN1A2.pdf</v>
      </c>
    </row>
    <row r="180" spans="1:28" x14ac:dyDescent="0.25">
      <c r="A180" t="s">
        <v>184</v>
      </c>
      <c r="B180">
        <v>0.99193492352474899</v>
      </c>
      <c r="C180">
        <v>0.98451794565185202</v>
      </c>
      <c r="D180">
        <v>0.97919547599217205</v>
      </c>
      <c r="E180">
        <v>0.88689192322619304</v>
      </c>
      <c r="F180">
        <v>0.79744569580797597</v>
      </c>
      <c r="G180">
        <v>0.64467414693093394</v>
      </c>
      <c r="H180">
        <v>0.39210755465230801</v>
      </c>
      <c r="I180">
        <v>0.204623280715132</v>
      </c>
      <c r="J180">
        <v>0.16024769512172299</v>
      </c>
      <c r="K180">
        <v>0.111855397314111</v>
      </c>
      <c r="L180">
        <v>796.83765177053203</v>
      </c>
      <c r="M180">
        <v>13.572910604416499</v>
      </c>
      <c r="N180">
        <v>58.707942354972197</v>
      </c>
      <c r="O180">
        <v>57.477517605839097</v>
      </c>
      <c r="P180">
        <v>-5.9044550060635498E-2</v>
      </c>
      <c r="Q180">
        <v>0</v>
      </c>
      <c r="R180">
        <v>0.99628907269262401</v>
      </c>
      <c r="S180" t="s">
        <v>6850</v>
      </c>
      <c r="T180" t="s">
        <v>13338</v>
      </c>
      <c r="U180" t="s">
        <v>13338</v>
      </c>
      <c r="V180" t="s">
        <v>13338</v>
      </c>
      <c r="W180" t="s">
        <v>13515</v>
      </c>
      <c r="X180">
        <v>18</v>
      </c>
      <c r="Y180" t="s">
        <v>20119</v>
      </c>
      <c r="Z180" t="s">
        <v>26595</v>
      </c>
      <c r="AA180">
        <v>0.63446632951852622</v>
      </c>
      <c r="AB180" t="str">
        <f>HYPERLINK("Melting_Curves/meltCurve_B4DWI1_HACL1.pdf", "Melting_Curves/meltCurve_B4DWI1_HACL1.pdf")</f>
        <v>Melting_Curves/meltCurve_B4DWI1_HACL1.pdf</v>
      </c>
    </row>
    <row r="181" spans="1:28" x14ac:dyDescent="0.25">
      <c r="A181" t="s">
        <v>185</v>
      </c>
      <c r="B181">
        <v>0.99193492352474899</v>
      </c>
      <c r="C181">
        <v>0.42375483991253898</v>
      </c>
      <c r="D181">
        <v>0.38801581884545699</v>
      </c>
      <c r="E181">
        <v>0.13024426533741101</v>
      </c>
      <c r="F181">
        <v>9.5292139982662102E-2</v>
      </c>
      <c r="G181">
        <v>5.8786193602270297E-2</v>
      </c>
      <c r="H181">
        <v>3.9871009511165803E-2</v>
      </c>
      <c r="I181">
        <v>4.6999978357599802E-2</v>
      </c>
      <c r="J181">
        <v>6.02558920863095E-2</v>
      </c>
      <c r="K181">
        <v>7.2868625941720402E-2</v>
      </c>
      <c r="L181">
        <v>887.25924954002596</v>
      </c>
      <c r="M181">
        <v>20.4931978293376</v>
      </c>
      <c r="N181">
        <v>43.5836482785909</v>
      </c>
      <c r="O181">
        <v>42.889371697237998</v>
      </c>
      <c r="P181">
        <v>-0.11188431804700801</v>
      </c>
      <c r="Q181">
        <v>6.3395380466986395E-2</v>
      </c>
      <c r="R181">
        <v>0.93280547926122703</v>
      </c>
      <c r="S181" t="s">
        <v>6851</v>
      </c>
      <c r="T181" t="s">
        <v>13338</v>
      </c>
      <c r="U181" t="s">
        <v>13338</v>
      </c>
      <c r="V181" t="s">
        <v>13338</v>
      </c>
      <c r="W181" t="s">
        <v>13516</v>
      </c>
      <c r="X181">
        <v>17</v>
      </c>
      <c r="Y181" t="s">
        <v>20120</v>
      </c>
      <c r="Z181" t="s">
        <v>26596</v>
      </c>
      <c r="AA181">
        <v>0.18591441138186901</v>
      </c>
      <c r="AB181" t="str">
        <f>HYPERLINK("Melting_Curves/meltCurve_B4DXZ6_FXR1.pdf", "Melting_Curves/meltCurve_B4DXZ6_FXR1.pdf")</f>
        <v>Melting_Curves/meltCurve_B4DXZ6_FXR1.pdf</v>
      </c>
    </row>
    <row r="182" spans="1:28" x14ac:dyDescent="0.25">
      <c r="A182" t="s">
        <v>186</v>
      </c>
      <c r="B182">
        <v>0.99193492352474899</v>
      </c>
      <c r="C182">
        <v>0.72432351673149298</v>
      </c>
      <c r="D182">
        <v>0.64694738807013896</v>
      </c>
      <c r="E182">
        <v>0.45524087789970702</v>
      </c>
      <c r="F182">
        <v>0.33733995267544797</v>
      </c>
      <c r="G182">
        <v>0.14918996738807599</v>
      </c>
      <c r="H182">
        <v>0.124605964274484</v>
      </c>
      <c r="I182">
        <v>0.15793583927111601</v>
      </c>
      <c r="J182">
        <v>0.218287465988692</v>
      </c>
      <c r="K182">
        <v>0.24331073569367501</v>
      </c>
      <c r="L182">
        <v>641.685329786343</v>
      </c>
      <c r="M182">
        <v>13.730849497121</v>
      </c>
      <c r="N182">
        <v>48.109813449037297</v>
      </c>
      <c r="O182">
        <v>45.775290871916503</v>
      </c>
      <c r="P182">
        <v>-6.2816437475211595E-2</v>
      </c>
      <c r="Q182">
        <v>0.162460721399978</v>
      </c>
      <c r="R182">
        <v>0.95577938736683099</v>
      </c>
      <c r="S182" t="s">
        <v>6852</v>
      </c>
      <c r="T182" t="s">
        <v>13338</v>
      </c>
      <c r="U182" t="s">
        <v>13338</v>
      </c>
      <c r="V182" t="s">
        <v>13338</v>
      </c>
      <c r="W182" t="s">
        <v>13517</v>
      </c>
      <c r="X182">
        <v>6</v>
      </c>
      <c r="Y182" t="s">
        <v>20121</v>
      </c>
      <c r="Z182" t="s">
        <v>26597</v>
      </c>
      <c r="AA182">
        <v>0.37814769990937702</v>
      </c>
      <c r="AB182" t="str">
        <f>HYPERLINK("Melting_Curves/meltCurve_B4DYB4_NUP35.pdf", "Melting_Curves/meltCurve_B4DYB4_NUP35.pdf")</f>
        <v>Melting_Curves/meltCurve_B4DYB4_NUP35.pdf</v>
      </c>
    </row>
    <row r="183" spans="1:28" x14ac:dyDescent="0.25">
      <c r="A183" t="s">
        <v>187</v>
      </c>
      <c r="B183">
        <v>0.99193492352474899</v>
      </c>
      <c r="C183">
        <v>0.98553140146419904</v>
      </c>
      <c r="D183">
        <v>0.99776392140265702</v>
      </c>
      <c r="E183">
        <v>0.73056712347788999</v>
      </c>
      <c r="F183">
        <v>0.45281993874917698</v>
      </c>
      <c r="G183">
        <v>0.174935122946411</v>
      </c>
      <c r="H183">
        <v>7.0245064970681198E-2</v>
      </c>
      <c r="I183">
        <v>7.1116642923404305E-2</v>
      </c>
      <c r="J183">
        <v>8.5789421798799101E-2</v>
      </c>
      <c r="K183">
        <v>7.8990802737954793E-2</v>
      </c>
      <c r="L183">
        <v>1167.2978888876</v>
      </c>
      <c r="M183">
        <v>22.419383163668499</v>
      </c>
      <c r="N183">
        <v>52.377222324342398</v>
      </c>
      <c r="O183">
        <v>51.657518781186297</v>
      </c>
      <c r="P183">
        <v>-0.10174533297251399</v>
      </c>
      <c r="Q183">
        <v>6.2275258267194503E-2</v>
      </c>
      <c r="R183">
        <v>0.99626857653150203</v>
      </c>
      <c r="S183" t="s">
        <v>6853</v>
      </c>
      <c r="T183" t="s">
        <v>13338</v>
      </c>
      <c r="U183" t="s">
        <v>13338</v>
      </c>
      <c r="V183" t="s">
        <v>13338</v>
      </c>
      <c r="W183" t="s">
        <v>13518</v>
      </c>
      <c r="X183">
        <v>5</v>
      </c>
      <c r="Y183" t="s">
        <v>20122</v>
      </c>
      <c r="Z183" t="s">
        <v>26598</v>
      </c>
      <c r="AA183">
        <v>0.44997250754428447</v>
      </c>
      <c r="AB183" t="str">
        <f>HYPERLINK("Melting_Curves/meltCurve_B4DZH6_HDAC6.pdf", "Melting_Curves/meltCurve_B4DZH6_HDAC6.pdf")</f>
        <v>Melting_Curves/meltCurve_B4DZH6_HDAC6.pdf</v>
      </c>
    </row>
    <row r="184" spans="1:28" x14ac:dyDescent="0.25">
      <c r="A184" t="s">
        <v>188</v>
      </c>
      <c r="B184">
        <v>0.99193492352474899</v>
      </c>
      <c r="C184">
        <v>1.1363033198207</v>
      </c>
      <c r="D184">
        <v>0.98189540989535495</v>
      </c>
      <c r="E184">
        <v>1.01692162401118</v>
      </c>
      <c r="F184">
        <v>0.57469523911999398</v>
      </c>
      <c r="G184">
        <v>0.47672701819378399</v>
      </c>
      <c r="H184">
        <v>0.39796377580850401</v>
      </c>
      <c r="I184">
        <v>0.435363866588722</v>
      </c>
      <c r="J184">
        <v>0.44288999506543603</v>
      </c>
      <c r="K184">
        <v>0.46264577048107303</v>
      </c>
      <c r="L184">
        <v>10398.1357945241</v>
      </c>
      <c r="M184">
        <v>196.62688709266999</v>
      </c>
      <c r="N184">
        <v>53.473724139799202</v>
      </c>
      <c r="O184">
        <v>52.877103148913797</v>
      </c>
      <c r="P184">
        <v>-0.51770044842588003</v>
      </c>
      <c r="Q184">
        <v>0.44311787054336998</v>
      </c>
      <c r="R184">
        <v>0.97155968559970696</v>
      </c>
      <c r="S184" t="s">
        <v>6854</v>
      </c>
      <c r="T184" t="s">
        <v>13338</v>
      </c>
      <c r="U184" t="s">
        <v>13338</v>
      </c>
      <c r="V184" t="s">
        <v>13338</v>
      </c>
      <c r="W184" t="s">
        <v>13519</v>
      </c>
      <c r="X184">
        <v>1</v>
      </c>
      <c r="Y184" t="s">
        <v>20123</v>
      </c>
      <c r="Z184" t="s">
        <v>26599</v>
      </c>
      <c r="AA184">
        <v>0.68233726212097001</v>
      </c>
      <c r="AB184" t="str">
        <f>HYPERLINK("Melting_Curves/meltCurve_B4E0E3_TMEM134.pdf", "Melting_Curves/meltCurve_B4E0E3_TMEM134.pdf")</f>
        <v>Melting_Curves/meltCurve_B4E0E3_TMEM134.pdf</v>
      </c>
    </row>
    <row r="185" spans="1:28" x14ac:dyDescent="0.25">
      <c r="A185" t="s">
        <v>189</v>
      </c>
      <c r="B185">
        <v>0.99193492352474899</v>
      </c>
      <c r="C185">
        <v>0.84492622599880296</v>
      </c>
      <c r="D185">
        <v>0.35487669692671697</v>
      </c>
      <c r="E185">
        <v>0.19615532965496801</v>
      </c>
      <c r="F185">
        <v>0.15771014518012799</v>
      </c>
      <c r="G185">
        <v>8.7382884651417303E-2</v>
      </c>
      <c r="H185">
        <v>6.9021526258595201E-2</v>
      </c>
      <c r="I185">
        <v>8.7778510083959302E-2</v>
      </c>
      <c r="J185">
        <v>9.5406147629174501E-2</v>
      </c>
      <c r="K185">
        <v>0.132431858328976</v>
      </c>
      <c r="L185">
        <v>1474.23490569257</v>
      </c>
      <c r="M185">
        <v>32.905576525969501</v>
      </c>
      <c r="N185">
        <v>45.143111451528704</v>
      </c>
      <c r="O185">
        <v>44.637479334796502</v>
      </c>
      <c r="P185">
        <v>-0.164007756725395</v>
      </c>
      <c r="Q185">
        <v>0.11007664592531401</v>
      </c>
      <c r="R185">
        <v>0.991680192431731</v>
      </c>
      <c r="S185" t="s">
        <v>6855</v>
      </c>
      <c r="T185" t="s">
        <v>13338</v>
      </c>
      <c r="U185" t="s">
        <v>13338</v>
      </c>
      <c r="V185" t="s">
        <v>13338</v>
      </c>
      <c r="W185" t="s">
        <v>13520</v>
      </c>
      <c r="X185">
        <v>6</v>
      </c>
      <c r="Y185" t="s">
        <v>20124</v>
      </c>
      <c r="Z185" t="s">
        <v>26600</v>
      </c>
      <c r="AA185">
        <v>0.25719620638943391</v>
      </c>
      <c r="AB185" t="str">
        <f>HYPERLINK("Melting_Curves/meltCurve_B4E0T2_PEX5.pdf", "Melting_Curves/meltCurve_B4E0T2_PEX5.pdf")</f>
        <v>Melting_Curves/meltCurve_B4E0T2_PEX5.pdf</v>
      </c>
    </row>
    <row r="186" spans="1:28" x14ac:dyDescent="0.25">
      <c r="A186" t="s">
        <v>190</v>
      </c>
      <c r="B186">
        <v>0.99193492352474899</v>
      </c>
      <c r="C186">
        <v>0.59541710665861902</v>
      </c>
      <c r="D186">
        <v>0.45761235512861997</v>
      </c>
      <c r="E186">
        <v>0.210444862354219</v>
      </c>
      <c r="F186">
        <v>0.160097552858118</v>
      </c>
      <c r="G186">
        <v>0.106518263210011</v>
      </c>
      <c r="H186">
        <v>0.112327822417592</v>
      </c>
      <c r="I186">
        <v>0.21339201303448799</v>
      </c>
      <c r="J186">
        <v>0.220263668598812</v>
      </c>
      <c r="K186">
        <v>0.38716529570484798</v>
      </c>
      <c r="L186">
        <v>1044.09212634599</v>
      </c>
      <c r="M186">
        <v>23.966619188992201</v>
      </c>
      <c r="N186">
        <v>44.510914955347999</v>
      </c>
      <c r="O186">
        <v>43.264533675922003</v>
      </c>
      <c r="P186">
        <v>-0.110842591406713</v>
      </c>
      <c r="Q186">
        <v>0.19964071597487201</v>
      </c>
      <c r="R186">
        <v>0.89182909898249696</v>
      </c>
      <c r="S186" t="s">
        <v>6856</v>
      </c>
      <c r="T186" t="s">
        <v>13338</v>
      </c>
      <c r="U186" t="s">
        <v>13338</v>
      </c>
      <c r="V186" t="s">
        <v>13338</v>
      </c>
      <c r="W186" t="s">
        <v>13521</v>
      </c>
      <c r="X186">
        <v>3</v>
      </c>
      <c r="Y186" t="s">
        <v>20125</v>
      </c>
      <c r="Z186" t="s">
        <v>26601</v>
      </c>
      <c r="AA186">
        <v>0.30578715809662937</v>
      </c>
      <c r="AB186" t="str">
        <f>HYPERLINK("Melting_Curves/meltCurve_B4E0T7_LRCH3.pdf", "Melting_Curves/meltCurve_B4E0T7_LRCH3.pdf")</f>
        <v>Melting_Curves/meltCurve_B4E0T7_LRCH3.pdf</v>
      </c>
    </row>
    <row r="187" spans="1:28" x14ac:dyDescent="0.25">
      <c r="A187" t="s">
        <v>191</v>
      </c>
      <c r="B187">
        <v>0.99193492352474899</v>
      </c>
      <c r="C187">
        <v>1.26107609809189</v>
      </c>
      <c r="D187">
        <v>0.90834310512409699</v>
      </c>
      <c r="E187">
        <v>0.77367355051498798</v>
      </c>
      <c r="F187">
        <v>0.16543570321482601</v>
      </c>
      <c r="G187">
        <v>0.10893325222703799</v>
      </c>
      <c r="H187">
        <v>5.6437647773644802E-2</v>
      </c>
      <c r="I187">
        <v>6.2155471006136498E-2</v>
      </c>
      <c r="J187">
        <v>7.8254007647794693E-2</v>
      </c>
      <c r="K187">
        <v>7.2027709476325502E-2</v>
      </c>
      <c r="L187">
        <v>2308.7352101906699</v>
      </c>
      <c r="M187">
        <v>45.463279281123803</v>
      </c>
      <c r="N187">
        <v>50.957249337792902</v>
      </c>
      <c r="O187">
        <v>50.684475305736001</v>
      </c>
      <c r="P187">
        <v>-0.20805327516441399</v>
      </c>
      <c r="Q187">
        <v>7.2213521413065404E-2</v>
      </c>
      <c r="R187">
        <v>0.96255332891453105</v>
      </c>
      <c r="S187" t="s">
        <v>6857</v>
      </c>
      <c r="T187" t="s">
        <v>13338</v>
      </c>
      <c r="U187" t="s">
        <v>13338</v>
      </c>
      <c r="V187" t="s">
        <v>13338</v>
      </c>
      <c r="W187" t="s">
        <v>13522</v>
      </c>
      <c r="X187">
        <v>21</v>
      </c>
      <c r="Y187" t="s">
        <v>20126</v>
      </c>
      <c r="Z187" t="s">
        <v>26602</v>
      </c>
      <c r="AA187">
        <v>0.40818943708923611</v>
      </c>
      <c r="AB187" t="str">
        <f>HYPERLINK("Melting_Curves/meltCurve_B4E0Y9_MST4.pdf", "Melting_Curves/meltCurve_B4E0Y9_MST4.pdf")</f>
        <v>Melting_Curves/meltCurve_B4E0Y9_MST4.pdf</v>
      </c>
    </row>
    <row r="188" spans="1:28" x14ac:dyDescent="0.25">
      <c r="A188" t="s">
        <v>192</v>
      </c>
      <c r="B188">
        <v>0.99193492352474899</v>
      </c>
      <c r="C188">
        <v>0.86567311894983601</v>
      </c>
      <c r="D188">
        <v>0.77095347727068297</v>
      </c>
      <c r="E188">
        <v>0.59760399177921997</v>
      </c>
      <c r="F188">
        <v>0.406935192516786</v>
      </c>
      <c r="G188">
        <v>0.41087178888757298</v>
      </c>
      <c r="H188">
        <v>0.312266559417401</v>
      </c>
      <c r="I188">
        <v>0.67804077438461896</v>
      </c>
      <c r="J188">
        <v>0.76031765810029595</v>
      </c>
      <c r="K188">
        <v>1.1732689835804</v>
      </c>
      <c r="L188">
        <v>1303.2681457844101</v>
      </c>
      <c r="M188">
        <v>29.382487580473502</v>
      </c>
      <c r="O188">
        <v>44.1513344670986</v>
      </c>
      <c r="P188">
        <v>-6.2921062055431007E-2</v>
      </c>
      <c r="Q188">
        <v>0.62181157239334495</v>
      </c>
      <c r="R188">
        <v>0.23104257376517501</v>
      </c>
      <c r="S188" t="s">
        <v>6858</v>
      </c>
      <c r="T188" t="s">
        <v>13338</v>
      </c>
      <c r="U188" t="s">
        <v>13338</v>
      </c>
      <c r="V188" t="s">
        <v>13338</v>
      </c>
      <c r="W188" t="s">
        <v>13523</v>
      </c>
      <c r="X188">
        <v>1</v>
      </c>
      <c r="Y188" t="s">
        <v>20127</v>
      </c>
      <c r="Z188" t="s">
        <v>26603</v>
      </c>
      <c r="AA188">
        <v>0.67946398615414205</v>
      </c>
      <c r="AB188" t="str">
        <f>HYPERLINK("Melting_Curves/meltCurve_B4E1F4_EDEM2.pdf", "Melting_Curves/meltCurve_B4E1F4_EDEM2.pdf")</f>
        <v>Melting_Curves/meltCurve_B4E1F4_EDEM2.pdf</v>
      </c>
    </row>
    <row r="189" spans="1:28" x14ac:dyDescent="0.25">
      <c r="A189" t="s">
        <v>193</v>
      </c>
      <c r="B189">
        <v>0.99193492352474899</v>
      </c>
      <c r="C189">
        <v>1.1691069444545501</v>
      </c>
      <c r="D189">
        <v>1.14887072690279</v>
      </c>
      <c r="E189">
        <v>1.2228488619498299</v>
      </c>
      <c r="F189">
        <v>0.97067674776080304</v>
      </c>
      <c r="G189">
        <v>0.67998568100697798</v>
      </c>
      <c r="H189">
        <v>0.53523176371864301</v>
      </c>
      <c r="I189">
        <v>0.36145255218713401</v>
      </c>
      <c r="J189">
        <v>0.246551861897713</v>
      </c>
      <c r="K189">
        <v>0.14325888540955101</v>
      </c>
      <c r="L189">
        <v>1157.3081607213501</v>
      </c>
      <c r="M189">
        <v>19.292269017376402</v>
      </c>
      <c r="N189">
        <v>60.939198685448403</v>
      </c>
      <c r="O189">
        <v>59.354799396274998</v>
      </c>
      <c r="P189">
        <v>-7.0698022938996199E-2</v>
      </c>
      <c r="Q189">
        <v>0.129991562722091</v>
      </c>
      <c r="R189">
        <v>0.91723902503483801</v>
      </c>
      <c r="S189" t="s">
        <v>6859</v>
      </c>
      <c r="T189" t="s">
        <v>13338</v>
      </c>
      <c r="U189" t="s">
        <v>13338</v>
      </c>
      <c r="V189" t="s">
        <v>13338</v>
      </c>
      <c r="W189" t="s">
        <v>13524</v>
      </c>
      <c r="X189">
        <v>2</v>
      </c>
      <c r="Y189" t="s">
        <v>20128</v>
      </c>
      <c r="Z189" t="s">
        <v>26604</v>
      </c>
      <c r="AA189">
        <v>0.71696468114440637</v>
      </c>
      <c r="AB189" t="str">
        <f>HYPERLINK("Melting_Curves/meltCurve_B4E1G1_DERL1.pdf", "Melting_Curves/meltCurve_B4E1G1_DERL1.pdf")</f>
        <v>Melting_Curves/meltCurve_B4E1G1_DERL1.pdf</v>
      </c>
    </row>
    <row r="190" spans="1:28" x14ac:dyDescent="0.25">
      <c r="A190" t="s">
        <v>194</v>
      </c>
      <c r="B190">
        <v>0.99193492352474899</v>
      </c>
      <c r="C190">
        <v>1.0060621120748501</v>
      </c>
      <c r="D190">
        <v>1.0268060742635901</v>
      </c>
      <c r="E190">
        <v>0.83883977313524005</v>
      </c>
      <c r="F190">
        <v>0.74694303877952095</v>
      </c>
      <c r="G190">
        <v>0.44851964149179502</v>
      </c>
      <c r="H190">
        <v>0.235959345771659</v>
      </c>
      <c r="I190">
        <v>0.14277292427803401</v>
      </c>
      <c r="J190">
        <v>0.178424404012999</v>
      </c>
      <c r="K190">
        <v>0.197262945380865</v>
      </c>
      <c r="L190">
        <v>1111.5818650031099</v>
      </c>
      <c r="M190">
        <v>20.2146050583004</v>
      </c>
      <c r="N190">
        <v>55.939678900901498</v>
      </c>
      <c r="O190">
        <v>54.459389540226802</v>
      </c>
      <c r="P190">
        <v>-7.9309595582418194E-2</v>
      </c>
      <c r="Q190">
        <v>0.145366944253845</v>
      </c>
      <c r="R190">
        <v>0.98944121296963194</v>
      </c>
      <c r="S190" t="s">
        <v>6860</v>
      </c>
      <c r="T190" t="s">
        <v>13338</v>
      </c>
      <c r="U190" t="s">
        <v>13338</v>
      </c>
      <c r="V190" t="s">
        <v>13338</v>
      </c>
      <c r="W190" t="s">
        <v>13525</v>
      </c>
      <c r="X190">
        <v>10</v>
      </c>
      <c r="Y190" t="s">
        <v>20129</v>
      </c>
      <c r="Z190" t="s">
        <v>26605</v>
      </c>
      <c r="AA190">
        <v>0.58357238615396945</v>
      </c>
      <c r="AB190" t="str">
        <f>HYPERLINK("Melting_Curves/meltCurve_B4E1Q4_RIOK3.pdf", "Melting_Curves/meltCurve_B4E1Q4_RIOK3.pdf")</f>
        <v>Melting_Curves/meltCurve_B4E1Q4_RIOK3.pdf</v>
      </c>
    </row>
    <row r="191" spans="1:28" x14ac:dyDescent="0.25">
      <c r="A191" t="s">
        <v>195</v>
      </c>
      <c r="B191">
        <v>0.99193492352474899</v>
      </c>
      <c r="C191">
        <v>0.65325771577570402</v>
      </c>
      <c r="D191">
        <v>0.71202156047101195</v>
      </c>
      <c r="E191">
        <v>0.60410304039243401</v>
      </c>
      <c r="F191">
        <v>0.502489519131464</v>
      </c>
      <c r="G191">
        <v>0.350627102858793</v>
      </c>
      <c r="H191">
        <v>0.24282581217802601</v>
      </c>
      <c r="I191">
        <v>0.43723499799721399</v>
      </c>
      <c r="J191">
        <v>0.48805210251951597</v>
      </c>
      <c r="K191">
        <v>0.74181669388878302</v>
      </c>
      <c r="L191">
        <v>696.01033094951504</v>
      </c>
      <c r="M191">
        <v>15.8373839438065</v>
      </c>
      <c r="N191">
        <v>52.531411061039201</v>
      </c>
      <c r="O191">
        <v>43.264529620504</v>
      </c>
      <c r="P191">
        <v>-4.9201134612634402E-2</v>
      </c>
      <c r="Q191">
        <v>0.46241369794808901</v>
      </c>
      <c r="R191">
        <v>0.57301789550778803</v>
      </c>
      <c r="S191" t="s">
        <v>6861</v>
      </c>
      <c r="T191" t="s">
        <v>13338</v>
      </c>
      <c r="U191" t="s">
        <v>13338</v>
      </c>
      <c r="V191" t="s">
        <v>13338</v>
      </c>
      <c r="W191" t="s">
        <v>13526</v>
      </c>
      <c r="X191">
        <v>9</v>
      </c>
      <c r="Y191" t="s">
        <v>20130</v>
      </c>
      <c r="Z191" t="s">
        <v>26606</v>
      </c>
      <c r="AA191">
        <v>0.55071470283107815</v>
      </c>
      <c r="AB191" t="str">
        <f>HYPERLINK("Melting_Curves/meltCurve_B4E241_SFRS3.pdf", "Melting_Curves/meltCurve_B4E241_SFRS3.pdf")</f>
        <v>Melting_Curves/meltCurve_B4E241_SFRS3.pdf</v>
      </c>
    </row>
    <row r="192" spans="1:28" x14ac:dyDescent="0.25">
      <c r="A192" t="s">
        <v>196</v>
      </c>
      <c r="B192">
        <v>0.99193492352474899</v>
      </c>
      <c r="C192">
        <v>1.3687568071921199</v>
      </c>
      <c r="D192">
        <v>0.93581592593417695</v>
      </c>
      <c r="E192">
        <v>0.99875178225780803</v>
      </c>
      <c r="F192">
        <v>0.76922328470191004</v>
      </c>
      <c r="G192">
        <v>0.62120423823836002</v>
      </c>
      <c r="H192">
        <v>0.70409816175641704</v>
      </c>
      <c r="I192">
        <v>0.83489570559817605</v>
      </c>
      <c r="J192">
        <v>1.0457844275172401</v>
      </c>
      <c r="K192">
        <v>1.3105186547105401</v>
      </c>
      <c r="L192">
        <v>15000</v>
      </c>
      <c r="M192">
        <v>221.79140184008801</v>
      </c>
      <c r="O192">
        <v>67.625622734943093</v>
      </c>
      <c r="P192">
        <v>0.25474172121711902</v>
      </c>
      <c r="Q192">
        <v>1.3106895208033</v>
      </c>
      <c r="R192">
        <v>0.15198384556897601</v>
      </c>
      <c r="S192" t="s">
        <v>6862</v>
      </c>
      <c r="T192" t="s">
        <v>13338</v>
      </c>
      <c r="U192" t="s">
        <v>13338</v>
      </c>
      <c r="V192" t="s">
        <v>13338</v>
      </c>
      <c r="W192" t="s">
        <v>13527</v>
      </c>
      <c r="X192">
        <v>1</v>
      </c>
      <c r="Y192" t="s">
        <v>20131</v>
      </c>
      <c r="Z192" t="s">
        <v>26607</v>
      </c>
      <c r="AA192">
        <v>1.024487937532446</v>
      </c>
      <c r="AB192" t="str">
        <f>HYPERLINK("Melting_Curves/meltCurve_B4E2C0_GPC4.pdf", "Melting_Curves/meltCurve_B4E2C0_GPC4.pdf")</f>
        <v>Melting_Curves/meltCurve_B4E2C0_GPC4.pdf</v>
      </c>
    </row>
    <row r="193" spans="1:28" x14ac:dyDescent="0.25">
      <c r="A193" t="s">
        <v>197</v>
      </c>
      <c r="B193">
        <v>0.99193492352474899</v>
      </c>
      <c r="C193">
        <v>0.89231742203139797</v>
      </c>
      <c r="D193">
        <v>0.91315183825034896</v>
      </c>
      <c r="E193">
        <v>0.78662242917029801</v>
      </c>
      <c r="F193">
        <v>0.88938445825949797</v>
      </c>
      <c r="G193">
        <v>0.62025617968439195</v>
      </c>
      <c r="H193">
        <v>0.58161747061736802</v>
      </c>
      <c r="I193">
        <v>0.79900160271413601</v>
      </c>
      <c r="J193">
        <v>1.39296443725765</v>
      </c>
      <c r="K193">
        <v>1.3880290960618</v>
      </c>
      <c r="L193">
        <v>15000</v>
      </c>
      <c r="M193">
        <v>227.276936938967</v>
      </c>
      <c r="O193">
        <v>65.9936623229585</v>
      </c>
      <c r="P193">
        <v>0.34004931472855598</v>
      </c>
      <c r="Q193">
        <v>1.39495606810295</v>
      </c>
      <c r="R193">
        <v>0.36332653084041799</v>
      </c>
      <c r="S193" t="s">
        <v>6863</v>
      </c>
      <c r="T193" t="s">
        <v>13338</v>
      </c>
      <c r="U193" t="s">
        <v>13338</v>
      </c>
      <c r="V193" t="s">
        <v>13338</v>
      </c>
      <c r="W193" t="s">
        <v>13528</v>
      </c>
      <c r="X193">
        <v>5</v>
      </c>
      <c r="Y193" t="s">
        <v>20132</v>
      </c>
      <c r="Z193" t="s">
        <v>26608</v>
      </c>
      <c r="AA193">
        <v>1.0526215591752199</v>
      </c>
      <c r="AB193" t="str">
        <f>HYPERLINK("Melting_Curves/meltCurve_B4E2S7_LAMP2.pdf", "Melting_Curves/meltCurve_B4E2S7_LAMP2.pdf")</f>
        <v>Melting_Curves/meltCurve_B4E2S7_LAMP2.pdf</v>
      </c>
    </row>
    <row r="194" spans="1:28" x14ac:dyDescent="0.25">
      <c r="A194" t="s">
        <v>198</v>
      </c>
      <c r="B194">
        <v>0.99193492352474899</v>
      </c>
      <c r="C194">
        <v>0.89214314854349397</v>
      </c>
      <c r="D194">
        <v>0.91026111499831996</v>
      </c>
      <c r="E194">
        <v>0.65324435841376105</v>
      </c>
      <c r="F194">
        <v>0.723174113010148</v>
      </c>
      <c r="G194">
        <v>0.47885336301361697</v>
      </c>
      <c r="H194">
        <v>0.511064271498747</v>
      </c>
      <c r="I194">
        <v>0.396913686350577</v>
      </c>
      <c r="J194">
        <v>0.45354034533544701</v>
      </c>
      <c r="K194">
        <v>0.33615943838260498</v>
      </c>
      <c r="L194">
        <v>480.17362401645101</v>
      </c>
      <c r="M194">
        <v>9.1506853249433995</v>
      </c>
      <c r="N194">
        <v>58.889921272585099</v>
      </c>
      <c r="O194">
        <v>50.150297778906499</v>
      </c>
      <c r="P194">
        <v>-3.1245848030821598E-2</v>
      </c>
      <c r="Q194">
        <v>0.31549592348255001</v>
      </c>
      <c r="R194">
        <v>0.93327238717565797</v>
      </c>
      <c r="S194" t="s">
        <v>6864</v>
      </c>
      <c r="T194" t="s">
        <v>13338</v>
      </c>
      <c r="U194" t="s">
        <v>13338</v>
      </c>
      <c r="V194" t="s">
        <v>13338</v>
      </c>
      <c r="W194" t="s">
        <v>13529</v>
      </c>
      <c r="X194">
        <v>4</v>
      </c>
      <c r="Y194" t="s">
        <v>20133</v>
      </c>
      <c r="Z194" t="s">
        <v>26609</v>
      </c>
      <c r="AA194">
        <v>0.62708629941360339</v>
      </c>
      <c r="AB194" t="str">
        <f>HYPERLINK("Melting_Curves/meltCurve_B4E2V5_STOM.pdf", "Melting_Curves/meltCurve_B4E2V5_STOM.pdf")</f>
        <v>Melting_Curves/meltCurve_B4E2V5_STOM.pdf</v>
      </c>
    </row>
    <row r="195" spans="1:28" x14ac:dyDescent="0.25">
      <c r="A195" t="s">
        <v>199</v>
      </c>
      <c r="B195">
        <v>0.99193492352474899</v>
      </c>
      <c r="C195">
        <v>0.80418039888771597</v>
      </c>
      <c r="D195">
        <v>0.74351107243980696</v>
      </c>
      <c r="E195">
        <v>0.339806637956446</v>
      </c>
      <c r="F195">
        <v>0.255816139488655</v>
      </c>
      <c r="G195">
        <v>0.124711752181</v>
      </c>
      <c r="H195">
        <v>0.103237194305051</v>
      </c>
      <c r="I195">
        <v>9.09720284881467E-2</v>
      </c>
      <c r="J195">
        <v>0.13894653729821499</v>
      </c>
      <c r="K195">
        <v>0.104247775711896</v>
      </c>
      <c r="L195">
        <v>827.35531207279496</v>
      </c>
      <c r="M195">
        <v>17.416036807987901</v>
      </c>
      <c r="N195">
        <v>48.107384073566799</v>
      </c>
      <c r="O195">
        <v>46.892350780756303</v>
      </c>
      <c r="P195">
        <v>-8.3764586890953494E-2</v>
      </c>
      <c r="Q195">
        <v>9.7912864677055594E-2</v>
      </c>
      <c r="R195">
        <v>0.98373249258537898</v>
      </c>
      <c r="S195" t="s">
        <v>6865</v>
      </c>
      <c r="T195" t="s">
        <v>13338</v>
      </c>
      <c r="U195" t="s">
        <v>13338</v>
      </c>
      <c r="V195" t="s">
        <v>13338</v>
      </c>
      <c r="W195" t="s">
        <v>13530</v>
      </c>
      <c r="X195">
        <v>7</v>
      </c>
      <c r="Y195" t="s">
        <v>20134</v>
      </c>
      <c r="Z195" t="s">
        <v>26610</v>
      </c>
      <c r="AA195">
        <v>0.34105807914849529</v>
      </c>
      <c r="AB195" t="str">
        <f>HYPERLINK("Melting_Curves/meltCurve_B4E2X3_METTL13.pdf", "Melting_Curves/meltCurve_B4E2X3_METTL13.pdf")</f>
        <v>Melting_Curves/meltCurve_B4E2X3_METTL13.pdf</v>
      </c>
    </row>
    <row r="196" spans="1:28" x14ac:dyDescent="0.25">
      <c r="A196" t="s">
        <v>200</v>
      </c>
      <c r="B196">
        <v>0.99193492352474899</v>
      </c>
      <c r="C196">
        <v>0.78950438602002504</v>
      </c>
      <c r="D196">
        <v>0.75009636192333096</v>
      </c>
      <c r="E196">
        <v>0.66934463384577303</v>
      </c>
      <c r="F196">
        <v>0.60812675905380398</v>
      </c>
      <c r="G196">
        <v>0.55382342242938598</v>
      </c>
      <c r="H196">
        <v>0.36308136840794902</v>
      </c>
      <c r="I196">
        <v>0.28880186275617098</v>
      </c>
      <c r="J196">
        <v>0.17573540741638399</v>
      </c>
      <c r="K196">
        <v>0.164558021580654</v>
      </c>
      <c r="L196">
        <v>368.00198431362799</v>
      </c>
      <c r="M196">
        <v>6.6387080300396901</v>
      </c>
      <c r="N196">
        <v>55.4327713428913</v>
      </c>
      <c r="O196">
        <v>51.050835923487497</v>
      </c>
      <c r="P196">
        <v>-3.25834151436354E-2</v>
      </c>
      <c r="Q196">
        <v>0</v>
      </c>
      <c r="R196">
        <v>0.95808519026763606</v>
      </c>
      <c r="S196" t="s">
        <v>6866</v>
      </c>
      <c r="T196" t="s">
        <v>13338</v>
      </c>
      <c r="U196" t="s">
        <v>13338</v>
      </c>
      <c r="V196" t="s">
        <v>13338</v>
      </c>
      <c r="W196" t="s">
        <v>13531</v>
      </c>
      <c r="X196">
        <v>5</v>
      </c>
      <c r="Y196" t="s">
        <v>20135</v>
      </c>
      <c r="Z196" t="s">
        <v>26611</v>
      </c>
      <c r="AA196">
        <v>0.53703940466625844</v>
      </c>
      <c r="AB196" t="str">
        <f>HYPERLINK("Melting_Curves/meltCurve_B4E3Q4_CECR1.pdf", "Melting_Curves/meltCurve_B4E3Q4_CECR1.pdf")</f>
        <v>Melting_Curves/meltCurve_B4E3Q4_CECR1.pdf</v>
      </c>
    </row>
    <row r="197" spans="1:28" x14ac:dyDescent="0.25">
      <c r="A197" t="s">
        <v>201</v>
      </c>
      <c r="B197">
        <v>0.99193492352474899</v>
      </c>
      <c r="C197">
        <v>1.2204008215623099</v>
      </c>
      <c r="D197">
        <v>0.84214624276608896</v>
      </c>
      <c r="E197">
        <v>0.88716573393878095</v>
      </c>
      <c r="F197">
        <v>0.58849996741381105</v>
      </c>
      <c r="G197">
        <v>0.46199671037652501</v>
      </c>
      <c r="H197">
        <v>0.40214447312313301</v>
      </c>
      <c r="I197">
        <v>0.385256147051183</v>
      </c>
      <c r="J197">
        <v>0.40112447670720902</v>
      </c>
      <c r="K197">
        <v>0.56321927750338896</v>
      </c>
      <c r="L197">
        <v>1496.2954153947301</v>
      </c>
      <c r="M197">
        <v>29.0685543455836</v>
      </c>
      <c r="N197">
        <v>55.335737587858503</v>
      </c>
      <c r="O197">
        <v>51.232942744356698</v>
      </c>
      <c r="P197">
        <v>-8.0254104087548198E-2</v>
      </c>
      <c r="Q197">
        <v>0.43421698849722201</v>
      </c>
      <c r="R197">
        <v>0.88067916094353504</v>
      </c>
      <c r="S197" t="s">
        <v>6867</v>
      </c>
      <c r="T197" t="s">
        <v>13338</v>
      </c>
      <c r="U197" t="s">
        <v>13338</v>
      </c>
      <c r="V197" t="s">
        <v>13338</v>
      </c>
      <c r="W197" t="s">
        <v>13532</v>
      </c>
      <c r="X197">
        <v>1</v>
      </c>
      <c r="Y197" t="s">
        <v>20136</v>
      </c>
      <c r="Z197" t="s">
        <v>26612</v>
      </c>
      <c r="AA197">
        <v>0.654440788043263</v>
      </c>
      <c r="AB197" t="str">
        <f>HYPERLINK("Melting_Curves/meltCurve_B5MBX5_LBH.pdf", "Melting_Curves/meltCurve_B5MBX5_LBH.pdf")</f>
        <v>Melting_Curves/meltCurve_B5MBX5_LBH.pdf</v>
      </c>
    </row>
    <row r="198" spans="1:28" x14ac:dyDescent="0.25">
      <c r="A198" t="s">
        <v>202</v>
      </c>
      <c r="B198">
        <v>0.99193492352474899</v>
      </c>
      <c r="C198">
        <v>1.03938604456956</v>
      </c>
      <c r="D198">
        <v>0.67331319377723498</v>
      </c>
      <c r="E198">
        <v>0.67748765131767796</v>
      </c>
      <c r="F198">
        <v>0.42831750171347499</v>
      </c>
      <c r="G198">
        <v>0.38011978885954401</v>
      </c>
      <c r="H198">
        <v>0.35899956317223403</v>
      </c>
      <c r="I198">
        <v>0.47575722132038301</v>
      </c>
      <c r="J198">
        <v>0.58147117441212803</v>
      </c>
      <c r="K198">
        <v>0.66933526101735996</v>
      </c>
      <c r="L198">
        <v>1384.95886807341</v>
      </c>
      <c r="M198">
        <v>30.113143106564401</v>
      </c>
      <c r="N198">
        <v>54.702245242451397</v>
      </c>
      <c r="O198">
        <v>45.790446157126901</v>
      </c>
      <c r="P198">
        <v>-8.2884112223404804E-2</v>
      </c>
      <c r="Q198">
        <v>0.49586452037930201</v>
      </c>
      <c r="R198">
        <v>0.78876251813450104</v>
      </c>
      <c r="S198" t="s">
        <v>6868</v>
      </c>
      <c r="T198" t="s">
        <v>13338</v>
      </c>
      <c r="U198" t="s">
        <v>13338</v>
      </c>
      <c r="V198" t="s">
        <v>13338</v>
      </c>
      <c r="W198" t="s">
        <v>13533</v>
      </c>
      <c r="X198">
        <v>1</v>
      </c>
      <c r="Y198" t="s">
        <v>20137</v>
      </c>
      <c r="Z198" t="s">
        <v>26613</v>
      </c>
      <c r="AA198">
        <v>0.59960143389419152</v>
      </c>
      <c r="AB198" t="str">
        <f>HYPERLINK("Melting_Curves/meltCurve_B5MCD7_SYNGR1.pdf", "Melting_Curves/meltCurve_B5MCD7_SYNGR1.pdf")</f>
        <v>Melting_Curves/meltCurve_B5MCD7_SYNGR1.pdf</v>
      </c>
    </row>
    <row r="199" spans="1:28" x14ac:dyDescent="0.25">
      <c r="A199" t="s">
        <v>203</v>
      </c>
      <c r="B199">
        <v>0.99193492352474899</v>
      </c>
      <c r="C199">
        <v>0.65710371651418598</v>
      </c>
      <c r="D199">
        <v>0.42504059820843698</v>
      </c>
      <c r="E199">
        <v>0.190675354276332</v>
      </c>
      <c r="F199">
        <v>0.13959808854591901</v>
      </c>
      <c r="G199">
        <v>6.9650595568595403E-2</v>
      </c>
      <c r="H199">
        <v>4.7638516321713398E-2</v>
      </c>
      <c r="I199">
        <v>6.1361756865265002E-2</v>
      </c>
      <c r="J199">
        <v>7.7484411983139198E-2</v>
      </c>
      <c r="K199">
        <v>7.1682798886358506E-2</v>
      </c>
      <c r="L199">
        <v>867.45280396385499</v>
      </c>
      <c r="M199">
        <v>19.409554301306699</v>
      </c>
      <c r="N199">
        <v>45.028947137650299</v>
      </c>
      <c r="O199">
        <v>44.225756358132202</v>
      </c>
      <c r="P199">
        <v>-0.102306986957496</v>
      </c>
      <c r="Q199">
        <v>6.7585372523663506E-2</v>
      </c>
      <c r="R199">
        <v>0.98748737937070896</v>
      </c>
      <c r="S199" t="s">
        <v>6869</v>
      </c>
      <c r="T199" t="s">
        <v>13338</v>
      </c>
      <c r="U199" t="s">
        <v>13338</v>
      </c>
      <c r="V199" t="s">
        <v>13338</v>
      </c>
      <c r="W199" t="s">
        <v>13534</v>
      </c>
      <c r="X199">
        <v>10</v>
      </c>
      <c r="Y199" t="s">
        <v>20138</v>
      </c>
      <c r="Z199" t="s">
        <v>26614</v>
      </c>
      <c r="AA199">
        <v>0.23097741612759409</v>
      </c>
      <c r="AB199" t="str">
        <f>HYPERLINK("Melting_Curves/meltCurve_B5MCF9_PES1.pdf", "Melting_Curves/meltCurve_B5MCF9_PES1.pdf")</f>
        <v>Melting_Curves/meltCurve_B5MCF9_PES1.pdf</v>
      </c>
    </row>
    <row r="200" spans="1:28" x14ac:dyDescent="0.25">
      <c r="A200" t="s">
        <v>204</v>
      </c>
      <c r="B200">
        <v>0.99193492352474899</v>
      </c>
      <c r="C200">
        <v>0.907492714115958</v>
      </c>
      <c r="D200">
        <v>0.63762616101580505</v>
      </c>
      <c r="E200">
        <v>0.34868943882678499</v>
      </c>
      <c r="F200">
        <v>0.17837642141090199</v>
      </c>
      <c r="G200">
        <v>0.118491061809483</v>
      </c>
      <c r="H200">
        <v>0.12046003621207101</v>
      </c>
      <c r="I200">
        <v>0.16116061068245899</v>
      </c>
      <c r="J200">
        <v>0.221807429252905</v>
      </c>
      <c r="K200">
        <v>0.18938373456422899</v>
      </c>
      <c r="L200">
        <v>1117.0725894831</v>
      </c>
      <c r="M200">
        <v>23.951639969747099</v>
      </c>
      <c r="N200">
        <v>47.393157660561002</v>
      </c>
      <c r="O200">
        <v>46.317214822268802</v>
      </c>
      <c r="P200">
        <v>-0.10878926338039401</v>
      </c>
      <c r="Q200">
        <v>0.158515293581557</v>
      </c>
      <c r="R200">
        <v>0.98941674160936099</v>
      </c>
      <c r="S200" t="s">
        <v>6870</v>
      </c>
      <c r="T200" t="s">
        <v>13338</v>
      </c>
      <c r="U200" t="s">
        <v>13338</v>
      </c>
      <c r="V200" t="s">
        <v>13338</v>
      </c>
      <c r="W200" t="s">
        <v>13535</v>
      </c>
      <c r="X200">
        <v>2</v>
      </c>
      <c r="Y200" t="s">
        <v>20139</v>
      </c>
      <c r="Z200" t="s">
        <v>26615</v>
      </c>
      <c r="AA200">
        <v>0.35307084364662722</v>
      </c>
      <c r="AB200" t="str">
        <f>HYPERLINK("Melting_Curves/meltCurve_B5MCN7_NCOA1.pdf", "Melting_Curves/meltCurve_B5MCN7_NCOA1.pdf")</f>
        <v>Melting_Curves/meltCurve_B5MCN7_NCOA1.pdf</v>
      </c>
    </row>
    <row r="201" spans="1:28" x14ac:dyDescent="0.25">
      <c r="A201" t="s">
        <v>205</v>
      </c>
      <c r="B201">
        <v>0.99193492352474899</v>
      </c>
      <c r="C201">
        <v>1.0709340883004299</v>
      </c>
      <c r="D201">
        <v>1.02508480544126</v>
      </c>
      <c r="E201">
        <v>0.84517196900550995</v>
      </c>
      <c r="F201">
        <v>0.216985741463494</v>
      </c>
      <c r="G201">
        <v>0.123439249221553</v>
      </c>
      <c r="H201">
        <v>6.0445603054706101E-2</v>
      </c>
      <c r="I201">
        <v>7.5341326392716804E-2</v>
      </c>
      <c r="J201">
        <v>6.2959855754544297E-2</v>
      </c>
      <c r="K201">
        <v>8.5170489942220401E-2</v>
      </c>
      <c r="L201">
        <v>2422.5088135075398</v>
      </c>
      <c r="M201">
        <v>47.240909333087302</v>
      </c>
      <c r="N201">
        <v>51.466866471139703</v>
      </c>
      <c r="O201">
        <v>51.188275867110498</v>
      </c>
      <c r="P201">
        <v>-0.212530189867952</v>
      </c>
      <c r="Q201">
        <v>7.8846002730304607E-2</v>
      </c>
      <c r="R201">
        <v>0.99585360531012401</v>
      </c>
      <c r="S201" t="s">
        <v>6871</v>
      </c>
      <c r="T201" t="s">
        <v>13338</v>
      </c>
      <c r="U201" t="s">
        <v>13338</v>
      </c>
      <c r="V201" t="s">
        <v>13338</v>
      </c>
      <c r="W201" t="s">
        <v>13536</v>
      </c>
      <c r="X201">
        <v>6</v>
      </c>
      <c r="Y201" t="s">
        <v>20140</v>
      </c>
      <c r="Z201" t="s">
        <v>26616</v>
      </c>
      <c r="AA201">
        <v>0.42753217245989228</v>
      </c>
      <c r="AB201" t="str">
        <f>HYPERLINK("Melting_Curves/meltCurve_B5MCT7_PPM1F.pdf", "Melting_Curves/meltCurve_B5MCT7_PPM1F.pdf")</f>
        <v>Melting_Curves/meltCurve_B5MCT7_PPM1F.pdf</v>
      </c>
    </row>
    <row r="202" spans="1:28" x14ac:dyDescent="0.25">
      <c r="A202" t="s">
        <v>206</v>
      </c>
      <c r="B202">
        <v>0.99193492352474899</v>
      </c>
      <c r="C202">
        <v>0.54223462435517</v>
      </c>
      <c r="D202">
        <v>0.32170098652978102</v>
      </c>
      <c r="E202">
        <v>7.45438805543545E-2</v>
      </c>
      <c r="F202">
        <v>3.8817278364217903E-2</v>
      </c>
      <c r="G202">
        <v>4.0142666647802597E-2</v>
      </c>
      <c r="H202">
        <v>2.6226513510120501E-2</v>
      </c>
      <c r="I202">
        <v>3.8934262474039701E-2</v>
      </c>
      <c r="J202">
        <v>3.3615320607073701E-2</v>
      </c>
      <c r="K202">
        <v>3.26722678409807E-2</v>
      </c>
      <c r="L202">
        <v>1026.9432469385399</v>
      </c>
      <c r="M202">
        <v>23.505937004307899</v>
      </c>
      <c r="N202">
        <v>43.818533000299901</v>
      </c>
      <c r="O202">
        <v>43.376158152993398</v>
      </c>
      <c r="P202">
        <v>-0.13092148429057501</v>
      </c>
      <c r="Q202">
        <v>3.3644405936649503E-2</v>
      </c>
      <c r="R202">
        <v>0.98031382853040305</v>
      </c>
      <c r="S202" t="s">
        <v>6872</v>
      </c>
      <c r="T202" t="s">
        <v>13338</v>
      </c>
      <c r="U202" t="s">
        <v>13338</v>
      </c>
      <c r="V202" t="s">
        <v>13338</v>
      </c>
      <c r="W202" t="s">
        <v>13537</v>
      </c>
      <c r="X202">
        <v>2</v>
      </c>
      <c r="Y202" t="s">
        <v>20141</v>
      </c>
      <c r="Z202" t="s">
        <v>26617</v>
      </c>
      <c r="AA202">
        <v>0.16608699291620249</v>
      </c>
      <c r="AB202" t="str">
        <f>HYPERLINK("Melting_Curves/meltCurve_B5MCT9_STXBP4.pdf", "Melting_Curves/meltCurve_B5MCT9_STXBP4.pdf")</f>
        <v>Melting_Curves/meltCurve_B5MCT9_STXBP4.pdf</v>
      </c>
    </row>
    <row r="203" spans="1:28" x14ac:dyDescent="0.25">
      <c r="A203" t="s">
        <v>207</v>
      </c>
      <c r="B203">
        <v>0.99193492352474899</v>
      </c>
      <c r="C203">
        <v>1.37602293432683</v>
      </c>
      <c r="D203">
        <v>0.79473044168926799</v>
      </c>
      <c r="E203">
        <v>0.65895358990570796</v>
      </c>
      <c r="F203">
        <v>0.36632058737687601</v>
      </c>
      <c r="G203">
        <v>0.26031340749616699</v>
      </c>
      <c r="H203">
        <v>0.16985058424221999</v>
      </c>
      <c r="I203">
        <v>0.45926589184611999</v>
      </c>
      <c r="J203">
        <v>0.17659570607799599</v>
      </c>
      <c r="K203">
        <v>0.52851529710668999</v>
      </c>
      <c r="L203">
        <v>1480.9135860132201</v>
      </c>
      <c r="M203">
        <v>30.114481875727598</v>
      </c>
      <c r="N203">
        <v>50.871760322510497</v>
      </c>
      <c r="O203">
        <v>48.960806183269099</v>
      </c>
      <c r="P203">
        <v>-0.10506262704053</v>
      </c>
      <c r="Q203">
        <v>0.31675159751228699</v>
      </c>
      <c r="R203">
        <v>0.79424969925211697</v>
      </c>
      <c r="S203" t="s">
        <v>6873</v>
      </c>
      <c r="T203" t="s">
        <v>13338</v>
      </c>
      <c r="U203" t="s">
        <v>13338</v>
      </c>
      <c r="V203" t="s">
        <v>13338</v>
      </c>
      <c r="W203" t="s">
        <v>13538</v>
      </c>
      <c r="X203">
        <v>1</v>
      </c>
      <c r="Y203" t="s">
        <v>20142</v>
      </c>
      <c r="Z203" t="s">
        <v>26618</v>
      </c>
      <c r="AA203">
        <v>0.52987709262222793</v>
      </c>
      <c r="AB203" t="str">
        <f>HYPERLINK("Melting_Curves/meltCurve_B5MDB6_NLRC3.pdf", "Melting_Curves/meltCurve_B5MDB6_NLRC3.pdf")</f>
        <v>Melting_Curves/meltCurve_B5MDB6_NLRC3.pdf</v>
      </c>
    </row>
    <row r="204" spans="1:28" x14ac:dyDescent="0.25">
      <c r="A204" t="s">
        <v>208</v>
      </c>
      <c r="B204">
        <v>0.99193492352474899</v>
      </c>
      <c r="C204">
        <v>0.919921886873457</v>
      </c>
      <c r="D204">
        <v>0.99247722513474501</v>
      </c>
      <c r="E204">
        <v>0.88136949335532899</v>
      </c>
      <c r="F204">
        <v>0.78516283702191203</v>
      </c>
      <c r="G204">
        <v>0.71821600192580004</v>
      </c>
      <c r="H204">
        <v>0.490666239715563</v>
      </c>
      <c r="I204">
        <v>0.45428090435358698</v>
      </c>
      <c r="J204">
        <v>5.9302704546349998E-2</v>
      </c>
      <c r="K204">
        <v>0</v>
      </c>
      <c r="L204">
        <v>853.36147738130705</v>
      </c>
      <c r="M204">
        <v>14.190808253013699</v>
      </c>
      <c r="N204">
        <v>60.134804475000799</v>
      </c>
      <c r="O204">
        <v>58.978437230016503</v>
      </c>
      <c r="P204">
        <v>-6.0160076718352003E-2</v>
      </c>
      <c r="Q204">
        <v>0</v>
      </c>
      <c r="R204">
        <v>0.93947760024087001</v>
      </c>
      <c r="S204" t="s">
        <v>6874</v>
      </c>
      <c r="T204" t="s">
        <v>13338</v>
      </c>
      <c r="U204" t="s">
        <v>13338</v>
      </c>
      <c r="V204" t="s">
        <v>13338</v>
      </c>
      <c r="W204" t="s">
        <v>13539</v>
      </c>
      <c r="X204">
        <v>2</v>
      </c>
      <c r="Y204" t="s">
        <v>20143</v>
      </c>
      <c r="Z204" t="s">
        <v>26619</v>
      </c>
      <c r="AA204">
        <v>0.67662131239636558</v>
      </c>
      <c r="AB204" t="str">
        <f>HYPERLINK("Melting_Curves/meltCurve_B5MDE0_RFT1.pdf", "Melting_Curves/meltCurve_B5MDE0_RFT1.pdf")</f>
        <v>Melting_Curves/meltCurve_B5MDE0_RFT1.pdf</v>
      </c>
    </row>
    <row r="205" spans="1:28" x14ac:dyDescent="0.25">
      <c r="A205" t="s">
        <v>209</v>
      </c>
      <c r="B205">
        <v>0.99193492352474899</v>
      </c>
      <c r="C205">
        <v>1.22942628013672</v>
      </c>
      <c r="D205">
        <v>0.78925584145565697</v>
      </c>
      <c r="E205">
        <v>0.559084478175494</v>
      </c>
      <c r="F205">
        <v>0.21296548830081599</v>
      </c>
      <c r="G205">
        <v>0.13221365556690501</v>
      </c>
      <c r="H205">
        <v>8.7681311978796903E-2</v>
      </c>
      <c r="I205">
        <v>9.6546720005541597E-2</v>
      </c>
      <c r="J205">
        <v>8.9067607998299506E-2</v>
      </c>
      <c r="K205">
        <v>9.2169955993879296E-2</v>
      </c>
      <c r="L205">
        <v>1250.76148876768</v>
      </c>
      <c r="M205">
        <v>25.272015660171899</v>
      </c>
      <c r="N205">
        <v>49.882291472518901</v>
      </c>
      <c r="O205">
        <v>49.185204472868598</v>
      </c>
      <c r="P205">
        <v>-0.116930840540637</v>
      </c>
      <c r="Q205">
        <v>8.9713902052698496E-2</v>
      </c>
      <c r="R205">
        <v>0.95792222883830203</v>
      </c>
      <c r="S205" t="s">
        <v>6875</v>
      </c>
      <c r="T205" t="s">
        <v>13338</v>
      </c>
      <c r="U205" t="s">
        <v>13338</v>
      </c>
      <c r="V205" t="s">
        <v>13338</v>
      </c>
      <c r="W205" t="s">
        <v>13540</v>
      </c>
      <c r="X205">
        <v>7</v>
      </c>
      <c r="Y205" t="s">
        <v>20144</v>
      </c>
      <c r="Z205" t="s">
        <v>26620</v>
      </c>
      <c r="AA205">
        <v>0.38564750309162149</v>
      </c>
      <c r="AB205" t="str">
        <f>HYPERLINK("Melting_Curves/meltCurve_B5MDU6_C2orf43.pdf", "Melting_Curves/meltCurve_B5MDU6_C2orf43.pdf")</f>
        <v>Melting_Curves/meltCurve_B5MDU6_C2orf43.pdf</v>
      </c>
    </row>
    <row r="206" spans="1:28" x14ac:dyDescent="0.25">
      <c r="A206" t="s">
        <v>210</v>
      </c>
      <c r="B206">
        <v>0.99193492352474899</v>
      </c>
      <c r="C206">
        <v>0.264317423694931</v>
      </c>
      <c r="D206">
        <v>0.30475815202578799</v>
      </c>
      <c r="E206">
        <v>0</v>
      </c>
      <c r="F206">
        <v>0</v>
      </c>
      <c r="G206">
        <v>6.9701608633741793E-2</v>
      </c>
      <c r="H206">
        <v>4.7532350999582203E-2</v>
      </c>
      <c r="I206">
        <v>0</v>
      </c>
      <c r="J206">
        <v>6.5532586200751794E-2</v>
      </c>
      <c r="K206">
        <v>0.123070682467553</v>
      </c>
      <c r="L206">
        <v>2755.64246719321</v>
      </c>
      <c r="M206">
        <v>65.531330966019596</v>
      </c>
      <c r="N206">
        <v>42.155294459610801</v>
      </c>
      <c r="O206">
        <v>42.0116359736476</v>
      </c>
      <c r="P206">
        <v>-0.360714374091965</v>
      </c>
      <c r="Q206">
        <v>7.49949162631635E-2</v>
      </c>
      <c r="R206">
        <v>0.91275584609343996</v>
      </c>
      <c r="S206" t="s">
        <v>6876</v>
      </c>
      <c r="T206" t="s">
        <v>13338</v>
      </c>
      <c r="U206" t="s">
        <v>13338</v>
      </c>
      <c r="V206" t="s">
        <v>13338</v>
      </c>
      <c r="W206" t="s">
        <v>13541</v>
      </c>
      <c r="X206">
        <v>3</v>
      </c>
      <c r="Y206" t="s">
        <v>20145</v>
      </c>
      <c r="Z206" t="s">
        <v>26621</v>
      </c>
      <c r="AA206">
        <v>0.13981793425940839</v>
      </c>
      <c r="AB206" t="str">
        <f>HYPERLINK("Melting_Curves/meltCurve_B7WNT5_TCF7.pdf", "Melting_Curves/meltCurve_B7WNT5_TCF7.pdf")</f>
        <v>Melting_Curves/meltCurve_B7WNT5_TCF7.pdf</v>
      </c>
    </row>
    <row r="207" spans="1:28" x14ac:dyDescent="0.25">
      <c r="A207" t="s">
        <v>211</v>
      </c>
      <c r="B207">
        <v>0.99193492352474899</v>
      </c>
      <c r="C207">
        <v>0.74647640798588999</v>
      </c>
      <c r="D207">
        <v>0.47873676746635802</v>
      </c>
      <c r="E207">
        <v>0.183168730426708</v>
      </c>
      <c r="F207">
        <v>0.114608391806547</v>
      </c>
      <c r="G207">
        <v>7.7766667045551699E-2</v>
      </c>
      <c r="H207">
        <v>5.1386638499535703E-2</v>
      </c>
      <c r="I207">
        <v>6.5346554875146498E-2</v>
      </c>
      <c r="J207">
        <v>7.4633732457681901E-2</v>
      </c>
      <c r="K207">
        <v>7.8954403435902404E-2</v>
      </c>
      <c r="L207">
        <v>957.06780014354899</v>
      </c>
      <c r="M207">
        <v>21.127854028321899</v>
      </c>
      <c r="N207">
        <v>45.606794407690799</v>
      </c>
      <c r="O207">
        <v>44.898909896539401</v>
      </c>
      <c r="P207">
        <v>-0.109824266872044</v>
      </c>
      <c r="Q207">
        <v>6.6472066710351801E-2</v>
      </c>
      <c r="R207">
        <v>0.99563262224747995</v>
      </c>
      <c r="S207" t="s">
        <v>6877</v>
      </c>
      <c r="T207" t="s">
        <v>13338</v>
      </c>
      <c r="U207" t="s">
        <v>13338</v>
      </c>
      <c r="V207" t="s">
        <v>13338</v>
      </c>
      <c r="W207" t="s">
        <v>13542</v>
      </c>
      <c r="X207">
        <v>12</v>
      </c>
      <c r="Y207" t="s">
        <v>20146</v>
      </c>
      <c r="Z207" t="s">
        <v>26622</v>
      </c>
      <c r="AA207">
        <v>0.24482843866929219</v>
      </c>
      <c r="AB207" t="str">
        <f>HYPERLINK("Melting_Curves/meltCurve_B7WP27_CWC22.pdf", "Melting_Curves/meltCurve_B7WP27_CWC22.pdf")</f>
        <v>Melting_Curves/meltCurve_B7WP27_CWC22.pdf</v>
      </c>
    </row>
    <row r="208" spans="1:28" x14ac:dyDescent="0.25">
      <c r="A208" t="s">
        <v>212</v>
      </c>
      <c r="B208">
        <v>0.99193492352474899</v>
      </c>
      <c r="C208">
        <v>0.64204642997000505</v>
      </c>
      <c r="D208">
        <v>0.924897913056419</v>
      </c>
      <c r="E208">
        <v>0.55392961487125503</v>
      </c>
      <c r="F208">
        <v>0.29423415455337498</v>
      </c>
      <c r="G208">
        <v>0.15105555458561501</v>
      </c>
      <c r="H208">
        <v>8.1367653200245596E-2</v>
      </c>
      <c r="I208">
        <v>8.9146163419302496E-2</v>
      </c>
      <c r="J208">
        <v>0.115423143622378</v>
      </c>
      <c r="K208">
        <v>0.10914809714385799</v>
      </c>
      <c r="L208">
        <v>691.24366151263996</v>
      </c>
      <c r="M208">
        <v>13.9185467538188</v>
      </c>
      <c r="N208">
        <v>50.073444080890802</v>
      </c>
      <c r="O208">
        <v>48.672000900212602</v>
      </c>
      <c r="P208">
        <v>-6.7650950109702498E-2</v>
      </c>
      <c r="Q208">
        <v>5.3849079492048299E-2</v>
      </c>
      <c r="R208">
        <v>0.91000952548680603</v>
      </c>
      <c r="S208" t="s">
        <v>6878</v>
      </c>
      <c r="T208" t="s">
        <v>13338</v>
      </c>
      <c r="U208" t="s">
        <v>13338</v>
      </c>
      <c r="V208" t="s">
        <v>13338</v>
      </c>
      <c r="W208" t="s">
        <v>13543</v>
      </c>
      <c r="X208">
        <v>5</v>
      </c>
      <c r="Y208" t="s">
        <v>20147</v>
      </c>
      <c r="Z208" t="s">
        <v>26623</v>
      </c>
      <c r="AA208">
        <v>0.38467865517312477</v>
      </c>
      <c r="AB208" t="str">
        <f>HYPERLINK("Melting_Curves/meltCurve_B7WPE2_EML3.pdf", "Melting_Curves/meltCurve_B7WPE2_EML3.pdf")</f>
        <v>Melting_Curves/meltCurve_B7WPE2_EML3.pdf</v>
      </c>
    </row>
    <row r="209" spans="1:28" x14ac:dyDescent="0.25">
      <c r="A209" t="s">
        <v>213</v>
      </c>
      <c r="B209">
        <v>0.99193492352474899</v>
      </c>
      <c r="C209">
        <v>0.80596222803928896</v>
      </c>
      <c r="D209">
        <v>0.75724804195113704</v>
      </c>
      <c r="E209">
        <v>0.46813525898678199</v>
      </c>
      <c r="F209">
        <v>0.225637436428027</v>
      </c>
      <c r="G209">
        <v>5.7977392414887599E-2</v>
      </c>
      <c r="H209">
        <v>3.9287112406984098E-2</v>
      </c>
      <c r="I209">
        <v>5.3387325512003397E-2</v>
      </c>
      <c r="J209">
        <v>6.6036455138045902E-2</v>
      </c>
      <c r="K209">
        <v>0</v>
      </c>
      <c r="L209">
        <v>742.17551900976503</v>
      </c>
      <c r="M209">
        <v>15.1913593232051</v>
      </c>
      <c r="N209">
        <v>48.890294792827802</v>
      </c>
      <c r="O209">
        <v>48.0319903203061</v>
      </c>
      <c r="P209">
        <v>-7.8646644503021598E-2</v>
      </c>
      <c r="Q209">
        <v>5.4367352369411297E-3</v>
      </c>
      <c r="R209">
        <v>0.98784241182964905</v>
      </c>
      <c r="S209" t="s">
        <v>6879</v>
      </c>
      <c r="T209" t="s">
        <v>13338</v>
      </c>
      <c r="U209" t="s">
        <v>13338</v>
      </c>
      <c r="V209" t="s">
        <v>13338</v>
      </c>
      <c r="W209" t="s">
        <v>13544</v>
      </c>
      <c r="X209">
        <v>2</v>
      </c>
      <c r="Y209" t="s">
        <v>20148</v>
      </c>
      <c r="Z209" t="s">
        <v>26624</v>
      </c>
      <c r="AA209">
        <v>0.32309583435090361</v>
      </c>
      <c r="AB209" t="str">
        <f>HYPERLINK("Melting_Curves/meltCurve_B7WPL0_RIC8B.pdf", "Melting_Curves/meltCurve_B7WPL0_RIC8B.pdf")</f>
        <v>Melting_Curves/meltCurve_B7WPL0_RIC8B.pdf</v>
      </c>
    </row>
    <row r="210" spans="1:28" x14ac:dyDescent="0.25">
      <c r="A210" t="s">
        <v>214</v>
      </c>
      <c r="B210">
        <v>0.99193492352474899</v>
      </c>
      <c r="C210">
        <v>0.80430263817888903</v>
      </c>
      <c r="D210">
        <v>0.93432853229945301</v>
      </c>
      <c r="E210">
        <v>0.74378273380220905</v>
      </c>
      <c r="F210">
        <v>0.64600905843452605</v>
      </c>
      <c r="G210">
        <v>0.47090654015453498</v>
      </c>
      <c r="H210">
        <v>0.31485895052470197</v>
      </c>
      <c r="I210">
        <v>0.16603648077521399</v>
      </c>
      <c r="J210">
        <v>0.16182076746364399</v>
      </c>
      <c r="K210">
        <v>0.117328001357508</v>
      </c>
      <c r="L210">
        <v>539.08276348328604</v>
      </c>
      <c r="M210">
        <v>9.6856373469560495</v>
      </c>
      <c r="N210">
        <v>55.657954572354299</v>
      </c>
      <c r="O210">
        <v>53.440723676168403</v>
      </c>
      <c r="P210">
        <v>-4.5335085950738298E-2</v>
      </c>
      <c r="Q210">
        <v>0</v>
      </c>
      <c r="R210">
        <v>0.97174183427405303</v>
      </c>
      <c r="S210" t="s">
        <v>6880</v>
      </c>
      <c r="T210" t="s">
        <v>13338</v>
      </c>
      <c r="U210" t="s">
        <v>13338</v>
      </c>
      <c r="V210" t="s">
        <v>13338</v>
      </c>
      <c r="W210" t="s">
        <v>13545</v>
      </c>
      <c r="X210">
        <v>30</v>
      </c>
      <c r="Y210" t="s">
        <v>20149</v>
      </c>
      <c r="Z210" t="s">
        <v>26625</v>
      </c>
      <c r="AA210">
        <v>0.54479772360535927</v>
      </c>
      <c r="AB210" t="str">
        <f>HYPERLINK("Melting_Curves/meltCurve_B7Z1R5_ATP6V1A.pdf", "Melting_Curves/meltCurve_B7Z1R5_ATP6V1A.pdf")</f>
        <v>Melting_Curves/meltCurve_B7Z1R5_ATP6V1A.pdf</v>
      </c>
    </row>
    <row r="211" spans="1:28" x14ac:dyDescent="0.25">
      <c r="A211" t="s">
        <v>215</v>
      </c>
      <c r="B211">
        <v>0.99193492352474899</v>
      </c>
      <c r="C211">
        <v>0.93721574468635704</v>
      </c>
      <c r="D211">
        <v>0.91113264865496701</v>
      </c>
      <c r="E211">
        <v>0.80915491955562802</v>
      </c>
      <c r="F211">
        <v>0.62506530278508499</v>
      </c>
      <c r="G211">
        <v>0.208568718020683</v>
      </c>
      <c r="H211">
        <v>0.108296671804319</v>
      </c>
      <c r="I211">
        <v>0.10256020578409</v>
      </c>
      <c r="J211">
        <v>0.108474915543072</v>
      </c>
      <c r="K211">
        <v>9.3456214639709795E-2</v>
      </c>
      <c r="L211">
        <v>1151.0583058300001</v>
      </c>
      <c r="M211">
        <v>21.577107767758999</v>
      </c>
      <c r="N211">
        <v>53.737972729373098</v>
      </c>
      <c r="O211">
        <v>52.894401542444797</v>
      </c>
      <c r="P211">
        <v>-9.4563423790194695E-2</v>
      </c>
      <c r="Q211">
        <v>7.2766346621748301E-2</v>
      </c>
      <c r="R211">
        <v>0.98639318554134003</v>
      </c>
      <c r="S211" t="s">
        <v>6881</v>
      </c>
      <c r="T211" t="s">
        <v>13338</v>
      </c>
      <c r="U211" t="s">
        <v>13338</v>
      </c>
      <c r="V211" t="s">
        <v>13338</v>
      </c>
      <c r="W211" t="s">
        <v>13546</v>
      </c>
      <c r="X211">
        <v>14</v>
      </c>
      <c r="Y211" t="s">
        <v>20150</v>
      </c>
      <c r="Z211" t="s">
        <v>26626</v>
      </c>
      <c r="AA211">
        <v>0.49643254479992771</v>
      </c>
      <c r="AB211" t="str">
        <f>HYPERLINK("Melting_Curves/meltCurve_B7Z254_PDIA6.pdf", "Melting_Curves/meltCurve_B7Z254_PDIA6.pdf")</f>
        <v>Melting_Curves/meltCurve_B7Z254_PDIA6.pdf</v>
      </c>
    </row>
    <row r="212" spans="1:28" x14ac:dyDescent="0.25">
      <c r="A212" t="s">
        <v>216</v>
      </c>
      <c r="B212">
        <v>0.99193492352474899</v>
      </c>
      <c r="C212">
        <v>0.93376337871342197</v>
      </c>
      <c r="D212">
        <v>0.90928561458066204</v>
      </c>
      <c r="E212">
        <v>0.57625608530266004</v>
      </c>
      <c r="F212">
        <v>0.23663520803049301</v>
      </c>
      <c r="G212">
        <v>9.7068551078095602E-2</v>
      </c>
      <c r="H212">
        <v>3.3800057480427699E-2</v>
      </c>
      <c r="I212">
        <v>6.1673605951628102E-2</v>
      </c>
      <c r="J212">
        <v>4.6962290917643798E-2</v>
      </c>
      <c r="K212">
        <v>3.4621809576757701E-2</v>
      </c>
      <c r="L212">
        <v>1167.5030767175199</v>
      </c>
      <c r="M212">
        <v>23.291955482303599</v>
      </c>
      <c r="N212">
        <v>50.295342279266897</v>
      </c>
      <c r="O212">
        <v>49.759638740974601</v>
      </c>
      <c r="P212">
        <v>-0.112579322075708</v>
      </c>
      <c r="Q212">
        <v>3.7984298307933699E-2</v>
      </c>
      <c r="R212">
        <v>0.99787062365328705</v>
      </c>
      <c r="S212" t="s">
        <v>6882</v>
      </c>
      <c r="T212" t="s">
        <v>13338</v>
      </c>
      <c r="U212" t="s">
        <v>13338</v>
      </c>
      <c r="V212" t="s">
        <v>13338</v>
      </c>
      <c r="W212" t="s">
        <v>13547</v>
      </c>
      <c r="X212">
        <v>1</v>
      </c>
      <c r="Y212" t="s">
        <v>20151</v>
      </c>
      <c r="Z212" t="s">
        <v>26627</v>
      </c>
      <c r="AA212">
        <v>0.37257336644194983</v>
      </c>
      <c r="AB212" t="str">
        <f>HYPERLINK("Melting_Curves/meltCurve_B7Z291_MTMR9.pdf", "Melting_Curves/meltCurve_B7Z291_MTMR9.pdf")</f>
        <v>Melting_Curves/meltCurve_B7Z291_MTMR9.pdf</v>
      </c>
    </row>
    <row r="213" spans="1:28" x14ac:dyDescent="0.25">
      <c r="A213" t="s">
        <v>217</v>
      </c>
      <c r="B213">
        <v>0.99193492352474899</v>
      </c>
      <c r="C213">
        <v>1.0107571293745901</v>
      </c>
      <c r="D213">
        <v>0.92029058375413997</v>
      </c>
      <c r="E213">
        <v>0.51757790762470202</v>
      </c>
      <c r="F213">
        <v>0.58432527503895704</v>
      </c>
      <c r="G213">
        <v>0.40349206007414901</v>
      </c>
      <c r="H213">
        <v>0.31111262503043002</v>
      </c>
      <c r="I213">
        <v>0.43344244275976002</v>
      </c>
      <c r="J213">
        <v>0.27599723517449398</v>
      </c>
      <c r="K213">
        <v>0.244941051648982</v>
      </c>
      <c r="L213">
        <v>814.54977111852099</v>
      </c>
      <c r="M213">
        <v>16.3926592865826</v>
      </c>
      <c r="N213">
        <v>52.792170585845497</v>
      </c>
      <c r="O213">
        <v>48.968088480562699</v>
      </c>
      <c r="P213">
        <v>-5.7818964540603403E-2</v>
      </c>
      <c r="Q213">
        <v>0.309182799109602</v>
      </c>
      <c r="R213">
        <v>0.92835570415873503</v>
      </c>
      <c r="S213" t="s">
        <v>6883</v>
      </c>
      <c r="T213" t="s">
        <v>13338</v>
      </c>
      <c r="U213" t="s">
        <v>13338</v>
      </c>
      <c r="V213" t="s">
        <v>13338</v>
      </c>
      <c r="W213" t="s">
        <v>13548</v>
      </c>
      <c r="X213">
        <v>1</v>
      </c>
      <c r="Y213" t="s">
        <v>20152</v>
      </c>
      <c r="Z213" t="s">
        <v>26628</v>
      </c>
      <c r="AA213">
        <v>0.54644822661247394</v>
      </c>
      <c r="AB213" t="str">
        <f>HYPERLINK("Melting_Curves/meltCurve_B7Z2B2_MFSD8.pdf", "Melting_Curves/meltCurve_B7Z2B2_MFSD8.pdf")</f>
        <v>Melting_Curves/meltCurve_B7Z2B2_MFSD8.pdf</v>
      </c>
    </row>
    <row r="214" spans="1:28" x14ac:dyDescent="0.25">
      <c r="A214" t="s">
        <v>218</v>
      </c>
      <c r="B214">
        <v>0.99193492352474899</v>
      </c>
      <c r="C214">
        <v>1.1742411274250999</v>
      </c>
      <c r="D214">
        <v>0.73866902886315799</v>
      </c>
      <c r="E214">
        <v>0.98620511128937105</v>
      </c>
      <c r="F214">
        <v>0.95263706077466803</v>
      </c>
      <c r="G214">
        <v>0.42441664839210502</v>
      </c>
      <c r="H214">
        <v>0.57622600521890599</v>
      </c>
      <c r="I214">
        <v>0.66879094117631599</v>
      </c>
      <c r="J214">
        <v>0.55328059854860101</v>
      </c>
      <c r="K214">
        <v>0.59210719443206605</v>
      </c>
      <c r="L214">
        <v>13412.115664945501</v>
      </c>
      <c r="M214">
        <v>250</v>
      </c>
      <c r="O214">
        <v>53.645029526018099</v>
      </c>
      <c r="P214">
        <v>-0.50917549586595701</v>
      </c>
      <c r="Q214">
        <v>0.56296424845559401</v>
      </c>
      <c r="R214">
        <v>0.75821134493232101</v>
      </c>
      <c r="S214" t="s">
        <v>6884</v>
      </c>
      <c r="T214" t="s">
        <v>13338</v>
      </c>
      <c r="U214" t="s">
        <v>13338</v>
      </c>
      <c r="V214" t="s">
        <v>13338</v>
      </c>
      <c r="W214" t="s">
        <v>13549</v>
      </c>
      <c r="X214">
        <v>27</v>
      </c>
      <c r="Y214" t="s">
        <v>20153</v>
      </c>
      <c r="Z214" t="s">
        <v>26629</v>
      </c>
      <c r="AA214">
        <v>0.76183426753863548</v>
      </c>
      <c r="AB214" t="str">
        <f>HYPERLINK("Melting_Curves/meltCurve_B7Z2S5_TXNRD1.pdf", "Melting_Curves/meltCurve_B7Z2S5_TXNRD1.pdf")</f>
        <v>Melting_Curves/meltCurve_B7Z2S5_TXNRD1.pdf</v>
      </c>
    </row>
    <row r="215" spans="1:28" x14ac:dyDescent="0.25">
      <c r="A215" t="s">
        <v>219</v>
      </c>
      <c r="B215">
        <v>0.99193492352474899</v>
      </c>
      <c r="C215">
        <v>0.90426303425788701</v>
      </c>
      <c r="D215">
        <v>0.93150176815225905</v>
      </c>
      <c r="E215">
        <v>0.77805119847324</v>
      </c>
      <c r="F215">
        <v>0.72495863740916699</v>
      </c>
      <c r="G215">
        <v>0.57972538618582303</v>
      </c>
      <c r="H215">
        <v>0.52158599556861696</v>
      </c>
      <c r="I215">
        <v>0.58221356101964505</v>
      </c>
      <c r="J215">
        <v>0.83824342563061005</v>
      </c>
      <c r="K215">
        <v>1.04051621498748</v>
      </c>
      <c r="L215">
        <v>1273.00472280191</v>
      </c>
      <c r="M215">
        <v>26.973743787956501</v>
      </c>
      <c r="O215">
        <v>46.937097318256697</v>
      </c>
      <c r="P215">
        <v>-4.1208135011234402E-2</v>
      </c>
      <c r="Q215">
        <v>0.71317713429508001</v>
      </c>
      <c r="R215">
        <v>0.33169343499715098</v>
      </c>
      <c r="S215" t="s">
        <v>6885</v>
      </c>
      <c r="T215" t="s">
        <v>13338</v>
      </c>
      <c r="U215" t="s">
        <v>13338</v>
      </c>
      <c r="V215" t="s">
        <v>13338</v>
      </c>
      <c r="W215" t="s">
        <v>13550</v>
      </c>
      <c r="X215">
        <v>15</v>
      </c>
      <c r="Y215" t="s">
        <v>20154</v>
      </c>
      <c r="Z215" t="s">
        <v>26630</v>
      </c>
      <c r="AA215">
        <v>0.78412192737554298</v>
      </c>
      <c r="AB215" t="str">
        <f>HYPERLINK("Melting_Curves/meltCurve_B7Z3I9_ALAD.pdf", "Melting_Curves/meltCurve_B7Z3I9_ALAD.pdf")</f>
        <v>Melting_Curves/meltCurve_B7Z3I9_ALAD.pdf</v>
      </c>
    </row>
    <row r="216" spans="1:28" x14ac:dyDescent="0.25">
      <c r="A216" t="s">
        <v>220</v>
      </c>
      <c r="B216">
        <v>0.99193492352474899</v>
      </c>
      <c r="C216">
        <v>1.0215464120642901</v>
      </c>
      <c r="D216">
        <v>1.1017319264918699</v>
      </c>
      <c r="E216">
        <v>0.82765836961614503</v>
      </c>
      <c r="F216">
        <v>0.79054521776650399</v>
      </c>
      <c r="G216">
        <v>0.50849684767095504</v>
      </c>
      <c r="H216">
        <v>0.43072631157817298</v>
      </c>
      <c r="I216">
        <v>0.379563254443679</v>
      </c>
      <c r="J216">
        <v>0.466668614359323</v>
      </c>
      <c r="K216">
        <v>0.36548411589653301</v>
      </c>
      <c r="L216">
        <v>1198.6964156976601</v>
      </c>
      <c r="M216">
        <v>22.265098226099798</v>
      </c>
      <c r="N216">
        <v>57.7897310918325</v>
      </c>
      <c r="O216">
        <v>53.408817317262702</v>
      </c>
      <c r="P216">
        <v>-6.3477566439598704E-2</v>
      </c>
      <c r="Q216">
        <v>0.39094107969511299</v>
      </c>
      <c r="R216">
        <v>0.95650752876289502</v>
      </c>
      <c r="S216" t="s">
        <v>6886</v>
      </c>
      <c r="T216" t="s">
        <v>13338</v>
      </c>
      <c r="U216" t="s">
        <v>13338</v>
      </c>
      <c r="V216" t="s">
        <v>13338</v>
      </c>
      <c r="W216" t="s">
        <v>13551</v>
      </c>
      <c r="X216">
        <v>1</v>
      </c>
      <c r="Y216" t="s">
        <v>20155</v>
      </c>
      <c r="Z216" t="s">
        <v>26631</v>
      </c>
      <c r="AA216">
        <v>0.6787962717717595</v>
      </c>
      <c r="AB216" t="str">
        <f>HYPERLINK("Melting_Curves/meltCurve_B7Z3K1_TMEM128.pdf", "Melting_Curves/meltCurve_B7Z3K1_TMEM128.pdf")</f>
        <v>Melting_Curves/meltCurve_B7Z3K1_TMEM128.pdf</v>
      </c>
    </row>
    <row r="217" spans="1:28" x14ac:dyDescent="0.25">
      <c r="A217" t="s">
        <v>221</v>
      </c>
      <c r="B217">
        <v>0.99193492352474899</v>
      </c>
      <c r="C217">
        <v>0.95863404066742997</v>
      </c>
      <c r="D217">
        <v>0.81002847337345196</v>
      </c>
      <c r="E217">
        <v>0.90134436292662201</v>
      </c>
      <c r="F217">
        <v>0.34467435927462298</v>
      </c>
      <c r="G217">
        <v>0.28757556982335902</v>
      </c>
      <c r="H217">
        <v>0.14261710627266599</v>
      </c>
      <c r="I217">
        <v>0.23059469190905801</v>
      </c>
      <c r="J217">
        <v>0.16135720178874499</v>
      </c>
      <c r="K217">
        <v>0.37652795726048099</v>
      </c>
      <c r="L217">
        <v>2550.8312018307402</v>
      </c>
      <c r="M217">
        <v>49.6530761338446</v>
      </c>
      <c r="N217">
        <v>52.046002180957899</v>
      </c>
      <c r="O217">
        <v>51.289959849562599</v>
      </c>
      <c r="P217">
        <v>-0.18469087299751399</v>
      </c>
      <c r="Q217">
        <v>0.23688293927829501</v>
      </c>
      <c r="R217">
        <v>0.93359122382489801</v>
      </c>
      <c r="S217" t="s">
        <v>6887</v>
      </c>
      <c r="T217" t="s">
        <v>13338</v>
      </c>
      <c r="U217" t="s">
        <v>13338</v>
      </c>
      <c r="V217" t="s">
        <v>13338</v>
      </c>
      <c r="W217" t="s">
        <v>13552</v>
      </c>
      <c r="X217">
        <v>25</v>
      </c>
      <c r="Y217" t="s">
        <v>20156</v>
      </c>
      <c r="Z217" t="s">
        <v>26632</v>
      </c>
      <c r="AA217">
        <v>0.52793611985512967</v>
      </c>
      <c r="AB217" t="str">
        <f>HYPERLINK("Melting_Curves/meltCurve_B7Z3P1_TBCE.pdf", "Melting_Curves/meltCurve_B7Z3P1_TBCE.pdf")</f>
        <v>Melting_Curves/meltCurve_B7Z3P1_TBCE.pdf</v>
      </c>
    </row>
    <row r="218" spans="1:28" x14ac:dyDescent="0.25">
      <c r="A218" t="s">
        <v>222</v>
      </c>
      <c r="B218">
        <v>0.99193492352474899</v>
      </c>
      <c r="C218">
        <v>0.92105624578682799</v>
      </c>
      <c r="D218">
        <v>0.91705466052408702</v>
      </c>
      <c r="E218">
        <v>0.82719188364787199</v>
      </c>
      <c r="F218">
        <v>0.73215414743311302</v>
      </c>
      <c r="G218">
        <v>0.62057567273252101</v>
      </c>
      <c r="H218">
        <v>0.53439542637807003</v>
      </c>
      <c r="I218">
        <v>0.60743926088743105</v>
      </c>
      <c r="J218">
        <v>0.70038672192053597</v>
      </c>
      <c r="K218">
        <v>0.71685144514021004</v>
      </c>
      <c r="L218">
        <v>900.62133269923004</v>
      </c>
      <c r="M218">
        <v>18.291494457103799</v>
      </c>
      <c r="O218">
        <v>48.659986190980497</v>
      </c>
      <c r="P218">
        <v>-3.4524525523785002E-2</v>
      </c>
      <c r="Q218">
        <v>0.63264126017164402</v>
      </c>
      <c r="R218">
        <v>0.85657404469034903</v>
      </c>
      <c r="S218" t="s">
        <v>6888</v>
      </c>
      <c r="T218" t="s">
        <v>13338</v>
      </c>
      <c r="U218" t="s">
        <v>13338</v>
      </c>
      <c r="V218" t="s">
        <v>13338</v>
      </c>
      <c r="W218" t="s">
        <v>13553</v>
      </c>
      <c r="X218">
        <v>7</v>
      </c>
      <c r="Y218" t="s">
        <v>20157</v>
      </c>
      <c r="Z218" t="s">
        <v>26633</v>
      </c>
      <c r="AA218">
        <v>0.75189112881315556</v>
      </c>
      <c r="AB218" t="str">
        <f>HYPERLINK("Melting_Curves/meltCurve_B7Z4K6_DNASE2.pdf", "Melting_Curves/meltCurve_B7Z4K6_DNASE2.pdf")</f>
        <v>Melting_Curves/meltCurve_B7Z4K6_DNASE2.pdf</v>
      </c>
    </row>
    <row r="219" spans="1:28" x14ac:dyDescent="0.25">
      <c r="A219" t="s">
        <v>223</v>
      </c>
      <c r="B219">
        <v>0.99193492352474899</v>
      </c>
      <c r="C219">
        <v>0.96395158202406805</v>
      </c>
      <c r="D219">
        <v>1.0531841600379099</v>
      </c>
      <c r="E219">
        <v>0.51278412101161297</v>
      </c>
      <c r="F219">
        <v>0.56740995162526098</v>
      </c>
      <c r="G219">
        <v>0.23287164363439899</v>
      </c>
      <c r="H219">
        <v>0</v>
      </c>
      <c r="I219">
        <v>0.153138162944919</v>
      </c>
      <c r="J219">
        <v>0.27594141617378798</v>
      </c>
      <c r="K219">
        <v>0.405116677439259</v>
      </c>
      <c r="L219">
        <v>1141.52827272068</v>
      </c>
      <c r="M219">
        <v>22.726800090516399</v>
      </c>
      <c r="N219">
        <v>51.520300736528498</v>
      </c>
      <c r="O219">
        <v>49.844250980579297</v>
      </c>
      <c r="P219">
        <v>-8.9230200934981296E-2</v>
      </c>
      <c r="Q219">
        <v>0.21721926720703399</v>
      </c>
      <c r="R219">
        <v>0.86352494370223598</v>
      </c>
      <c r="S219" t="s">
        <v>6889</v>
      </c>
      <c r="T219" t="s">
        <v>13338</v>
      </c>
      <c r="U219" t="s">
        <v>13338</v>
      </c>
      <c r="V219" t="s">
        <v>13338</v>
      </c>
      <c r="W219" t="s">
        <v>13554</v>
      </c>
      <c r="X219">
        <v>2</v>
      </c>
      <c r="Y219" t="s">
        <v>20158</v>
      </c>
      <c r="Z219" t="s">
        <v>26634</v>
      </c>
      <c r="AA219">
        <v>0.49258115534623331</v>
      </c>
      <c r="AB219" t="str">
        <f>HYPERLINK("Melting_Curves/meltCurve_B7Z4R0_ERF.pdf", "Melting_Curves/meltCurve_B7Z4R0_ERF.pdf")</f>
        <v>Melting_Curves/meltCurve_B7Z4R0_ERF.pdf</v>
      </c>
    </row>
    <row r="220" spans="1:28" x14ac:dyDescent="0.25">
      <c r="A220" t="s">
        <v>224</v>
      </c>
      <c r="B220">
        <v>0.99193492352474899</v>
      </c>
      <c r="C220">
        <v>1.11205937485059</v>
      </c>
      <c r="D220">
        <v>0.79489563724645795</v>
      </c>
      <c r="E220">
        <v>0.84505133587363301</v>
      </c>
      <c r="F220">
        <v>0.45643439102204603</v>
      </c>
      <c r="G220">
        <v>0.32516708088879098</v>
      </c>
      <c r="H220">
        <v>0.24984751084085</v>
      </c>
      <c r="I220">
        <v>0.35410206469229699</v>
      </c>
      <c r="J220">
        <v>0.35138112225065998</v>
      </c>
      <c r="K220">
        <v>0.79252531054147102</v>
      </c>
      <c r="L220">
        <v>2271.9697272757699</v>
      </c>
      <c r="M220">
        <v>44.942835923821399</v>
      </c>
      <c r="N220">
        <v>52.589003135911199</v>
      </c>
      <c r="O220">
        <v>50.4526503786227</v>
      </c>
      <c r="P220">
        <v>-0.13088454919207401</v>
      </c>
      <c r="Q220">
        <v>0.412278831851626</v>
      </c>
      <c r="R220">
        <v>0.72975477993744797</v>
      </c>
      <c r="S220" t="s">
        <v>6890</v>
      </c>
      <c r="T220" t="s">
        <v>13338</v>
      </c>
      <c r="U220" t="s">
        <v>13338</v>
      </c>
      <c r="V220" t="s">
        <v>13338</v>
      </c>
      <c r="W220" t="s">
        <v>13555</v>
      </c>
      <c r="X220">
        <v>5</v>
      </c>
      <c r="Y220" t="s">
        <v>20159</v>
      </c>
      <c r="Z220" t="s">
        <v>26635</v>
      </c>
      <c r="AA220">
        <v>0.62063264236350657</v>
      </c>
      <c r="AB220" t="str">
        <f>HYPERLINK("Melting_Curves/meltCurve_B7Z4R5_P2RX4.pdf", "Melting_Curves/meltCurve_B7Z4R5_P2RX4.pdf")</f>
        <v>Melting_Curves/meltCurve_B7Z4R5_P2RX4.pdf</v>
      </c>
    </row>
    <row r="221" spans="1:28" x14ac:dyDescent="0.25">
      <c r="A221" t="s">
        <v>225</v>
      </c>
      <c r="B221">
        <v>0.99193492352474899</v>
      </c>
      <c r="C221">
        <v>0.762082625060582</v>
      </c>
      <c r="D221">
        <v>0.83272547441181499</v>
      </c>
      <c r="E221">
        <v>0.42009277705671999</v>
      </c>
      <c r="F221">
        <v>0.19952911159686401</v>
      </c>
      <c r="G221">
        <v>0.112879703347463</v>
      </c>
      <c r="H221">
        <v>6.3466948754694705E-2</v>
      </c>
      <c r="I221">
        <v>7.1012899957202794E-2</v>
      </c>
      <c r="J221">
        <v>9.6964518419712098E-2</v>
      </c>
      <c r="K221">
        <v>0.11136657232189399</v>
      </c>
      <c r="L221">
        <v>870.86296832978803</v>
      </c>
      <c r="M221">
        <v>18.002711451111001</v>
      </c>
      <c r="N221">
        <v>48.772064064418601</v>
      </c>
      <c r="O221">
        <v>47.788956415128197</v>
      </c>
      <c r="P221">
        <v>-8.7747718399489194E-2</v>
      </c>
      <c r="Q221">
        <v>6.8325874866313502E-2</v>
      </c>
      <c r="R221">
        <v>0.96892282890227399</v>
      </c>
      <c r="S221" t="s">
        <v>6891</v>
      </c>
      <c r="T221" t="s">
        <v>13338</v>
      </c>
      <c r="U221" t="s">
        <v>13338</v>
      </c>
      <c r="V221" t="s">
        <v>13338</v>
      </c>
      <c r="W221" t="s">
        <v>13556</v>
      </c>
      <c r="X221">
        <v>3</v>
      </c>
      <c r="Y221" t="s">
        <v>20160</v>
      </c>
      <c r="Z221" t="s">
        <v>26636</v>
      </c>
      <c r="AA221">
        <v>0.34474152238385841</v>
      </c>
      <c r="AB221" t="str">
        <f>HYPERLINK("Melting_Curves/meltCurve_B7Z4V9_INPP5K.pdf", "Melting_Curves/meltCurve_B7Z4V9_INPP5K.pdf")</f>
        <v>Melting_Curves/meltCurve_B7Z4V9_INPP5K.pdf</v>
      </c>
    </row>
    <row r="222" spans="1:28" x14ac:dyDescent="0.25">
      <c r="A222" t="s">
        <v>226</v>
      </c>
      <c r="B222">
        <v>0.99193492352474899</v>
      </c>
      <c r="C222">
        <v>1.0695916299588499</v>
      </c>
      <c r="D222">
        <v>0.90450340759061898</v>
      </c>
      <c r="E222">
        <v>0.68132977708655795</v>
      </c>
      <c r="F222">
        <v>0.48886343068065502</v>
      </c>
      <c r="G222">
        <v>0.37136925504596802</v>
      </c>
      <c r="H222">
        <v>0.17187394630543401</v>
      </c>
      <c r="I222">
        <v>0.16959012264940501</v>
      </c>
      <c r="J222">
        <v>0.15242203368346999</v>
      </c>
      <c r="K222">
        <v>0.16514935311482401</v>
      </c>
      <c r="L222">
        <v>824.89380161317695</v>
      </c>
      <c r="M222">
        <v>15.874391192356301</v>
      </c>
      <c r="N222">
        <v>53.019049009076397</v>
      </c>
      <c r="O222">
        <v>51.160150336637898</v>
      </c>
      <c r="P222">
        <v>-6.7070359912619504E-2</v>
      </c>
      <c r="Q222">
        <v>0.13544977966494601</v>
      </c>
      <c r="R222">
        <v>0.98610435800226404</v>
      </c>
      <c r="S222" t="s">
        <v>6892</v>
      </c>
      <c r="T222" t="s">
        <v>13338</v>
      </c>
      <c r="U222" t="s">
        <v>13338</v>
      </c>
      <c r="V222" t="s">
        <v>13338</v>
      </c>
      <c r="W222" t="s">
        <v>13557</v>
      </c>
      <c r="X222">
        <v>5</v>
      </c>
      <c r="Y222" t="s">
        <v>20161</v>
      </c>
      <c r="Z222" t="s">
        <v>26637</v>
      </c>
      <c r="AA222">
        <v>0.49794049996080958</v>
      </c>
      <c r="AB222" t="str">
        <f>HYPERLINK("Melting_Curves/meltCurve_B7Z4W5_CCBL1.pdf", "Melting_Curves/meltCurve_B7Z4W5_CCBL1.pdf")</f>
        <v>Melting_Curves/meltCurve_B7Z4W5_CCBL1.pdf</v>
      </c>
    </row>
    <row r="223" spans="1:28" x14ac:dyDescent="0.25">
      <c r="A223" t="s">
        <v>227</v>
      </c>
      <c r="B223">
        <v>0.99193492352474899</v>
      </c>
      <c r="C223">
        <v>0.76104195169801503</v>
      </c>
      <c r="D223">
        <v>0.84756039885069101</v>
      </c>
      <c r="E223">
        <v>0.67944324889360297</v>
      </c>
      <c r="F223">
        <v>0.63556961183597804</v>
      </c>
      <c r="G223">
        <v>0.45814841829554898</v>
      </c>
      <c r="H223">
        <v>0.46385643053651399</v>
      </c>
      <c r="I223">
        <v>0.59135860570696097</v>
      </c>
      <c r="J223">
        <v>0.73274922411326504</v>
      </c>
      <c r="K223">
        <v>1.0196407888364201</v>
      </c>
      <c r="L223">
        <v>836.563890207246</v>
      </c>
      <c r="M223">
        <v>19.232179207015498</v>
      </c>
      <c r="O223">
        <v>43.0360330184471</v>
      </c>
      <c r="P223">
        <v>-3.8571889244912103E-2</v>
      </c>
      <c r="Q223">
        <v>0.65476236555863798</v>
      </c>
      <c r="R223">
        <v>0.291404955560221</v>
      </c>
      <c r="S223" t="s">
        <v>6893</v>
      </c>
      <c r="T223" t="s">
        <v>13338</v>
      </c>
      <c r="U223" t="s">
        <v>13338</v>
      </c>
      <c r="V223" t="s">
        <v>13338</v>
      </c>
      <c r="W223" t="s">
        <v>13558</v>
      </c>
      <c r="X223">
        <v>8</v>
      </c>
      <c r="Y223" t="s">
        <v>20162</v>
      </c>
      <c r="Z223" t="s">
        <v>26638</v>
      </c>
      <c r="AA223">
        <v>0.70302349649614093</v>
      </c>
      <c r="AB223" t="str">
        <f>HYPERLINK("Melting_Curves/meltCurve_B7Z5G4_STMN3.pdf", "Melting_Curves/meltCurve_B7Z5G4_STMN3.pdf")</f>
        <v>Melting_Curves/meltCurve_B7Z5G4_STMN3.pdf</v>
      </c>
    </row>
    <row r="224" spans="1:28" x14ac:dyDescent="0.25">
      <c r="A224" t="s">
        <v>228</v>
      </c>
      <c r="B224">
        <v>0.99193492352474899</v>
      </c>
      <c r="C224">
        <v>1.10352135110577</v>
      </c>
      <c r="D224">
        <v>0.94822212602848499</v>
      </c>
      <c r="E224">
        <v>0.90322061126637398</v>
      </c>
      <c r="F224">
        <v>0.70336654232232299</v>
      </c>
      <c r="G224">
        <v>0.69900747171403299</v>
      </c>
      <c r="H224">
        <v>0.540980609544647</v>
      </c>
      <c r="I224">
        <v>0.54404338662511997</v>
      </c>
      <c r="J224">
        <v>0.40986988378594902</v>
      </c>
      <c r="K224">
        <v>0.35248076955537</v>
      </c>
      <c r="L224">
        <v>576.03788521191495</v>
      </c>
      <c r="M224">
        <v>9.9370589307992407</v>
      </c>
      <c r="N224">
        <v>62.9227205739708</v>
      </c>
      <c r="O224">
        <v>55.7675886959981</v>
      </c>
      <c r="P224">
        <v>-3.2475619487752898E-2</v>
      </c>
      <c r="Q224">
        <v>0.27133973845847098</v>
      </c>
      <c r="R224">
        <v>0.95083427494394501</v>
      </c>
      <c r="S224" t="s">
        <v>6894</v>
      </c>
      <c r="T224" t="s">
        <v>13338</v>
      </c>
      <c r="U224" t="s">
        <v>13338</v>
      </c>
      <c r="V224" t="s">
        <v>13338</v>
      </c>
      <c r="W224" t="s">
        <v>13559</v>
      </c>
      <c r="X224">
        <v>5</v>
      </c>
      <c r="Y224" t="s">
        <v>20163</v>
      </c>
      <c r="Z224" t="s">
        <v>26639</v>
      </c>
      <c r="AA224">
        <v>0.71504260035100387</v>
      </c>
      <c r="AB224" t="str">
        <f>HYPERLINK("Melting_Curves/meltCurve_B7Z5W1_F11R.pdf", "Melting_Curves/meltCurve_B7Z5W1_F11R.pdf")</f>
        <v>Melting_Curves/meltCurve_B7Z5W1_F11R.pdf</v>
      </c>
    </row>
    <row r="225" spans="1:28" x14ac:dyDescent="0.25">
      <c r="A225" t="s">
        <v>229</v>
      </c>
      <c r="B225">
        <v>0.99193492352474899</v>
      </c>
      <c r="C225">
        <v>0.83916201192695505</v>
      </c>
      <c r="D225">
        <v>0.88127159346079798</v>
      </c>
      <c r="E225">
        <v>0.77552336189634496</v>
      </c>
      <c r="F225">
        <v>0.67951130794778203</v>
      </c>
      <c r="G225">
        <v>0.39261738375644401</v>
      </c>
      <c r="H225">
        <v>0.160278518315251</v>
      </c>
      <c r="I225">
        <v>0.109355247980921</v>
      </c>
      <c r="J225">
        <v>0.115671700282672</v>
      </c>
      <c r="K225">
        <v>9.9409939664715202E-2</v>
      </c>
      <c r="L225">
        <v>673.66673229252001</v>
      </c>
      <c r="M225">
        <v>12.2916187147119</v>
      </c>
      <c r="N225">
        <v>54.806998794580998</v>
      </c>
      <c r="O225">
        <v>53.416910042540103</v>
      </c>
      <c r="P225">
        <v>-5.7539455851351999E-2</v>
      </c>
      <c r="Q225">
        <v>0</v>
      </c>
      <c r="R225">
        <v>0.97232431338037595</v>
      </c>
      <c r="S225" t="s">
        <v>6895</v>
      </c>
      <c r="T225" t="s">
        <v>13338</v>
      </c>
      <c r="U225" t="s">
        <v>13338</v>
      </c>
      <c r="V225" t="s">
        <v>13338</v>
      </c>
      <c r="W225" t="s">
        <v>13560</v>
      </c>
      <c r="X225">
        <v>17</v>
      </c>
      <c r="Y225" t="s">
        <v>20164</v>
      </c>
      <c r="Z225" t="s">
        <v>26640</v>
      </c>
      <c r="AA225">
        <v>0.51712801695434785</v>
      </c>
      <c r="AB225" t="str">
        <f>HYPERLINK("Melting_Curves/meltCurve_B7Z6B8_DECR1.pdf", "Melting_Curves/meltCurve_B7Z6B8_DECR1.pdf")</f>
        <v>Melting_Curves/meltCurve_B7Z6B8_DECR1.pdf</v>
      </c>
    </row>
    <row r="226" spans="1:28" x14ac:dyDescent="0.25">
      <c r="A226" t="s">
        <v>230</v>
      </c>
      <c r="B226">
        <v>0.99193492352474899</v>
      </c>
      <c r="C226">
        <v>1.17380880473682</v>
      </c>
      <c r="D226">
        <v>1.32801627968599</v>
      </c>
      <c r="E226">
        <v>0.98099074876704395</v>
      </c>
      <c r="F226">
        <v>0.92242246423275098</v>
      </c>
      <c r="G226">
        <v>0.60694450401656497</v>
      </c>
      <c r="H226">
        <v>0.34331373647003899</v>
      </c>
      <c r="I226">
        <v>0.28250133966591201</v>
      </c>
      <c r="J226">
        <v>0.19375634959339899</v>
      </c>
      <c r="K226">
        <v>8.1558564869539898E-2</v>
      </c>
      <c r="L226">
        <v>1301.0130377565299</v>
      </c>
      <c r="M226">
        <v>22.528540195539701</v>
      </c>
      <c r="N226">
        <v>58.557001157339798</v>
      </c>
      <c r="O226">
        <v>57.300300916432903</v>
      </c>
      <c r="P226">
        <v>-8.5169888370753899E-2</v>
      </c>
      <c r="Q226">
        <v>0.133514903007455</v>
      </c>
      <c r="R226">
        <v>0.914810714208522</v>
      </c>
      <c r="S226" t="s">
        <v>6896</v>
      </c>
      <c r="T226" t="s">
        <v>13338</v>
      </c>
      <c r="U226" t="s">
        <v>13338</v>
      </c>
      <c r="V226" t="s">
        <v>13338</v>
      </c>
      <c r="W226" t="s">
        <v>13561</v>
      </c>
      <c r="X226">
        <v>4</v>
      </c>
      <c r="Y226" t="s">
        <v>20165</v>
      </c>
      <c r="Z226" t="s">
        <v>26641</v>
      </c>
      <c r="AA226">
        <v>0.6549370821490037</v>
      </c>
      <c r="AB226" t="str">
        <f>HYPERLINK("Melting_Curves/meltCurve_B7Z6M4_TNFAIP1.pdf", "Melting_Curves/meltCurve_B7Z6M4_TNFAIP1.pdf")</f>
        <v>Melting_Curves/meltCurve_B7Z6M4_TNFAIP1.pdf</v>
      </c>
    </row>
    <row r="227" spans="1:28" x14ac:dyDescent="0.25">
      <c r="A227" t="s">
        <v>231</v>
      </c>
      <c r="B227">
        <v>0.99193492352474899</v>
      </c>
      <c r="C227">
        <v>0.94268300756632595</v>
      </c>
      <c r="D227">
        <v>1.0588264592627801</v>
      </c>
      <c r="E227">
        <v>0.766489156054462</v>
      </c>
      <c r="F227">
        <v>0.88705140448603903</v>
      </c>
      <c r="G227">
        <v>0.49279159176512699</v>
      </c>
      <c r="H227">
        <v>0.44671143622052401</v>
      </c>
      <c r="I227">
        <v>0.436209682805419</v>
      </c>
      <c r="J227">
        <v>0.71099003365523505</v>
      </c>
      <c r="K227">
        <v>0.69730065495601601</v>
      </c>
      <c r="L227">
        <v>1249.4020766717899</v>
      </c>
      <c r="M227">
        <v>23.987365112673899</v>
      </c>
      <c r="O227">
        <v>51.727892306530698</v>
      </c>
      <c r="P227">
        <v>-5.0987573243609703E-2</v>
      </c>
      <c r="Q227">
        <v>0.560195478383405</v>
      </c>
      <c r="R227">
        <v>0.70207636196450096</v>
      </c>
      <c r="S227" t="s">
        <v>6897</v>
      </c>
      <c r="T227" t="s">
        <v>13338</v>
      </c>
      <c r="U227" t="s">
        <v>13338</v>
      </c>
      <c r="V227" t="s">
        <v>13338</v>
      </c>
      <c r="W227" t="s">
        <v>13562</v>
      </c>
      <c r="X227">
        <v>1</v>
      </c>
      <c r="Y227" t="s">
        <v>20166</v>
      </c>
      <c r="Z227" t="s">
        <v>26642</v>
      </c>
      <c r="AA227">
        <v>0.74172448197066343</v>
      </c>
      <c r="AB227" t="str">
        <f>HYPERLINK("Melting_Curves/meltCurve_B7Z779_TMEM106A.pdf", "Melting_Curves/meltCurve_B7Z779_TMEM106A.pdf")</f>
        <v>Melting_Curves/meltCurve_B7Z779_TMEM106A.pdf</v>
      </c>
    </row>
    <row r="228" spans="1:28" x14ac:dyDescent="0.25">
      <c r="A228" t="s">
        <v>232</v>
      </c>
      <c r="B228">
        <v>0.99193492352474899</v>
      </c>
      <c r="C228">
        <v>0.818419623076311</v>
      </c>
      <c r="D228">
        <v>0.68760997376327604</v>
      </c>
      <c r="E228">
        <v>0.33937404034635898</v>
      </c>
      <c r="F228">
        <v>0.21112466428496299</v>
      </c>
      <c r="G228">
        <v>0.12412637291656201</v>
      </c>
      <c r="H228">
        <v>7.4685738265816801E-2</v>
      </c>
      <c r="I228">
        <v>8.5021020756412394E-2</v>
      </c>
      <c r="J228">
        <v>9.7046169799348506E-2</v>
      </c>
      <c r="K228">
        <v>0.102104459812392</v>
      </c>
      <c r="L228">
        <v>825.02004256833004</v>
      </c>
      <c r="M228">
        <v>17.450085286396899</v>
      </c>
      <c r="N228">
        <v>47.763224541855998</v>
      </c>
      <c r="O228">
        <v>46.671053473609199</v>
      </c>
      <c r="P228">
        <v>-8.58984101244505E-2</v>
      </c>
      <c r="Q228">
        <v>8.1094155169868301E-2</v>
      </c>
      <c r="R228">
        <v>0.99399271625156904</v>
      </c>
      <c r="S228" t="s">
        <v>6898</v>
      </c>
      <c r="T228" t="s">
        <v>13338</v>
      </c>
      <c r="U228" t="s">
        <v>13338</v>
      </c>
      <c r="V228" t="s">
        <v>13338</v>
      </c>
      <c r="W228" t="s">
        <v>13563</v>
      </c>
      <c r="X228">
        <v>1</v>
      </c>
      <c r="Y228" t="s">
        <v>20167</v>
      </c>
      <c r="Z228" t="s">
        <v>26643</v>
      </c>
      <c r="AA228">
        <v>0.32193627380950568</v>
      </c>
      <c r="AB228" t="str">
        <f>HYPERLINK("Melting_Curves/meltCurve_B7Z7G5_TRUB2.pdf", "Melting_Curves/meltCurve_B7Z7G5_TRUB2.pdf")</f>
        <v>Melting_Curves/meltCurve_B7Z7G5_TRUB2.pdf</v>
      </c>
    </row>
    <row r="229" spans="1:28" x14ac:dyDescent="0.25">
      <c r="A229" t="s">
        <v>233</v>
      </c>
      <c r="B229">
        <v>0.99193492352474899</v>
      </c>
      <c r="C229">
        <v>0.79802398982423295</v>
      </c>
      <c r="D229">
        <v>0.76680391498056799</v>
      </c>
      <c r="E229">
        <v>0.59481448760197397</v>
      </c>
      <c r="F229">
        <v>0.375355244947919</v>
      </c>
      <c r="G229">
        <v>0.19195572703906899</v>
      </c>
      <c r="H229">
        <v>0.14961346504346601</v>
      </c>
      <c r="I229">
        <v>0.213929788233677</v>
      </c>
      <c r="J229">
        <v>0.28606271058267202</v>
      </c>
      <c r="K229">
        <v>0.32142930393220098</v>
      </c>
      <c r="L229">
        <v>739.83704975525598</v>
      </c>
      <c r="M229">
        <v>15.325247712999101</v>
      </c>
      <c r="N229">
        <v>50.114158077795402</v>
      </c>
      <c r="O229">
        <v>47.476107453613501</v>
      </c>
      <c r="P229">
        <v>-6.3353054452977495E-2</v>
      </c>
      <c r="Q229">
        <v>0.215026826873081</v>
      </c>
      <c r="R229">
        <v>0.939466763804229</v>
      </c>
      <c r="S229" t="s">
        <v>6899</v>
      </c>
      <c r="T229" t="s">
        <v>13338</v>
      </c>
      <c r="U229" t="s">
        <v>13338</v>
      </c>
      <c r="V229" t="s">
        <v>13338</v>
      </c>
      <c r="W229" t="s">
        <v>13564</v>
      </c>
      <c r="X229">
        <v>2</v>
      </c>
      <c r="Y229" t="s">
        <v>20168</v>
      </c>
      <c r="Z229" t="s">
        <v>26644</v>
      </c>
      <c r="AA229">
        <v>0.45069312710496567</v>
      </c>
      <c r="AB229" t="str">
        <f>HYPERLINK("Melting_Curves/meltCurve_B7Z7H3_ZKSCAN4.pdf", "Melting_Curves/meltCurve_B7Z7H3_ZKSCAN4.pdf")</f>
        <v>Melting_Curves/meltCurve_B7Z7H3_ZKSCAN4.pdf</v>
      </c>
    </row>
    <row r="230" spans="1:28" x14ac:dyDescent="0.25">
      <c r="A230" t="s">
        <v>234</v>
      </c>
      <c r="B230">
        <v>0.99193492352474899</v>
      </c>
      <c r="C230">
        <v>1.09543559478844</v>
      </c>
      <c r="D230">
        <v>0.99521686517989705</v>
      </c>
      <c r="E230">
        <v>0.55490569355714903</v>
      </c>
      <c r="F230">
        <v>0.16083821830626199</v>
      </c>
      <c r="G230">
        <v>9.0306337649581403E-2</v>
      </c>
      <c r="H230">
        <v>5.7513405428557499E-2</v>
      </c>
      <c r="I230">
        <v>9.2142783796056102E-2</v>
      </c>
      <c r="J230">
        <v>7.3516534171703798E-2</v>
      </c>
      <c r="K230">
        <v>8.6243035190565906E-2</v>
      </c>
      <c r="L230">
        <v>2068.2356094102001</v>
      </c>
      <c r="M230">
        <v>41.598980939533703</v>
      </c>
      <c r="N230">
        <v>49.934228703225699</v>
      </c>
      <c r="O230">
        <v>49.603952145827598</v>
      </c>
      <c r="P230">
        <v>-0.19240658100638999</v>
      </c>
      <c r="Q230">
        <v>8.2274929029842805E-2</v>
      </c>
      <c r="R230">
        <v>0.99354573094964804</v>
      </c>
      <c r="S230" t="s">
        <v>6900</v>
      </c>
      <c r="T230" t="s">
        <v>13338</v>
      </c>
      <c r="U230" t="s">
        <v>13338</v>
      </c>
      <c r="V230" t="s">
        <v>13338</v>
      </c>
      <c r="W230" t="s">
        <v>13565</v>
      </c>
      <c r="X230">
        <v>9</v>
      </c>
      <c r="Y230" t="s">
        <v>20169</v>
      </c>
      <c r="Z230" t="s">
        <v>26645</v>
      </c>
      <c r="AA230">
        <v>0.38248500610207969</v>
      </c>
      <c r="AB230" t="str">
        <f>HYPERLINK("Melting_Curves/meltCurve_B7Z7X8_ATL2.pdf", "Melting_Curves/meltCurve_B7Z7X8_ATL2.pdf")</f>
        <v>Melting_Curves/meltCurve_B7Z7X8_ATL2.pdf</v>
      </c>
    </row>
    <row r="231" spans="1:28" x14ac:dyDescent="0.25">
      <c r="A231" t="s">
        <v>235</v>
      </c>
      <c r="B231">
        <v>0.99193492352474899</v>
      </c>
      <c r="C231">
        <v>0.807443543966331</v>
      </c>
      <c r="D231">
        <v>0.75376774360691201</v>
      </c>
      <c r="E231">
        <v>0.29009337638960903</v>
      </c>
      <c r="F231">
        <v>0.169970855938361</v>
      </c>
      <c r="G231">
        <v>0.10452605438610101</v>
      </c>
      <c r="H231">
        <v>6.6343580060451296E-2</v>
      </c>
      <c r="I231">
        <v>8.1081481317757706E-2</v>
      </c>
      <c r="J231">
        <v>8.9591154312252702E-2</v>
      </c>
      <c r="K231">
        <v>8.5762771288902001E-2</v>
      </c>
      <c r="L231">
        <v>981.42833540692698</v>
      </c>
      <c r="M231">
        <v>20.714979109612099</v>
      </c>
      <c r="N231">
        <v>47.750292783560397</v>
      </c>
      <c r="O231">
        <v>46.9428171619114</v>
      </c>
      <c r="P231">
        <v>-0.10209095384783699</v>
      </c>
      <c r="Q231">
        <v>7.4621086131195599E-2</v>
      </c>
      <c r="R231">
        <v>0.98429860210281805</v>
      </c>
      <c r="S231" t="s">
        <v>6901</v>
      </c>
      <c r="T231" t="s">
        <v>13338</v>
      </c>
      <c r="U231" t="s">
        <v>13338</v>
      </c>
      <c r="V231" t="s">
        <v>13338</v>
      </c>
      <c r="W231" t="s">
        <v>13566</v>
      </c>
      <c r="X231">
        <v>30</v>
      </c>
      <c r="Y231" t="s">
        <v>20170</v>
      </c>
      <c r="Z231" t="s">
        <v>26646</v>
      </c>
      <c r="AA231">
        <v>0.31457342134432159</v>
      </c>
      <c r="AB231" t="str">
        <f>HYPERLINK("Melting_Curves/meltCurve_B7Z815_USP7.pdf", "Melting_Curves/meltCurve_B7Z815_USP7.pdf")</f>
        <v>Melting_Curves/meltCurve_B7Z815_USP7.pdf</v>
      </c>
    </row>
    <row r="232" spans="1:28" x14ac:dyDescent="0.25">
      <c r="A232" t="s">
        <v>236</v>
      </c>
      <c r="B232">
        <v>0.99193492352474899</v>
      </c>
      <c r="C232">
        <v>0.80520311785589005</v>
      </c>
      <c r="D232">
        <v>0.92867388439267695</v>
      </c>
      <c r="E232">
        <v>0.47468390345033101</v>
      </c>
      <c r="F232">
        <v>0.18265364328508099</v>
      </c>
      <c r="G232">
        <v>9.6835639265903495E-2</v>
      </c>
      <c r="H232">
        <v>6.1656409469289401E-2</v>
      </c>
      <c r="I232">
        <v>7.4056466322291598E-2</v>
      </c>
      <c r="J232">
        <v>9.2553329885493293E-2</v>
      </c>
      <c r="K232">
        <v>0.113132356465317</v>
      </c>
      <c r="L232">
        <v>1348.8106071836601</v>
      </c>
      <c r="M232">
        <v>27.441663252149901</v>
      </c>
      <c r="N232">
        <v>49.4724217205804</v>
      </c>
      <c r="O232">
        <v>48.893139060164302</v>
      </c>
      <c r="P232">
        <v>-0.12888947391777</v>
      </c>
      <c r="Q232">
        <v>8.1433030884454999E-2</v>
      </c>
      <c r="R232">
        <v>0.97280157852179705</v>
      </c>
      <c r="S232" t="s">
        <v>6902</v>
      </c>
      <c r="T232" t="s">
        <v>13338</v>
      </c>
      <c r="U232" t="s">
        <v>13338</v>
      </c>
      <c r="V232" t="s">
        <v>13338</v>
      </c>
      <c r="W232" t="s">
        <v>13567</v>
      </c>
      <c r="X232">
        <v>8</v>
      </c>
      <c r="Y232" t="s">
        <v>20171</v>
      </c>
      <c r="Z232" t="s">
        <v>26647</v>
      </c>
      <c r="AA232">
        <v>0.36838494982860298</v>
      </c>
      <c r="AB232" t="str">
        <f>HYPERLINK("Melting_Curves/meltCurve_B7Z817_DHCR24.pdf", "Melting_Curves/meltCurve_B7Z817_DHCR24.pdf")</f>
        <v>Melting_Curves/meltCurve_B7Z817_DHCR24.pdf</v>
      </c>
    </row>
    <row r="233" spans="1:28" x14ac:dyDescent="0.25">
      <c r="A233" t="s">
        <v>237</v>
      </c>
      <c r="B233">
        <v>0.99193492352474899</v>
      </c>
      <c r="C233">
        <v>0.91231576168390005</v>
      </c>
      <c r="D233">
        <v>0.94241637691935798</v>
      </c>
      <c r="E233">
        <v>0.77696985567367505</v>
      </c>
      <c r="F233">
        <v>0.66952629366204996</v>
      </c>
      <c r="G233">
        <v>0.58334247148700702</v>
      </c>
      <c r="H233">
        <v>0.472625592943343</v>
      </c>
      <c r="I233">
        <v>0.55564917972218897</v>
      </c>
      <c r="J233">
        <v>0.690968926642203</v>
      </c>
      <c r="K233">
        <v>0.83662806308168602</v>
      </c>
      <c r="L233">
        <v>1303.4911254736601</v>
      </c>
      <c r="M233">
        <v>26.792127804110301</v>
      </c>
      <c r="O233">
        <v>48.383422134608303</v>
      </c>
      <c r="P233">
        <v>-5.1443042624258403E-2</v>
      </c>
      <c r="Q233">
        <v>0.62840369868032997</v>
      </c>
      <c r="R233">
        <v>0.69348689992219803</v>
      </c>
      <c r="S233" t="s">
        <v>6903</v>
      </c>
      <c r="T233" t="s">
        <v>13338</v>
      </c>
      <c r="U233" t="s">
        <v>13338</v>
      </c>
      <c r="V233" t="s">
        <v>13338</v>
      </c>
      <c r="W233" t="s">
        <v>13568</v>
      </c>
      <c r="X233">
        <v>8</v>
      </c>
      <c r="Y233" t="s">
        <v>20172</v>
      </c>
      <c r="Z233" t="s">
        <v>26648</v>
      </c>
      <c r="AA233">
        <v>0.73841865316401467</v>
      </c>
      <c r="AB233" t="str">
        <f>HYPERLINK("Melting_Curves/meltCurve_B7Z902_EMB.pdf", "Melting_Curves/meltCurve_B7Z902_EMB.pdf")</f>
        <v>Melting_Curves/meltCurve_B7Z902_EMB.pdf</v>
      </c>
    </row>
    <row r="234" spans="1:28" x14ac:dyDescent="0.25">
      <c r="A234" t="s">
        <v>238</v>
      </c>
      <c r="B234">
        <v>0.99193492352474899</v>
      </c>
      <c r="C234">
        <v>0.952633043087878</v>
      </c>
      <c r="D234">
        <v>0.97013882183141098</v>
      </c>
      <c r="E234">
        <v>0.73070084535843205</v>
      </c>
      <c r="F234">
        <v>0.48959635497272702</v>
      </c>
      <c r="G234">
        <v>0.18662085920912599</v>
      </c>
      <c r="H234">
        <v>9.6764284099778705E-2</v>
      </c>
      <c r="I234">
        <v>0.106386218113053</v>
      </c>
      <c r="J234">
        <v>0.13576100369088201</v>
      </c>
      <c r="K234">
        <v>0.124406779396829</v>
      </c>
      <c r="L234">
        <v>1128.44721006435</v>
      </c>
      <c r="M234">
        <v>21.704484606115901</v>
      </c>
      <c r="N234">
        <v>52.5220400979007</v>
      </c>
      <c r="O234">
        <v>51.556115231162103</v>
      </c>
      <c r="P234">
        <v>-9.4888058176855902E-2</v>
      </c>
      <c r="Q234">
        <v>9.8445381431718507E-2</v>
      </c>
      <c r="R234">
        <v>0.99297545411662302</v>
      </c>
      <c r="S234" t="s">
        <v>6904</v>
      </c>
      <c r="T234" t="s">
        <v>13338</v>
      </c>
      <c r="U234" t="s">
        <v>13338</v>
      </c>
      <c r="V234" t="s">
        <v>13338</v>
      </c>
      <c r="W234" t="s">
        <v>13569</v>
      </c>
      <c r="X234">
        <v>8</v>
      </c>
      <c r="Y234" t="s">
        <v>20173</v>
      </c>
      <c r="Z234" t="s">
        <v>26649</v>
      </c>
      <c r="AA234">
        <v>0.46955925220166622</v>
      </c>
      <c r="AB234" t="str">
        <f>HYPERLINK("Melting_Curves/meltCurve_B7Z9I3_ATP6AP2.pdf", "Melting_Curves/meltCurve_B7Z9I3_ATP6AP2.pdf")</f>
        <v>Melting_Curves/meltCurve_B7Z9I3_ATP6AP2.pdf</v>
      </c>
    </row>
    <row r="235" spans="1:28" x14ac:dyDescent="0.25">
      <c r="A235" t="s">
        <v>239</v>
      </c>
      <c r="B235">
        <v>0.99193492352474899</v>
      </c>
      <c r="C235">
        <v>0.88877970989215904</v>
      </c>
      <c r="D235">
        <v>0.95018436169765497</v>
      </c>
      <c r="E235">
        <v>0.76453758771801295</v>
      </c>
      <c r="F235">
        <v>0.736460369602707</v>
      </c>
      <c r="G235">
        <v>0.50505973919385805</v>
      </c>
      <c r="H235">
        <v>0.310104355478104</v>
      </c>
      <c r="I235">
        <v>0.32355910279454297</v>
      </c>
      <c r="J235">
        <v>0.39796841288051699</v>
      </c>
      <c r="K235">
        <v>0.38640188778363099</v>
      </c>
      <c r="L235">
        <v>775.382151256263</v>
      </c>
      <c r="M235">
        <v>14.6374434761566</v>
      </c>
      <c r="N235">
        <v>56.906728555114697</v>
      </c>
      <c r="O235">
        <v>52.013258831422597</v>
      </c>
      <c r="P235">
        <v>-4.7969743989611797E-2</v>
      </c>
      <c r="Q235">
        <v>0.318245614968793</v>
      </c>
      <c r="R235">
        <v>0.94597533540384904</v>
      </c>
      <c r="S235" t="s">
        <v>6905</v>
      </c>
      <c r="T235" t="s">
        <v>13338</v>
      </c>
      <c r="U235" t="s">
        <v>13338</v>
      </c>
      <c r="V235" t="s">
        <v>13338</v>
      </c>
      <c r="W235" t="s">
        <v>13570</v>
      </c>
      <c r="X235">
        <v>7</v>
      </c>
      <c r="Y235" t="s">
        <v>20174</v>
      </c>
      <c r="Z235" t="s">
        <v>26650</v>
      </c>
      <c r="AA235">
        <v>0.6282400549450422</v>
      </c>
      <c r="AB235" t="str">
        <f>HYPERLINK("Melting_Curves/meltCurve_B7Z9S8_ATP1B1.pdf", "Melting_Curves/meltCurve_B7Z9S8_ATP1B1.pdf")</f>
        <v>Melting_Curves/meltCurve_B7Z9S8_ATP1B1.pdf</v>
      </c>
    </row>
    <row r="236" spans="1:28" x14ac:dyDescent="0.25">
      <c r="A236" t="s">
        <v>240</v>
      </c>
      <c r="B236">
        <v>0.99193492352474899</v>
      </c>
      <c r="C236">
        <v>0.84334285990116498</v>
      </c>
      <c r="D236">
        <v>0.41207357763371699</v>
      </c>
      <c r="E236">
        <v>6.68819160828171E-2</v>
      </c>
      <c r="F236">
        <v>7.2785600494454095E-2</v>
      </c>
      <c r="G236">
        <v>4.3812285532472801E-2</v>
      </c>
      <c r="H236">
        <v>0</v>
      </c>
      <c r="I236">
        <v>0</v>
      </c>
      <c r="J236">
        <v>0</v>
      </c>
      <c r="K236">
        <v>0</v>
      </c>
      <c r="L236">
        <v>1341.7883941016501</v>
      </c>
      <c r="M236">
        <v>29.578507111204399</v>
      </c>
      <c r="N236">
        <v>45.4071425873801</v>
      </c>
      <c r="O236">
        <v>45.157793125624103</v>
      </c>
      <c r="P236">
        <v>-0.16146475818072301</v>
      </c>
      <c r="Q236">
        <v>1.3967592363488201E-2</v>
      </c>
      <c r="R236">
        <v>0.99669995694598701</v>
      </c>
      <c r="S236" t="s">
        <v>6906</v>
      </c>
      <c r="T236" t="s">
        <v>13338</v>
      </c>
      <c r="U236" t="s">
        <v>13338</v>
      </c>
      <c r="V236" t="s">
        <v>13338</v>
      </c>
      <c r="W236" t="s">
        <v>13571</v>
      </c>
      <c r="X236">
        <v>2</v>
      </c>
      <c r="Y236" t="s">
        <v>20175</v>
      </c>
      <c r="Z236" t="s">
        <v>26651</v>
      </c>
      <c r="AA236">
        <v>0.19664752828394741</v>
      </c>
      <c r="AB236" t="str">
        <f>HYPERLINK("Melting_Curves/meltCurve_B7ZAA0_PMS1.pdf", "Melting_Curves/meltCurve_B7ZAA0_PMS1.pdf")</f>
        <v>Melting_Curves/meltCurve_B7ZAA0_PMS1.pdf</v>
      </c>
    </row>
    <row r="237" spans="1:28" x14ac:dyDescent="0.25">
      <c r="A237" t="s">
        <v>241</v>
      </c>
      <c r="B237">
        <v>0.99193492352474899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10192.4845627659</v>
      </c>
      <c r="M237">
        <v>250</v>
      </c>
      <c r="N237">
        <v>40.7699514368731</v>
      </c>
      <c r="O237">
        <v>40.767329674844298</v>
      </c>
      <c r="P237">
        <v>-1.5330903748164999</v>
      </c>
      <c r="Q237">
        <v>0</v>
      </c>
      <c r="R237">
        <v>0.99999999998133404</v>
      </c>
      <c r="S237" t="s">
        <v>6907</v>
      </c>
      <c r="T237" t="s">
        <v>13338</v>
      </c>
      <c r="U237" t="s">
        <v>13338</v>
      </c>
      <c r="V237" t="s">
        <v>13338</v>
      </c>
      <c r="W237" t="s">
        <v>13572</v>
      </c>
      <c r="X237">
        <v>1</v>
      </c>
      <c r="Y237" t="s">
        <v>20176</v>
      </c>
      <c r="Z237" t="s">
        <v>26652</v>
      </c>
      <c r="AA237">
        <v>2.577820212876281E-2</v>
      </c>
      <c r="AB237" t="str">
        <f>HYPERLINK("Melting_Curves/meltCurve_B7ZBM3_FOXP4.pdf", "Melting_Curves/meltCurve_B7ZBM3_FOXP4.pdf")</f>
        <v>Melting_Curves/meltCurve_B7ZBM3_FOXP4.pdf</v>
      </c>
    </row>
    <row r="238" spans="1:28" x14ac:dyDescent="0.25">
      <c r="A238" t="s">
        <v>242</v>
      </c>
      <c r="B238">
        <v>0.99193492352474899</v>
      </c>
      <c r="C238">
        <v>0.89842983000534304</v>
      </c>
      <c r="D238">
        <v>0.68269380789325596</v>
      </c>
      <c r="E238">
        <v>0.30627778177674803</v>
      </c>
      <c r="F238">
        <v>0.140057525967584</v>
      </c>
      <c r="G238">
        <v>8.8065950887199096E-2</v>
      </c>
      <c r="H238">
        <v>5.3115548282140303E-2</v>
      </c>
      <c r="I238">
        <v>6.0868924605490697E-2</v>
      </c>
      <c r="J238">
        <v>6.3890715417906002E-2</v>
      </c>
      <c r="K238">
        <v>7.1838353903074706E-2</v>
      </c>
      <c r="L238">
        <v>1038.55995273655</v>
      </c>
      <c r="M238">
        <v>21.9437413726186</v>
      </c>
      <c r="N238">
        <v>47.607635679100802</v>
      </c>
      <c r="O238">
        <v>46.940505594955397</v>
      </c>
      <c r="P238">
        <v>-0.109813298596305</v>
      </c>
      <c r="Q238">
        <v>6.04017012169661E-2</v>
      </c>
      <c r="R238">
        <v>0.99943706381254505</v>
      </c>
      <c r="S238" t="s">
        <v>6908</v>
      </c>
      <c r="T238" t="s">
        <v>13338</v>
      </c>
      <c r="U238" t="s">
        <v>13338</v>
      </c>
      <c r="V238" t="s">
        <v>13338</v>
      </c>
      <c r="W238" t="s">
        <v>13573</v>
      </c>
      <c r="X238">
        <v>12</v>
      </c>
      <c r="Y238" t="s">
        <v>20177</v>
      </c>
      <c r="Z238" t="s">
        <v>26653</v>
      </c>
      <c r="AA238">
        <v>0.30101986987190021</v>
      </c>
      <c r="AB238" t="str">
        <f>HYPERLINK("Melting_Curves/meltCurve_B7ZC38_SH3GLB2.pdf", "Melting_Curves/meltCurve_B7ZC38_SH3GLB2.pdf")</f>
        <v>Melting_Curves/meltCurve_B7ZC38_SH3GLB2.pdf</v>
      </c>
    </row>
    <row r="239" spans="1:28" x14ac:dyDescent="0.25">
      <c r="A239" t="s">
        <v>243</v>
      </c>
      <c r="B239">
        <v>0.99193492352474899</v>
      </c>
      <c r="C239">
        <v>0.76309695840702196</v>
      </c>
      <c r="D239">
        <v>0.78325839746607195</v>
      </c>
      <c r="E239">
        <v>0.31101969217800002</v>
      </c>
      <c r="F239">
        <v>0.128121728183968</v>
      </c>
      <c r="G239">
        <v>6.4394226325450402E-2</v>
      </c>
      <c r="H239">
        <v>3.3879992815020001E-2</v>
      </c>
      <c r="I239">
        <v>4.2191304585831202E-2</v>
      </c>
      <c r="J239">
        <v>4.3392870624827301E-2</v>
      </c>
      <c r="K239">
        <v>7.0707273916310903E-2</v>
      </c>
      <c r="L239">
        <v>932.04275184171502</v>
      </c>
      <c r="M239">
        <v>19.541059751458299</v>
      </c>
      <c r="N239">
        <v>47.867807089837001</v>
      </c>
      <c r="O239">
        <v>47.205551017462298</v>
      </c>
      <c r="P239">
        <v>-0.100000365027275</v>
      </c>
      <c r="Q239">
        <v>3.3746596272539203E-2</v>
      </c>
      <c r="R239">
        <v>0.97429899000308096</v>
      </c>
      <c r="S239" t="s">
        <v>6909</v>
      </c>
      <c r="T239" t="s">
        <v>13338</v>
      </c>
      <c r="U239" t="s">
        <v>13338</v>
      </c>
      <c r="V239" t="s">
        <v>13338</v>
      </c>
      <c r="W239" t="s">
        <v>13574</v>
      </c>
      <c r="X239">
        <v>10</v>
      </c>
      <c r="Y239" t="s">
        <v>20178</v>
      </c>
      <c r="Z239" t="s">
        <v>26654</v>
      </c>
      <c r="AA239">
        <v>0.2961776612556779</v>
      </c>
      <c r="AB239" t="str">
        <f>HYPERLINK("Melting_Curves/meltCurve_B7ZKK9_PPP2R5E.pdf", "Melting_Curves/meltCurve_B7ZKK9_PPP2R5E.pdf")</f>
        <v>Melting_Curves/meltCurve_B7ZKK9_PPP2R5E.pdf</v>
      </c>
    </row>
    <row r="240" spans="1:28" x14ac:dyDescent="0.25">
      <c r="A240" t="s">
        <v>244</v>
      </c>
      <c r="B240">
        <v>0.99193492352474899</v>
      </c>
      <c r="C240">
        <v>0.84790288801687197</v>
      </c>
      <c r="D240">
        <v>1.0461631567880401</v>
      </c>
      <c r="E240">
        <v>0.70785203214044201</v>
      </c>
      <c r="F240">
        <v>0.50538446027318995</v>
      </c>
      <c r="G240">
        <v>0.44635617558849799</v>
      </c>
      <c r="H240">
        <v>0.346366794325491</v>
      </c>
      <c r="I240">
        <v>0.34162046345372099</v>
      </c>
      <c r="J240">
        <v>0.41013480572988498</v>
      </c>
      <c r="K240">
        <v>0.342082695570949</v>
      </c>
      <c r="L240">
        <v>1289.9610147662399</v>
      </c>
      <c r="M240">
        <v>25.615179050987201</v>
      </c>
      <c r="N240">
        <v>53.116355902155398</v>
      </c>
      <c r="O240">
        <v>50.055325161048302</v>
      </c>
      <c r="P240">
        <v>-8.0892649349825499E-2</v>
      </c>
      <c r="Q240">
        <v>0.36770957107985403</v>
      </c>
      <c r="R240">
        <v>0.94486014477430902</v>
      </c>
      <c r="S240" t="s">
        <v>6910</v>
      </c>
      <c r="T240" t="s">
        <v>13338</v>
      </c>
      <c r="U240" t="s">
        <v>13338</v>
      </c>
      <c r="V240" t="s">
        <v>13338</v>
      </c>
      <c r="W240" t="s">
        <v>13575</v>
      </c>
      <c r="X240">
        <v>4</v>
      </c>
      <c r="Y240" t="s">
        <v>20179</v>
      </c>
      <c r="Z240" t="s">
        <v>26655</v>
      </c>
      <c r="AA240">
        <v>0.59144822073591163</v>
      </c>
      <c r="AB240" t="str">
        <f>HYPERLINK("Melting_Curves/meltCurve_B7ZKQ9_SCARB1.pdf", "Melting_Curves/meltCurve_B7ZKQ9_SCARB1.pdf")</f>
        <v>Melting_Curves/meltCurve_B7ZKQ9_SCARB1.pdf</v>
      </c>
    </row>
    <row r="241" spans="1:28" x14ac:dyDescent="0.25">
      <c r="A241" t="s">
        <v>245</v>
      </c>
      <c r="B241">
        <v>0.99193492352474899</v>
      </c>
      <c r="C241">
        <v>1.00973649396692</v>
      </c>
      <c r="D241">
        <v>0.963757954161232</v>
      </c>
      <c r="E241">
        <v>0.79828733842515898</v>
      </c>
      <c r="F241">
        <v>0.551966754686392</v>
      </c>
      <c r="G241">
        <v>0.30968823540725599</v>
      </c>
      <c r="H241">
        <v>0.139259866705533</v>
      </c>
      <c r="I241">
        <v>0.11050058703497299</v>
      </c>
      <c r="J241">
        <v>0.10834245578250599</v>
      </c>
      <c r="K241">
        <v>8.5368632402106806E-2</v>
      </c>
      <c r="L241">
        <v>985.51051805375403</v>
      </c>
      <c r="M241">
        <v>18.486272684067401</v>
      </c>
      <c r="N241">
        <v>53.776052803545497</v>
      </c>
      <c r="O241">
        <v>52.698321274998698</v>
      </c>
      <c r="P241">
        <v>-8.12159787936476E-2</v>
      </c>
      <c r="Q241">
        <v>7.3960349877277495E-2</v>
      </c>
      <c r="R241">
        <v>0.99889733907162104</v>
      </c>
      <c r="S241" t="s">
        <v>6911</v>
      </c>
      <c r="T241" t="s">
        <v>13338</v>
      </c>
      <c r="U241" t="s">
        <v>13338</v>
      </c>
      <c r="V241" t="s">
        <v>13338</v>
      </c>
      <c r="W241" t="s">
        <v>13576</v>
      </c>
      <c r="X241">
        <v>5</v>
      </c>
      <c r="Y241" t="s">
        <v>20180</v>
      </c>
      <c r="Z241" t="s">
        <v>26656</v>
      </c>
      <c r="AA241">
        <v>0.49927165074453672</v>
      </c>
      <c r="AB241" t="str">
        <f>HYPERLINK("Melting_Curves/meltCurve_B7ZL88_COX18.pdf", "Melting_Curves/meltCurve_B7ZL88_COX18.pdf")</f>
        <v>Melting_Curves/meltCurve_B7ZL88_COX18.pdf</v>
      </c>
    </row>
    <row r="242" spans="1:28" x14ac:dyDescent="0.25">
      <c r="A242" t="s">
        <v>246</v>
      </c>
      <c r="B242">
        <v>0.99193492352474899</v>
      </c>
      <c r="C242">
        <v>1.04032105089204</v>
      </c>
      <c r="D242">
        <v>0.79279419062665502</v>
      </c>
      <c r="E242">
        <v>0.33720110305311801</v>
      </c>
      <c r="F242">
        <v>0.18191575361384599</v>
      </c>
      <c r="G242">
        <v>0.120522893115596</v>
      </c>
      <c r="H242">
        <v>8.3308017237726004E-2</v>
      </c>
      <c r="I242">
        <v>9.4534590635611704E-2</v>
      </c>
      <c r="J242">
        <v>0.10657273918858901</v>
      </c>
      <c r="K242">
        <v>0.106767224116641</v>
      </c>
      <c r="L242">
        <v>1455.4245600878901</v>
      </c>
      <c r="M242">
        <v>30.361301681364498</v>
      </c>
      <c r="N242">
        <v>48.315041244743497</v>
      </c>
      <c r="O242">
        <v>47.730315353784803</v>
      </c>
      <c r="P242">
        <v>-0.142206342618453</v>
      </c>
      <c r="Q242">
        <v>0.105768161984808</v>
      </c>
      <c r="R242">
        <v>0.99549190422600797</v>
      </c>
      <c r="S242" t="s">
        <v>6912</v>
      </c>
      <c r="T242" t="s">
        <v>13338</v>
      </c>
      <c r="U242" t="s">
        <v>13338</v>
      </c>
      <c r="V242" t="s">
        <v>13338</v>
      </c>
      <c r="W242" t="s">
        <v>13577</v>
      </c>
      <c r="X242">
        <v>13</v>
      </c>
      <c r="Y242" t="s">
        <v>20181</v>
      </c>
      <c r="Z242" t="s">
        <v>26657</v>
      </c>
      <c r="AA242">
        <v>0.34759318306377102</v>
      </c>
      <c r="AB242" t="str">
        <f>HYPERLINK("Melting_Curves/meltCurve_B7ZLZ0_GMIP.pdf", "Melting_Curves/meltCurve_B7ZLZ0_GMIP.pdf")</f>
        <v>Melting_Curves/meltCurve_B7ZLZ0_GMIP.pdf</v>
      </c>
    </row>
    <row r="243" spans="1:28" x14ac:dyDescent="0.25">
      <c r="A243" t="s">
        <v>247</v>
      </c>
      <c r="B243">
        <v>0.99193492352474899</v>
      </c>
      <c r="C243">
        <v>0.89186231596550503</v>
      </c>
      <c r="D243">
        <v>0.89354034946290395</v>
      </c>
      <c r="E243">
        <v>0.52926425802782395</v>
      </c>
      <c r="F243">
        <v>0.384721349131812</v>
      </c>
      <c r="G243">
        <v>0.204473053177364</v>
      </c>
      <c r="H243">
        <v>0.14965361032282601</v>
      </c>
      <c r="I243">
        <v>0.217410618919221</v>
      </c>
      <c r="J243">
        <v>0.222258595735812</v>
      </c>
      <c r="K243">
        <v>0.29858577625947902</v>
      </c>
      <c r="L243">
        <v>1083.9575348307701</v>
      </c>
      <c r="M243">
        <v>22.1065810647505</v>
      </c>
      <c r="N243">
        <v>50.310069521952101</v>
      </c>
      <c r="O243">
        <v>48.6373057627085</v>
      </c>
      <c r="P243">
        <v>-8.9236134018702701E-2</v>
      </c>
      <c r="Q243">
        <v>0.21469356803145101</v>
      </c>
      <c r="R243">
        <v>0.97323011172444795</v>
      </c>
      <c r="S243" t="s">
        <v>6913</v>
      </c>
      <c r="T243" t="s">
        <v>13338</v>
      </c>
      <c r="U243" t="s">
        <v>13338</v>
      </c>
      <c r="V243" t="s">
        <v>13338</v>
      </c>
      <c r="W243" t="s">
        <v>13578</v>
      </c>
      <c r="X243">
        <v>7</v>
      </c>
      <c r="Y243" t="s">
        <v>20182</v>
      </c>
      <c r="Z243" t="s">
        <v>26658</v>
      </c>
      <c r="AA243">
        <v>0.46011936588915009</v>
      </c>
      <c r="AB243" t="str">
        <f>HYPERLINK("Melting_Curves/meltCurve_B7ZLZ2_EDEM3.pdf", "Melting_Curves/meltCurve_B7ZLZ2_EDEM3.pdf")</f>
        <v>Melting_Curves/meltCurve_B7ZLZ2_EDEM3.pdf</v>
      </c>
    </row>
    <row r="244" spans="1:28" x14ac:dyDescent="0.25">
      <c r="A244" t="s">
        <v>248</v>
      </c>
      <c r="B244">
        <v>0.99193492352474899</v>
      </c>
      <c r="C244">
        <v>0.78689761984789497</v>
      </c>
      <c r="D244">
        <v>0.90212858627915904</v>
      </c>
      <c r="E244">
        <v>0.36518977698753502</v>
      </c>
      <c r="F244">
        <v>0.214881829466017</v>
      </c>
      <c r="G244">
        <v>0.120284877581424</v>
      </c>
      <c r="H244">
        <v>8.5604749879592101E-2</v>
      </c>
      <c r="I244">
        <v>0.14636142036232899</v>
      </c>
      <c r="J244">
        <v>0.18099954811694199</v>
      </c>
      <c r="K244">
        <v>0.19888621597161399</v>
      </c>
      <c r="L244">
        <v>1571.83105724751</v>
      </c>
      <c r="M244">
        <v>32.620008127067599</v>
      </c>
      <c r="N244">
        <v>48.711106697810997</v>
      </c>
      <c r="O244">
        <v>48.006096212235697</v>
      </c>
      <c r="P244">
        <v>-0.14469777943559101</v>
      </c>
      <c r="Q244">
        <v>0.14821086339685999</v>
      </c>
      <c r="R244">
        <v>0.95332431755211899</v>
      </c>
      <c r="S244" t="s">
        <v>6914</v>
      </c>
      <c r="T244" t="s">
        <v>13338</v>
      </c>
      <c r="U244" t="s">
        <v>13338</v>
      </c>
      <c r="V244" t="s">
        <v>13338</v>
      </c>
      <c r="W244" t="s">
        <v>13579</v>
      </c>
      <c r="X244">
        <v>7</v>
      </c>
      <c r="Y244" t="s">
        <v>20183</v>
      </c>
      <c r="Z244" t="s">
        <v>26659</v>
      </c>
      <c r="AA244">
        <v>0.3849562383814723</v>
      </c>
      <c r="AB244" t="str">
        <f>HYPERLINK("Melting_Curves/meltCurve_B8X2Z3_RLTPR.pdf", "Melting_Curves/meltCurve_B8X2Z3_RLTPR.pdf")</f>
        <v>Melting_Curves/meltCurve_B8X2Z3_RLTPR.pdf</v>
      </c>
    </row>
    <row r="245" spans="1:28" x14ac:dyDescent="0.25">
      <c r="A245" t="s">
        <v>249</v>
      </c>
      <c r="B245">
        <v>0.99193492352474899</v>
      </c>
      <c r="C245">
        <v>0.67974687886146601</v>
      </c>
      <c r="D245">
        <v>0.52603220652239302</v>
      </c>
      <c r="E245">
        <v>0.36976351831600401</v>
      </c>
      <c r="F245">
        <v>0.32980423325230901</v>
      </c>
      <c r="G245">
        <v>0.22394877847882799</v>
      </c>
      <c r="H245">
        <v>0.20173040018735899</v>
      </c>
      <c r="I245">
        <v>0.21651285132916501</v>
      </c>
      <c r="J245">
        <v>0.202796280680059</v>
      </c>
      <c r="K245">
        <v>0.21837316296905901</v>
      </c>
      <c r="L245">
        <v>712.23553651421798</v>
      </c>
      <c r="M245">
        <v>15.871213830355501</v>
      </c>
      <c r="N245">
        <v>46.499173526254502</v>
      </c>
      <c r="O245">
        <v>44.181647476161999</v>
      </c>
      <c r="P245">
        <v>-7.0711346848698398E-2</v>
      </c>
      <c r="Q245">
        <v>0.21269052449146</v>
      </c>
      <c r="R245">
        <v>0.97297728586681298</v>
      </c>
      <c r="S245" t="s">
        <v>6915</v>
      </c>
      <c r="T245" t="s">
        <v>13338</v>
      </c>
      <c r="U245" t="s">
        <v>13338</v>
      </c>
      <c r="V245" t="s">
        <v>13338</v>
      </c>
      <c r="W245" t="s">
        <v>13580</v>
      </c>
      <c r="X245">
        <v>5</v>
      </c>
      <c r="Y245" t="s">
        <v>20184</v>
      </c>
      <c r="Z245" t="s">
        <v>26660</v>
      </c>
      <c r="AA245">
        <v>0.36339300923023338</v>
      </c>
      <c r="AB245" t="str">
        <f>HYPERLINK("Melting_Curves/meltCurve_B8ZZN6_SUMO1.pdf", "Melting_Curves/meltCurve_B8ZZN6_SUMO1.pdf")</f>
        <v>Melting_Curves/meltCurve_B8ZZN6_SUMO1.pdf</v>
      </c>
    </row>
    <row r="246" spans="1:28" x14ac:dyDescent="0.25">
      <c r="A246" t="s">
        <v>250</v>
      </c>
      <c r="B246">
        <v>0.99193492352474899</v>
      </c>
      <c r="C246">
        <v>0.77534610095934298</v>
      </c>
      <c r="D246">
        <v>0.98731020511247003</v>
      </c>
      <c r="E246">
        <v>0.77781281103629396</v>
      </c>
      <c r="F246">
        <v>0.85454838793444399</v>
      </c>
      <c r="G246">
        <v>0.68499483056046995</v>
      </c>
      <c r="H246">
        <v>0.65152660366031101</v>
      </c>
      <c r="I246">
        <v>0.92363623884941304</v>
      </c>
      <c r="J246">
        <v>1.2183910322026199</v>
      </c>
      <c r="K246">
        <v>1.71966093707366</v>
      </c>
      <c r="L246">
        <v>15000</v>
      </c>
      <c r="M246">
        <v>223.29356248731801</v>
      </c>
      <c r="O246">
        <v>67.1707542513616</v>
      </c>
      <c r="P246">
        <v>0.41553345784323398</v>
      </c>
      <c r="Q246">
        <v>1.5</v>
      </c>
      <c r="R246">
        <v>0.55809963172202104</v>
      </c>
      <c r="S246" t="s">
        <v>6916</v>
      </c>
      <c r="T246" t="s">
        <v>13338</v>
      </c>
      <c r="U246" t="s">
        <v>13338</v>
      </c>
      <c r="V246" t="s">
        <v>13338</v>
      </c>
      <c r="W246" t="s">
        <v>13581</v>
      </c>
      <c r="X246">
        <v>10</v>
      </c>
      <c r="Y246" t="s">
        <v>20185</v>
      </c>
      <c r="Z246" t="s">
        <v>26661</v>
      </c>
      <c r="AA246">
        <v>1.0469910833011571</v>
      </c>
      <c r="AB246" t="str">
        <f>HYPERLINK("Melting_Curves/meltCurve_B8ZZQ6_PTMA.pdf", "Melting_Curves/meltCurve_B8ZZQ6_PTMA.pdf")</f>
        <v>Melting_Curves/meltCurve_B8ZZQ6_PTMA.pdf</v>
      </c>
    </row>
    <row r="247" spans="1:28" x14ac:dyDescent="0.25">
      <c r="A247" t="s">
        <v>251</v>
      </c>
      <c r="B247">
        <v>0.99193492352474899</v>
      </c>
      <c r="C247">
        <v>0.98483549101645196</v>
      </c>
      <c r="D247">
        <v>0.90649499447993998</v>
      </c>
      <c r="E247">
        <v>0.72590271214260704</v>
      </c>
      <c r="F247">
        <v>0.47132251961069499</v>
      </c>
      <c r="G247">
        <v>0.33305298628218899</v>
      </c>
      <c r="H247">
        <v>0.269654065729515</v>
      </c>
      <c r="I247">
        <v>0.245930762404799</v>
      </c>
      <c r="J247">
        <v>0.33073668492090402</v>
      </c>
      <c r="K247">
        <v>0.586325001936295</v>
      </c>
      <c r="L247">
        <v>1344.57832462389</v>
      </c>
      <c r="M247">
        <v>26.885007619998898</v>
      </c>
      <c r="N247">
        <v>52.354589655484702</v>
      </c>
      <c r="O247">
        <v>49.737955996841798</v>
      </c>
      <c r="P247">
        <v>-8.7860098026762201E-2</v>
      </c>
      <c r="Q247">
        <v>0.34983277900161602</v>
      </c>
      <c r="R247">
        <v>0.90263054579421198</v>
      </c>
      <c r="S247" t="s">
        <v>6917</v>
      </c>
      <c r="T247" t="s">
        <v>13338</v>
      </c>
      <c r="U247" t="s">
        <v>13338</v>
      </c>
      <c r="V247" t="s">
        <v>13338</v>
      </c>
      <c r="W247" t="s">
        <v>13582</v>
      </c>
      <c r="X247">
        <v>7</v>
      </c>
      <c r="Y247" t="s">
        <v>20186</v>
      </c>
      <c r="Z247" t="s">
        <v>26662</v>
      </c>
      <c r="AA247">
        <v>0.57183954000795412</v>
      </c>
      <c r="AB247" t="str">
        <f>HYPERLINK("Melting_Curves/meltCurve_B8ZZU6_ATF2.pdf", "Melting_Curves/meltCurve_B8ZZU6_ATF2.pdf")</f>
        <v>Melting_Curves/meltCurve_B8ZZU6_ATF2.pdf</v>
      </c>
    </row>
    <row r="248" spans="1:28" x14ac:dyDescent="0.25">
      <c r="A248" t="s">
        <v>252</v>
      </c>
      <c r="B248">
        <v>0.99193492352474899</v>
      </c>
      <c r="C248">
        <v>0.86395545938498397</v>
      </c>
      <c r="D248">
        <v>0.84539126624026695</v>
      </c>
      <c r="E248">
        <v>0.37791555333460503</v>
      </c>
      <c r="F248">
        <v>0.14090557416689001</v>
      </c>
      <c r="G248">
        <v>0.14116161794995</v>
      </c>
      <c r="H248">
        <v>7.5047277703853596E-2</v>
      </c>
      <c r="I248">
        <v>5.3852743581310002E-2</v>
      </c>
      <c r="J248">
        <v>4.8681775457958702E-2</v>
      </c>
      <c r="K248">
        <v>5.8971228796799301E-2</v>
      </c>
      <c r="L248">
        <v>1179.8168321242599</v>
      </c>
      <c r="M248">
        <v>24.377133097941499</v>
      </c>
      <c r="N248">
        <v>48.672403946630602</v>
      </c>
      <c r="O248">
        <v>48.076332716365798</v>
      </c>
      <c r="P248">
        <v>-0.118639819695911</v>
      </c>
      <c r="Q248">
        <v>6.4092946911264104E-2</v>
      </c>
      <c r="R248">
        <v>0.98829399062396694</v>
      </c>
      <c r="S248" t="s">
        <v>6918</v>
      </c>
      <c r="T248" t="s">
        <v>13338</v>
      </c>
      <c r="U248" t="s">
        <v>13338</v>
      </c>
      <c r="V248" t="s">
        <v>13338</v>
      </c>
      <c r="W248" t="s">
        <v>13583</v>
      </c>
      <c r="X248">
        <v>1</v>
      </c>
      <c r="Y248" t="s">
        <v>20187</v>
      </c>
      <c r="Z248" t="s">
        <v>26663</v>
      </c>
      <c r="AA248">
        <v>0.33482166442622852</v>
      </c>
      <c r="AB248" t="str">
        <f>HYPERLINK("Melting_Curves/meltCurve_B8ZZV9_COQ10B.pdf", "Melting_Curves/meltCurve_B8ZZV9_COQ10B.pdf")</f>
        <v>Melting_Curves/meltCurve_B8ZZV9_COQ10B.pdf</v>
      </c>
    </row>
    <row r="249" spans="1:28" x14ac:dyDescent="0.25">
      <c r="A249" t="s">
        <v>253</v>
      </c>
      <c r="B249">
        <v>0.99193492352474899</v>
      </c>
      <c r="C249">
        <v>0.50026903568220904</v>
      </c>
      <c r="D249">
        <v>0.69266108298837403</v>
      </c>
      <c r="E249">
        <v>0.25615220583531401</v>
      </c>
      <c r="F249">
        <v>0.17305672914003001</v>
      </c>
      <c r="G249">
        <v>0.10603837520647499</v>
      </c>
      <c r="H249">
        <v>5.0259708872432897E-2</v>
      </c>
      <c r="I249">
        <v>6.40961522351889E-2</v>
      </c>
      <c r="J249">
        <v>0.124329650988679</v>
      </c>
      <c r="K249">
        <v>8.5656443341719998E-2</v>
      </c>
      <c r="L249">
        <v>597.71098039833601</v>
      </c>
      <c r="M249">
        <v>13.0691549550559</v>
      </c>
      <c r="N249">
        <v>46.152257219235601</v>
      </c>
      <c r="O249">
        <v>44.703448087850099</v>
      </c>
      <c r="P249">
        <v>-6.9022639109281303E-2</v>
      </c>
      <c r="Q249">
        <v>5.5787268414331799E-2</v>
      </c>
      <c r="R249">
        <v>0.88775769276006999</v>
      </c>
      <c r="S249" t="s">
        <v>6919</v>
      </c>
      <c r="T249" t="s">
        <v>13338</v>
      </c>
      <c r="U249" t="s">
        <v>13338</v>
      </c>
      <c r="V249" t="s">
        <v>13338</v>
      </c>
      <c r="W249" t="s">
        <v>13584</v>
      </c>
      <c r="X249">
        <v>1</v>
      </c>
      <c r="Y249" t="s">
        <v>20188</v>
      </c>
      <c r="Z249" t="s">
        <v>26664</v>
      </c>
      <c r="AA249">
        <v>0.27363079820661512</v>
      </c>
      <c r="AB249" t="str">
        <f>HYPERLINK("Melting_Curves/meltCurve_B9A008_IMP4.pdf", "Melting_Curves/meltCurve_B9A008_IMP4.pdf")</f>
        <v>Melting_Curves/meltCurve_B9A008_IMP4.pdf</v>
      </c>
    </row>
    <row r="250" spans="1:28" x14ac:dyDescent="0.25">
      <c r="A250" t="s">
        <v>254</v>
      </c>
      <c r="B250">
        <v>0.99193492352474899</v>
      </c>
      <c r="C250">
        <v>0.53043907936246404</v>
      </c>
      <c r="D250">
        <v>0.92730756962562899</v>
      </c>
      <c r="E250">
        <v>0.55963010767394294</v>
      </c>
      <c r="F250">
        <v>0.17165598430454801</v>
      </c>
      <c r="G250">
        <v>8.5175631648335304E-2</v>
      </c>
      <c r="H250">
        <v>5.8554901126188101E-2</v>
      </c>
      <c r="I250">
        <v>7.0253039230345801E-2</v>
      </c>
      <c r="J250">
        <v>6.7443868013210506E-2</v>
      </c>
      <c r="K250">
        <v>8.11182656381573E-2</v>
      </c>
      <c r="L250">
        <v>646.02417037872499</v>
      </c>
      <c r="M250">
        <v>13.144308510248701</v>
      </c>
      <c r="N250">
        <v>49.223188679051901</v>
      </c>
      <c r="O250">
        <v>48.0527270551204</v>
      </c>
      <c r="P250">
        <v>-6.7721816458141501E-2</v>
      </c>
      <c r="Q250">
        <v>9.8622672224019502E-3</v>
      </c>
      <c r="R250">
        <v>0.84549504953614096</v>
      </c>
      <c r="S250" t="s">
        <v>6920</v>
      </c>
      <c r="T250" t="s">
        <v>13338</v>
      </c>
      <c r="U250" t="s">
        <v>13338</v>
      </c>
      <c r="V250" t="s">
        <v>13338</v>
      </c>
      <c r="W250" t="s">
        <v>13585</v>
      </c>
      <c r="X250">
        <v>22</v>
      </c>
      <c r="Y250" t="s">
        <v>20189</v>
      </c>
      <c r="Z250" t="s">
        <v>26665</v>
      </c>
      <c r="AA250">
        <v>0.34267268153221581</v>
      </c>
      <c r="AB250" t="str">
        <f>HYPERLINK("Melting_Curves/meltCurve_B9A018_USP39.pdf", "Melting_Curves/meltCurve_B9A018_USP39.pdf")</f>
        <v>Melting_Curves/meltCurve_B9A018_USP39.pdf</v>
      </c>
    </row>
    <row r="251" spans="1:28" x14ac:dyDescent="0.25">
      <c r="A251" t="s">
        <v>255</v>
      </c>
      <c r="B251">
        <v>0.99193492352474899</v>
      </c>
      <c r="C251">
        <v>1.0421125124301001</v>
      </c>
      <c r="D251">
        <v>0.85859305092779803</v>
      </c>
      <c r="E251">
        <v>0.881131775370111</v>
      </c>
      <c r="F251">
        <v>0.61233075743640397</v>
      </c>
      <c r="G251">
        <v>0.36185177176847499</v>
      </c>
      <c r="H251">
        <v>0.30050901073616998</v>
      </c>
      <c r="I251">
        <v>0.29795013568631201</v>
      </c>
      <c r="J251">
        <v>0.257230189153903</v>
      </c>
      <c r="K251">
        <v>0.33357319595572699</v>
      </c>
      <c r="L251">
        <v>1218.1455641411601</v>
      </c>
      <c r="M251">
        <v>23.155579817197001</v>
      </c>
      <c r="N251">
        <v>54.558059348468298</v>
      </c>
      <c r="O251">
        <v>52.219353536490203</v>
      </c>
      <c r="P251">
        <v>-7.9646379618661403E-2</v>
      </c>
      <c r="Q251">
        <v>0.28155431647489798</v>
      </c>
      <c r="R251">
        <v>0.97727043883131504</v>
      </c>
      <c r="S251" t="s">
        <v>6921</v>
      </c>
      <c r="T251" t="s">
        <v>13338</v>
      </c>
      <c r="U251" t="s">
        <v>13338</v>
      </c>
      <c r="V251" t="s">
        <v>13338</v>
      </c>
      <c r="W251" t="s">
        <v>13586</v>
      </c>
      <c r="X251">
        <v>2</v>
      </c>
      <c r="Y251" t="s">
        <v>20190</v>
      </c>
      <c r="Z251" t="s">
        <v>26666</v>
      </c>
      <c r="AA251">
        <v>0.5910832810112695</v>
      </c>
      <c r="AB251" t="str">
        <f>HYPERLINK("Melting_Curves/meltCurve_B9A054_RHBDD1.pdf", "Melting_Curves/meltCurve_B9A054_RHBDD1.pdf")</f>
        <v>Melting_Curves/meltCurve_B9A054_RHBDD1.pdf</v>
      </c>
    </row>
    <row r="252" spans="1:28" x14ac:dyDescent="0.25">
      <c r="A252" t="s">
        <v>256</v>
      </c>
      <c r="B252">
        <v>0.99193492352474899</v>
      </c>
      <c r="C252">
        <v>0.94866929710719405</v>
      </c>
      <c r="D252">
        <v>0.780246525992218</v>
      </c>
      <c r="E252">
        <v>0.66975491585785896</v>
      </c>
      <c r="F252">
        <v>0.335186193192958</v>
      </c>
      <c r="G252">
        <v>0.25493134952121499</v>
      </c>
      <c r="H252">
        <v>0.29501653990779703</v>
      </c>
      <c r="I252">
        <v>0.33823206480174201</v>
      </c>
      <c r="J252">
        <v>0.39592404610008902</v>
      </c>
      <c r="K252">
        <v>0.52257219937505095</v>
      </c>
      <c r="L252">
        <v>1114.9326299081199</v>
      </c>
      <c r="M252">
        <v>23.157334856804301</v>
      </c>
      <c r="N252">
        <v>50.820134690348297</v>
      </c>
      <c r="O252">
        <v>47.791262156210898</v>
      </c>
      <c r="P252">
        <v>-7.8478341090621601E-2</v>
      </c>
      <c r="Q252">
        <v>0.35216887982345502</v>
      </c>
      <c r="R252">
        <v>0.90110246813949302</v>
      </c>
      <c r="S252" t="s">
        <v>6922</v>
      </c>
      <c r="T252" t="s">
        <v>13338</v>
      </c>
      <c r="U252" t="s">
        <v>13338</v>
      </c>
      <c r="V252" t="s">
        <v>13338</v>
      </c>
      <c r="W252" t="s">
        <v>13587</v>
      </c>
      <c r="X252">
        <v>2</v>
      </c>
      <c r="Y252" t="s">
        <v>20191</v>
      </c>
      <c r="Z252" t="s">
        <v>26667</v>
      </c>
      <c r="AA252">
        <v>0.53480817617651821</v>
      </c>
      <c r="AB252" t="str">
        <f>HYPERLINK("Melting_Curves/meltCurve_B9A057_COA5.pdf", "Melting_Curves/meltCurve_B9A057_COA5.pdf")</f>
        <v>Melting_Curves/meltCurve_B9A057_COA5.pdf</v>
      </c>
    </row>
    <row r="253" spans="1:28" x14ac:dyDescent="0.25">
      <c r="A253" t="s">
        <v>257</v>
      </c>
      <c r="B253">
        <v>0.99193492352474899</v>
      </c>
      <c r="C253">
        <v>0.81892447161733595</v>
      </c>
      <c r="D253">
        <v>0.991605913417415</v>
      </c>
      <c r="E253">
        <v>0.73778619084229702</v>
      </c>
      <c r="F253">
        <v>0.66517550883710197</v>
      </c>
      <c r="G253">
        <v>0.36035401161526898</v>
      </c>
      <c r="H253">
        <v>0.21731406675640799</v>
      </c>
      <c r="I253">
        <v>0.15170620924011599</v>
      </c>
      <c r="J253">
        <v>0.20648917426414701</v>
      </c>
      <c r="K253">
        <v>0.163330497151671</v>
      </c>
      <c r="L253">
        <v>777.26577990118597</v>
      </c>
      <c r="M253">
        <v>14.4886867405842</v>
      </c>
      <c r="N253">
        <v>54.639044555582501</v>
      </c>
      <c r="O253">
        <v>52.655493002260798</v>
      </c>
      <c r="P253">
        <v>-6.0837038436745199E-2</v>
      </c>
      <c r="Q253">
        <v>0.11571450786408601</v>
      </c>
      <c r="R253">
        <v>0.95856059465966603</v>
      </c>
      <c r="S253" t="s">
        <v>6923</v>
      </c>
      <c r="T253" t="s">
        <v>13338</v>
      </c>
      <c r="U253" t="s">
        <v>13338</v>
      </c>
      <c r="V253" t="s">
        <v>13338</v>
      </c>
      <c r="W253" t="s">
        <v>13588</v>
      </c>
      <c r="X253">
        <v>3</v>
      </c>
      <c r="Y253" t="s">
        <v>20192</v>
      </c>
      <c r="Z253" t="s">
        <v>26668</v>
      </c>
      <c r="AA253">
        <v>0.53726867231636344</v>
      </c>
      <c r="AB253" t="str">
        <f>HYPERLINK("Melting_Curves/meltCurve_C0H5X6_PEX7.pdf", "Melting_Curves/meltCurve_C0H5X6_PEX7.pdf")</f>
        <v>Melting_Curves/meltCurve_C0H5X6_PEX7.pdf</v>
      </c>
    </row>
    <row r="254" spans="1:28" x14ac:dyDescent="0.25">
      <c r="A254" t="s">
        <v>258</v>
      </c>
      <c r="B254">
        <v>0.99193492352474899</v>
      </c>
      <c r="C254">
        <v>1.1818047866066099</v>
      </c>
      <c r="D254">
        <v>0.95680274612989602</v>
      </c>
      <c r="E254">
        <v>0.96186615957349297</v>
      </c>
      <c r="F254">
        <v>0.66742299458409005</v>
      </c>
      <c r="G254">
        <v>0.51071896700355601</v>
      </c>
      <c r="H254">
        <v>0.32537508339022903</v>
      </c>
      <c r="I254">
        <v>0.43169972347186403</v>
      </c>
      <c r="J254">
        <v>0.59193343948377097</v>
      </c>
      <c r="K254">
        <v>0.54909462836082401</v>
      </c>
      <c r="L254">
        <v>2307.0862597066398</v>
      </c>
      <c r="M254">
        <v>43.930320160706998</v>
      </c>
      <c r="N254">
        <v>56.521902805071498</v>
      </c>
      <c r="O254">
        <v>52.408470478425599</v>
      </c>
      <c r="P254">
        <v>-0.109439195024918</v>
      </c>
      <c r="Q254">
        <v>0.47776090944949001</v>
      </c>
      <c r="R254">
        <v>0.89218330654782496</v>
      </c>
      <c r="S254" t="s">
        <v>6924</v>
      </c>
      <c r="T254" t="s">
        <v>13338</v>
      </c>
      <c r="U254" t="s">
        <v>13338</v>
      </c>
      <c r="V254" t="s">
        <v>13338</v>
      </c>
      <c r="W254" t="s">
        <v>13589</v>
      </c>
      <c r="X254">
        <v>3</v>
      </c>
      <c r="Y254" t="s">
        <v>20193</v>
      </c>
      <c r="Z254" t="s">
        <v>26669</v>
      </c>
      <c r="AA254">
        <v>0.69722467440325053</v>
      </c>
      <c r="AB254" t="str">
        <f>HYPERLINK("Melting_Curves/meltCurve_C0H5Y7_BAK1.pdf", "Melting_Curves/meltCurve_C0H5Y7_BAK1.pdf")</f>
        <v>Melting_Curves/meltCurve_C0H5Y7_BAK1.pdf</v>
      </c>
    </row>
    <row r="255" spans="1:28" x14ac:dyDescent="0.25">
      <c r="A255" t="s">
        <v>259</v>
      </c>
      <c r="B255">
        <v>0.99193492352474899</v>
      </c>
      <c r="C255">
        <v>0.959332592070964</v>
      </c>
      <c r="D255">
        <v>0.81340832912469996</v>
      </c>
      <c r="E255">
        <v>0.57090099037759301</v>
      </c>
      <c r="F255">
        <v>0.36583343185318801</v>
      </c>
      <c r="G255">
        <v>0.14402511687193301</v>
      </c>
      <c r="H255">
        <v>8.9957220885695494E-2</v>
      </c>
      <c r="I255">
        <v>8.9766210621877299E-2</v>
      </c>
      <c r="J255">
        <v>0.12223279006766501</v>
      </c>
      <c r="K255">
        <v>0.11456957346252999</v>
      </c>
      <c r="L255">
        <v>863.29075229954299</v>
      </c>
      <c r="M255">
        <v>17.2641762304049</v>
      </c>
      <c r="N255">
        <v>50.531566458623303</v>
      </c>
      <c r="O255">
        <v>49.348290012855699</v>
      </c>
      <c r="P255">
        <v>-8.0262240166728394E-2</v>
      </c>
      <c r="Q255">
        <v>8.2360120626893907E-2</v>
      </c>
      <c r="R255">
        <v>0.99461987106899896</v>
      </c>
      <c r="S255" t="s">
        <v>6925</v>
      </c>
      <c r="T255" t="s">
        <v>13338</v>
      </c>
      <c r="U255" t="s">
        <v>13338</v>
      </c>
      <c r="V255" t="s">
        <v>13338</v>
      </c>
      <c r="W255" t="s">
        <v>13590</v>
      </c>
      <c r="X255">
        <v>2</v>
      </c>
      <c r="Y255" t="s">
        <v>20194</v>
      </c>
      <c r="Z255" t="s">
        <v>26670</v>
      </c>
      <c r="AA255">
        <v>0.40531490584490221</v>
      </c>
      <c r="AB255" t="str">
        <f>HYPERLINK("Melting_Curves/meltCurve_C1IDX9_ATG12.pdf", "Melting_Curves/meltCurve_C1IDX9_ATG12.pdf")</f>
        <v>Melting_Curves/meltCurve_C1IDX9_ATG12.pdf</v>
      </c>
    </row>
    <row r="256" spans="1:28" x14ac:dyDescent="0.25">
      <c r="A256" t="s">
        <v>260</v>
      </c>
      <c r="B256">
        <v>0.99193492352474899</v>
      </c>
      <c r="C256">
        <v>1.1222474856769</v>
      </c>
      <c r="D256">
        <v>0.80706379424650998</v>
      </c>
      <c r="E256">
        <v>0.54264510808493405</v>
      </c>
      <c r="F256">
        <v>0.21388814461641101</v>
      </c>
      <c r="G256">
        <v>0.196082179932596</v>
      </c>
      <c r="H256">
        <v>0.13613375296883201</v>
      </c>
      <c r="I256">
        <v>0.173004785191569</v>
      </c>
      <c r="J256">
        <v>0.21346372875491201</v>
      </c>
      <c r="K256">
        <v>0.30807588668580499</v>
      </c>
      <c r="L256">
        <v>1409.2288633125499</v>
      </c>
      <c r="M256">
        <v>28.9242744570304</v>
      </c>
      <c r="N256">
        <v>49.581295677042696</v>
      </c>
      <c r="O256">
        <v>48.4902156955675</v>
      </c>
      <c r="P256">
        <v>-0.11971117659538499</v>
      </c>
      <c r="Q256">
        <v>0.197244932539718</v>
      </c>
      <c r="R256">
        <v>0.96346600988582998</v>
      </c>
      <c r="S256" t="s">
        <v>6926</v>
      </c>
      <c r="T256" t="s">
        <v>13338</v>
      </c>
      <c r="U256" t="s">
        <v>13338</v>
      </c>
      <c r="V256" t="s">
        <v>13338</v>
      </c>
      <c r="W256" t="s">
        <v>13591</v>
      </c>
      <c r="X256">
        <v>9</v>
      </c>
      <c r="Y256" t="s">
        <v>20195</v>
      </c>
      <c r="Z256" t="s">
        <v>26671</v>
      </c>
      <c r="AA256">
        <v>0.435865829945287</v>
      </c>
      <c r="AB256" t="str">
        <f>HYPERLINK("Melting_Curves/meltCurve_C4AMC7_WASH3P.pdf", "Melting_Curves/meltCurve_C4AMC7_WASH3P.pdf")</f>
        <v>Melting_Curves/meltCurve_C4AMC7_WASH3P.pdf</v>
      </c>
    </row>
    <row r="257" spans="1:28" x14ac:dyDescent="0.25">
      <c r="A257" t="s">
        <v>261</v>
      </c>
      <c r="B257">
        <v>0.99193492352474899</v>
      </c>
      <c r="C257">
        <v>1.0903357511571901</v>
      </c>
      <c r="D257">
        <v>0.78099611084108</v>
      </c>
      <c r="E257">
        <v>0.75519689540020296</v>
      </c>
      <c r="F257">
        <v>0.55260656369516703</v>
      </c>
      <c r="G257">
        <v>0.531680429138085</v>
      </c>
      <c r="H257">
        <v>0.49915199732844701</v>
      </c>
      <c r="I257">
        <v>0.48510327704258099</v>
      </c>
      <c r="J257">
        <v>0.455648936360177</v>
      </c>
      <c r="K257">
        <v>0.52850620516382796</v>
      </c>
      <c r="L257">
        <v>937.73182804848102</v>
      </c>
      <c r="M257">
        <v>19.224447396636901</v>
      </c>
      <c r="N257">
        <v>60.766206691025602</v>
      </c>
      <c r="O257">
        <v>48.259492344077003</v>
      </c>
      <c r="P257">
        <v>-5.0918576438270101E-2</v>
      </c>
      <c r="Q257">
        <v>0.488732049502135</v>
      </c>
      <c r="R257">
        <v>0.932900627810061</v>
      </c>
      <c r="S257" t="s">
        <v>6927</v>
      </c>
      <c r="T257" t="s">
        <v>13338</v>
      </c>
      <c r="U257" t="s">
        <v>13338</v>
      </c>
      <c r="V257" t="s">
        <v>13338</v>
      </c>
      <c r="W257" t="s">
        <v>13592</v>
      </c>
      <c r="X257">
        <v>5</v>
      </c>
      <c r="Y257" t="s">
        <v>20196</v>
      </c>
      <c r="Z257" t="s">
        <v>26672</v>
      </c>
      <c r="AA257">
        <v>0.64611372702508729</v>
      </c>
      <c r="AB257" t="str">
        <f>HYPERLINK("Melting_Curves/meltCurve_C7C5T7_LAT.pdf", "Melting_Curves/meltCurve_C7C5T7_LAT.pdf")</f>
        <v>Melting_Curves/meltCurve_C7C5T7_LAT.pdf</v>
      </c>
    </row>
    <row r="258" spans="1:28" x14ac:dyDescent="0.25">
      <c r="A258" t="s">
        <v>262</v>
      </c>
      <c r="B258">
        <v>0.99193492352474899</v>
      </c>
      <c r="C258">
        <v>0.90989450312937503</v>
      </c>
      <c r="D258">
        <v>0.89286212737519899</v>
      </c>
      <c r="E258">
        <v>0.83136007817587698</v>
      </c>
      <c r="F258">
        <v>0.62872609972148596</v>
      </c>
      <c r="G258">
        <v>0.76673306890271997</v>
      </c>
      <c r="H258">
        <v>0.45575868570275802</v>
      </c>
      <c r="I258">
        <v>0.56573266279600098</v>
      </c>
      <c r="J258">
        <v>0.48148626410797701</v>
      </c>
      <c r="K258">
        <v>0.96604384585154102</v>
      </c>
      <c r="L258">
        <v>841.41798749607597</v>
      </c>
      <c r="M258">
        <v>17.391055928414598</v>
      </c>
      <c r="O258">
        <v>47.7560949549434</v>
      </c>
      <c r="P258">
        <v>-3.3502747638182499E-2</v>
      </c>
      <c r="Q258">
        <v>0.63202454654196805</v>
      </c>
      <c r="R258">
        <v>0.463755916953069</v>
      </c>
      <c r="S258" t="s">
        <v>6928</v>
      </c>
      <c r="T258" t="s">
        <v>13338</v>
      </c>
      <c r="U258" t="s">
        <v>13338</v>
      </c>
      <c r="V258" t="s">
        <v>13338</v>
      </c>
      <c r="W258" t="s">
        <v>13593</v>
      </c>
      <c r="X258">
        <v>1</v>
      </c>
      <c r="Y258" t="s">
        <v>20197</v>
      </c>
      <c r="Z258" t="s">
        <v>26673</v>
      </c>
      <c r="AA258">
        <v>0.74177081596462069</v>
      </c>
      <c r="AB258" t="str">
        <f>HYPERLINK("Melting_Curves/meltCurve_C9J0E4_CSTA.pdf", "Melting_Curves/meltCurve_C9J0E4_CSTA.pdf")</f>
        <v>Melting_Curves/meltCurve_C9J0E4_CSTA.pdf</v>
      </c>
    </row>
    <row r="259" spans="1:28" x14ac:dyDescent="0.25">
      <c r="A259" t="s">
        <v>263</v>
      </c>
      <c r="B259">
        <v>0.99193492352474899</v>
      </c>
      <c r="C259">
        <v>0.88798582850889995</v>
      </c>
      <c r="D259">
        <v>0.63530585106056703</v>
      </c>
      <c r="E259">
        <v>0.21975886926261001</v>
      </c>
      <c r="F259">
        <v>9.0039120613626997E-2</v>
      </c>
      <c r="G259">
        <v>5.0771918964326902E-2</v>
      </c>
      <c r="H259">
        <v>2.3712259636368201E-2</v>
      </c>
      <c r="I259">
        <v>3.0751272348775501E-2</v>
      </c>
      <c r="J259">
        <v>3.6876715227616298E-2</v>
      </c>
      <c r="K259">
        <v>3.10555940134443E-2</v>
      </c>
      <c r="L259">
        <v>1130.5280197757099</v>
      </c>
      <c r="M259">
        <v>24.128160067031398</v>
      </c>
      <c r="N259">
        <v>46.978470460396501</v>
      </c>
      <c r="O259">
        <v>46.536834976003099</v>
      </c>
      <c r="P259">
        <v>-0.12564231092165701</v>
      </c>
      <c r="Q259">
        <v>3.0692029446465399E-2</v>
      </c>
      <c r="R259">
        <v>0.99930101049641495</v>
      </c>
      <c r="S259" t="s">
        <v>6929</v>
      </c>
      <c r="T259" t="s">
        <v>13338</v>
      </c>
      <c r="U259" t="s">
        <v>13338</v>
      </c>
      <c r="V259" t="s">
        <v>13338</v>
      </c>
      <c r="W259" t="s">
        <v>13594</v>
      </c>
      <c r="X259">
        <v>6</v>
      </c>
      <c r="Y259" t="s">
        <v>20198</v>
      </c>
      <c r="Z259" t="s">
        <v>26674</v>
      </c>
      <c r="AA259">
        <v>0.26157708931520568</v>
      </c>
      <c r="AB259" t="str">
        <f>HYPERLINK("Melting_Curves/meltCurve_C9J0I9_ZC3HC1.pdf", "Melting_Curves/meltCurve_C9J0I9_ZC3HC1.pdf")</f>
        <v>Melting_Curves/meltCurve_C9J0I9_ZC3HC1.pdf</v>
      </c>
    </row>
    <row r="260" spans="1:28" x14ac:dyDescent="0.25">
      <c r="A260" t="s">
        <v>264</v>
      </c>
      <c r="B260">
        <v>0.99193492352474899</v>
      </c>
      <c r="C260">
        <v>1.3579275322950399</v>
      </c>
      <c r="D260">
        <v>1.2182003953818801</v>
      </c>
      <c r="E260">
        <v>0.31892185957416003</v>
      </c>
      <c r="F260">
        <v>0</v>
      </c>
      <c r="G260">
        <v>0.50283263397835098</v>
      </c>
      <c r="H260">
        <v>0</v>
      </c>
      <c r="I260">
        <v>0.443389999352582</v>
      </c>
      <c r="J260">
        <v>0</v>
      </c>
      <c r="K260">
        <v>0</v>
      </c>
      <c r="L260">
        <v>12328.530422236099</v>
      </c>
      <c r="M260">
        <v>250</v>
      </c>
      <c r="N260">
        <v>49.388982649446397</v>
      </c>
      <c r="O260">
        <v>49.310958174153697</v>
      </c>
      <c r="P260">
        <v>-1.06758230114534</v>
      </c>
      <c r="Q260">
        <v>0.15770376929757399</v>
      </c>
      <c r="R260">
        <v>0.81163925764817002</v>
      </c>
      <c r="S260" t="s">
        <v>6930</v>
      </c>
      <c r="T260" t="s">
        <v>13338</v>
      </c>
      <c r="U260" t="s">
        <v>13338</v>
      </c>
      <c r="V260" t="s">
        <v>13338</v>
      </c>
      <c r="W260" t="s">
        <v>13595</v>
      </c>
      <c r="X260">
        <v>6</v>
      </c>
      <c r="Y260" t="s">
        <v>20199</v>
      </c>
      <c r="Z260" t="s">
        <v>26675</v>
      </c>
      <c r="AA260">
        <v>0.41928498595626001</v>
      </c>
      <c r="AB260" t="str">
        <f>HYPERLINK("Melting_Curves/meltCurve_C9J0J7_PFN2.pdf", "Melting_Curves/meltCurve_C9J0J7_PFN2.pdf")</f>
        <v>Melting_Curves/meltCurve_C9J0J7_PFN2.pdf</v>
      </c>
    </row>
    <row r="261" spans="1:28" x14ac:dyDescent="0.25">
      <c r="A261" t="s">
        <v>265</v>
      </c>
      <c r="B261">
        <v>0.99193492352474899</v>
      </c>
      <c r="C261">
        <v>1.0974812893766801</v>
      </c>
      <c r="D261">
        <v>0.81042235636534499</v>
      </c>
      <c r="E261">
        <v>0.815924139083126</v>
      </c>
      <c r="F261">
        <v>0.37185054487394997</v>
      </c>
      <c r="G261">
        <v>0.12821178828773799</v>
      </c>
      <c r="H261">
        <v>8.3004677417770206E-2</v>
      </c>
      <c r="I261">
        <v>9.8719157512120001E-2</v>
      </c>
      <c r="J261">
        <v>0.12646809215618601</v>
      </c>
      <c r="K261">
        <v>0.140543292338075</v>
      </c>
      <c r="L261">
        <v>1441.8084472097701</v>
      </c>
      <c r="M261">
        <v>27.953091064027198</v>
      </c>
      <c r="N261">
        <v>51.997681703896802</v>
      </c>
      <c r="O261">
        <v>51.3177362809353</v>
      </c>
      <c r="P261">
        <v>-0.12247142414885701</v>
      </c>
      <c r="Q261">
        <v>0.100649795493398</v>
      </c>
      <c r="R261">
        <v>0.97293403460308703</v>
      </c>
      <c r="S261" t="s">
        <v>6931</v>
      </c>
      <c r="T261" t="s">
        <v>13338</v>
      </c>
      <c r="U261" t="s">
        <v>13338</v>
      </c>
      <c r="V261" t="s">
        <v>13338</v>
      </c>
      <c r="W261" t="s">
        <v>13596</v>
      </c>
      <c r="X261">
        <v>10</v>
      </c>
      <c r="Y261" t="s">
        <v>20200</v>
      </c>
      <c r="Z261" t="s">
        <v>26676</v>
      </c>
      <c r="AA261">
        <v>0.45435367378857472</v>
      </c>
      <c r="AB261" t="str">
        <f>HYPERLINK("Melting_Curves/meltCurve_C9J0K6_SRI.pdf", "Melting_Curves/meltCurve_C9J0K6_SRI.pdf")</f>
        <v>Melting_Curves/meltCurve_C9J0K6_SRI.pdf</v>
      </c>
    </row>
    <row r="262" spans="1:28" x14ac:dyDescent="0.25">
      <c r="A262" t="s">
        <v>266</v>
      </c>
      <c r="B262">
        <v>0.99193492352474899</v>
      </c>
      <c r="C262">
        <v>0.86281569312379702</v>
      </c>
      <c r="D262">
        <v>0.89906297038370397</v>
      </c>
      <c r="E262">
        <v>0.77917515482636301</v>
      </c>
      <c r="F262">
        <v>0.73020946950565602</v>
      </c>
      <c r="G262">
        <v>0.61759992183129098</v>
      </c>
      <c r="H262">
        <v>0.41383581589788498</v>
      </c>
      <c r="I262">
        <v>0.405717433153861</v>
      </c>
      <c r="J262">
        <v>0.48653983338331802</v>
      </c>
      <c r="K262">
        <v>0.61340367581755595</v>
      </c>
      <c r="L262">
        <v>605.96037809319603</v>
      </c>
      <c r="M262">
        <v>11.833650840064299</v>
      </c>
      <c r="N262">
        <v>64.382478714044495</v>
      </c>
      <c r="O262">
        <v>49.8098972701302</v>
      </c>
      <c r="P262">
        <v>-3.2341314532281298E-2</v>
      </c>
      <c r="Q262">
        <v>0.45561763920932102</v>
      </c>
      <c r="R262">
        <v>0.85969314979606404</v>
      </c>
      <c r="S262" t="s">
        <v>6932</v>
      </c>
      <c r="T262" t="s">
        <v>13338</v>
      </c>
      <c r="U262" t="s">
        <v>13338</v>
      </c>
      <c r="V262" t="s">
        <v>13338</v>
      </c>
      <c r="W262" t="s">
        <v>13597</v>
      </c>
      <c r="X262">
        <v>4</v>
      </c>
      <c r="Y262" t="s">
        <v>20201</v>
      </c>
      <c r="Z262" t="s">
        <v>26677</v>
      </c>
      <c r="AA262">
        <v>0.67684831016280522</v>
      </c>
      <c r="AB262" t="str">
        <f>HYPERLINK("Melting_Curves/meltCurve_C9J1K8_MEGF9.pdf", "Melting_Curves/meltCurve_C9J1K8_MEGF9.pdf")</f>
        <v>Melting_Curves/meltCurve_C9J1K8_MEGF9.pdf</v>
      </c>
    </row>
    <row r="263" spans="1:28" x14ac:dyDescent="0.25">
      <c r="A263" t="s">
        <v>267</v>
      </c>
      <c r="B263">
        <v>0.99193492352474899</v>
      </c>
      <c r="C263">
        <v>0.70673687159653098</v>
      </c>
      <c r="D263">
        <v>0.80234758367784398</v>
      </c>
      <c r="E263">
        <v>0.30558494561340699</v>
      </c>
      <c r="F263">
        <v>0.209110102200572</v>
      </c>
      <c r="G263">
        <v>7.6851433137370501E-2</v>
      </c>
      <c r="H263">
        <v>8.9861210661398905E-2</v>
      </c>
      <c r="I263">
        <v>0.101060266417646</v>
      </c>
      <c r="J263">
        <v>0.10770877848945699</v>
      </c>
      <c r="K263">
        <v>0</v>
      </c>
      <c r="L263">
        <v>765.09605655565201</v>
      </c>
      <c r="M263">
        <v>16.067818829220101</v>
      </c>
      <c r="N263">
        <v>47.928083653879703</v>
      </c>
      <c r="O263">
        <v>46.897435327651102</v>
      </c>
      <c r="P263">
        <v>-8.14146389446819E-2</v>
      </c>
      <c r="Q263">
        <v>4.9567875605143599E-2</v>
      </c>
      <c r="R263">
        <v>0.947579898647396</v>
      </c>
      <c r="S263" t="s">
        <v>6933</v>
      </c>
      <c r="T263" t="s">
        <v>13338</v>
      </c>
      <c r="U263" t="s">
        <v>13338</v>
      </c>
      <c r="V263" t="s">
        <v>13338</v>
      </c>
      <c r="W263" t="s">
        <v>13598</v>
      </c>
      <c r="X263">
        <v>1</v>
      </c>
      <c r="Y263" t="s">
        <v>20202</v>
      </c>
      <c r="Z263" t="s">
        <v>26678</v>
      </c>
      <c r="AA263">
        <v>0.312540296577768</v>
      </c>
      <c r="AB263" t="str">
        <f>HYPERLINK("Melting_Curves/meltCurve_C9J1X0_WDR91.pdf", "Melting_Curves/meltCurve_C9J1X0_WDR91.pdf")</f>
        <v>Melting_Curves/meltCurve_C9J1X0_WDR91.pdf</v>
      </c>
    </row>
    <row r="264" spans="1:28" x14ac:dyDescent="0.25">
      <c r="A264" t="s">
        <v>268</v>
      </c>
      <c r="B264">
        <v>0.99193492352474899</v>
      </c>
      <c r="C264">
        <v>0.86446588223377197</v>
      </c>
      <c r="D264">
        <v>0.85009394412094896</v>
      </c>
      <c r="E264">
        <v>0.73778066036095402</v>
      </c>
      <c r="F264">
        <v>0.42007035556042699</v>
      </c>
      <c r="G264">
        <v>0.14312679940689099</v>
      </c>
      <c r="H264">
        <v>9.4155932870595996E-2</v>
      </c>
      <c r="I264">
        <v>0.10541888730813601</v>
      </c>
      <c r="J264">
        <v>0.11952503860682701</v>
      </c>
      <c r="K264">
        <v>0.18194458233775601</v>
      </c>
      <c r="L264">
        <v>1004.68163712409</v>
      </c>
      <c r="M264">
        <v>19.618675237704998</v>
      </c>
      <c r="N264">
        <v>51.797716081280001</v>
      </c>
      <c r="O264">
        <v>50.6873047438622</v>
      </c>
      <c r="P264">
        <v>-8.7117804091950496E-2</v>
      </c>
      <c r="Q264">
        <v>9.9712574245236302E-2</v>
      </c>
      <c r="R264">
        <v>0.972551648765554</v>
      </c>
      <c r="S264" t="s">
        <v>6934</v>
      </c>
      <c r="T264" t="s">
        <v>13338</v>
      </c>
      <c r="U264" t="s">
        <v>13338</v>
      </c>
      <c r="V264" t="s">
        <v>13338</v>
      </c>
      <c r="W264" t="s">
        <v>13599</v>
      </c>
      <c r="X264">
        <v>8</v>
      </c>
      <c r="Y264" t="s">
        <v>20203</v>
      </c>
      <c r="Z264" t="s">
        <v>26679</v>
      </c>
      <c r="AA264">
        <v>0.44907761987382322</v>
      </c>
      <c r="AB264" t="str">
        <f>HYPERLINK("Melting_Curves/meltCurve_C9J212_UBE2F.pdf", "Melting_Curves/meltCurve_C9J212_UBE2F.pdf")</f>
        <v>Melting_Curves/meltCurve_C9J212_UBE2F.pdf</v>
      </c>
    </row>
    <row r="265" spans="1:28" x14ac:dyDescent="0.25">
      <c r="A265" t="s">
        <v>269</v>
      </c>
      <c r="B265">
        <v>0.99193492352474899</v>
      </c>
      <c r="C265">
        <v>0.76581215962184102</v>
      </c>
      <c r="D265">
        <v>0.89657016167609505</v>
      </c>
      <c r="E265">
        <v>0.44378225616698302</v>
      </c>
      <c r="F265">
        <v>0.246254481150703</v>
      </c>
      <c r="G265">
        <v>0.124504750558528</v>
      </c>
      <c r="H265">
        <v>5.7318923191409098E-2</v>
      </c>
      <c r="I265">
        <v>7.0516987175992696E-2</v>
      </c>
      <c r="J265">
        <v>8.2340641847427107E-2</v>
      </c>
      <c r="K265">
        <v>7.4161101877455296E-2</v>
      </c>
      <c r="L265">
        <v>888.58719201310601</v>
      </c>
      <c r="M265">
        <v>18.113091553299199</v>
      </c>
      <c r="N265">
        <v>49.383415431470901</v>
      </c>
      <c r="O265">
        <v>48.471500455111801</v>
      </c>
      <c r="P265">
        <v>-8.8166132290254398E-2</v>
      </c>
      <c r="Q265">
        <v>5.62983362568052E-2</v>
      </c>
      <c r="R265">
        <v>0.96473686730408603</v>
      </c>
      <c r="S265" t="s">
        <v>6935</v>
      </c>
      <c r="T265" t="s">
        <v>13338</v>
      </c>
      <c r="U265" t="s">
        <v>13338</v>
      </c>
      <c r="V265" t="s">
        <v>13338</v>
      </c>
      <c r="W265" t="s">
        <v>13600</v>
      </c>
      <c r="X265">
        <v>4</v>
      </c>
      <c r="Y265" t="s">
        <v>20204</v>
      </c>
      <c r="Z265" t="s">
        <v>26680</v>
      </c>
      <c r="AA265">
        <v>0.35735077276334781</v>
      </c>
      <c r="AB265" t="str">
        <f>HYPERLINK("Melting_Curves/meltCurve_C9J2P0_UBE2E1.pdf", "Melting_Curves/meltCurve_C9J2P0_UBE2E1.pdf")</f>
        <v>Melting_Curves/meltCurve_C9J2P0_UBE2E1.pdf</v>
      </c>
    </row>
    <row r="266" spans="1:28" x14ac:dyDescent="0.25">
      <c r="A266" t="s">
        <v>270</v>
      </c>
      <c r="B266">
        <v>0.99193492352474899</v>
      </c>
      <c r="C266">
        <v>0.62141296303274696</v>
      </c>
      <c r="D266">
        <v>1.02560575230889</v>
      </c>
      <c r="E266">
        <v>0.37031404885279801</v>
      </c>
      <c r="F266">
        <v>0.313750435817508</v>
      </c>
      <c r="G266">
        <v>0.205681355813297</v>
      </c>
      <c r="H266">
        <v>0.140318627917287</v>
      </c>
      <c r="I266">
        <v>0.25858414698756599</v>
      </c>
      <c r="J266">
        <v>0.42914502835143697</v>
      </c>
      <c r="K266">
        <v>0.45458008077925099</v>
      </c>
      <c r="L266">
        <v>12291.0216864758</v>
      </c>
      <c r="M266">
        <v>250</v>
      </c>
      <c r="N266">
        <v>49.345295154364798</v>
      </c>
      <c r="O266">
        <v>49.160937395331999</v>
      </c>
      <c r="P266">
        <v>-0.88949773381637598</v>
      </c>
      <c r="Q266">
        <v>0.30034327709907099</v>
      </c>
      <c r="R266">
        <v>0.74380412693799303</v>
      </c>
      <c r="S266" t="s">
        <v>6936</v>
      </c>
      <c r="T266" t="s">
        <v>13338</v>
      </c>
      <c r="U266" t="s">
        <v>13338</v>
      </c>
      <c r="V266" t="s">
        <v>13338</v>
      </c>
      <c r="W266" t="s">
        <v>13601</v>
      </c>
      <c r="X266">
        <v>3</v>
      </c>
      <c r="Y266" t="s">
        <v>20205</v>
      </c>
      <c r="Z266" t="s">
        <v>26681</v>
      </c>
      <c r="AA266">
        <v>0.51412747505926804</v>
      </c>
      <c r="AB266" t="str">
        <f>HYPERLINK("Melting_Curves/meltCurve_C9J2P9_CBLL1.pdf", "Melting_Curves/meltCurve_C9J2P9_CBLL1.pdf")</f>
        <v>Melting_Curves/meltCurve_C9J2P9_CBLL1.pdf</v>
      </c>
    </row>
    <row r="267" spans="1:28" x14ac:dyDescent="0.25">
      <c r="A267" t="s">
        <v>271</v>
      </c>
      <c r="B267">
        <v>0.99193492352474899</v>
      </c>
      <c r="C267">
        <v>0.89711244106227395</v>
      </c>
      <c r="D267">
        <v>1.0238973590910001</v>
      </c>
      <c r="E267">
        <v>0.69128765474522802</v>
      </c>
      <c r="F267">
        <v>0.25183664138379702</v>
      </c>
      <c r="G267">
        <v>0.12692203476508501</v>
      </c>
      <c r="H267">
        <v>8.9271193927488404E-2</v>
      </c>
      <c r="I267">
        <v>9.9982325830294497E-2</v>
      </c>
      <c r="J267">
        <v>0.134385917551195</v>
      </c>
      <c r="K267">
        <v>0.11124553800150599</v>
      </c>
      <c r="L267">
        <v>1791.27772581362</v>
      </c>
      <c r="M267">
        <v>35.424455709550998</v>
      </c>
      <c r="N267">
        <v>50.921637797646802</v>
      </c>
      <c r="O267">
        <v>50.405804693640299</v>
      </c>
      <c r="P267">
        <v>-0.15644899099996401</v>
      </c>
      <c r="Q267">
        <v>0.10955182354420499</v>
      </c>
      <c r="R267">
        <v>0.99044066097374295</v>
      </c>
      <c r="S267" t="s">
        <v>6937</v>
      </c>
      <c r="T267" t="s">
        <v>13338</v>
      </c>
      <c r="U267" t="s">
        <v>13338</v>
      </c>
      <c r="V267" t="s">
        <v>13338</v>
      </c>
      <c r="W267" t="s">
        <v>13602</v>
      </c>
      <c r="X267">
        <v>6</v>
      </c>
      <c r="Y267" t="s">
        <v>20206</v>
      </c>
      <c r="Z267" t="s">
        <v>26682</v>
      </c>
      <c r="AA267">
        <v>0.4271482893285507</v>
      </c>
      <c r="AB267" t="str">
        <f>HYPERLINK("Melting_Curves/meltCurve_C9J2U4_TAMM41.pdf", "Melting_Curves/meltCurve_C9J2U4_TAMM41.pdf")</f>
        <v>Melting_Curves/meltCurve_C9J2U4_TAMM41.pdf</v>
      </c>
    </row>
    <row r="268" spans="1:28" x14ac:dyDescent="0.25">
      <c r="A268" t="s">
        <v>272</v>
      </c>
      <c r="B268">
        <v>0.99193492352474899</v>
      </c>
      <c r="C268">
        <v>1.16807193814411</v>
      </c>
      <c r="D268">
        <v>0.79083582866905899</v>
      </c>
      <c r="E268">
        <v>0.53776428463210901</v>
      </c>
      <c r="F268">
        <v>0.84777807879642197</v>
      </c>
      <c r="G268">
        <v>0.51085875143202797</v>
      </c>
      <c r="H268">
        <v>0.41800503838882702</v>
      </c>
      <c r="I268">
        <v>0.51577108683530104</v>
      </c>
      <c r="J268">
        <v>0.55171417669558998</v>
      </c>
      <c r="K268">
        <v>0.94939183279269102</v>
      </c>
      <c r="L268">
        <v>11491.0229347195</v>
      </c>
      <c r="M268">
        <v>250</v>
      </c>
      <c r="O268">
        <v>45.961150491647899</v>
      </c>
      <c r="P268">
        <v>-0.51843411308297405</v>
      </c>
      <c r="Q268">
        <v>0.61875474902656502</v>
      </c>
      <c r="R268">
        <v>0.55016643016349398</v>
      </c>
      <c r="S268" t="s">
        <v>6938</v>
      </c>
      <c r="T268" t="s">
        <v>13338</v>
      </c>
      <c r="U268" t="s">
        <v>13338</v>
      </c>
      <c r="V268" t="s">
        <v>13338</v>
      </c>
      <c r="W268" t="s">
        <v>13603</v>
      </c>
      <c r="X268">
        <v>8</v>
      </c>
      <c r="Y268" t="s">
        <v>20207</v>
      </c>
      <c r="Z268" t="s">
        <v>26683</v>
      </c>
      <c r="AA268">
        <v>0.69457822438449268</v>
      </c>
      <c r="AB268" t="str">
        <f>HYPERLINK("Melting_Curves/meltCurve_C9J2V2_IKBKG.pdf", "Melting_Curves/meltCurve_C9J2V2_IKBKG.pdf")</f>
        <v>Melting_Curves/meltCurve_C9J2V2_IKBKG.pdf</v>
      </c>
    </row>
    <row r="269" spans="1:28" x14ac:dyDescent="0.25">
      <c r="A269" t="s">
        <v>273</v>
      </c>
      <c r="B269">
        <v>0.99193492352474899</v>
      </c>
      <c r="C269">
        <v>0.82753460121630695</v>
      </c>
      <c r="D269">
        <v>0.86056985484084303</v>
      </c>
      <c r="E269">
        <v>0.66397074750131801</v>
      </c>
      <c r="F269">
        <v>0.57654579051994703</v>
      </c>
      <c r="G269">
        <v>0.52528993646797595</v>
      </c>
      <c r="H269">
        <v>0.35982431963528699</v>
      </c>
      <c r="I269">
        <v>0.207810448799648</v>
      </c>
      <c r="J269">
        <v>0.19100829980450701</v>
      </c>
      <c r="K269">
        <v>0.134096245279169</v>
      </c>
      <c r="L269">
        <v>430.77768168060902</v>
      </c>
      <c r="M269">
        <v>7.7886283688872897</v>
      </c>
      <c r="N269">
        <v>55.308542296906701</v>
      </c>
      <c r="O269">
        <v>52.017668678363002</v>
      </c>
      <c r="P269">
        <v>-3.7479395267385099E-2</v>
      </c>
      <c r="Q269">
        <v>0</v>
      </c>
      <c r="R269">
        <v>0.97501095406675797</v>
      </c>
      <c r="S269" t="s">
        <v>6939</v>
      </c>
      <c r="T269" t="s">
        <v>13338</v>
      </c>
      <c r="U269" t="s">
        <v>13338</v>
      </c>
      <c r="V269" t="s">
        <v>13338</v>
      </c>
      <c r="W269" t="s">
        <v>13604</v>
      </c>
      <c r="X269">
        <v>32</v>
      </c>
      <c r="Y269" t="s">
        <v>20208</v>
      </c>
      <c r="Z269" t="s">
        <v>26684</v>
      </c>
      <c r="AA269">
        <v>0.53514737715003591</v>
      </c>
      <c r="AB269" t="str">
        <f>HYPERLINK("Melting_Curves/meltCurve_C9J2Y9_POLR2B.pdf", "Melting_Curves/meltCurve_C9J2Y9_POLR2B.pdf")</f>
        <v>Melting_Curves/meltCurve_C9J2Y9_POLR2B.pdf</v>
      </c>
    </row>
    <row r="270" spans="1:28" x14ac:dyDescent="0.25">
      <c r="A270" t="s">
        <v>274</v>
      </c>
      <c r="B270">
        <v>0.99193492352474899</v>
      </c>
      <c r="C270">
        <v>1.0805332296344099</v>
      </c>
      <c r="D270">
        <v>0.99166914943295403</v>
      </c>
      <c r="E270">
        <v>1.1877780295582401</v>
      </c>
      <c r="F270">
        <v>1.9447836528243401</v>
      </c>
      <c r="G270">
        <v>0.40124219667226002</v>
      </c>
      <c r="H270">
        <v>0.182052831564397</v>
      </c>
      <c r="I270">
        <v>0.206331253450969</v>
      </c>
      <c r="J270">
        <v>0.25390886112438299</v>
      </c>
      <c r="K270">
        <v>0.236286476620238</v>
      </c>
      <c r="L270">
        <v>14132.2343015854</v>
      </c>
      <c r="M270">
        <v>250</v>
      </c>
      <c r="N270">
        <v>56.6600576315616</v>
      </c>
      <c r="O270">
        <v>56.525319742358697</v>
      </c>
      <c r="P270">
        <v>-0.86283820972193503</v>
      </c>
      <c r="Q270">
        <v>0.219644710047536</v>
      </c>
      <c r="R270">
        <v>0.69708660977963599</v>
      </c>
      <c r="S270" t="s">
        <v>6940</v>
      </c>
      <c r="T270" t="s">
        <v>13338</v>
      </c>
      <c r="U270" t="s">
        <v>13338</v>
      </c>
      <c r="V270" t="s">
        <v>13338</v>
      </c>
      <c r="W270" t="s">
        <v>13605</v>
      </c>
      <c r="X270">
        <v>9</v>
      </c>
      <c r="Y270" t="s">
        <v>20209</v>
      </c>
      <c r="Z270" t="s">
        <v>26685</v>
      </c>
      <c r="AA270">
        <v>0.64967024661286565</v>
      </c>
      <c r="AB270" t="str">
        <f>HYPERLINK("Melting_Curves/meltCurve_C9J381_IMPDH1.pdf", "Melting_Curves/meltCurve_C9J381_IMPDH1.pdf")</f>
        <v>Melting_Curves/meltCurve_C9J381_IMPDH1.pdf</v>
      </c>
    </row>
    <row r="271" spans="1:28" x14ac:dyDescent="0.25">
      <c r="A271" t="s">
        <v>275</v>
      </c>
      <c r="B271">
        <v>0.99193492352474899</v>
      </c>
      <c r="C271">
        <v>0.75384234803362105</v>
      </c>
      <c r="D271">
        <v>0.76062440603680503</v>
      </c>
      <c r="E271">
        <v>0.436304602629629</v>
      </c>
      <c r="F271">
        <v>0.112062068847036</v>
      </c>
      <c r="G271">
        <v>0.10908365703260001</v>
      </c>
      <c r="H271">
        <v>4.4103467260821497E-2</v>
      </c>
      <c r="I271">
        <v>9.1548765549906305E-2</v>
      </c>
      <c r="J271">
        <v>7.1247217216298703E-2</v>
      </c>
      <c r="K271">
        <v>4.8140789109052402E-2</v>
      </c>
      <c r="L271">
        <v>800.84938613126701</v>
      </c>
      <c r="M271">
        <v>16.6722648040741</v>
      </c>
      <c r="N271">
        <v>48.276617008866701</v>
      </c>
      <c r="O271">
        <v>47.359725807999702</v>
      </c>
      <c r="P271">
        <v>-8.4488911479313103E-2</v>
      </c>
      <c r="Q271">
        <v>4.0057306426696103E-2</v>
      </c>
      <c r="R271">
        <v>0.97114125764078396</v>
      </c>
      <c r="S271" t="s">
        <v>6941</v>
      </c>
      <c r="T271" t="s">
        <v>13338</v>
      </c>
      <c r="U271" t="s">
        <v>13338</v>
      </c>
      <c r="V271" t="s">
        <v>13338</v>
      </c>
      <c r="W271" t="s">
        <v>13606</v>
      </c>
      <c r="X271">
        <v>4</v>
      </c>
      <c r="Y271" t="s">
        <v>20210</v>
      </c>
      <c r="Z271" t="s">
        <v>26686</v>
      </c>
      <c r="AA271">
        <v>0.31709090580820271</v>
      </c>
      <c r="AB271" t="str">
        <f>HYPERLINK("Melting_Curves/meltCurve_C9J384_CMSS1.pdf", "Melting_Curves/meltCurve_C9J384_CMSS1.pdf")</f>
        <v>Melting_Curves/meltCurve_C9J384_CMSS1.pdf</v>
      </c>
    </row>
    <row r="272" spans="1:28" x14ac:dyDescent="0.25">
      <c r="A272" t="s">
        <v>276</v>
      </c>
      <c r="B272">
        <v>0.99193492352474899</v>
      </c>
      <c r="C272">
        <v>0.78212569108649199</v>
      </c>
      <c r="D272">
        <v>0.78137799195893498</v>
      </c>
      <c r="E272">
        <v>0.34914322807362402</v>
      </c>
      <c r="F272">
        <v>0.204782448047725</v>
      </c>
      <c r="G272">
        <v>0.17086941714411699</v>
      </c>
      <c r="H272">
        <v>9.6940926059458393E-2</v>
      </c>
      <c r="I272">
        <v>8.7769436556736302E-2</v>
      </c>
      <c r="J272">
        <v>8.2164953872716204E-2</v>
      </c>
      <c r="K272">
        <v>4.9186472612752399E-2</v>
      </c>
      <c r="L272">
        <v>792.58894487822499</v>
      </c>
      <c r="M272">
        <v>16.5592255406759</v>
      </c>
      <c r="N272">
        <v>48.293599694260699</v>
      </c>
      <c r="O272">
        <v>47.182180542560403</v>
      </c>
      <c r="P272">
        <v>-8.1736096529757898E-2</v>
      </c>
      <c r="Q272">
        <v>6.8501411171578402E-2</v>
      </c>
      <c r="R272">
        <v>0.97805189966811401</v>
      </c>
      <c r="S272" t="s">
        <v>6942</v>
      </c>
      <c r="T272" t="s">
        <v>13338</v>
      </c>
      <c r="U272" t="s">
        <v>13338</v>
      </c>
      <c r="V272" t="s">
        <v>13338</v>
      </c>
      <c r="W272" t="s">
        <v>13607</v>
      </c>
      <c r="X272">
        <v>4</v>
      </c>
      <c r="Y272" t="s">
        <v>20211</v>
      </c>
      <c r="Z272" t="s">
        <v>26687</v>
      </c>
      <c r="AA272">
        <v>0.33242023045357227</v>
      </c>
      <c r="AB272" t="str">
        <f>HYPERLINK("Melting_Curves/meltCurve_C9J3D7_CROT.pdf", "Melting_Curves/meltCurve_C9J3D7_CROT.pdf")</f>
        <v>Melting_Curves/meltCurve_C9J3D7_CROT.pdf</v>
      </c>
    </row>
    <row r="273" spans="1:28" x14ac:dyDescent="0.25">
      <c r="A273" t="s">
        <v>277</v>
      </c>
      <c r="B273">
        <v>0.99193492352474899</v>
      </c>
      <c r="C273">
        <v>0.89119802443441298</v>
      </c>
      <c r="D273">
        <v>0.72342436466342297</v>
      </c>
      <c r="E273">
        <v>0.360687981248552</v>
      </c>
      <c r="F273">
        <v>0.172518267114316</v>
      </c>
      <c r="G273">
        <v>9.8272308064412395E-2</v>
      </c>
      <c r="H273">
        <v>6.4919465264649603E-2</v>
      </c>
      <c r="I273">
        <v>6.7191245248530707E-2</v>
      </c>
      <c r="J273">
        <v>8.02833153540852E-2</v>
      </c>
      <c r="K273">
        <v>8.8187079988866796E-2</v>
      </c>
      <c r="L273">
        <v>980.26671169164194</v>
      </c>
      <c r="M273">
        <v>20.524179400183201</v>
      </c>
      <c r="N273">
        <v>48.110146030022698</v>
      </c>
      <c r="O273">
        <v>47.315071875283998</v>
      </c>
      <c r="P273">
        <v>-0.100954592718426</v>
      </c>
      <c r="Q273">
        <v>6.9091444063287502E-2</v>
      </c>
      <c r="R273">
        <v>0.998628857831518</v>
      </c>
      <c r="S273" t="s">
        <v>6943</v>
      </c>
      <c r="T273" t="s">
        <v>13338</v>
      </c>
      <c r="U273" t="s">
        <v>13338</v>
      </c>
      <c r="V273" t="s">
        <v>13338</v>
      </c>
      <c r="W273" t="s">
        <v>13608</v>
      </c>
      <c r="X273">
        <v>6</v>
      </c>
      <c r="Y273" t="s">
        <v>20212</v>
      </c>
      <c r="Z273" t="s">
        <v>26688</v>
      </c>
      <c r="AA273">
        <v>0.32251773589151111</v>
      </c>
      <c r="AB273" t="str">
        <f>HYPERLINK("Melting_Curves/meltCurve_C9J3G2_CBWD2.pdf", "Melting_Curves/meltCurve_C9J3G2_CBWD2.pdf")</f>
        <v>Melting_Curves/meltCurve_C9J3G2_CBWD2.pdf</v>
      </c>
    </row>
    <row r="274" spans="1:28" x14ac:dyDescent="0.25">
      <c r="A274" t="s">
        <v>278</v>
      </c>
      <c r="B274">
        <v>0.99193492352474899</v>
      </c>
      <c r="C274">
        <v>0.71792143523219198</v>
      </c>
      <c r="D274">
        <v>0.79083998732402006</v>
      </c>
      <c r="E274">
        <v>0.409662226222546</v>
      </c>
      <c r="F274">
        <v>0.40943546899090999</v>
      </c>
      <c r="G274">
        <v>0.28171784357886898</v>
      </c>
      <c r="H274">
        <v>0.215764342563356</v>
      </c>
      <c r="I274">
        <v>0.15165749535869799</v>
      </c>
      <c r="J274">
        <v>0.24143228893540999</v>
      </c>
      <c r="K274">
        <v>0.15025888603312701</v>
      </c>
      <c r="L274">
        <v>555.35233613808703</v>
      </c>
      <c r="M274">
        <v>11.561424868445</v>
      </c>
      <c r="N274">
        <v>49.592265467257697</v>
      </c>
      <c r="O274">
        <v>46.665295242558102</v>
      </c>
      <c r="P274">
        <v>-5.2523988131128803E-2</v>
      </c>
      <c r="Q274">
        <v>0.152227275733374</v>
      </c>
      <c r="R274">
        <v>0.94214439800276295</v>
      </c>
      <c r="S274" t="s">
        <v>6944</v>
      </c>
      <c r="T274" t="s">
        <v>13338</v>
      </c>
      <c r="U274" t="s">
        <v>13338</v>
      </c>
      <c r="V274" t="s">
        <v>13338</v>
      </c>
      <c r="W274" t="s">
        <v>13609</v>
      </c>
      <c r="X274">
        <v>2</v>
      </c>
      <c r="Y274" t="s">
        <v>20213</v>
      </c>
      <c r="Z274" t="s">
        <v>26689</v>
      </c>
      <c r="AA274">
        <v>0.41460438709008501</v>
      </c>
      <c r="AB274" t="str">
        <f>HYPERLINK("Melting_Curves/meltCurve_C9J494_MKRN2.pdf", "Melting_Curves/meltCurve_C9J494_MKRN2.pdf")</f>
        <v>Melting_Curves/meltCurve_C9J494_MKRN2.pdf</v>
      </c>
    </row>
    <row r="275" spans="1:28" x14ac:dyDescent="0.25">
      <c r="A275" t="s">
        <v>279</v>
      </c>
      <c r="B275">
        <v>0.99193492352474899</v>
      </c>
      <c r="C275">
        <v>0.79693762739128604</v>
      </c>
      <c r="D275">
        <v>0.94235471581753105</v>
      </c>
      <c r="E275">
        <v>0.62990488231265696</v>
      </c>
      <c r="F275">
        <v>0.45646105491907202</v>
      </c>
      <c r="G275">
        <v>0.26329447255923299</v>
      </c>
      <c r="H275">
        <v>0.18171820765408001</v>
      </c>
      <c r="I275">
        <v>0.12830541931588399</v>
      </c>
      <c r="J275">
        <v>0.13561893280441301</v>
      </c>
      <c r="K275">
        <v>0.12543716139362601</v>
      </c>
      <c r="L275">
        <v>697.41585945850204</v>
      </c>
      <c r="M275">
        <v>13.572800850874399</v>
      </c>
      <c r="N275">
        <v>52.114268547538401</v>
      </c>
      <c r="O275">
        <v>50.306396735716703</v>
      </c>
      <c r="P275">
        <v>-6.1613824402146897E-2</v>
      </c>
      <c r="Q275">
        <v>8.6671105005814306E-2</v>
      </c>
      <c r="R275">
        <v>0.97057873779614701</v>
      </c>
      <c r="S275" t="s">
        <v>6945</v>
      </c>
      <c r="T275" t="s">
        <v>13338</v>
      </c>
      <c r="U275" t="s">
        <v>13338</v>
      </c>
      <c r="V275" t="s">
        <v>13338</v>
      </c>
      <c r="W275" t="s">
        <v>13610</v>
      </c>
      <c r="X275">
        <v>13</v>
      </c>
      <c r="Y275" t="s">
        <v>20214</v>
      </c>
      <c r="Z275" t="s">
        <v>26690</v>
      </c>
      <c r="AA275">
        <v>0.45758592283589078</v>
      </c>
      <c r="AB275" t="str">
        <f>HYPERLINK("Melting_Curves/meltCurve_C9J5C3_PDCD10.pdf", "Melting_Curves/meltCurve_C9J5C3_PDCD10.pdf")</f>
        <v>Melting_Curves/meltCurve_C9J5C3_PDCD10.pdf</v>
      </c>
    </row>
    <row r="276" spans="1:28" x14ac:dyDescent="0.25">
      <c r="A276" t="s">
        <v>280</v>
      </c>
      <c r="B276">
        <v>0.99193492352474899</v>
      </c>
      <c r="C276">
        <v>0.84226867634482505</v>
      </c>
      <c r="D276">
        <v>0.89217213155237396</v>
      </c>
      <c r="E276">
        <v>0.66748268152572698</v>
      </c>
      <c r="F276">
        <v>0.28841079228619898</v>
      </c>
      <c r="G276">
        <v>0.153243869532764</v>
      </c>
      <c r="H276">
        <v>8.7529885303667204E-2</v>
      </c>
      <c r="I276">
        <v>0.13581739797921899</v>
      </c>
      <c r="J276">
        <v>7.60565850450685E-2</v>
      </c>
      <c r="K276">
        <v>1.0692535847754201</v>
      </c>
      <c r="L276">
        <v>2073.4283240351901</v>
      </c>
      <c r="M276">
        <v>41.839779565368801</v>
      </c>
      <c r="N276">
        <v>50.647191242967402</v>
      </c>
      <c r="O276">
        <v>49.443586169656101</v>
      </c>
      <c r="P276">
        <v>-0.14873440248620201</v>
      </c>
      <c r="Q276">
        <v>0.29694191257581298</v>
      </c>
      <c r="R276">
        <v>0.48895316061843103</v>
      </c>
      <c r="S276" t="s">
        <v>6946</v>
      </c>
      <c r="T276" t="s">
        <v>13338</v>
      </c>
      <c r="U276" t="s">
        <v>13338</v>
      </c>
      <c r="V276" t="s">
        <v>13338</v>
      </c>
      <c r="W276" t="s">
        <v>13611</v>
      </c>
      <c r="X276">
        <v>1</v>
      </c>
      <c r="Y276" t="s">
        <v>20215</v>
      </c>
      <c r="Z276" t="s">
        <v>26691</v>
      </c>
      <c r="AA276">
        <v>0.52309904815658448</v>
      </c>
      <c r="AB276" t="str">
        <f>HYPERLINK("Melting_Curves/meltCurve_C9J5W6_TAGLN3.pdf", "Melting_Curves/meltCurve_C9J5W6_TAGLN3.pdf")</f>
        <v>Melting_Curves/meltCurve_C9J5W6_TAGLN3.pdf</v>
      </c>
    </row>
    <row r="277" spans="1:28" x14ac:dyDescent="0.25">
      <c r="A277" t="s">
        <v>281</v>
      </c>
      <c r="B277">
        <v>0.99193492352474899</v>
      </c>
      <c r="C277">
        <v>1.1350052128466901</v>
      </c>
      <c r="D277">
        <v>0.674716710408791</v>
      </c>
      <c r="E277">
        <v>0.31154897082619398</v>
      </c>
      <c r="F277">
        <v>0.150364875141695</v>
      </c>
      <c r="G277">
        <v>0.116457401884691</v>
      </c>
      <c r="H277">
        <v>9.6486537860971694E-2</v>
      </c>
      <c r="I277">
        <v>0.185897643099521</v>
      </c>
      <c r="J277">
        <v>0.186061358453813</v>
      </c>
      <c r="K277">
        <v>0.20015587810890401</v>
      </c>
      <c r="L277">
        <v>1735.5174254650001</v>
      </c>
      <c r="M277">
        <v>37.033176455431899</v>
      </c>
      <c r="N277">
        <v>47.358600998244199</v>
      </c>
      <c r="O277">
        <v>46.727832742672497</v>
      </c>
      <c r="P277">
        <v>-0.16634981718287201</v>
      </c>
      <c r="Q277">
        <v>0.16041287658770301</v>
      </c>
      <c r="R277">
        <v>0.96963503251258298</v>
      </c>
      <c r="S277" t="s">
        <v>6947</v>
      </c>
      <c r="T277" t="s">
        <v>13338</v>
      </c>
      <c r="U277" t="s">
        <v>13338</v>
      </c>
      <c r="V277" t="s">
        <v>13338</v>
      </c>
      <c r="W277" t="s">
        <v>13612</v>
      </c>
      <c r="X277">
        <v>3</v>
      </c>
      <c r="Y277" t="s">
        <v>20216</v>
      </c>
      <c r="Z277" t="s">
        <v>26692</v>
      </c>
      <c r="AA277">
        <v>0.35572742355400638</v>
      </c>
      <c r="AB277" t="str">
        <f>HYPERLINK("Melting_Curves/meltCurve_C9J5X1_IGF1R.pdf", "Melting_Curves/meltCurve_C9J5X1_IGF1R.pdf")</f>
        <v>Melting_Curves/meltCurve_C9J5X1_IGF1R.pdf</v>
      </c>
    </row>
    <row r="278" spans="1:28" x14ac:dyDescent="0.25">
      <c r="A278" t="s">
        <v>282</v>
      </c>
      <c r="B278">
        <v>0.99193492352474899</v>
      </c>
      <c r="C278">
        <v>0.66331267152933904</v>
      </c>
      <c r="D278">
        <v>0.91717446589751905</v>
      </c>
      <c r="E278">
        <v>0.66934984909823303</v>
      </c>
      <c r="F278">
        <v>0.67584406972780797</v>
      </c>
      <c r="G278">
        <v>0.46719249063450502</v>
      </c>
      <c r="H278">
        <v>0.42929439397388103</v>
      </c>
      <c r="I278">
        <v>0.52132160853727405</v>
      </c>
      <c r="J278">
        <v>0.74318050130900404</v>
      </c>
      <c r="K278">
        <v>1.1225588698271001</v>
      </c>
      <c r="L278">
        <v>759.84056017253795</v>
      </c>
      <c r="M278">
        <v>17.885896431050199</v>
      </c>
      <c r="O278">
        <v>41.962285860323597</v>
      </c>
      <c r="P278">
        <v>-3.5424795542573002E-2</v>
      </c>
      <c r="Q278">
        <v>0.66757490742148096</v>
      </c>
      <c r="R278">
        <v>0.15790891587727701</v>
      </c>
      <c r="S278" t="s">
        <v>6948</v>
      </c>
      <c r="T278" t="s">
        <v>13338</v>
      </c>
      <c r="U278" t="s">
        <v>13338</v>
      </c>
      <c r="V278" t="s">
        <v>13338</v>
      </c>
      <c r="W278" t="s">
        <v>13613</v>
      </c>
      <c r="X278">
        <v>6</v>
      </c>
      <c r="Y278" t="s">
        <v>20217</v>
      </c>
      <c r="Z278" t="s">
        <v>26693</v>
      </c>
      <c r="AA278">
        <v>0.70607699885614583</v>
      </c>
      <c r="AB278" t="str">
        <f>HYPERLINK("Melting_Curves/meltCurve_C9J6N5_FAM107B.pdf", "Melting_Curves/meltCurve_C9J6N5_FAM107B.pdf")</f>
        <v>Melting_Curves/meltCurve_C9J6N5_FAM107B.pdf</v>
      </c>
    </row>
    <row r="279" spans="1:28" x14ac:dyDescent="0.25">
      <c r="A279" t="s">
        <v>283</v>
      </c>
      <c r="B279">
        <v>0.99193492352474899</v>
      </c>
      <c r="C279">
        <v>0.604939429551969</v>
      </c>
      <c r="D279">
        <v>0.90819340694126005</v>
      </c>
      <c r="E279">
        <v>0.108218905095837</v>
      </c>
      <c r="F279">
        <v>0.10288132272959701</v>
      </c>
      <c r="G279">
        <v>5.35564389664041E-2</v>
      </c>
      <c r="H279">
        <v>0</v>
      </c>
      <c r="I279">
        <v>0</v>
      </c>
      <c r="J279">
        <v>0</v>
      </c>
      <c r="K279">
        <v>0</v>
      </c>
      <c r="L279">
        <v>2731.0759748683199</v>
      </c>
      <c r="M279">
        <v>57.278289395671202</v>
      </c>
      <c r="N279">
        <v>47.721813429914697</v>
      </c>
      <c r="O279">
        <v>47.622818790476501</v>
      </c>
      <c r="P279">
        <v>-0.29346972311022401</v>
      </c>
      <c r="Q279">
        <v>2.40040040927555E-2</v>
      </c>
      <c r="R279">
        <v>0.88538670529207197</v>
      </c>
      <c r="S279" t="s">
        <v>6949</v>
      </c>
      <c r="T279" t="s">
        <v>13338</v>
      </c>
      <c r="U279" t="s">
        <v>13338</v>
      </c>
      <c r="V279" t="s">
        <v>13338</v>
      </c>
      <c r="W279" t="s">
        <v>13614</v>
      </c>
      <c r="X279">
        <v>17</v>
      </c>
      <c r="Y279" t="s">
        <v>20218</v>
      </c>
      <c r="Z279" t="s">
        <v>26694</v>
      </c>
      <c r="AA279">
        <v>0.27544817166434288</v>
      </c>
      <c r="AB279" t="str">
        <f>HYPERLINK("Melting_Curves/meltCurve_C9J6P4_ZC3HAV1.pdf", "Melting_Curves/meltCurve_C9J6P4_ZC3HAV1.pdf")</f>
        <v>Melting_Curves/meltCurve_C9J6P4_ZC3HAV1.pdf</v>
      </c>
    </row>
    <row r="280" spans="1:28" x14ac:dyDescent="0.25">
      <c r="A280" t="s">
        <v>284</v>
      </c>
      <c r="B280">
        <v>0.99193492352474899</v>
      </c>
      <c r="C280">
        <v>0.94749886365540104</v>
      </c>
      <c r="D280">
        <v>0.80491886158703096</v>
      </c>
      <c r="E280">
        <v>0.60746385946415704</v>
      </c>
      <c r="F280">
        <v>0.26014311554359199</v>
      </c>
      <c r="G280">
        <v>0.10953182257850699</v>
      </c>
      <c r="H280">
        <v>6.6611948642523303E-2</v>
      </c>
      <c r="I280">
        <v>8.1144491647840905E-2</v>
      </c>
      <c r="J280">
        <v>7.8446386395253295E-2</v>
      </c>
      <c r="K280">
        <v>8.8224427595812505E-2</v>
      </c>
      <c r="L280">
        <v>969.45567823890804</v>
      </c>
      <c r="M280">
        <v>19.423816001268602</v>
      </c>
      <c r="N280">
        <v>50.2378224235378</v>
      </c>
      <c r="O280">
        <v>49.3906882082278</v>
      </c>
      <c r="P280">
        <v>-9.2479756452800599E-2</v>
      </c>
      <c r="Q280">
        <v>5.9408107554898698E-2</v>
      </c>
      <c r="R280">
        <v>0.99481563564578801</v>
      </c>
      <c r="S280" t="s">
        <v>6950</v>
      </c>
      <c r="T280" t="s">
        <v>13338</v>
      </c>
      <c r="U280" t="s">
        <v>13338</v>
      </c>
      <c r="V280" t="s">
        <v>13338</v>
      </c>
      <c r="W280" t="s">
        <v>13595</v>
      </c>
      <c r="X280">
        <v>7</v>
      </c>
      <c r="Y280" t="s">
        <v>20199</v>
      </c>
      <c r="Z280" t="s">
        <v>26695</v>
      </c>
      <c r="AA280">
        <v>0.38400601536926898</v>
      </c>
      <c r="AB280" t="str">
        <f>HYPERLINK("Melting_Curves/meltCurve_C9J712_PFN2.pdf", "Melting_Curves/meltCurve_C9J712_PFN2.pdf")</f>
        <v>Melting_Curves/meltCurve_C9J712_PFN2.pdf</v>
      </c>
    </row>
    <row r="281" spans="1:28" x14ac:dyDescent="0.25">
      <c r="A281" t="s">
        <v>285</v>
      </c>
      <c r="B281">
        <v>0.99193492352474899</v>
      </c>
      <c r="C281">
        <v>0.94387934316312805</v>
      </c>
      <c r="D281">
        <v>0.85147896969812098</v>
      </c>
      <c r="E281">
        <v>0.57099878804803395</v>
      </c>
      <c r="F281">
        <v>0.22033054883048001</v>
      </c>
      <c r="G281">
        <v>0.15839169745957701</v>
      </c>
      <c r="H281">
        <v>0.10873832327571099</v>
      </c>
      <c r="I281">
        <v>0.120126620072233</v>
      </c>
      <c r="J281">
        <v>9.80192013731227E-2</v>
      </c>
      <c r="K281">
        <v>0.20389237367264901</v>
      </c>
      <c r="L281">
        <v>1198.90418485487</v>
      </c>
      <c r="M281">
        <v>24.283680463370501</v>
      </c>
      <c r="N281">
        <v>49.961711058745699</v>
      </c>
      <c r="O281">
        <v>49.039630542105201</v>
      </c>
      <c r="P281">
        <v>-0.108345042411887</v>
      </c>
      <c r="Q281">
        <v>0.12482456415352899</v>
      </c>
      <c r="R281">
        <v>0.99076022263542696</v>
      </c>
      <c r="S281" t="s">
        <v>6951</v>
      </c>
      <c r="T281" t="s">
        <v>13338</v>
      </c>
      <c r="U281" t="s">
        <v>13338</v>
      </c>
      <c r="V281" t="s">
        <v>13338</v>
      </c>
      <c r="W281" t="s">
        <v>13615</v>
      </c>
      <c r="X281">
        <v>20</v>
      </c>
      <c r="Y281" t="s">
        <v>20219</v>
      </c>
      <c r="Z281" t="s">
        <v>26696</v>
      </c>
      <c r="AA281">
        <v>0.40644537813744042</v>
      </c>
      <c r="AB281" t="str">
        <f>HYPERLINK("Melting_Curves/meltCurve_C9J7E5_TNPO3.pdf", "Melting_Curves/meltCurve_C9J7E5_TNPO3.pdf")</f>
        <v>Melting_Curves/meltCurve_C9J7E5_TNPO3.pdf</v>
      </c>
    </row>
    <row r="282" spans="1:28" x14ac:dyDescent="0.25">
      <c r="A282" t="s">
        <v>286</v>
      </c>
      <c r="B282">
        <v>0.99193492352474899</v>
      </c>
      <c r="C282">
        <v>0.842795333094014</v>
      </c>
      <c r="D282">
        <v>0.72306913619524005</v>
      </c>
      <c r="E282">
        <v>0.471918025460551</v>
      </c>
      <c r="F282">
        <v>0.46228600791294999</v>
      </c>
      <c r="G282">
        <v>0.235638438009551</v>
      </c>
      <c r="H282">
        <v>0.17313472811200301</v>
      </c>
      <c r="I282">
        <v>0.114749357175397</v>
      </c>
      <c r="J282">
        <v>0.10674427031810101</v>
      </c>
      <c r="K282">
        <v>8.9421718593395094E-2</v>
      </c>
      <c r="L282">
        <v>518.66039599117903</v>
      </c>
      <c r="M282">
        <v>10.3696341892459</v>
      </c>
      <c r="N282">
        <v>50.426596740613498</v>
      </c>
      <c r="O282">
        <v>48.2643324470219</v>
      </c>
      <c r="P282">
        <v>-5.15662840961746E-2</v>
      </c>
      <c r="Q282">
        <v>4.03676092649108E-2</v>
      </c>
      <c r="R282">
        <v>0.98349245499083204</v>
      </c>
      <c r="S282" t="s">
        <v>6952</v>
      </c>
      <c r="T282" t="s">
        <v>13338</v>
      </c>
      <c r="U282" t="s">
        <v>13338</v>
      </c>
      <c r="V282" t="s">
        <v>13338</v>
      </c>
      <c r="W282" t="s">
        <v>13616</v>
      </c>
      <c r="X282">
        <v>2</v>
      </c>
      <c r="Y282" t="s">
        <v>20220</v>
      </c>
      <c r="Z282" t="s">
        <v>26697</v>
      </c>
      <c r="AA282">
        <v>0.40199660185446873</v>
      </c>
      <c r="AB282" t="str">
        <f>HYPERLINK("Melting_Curves/meltCurve_C9J7K9_PLSCR1.pdf", "Melting_Curves/meltCurve_C9J7K9_PLSCR1.pdf")</f>
        <v>Melting_Curves/meltCurve_C9J7K9_PLSCR1.pdf</v>
      </c>
    </row>
    <row r="283" spans="1:28" x14ac:dyDescent="0.25">
      <c r="A283" t="s">
        <v>287</v>
      </c>
      <c r="B283">
        <v>0.99193492352474899</v>
      </c>
      <c r="C283">
        <v>0.626158997137091</v>
      </c>
      <c r="D283">
        <v>0.92508452610986802</v>
      </c>
      <c r="E283">
        <v>0.32090434025126202</v>
      </c>
      <c r="F283">
        <v>0.23450281636182899</v>
      </c>
      <c r="G283">
        <v>0.18278881136748101</v>
      </c>
      <c r="H283">
        <v>0.111844775457423</v>
      </c>
      <c r="I283">
        <v>0.12087010196025599</v>
      </c>
      <c r="J283">
        <v>0.18256711480357499</v>
      </c>
      <c r="K283">
        <v>3.11200030655941E-2</v>
      </c>
      <c r="L283">
        <v>716.90394327343597</v>
      </c>
      <c r="M283">
        <v>14.962968055904</v>
      </c>
      <c r="N283">
        <v>48.533363122975302</v>
      </c>
      <c r="O283">
        <v>47.080518035659203</v>
      </c>
      <c r="P283">
        <v>-7.2534312726087402E-2</v>
      </c>
      <c r="Q283">
        <v>8.7184814689068704E-2</v>
      </c>
      <c r="R283">
        <v>0.87067990937649398</v>
      </c>
      <c r="S283" t="s">
        <v>6953</v>
      </c>
      <c r="T283" t="s">
        <v>13338</v>
      </c>
      <c r="U283" t="s">
        <v>13338</v>
      </c>
      <c r="V283" t="s">
        <v>13338</v>
      </c>
      <c r="W283" t="s">
        <v>13617</v>
      </c>
      <c r="X283">
        <v>1</v>
      </c>
      <c r="Y283" t="s">
        <v>20221</v>
      </c>
      <c r="Z283" t="s">
        <v>26698</v>
      </c>
      <c r="AA283">
        <v>0.35162588120093918</v>
      </c>
      <c r="AB283" t="str">
        <f>HYPERLINK("Melting_Curves/meltCurve_C9J929_PHF15.pdf", "Melting_Curves/meltCurve_C9J929_PHF15.pdf")</f>
        <v>Melting_Curves/meltCurve_C9J929_PHF15.pdf</v>
      </c>
    </row>
    <row r="284" spans="1:28" x14ac:dyDescent="0.25">
      <c r="A284" t="s">
        <v>288</v>
      </c>
      <c r="B284">
        <v>0.99193492352474899</v>
      </c>
      <c r="C284">
        <v>0.57649428402014202</v>
      </c>
      <c r="D284">
        <v>0.55514226052285998</v>
      </c>
      <c r="E284">
        <v>0.23383172851556999</v>
      </c>
      <c r="F284">
        <v>0.19368587903737799</v>
      </c>
      <c r="G284">
        <v>6.9392023799373995E-2</v>
      </c>
      <c r="H284">
        <v>2.7500354497777799E-2</v>
      </c>
      <c r="I284">
        <v>6.9908194138004198E-2</v>
      </c>
      <c r="J284">
        <v>0.125191104073127</v>
      </c>
      <c r="K284">
        <v>0.107151561169453</v>
      </c>
      <c r="L284">
        <v>689.08089778769101</v>
      </c>
      <c r="M284">
        <v>15.2662595024961</v>
      </c>
      <c r="N284">
        <v>45.6005901035618</v>
      </c>
      <c r="O284">
        <v>44.384264333288002</v>
      </c>
      <c r="P284">
        <v>-7.98221147445589E-2</v>
      </c>
      <c r="Q284">
        <v>7.1806216486057603E-2</v>
      </c>
      <c r="R284">
        <v>0.94587627912948802</v>
      </c>
      <c r="S284" t="s">
        <v>6954</v>
      </c>
      <c r="T284" t="s">
        <v>13338</v>
      </c>
      <c r="U284" t="s">
        <v>13338</v>
      </c>
      <c r="V284" t="s">
        <v>13338</v>
      </c>
      <c r="W284" t="s">
        <v>13618</v>
      </c>
      <c r="X284">
        <v>2</v>
      </c>
      <c r="Y284" t="s">
        <v>20222</v>
      </c>
      <c r="Z284" t="s">
        <v>26699</v>
      </c>
      <c r="AA284">
        <v>0.25907076382538369</v>
      </c>
      <c r="AB284" t="str">
        <f>HYPERLINK("Melting_Curves/meltCurve_C9J975_AGAP3.pdf", "Melting_Curves/meltCurve_C9J975_AGAP3.pdf")</f>
        <v>Melting_Curves/meltCurve_C9J975_AGAP3.pdf</v>
      </c>
    </row>
    <row r="285" spans="1:28" x14ac:dyDescent="0.25">
      <c r="A285" t="s">
        <v>289</v>
      </c>
      <c r="B285">
        <v>0.99193492352474899</v>
      </c>
      <c r="C285">
        <v>0.98092615349751999</v>
      </c>
      <c r="D285">
        <v>1.0495787223915301</v>
      </c>
      <c r="E285">
        <v>0.84497139966303103</v>
      </c>
      <c r="F285">
        <v>0.670786643395336</v>
      </c>
      <c r="G285">
        <v>0.271514020404169</v>
      </c>
      <c r="H285">
        <v>9.5972981676740204E-2</v>
      </c>
      <c r="I285">
        <v>8.6223878727112901E-2</v>
      </c>
      <c r="J285">
        <v>8.3553033789041303E-2</v>
      </c>
      <c r="K285">
        <v>7.8049453528219306E-2</v>
      </c>
      <c r="L285">
        <v>1348.60259740634</v>
      </c>
      <c r="M285">
        <v>24.909581441758</v>
      </c>
      <c r="N285">
        <v>54.438100848878101</v>
      </c>
      <c r="O285">
        <v>53.794602498333802</v>
      </c>
      <c r="P285">
        <v>-0.108381076423263</v>
      </c>
      <c r="Q285">
        <v>6.3775933771725496E-2</v>
      </c>
      <c r="R285">
        <v>0.99321620392040399</v>
      </c>
      <c r="S285" t="s">
        <v>6955</v>
      </c>
      <c r="T285" t="s">
        <v>13338</v>
      </c>
      <c r="U285" t="s">
        <v>13338</v>
      </c>
      <c r="V285" t="s">
        <v>13338</v>
      </c>
      <c r="W285" t="s">
        <v>13619</v>
      </c>
      <c r="X285">
        <v>17</v>
      </c>
      <c r="Y285" t="s">
        <v>20223</v>
      </c>
      <c r="Z285" t="s">
        <v>26700</v>
      </c>
      <c r="AA285">
        <v>0.51377034943536504</v>
      </c>
      <c r="AB285" t="str">
        <f>HYPERLINK("Melting_Curves/meltCurve_C9J9K3_RPSA.pdf", "Melting_Curves/meltCurve_C9J9K3_RPSA.pdf")</f>
        <v>Melting_Curves/meltCurve_C9J9K3_RPSA.pdf</v>
      </c>
    </row>
    <row r="286" spans="1:28" x14ac:dyDescent="0.25">
      <c r="A286" t="s">
        <v>290</v>
      </c>
      <c r="B286">
        <v>0.99193492352474899</v>
      </c>
      <c r="C286">
        <v>1.0126557949917601</v>
      </c>
      <c r="D286">
        <v>0.83983612237815797</v>
      </c>
      <c r="E286">
        <v>0.79278829428791797</v>
      </c>
      <c r="F286">
        <v>0.57653019445135301</v>
      </c>
      <c r="G286">
        <v>0.51434786416341804</v>
      </c>
      <c r="H286">
        <v>0.210498686414296</v>
      </c>
      <c r="I286">
        <v>0.19506721541418401</v>
      </c>
      <c r="J286">
        <v>0.219907345158141</v>
      </c>
      <c r="K286">
        <v>0.22626423919077901</v>
      </c>
      <c r="L286">
        <v>684.58688408084095</v>
      </c>
      <c r="M286">
        <v>12.759225268031299</v>
      </c>
      <c r="N286">
        <v>55.080788621202302</v>
      </c>
      <c r="O286">
        <v>52.3875241995975</v>
      </c>
      <c r="P286">
        <v>-5.2331637627200098E-2</v>
      </c>
      <c r="Q286">
        <v>0.14069888040568301</v>
      </c>
      <c r="R286">
        <v>0.97314982482410695</v>
      </c>
      <c r="S286" t="s">
        <v>6956</v>
      </c>
      <c r="T286" t="s">
        <v>13338</v>
      </c>
      <c r="U286" t="s">
        <v>13338</v>
      </c>
      <c r="V286" t="s">
        <v>13338</v>
      </c>
      <c r="W286" t="s">
        <v>13620</v>
      </c>
      <c r="X286">
        <v>1</v>
      </c>
      <c r="Y286" t="s">
        <v>20224</v>
      </c>
      <c r="Z286" t="s">
        <v>26701</v>
      </c>
      <c r="AA286">
        <v>0.55354626454724776</v>
      </c>
      <c r="AB286" t="str">
        <f>HYPERLINK("Melting_Curves/meltCurve_C9JA07_COA1.pdf", "Melting_Curves/meltCurve_C9JA07_COA1.pdf")</f>
        <v>Melting_Curves/meltCurve_C9JA07_COA1.pdf</v>
      </c>
    </row>
    <row r="287" spans="1:28" x14ac:dyDescent="0.25">
      <c r="A287" t="s">
        <v>291</v>
      </c>
      <c r="B287">
        <v>0.99193492352474899</v>
      </c>
      <c r="C287">
        <v>1.10781322087719</v>
      </c>
      <c r="D287">
        <v>1.1563689493921101</v>
      </c>
      <c r="E287">
        <v>0.89144497475394502</v>
      </c>
      <c r="F287">
        <v>0.57696031998556996</v>
      </c>
      <c r="G287">
        <v>0.23230510447678801</v>
      </c>
      <c r="H287">
        <v>0.118984655434862</v>
      </c>
      <c r="I287">
        <v>0.15587466611626999</v>
      </c>
      <c r="J287">
        <v>0.136035127608956</v>
      </c>
      <c r="K287">
        <v>0.17109420183717</v>
      </c>
      <c r="L287">
        <v>1775.84751186174</v>
      </c>
      <c r="M287">
        <v>33.398827054804599</v>
      </c>
      <c r="N287">
        <v>53.7080903030947</v>
      </c>
      <c r="O287">
        <v>52.9814204321926</v>
      </c>
      <c r="P287">
        <v>-0.13522167173296601</v>
      </c>
      <c r="Q287">
        <v>0.14198114533373701</v>
      </c>
      <c r="R287">
        <v>0.97628151104254002</v>
      </c>
      <c r="S287" t="s">
        <v>6957</v>
      </c>
      <c r="T287" t="s">
        <v>13338</v>
      </c>
      <c r="U287" t="s">
        <v>13338</v>
      </c>
      <c r="V287" t="s">
        <v>13338</v>
      </c>
      <c r="W287" t="s">
        <v>13621</v>
      </c>
      <c r="X287">
        <v>10</v>
      </c>
      <c r="Y287" t="s">
        <v>20225</v>
      </c>
      <c r="Z287" t="s">
        <v>26702</v>
      </c>
      <c r="AA287">
        <v>0.52319335730181638</v>
      </c>
      <c r="AB287" t="str">
        <f>HYPERLINK("Melting_Curves/meltCurve_C9JA08_NMD3.pdf", "Melting_Curves/meltCurve_C9JA08_NMD3.pdf")</f>
        <v>Melting_Curves/meltCurve_C9JA08_NMD3.pdf</v>
      </c>
    </row>
    <row r="288" spans="1:28" x14ac:dyDescent="0.25">
      <c r="A288" t="s">
        <v>292</v>
      </c>
      <c r="B288">
        <v>0.99193492352474899</v>
      </c>
      <c r="C288">
        <v>1.32947016031617</v>
      </c>
      <c r="D288">
        <v>1.0016266544880801</v>
      </c>
      <c r="E288">
        <v>1.1097254412612401</v>
      </c>
      <c r="F288">
        <v>0.71658500947777803</v>
      </c>
      <c r="G288">
        <v>0.54264255915886195</v>
      </c>
      <c r="H288">
        <v>0.36879336026973503</v>
      </c>
      <c r="I288">
        <v>0.31045506075382401</v>
      </c>
      <c r="J288">
        <v>0.31124697912517002</v>
      </c>
      <c r="K288">
        <v>0.33424119825016102</v>
      </c>
      <c r="L288">
        <v>1559.2872866319301</v>
      </c>
      <c r="M288">
        <v>28.506776964762999</v>
      </c>
      <c r="N288">
        <v>56.762534965009799</v>
      </c>
      <c r="O288">
        <v>54.4317749479317</v>
      </c>
      <c r="P288">
        <v>-8.8686959731396106E-2</v>
      </c>
      <c r="Q288">
        <v>0.32263825112859101</v>
      </c>
      <c r="R288">
        <v>0.89480659478121305</v>
      </c>
      <c r="S288" t="s">
        <v>6958</v>
      </c>
      <c r="T288" t="s">
        <v>13338</v>
      </c>
      <c r="U288" t="s">
        <v>13338</v>
      </c>
      <c r="V288" t="s">
        <v>13338</v>
      </c>
      <c r="W288" t="s">
        <v>13622</v>
      </c>
      <c r="X288">
        <v>5</v>
      </c>
      <c r="Y288" t="s">
        <v>20226</v>
      </c>
      <c r="Z288" t="s">
        <v>26703</v>
      </c>
      <c r="AA288">
        <v>0.6594540477341343</v>
      </c>
      <c r="AB288" t="str">
        <f>HYPERLINK("Melting_Curves/meltCurve_C9JA28_SSR3.pdf", "Melting_Curves/meltCurve_C9JA28_SSR3.pdf")</f>
        <v>Melting_Curves/meltCurve_C9JA28_SSR3.pdf</v>
      </c>
    </row>
    <row r="289" spans="1:28" x14ac:dyDescent="0.25">
      <c r="A289" t="s">
        <v>293</v>
      </c>
      <c r="B289">
        <v>0.99193492352474899</v>
      </c>
      <c r="C289">
        <v>0.73814907663711504</v>
      </c>
      <c r="D289">
        <v>0.60115084509804295</v>
      </c>
      <c r="E289">
        <v>0.49690750553741397</v>
      </c>
      <c r="F289">
        <v>0.33712843643054902</v>
      </c>
      <c r="G289">
        <v>0.21427002273745599</v>
      </c>
      <c r="H289">
        <v>0.16253896191905101</v>
      </c>
      <c r="I289">
        <v>0.26138814374698699</v>
      </c>
      <c r="J289">
        <v>0.33216621065839502</v>
      </c>
      <c r="K289">
        <v>0.57468090710742903</v>
      </c>
      <c r="L289">
        <v>806.67504710120102</v>
      </c>
      <c r="M289">
        <v>17.918262544396001</v>
      </c>
      <c r="N289">
        <v>47.621253466900598</v>
      </c>
      <c r="O289">
        <v>44.470206987308899</v>
      </c>
      <c r="P289">
        <v>-6.92936363685457E-2</v>
      </c>
      <c r="Q289">
        <v>0.31213251211380499</v>
      </c>
      <c r="R289">
        <v>0.80119932862931897</v>
      </c>
      <c r="S289" t="s">
        <v>6959</v>
      </c>
      <c r="T289" t="s">
        <v>13338</v>
      </c>
      <c r="U289" t="s">
        <v>13338</v>
      </c>
      <c r="V289" t="s">
        <v>13338</v>
      </c>
      <c r="W289" t="s">
        <v>13623</v>
      </c>
      <c r="X289">
        <v>12</v>
      </c>
      <c r="Y289" t="s">
        <v>20227</v>
      </c>
      <c r="Z289" t="s">
        <v>26704</v>
      </c>
      <c r="AA289">
        <v>0.44218462635841488</v>
      </c>
      <c r="AB289" t="str">
        <f>HYPERLINK("Melting_Curves/meltCurve_C9JAB2_SRSF7.pdf", "Melting_Curves/meltCurve_C9JAB2_SRSF7.pdf")</f>
        <v>Melting_Curves/meltCurve_C9JAB2_SRSF7.pdf</v>
      </c>
    </row>
    <row r="290" spans="1:28" x14ac:dyDescent="0.25">
      <c r="A290" t="s">
        <v>294</v>
      </c>
      <c r="B290">
        <v>0.99193492352474899</v>
      </c>
      <c r="C290">
        <v>0.59723432454837</v>
      </c>
      <c r="D290">
        <v>1.05084430701966</v>
      </c>
      <c r="E290">
        <v>0.84550686731020697</v>
      </c>
      <c r="F290">
        <v>0.86241880852120401</v>
      </c>
      <c r="G290">
        <v>0.56555557138912105</v>
      </c>
      <c r="H290">
        <v>0.38433587757799498</v>
      </c>
      <c r="I290">
        <v>0.53317327869525399</v>
      </c>
      <c r="J290">
        <v>0.70628014408328599</v>
      </c>
      <c r="K290">
        <v>1.1511146120566</v>
      </c>
      <c r="L290">
        <v>437.36224340597801</v>
      </c>
      <c r="M290">
        <v>9.86641101424852</v>
      </c>
      <c r="O290">
        <v>42.622591945687503</v>
      </c>
      <c r="P290">
        <v>-1.76001484546193E-2</v>
      </c>
      <c r="Q290">
        <v>0.69602725551019295</v>
      </c>
      <c r="R290">
        <v>8.5712525219803298E-2</v>
      </c>
      <c r="S290" t="s">
        <v>6960</v>
      </c>
      <c r="T290" t="s">
        <v>13338</v>
      </c>
      <c r="U290" t="s">
        <v>13338</v>
      </c>
      <c r="V290" t="s">
        <v>13338</v>
      </c>
      <c r="W290" t="s">
        <v>13624</v>
      </c>
      <c r="X290">
        <v>4</v>
      </c>
      <c r="Y290" t="s">
        <v>20228</v>
      </c>
      <c r="Z290" t="s">
        <v>26705</v>
      </c>
      <c r="AA290">
        <v>0.76260973687365563</v>
      </c>
      <c r="AB290" t="str">
        <f>HYPERLINK("Melting_Curves/meltCurve_C9JAX1_FXN.pdf", "Melting_Curves/meltCurve_C9JAX1_FXN.pdf")</f>
        <v>Melting_Curves/meltCurve_C9JAX1_FXN.pdf</v>
      </c>
    </row>
    <row r="291" spans="1:28" x14ac:dyDescent="0.25">
      <c r="A291" t="s">
        <v>295</v>
      </c>
      <c r="B291">
        <v>0.99193492352474899</v>
      </c>
      <c r="C291">
        <v>0.73963332038845397</v>
      </c>
      <c r="D291">
        <v>0.77241378129902905</v>
      </c>
      <c r="E291">
        <v>0.43736305082419102</v>
      </c>
      <c r="F291">
        <v>0.26376965713322997</v>
      </c>
      <c r="G291">
        <v>0.15675115118413799</v>
      </c>
      <c r="H291">
        <v>0.117438123349728</v>
      </c>
      <c r="I291">
        <v>0.127368718625649</v>
      </c>
      <c r="J291">
        <v>0.18729637864648599</v>
      </c>
      <c r="K291">
        <v>0.21705488839963499</v>
      </c>
      <c r="L291">
        <v>750.619536325946</v>
      </c>
      <c r="M291">
        <v>15.775694316715899</v>
      </c>
      <c r="N291">
        <v>48.588242293520203</v>
      </c>
      <c r="O291">
        <v>46.835906712836398</v>
      </c>
      <c r="P291">
        <v>-7.2466551211920194E-2</v>
      </c>
      <c r="Q291">
        <v>0.13949795756486899</v>
      </c>
      <c r="R291">
        <v>0.95871590673303897</v>
      </c>
      <c r="S291" t="s">
        <v>6961</v>
      </c>
      <c r="T291" t="s">
        <v>13338</v>
      </c>
      <c r="U291" t="s">
        <v>13338</v>
      </c>
      <c r="V291" t="s">
        <v>13338</v>
      </c>
      <c r="W291" t="s">
        <v>13625</v>
      </c>
      <c r="X291">
        <v>8</v>
      </c>
      <c r="Y291" t="s">
        <v>20229</v>
      </c>
      <c r="Z291" t="s">
        <v>26706</v>
      </c>
      <c r="AA291">
        <v>0.37734752753712952</v>
      </c>
      <c r="AB291" t="str">
        <f>HYPERLINK("Melting_Curves/meltCurve_C9JB13_BSDC1.pdf", "Melting_Curves/meltCurve_C9JB13_BSDC1.pdf")</f>
        <v>Melting_Curves/meltCurve_C9JB13_BSDC1.pdf</v>
      </c>
    </row>
    <row r="292" spans="1:28" x14ac:dyDescent="0.25">
      <c r="A292" t="s">
        <v>296</v>
      </c>
      <c r="B292">
        <v>0.99193492352474899</v>
      </c>
      <c r="C292">
        <v>0.92828316447572801</v>
      </c>
      <c r="D292">
        <v>1.20969299930761</v>
      </c>
      <c r="E292">
        <v>0.88887197673154705</v>
      </c>
      <c r="F292">
        <v>0.78403219330952501</v>
      </c>
      <c r="G292">
        <v>0.53111293697851303</v>
      </c>
      <c r="H292">
        <v>0.45145564513800301</v>
      </c>
      <c r="I292">
        <v>0.55243178254486303</v>
      </c>
      <c r="J292">
        <v>0.83698629219079002</v>
      </c>
      <c r="K292">
        <v>0.986081157006788</v>
      </c>
      <c r="L292">
        <v>2136.2947884669102</v>
      </c>
      <c r="M292">
        <v>41.829274556820302</v>
      </c>
      <c r="O292">
        <v>50.955449544656403</v>
      </c>
      <c r="P292">
        <v>-6.5896340381902396E-2</v>
      </c>
      <c r="Q292">
        <v>0.67890699896339501</v>
      </c>
      <c r="R292">
        <v>0.48723705816791202</v>
      </c>
      <c r="S292" t="s">
        <v>6962</v>
      </c>
      <c r="T292" t="s">
        <v>13338</v>
      </c>
      <c r="U292" t="s">
        <v>13338</v>
      </c>
      <c r="V292" t="s">
        <v>13338</v>
      </c>
      <c r="W292" t="s">
        <v>13626</v>
      </c>
      <c r="X292">
        <v>1</v>
      </c>
      <c r="Y292" t="s">
        <v>20230</v>
      </c>
      <c r="Z292" t="s">
        <v>26707</v>
      </c>
      <c r="AA292">
        <v>0.79844499939209967</v>
      </c>
      <c r="AB292" t="str">
        <f>HYPERLINK("Melting_Curves/meltCurve_C9JBL1_SPCS1.pdf", "Melting_Curves/meltCurve_C9JBL1_SPCS1.pdf")</f>
        <v>Melting_Curves/meltCurve_C9JBL1_SPCS1.pdf</v>
      </c>
    </row>
    <row r="293" spans="1:28" x14ac:dyDescent="0.25">
      <c r="A293" t="s">
        <v>297</v>
      </c>
      <c r="B293">
        <v>0.99193492352474899</v>
      </c>
      <c r="C293">
        <v>0.58940295695678102</v>
      </c>
      <c r="D293">
        <v>0.835706819251537</v>
      </c>
      <c r="E293">
        <v>0.51136265200060005</v>
      </c>
      <c r="F293">
        <v>0.146734894100123</v>
      </c>
      <c r="G293">
        <v>7.5754746581435203E-2</v>
      </c>
      <c r="H293">
        <v>5.4320251304644997E-2</v>
      </c>
      <c r="I293">
        <v>4.1779050537198402E-2</v>
      </c>
      <c r="J293">
        <v>5.7197343772827598E-2</v>
      </c>
      <c r="K293">
        <v>6.5928981050105903E-2</v>
      </c>
      <c r="L293">
        <v>630.18342109427601</v>
      </c>
      <c r="M293">
        <v>12.9721547241456</v>
      </c>
      <c r="N293">
        <v>48.579704353752099</v>
      </c>
      <c r="O293">
        <v>47.468703134974497</v>
      </c>
      <c r="P293">
        <v>-6.8331683880948402E-2</v>
      </c>
      <c r="Q293">
        <v>0</v>
      </c>
      <c r="R293">
        <v>0.90158872963207604</v>
      </c>
      <c r="S293" t="s">
        <v>6963</v>
      </c>
      <c r="T293" t="s">
        <v>13338</v>
      </c>
      <c r="U293" t="s">
        <v>13338</v>
      </c>
      <c r="V293" t="s">
        <v>13338</v>
      </c>
      <c r="W293" t="s">
        <v>13627</v>
      </c>
      <c r="X293">
        <v>3</v>
      </c>
      <c r="Y293" t="s">
        <v>20231</v>
      </c>
      <c r="Z293" t="s">
        <v>26708</v>
      </c>
      <c r="AA293">
        <v>0.31887123669013179</v>
      </c>
      <c r="AB293" t="str">
        <f>HYPERLINK("Melting_Curves/meltCurve_C9JBY7_MRPS33.pdf", "Melting_Curves/meltCurve_C9JBY7_MRPS33.pdf")</f>
        <v>Melting_Curves/meltCurve_C9JBY7_MRPS33.pdf</v>
      </c>
    </row>
    <row r="294" spans="1:28" x14ac:dyDescent="0.25">
      <c r="A294" t="s">
        <v>298</v>
      </c>
      <c r="B294">
        <v>0.99193492352474899</v>
      </c>
      <c r="C294">
        <v>0.68515783337229896</v>
      </c>
      <c r="D294">
        <v>0.968735804515091</v>
      </c>
      <c r="E294">
        <v>0.68839356512468097</v>
      </c>
      <c r="F294">
        <v>0.77711524652698705</v>
      </c>
      <c r="G294">
        <v>0.411597508621112</v>
      </c>
      <c r="H294">
        <v>0.356139713207558</v>
      </c>
      <c r="I294">
        <v>0.341522329488257</v>
      </c>
      <c r="J294">
        <v>0.47671423557886</v>
      </c>
      <c r="K294">
        <v>0.55195212071233202</v>
      </c>
      <c r="L294">
        <v>530.5096924421</v>
      </c>
      <c r="M294">
        <v>10.5450116887611</v>
      </c>
      <c r="N294">
        <v>58.4694329795106</v>
      </c>
      <c r="O294">
        <v>48.600863712847399</v>
      </c>
      <c r="P294">
        <v>-3.3359839990613802E-2</v>
      </c>
      <c r="Q294">
        <v>0.38523585684228401</v>
      </c>
      <c r="R294">
        <v>0.68636969244031298</v>
      </c>
      <c r="S294" t="s">
        <v>6964</v>
      </c>
      <c r="T294" t="s">
        <v>13338</v>
      </c>
      <c r="U294" t="s">
        <v>13338</v>
      </c>
      <c r="V294" t="s">
        <v>13338</v>
      </c>
      <c r="W294" t="s">
        <v>13628</v>
      </c>
      <c r="X294">
        <v>6</v>
      </c>
      <c r="Y294" t="s">
        <v>20232</v>
      </c>
      <c r="Z294" t="s">
        <v>26709</v>
      </c>
      <c r="AA294">
        <v>0.62170888538674718</v>
      </c>
      <c r="AB294" t="str">
        <f>HYPERLINK("Melting_Curves/meltCurve_C9JCC6_DRAP1.pdf", "Melting_Curves/meltCurve_C9JCC6_DRAP1.pdf")</f>
        <v>Melting_Curves/meltCurve_C9JCC6_DRAP1.pdf</v>
      </c>
    </row>
    <row r="295" spans="1:28" x14ac:dyDescent="0.25">
      <c r="A295" t="s">
        <v>299</v>
      </c>
      <c r="B295">
        <v>0.99193492352474899</v>
      </c>
      <c r="C295">
        <v>1.0580183930207101</v>
      </c>
      <c r="D295">
        <v>0.84806052094425599</v>
      </c>
      <c r="E295">
        <v>0.54917451445309096</v>
      </c>
      <c r="F295">
        <v>0.232297700992599</v>
      </c>
      <c r="G295">
        <v>0.193790913037934</v>
      </c>
      <c r="H295">
        <v>0.16339082129803301</v>
      </c>
      <c r="I295">
        <v>0.23863925312481901</v>
      </c>
      <c r="J295">
        <v>0.28211324507972102</v>
      </c>
      <c r="K295">
        <v>0.30270251460722303</v>
      </c>
      <c r="L295">
        <v>1522.0261286883299</v>
      </c>
      <c r="M295">
        <v>31.222705814928499</v>
      </c>
      <c r="N295">
        <v>49.718917508237297</v>
      </c>
      <c r="O295">
        <v>48.548767358116898</v>
      </c>
      <c r="P295">
        <v>-0.124067048009032</v>
      </c>
      <c r="Q295">
        <v>0.22834787968643599</v>
      </c>
      <c r="R295">
        <v>0.97686904739790803</v>
      </c>
      <c r="S295" t="s">
        <v>6965</v>
      </c>
      <c r="T295" t="s">
        <v>13338</v>
      </c>
      <c r="U295" t="s">
        <v>13338</v>
      </c>
      <c r="V295" t="s">
        <v>13338</v>
      </c>
      <c r="W295" t="s">
        <v>13629</v>
      </c>
      <c r="X295">
        <v>2</v>
      </c>
      <c r="Y295" t="s">
        <v>20233</v>
      </c>
      <c r="Z295" t="s">
        <v>26710</v>
      </c>
      <c r="AA295">
        <v>0.45766083737208613</v>
      </c>
      <c r="AB295" t="str">
        <f>HYPERLINK("Melting_Curves/meltCurve_C9JCU6_MAP4K2.pdf", "Melting_Curves/meltCurve_C9JCU6_MAP4K2.pdf")</f>
        <v>Melting_Curves/meltCurve_C9JCU6_MAP4K2.pdf</v>
      </c>
    </row>
    <row r="296" spans="1:28" x14ac:dyDescent="0.25">
      <c r="A296" t="s">
        <v>300</v>
      </c>
      <c r="B296">
        <v>0.99193492352474899</v>
      </c>
      <c r="C296">
        <v>0.59945022017537897</v>
      </c>
      <c r="D296">
        <v>0.52048975807098596</v>
      </c>
      <c r="E296">
        <v>0.17554069522121801</v>
      </c>
      <c r="F296">
        <v>0.106182815093086</v>
      </c>
      <c r="G296">
        <v>6.6691365860388999E-2</v>
      </c>
      <c r="H296">
        <v>3.0930958210789099E-2</v>
      </c>
      <c r="I296">
        <v>3.7372697646281997E-2</v>
      </c>
      <c r="J296">
        <v>6.6868002442350694E-2</v>
      </c>
      <c r="K296">
        <v>6.0757632937418302E-2</v>
      </c>
      <c r="L296">
        <v>764.63813040858997</v>
      </c>
      <c r="M296">
        <v>16.974286330261201</v>
      </c>
      <c r="N296">
        <v>45.278051766404602</v>
      </c>
      <c r="O296">
        <v>44.435568739397397</v>
      </c>
      <c r="P296">
        <v>-9.1540353847008399E-2</v>
      </c>
      <c r="Q296">
        <v>4.1516152217339099E-2</v>
      </c>
      <c r="R296">
        <v>0.96809324024407095</v>
      </c>
      <c r="S296" t="s">
        <v>6966</v>
      </c>
      <c r="T296" t="s">
        <v>13338</v>
      </c>
      <c r="U296" t="s">
        <v>13338</v>
      </c>
      <c r="V296" t="s">
        <v>13338</v>
      </c>
      <c r="W296" t="s">
        <v>13630</v>
      </c>
      <c r="X296">
        <v>1</v>
      </c>
      <c r="Y296" t="s">
        <v>20234</v>
      </c>
      <c r="Z296" t="s">
        <v>26711</v>
      </c>
      <c r="AA296">
        <v>0.2262121626367212</v>
      </c>
      <c r="AB296" t="str">
        <f>HYPERLINK("Melting_Curves/meltCurve_C9JDZ2_FAIM.pdf", "Melting_Curves/meltCurve_C9JDZ2_FAIM.pdf")</f>
        <v>Melting_Curves/meltCurve_C9JDZ2_FAIM.pdf</v>
      </c>
    </row>
    <row r="297" spans="1:28" x14ac:dyDescent="0.25">
      <c r="A297" t="s">
        <v>301</v>
      </c>
      <c r="B297">
        <v>0.99193492352474899</v>
      </c>
      <c r="C297">
        <v>0.69863100941573697</v>
      </c>
      <c r="D297">
        <v>0.78363372819250798</v>
      </c>
      <c r="E297">
        <v>0.44831312842541399</v>
      </c>
      <c r="F297">
        <v>0.30347051378448298</v>
      </c>
      <c r="G297">
        <v>0.11643975086837199</v>
      </c>
      <c r="H297">
        <v>7.2973654911044197E-2</v>
      </c>
      <c r="I297">
        <v>7.5968537427910404E-2</v>
      </c>
      <c r="J297">
        <v>9.7010415236797307E-2</v>
      </c>
      <c r="K297">
        <v>0.109082194263408</v>
      </c>
      <c r="L297">
        <v>620.58676357437605</v>
      </c>
      <c r="M297">
        <v>12.793595503976601</v>
      </c>
      <c r="N297">
        <v>48.871120024910098</v>
      </c>
      <c r="O297">
        <v>47.368284854625699</v>
      </c>
      <c r="P297">
        <v>-6.4469604858573504E-2</v>
      </c>
      <c r="Q297">
        <v>4.5384684768082197E-2</v>
      </c>
      <c r="R297">
        <v>0.95878636197988998</v>
      </c>
      <c r="S297" t="s">
        <v>6967</v>
      </c>
      <c r="T297" t="s">
        <v>13338</v>
      </c>
      <c r="U297" t="s">
        <v>13338</v>
      </c>
      <c r="V297" t="s">
        <v>13338</v>
      </c>
      <c r="W297" t="s">
        <v>13631</v>
      </c>
      <c r="X297">
        <v>3</v>
      </c>
      <c r="Y297" t="s">
        <v>20235</v>
      </c>
      <c r="Z297" t="s">
        <v>26712</v>
      </c>
      <c r="AA297">
        <v>0.3484098842156727</v>
      </c>
      <c r="AB297" t="str">
        <f>HYPERLINK("Melting_Curves/meltCurve_C9JE12_TMUB1.pdf", "Melting_Curves/meltCurve_C9JE12_TMUB1.pdf")</f>
        <v>Melting_Curves/meltCurve_C9JE12_TMUB1.pdf</v>
      </c>
    </row>
    <row r="298" spans="1:28" x14ac:dyDescent="0.25">
      <c r="A298" t="s">
        <v>302</v>
      </c>
      <c r="B298">
        <v>0.99193492352474899</v>
      </c>
      <c r="C298">
        <v>1.0834762227331101</v>
      </c>
      <c r="D298">
        <v>0.86328297728013703</v>
      </c>
      <c r="E298">
        <v>0.80938435285254295</v>
      </c>
      <c r="F298">
        <v>0.58400900453689397</v>
      </c>
      <c r="G298">
        <v>0.494410490968276</v>
      </c>
      <c r="H298">
        <v>0.35263647727730402</v>
      </c>
      <c r="I298">
        <v>0.37605888354698203</v>
      </c>
      <c r="J298">
        <v>0.40063544807177498</v>
      </c>
      <c r="K298">
        <v>0.34885668221395</v>
      </c>
      <c r="L298">
        <v>895.160483729053</v>
      </c>
      <c r="M298">
        <v>17.334103163617002</v>
      </c>
      <c r="N298">
        <v>55.586979121781098</v>
      </c>
      <c r="O298">
        <v>50.9689794402546</v>
      </c>
      <c r="P298">
        <v>-5.4936279549439901E-2</v>
      </c>
      <c r="Q298">
        <v>0.353901194900196</v>
      </c>
      <c r="R298">
        <v>0.97218444490456302</v>
      </c>
      <c r="S298" t="s">
        <v>6968</v>
      </c>
      <c r="T298" t="s">
        <v>13338</v>
      </c>
      <c r="U298" t="s">
        <v>13338</v>
      </c>
      <c r="V298" t="s">
        <v>13338</v>
      </c>
      <c r="W298" t="s">
        <v>13632</v>
      </c>
      <c r="X298">
        <v>7</v>
      </c>
      <c r="Y298" t="s">
        <v>20236</v>
      </c>
      <c r="Z298" t="s">
        <v>26713</v>
      </c>
      <c r="AA298">
        <v>0.61615018436356295</v>
      </c>
      <c r="AB298" t="str">
        <f>HYPERLINK("Melting_Curves/meltCurve_C9JE82_CACNA2D2.pdf", "Melting_Curves/meltCurve_C9JE82_CACNA2D2.pdf")</f>
        <v>Melting_Curves/meltCurve_C9JE82_CACNA2D2.pdf</v>
      </c>
    </row>
    <row r="299" spans="1:28" x14ac:dyDescent="0.25">
      <c r="A299" t="s">
        <v>303</v>
      </c>
      <c r="B299">
        <v>0.99193492352474899</v>
      </c>
      <c r="C299">
        <v>0.84237971373911102</v>
      </c>
      <c r="D299">
        <v>0.70890789120807196</v>
      </c>
      <c r="E299">
        <v>0.52193965282035404</v>
      </c>
      <c r="F299">
        <v>0.37992346175699299</v>
      </c>
      <c r="G299">
        <v>0.25597637107971</v>
      </c>
      <c r="H299">
        <v>0.253269849089444</v>
      </c>
      <c r="I299">
        <v>0.31515205105859001</v>
      </c>
      <c r="J299">
        <v>0.38497002295979199</v>
      </c>
      <c r="K299">
        <v>0.498263664254257</v>
      </c>
      <c r="L299">
        <v>898.01423679869094</v>
      </c>
      <c r="M299">
        <v>19.365984177658699</v>
      </c>
      <c r="N299">
        <v>49.265007324593903</v>
      </c>
      <c r="O299">
        <v>45.8847590748681</v>
      </c>
      <c r="P299">
        <v>-6.9670656157058003E-2</v>
      </c>
      <c r="Q299">
        <v>0.339728395869205</v>
      </c>
      <c r="R299">
        <v>0.91336570952937701</v>
      </c>
      <c r="S299" t="s">
        <v>6969</v>
      </c>
      <c r="T299" t="s">
        <v>13338</v>
      </c>
      <c r="U299" t="s">
        <v>13338</v>
      </c>
      <c r="V299" t="s">
        <v>13338</v>
      </c>
      <c r="W299" t="s">
        <v>13633</v>
      </c>
      <c r="X299">
        <v>13</v>
      </c>
      <c r="Y299" t="s">
        <v>20237</v>
      </c>
      <c r="Z299" t="s">
        <v>26714</v>
      </c>
      <c r="AA299">
        <v>0.49066073719674302</v>
      </c>
      <c r="AB299" t="str">
        <f>HYPERLINK("Melting_Curves/meltCurve_C9JE98_NCOR2.pdf", "Melting_Curves/meltCurve_C9JE98_NCOR2.pdf")</f>
        <v>Melting_Curves/meltCurve_C9JE98_NCOR2.pdf</v>
      </c>
    </row>
    <row r="300" spans="1:28" x14ac:dyDescent="0.25">
      <c r="A300" t="s">
        <v>304</v>
      </c>
      <c r="B300">
        <v>0.99193492352474899</v>
      </c>
      <c r="C300">
        <v>0.75519373313372196</v>
      </c>
      <c r="D300">
        <v>0.63085262729938496</v>
      </c>
      <c r="E300">
        <v>0.38583222082744301</v>
      </c>
      <c r="F300">
        <v>0.21899245156255101</v>
      </c>
      <c r="G300">
        <v>0.17342777815195301</v>
      </c>
      <c r="H300">
        <v>0.14133400079148001</v>
      </c>
      <c r="I300">
        <v>0.105202705927117</v>
      </c>
      <c r="J300">
        <v>7.3510299869665605E-2</v>
      </c>
      <c r="K300">
        <v>7.9783248853459804E-2</v>
      </c>
      <c r="L300">
        <v>650.40942490171096</v>
      </c>
      <c r="M300">
        <v>13.814539143534599</v>
      </c>
      <c r="N300">
        <v>47.673500088482498</v>
      </c>
      <c r="O300">
        <v>46.127837733938101</v>
      </c>
      <c r="P300">
        <v>-6.8979197261303707E-2</v>
      </c>
      <c r="Q300">
        <v>7.8820458647637495E-2</v>
      </c>
      <c r="R300">
        <v>0.99049713128804195</v>
      </c>
      <c r="S300" t="s">
        <v>6970</v>
      </c>
      <c r="T300" t="s">
        <v>13338</v>
      </c>
      <c r="U300" t="s">
        <v>13338</v>
      </c>
      <c r="V300" t="s">
        <v>13338</v>
      </c>
      <c r="W300" t="s">
        <v>13634</v>
      </c>
      <c r="X300">
        <v>4</v>
      </c>
      <c r="Y300" t="s">
        <v>20238</v>
      </c>
      <c r="Z300" t="s">
        <v>26715</v>
      </c>
      <c r="AA300">
        <v>0.32566379882017771</v>
      </c>
      <c r="AB300" t="str">
        <f>HYPERLINK("Melting_Curves/meltCurve_C9JEL3_EIF4E2.pdf", "Melting_Curves/meltCurve_C9JEL3_EIF4E2.pdf")</f>
        <v>Melting_Curves/meltCurve_C9JEL3_EIF4E2.pdf</v>
      </c>
    </row>
    <row r="301" spans="1:28" x14ac:dyDescent="0.25">
      <c r="A301" t="s">
        <v>305</v>
      </c>
      <c r="B301">
        <v>0.99193492352474899</v>
      </c>
      <c r="C301">
        <v>0.92725037091340701</v>
      </c>
      <c r="D301">
        <v>0.80993128157369398</v>
      </c>
      <c r="E301">
        <v>0.66265550002856</v>
      </c>
      <c r="F301">
        <v>0.28415851820502003</v>
      </c>
      <c r="G301">
        <v>0.154379430323943</v>
      </c>
      <c r="H301">
        <v>0.10483450924632</v>
      </c>
      <c r="I301">
        <v>0.13384817087621401</v>
      </c>
      <c r="J301">
        <v>0.14433889329414501</v>
      </c>
      <c r="K301">
        <v>0.17609086828774101</v>
      </c>
      <c r="L301">
        <v>1017.93127525514</v>
      </c>
      <c r="M301">
        <v>20.3849209359255</v>
      </c>
      <c r="N301">
        <v>50.625238405538497</v>
      </c>
      <c r="O301">
        <v>49.4623799801629</v>
      </c>
      <c r="P301">
        <v>-9.0542613799363597E-2</v>
      </c>
      <c r="Q301">
        <v>0.121248538502638</v>
      </c>
      <c r="R301">
        <v>0.98543402528452795</v>
      </c>
      <c r="S301" t="s">
        <v>6971</v>
      </c>
      <c r="T301" t="s">
        <v>13338</v>
      </c>
      <c r="U301" t="s">
        <v>13338</v>
      </c>
      <c r="V301" t="s">
        <v>13338</v>
      </c>
      <c r="W301" t="s">
        <v>13635</v>
      </c>
      <c r="X301">
        <v>4</v>
      </c>
      <c r="Y301" t="s">
        <v>20239</v>
      </c>
      <c r="Z301" t="s">
        <v>26716</v>
      </c>
      <c r="AA301">
        <v>0.42406426332554498</v>
      </c>
      <c r="AB301" t="str">
        <f>HYPERLINK("Melting_Curves/meltCurve_C9JF58_OSCP1.pdf", "Melting_Curves/meltCurve_C9JF58_OSCP1.pdf")</f>
        <v>Melting_Curves/meltCurve_C9JF58_OSCP1.pdf</v>
      </c>
    </row>
    <row r="302" spans="1:28" x14ac:dyDescent="0.25">
      <c r="A302" t="s">
        <v>306</v>
      </c>
      <c r="B302">
        <v>0.99193492352474899</v>
      </c>
      <c r="C302">
        <v>0.91431358541664198</v>
      </c>
      <c r="D302">
        <v>1.0680297113927</v>
      </c>
      <c r="E302">
        <v>0.67767635674060001</v>
      </c>
      <c r="F302">
        <v>0.65730317978498498</v>
      </c>
      <c r="G302">
        <v>0.475674836800556</v>
      </c>
      <c r="H302">
        <v>0.40182899807091899</v>
      </c>
      <c r="I302">
        <v>0.50218234188910504</v>
      </c>
      <c r="J302">
        <v>0.56612575097814499</v>
      </c>
      <c r="K302">
        <v>0.61116760323430896</v>
      </c>
      <c r="L302">
        <v>5631.7734492789205</v>
      </c>
      <c r="M302">
        <v>114.361328527392</v>
      </c>
      <c r="O302">
        <v>49.230378022845997</v>
      </c>
      <c r="P302">
        <v>-0.26965621540542101</v>
      </c>
      <c r="Q302">
        <v>0.53567247882414304</v>
      </c>
      <c r="R302">
        <v>0.88099381778276198</v>
      </c>
      <c r="S302" t="s">
        <v>6972</v>
      </c>
      <c r="T302" t="s">
        <v>13338</v>
      </c>
      <c r="U302" t="s">
        <v>13338</v>
      </c>
      <c r="V302" t="s">
        <v>13338</v>
      </c>
      <c r="W302" t="s">
        <v>13636</v>
      </c>
      <c r="X302">
        <v>2</v>
      </c>
      <c r="Y302" t="s">
        <v>20240</v>
      </c>
      <c r="Z302" t="s">
        <v>26717</v>
      </c>
      <c r="AA302">
        <v>0.67896141936637922</v>
      </c>
      <c r="AB302" t="str">
        <f>HYPERLINK("Melting_Curves/meltCurve_C9JF66_TRAT1.pdf", "Melting_Curves/meltCurve_C9JF66_TRAT1.pdf")</f>
        <v>Melting_Curves/meltCurve_C9JF66_TRAT1.pdf</v>
      </c>
    </row>
    <row r="303" spans="1:28" x14ac:dyDescent="0.25">
      <c r="A303" t="s">
        <v>307</v>
      </c>
      <c r="B303">
        <v>0.99193492352474899</v>
      </c>
      <c r="C303">
        <v>0.88578190183596095</v>
      </c>
      <c r="D303">
        <v>0.87023870294918204</v>
      </c>
      <c r="E303">
        <v>0.69923226586854803</v>
      </c>
      <c r="F303">
        <v>0.39789286271183399</v>
      </c>
      <c r="G303">
        <v>0.149449307546896</v>
      </c>
      <c r="H303">
        <v>8.8081879967923299E-2</v>
      </c>
      <c r="I303">
        <v>7.73590439882203E-2</v>
      </c>
      <c r="J303">
        <v>7.9659378011267601E-2</v>
      </c>
      <c r="K303">
        <v>9.5717569812428002E-2</v>
      </c>
      <c r="L303">
        <v>921.01390420706196</v>
      </c>
      <c r="M303">
        <v>17.958940507324101</v>
      </c>
      <c r="N303">
        <v>51.618762194288799</v>
      </c>
      <c r="O303">
        <v>50.661225548882001</v>
      </c>
      <c r="P303">
        <v>-8.3761035278609994E-2</v>
      </c>
      <c r="Q303">
        <v>5.4905172915241302E-2</v>
      </c>
      <c r="R303">
        <v>0.99018389987450395</v>
      </c>
      <c r="S303" t="s">
        <v>6973</v>
      </c>
      <c r="T303" t="s">
        <v>13338</v>
      </c>
      <c r="U303" t="s">
        <v>13338</v>
      </c>
      <c r="V303" t="s">
        <v>13338</v>
      </c>
      <c r="W303" t="s">
        <v>13637</v>
      </c>
      <c r="X303">
        <v>19</v>
      </c>
      <c r="Y303" t="s">
        <v>20241</v>
      </c>
      <c r="Z303" t="s">
        <v>26718</v>
      </c>
      <c r="AA303">
        <v>0.42633565785552718</v>
      </c>
      <c r="AB303" t="str">
        <f>HYPERLINK("Melting_Curves/meltCurve_C9JFE4_GPS1.pdf", "Melting_Curves/meltCurve_C9JFE4_GPS1.pdf")</f>
        <v>Melting_Curves/meltCurve_C9JFE4_GPS1.pdf</v>
      </c>
    </row>
    <row r="304" spans="1:28" x14ac:dyDescent="0.25">
      <c r="A304" t="s">
        <v>308</v>
      </c>
      <c r="B304">
        <v>0.99193492352474899</v>
      </c>
      <c r="C304">
        <v>0.79172384580595501</v>
      </c>
      <c r="D304">
        <v>1.02692469626363</v>
      </c>
      <c r="E304">
        <v>0.74289094271852496</v>
      </c>
      <c r="F304">
        <v>0.53746809409024199</v>
      </c>
      <c r="G304">
        <v>0.32349537116932597</v>
      </c>
      <c r="H304">
        <v>0.372084797149835</v>
      </c>
      <c r="I304">
        <v>0.32786853085734802</v>
      </c>
      <c r="J304">
        <v>0.57765288501859802</v>
      </c>
      <c r="K304">
        <v>0.52141928497155998</v>
      </c>
      <c r="L304">
        <v>1786.00369666458</v>
      </c>
      <c r="M304">
        <v>35.689635908311097</v>
      </c>
      <c r="N304">
        <v>52.962214602127503</v>
      </c>
      <c r="O304">
        <v>49.886309624850099</v>
      </c>
      <c r="P304">
        <v>-0.101931471499027</v>
      </c>
      <c r="Q304">
        <v>0.43009019485195998</v>
      </c>
      <c r="R304">
        <v>0.82538840959022897</v>
      </c>
      <c r="S304" t="s">
        <v>6974</v>
      </c>
      <c r="T304" t="s">
        <v>13338</v>
      </c>
      <c r="U304" t="s">
        <v>13338</v>
      </c>
      <c r="V304" t="s">
        <v>13338</v>
      </c>
      <c r="W304" t="s">
        <v>13638</v>
      </c>
      <c r="X304">
        <v>12</v>
      </c>
      <c r="Y304" t="s">
        <v>20242</v>
      </c>
      <c r="Z304" t="s">
        <v>26719</v>
      </c>
      <c r="AA304">
        <v>0.62335284557379644</v>
      </c>
      <c r="AB304" t="str">
        <f>HYPERLINK("Melting_Curves/meltCurve_C9JFR7_CYCS.pdf", "Melting_Curves/meltCurve_C9JFR7_CYCS.pdf")</f>
        <v>Melting_Curves/meltCurve_C9JFR7_CYCS.pdf</v>
      </c>
    </row>
    <row r="305" spans="1:28" x14ac:dyDescent="0.25">
      <c r="A305" t="s">
        <v>309</v>
      </c>
      <c r="B305">
        <v>0.99193492352474899</v>
      </c>
      <c r="C305">
        <v>0.98295249673270002</v>
      </c>
      <c r="D305">
        <v>1.2936049180235201</v>
      </c>
      <c r="E305">
        <v>0.71770982726107502</v>
      </c>
      <c r="F305">
        <v>0.51011565989932295</v>
      </c>
      <c r="G305">
        <v>0.19555733206803999</v>
      </c>
      <c r="H305">
        <v>0.219838773396971</v>
      </c>
      <c r="I305">
        <v>0.22647930420569201</v>
      </c>
      <c r="J305">
        <v>0.32120223342798498</v>
      </c>
      <c r="K305">
        <v>0.37180711996805399</v>
      </c>
      <c r="L305">
        <v>1740.5936376894999</v>
      </c>
      <c r="M305">
        <v>34.060475904354298</v>
      </c>
      <c r="N305">
        <v>52.312934876574403</v>
      </c>
      <c r="O305">
        <v>50.927841736641703</v>
      </c>
      <c r="P305">
        <v>-0.121626913713163</v>
      </c>
      <c r="Q305">
        <v>0.272567815026934</v>
      </c>
      <c r="R305">
        <v>0.89858897009024796</v>
      </c>
      <c r="S305" t="s">
        <v>6975</v>
      </c>
      <c r="T305" t="s">
        <v>13338</v>
      </c>
      <c r="U305" t="s">
        <v>13338</v>
      </c>
      <c r="V305" t="s">
        <v>13338</v>
      </c>
      <c r="W305" t="s">
        <v>13639</v>
      </c>
      <c r="X305">
        <v>1</v>
      </c>
      <c r="Y305" t="s">
        <v>20243</v>
      </c>
      <c r="Z305" t="s">
        <v>26720</v>
      </c>
      <c r="AA305">
        <v>0.54534236066140329</v>
      </c>
      <c r="AB305" t="str">
        <f>HYPERLINK("Melting_Curves/meltCurve_C9JG41_ITM2C.pdf", "Melting_Curves/meltCurve_C9JG41_ITM2C.pdf")</f>
        <v>Melting_Curves/meltCurve_C9JG41_ITM2C.pdf</v>
      </c>
    </row>
    <row r="306" spans="1:28" x14ac:dyDescent="0.25">
      <c r="A306" t="s">
        <v>310</v>
      </c>
      <c r="B306">
        <v>0.99193492352474899</v>
      </c>
      <c r="C306">
        <v>0.97863251886284197</v>
      </c>
      <c r="D306">
        <v>0.84862148841435503</v>
      </c>
      <c r="E306">
        <v>0.75423742058902299</v>
      </c>
      <c r="F306">
        <v>0.59865745432713202</v>
      </c>
      <c r="G306">
        <v>0.39744435671931599</v>
      </c>
      <c r="H306">
        <v>0.241642433454341</v>
      </c>
      <c r="I306">
        <v>0.11695541026489099</v>
      </c>
      <c r="J306">
        <v>0.11581795517978299</v>
      </c>
      <c r="K306">
        <v>9.0267985120608199E-2</v>
      </c>
      <c r="L306">
        <v>618.06620713757695</v>
      </c>
      <c r="M306">
        <v>11.320524405915499</v>
      </c>
      <c r="N306">
        <v>54.596958976817199</v>
      </c>
      <c r="O306">
        <v>52.976512598753203</v>
      </c>
      <c r="P306">
        <v>-5.3438508625780597E-2</v>
      </c>
      <c r="Q306">
        <v>0</v>
      </c>
      <c r="R306">
        <v>0.99569603591685696</v>
      </c>
      <c r="S306" t="s">
        <v>6976</v>
      </c>
      <c r="T306" t="s">
        <v>13338</v>
      </c>
      <c r="U306" t="s">
        <v>13338</v>
      </c>
      <c r="V306" t="s">
        <v>13338</v>
      </c>
      <c r="W306" t="s">
        <v>13640</v>
      </c>
      <c r="X306">
        <v>9</v>
      </c>
      <c r="Y306" t="s">
        <v>20244</v>
      </c>
      <c r="Z306" t="s">
        <v>26721</v>
      </c>
      <c r="AA306">
        <v>0.5122251784178532</v>
      </c>
      <c r="AB306" t="str">
        <f>HYPERLINK("Melting_Curves/meltCurve_C9JG97_AAMP.pdf", "Melting_Curves/meltCurve_C9JG97_AAMP.pdf")</f>
        <v>Melting_Curves/meltCurve_C9JG97_AAMP.pdf</v>
      </c>
    </row>
    <row r="307" spans="1:28" x14ac:dyDescent="0.25">
      <c r="A307" t="s">
        <v>311</v>
      </c>
      <c r="B307">
        <v>0.99193492352474899</v>
      </c>
      <c r="C307">
        <v>1.2237576841917801</v>
      </c>
      <c r="D307">
        <v>0.91009644903721898</v>
      </c>
      <c r="E307">
        <v>0.98452307596475197</v>
      </c>
      <c r="F307">
        <v>0.74173590400077805</v>
      </c>
      <c r="G307">
        <v>0.73400151631427502</v>
      </c>
      <c r="H307">
        <v>0.48215078157287999</v>
      </c>
      <c r="I307">
        <v>0.26221902322130303</v>
      </c>
      <c r="J307">
        <v>0.16709954489157999</v>
      </c>
      <c r="K307">
        <v>0.133275192638524</v>
      </c>
      <c r="L307">
        <v>812.70406366235204</v>
      </c>
      <c r="M307">
        <v>13.5697566772998</v>
      </c>
      <c r="N307">
        <v>59.890835554865198</v>
      </c>
      <c r="O307">
        <v>58.635073080763</v>
      </c>
      <c r="P307">
        <v>-5.7865486376388102E-2</v>
      </c>
      <c r="Q307">
        <v>0</v>
      </c>
      <c r="R307">
        <v>0.94215640771103804</v>
      </c>
      <c r="S307" t="s">
        <v>6977</v>
      </c>
      <c r="T307" t="s">
        <v>13338</v>
      </c>
      <c r="U307" t="s">
        <v>13338</v>
      </c>
      <c r="V307" t="s">
        <v>13338</v>
      </c>
      <c r="W307" t="s">
        <v>13641</v>
      </c>
      <c r="X307">
        <v>26</v>
      </c>
      <c r="Y307" t="s">
        <v>20245</v>
      </c>
      <c r="Z307" t="s">
        <v>26722</v>
      </c>
      <c r="AA307">
        <v>0.66882254094988802</v>
      </c>
      <c r="AB307" t="str">
        <f>HYPERLINK("Melting_Curves/meltCurve_C9JIF9_APEH.pdf", "Melting_Curves/meltCurve_C9JIF9_APEH.pdf")</f>
        <v>Melting_Curves/meltCurve_C9JIF9_APEH.pdf</v>
      </c>
    </row>
    <row r="308" spans="1:28" x14ac:dyDescent="0.25">
      <c r="A308" t="s">
        <v>312</v>
      </c>
      <c r="B308">
        <v>0.99193492352474899</v>
      </c>
      <c r="C308">
        <v>0.83153810171253495</v>
      </c>
      <c r="D308">
        <v>0.94046388562102201</v>
      </c>
      <c r="E308">
        <v>0.77308673444187304</v>
      </c>
      <c r="F308">
        <v>0.67524890947068905</v>
      </c>
      <c r="G308">
        <v>0.54055671464750299</v>
      </c>
      <c r="H308">
        <v>0.52670097978947905</v>
      </c>
      <c r="I308">
        <v>0.59694219758282596</v>
      </c>
      <c r="J308">
        <v>1.0130059832300899</v>
      </c>
      <c r="K308">
        <v>1.1047046035610499</v>
      </c>
      <c r="L308">
        <v>876.75581560056196</v>
      </c>
      <c r="M308">
        <v>19.7493874185609</v>
      </c>
      <c r="O308">
        <v>43.946444450574397</v>
      </c>
      <c r="P308">
        <v>-2.8251900495814799E-2</v>
      </c>
      <c r="Q308">
        <v>0.74854356010141199</v>
      </c>
      <c r="R308">
        <v>0.14001338290152299</v>
      </c>
      <c r="S308" t="s">
        <v>6978</v>
      </c>
      <c r="T308" t="s">
        <v>13338</v>
      </c>
      <c r="U308" t="s">
        <v>13338</v>
      </c>
      <c r="V308" t="s">
        <v>13338</v>
      </c>
      <c r="W308" t="s">
        <v>13642</v>
      </c>
      <c r="X308">
        <v>22</v>
      </c>
      <c r="Y308" t="s">
        <v>20246</v>
      </c>
      <c r="Z308" t="s">
        <v>26723</v>
      </c>
      <c r="AA308">
        <v>0.79011073463342685</v>
      </c>
      <c r="AB308" t="str">
        <f>HYPERLINK("Melting_Curves/meltCurve_C9JIZ6_PSAP.pdf", "Melting_Curves/meltCurve_C9JIZ6_PSAP.pdf")</f>
        <v>Melting_Curves/meltCurve_C9JIZ6_PSAP.pdf</v>
      </c>
    </row>
    <row r="309" spans="1:28" x14ac:dyDescent="0.25">
      <c r="A309" t="s">
        <v>313</v>
      </c>
      <c r="B309">
        <v>0.99193492352474899</v>
      </c>
      <c r="C309">
        <v>0.723518580808718</v>
      </c>
      <c r="D309">
        <v>1.0930446548308199</v>
      </c>
      <c r="E309">
        <v>0.87773543627662398</v>
      </c>
      <c r="F309">
        <v>0.211061628502168</v>
      </c>
      <c r="G309">
        <v>0.124549985496131</v>
      </c>
      <c r="H309">
        <v>8.7001320732555704E-2</v>
      </c>
      <c r="I309">
        <v>0.101510877411201</v>
      </c>
      <c r="J309">
        <v>0.148052031854045</v>
      </c>
      <c r="K309">
        <v>0.16066727180337501</v>
      </c>
      <c r="L309">
        <v>2985.1327060024901</v>
      </c>
      <c r="M309">
        <v>58.341891249997097</v>
      </c>
      <c r="N309">
        <v>51.417654143345899</v>
      </c>
      <c r="O309">
        <v>51.106186065986002</v>
      </c>
      <c r="P309">
        <v>-0.249974242562232</v>
      </c>
      <c r="Q309">
        <v>0.12411312290915601</v>
      </c>
      <c r="R309">
        <v>0.94266825839275403</v>
      </c>
      <c r="S309" t="s">
        <v>6979</v>
      </c>
      <c r="T309" t="s">
        <v>13338</v>
      </c>
      <c r="U309" t="s">
        <v>13338</v>
      </c>
      <c r="V309" t="s">
        <v>13338</v>
      </c>
      <c r="W309" t="s">
        <v>13643</v>
      </c>
      <c r="X309">
        <v>3</v>
      </c>
      <c r="Y309" t="s">
        <v>20247</v>
      </c>
      <c r="Z309" t="s">
        <v>26724</v>
      </c>
      <c r="AA309">
        <v>0.45157374995576038</v>
      </c>
      <c r="AB309" t="str">
        <f>HYPERLINK("Melting_Curves/meltCurve_C9JJ19_MRPS34.pdf", "Melting_Curves/meltCurve_C9JJ19_MRPS34.pdf")</f>
        <v>Melting_Curves/meltCurve_C9JJ19_MRPS34.pdf</v>
      </c>
    </row>
    <row r="310" spans="1:28" x14ac:dyDescent="0.25">
      <c r="A310" t="s">
        <v>314</v>
      </c>
      <c r="B310">
        <v>0.99193492352474899</v>
      </c>
      <c r="C310">
        <v>1.09356704531099</v>
      </c>
      <c r="D310">
        <v>1.0658302820033401</v>
      </c>
      <c r="E310">
        <v>0.41803363806896099</v>
      </c>
      <c r="F310">
        <v>0.29055168398984599</v>
      </c>
      <c r="G310">
        <v>0.114982566248941</v>
      </c>
      <c r="H310">
        <v>7.2329654589655595E-2</v>
      </c>
      <c r="I310">
        <v>8.0005116650373895E-2</v>
      </c>
      <c r="J310">
        <v>9.1401136009732695E-2</v>
      </c>
      <c r="K310">
        <v>7.9904211268742906E-2</v>
      </c>
      <c r="L310">
        <v>3021.4557345368898</v>
      </c>
      <c r="M310">
        <v>61.524171487267701</v>
      </c>
      <c r="N310">
        <v>49.327837417416802</v>
      </c>
      <c r="O310">
        <v>49.058255291433902</v>
      </c>
      <c r="P310">
        <v>-0.27623890910573601</v>
      </c>
      <c r="Q310">
        <v>0.11892881805316501</v>
      </c>
      <c r="R310">
        <v>0.97276006855869701</v>
      </c>
      <c r="S310" t="s">
        <v>6980</v>
      </c>
      <c r="T310" t="s">
        <v>13338</v>
      </c>
      <c r="U310" t="s">
        <v>13338</v>
      </c>
      <c r="V310" t="s">
        <v>13338</v>
      </c>
      <c r="W310" t="s">
        <v>13644</v>
      </c>
      <c r="X310">
        <v>2</v>
      </c>
      <c r="Y310" t="s">
        <v>20248</v>
      </c>
      <c r="Z310" t="s">
        <v>26725</v>
      </c>
      <c r="AA310">
        <v>0.38774071225351447</v>
      </c>
      <c r="AB310" t="str">
        <f>HYPERLINK("Melting_Curves/meltCurve_C9JJN9_VPS8.pdf", "Melting_Curves/meltCurve_C9JJN9_VPS8.pdf")</f>
        <v>Melting_Curves/meltCurve_C9JJN9_VPS8.pdf</v>
      </c>
    </row>
    <row r="311" spans="1:28" x14ac:dyDescent="0.25">
      <c r="A311" t="s">
        <v>315</v>
      </c>
      <c r="B311">
        <v>0.99193492352474899</v>
      </c>
      <c r="C311">
        <v>0.75306293007832004</v>
      </c>
      <c r="D311">
        <v>0.93419358295674704</v>
      </c>
      <c r="E311">
        <v>0.69655055788308695</v>
      </c>
      <c r="F311">
        <v>0.68902221343709003</v>
      </c>
      <c r="G311">
        <v>0.50885520030032905</v>
      </c>
      <c r="H311">
        <v>0.219805163519038</v>
      </c>
      <c r="I311">
        <v>0.20370256395272701</v>
      </c>
      <c r="J311">
        <v>0.24782911875705499</v>
      </c>
      <c r="K311">
        <v>0.28997529420028401</v>
      </c>
      <c r="L311">
        <v>510.17839268217199</v>
      </c>
      <c r="M311">
        <v>9.4171313150938794</v>
      </c>
      <c r="N311">
        <v>55.6181983434616</v>
      </c>
      <c r="O311">
        <v>51.9011096715221</v>
      </c>
      <c r="P311">
        <v>-4.0470374608599501E-2</v>
      </c>
      <c r="Q311">
        <v>0.108359510927203</v>
      </c>
      <c r="R311">
        <v>0.90202585968182702</v>
      </c>
      <c r="S311" t="s">
        <v>6981</v>
      </c>
      <c r="T311" t="s">
        <v>13338</v>
      </c>
      <c r="U311" t="s">
        <v>13338</v>
      </c>
      <c r="V311" t="s">
        <v>13338</v>
      </c>
      <c r="W311" t="s">
        <v>13645</v>
      </c>
      <c r="X311">
        <v>2</v>
      </c>
      <c r="Y311" t="s">
        <v>20249</v>
      </c>
      <c r="Z311" t="s">
        <v>26726</v>
      </c>
      <c r="AA311">
        <v>0.55691252421516291</v>
      </c>
      <c r="AB311" t="str">
        <f>HYPERLINK("Melting_Curves/meltCurve_C9JJU1_SLC38A5.pdf", "Melting_Curves/meltCurve_C9JJU1_SLC38A5.pdf")</f>
        <v>Melting_Curves/meltCurve_C9JJU1_SLC38A5.pdf</v>
      </c>
    </row>
    <row r="312" spans="1:28" x14ac:dyDescent="0.25">
      <c r="A312" t="s">
        <v>316</v>
      </c>
      <c r="B312">
        <v>0.99193492352474899</v>
      </c>
      <c r="C312">
        <v>0.778940261271169</v>
      </c>
      <c r="D312">
        <v>0.90331428277656201</v>
      </c>
      <c r="E312">
        <v>0.54930817747237903</v>
      </c>
      <c r="F312">
        <v>0.36181242819013498</v>
      </c>
      <c r="G312">
        <v>0.23274111006951401</v>
      </c>
      <c r="H312">
        <v>0.17509708380116901</v>
      </c>
      <c r="I312">
        <v>0.14782574322633699</v>
      </c>
      <c r="J312">
        <v>0.18297299929699401</v>
      </c>
      <c r="K312">
        <v>0.161678589459718</v>
      </c>
      <c r="L312">
        <v>762.47074774508906</v>
      </c>
      <c r="M312">
        <v>15.377222730089199</v>
      </c>
      <c r="N312">
        <v>50.662792219929202</v>
      </c>
      <c r="O312">
        <v>48.768549241752403</v>
      </c>
      <c r="P312">
        <v>-6.7831927559674293E-2</v>
      </c>
      <c r="Q312">
        <v>0.13956856210752699</v>
      </c>
      <c r="R312">
        <v>0.96479203242204803</v>
      </c>
      <c r="S312" t="s">
        <v>6982</v>
      </c>
      <c r="T312" t="s">
        <v>13338</v>
      </c>
      <c r="U312" t="s">
        <v>13338</v>
      </c>
      <c r="V312" t="s">
        <v>13338</v>
      </c>
      <c r="W312" t="s">
        <v>13646</v>
      </c>
      <c r="X312">
        <v>6</v>
      </c>
      <c r="Y312" t="s">
        <v>20250</v>
      </c>
      <c r="Z312" t="s">
        <v>26727</v>
      </c>
      <c r="AA312">
        <v>0.43433789517347299</v>
      </c>
      <c r="AB312" t="str">
        <f>HYPERLINK("Melting_Curves/meltCurve_C9JLU1_POLR2H.pdf", "Melting_Curves/meltCurve_C9JLU1_POLR2H.pdf")</f>
        <v>Melting_Curves/meltCurve_C9JLU1_POLR2H.pdf</v>
      </c>
    </row>
    <row r="313" spans="1:28" x14ac:dyDescent="0.25">
      <c r="A313" t="s">
        <v>317</v>
      </c>
      <c r="B313">
        <v>0.99193492352474899</v>
      </c>
      <c r="C313">
        <v>1.23502629091557</v>
      </c>
      <c r="D313">
        <v>1.08679920849755</v>
      </c>
      <c r="E313">
        <v>0.61207270067673203</v>
      </c>
      <c r="F313">
        <v>0.29007064432907098</v>
      </c>
      <c r="G313">
        <v>0.209462553678504</v>
      </c>
      <c r="H313">
        <v>0.13262367280833401</v>
      </c>
      <c r="I313">
        <v>0.105078216920097</v>
      </c>
      <c r="J313">
        <v>0.130506578225875</v>
      </c>
      <c r="K313">
        <v>0.11293558020311099</v>
      </c>
      <c r="L313">
        <v>1776.9838208572801</v>
      </c>
      <c r="M313">
        <v>35.415557120846401</v>
      </c>
      <c r="N313">
        <v>50.6478165090207</v>
      </c>
      <c r="O313">
        <v>50.016062924627199</v>
      </c>
      <c r="P313">
        <v>-0.15211441335194301</v>
      </c>
      <c r="Q313">
        <v>0.14070097053199099</v>
      </c>
      <c r="R313">
        <v>0.95640885861173297</v>
      </c>
      <c r="S313" t="s">
        <v>6983</v>
      </c>
      <c r="T313" t="s">
        <v>13338</v>
      </c>
      <c r="U313" t="s">
        <v>13338</v>
      </c>
      <c r="V313" t="s">
        <v>13338</v>
      </c>
      <c r="W313" t="s">
        <v>13647</v>
      </c>
      <c r="X313">
        <v>2</v>
      </c>
      <c r="Y313" t="s">
        <v>20251</v>
      </c>
      <c r="Z313" t="s">
        <v>26728</v>
      </c>
      <c r="AA313">
        <v>0.43596473009260739</v>
      </c>
      <c r="AB313" t="str">
        <f>HYPERLINK("Melting_Curves/meltCurve_C9JLV4_APAF1.pdf", "Melting_Curves/meltCurve_C9JLV4_APAF1.pdf")</f>
        <v>Melting_Curves/meltCurve_C9JLV4_APAF1.pdf</v>
      </c>
    </row>
    <row r="314" spans="1:28" x14ac:dyDescent="0.25">
      <c r="A314" t="s">
        <v>318</v>
      </c>
      <c r="B314">
        <v>0.99193492352474899</v>
      </c>
      <c r="C314">
        <v>0.641455578379171</v>
      </c>
      <c r="D314">
        <v>0.72777360432511495</v>
      </c>
      <c r="E314">
        <v>0.295992413872954</v>
      </c>
      <c r="F314">
        <v>0.16474338309117201</v>
      </c>
      <c r="G314">
        <v>9.5498753096962097E-2</v>
      </c>
      <c r="H314">
        <v>4.8374332989613099E-2</v>
      </c>
      <c r="I314">
        <v>7.2750371937177205E-2</v>
      </c>
      <c r="J314">
        <v>7.5621506777500999E-2</v>
      </c>
      <c r="K314">
        <v>0.101657951831469</v>
      </c>
      <c r="L314">
        <v>694.48856684865598</v>
      </c>
      <c r="M314">
        <v>14.8444431968031</v>
      </c>
      <c r="N314">
        <v>47.1234450581576</v>
      </c>
      <c r="O314">
        <v>45.960002848432303</v>
      </c>
      <c r="P314">
        <v>-7.6665050085018796E-2</v>
      </c>
      <c r="Q314">
        <v>5.0646851675501099E-2</v>
      </c>
      <c r="R314">
        <v>0.945764055218698</v>
      </c>
      <c r="S314" t="s">
        <v>6984</v>
      </c>
      <c r="T314" t="s">
        <v>13338</v>
      </c>
      <c r="U314" t="s">
        <v>13338</v>
      </c>
      <c r="V314" t="s">
        <v>13338</v>
      </c>
      <c r="W314" t="s">
        <v>13648</v>
      </c>
      <c r="X314">
        <v>7</v>
      </c>
      <c r="Y314" t="s">
        <v>20252</v>
      </c>
      <c r="Z314" t="s">
        <v>26729</v>
      </c>
      <c r="AA314">
        <v>0.2920636990221892</v>
      </c>
      <c r="AB314" t="str">
        <f>HYPERLINK("Melting_Curves/meltCurve_C9JNE2_OARD1.pdf", "Melting_Curves/meltCurve_C9JNE2_OARD1.pdf")</f>
        <v>Melting_Curves/meltCurve_C9JNE2_OARD1.pdf</v>
      </c>
    </row>
    <row r="315" spans="1:28" x14ac:dyDescent="0.25">
      <c r="A315" t="s">
        <v>319</v>
      </c>
      <c r="B315">
        <v>0.99193492352474899</v>
      </c>
      <c r="C315">
        <v>1.05198455291279</v>
      </c>
      <c r="D315">
        <v>0.69057695189816604</v>
      </c>
      <c r="E315">
        <v>0.82013025483081503</v>
      </c>
      <c r="F315">
        <v>0.39512464096247601</v>
      </c>
      <c r="G315">
        <v>0.19309838886265199</v>
      </c>
      <c r="H315">
        <v>0.162495754635545</v>
      </c>
      <c r="I315">
        <v>0.19697172262729901</v>
      </c>
      <c r="J315">
        <v>0.173644505206069</v>
      </c>
      <c r="K315">
        <v>0.33135766921180099</v>
      </c>
      <c r="L315">
        <v>1019.14846845087</v>
      </c>
      <c r="M315">
        <v>20.115629884459199</v>
      </c>
      <c r="N315">
        <v>51.903863607042098</v>
      </c>
      <c r="O315">
        <v>50.171767789828699</v>
      </c>
      <c r="P315">
        <v>-8.1121087194279101E-2</v>
      </c>
      <c r="Q315">
        <v>0.190707150311484</v>
      </c>
      <c r="R315">
        <v>0.91095675354096195</v>
      </c>
      <c r="S315" t="s">
        <v>6985</v>
      </c>
      <c r="T315" t="s">
        <v>13338</v>
      </c>
      <c r="U315" t="s">
        <v>13338</v>
      </c>
      <c r="V315" t="s">
        <v>13338</v>
      </c>
      <c r="W315" t="s">
        <v>13649</v>
      </c>
      <c r="X315">
        <v>10</v>
      </c>
      <c r="Y315" t="s">
        <v>20253</v>
      </c>
      <c r="Z315" t="s">
        <v>26730</v>
      </c>
      <c r="AA315">
        <v>0.48951855780631548</v>
      </c>
      <c r="AB315" t="str">
        <f>HYPERLINK("Melting_Curves/meltCurve_C9JP00_MBNL1.pdf", "Melting_Curves/meltCurve_C9JP00_MBNL1.pdf")</f>
        <v>Melting_Curves/meltCurve_C9JP00_MBNL1.pdf</v>
      </c>
    </row>
    <row r="316" spans="1:28" x14ac:dyDescent="0.25">
      <c r="A316" t="s">
        <v>320</v>
      </c>
      <c r="B316">
        <v>0.99193492352474899</v>
      </c>
      <c r="C316">
        <v>0.94719693009632699</v>
      </c>
      <c r="D316">
        <v>0.93806982012615003</v>
      </c>
      <c r="E316">
        <v>0.79855545072606104</v>
      </c>
      <c r="F316">
        <v>0.50766163372803297</v>
      </c>
      <c r="G316">
        <v>0.35572625542361802</v>
      </c>
      <c r="H316">
        <v>0.209672173396447</v>
      </c>
      <c r="I316">
        <v>0.23579603557599399</v>
      </c>
      <c r="J316">
        <v>0.28773388370557501</v>
      </c>
      <c r="K316">
        <v>0.21446736019097401</v>
      </c>
      <c r="L316">
        <v>1079.9277648509201</v>
      </c>
      <c r="M316">
        <v>20.8132247176062</v>
      </c>
      <c r="N316">
        <v>53.430571532267003</v>
      </c>
      <c r="O316">
        <v>51.414758684388303</v>
      </c>
      <c r="P316">
        <v>-7.8334185569372897E-2</v>
      </c>
      <c r="Q316">
        <v>0.22598819068019199</v>
      </c>
      <c r="R316">
        <v>0.99145611416314094</v>
      </c>
      <c r="S316" t="s">
        <v>6986</v>
      </c>
      <c r="T316" t="s">
        <v>13338</v>
      </c>
      <c r="U316" t="s">
        <v>13338</v>
      </c>
      <c r="V316" t="s">
        <v>13338</v>
      </c>
      <c r="W316" t="s">
        <v>13650</v>
      </c>
      <c r="X316">
        <v>2</v>
      </c>
      <c r="Y316" t="s">
        <v>20254</v>
      </c>
      <c r="Z316" t="s">
        <v>26731</v>
      </c>
      <c r="AA316">
        <v>0.54263570269182226</v>
      </c>
      <c r="AB316" t="str">
        <f>HYPERLINK("Melting_Curves/meltCurve_C9JP16_CRTAP.pdf", "Melting_Curves/meltCurve_C9JP16_CRTAP.pdf")</f>
        <v>Melting_Curves/meltCurve_C9JP16_CRTAP.pdf</v>
      </c>
    </row>
    <row r="317" spans="1:28" x14ac:dyDescent="0.25">
      <c r="A317" t="s">
        <v>321</v>
      </c>
      <c r="B317">
        <v>0.99193492352474899</v>
      </c>
      <c r="C317">
        <v>0.87458343268360195</v>
      </c>
      <c r="D317">
        <v>0.90515709230873798</v>
      </c>
      <c r="E317">
        <v>0.54397826819109096</v>
      </c>
      <c r="F317">
        <v>0.28031910972774898</v>
      </c>
      <c r="G317">
        <v>0.166151510728173</v>
      </c>
      <c r="H317">
        <v>0.11063660434101701</v>
      </c>
      <c r="I317">
        <v>0.10884070636090699</v>
      </c>
      <c r="J317">
        <v>0.10888297916789701</v>
      </c>
      <c r="K317">
        <v>8.0388871053889005E-2</v>
      </c>
      <c r="L317">
        <v>1011.43255150374</v>
      </c>
      <c r="M317">
        <v>20.3391267301119</v>
      </c>
      <c r="N317">
        <v>50.236363381071598</v>
      </c>
      <c r="O317">
        <v>49.255186618832298</v>
      </c>
      <c r="P317">
        <v>-9.3641618062271406E-2</v>
      </c>
      <c r="Q317">
        <v>9.2941452556269899E-2</v>
      </c>
      <c r="R317">
        <v>0.99086671176141405</v>
      </c>
      <c r="S317" t="s">
        <v>6987</v>
      </c>
      <c r="T317" t="s">
        <v>13338</v>
      </c>
      <c r="U317" t="s">
        <v>13338</v>
      </c>
      <c r="V317" t="s">
        <v>13338</v>
      </c>
      <c r="W317" t="s">
        <v>13651</v>
      </c>
      <c r="X317">
        <v>6</v>
      </c>
      <c r="Y317" t="s">
        <v>20255</v>
      </c>
      <c r="Z317" t="s">
        <v>26732</v>
      </c>
      <c r="AA317">
        <v>0.39931211749433371</v>
      </c>
      <c r="AB317" t="str">
        <f>HYPERLINK("Melting_Curves/meltCurve_C9JPL0_CCNL1.pdf", "Melting_Curves/meltCurve_C9JPL0_CCNL1.pdf")</f>
        <v>Melting_Curves/meltCurve_C9JPL0_CCNL1.pdf</v>
      </c>
    </row>
    <row r="318" spans="1:28" x14ac:dyDescent="0.25">
      <c r="A318" t="s">
        <v>322</v>
      </c>
      <c r="B318">
        <v>0.99193492352474899</v>
      </c>
      <c r="C318">
        <v>1.46554098292099</v>
      </c>
      <c r="D318">
        <v>0.66474191334004196</v>
      </c>
      <c r="E318">
        <v>0.69156685776522797</v>
      </c>
      <c r="F318">
        <v>0.206004195771846</v>
      </c>
      <c r="G318">
        <v>0.122032038288964</v>
      </c>
      <c r="H318">
        <v>8.7331663038399496E-2</v>
      </c>
      <c r="I318">
        <v>0.116779922999407</v>
      </c>
      <c r="J318">
        <v>0.13967851486851601</v>
      </c>
      <c r="K318">
        <v>0.107439116536968</v>
      </c>
      <c r="L318">
        <v>1274.3959597432899</v>
      </c>
      <c r="M318">
        <v>25.490821027636599</v>
      </c>
      <c r="N318">
        <v>50.4363989720745</v>
      </c>
      <c r="O318">
        <v>49.689668270750502</v>
      </c>
      <c r="P318">
        <v>-0.11541189652202</v>
      </c>
      <c r="Q318">
        <v>0.100114121174985</v>
      </c>
      <c r="R318">
        <v>0.85157649657212597</v>
      </c>
      <c r="S318" t="s">
        <v>6988</v>
      </c>
      <c r="T318" t="s">
        <v>13338</v>
      </c>
      <c r="U318" t="s">
        <v>13338</v>
      </c>
      <c r="V318" t="s">
        <v>13338</v>
      </c>
      <c r="W318" t="s">
        <v>13652</v>
      </c>
      <c r="X318">
        <v>2</v>
      </c>
      <c r="Y318" t="s">
        <v>20256</v>
      </c>
      <c r="Z318" t="s">
        <v>26733</v>
      </c>
      <c r="AA318">
        <v>0.40763923766327931</v>
      </c>
      <c r="AB318" t="str">
        <f>HYPERLINK("Melting_Curves/meltCurve_C9JPP2_NKIRAS2.pdf", "Melting_Curves/meltCurve_C9JPP2_NKIRAS2.pdf")</f>
        <v>Melting_Curves/meltCurve_C9JPP2_NKIRAS2.pdf</v>
      </c>
    </row>
    <row r="319" spans="1:28" x14ac:dyDescent="0.25">
      <c r="A319" t="s">
        <v>323</v>
      </c>
      <c r="B319">
        <v>0.99193492352474899</v>
      </c>
      <c r="C319">
        <v>1.0071335038713001</v>
      </c>
      <c r="D319">
        <v>0.86053384107084196</v>
      </c>
      <c r="E319">
        <v>0.92216517659596398</v>
      </c>
      <c r="F319">
        <v>0.63313708036473904</v>
      </c>
      <c r="G319">
        <v>0.56264123890614004</v>
      </c>
      <c r="H319">
        <v>0.50754516316089204</v>
      </c>
      <c r="I319">
        <v>0.43309647609351498</v>
      </c>
      <c r="J319">
        <v>0.35838376695308199</v>
      </c>
      <c r="K319">
        <v>0.362252053699476</v>
      </c>
      <c r="L319">
        <v>653.11301866828603</v>
      </c>
      <c r="M319">
        <v>12.0623349662838</v>
      </c>
      <c r="N319">
        <v>59.3180857337533</v>
      </c>
      <c r="O319">
        <v>52.721099984530298</v>
      </c>
      <c r="P319">
        <v>-3.85967038570156E-2</v>
      </c>
      <c r="Q319">
        <v>0.32537769402976902</v>
      </c>
      <c r="R319">
        <v>0.96538698212330998</v>
      </c>
      <c r="S319" t="s">
        <v>6989</v>
      </c>
      <c r="T319" t="s">
        <v>13338</v>
      </c>
      <c r="U319" t="s">
        <v>13338</v>
      </c>
      <c r="V319" t="s">
        <v>13338</v>
      </c>
      <c r="W319" t="s">
        <v>13653</v>
      </c>
      <c r="X319">
        <v>8</v>
      </c>
      <c r="Y319" t="s">
        <v>20257</v>
      </c>
      <c r="Z319" t="s">
        <v>26734</v>
      </c>
      <c r="AA319">
        <v>0.66075115635169546</v>
      </c>
      <c r="AB319" t="str">
        <f>HYPERLINK("Melting_Curves/meltCurve_C9JQ41_CCDC58.pdf", "Melting_Curves/meltCurve_C9JQ41_CCDC58.pdf")</f>
        <v>Melting_Curves/meltCurve_C9JQ41_CCDC58.pdf</v>
      </c>
    </row>
    <row r="320" spans="1:28" x14ac:dyDescent="0.25">
      <c r="A320" t="s">
        <v>324</v>
      </c>
      <c r="B320">
        <v>0.99193492352474899</v>
      </c>
      <c r="C320">
        <v>1.0460681010389801</v>
      </c>
      <c r="D320">
        <v>0.99551160276428097</v>
      </c>
      <c r="E320">
        <v>0.63422873052545703</v>
      </c>
      <c r="F320">
        <v>0.55566331462470797</v>
      </c>
      <c r="G320">
        <v>0.37158336919315699</v>
      </c>
      <c r="H320">
        <v>0.23272344894133601</v>
      </c>
      <c r="I320">
        <v>0.114956655292027</v>
      </c>
      <c r="J320">
        <v>0.133932605326538</v>
      </c>
      <c r="K320">
        <v>0.156391185901056</v>
      </c>
      <c r="L320">
        <v>784.09527344575702</v>
      </c>
      <c r="M320">
        <v>14.873289280742799</v>
      </c>
      <c r="N320">
        <v>53.602349436244801</v>
      </c>
      <c r="O320">
        <v>51.7928644641189</v>
      </c>
      <c r="P320">
        <v>-6.3990737545416801E-2</v>
      </c>
      <c r="Q320">
        <v>0.10876003048968</v>
      </c>
      <c r="R320">
        <v>0.97491817692932303</v>
      </c>
      <c r="S320" t="s">
        <v>6990</v>
      </c>
      <c r="T320" t="s">
        <v>13338</v>
      </c>
      <c r="U320" t="s">
        <v>13338</v>
      </c>
      <c r="V320" t="s">
        <v>13338</v>
      </c>
      <c r="W320" t="s">
        <v>13654</v>
      </c>
      <c r="X320">
        <v>1</v>
      </c>
      <c r="Y320" t="s">
        <v>20258</v>
      </c>
      <c r="Z320" t="s">
        <v>26735</v>
      </c>
      <c r="AA320">
        <v>0.50623363180789893</v>
      </c>
      <c r="AB320" t="str">
        <f>HYPERLINK("Melting_Curves/meltCurve_C9JQE1_IMMP2L.pdf", "Melting_Curves/meltCurve_C9JQE1_IMMP2L.pdf")</f>
        <v>Melting_Curves/meltCurve_C9JQE1_IMMP2L.pdf</v>
      </c>
    </row>
    <row r="321" spans="1:28" x14ac:dyDescent="0.25">
      <c r="A321" t="s">
        <v>325</v>
      </c>
      <c r="B321">
        <v>0.99193492352474899</v>
      </c>
      <c r="C321">
        <v>0.93770454915395496</v>
      </c>
      <c r="D321">
        <v>1.0363775447803401</v>
      </c>
      <c r="E321">
        <v>0.774589058068342</v>
      </c>
      <c r="F321">
        <v>0.18744390041020001</v>
      </c>
      <c r="G321">
        <v>7.2627868129035697E-2</v>
      </c>
      <c r="H321">
        <v>3.5246843552647698E-2</v>
      </c>
      <c r="I321">
        <v>2.92793633024124E-2</v>
      </c>
      <c r="J321">
        <v>5.3419718228391998E-2</v>
      </c>
      <c r="K321">
        <v>4.32911534206947E-2</v>
      </c>
      <c r="L321">
        <v>2156.62858411246</v>
      </c>
      <c r="M321">
        <v>42.280059161212499</v>
      </c>
      <c r="N321">
        <v>51.119540596787097</v>
      </c>
      <c r="O321">
        <v>50.894476511299601</v>
      </c>
      <c r="P321">
        <v>-0.19854748878703599</v>
      </c>
      <c r="Q321">
        <v>4.3998464937963097E-2</v>
      </c>
      <c r="R321">
        <v>0.99638902838566701</v>
      </c>
      <c r="S321" t="s">
        <v>6991</v>
      </c>
      <c r="T321" t="s">
        <v>13338</v>
      </c>
      <c r="U321" t="s">
        <v>13338</v>
      </c>
      <c r="V321" t="s">
        <v>13338</v>
      </c>
      <c r="W321" t="s">
        <v>13655</v>
      </c>
      <c r="X321">
        <v>2</v>
      </c>
      <c r="Y321" t="s">
        <v>20259</v>
      </c>
      <c r="Z321" t="s">
        <v>26736</v>
      </c>
      <c r="AA321">
        <v>0.39780721767568922</v>
      </c>
      <c r="AB321" t="str">
        <f>HYPERLINK("Melting_Curves/meltCurve_C9JRY4_SEC22A.pdf", "Melting_Curves/meltCurve_C9JRY4_SEC22A.pdf")</f>
        <v>Melting_Curves/meltCurve_C9JRY4_SEC22A.pdf</v>
      </c>
    </row>
    <row r="322" spans="1:28" x14ac:dyDescent="0.25">
      <c r="A322" t="s">
        <v>326</v>
      </c>
      <c r="B322">
        <v>0.99193492352474899</v>
      </c>
      <c r="C322">
        <v>1.0713414489374999</v>
      </c>
      <c r="D322">
        <v>0.96401701155585595</v>
      </c>
      <c r="E322">
        <v>0.95948182087470701</v>
      </c>
      <c r="F322">
        <v>0.58753718631789997</v>
      </c>
      <c r="G322">
        <v>0.43372153728658902</v>
      </c>
      <c r="H322">
        <v>0.33780568189774202</v>
      </c>
      <c r="I322">
        <v>0.45215184575348399</v>
      </c>
      <c r="J322">
        <v>0.52944787180156405</v>
      </c>
      <c r="K322">
        <v>0.69214120596220896</v>
      </c>
      <c r="L322">
        <v>2997.7372722066898</v>
      </c>
      <c r="M322">
        <v>57.8457638217427</v>
      </c>
      <c r="N322">
        <v>55.503313771553302</v>
      </c>
      <c r="O322">
        <v>51.7611092602274</v>
      </c>
      <c r="P322">
        <v>-0.14270960215780801</v>
      </c>
      <c r="Q322">
        <v>0.48920693672798898</v>
      </c>
      <c r="R322">
        <v>0.88421732746863901</v>
      </c>
      <c r="S322" t="s">
        <v>6992</v>
      </c>
      <c r="T322" t="s">
        <v>13338</v>
      </c>
      <c r="U322" t="s">
        <v>13338</v>
      </c>
      <c r="V322" t="s">
        <v>13338</v>
      </c>
      <c r="W322" t="s">
        <v>13656</v>
      </c>
      <c r="X322">
        <v>17</v>
      </c>
      <c r="Y322" t="s">
        <v>20260</v>
      </c>
      <c r="Z322" t="s">
        <v>26737</v>
      </c>
      <c r="AA322">
        <v>0.69138051140753698</v>
      </c>
      <c r="AB322" t="str">
        <f>HYPERLINK("Melting_Curves/meltCurve_C9JRZ6_CHCHD3.pdf", "Melting_Curves/meltCurve_C9JRZ6_CHCHD3.pdf")</f>
        <v>Melting_Curves/meltCurve_C9JRZ6_CHCHD3.pdf</v>
      </c>
    </row>
    <row r="323" spans="1:28" x14ac:dyDescent="0.25">
      <c r="A323" t="s">
        <v>327</v>
      </c>
      <c r="B323">
        <v>0.99193492352474899</v>
      </c>
      <c r="C323">
        <v>1.3625220444791</v>
      </c>
      <c r="D323">
        <v>0.97001150595374797</v>
      </c>
      <c r="E323">
        <v>1.12584114205812</v>
      </c>
      <c r="F323">
        <v>0.46668667652444101</v>
      </c>
      <c r="G323">
        <v>0.187009370587299</v>
      </c>
      <c r="H323">
        <v>9.9482902642930596E-2</v>
      </c>
      <c r="I323">
        <v>9.4560334929149906E-2</v>
      </c>
      <c r="J323">
        <v>0.118645095909877</v>
      </c>
      <c r="K323">
        <v>0.17261965289779599</v>
      </c>
      <c r="L323">
        <v>11305.207736648101</v>
      </c>
      <c r="M323">
        <v>212.977204497907</v>
      </c>
      <c r="N323">
        <v>53.159964564897102</v>
      </c>
      <c r="O323">
        <v>53.077105324829198</v>
      </c>
      <c r="P323">
        <v>-0.86826341532057205</v>
      </c>
      <c r="Q323">
        <v>0.13446327280179601</v>
      </c>
      <c r="R323">
        <v>0.93058653184829798</v>
      </c>
      <c r="S323" t="s">
        <v>6993</v>
      </c>
      <c r="T323" t="s">
        <v>13338</v>
      </c>
      <c r="U323" t="s">
        <v>13338</v>
      </c>
      <c r="V323" t="s">
        <v>13338</v>
      </c>
      <c r="W323" t="s">
        <v>13657</v>
      </c>
      <c r="X323">
        <v>2</v>
      </c>
      <c r="Y323" t="s">
        <v>20261</v>
      </c>
      <c r="Z323" t="s">
        <v>26738</v>
      </c>
      <c r="AA323">
        <v>0.5119995647219473</v>
      </c>
      <c r="AB323" t="str">
        <f>HYPERLINK("Melting_Curves/meltCurve_C9JRZ8_2_AKR1B15.pdf", "Melting_Curves/meltCurve_C9JRZ8_2_AKR1B15.pdf")</f>
        <v>Melting_Curves/meltCurve_C9JRZ8_2_AKR1B15.pdf</v>
      </c>
    </row>
    <row r="324" spans="1:28" x14ac:dyDescent="0.25">
      <c r="A324" t="s">
        <v>328</v>
      </c>
      <c r="B324">
        <v>0.99193492352474899</v>
      </c>
      <c r="C324">
        <v>0.84815565526224901</v>
      </c>
      <c r="D324">
        <v>0.63274549653625101</v>
      </c>
      <c r="E324">
        <v>0.461355958363519</v>
      </c>
      <c r="F324">
        <v>0.30791082696041999</v>
      </c>
      <c r="G324">
        <v>0.161373600158353</v>
      </c>
      <c r="H324">
        <v>0.140717599464004</v>
      </c>
      <c r="I324">
        <v>0.24578705778089699</v>
      </c>
      <c r="J324">
        <v>0.243056465955406</v>
      </c>
      <c r="K324">
        <v>0.36530566006690901</v>
      </c>
      <c r="L324">
        <v>865.49865309904101</v>
      </c>
      <c r="M324">
        <v>18.626550232547601</v>
      </c>
      <c r="N324">
        <v>48.063953816961003</v>
      </c>
      <c r="O324">
        <v>45.940220761678297</v>
      </c>
      <c r="P324">
        <v>-7.7967205196592004E-2</v>
      </c>
      <c r="Q324">
        <v>0.230844969162637</v>
      </c>
      <c r="R324">
        <v>0.94750522975908202</v>
      </c>
      <c r="S324" t="s">
        <v>6994</v>
      </c>
      <c r="T324" t="s">
        <v>13338</v>
      </c>
      <c r="U324" t="s">
        <v>13338</v>
      </c>
      <c r="V324" t="s">
        <v>13338</v>
      </c>
      <c r="W324" t="s">
        <v>13658</v>
      </c>
      <c r="X324">
        <v>1</v>
      </c>
      <c r="Y324" t="s">
        <v>20262</v>
      </c>
      <c r="Z324" t="s">
        <v>26739</v>
      </c>
      <c r="AA324">
        <v>0.4101679767440557</v>
      </c>
      <c r="AB324" t="str">
        <f>HYPERLINK("Melting_Curves/meltCurve_C9JTB0_IKZF1.pdf", "Melting_Curves/meltCurve_C9JTB0_IKZF1.pdf")</f>
        <v>Melting_Curves/meltCurve_C9JTB0_IKZF1.pdf</v>
      </c>
    </row>
    <row r="325" spans="1:28" x14ac:dyDescent="0.25">
      <c r="A325" t="s">
        <v>329</v>
      </c>
      <c r="B325">
        <v>0.99193492352474899</v>
      </c>
      <c r="C325">
        <v>1.2269377863772</v>
      </c>
      <c r="D325">
        <v>1.0458977848473201</v>
      </c>
      <c r="E325">
        <v>0.52786815697494804</v>
      </c>
      <c r="F325">
        <v>0.37097780840004002</v>
      </c>
      <c r="G325">
        <v>0.25246232810147301</v>
      </c>
      <c r="H325">
        <v>0.20492618676348601</v>
      </c>
      <c r="I325">
        <v>0.24724821799077201</v>
      </c>
      <c r="J325">
        <v>0.34453406921380098</v>
      </c>
      <c r="K325">
        <v>0.24221272687536299</v>
      </c>
      <c r="L325">
        <v>3693.0370762788698</v>
      </c>
      <c r="M325">
        <v>75.0703247637027</v>
      </c>
      <c r="N325">
        <v>49.727284016413698</v>
      </c>
      <c r="O325">
        <v>49.159490436079999</v>
      </c>
      <c r="P325">
        <v>-0.27626949044149002</v>
      </c>
      <c r="Q325">
        <v>0.276344403263793</v>
      </c>
      <c r="R325">
        <v>0.94526635437228002</v>
      </c>
      <c r="S325" t="s">
        <v>6995</v>
      </c>
      <c r="T325" t="s">
        <v>13338</v>
      </c>
      <c r="U325" t="s">
        <v>13338</v>
      </c>
      <c r="V325" t="s">
        <v>13338</v>
      </c>
      <c r="W325" t="s">
        <v>13659</v>
      </c>
      <c r="X325">
        <v>1</v>
      </c>
      <c r="Y325" t="s">
        <v>20263</v>
      </c>
      <c r="Z325" t="s">
        <v>26740</v>
      </c>
      <c r="AA325">
        <v>0.49882400918391417</v>
      </c>
      <c r="AB325" t="str">
        <f>HYPERLINK("Melting_Curves/meltCurve_C9JTC0_DGKB.pdf", "Melting_Curves/meltCurve_C9JTC0_DGKB.pdf")</f>
        <v>Melting_Curves/meltCurve_C9JTC0_DGKB.pdf</v>
      </c>
    </row>
    <row r="326" spans="1:28" x14ac:dyDescent="0.25">
      <c r="A326" t="s">
        <v>330</v>
      </c>
      <c r="B326">
        <v>0.99193492352474899</v>
      </c>
      <c r="C326">
        <v>0.60868859035440503</v>
      </c>
      <c r="D326">
        <v>0.62892429281210405</v>
      </c>
      <c r="E326">
        <v>0.227172860830364</v>
      </c>
      <c r="F326">
        <v>0.188284315586355</v>
      </c>
      <c r="G326">
        <v>8.3718518087738406E-2</v>
      </c>
      <c r="H326">
        <v>8.4792246820780903E-2</v>
      </c>
      <c r="I326">
        <v>0.11694059988766201</v>
      </c>
      <c r="J326">
        <v>0.15383668173996601</v>
      </c>
      <c r="K326">
        <v>0.170476345760987</v>
      </c>
      <c r="L326">
        <v>749.19120495546099</v>
      </c>
      <c r="M326">
        <v>16.5332900565617</v>
      </c>
      <c r="N326">
        <v>46.014288057115898</v>
      </c>
      <c r="O326">
        <v>44.666740160064997</v>
      </c>
      <c r="P326">
        <v>-8.2250997436444998E-2</v>
      </c>
      <c r="Q326">
        <v>0.111216070031083</v>
      </c>
      <c r="R326">
        <v>0.93567722246932095</v>
      </c>
      <c r="S326" t="s">
        <v>6996</v>
      </c>
      <c r="T326" t="s">
        <v>13338</v>
      </c>
      <c r="U326" t="s">
        <v>13338</v>
      </c>
      <c r="V326" t="s">
        <v>13338</v>
      </c>
      <c r="W326" t="s">
        <v>13660</v>
      </c>
      <c r="X326">
        <v>2</v>
      </c>
      <c r="Y326" t="s">
        <v>20264</v>
      </c>
      <c r="Z326" t="s">
        <v>26741</v>
      </c>
      <c r="AA326">
        <v>0.29106069360478293</v>
      </c>
      <c r="AB326" t="str">
        <f>HYPERLINK("Melting_Curves/meltCurve_C9JVP0_FOXJ3.pdf", "Melting_Curves/meltCurve_C9JVP0_FOXJ3.pdf")</f>
        <v>Melting_Curves/meltCurve_C9JVP0_FOXJ3.pdf</v>
      </c>
    </row>
    <row r="327" spans="1:28" x14ac:dyDescent="0.25">
      <c r="A327" t="s">
        <v>331</v>
      </c>
      <c r="B327">
        <v>0.99193492352474899</v>
      </c>
      <c r="C327">
        <v>0.49296378589896001</v>
      </c>
      <c r="D327">
        <v>0.63778104977984296</v>
      </c>
      <c r="E327">
        <v>0.35261932459038797</v>
      </c>
      <c r="F327">
        <v>0.243655303160666</v>
      </c>
      <c r="G327">
        <v>0.12788878691889299</v>
      </c>
      <c r="H327">
        <v>0.103874523342199</v>
      </c>
      <c r="I327">
        <v>0.102423413007243</v>
      </c>
      <c r="J327">
        <v>0.15830484042354101</v>
      </c>
      <c r="K327">
        <v>0.223219172692776</v>
      </c>
      <c r="L327">
        <v>573.817628325643</v>
      </c>
      <c r="M327">
        <v>12.7014849289857</v>
      </c>
      <c r="N327">
        <v>46.2181727622064</v>
      </c>
      <c r="O327">
        <v>44.1012568510927</v>
      </c>
      <c r="P327">
        <v>-6.3057240187705699E-2</v>
      </c>
      <c r="Q327">
        <v>0.124396436287698</v>
      </c>
      <c r="R327">
        <v>0.87372480316530299</v>
      </c>
      <c r="S327" t="s">
        <v>6997</v>
      </c>
      <c r="T327" t="s">
        <v>13338</v>
      </c>
      <c r="U327" t="s">
        <v>13338</v>
      </c>
      <c r="V327" t="s">
        <v>13338</v>
      </c>
      <c r="W327" t="s">
        <v>13661</v>
      </c>
      <c r="X327">
        <v>1</v>
      </c>
      <c r="Y327" t="s">
        <v>20265</v>
      </c>
      <c r="Z327" t="s">
        <v>26742</v>
      </c>
      <c r="AA327">
        <v>0.31410464655954301</v>
      </c>
      <c r="AB327" t="str">
        <f>HYPERLINK("Melting_Curves/meltCurve_C9JWL4_AP4M1.pdf", "Melting_Curves/meltCurve_C9JWL4_AP4M1.pdf")</f>
        <v>Melting_Curves/meltCurve_C9JWL4_AP4M1.pdf</v>
      </c>
    </row>
    <row r="328" spans="1:28" x14ac:dyDescent="0.25">
      <c r="A328" t="s">
        <v>332</v>
      </c>
      <c r="B328">
        <v>0.99193492352474899</v>
      </c>
      <c r="C328">
        <v>0.91122945426008595</v>
      </c>
      <c r="D328">
        <v>0.85765345069357402</v>
      </c>
      <c r="E328">
        <v>0.63523513002018706</v>
      </c>
      <c r="F328">
        <v>0.308435180264436</v>
      </c>
      <c r="G328">
        <v>0.18238207175750201</v>
      </c>
      <c r="H328">
        <v>9.5587747651224103E-2</v>
      </c>
      <c r="I328">
        <v>0.134488764227959</v>
      </c>
      <c r="J328">
        <v>0.135546036646497</v>
      </c>
      <c r="K328">
        <v>0.144980742668186</v>
      </c>
      <c r="L328">
        <v>999.14182522753094</v>
      </c>
      <c r="M328">
        <v>19.942764870640801</v>
      </c>
      <c r="N328">
        <v>50.759370532186097</v>
      </c>
      <c r="O328">
        <v>49.604891754772801</v>
      </c>
      <c r="P328">
        <v>-8.9049125781677396E-2</v>
      </c>
      <c r="Q328">
        <v>0.11403964435898201</v>
      </c>
      <c r="R328">
        <v>0.993241160050922</v>
      </c>
      <c r="S328" t="s">
        <v>6998</v>
      </c>
      <c r="T328" t="s">
        <v>13338</v>
      </c>
      <c r="U328" t="s">
        <v>13338</v>
      </c>
      <c r="V328" t="s">
        <v>13338</v>
      </c>
      <c r="W328" t="s">
        <v>13662</v>
      </c>
      <c r="X328">
        <v>5</v>
      </c>
      <c r="Y328" t="s">
        <v>20266</v>
      </c>
      <c r="Z328" t="s">
        <v>26743</v>
      </c>
      <c r="AA328">
        <v>0.42472472231887731</v>
      </c>
      <c r="AB328" t="str">
        <f>HYPERLINK("Melting_Curves/meltCurve_C9JXA2_EPHA3.pdf", "Melting_Curves/meltCurve_C9JXA2_EPHA3.pdf")</f>
        <v>Melting_Curves/meltCurve_C9JXA2_EPHA3.pdf</v>
      </c>
    </row>
    <row r="329" spans="1:28" x14ac:dyDescent="0.25">
      <c r="A329" t="s">
        <v>333</v>
      </c>
      <c r="B329">
        <v>0.99193492352474899</v>
      </c>
      <c r="C329">
        <v>0.90146913511696902</v>
      </c>
      <c r="D329">
        <v>1.1848576187343201</v>
      </c>
      <c r="E329">
        <v>1.10018876662457</v>
      </c>
      <c r="F329">
        <v>0.70764431640334802</v>
      </c>
      <c r="G329">
        <v>0.28115913682405802</v>
      </c>
      <c r="H329">
        <v>0.116670327045606</v>
      </c>
      <c r="I329">
        <v>0.118888795848586</v>
      </c>
      <c r="J329">
        <v>0.15935065288610001</v>
      </c>
      <c r="K329">
        <v>0.118072267705538</v>
      </c>
      <c r="L329">
        <v>2225.1138257131101</v>
      </c>
      <c r="M329">
        <v>40.999938957791798</v>
      </c>
      <c r="N329">
        <v>54.673464900783202</v>
      </c>
      <c r="O329">
        <v>54.142520997809399</v>
      </c>
      <c r="P329">
        <v>-0.16466347851367399</v>
      </c>
      <c r="Q329">
        <v>0.130215408944511</v>
      </c>
      <c r="R329">
        <v>0.96642270689725296</v>
      </c>
      <c r="S329" t="s">
        <v>6999</v>
      </c>
      <c r="T329" t="s">
        <v>13338</v>
      </c>
      <c r="U329" t="s">
        <v>13338</v>
      </c>
      <c r="V329" t="s">
        <v>13338</v>
      </c>
      <c r="W329" t="s">
        <v>13663</v>
      </c>
      <c r="X329">
        <v>6</v>
      </c>
      <c r="Y329" t="s">
        <v>20267</v>
      </c>
      <c r="Z329" t="s">
        <v>26744</v>
      </c>
      <c r="AA329">
        <v>0.54707471229893978</v>
      </c>
      <c r="AB329" t="str">
        <f>HYPERLINK("Melting_Curves/meltCurve_C9JXB8_RPL24.pdf", "Melting_Curves/meltCurve_C9JXB8_RPL24.pdf")</f>
        <v>Melting_Curves/meltCurve_C9JXB8_RPL24.pdf</v>
      </c>
    </row>
    <row r="330" spans="1:28" x14ac:dyDescent="0.25">
      <c r="A330" t="s">
        <v>334</v>
      </c>
      <c r="B330">
        <v>0.99193492352474899</v>
      </c>
      <c r="C330">
        <v>0.70470162557780602</v>
      </c>
      <c r="D330">
        <v>0.78549303672807802</v>
      </c>
      <c r="E330">
        <v>0.605225068387371</v>
      </c>
      <c r="F330">
        <v>0.57796744658511801</v>
      </c>
      <c r="G330">
        <v>0.325673001072177</v>
      </c>
      <c r="H330">
        <v>0.190082266836514</v>
      </c>
      <c r="I330">
        <v>0.15523842540690599</v>
      </c>
      <c r="J330">
        <v>0.19439273413495101</v>
      </c>
      <c r="K330">
        <v>0.21314616407981801</v>
      </c>
      <c r="L330">
        <v>419.05853993322302</v>
      </c>
      <c r="M330">
        <v>8.0949387968256303</v>
      </c>
      <c r="N330">
        <v>52.3793879167605</v>
      </c>
      <c r="O330">
        <v>48.895915076152001</v>
      </c>
      <c r="P330">
        <v>-3.9565482676324003E-2</v>
      </c>
      <c r="Q330">
        <v>4.5082787878077998E-2</v>
      </c>
      <c r="R330">
        <v>0.93242684127757702</v>
      </c>
      <c r="S330" t="s">
        <v>7000</v>
      </c>
      <c r="T330" t="s">
        <v>13338</v>
      </c>
      <c r="U330" t="s">
        <v>13338</v>
      </c>
      <c r="V330" t="s">
        <v>13338</v>
      </c>
      <c r="W330" t="s">
        <v>13664</v>
      </c>
      <c r="X330">
        <v>4</v>
      </c>
      <c r="Y330" t="s">
        <v>20268</v>
      </c>
      <c r="Z330" t="s">
        <v>26745</v>
      </c>
      <c r="AA330">
        <v>0.4655587590059691</v>
      </c>
      <c r="AB330" t="str">
        <f>HYPERLINK("Melting_Curves/meltCurve_C9JYM0_POP7.pdf", "Melting_Curves/meltCurve_C9JYM0_POP7.pdf")</f>
        <v>Melting_Curves/meltCurve_C9JYM0_POP7.pdf</v>
      </c>
    </row>
    <row r="331" spans="1:28" x14ac:dyDescent="0.25">
      <c r="A331" t="s">
        <v>335</v>
      </c>
      <c r="B331">
        <v>0.99193492352474899</v>
      </c>
      <c r="C331">
        <v>0.79132245136510504</v>
      </c>
      <c r="D331">
        <v>0.92844312903066495</v>
      </c>
      <c r="E331">
        <v>0.52843985713372599</v>
      </c>
      <c r="F331">
        <v>0.45726489790612401</v>
      </c>
      <c r="G331">
        <v>0.211773129249192</v>
      </c>
      <c r="H331">
        <v>0.108504045738852</v>
      </c>
      <c r="I331">
        <v>0.220716043397851</v>
      </c>
      <c r="J331">
        <v>0.17077909427815899</v>
      </c>
      <c r="K331">
        <v>0.16545354443302299</v>
      </c>
      <c r="L331">
        <v>758.14101680696695</v>
      </c>
      <c r="M331">
        <v>15.1755560144419</v>
      </c>
      <c r="N331">
        <v>51.046230015969599</v>
      </c>
      <c r="O331">
        <v>49.114638484030202</v>
      </c>
      <c r="P331">
        <v>-6.6576918246377306E-2</v>
      </c>
      <c r="Q331">
        <v>0.138196855221139</v>
      </c>
      <c r="R331">
        <v>0.94638613487191503</v>
      </c>
      <c r="S331" t="s">
        <v>7001</v>
      </c>
      <c r="T331" t="s">
        <v>13338</v>
      </c>
      <c r="U331" t="s">
        <v>13338</v>
      </c>
      <c r="V331" t="s">
        <v>13338</v>
      </c>
      <c r="W331" t="s">
        <v>13665</v>
      </c>
      <c r="X331">
        <v>5</v>
      </c>
      <c r="Y331" t="s">
        <v>20269</v>
      </c>
      <c r="Z331" t="s">
        <v>26746</v>
      </c>
      <c r="AA331">
        <v>0.44441584333137057</v>
      </c>
      <c r="AB331" t="str">
        <f>HYPERLINK("Melting_Curves/meltCurve_C9JYQ9_RPL22L1.pdf", "Melting_Curves/meltCurve_C9JYQ9_RPL22L1.pdf")</f>
        <v>Melting_Curves/meltCurve_C9JYQ9_RPL22L1.pdf</v>
      </c>
    </row>
    <row r="332" spans="1:28" x14ac:dyDescent="0.25">
      <c r="A332" t="s">
        <v>336</v>
      </c>
      <c r="B332">
        <v>0.99193492352474899</v>
      </c>
      <c r="C332">
        <v>0.901688717208595</v>
      </c>
      <c r="D332">
        <v>0.82102018815049205</v>
      </c>
      <c r="E332">
        <v>0.58811355762547302</v>
      </c>
      <c r="F332">
        <v>0.21085882969434999</v>
      </c>
      <c r="G332">
        <v>0.10805476057921699</v>
      </c>
      <c r="H332">
        <v>6.8245983073682098E-2</v>
      </c>
      <c r="I332">
        <v>9.1682422495558802E-2</v>
      </c>
      <c r="J332">
        <v>0.102342804073717</v>
      </c>
      <c r="K332">
        <v>9.7465728389042494E-2</v>
      </c>
      <c r="L332">
        <v>1039.1023487795801</v>
      </c>
      <c r="M332">
        <v>20.967373393007101</v>
      </c>
      <c r="N332">
        <v>49.934705493277797</v>
      </c>
      <c r="O332">
        <v>49.113857219297898</v>
      </c>
      <c r="P332">
        <v>-9.89249481409646E-2</v>
      </c>
      <c r="Q332">
        <v>7.3139745953498897E-2</v>
      </c>
      <c r="R332">
        <v>0.99096851089971105</v>
      </c>
      <c r="S332" t="s">
        <v>7002</v>
      </c>
      <c r="T332" t="s">
        <v>13338</v>
      </c>
      <c r="U332" t="s">
        <v>13338</v>
      </c>
      <c r="V332" t="s">
        <v>13338</v>
      </c>
      <c r="W332" t="s">
        <v>13666</v>
      </c>
      <c r="X332">
        <v>17</v>
      </c>
      <c r="Y332" t="s">
        <v>20270</v>
      </c>
      <c r="Z332" t="s">
        <v>26747</v>
      </c>
      <c r="AA332">
        <v>0.38020682968799779</v>
      </c>
      <c r="AB332" t="str">
        <f>HYPERLINK("Melting_Curves/meltCurve_C9JZR4_ARFGAP3.pdf", "Melting_Curves/meltCurve_C9JZR4_ARFGAP3.pdf")</f>
        <v>Melting_Curves/meltCurve_C9JZR4_ARFGAP3.pdf</v>
      </c>
    </row>
    <row r="333" spans="1:28" x14ac:dyDescent="0.25">
      <c r="A333" t="s">
        <v>337</v>
      </c>
      <c r="B333">
        <v>0.99193492352474899</v>
      </c>
      <c r="C333">
        <v>0.70897010070047195</v>
      </c>
      <c r="D333">
        <v>1.01251447327549</v>
      </c>
      <c r="E333">
        <v>0.61959820862055404</v>
      </c>
      <c r="F333">
        <v>0.34891420221969499</v>
      </c>
      <c r="G333">
        <v>0.15654381153139299</v>
      </c>
      <c r="H333">
        <v>0.101191204904049</v>
      </c>
      <c r="I333">
        <v>0.13273594597573601</v>
      </c>
      <c r="J333">
        <v>0.15028515397751899</v>
      </c>
      <c r="K333">
        <v>0.139115769132172</v>
      </c>
      <c r="L333">
        <v>1149.2537144093701</v>
      </c>
      <c r="M333">
        <v>22.7864938988461</v>
      </c>
      <c r="N333">
        <v>51.0531618791493</v>
      </c>
      <c r="O333">
        <v>50.052113434297901</v>
      </c>
      <c r="P333">
        <v>-0.10010931922608</v>
      </c>
      <c r="Q333">
        <v>0.120428893823309</v>
      </c>
      <c r="R333">
        <v>0.92546468265426296</v>
      </c>
      <c r="S333" t="s">
        <v>7003</v>
      </c>
      <c r="T333" t="s">
        <v>13338</v>
      </c>
      <c r="U333" t="s">
        <v>13338</v>
      </c>
      <c r="V333" t="s">
        <v>13338</v>
      </c>
      <c r="W333" t="s">
        <v>13667</v>
      </c>
      <c r="X333">
        <v>5</v>
      </c>
      <c r="Y333" t="s">
        <v>20271</v>
      </c>
      <c r="Z333" t="s">
        <v>26748</v>
      </c>
      <c r="AA333">
        <v>0.43588378031892078</v>
      </c>
      <c r="AB333" t="str">
        <f>HYPERLINK("Melting_Curves/meltCurve_C9JZY6_UBE2H.pdf", "Melting_Curves/meltCurve_C9JZY6_UBE2H.pdf")</f>
        <v>Melting_Curves/meltCurve_C9JZY6_UBE2H.pdf</v>
      </c>
    </row>
    <row r="334" spans="1:28" x14ac:dyDescent="0.25">
      <c r="A334" t="s">
        <v>338</v>
      </c>
      <c r="B334">
        <v>0.99193492352474899</v>
      </c>
      <c r="C334">
        <v>0.85697616364896001</v>
      </c>
      <c r="D334">
        <v>0.80595082410017704</v>
      </c>
      <c r="E334">
        <v>0.609504020663999</v>
      </c>
      <c r="F334">
        <v>0.46824414225053201</v>
      </c>
      <c r="G334">
        <v>0.25493862824104402</v>
      </c>
      <c r="H334">
        <v>0.14482879143354799</v>
      </c>
      <c r="I334">
        <v>0.19343253766283999</v>
      </c>
      <c r="J334">
        <v>0.28897762238972502</v>
      </c>
      <c r="K334">
        <v>0.29389543085534298</v>
      </c>
      <c r="L334">
        <v>736.74770845398803</v>
      </c>
      <c r="M334">
        <v>14.915646728370101</v>
      </c>
      <c r="N334">
        <v>51.241747575653598</v>
      </c>
      <c r="O334">
        <v>48.531928958577801</v>
      </c>
      <c r="P334">
        <v>-6.0861007950101E-2</v>
      </c>
      <c r="Q334">
        <v>0.20797342380263001</v>
      </c>
      <c r="R334">
        <v>0.95873471455357295</v>
      </c>
      <c r="S334" t="s">
        <v>7004</v>
      </c>
      <c r="T334" t="s">
        <v>13338</v>
      </c>
      <c r="U334" t="s">
        <v>13338</v>
      </c>
      <c r="V334" t="s">
        <v>13338</v>
      </c>
      <c r="W334" t="s">
        <v>13668</v>
      </c>
      <c r="X334">
        <v>3</v>
      </c>
      <c r="Y334" t="s">
        <v>20272</v>
      </c>
      <c r="Z334" t="s">
        <v>26749</v>
      </c>
      <c r="AA334">
        <v>0.47546402412222238</v>
      </c>
      <c r="AB334" t="str">
        <f>HYPERLINK("Melting_Curves/meltCurve_C9K044_XAF1.pdf", "Melting_Curves/meltCurve_C9K044_XAF1.pdf")</f>
        <v>Melting_Curves/meltCurve_C9K044_XAF1.pdf</v>
      </c>
    </row>
    <row r="335" spans="1:28" x14ac:dyDescent="0.25">
      <c r="A335" t="s">
        <v>339</v>
      </c>
      <c r="B335">
        <v>0.99193492352474899</v>
      </c>
      <c r="C335">
        <v>0.511673658881039</v>
      </c>
      <c r="D335">
        <v>0.46147108812937399</v>
      </c>
      <c r="E335">
        <v>0.30379581366501501</v>
      </c>
      <c r="F335">
        <v>0.24374058219012901</v>
      </c>
      <c r="G335">
        <v>0.19169295273199599</v>
      </c>
      <c r="H335">
        <v>0.163392588830653</v>
      </c>
      <c r="I335">
        <v>0.27467197886613298</v>
      </c>
      <c r="J335">
        <v>0.32670820878308898</v>
      </c>
      <c r="K335">
        <v>0.42745856453534298</v>
      </c>
      <c r="L335">
        <v>1501.04172651981</v>
      </c>
      <c r="M335">
        <v>35.416910444812999</v>
      </c>
      <c r="N335">
        <v>43.439998957314799</v>
      </c>
      <c r="O335">
        <v>42.2476256768255</v>
      </c>
      <c r="P335">
        <v>-0.149020801922711</v>
      </c>
      <c r="Q335">
        <v>0.288955049229213</v>
      </c>
      <c r="R335">
        <v>0.858619644388534</v>
      </c>
      <c r="S335" t="s">
        <v>7005</v>
      </c>
      <c r="T335" t="s">
        <v>13338</v>
      </c>
      <c r="U335" t="s">
        <v>13338</v>
      </c>
      <c r="V335" t="s">
        <v>13338</v>
      </c>
      <c r="W335" t="s">
        <v>13669</v>
      </c>
      <c r="X335">
        <v>1</v>
      </c>
      <c r="Y335" t="s">
        <v>20273</v>
      </c>
      <c r="Z335" t="s">
        <v>26750</v>
      </c>
      <c r="AA335">
        <v>0.35082420710909717</v>
      </c>
      <c r="AB335" t="str">
        <f>HYPERLINK("Melting_Curves/meltCurve_C9K049_HMG20B.pdf", "Melting_Curves/meltCurve_C9K049_HMG20B.pdf")</f>
        <v>Melting_Curves/meltCurve_C9K049_HMG20B.pdf</v>
      </c>
    </row>
    <row r="336" spans="1:28" x14ac:dyDescent="0.25">
      <c r="A336" t="s">
        <v>340</v>
      </c>
      <c r="B336">
        <v>0.99193492352474899</v>
      </c>
      <c r="C336">
        <v>1.01491425954033</v>
      </c>
      <c r="D336">
        <v>0.765649495851775</v>
      </c>
      <c r="E336">
        <v>0.56603746245233</v>
      </c>
      <c r="F336">
        <v>0.24789421878389001</v>
      </c>
      <c r="G336">
        <v>0.239433022976447</v>
      </c>
      <c r="H336">
        <v>0.124086183151803</v>
      </c>
      <c r="I336">
        <v>0.155820410052293</v>
      </c>
      <c r="J336">
        <v>0.182536984248964</v>
      </c>
      <c r="K336">
        <v>0.14501079345494</v>
      </c>
      <c r="L336">
        <v>994.28559116978397</v>
      </c>
      <c r="M336">
        <v>20.292846574753501</v>
      </c>
      <c r="N336">
        <v>49.8683076123963</v>
      </c>
      <c r="O336">
        <v>48.528492228286702</v>
      </c>
      <c r="P336">
        <v>-8.8937786634749799E-2</v>
      </c>
      <c r="Q336">
        <v>0.14927981753307401</v>
      </c>
      <c r="R336">
        <v>0.98733922663820395</v>
      </c>
      <c r="S336" t="s">
        <v>7006</v>
      </c>
      <c r="T336" t="s">
        <v>13338</v>
      </c>
      <c r="U336" t="s">
        <v>13338</v>
      </c>
      <c r="V336" t="s">
        <v>13338</v>
      </c>
      <c r="W336" t="s">
        <v>13670</v>
      </c>
      <c r="X336">
        <v>4</v>
      </c>
      <c r="Y336" t="s">
        <v>20274</v>
      </c>
      <c r="Z336" t="s">
        <v>26751</v>
      </c>
      <c r="AA336">
        <v>0.41597621158392362</v>
      </c>
      <c r="AB336" t="str">
        <f>HYPERLINK("Melting_Curves/meltCurve_C9K0X5_SNUPN.pdf", "Melting_Curves/meltCurve_C9K0X5_SNUPN.pdf")</f>
        <v>Melting_Curves/meltCurve_C9K0X5_SNUPN.pdf</v>
      </c>
    </row>
    <row r="337" spans="1:28" x14ac:dyDescent="0.25">
      <c r="A337" t="s">
        <v>341</v>
      </c>
      <c r="B337">
        <v>0.99193492352474899</v>
      </c>
      <c r="C337">
        <v>0.85553457437399605</v>
      </c>
      <c r="D337">
        <v>0.81578185555728699</v>
      </c>
      <c r="E337">
        <v>0.52091058983021199</v>
      </c>
      <c r="F337">
        <v>0.38050757465135499</v>
      </c>
      <c r="G337">
        <v>0.21008614433686601</v>
      </c>
      <c r="H337">
        <v>0.13497784765663001</v>
      </c>
      <c r="I337">
        <v>0.15841726689992799</v>
      </c>
      <c r="J337">
        <v>0.18957721186472301</v>
      </c>
      <c r="K337">
        <v>0.21869986351061099</v>
      </c>
      <c r="L337">
        <v>784.740969323733</v>
      </c>
      <c r="M337">
        <v>16.024354344223202</v>
      </c>
      <c r="N337">
        <v>50.154734648830797</v>
      </c>
      <c r="O337">
        <v>48.228139874857902</v>
      </c>
      <c r="P337">
        <v>-6.9998881017092701E-2</v>
      </c>
      <c r="Q337">
        <v>0.15736943802618</v>
      </c>
      <c r="R337">
        <v>0.98378512084875203</v>
      </c>
      <c r="S337" t="s">
        <v>7007</v>
      </c>
      <c r="T337" t="s">
        <v>13338</v>
      </c>
      <c r="U337" t="s">
        <v>13338</v>
      </c>
      <c r="V337" t="s">
        <v>13338</v>
      </c>
      <c r="W337" t="s">
        <v>13671</v>
      </c>
      <c r="X337">
        <v>6</v>
      </c>
      <c r="Y337" t="s">
        <v>20275</v>
      </c>
      <c r="Z337" t="s">
        <v>26752</v>
      </c>
      <c r="AA337">
        <v>0.42771850342105339</v>
      </c>
      <c r="AB337" t="str">
        <f>HYPERLINK("Melting_Curves/meltCurve_D0FY33_BTN3A3.pdf", "Melting_Curves/meltCurve_D0FY33_BTN3A3.pdf")</f>
        <v>Melting_Curves/meltCurve_D0FY33_BTN3A3.pdf</v>
      </c>
    </row>
    <row r="338" spans="1:28" x14ac:dyDescent="0.25">
      <c r="A338" t="s">
        <v>342</v>
      </c>
      <c r="B338">
        <v>0.99193492352474899</v>
      </c>
      <c r="C338">
        <v>0.963288212444671</v>
      </c>
      <c r="D338">
        <v>1.0993731516554901</v>
      </c>
      <c r="E338">
        <v>0.81125455253878798</v>
      </c>
      <c r="F338">
        <v>0.68197284652628098</v>
      </c>
      <c r="G338">
        <v>0.55987972946534403</v>
      </c>
      <c r="H338">
        <v>0.45482922248080299</v>
      </c>
      <c r="I338">
        <v>0.41808840120136298</v>
      </c>
      <c r="J338">
        <v>0.45418378880411198</v>
      </c>
      <c r="K338">
        <v>0.55735647927644705</v>
      </c>
      <c r="L338">
        <v>1240.2240515656799</v>
      </c>
      <c r="M338">
        <v>23.890558042374401</v>
      </c>
      <c r="N338">
        <v>59.069915987796499</v>
      </c>
      <c r="O338">
        <v>51.553105719086403</v>
      </c>
      <c r="P338">
        <v>-6.1132339840712403E-2</v>
      </c>
      <c r="Q338">
        <v>0.47234196053981498</v>
      </c>
      <c r="R338">
        <v>0.94184299379107606</v>
      </c>
      <c r="S338" t="s">
        <v>7008</v>
      </c>
      <c r="T338" t="s">
        <v>13338</v>
      </c>
      <c r="U338" t="s">
        <v>13338</v>
      </c>
      <c r="V338" t="s">
        <v>13338</v>
      </c>
      <c r="W338" t="s">
        <v>13672</v>
      </c>
      <c r="X338">
        <v>1</v>
      </c>
      <c r="Y338" t="s">
        <v>20276</v>
      </c>
      <c r="Z338" t="s">
        <v>26753</v>
      </c>
      <c r="AA338">
        <v>0.6871209836703116</v>
      </c>
      <c r="AB338" t="str">
        <f>HYPERLINK("Melting_Curves/meltCurve_D3DPN2_SDC3.pdf", "Melting_Curves/meltCurve_D3DPN2_SDC3.pdf")</f>
        <v>Melting_Curves/meltCurve_D3DPN2_SDC3.pdf</v>
      </c>
    </row>
    <row r="339" spans="1:28" x14ac:dyDescent="0.25">
      <c r="A339" t="s">
        <v>343</v>
      </c>
      <c r="B339">
        <v>0.99193492352474899</v>
      </c>
      <c r="C339">
        <v>0.78020455167469005</v>
      </c>
      <c r="D339">
        <v>0.37952158064964497</v>
      </c>
      <c r="E339">
        <v>0.13651360734157</v>
      </c>
      <c r="F339">
        <v>9.6537166750400999E-2</v>
      </c>
      <c r="G339">
        <v>6.2696358956915693E-2</v>
      </c>
      <c r="H339">
        <v>3.6858716338625398E-2</v>
      </c>
      <c r="I339">
        <v>3.9956499298703499E-2</v>
      </c>
      <c r="J339">
        <v>4.7353061828927297E-2</v>
      </c>
      <c r="K339">
        <v>5.1628074077926203E-2</v>
      </c>
      <c r="L339">
        <v>1168.6278009349601</v>
      </c>
      <c r="M339">
        <v>26.017331088151</v>
      </c>
      <c r="N339">
        <v>45.110788736511402</v>
      </c>
      <c r="O339">
        <v>44.654438343090199</v>
      </c>
      <c r="P339">
        <v>-0.137969401899279</v>
      </c>
      <c r="Q339">
        <v>5.2804393245081203E-2</v>
      </c>
      <c r="R339">
        <v>0.99791091887268601</v>
      </c>
      <c r="S339" t="s">
        <v>7009</v>
      </c>
      <c r="T339" t="s">
        <v>13338</v>
      </c>
      <c r="U339" t="s">
        <v>13338</v>
      </c>
      <c r="V339" t="s">
        <v>13338</v>
      </c>
      <c r="W339" t="s">
        <v>13673</v>
      </c>
      <c r="X339">
        <v>34</v>
      </c>
      <c r="Y339" t="s">
        <v>20277</v>
      </c>
      <c r="Z339" t="s">
        <v>26754</v>
      </c>
      <c r="AA339">
        <v>0.216706661471081</v>
      </c>
      <c r="AB339" t="str">
        <f>HYPERLINK("Melting_Curves/meltCurve_D3DQV9_EIF4G2.pdf", "Melting_Curves/meltCurve_D3DQV9_EIF4G2.pdf")</f>
        <v>Melting_Curves/meltCurve_D3DQV9_EIF4G2.pdf</v>
      </c>
    </row>
    <row r="340" spans="1:28" x14ac:dyDescent="0.25">
      <c r="A340" t="s">
        <v>344</v>
      </c>
      <c r="B340">
        <v>0.99193492352474899</v>
      </c>
      <c r="C340">
        <v>0.92584990597542605</v>
      </c>
      <c r="D340">
        <v>0.99245966239635397</v>
      </c>
      <c r="E340">
        <v>0.42432488056734602</v>
      </c>
      <c r="F340">
        <v>0.20685678673711599</v>
      </c>
      <c r="G340">
        <v>0.114229397537896</v>
      </c>
      <c r="H340">
        <v>7.6867763567909697E-2</v>
      </c>
      <c r="I340">
        <v>7.5779273067353603E-2</v>
      </c>
      <c r="J340">
        <v>8.1181550549148898E-2</v>
      </c>
      <c r="K340">
        <v>0.10255420824069</v>
      </c>
      <c r="L340">
        <v>2046.10330135652</v>
      </c>
      <c r="M340">
        <v>41.728742915590999</v>
      </c>
      <c r="N340">
        <v>49.301029058929302</v>
      </c>
      <c r="O340">
        <v>48.921220024155602</v>
      </c>
      <c r="P340">
        <v>-0.191636452782185</v>
      </c>
      <c r="Q340">
        <v>0.101331887386183</v>
      </c>
      <c r="R340">
        <v>0.99006974972042405</v>
      </c>
      <c r="S340" t="s">
        <v>7010</v>
      </c>
      <c r="T340" t="s">
        <v>13338</v>
      </c>
      <c r="U340" t="s">
        <v>13338</v>
      </c>
      <c r="V340" t="s">
        <v>13338</v>
      </c>
      <c r="W340" t="s">
        <v>13674</v>
      </c>
      <c r="X340">
        <v>7</v>
      </c>
      <c r="Y340" t="s">
        <v>20278</v>
      </c>
      <c r="Z340" t="s">
        <v>26755</v>
      </c>
      <c r="AA340">
        <v>0.37473273048438621</v>
      </c>
      <c r="AB340" t="str">
        <f>HYPERLINK("Melting_Curves/meltCurve_D3DWF9_XPO6.pdf", "Melting_Curves/meltCurve_D3DWF9_XPO6.pdf")</f>
        <v>Melting_Curves/meltCurve_D3DWF9_XPO6.pdf</v>
      </c>
    </row>
    <row r="341" spans="1:28" x14ac:dyDescent="0.25">
      <c r="A341" t="s">
        <v>345</v>
      </c>
      <c r="B341">
        <v>0.99193492352474899</v>
      </c>
      <c r="C341">
        <v>0.93372905670849204</v>
      </c>
      <c r="D341">
        <v>0.958206742295451</v>
      </c>
      <c r="E341">
        <v>0.79510178809876098</v>
      </c>
      <c r="F341">
        <v>0.52539433432345695</v>
      </c>
      <c r="G341">
        <v>0.20884880608197801</v>
      </c>
      <c r="H341">
        <v>8.3099866268020003E-2</v>
      </c>
      <c r="I341">
        <v>9.0448344766969294E-2</v>
      </c>
      <c r="J341">
        <v>0.102946244693633</v>
      </c>
      <c r="K341">
        <v>0.12972984020363801</v>
      </c>
      <c r="L341">
        <v>1193.5457985767</v>
      </c>
      <c r="M341">
        <v>22.6695626391461</v>
      </c>
      <c r="N341">
        <v>53.081339156465503</v>
      </c>
      <c r="O341">
        <v>52.245145945389098</v>
      </c>
      <c r="P341">
        <v>-9.9348042779211901E-2</v>
      </c>
      <c r="Q341">
        <v>8.4172878692410802E-2</v>
      </c>
      <c r="R341">
        <v>0.993031942082374</v>
      </c>
      <c r="S341" t="s">
        <v>7011</v>
      </c>
      <c r="T341" t="s">
        <v>13338</v>
      </c>
      <c r="U341" t="s">
        <v>13338</v>
      </c>
      <c r="V341" t="s">
        <v>13338</v>
      </c>
      <c r="W341" t="s">
        <v>13675</v>
      </c>
      <c r="X341">
        <v>13</v>
      </c>
      <c r="Y341" t="s">
        <v>20279</v>
      </c>
      <c r="Z341" t="s">
        <v>26756</v>
      </c>
      <c r="AA341">
        <v>0.48043228241703828</v>
      </c>
      <c r="AB341" t="str">
        <f>HYPERLINK("Melting_Curves/meltCurve_D3K174_SLC4A7.pdf", "Melting_Curves/meltCurve_D3K174_SLC4A7.pdf")</f>
        <v>Melting_Curves/meltCurve_D3K174_SLC4A7.pdf</v>
      </c>
    </row>
    <row r="342" spans="1:28" x14ac:dyDescent="0.25">
      <c r="A342" t="s">
        <v>346</v>
      </c>
      <c r="B342">
        <v>0.99193492352474899</v>
      </c>
      <c r="C342">
        <v>0.93061110583451601</v>
      </c>
      <c r="D342">
        <v>0.94255078433127704</v>
      </c>
      <c r="E342">
        <v>0.76414954708635097</v>
      </c>
      <c r="F342">
        <v>0.83044572034362996</v>
      </c>
      <c r="G342">
        <v>0.54901369395395805</v>
      </c>
      <c r="H342">
        <v>0.532205155396275</v>
      </c>
      <c r="I342">
        <v>0.59603796009062004</v>
      </c>
      <c r="J342">
        <v>0.66491914768745997</v>
      </c>
      <c r="K342">
        <v>0.62525784291446695</v>
      </c>
      <c r="L342">
        <v>799.24401361687796</v>
      </c>
      <c r="M342">
        <v>15.945480139166101</v>
      </c>
      <c r="O342">
        <v>49.355071929778298</v>
      </c>
      <c r="P342">
        <v>-3.3127416325818199E-2</v>
      </c>
      <c r="Q342">
        <v>0.58988351743724199</v>
      </c>
      <c r="R342">
        <v>0.846294444567672</v>
      </c>
      <c r="S342" t="s">
        <v>7012</v>
      </c>
      <c r="T342" t="s">
        <v>13338</v>
      </c>
      <c r="U342" t="s">
        <v>13338</v>
      </c>
      <c r="V342" t="s">
        <v>13338</v>
      </c>
      <c r="W342" t="s">
        <v>13676</v>
      </c>
      <c r="X342">
        <v>3</v>
      </c>
      <c r="Y342" t="s">
        <v>20280</v>
      </c>
      <c r="Z342" t="s">
        <v>26757</v>
      </c>
      <c r="AA342">
        <v>0.73701381734828775</v>
      </c>
      <c r="AB342" t="str">
        <f>HYPERLINK("Melting_Curves/meltCurve_D3YHP0_CXADR.pdf", "Melting_Curves/meltCurve_D3YHP0_CXADR.pdf")</f>
        <v>Melting_Curves/meltCurve_D3YHP0_CXADR.pdf</v>
      </c>
    </row>
    <row r="343" spans="1:28" x14ac:dyDescent="0.25">
      <c r="A343" t="s">
        <v>347</v>
      </c>
      <c r="B343">
        <v>0.99193492352474899</v>
      </c>
      <c r="C343">
        <v>0.66289347818273703</v>
      </c>
      <c r="D343">
        <v>0.83188120406309096</v>
      </c>
      <c r="E343">
        <v>0.72344981216529103</v>
      </c>
      <c r="F343">
        <v>0.71504337043461197</v>
      </c>
      <c r="G343">
        <v>0.28333211530393798</v>
      </c>
      <c r="H343">
        <v>8.4743397807782103E-2</v>
      </c>
      <c r="I343">
        <v>7.3741987579979601E-2</v>
      </c>
      <c r="J343">
        <v>0.101668379814026</v>
      </c>
      <c r="K343">
        <v>8.7826816587625894E-2</v>
      </c>
      <c r="L343">
        <v>601.24460156522298</v>
      </c>
      <c r="M343">
        <v>11.255812799912899</v>
      </c>
      <c r="N343">
        <v>53.416363678046899</v>
      </c>
      <c r="O343">
        <v>51.813577523911199</v>
      </c>
      <c r="P343">
        <v>-5.4325954798448997E-2</v>
      </c>
      <c r="Q343">
        <v>0</v>
      </c>
      <c r="R343">
        <v>0.880808753161752</v>
      </c>
      <c r="S343" t="s">
        <v>7013</v>
      </c>
      <c r="T343" t="s">
        <v>13338</v>
      </c>
      <c r="U343" t="s">
        <v>13338</v>
      </c>
      <c r="V343" t="s">
        <v>13338</v>
      </c>
      <c r="W343" t="s">
        <v>13677</v>
      </c>
      <c r="X343">
        <v>5</v>
      </c>
      <c r="Y343" t="s">
        <v>20281</v>
      </c>
      <c r="Z343" t="s">
        <v>26758</v>
      </c>
      <c r="AA343">
        <v>0.47655332937491351</v>
      </c>
      <c r="AB343" t="str">
        <f>HYPERLINK("Melting_Curves/meltCurve_D3YTB1_RPL32.pdf", "Melting_Curves/meltCurve_D3YTB1_RPL32.pdf")</f>
        <v>Melting_Curves/meltCurve_D3YTB1_RPL32.pdf</v>
      </c>
    </row>
    <row r="344" spans="1:28" x14ac:dyDescent="0.25">
      <c r="A344" t="s">
        <v>348</v>
      </c>
      <c r="B344">
        <v>0.99193492352474899</v>
      </c>
      <c r="C344">
        <v>0.85301972827957595</v>
      </c>
      <c r="D344">
        <v>0.77778327135271896</v>
      </c>
      <c r="E344">
        <v>0.60337880863197102</v>
      </c>
      <c r="F344">
        <v>0.55662452516833305</v>
      </c>
      <c r="G344">
        <v>0.27994434900466503</v>
      </c>
      <c r="H344">
        <v>0.288349492443432</v>
      </c>
      <c r="I344">
        <v>0.55549159462528497</v>
      </c>
      <c r="J344">
        <v>0.76853211383982301</v>
      </c>
      <c r="K344">
        <v>0.91949129032994803</v>
      </c>
      <c r="L344">
        <v>1085.19908149863</v>
      </c>
      <c r="M344">
        <v>24.0551095542626</v>
      </c>
      <c r="O344">
        <v>44.804711721386802</v>
      </c>
      <c r="P344">
        <v>-5.8809616758176003E-2</v>
      </c>
      <c r="Q344">
        <v>0.56185476651472999</v>
      </c>
      <c r="R344">
        <v>0.39392949277359801</v>
      </c>
      <c r="S344" t="s">
        <v>7014</v>
      </c>
      <c r="T344" t="s">
        <v>13338</v>
      </c>
      <c r="U344" t="s">
        <v>13338</v>
      </c>
      <c r="V344" t="s">
        <v>13338</v>
      </c>
      <c r="W344" t="s">
        <v>13678</v>
      </c>
      <c r="X344">
        <v>1</v>
      </c>
      <c r="Y344" t="s">
        <v>20282</v>
      </c>
      <c r="Z344" t="s">
        <v>26759</v>
      </c>
      <c r="AA344">
        <v>0.64126285803847738</v>
      </c>
      <c r="AB344" t="str">
        <f>HYPERLINK("Melting_Curves/meltCurve_D3YTE0_KRI1.pdf", "Melting_Curves/meltCurve_D3YTE0_KRI1.pdf")</f>
        <v>Melting_Curves/meltCurve_D3YTE0_KRI1.pdf</v>
      </c>
    </row>
    <row r="345" spans="1:28" x14ac:dyDescent="0.25">
      <c r="A345" t="s">
        <v>349</v>
      </c>
      <c r="B345">
        <v>0.99193492352474899</v>
      </c>
      <c r="C345">
        <v>0.75914681823964902</v>
      </c>
      <c r="D345">
        <v>0.47170985778112601</v>
      </c>
      <c r="E345">
        <v>0.34708018262052698</v>
      </c>
      <c r="F345">
        <v>0.21127672183930399</v>
      </c>
      <c r="G345">
        <v>0.183040269502136</v>
      </c>
      <c r="H345">
        <v>8.2944573620088405E-2</v>
      </c>
      <c r="I345">
        <v>0.14069539974300599</v>
      </c>
      <c r="J345">
        <v>0.128462483205287</v>
      </c>
      <c r="K345">
        <v>0.161765065781978</v>
      </c>
      <c r="L345">
        <v>795.91400460598504</v>
      </c>
      <c r="M345">
        <v>17.535966027795101</v>
      </c>
      <c r="N345">
        <v>46.229558811324203</v>
      </c>
      <c r="O345">
        <v>44.809620724073397</v>
      </c>
      <c r="P345">
        <v>-8.4465459257669295E-2</v>
      </c>
      <c r="Q345">
        <v>0.136709509102071</v>
      </c>
      <c r="R345">
        <v>0.982493937463778</v>
      </c>
      <c r="S345" t="s">
        <v>7015</v>
      </c>
      <c r="T345" t="s">
        <v>13338</v>
      </c>
      <c r="U345" t="s">
        <v>13338</v>
      </c>
      <c r="V345" t="s">
        <v>13338</v>
      </c>
      <c r="W345" t="s">
        <v>13679</v>
      </c>
      <c r="X345">
        <v>3</v>
      </c>
      <c r="Y345" t="s">
        <v>20283</v>
      </c>
      <c r="Z345" t="s">
        <v>26760</v>
      </c>
      <c r="AA345">
        <v>0.31070128138990633</v>
      </c>
      <c r="AB345" t="str">
        <f>HYPERLINK("Melting_Curves/meltCurve_D3YTE1_PHF20L1.pdf", "Melting_Curves/meltCurve_D3YTE1_PHF20L1.pdf")</f>
        <v>Melting_Curves/meltCurve_D3YTE1_PHF20L1.pdf</v>
      </c>
    </row>
    <row r="346" spans="1:28" x14ac:dyDescent="0.25">
      <c r="A346" t="s">
        <v>350</v>
      </c>
      <c r="B346">
        <v>0.99193492352474899</v>
      </c>
      <c r="C346">
        <v>0.94221731686222798</v>
      </c>
      <c r="D346">
        <v>0.91129540929794595</v>
      </c>
      <c r="E346">
        <v>0.77976153746483201</v>
      </c>
      <c r="F346">
        <v>0.61070290835446095</v>
      </c>
      <c r="G346">
        <v>0.42626693275357402</v>
      </c>
      <c r="H346">
        <v>0.16162741310244799</v>
      </c>
      <c r="I346">
        <v>0.124039409704533</v>
      </c>
      <c r="J346">
        <v>0.13425911104917801</v>
      </c>
      <c r="K346">
        <v>0.134377050203489</v>
      </c>
      <c r="L346">
        <v>752.35832840776402</v>
      </c>
      <c r="M346">
        <v>13.883717626947499</v>
      </c>
      <c r="N346">
        <v>54.666757687356203</v>
      </c>
      <c r="O346">
        <v>53.102861674863</v>
      </c>
      <c r="P346">
        <v>-6.1643737026545201E-2</v>
      </c>
      <c r="Q346">
        <v>5.70216229126735E-2</v>
      </c>
      <c r="R346">
        <v>0.99085227533497899</v>
      </c>
      <c r="S346" t="s">
        <v>7016</v>
      </c>
      <c r="T346" t="s">
        <v>13338</v>
      </c>
      <c r="U346" t="s">
        <v>13338</v>
      </c>
      <c r="V346" t="s">
        <v>13338</v>
      </c>
      <c r="W346" t="s">
        <v>13680</v>
      </c>
      <c r="X346">
        <v>4</v>
      </c>
      <c r="Y346" t="s">
        <v>20284</v>
      </c>
      <c r="Z346" t="s">
        <v>26761</v>
      </c>
      <c r="AA346">
        <v>0.52397907405758148</v>
      </c>
      <c r="AB346" t="str">
        <f>HYPERLINK("Melting_Curves/meltCurve_D3YTG6_NDOR1.pdf", "Melting_Curves/meltCurve_D3YTG6_NDOR1.pdf")</f>
        <v>Melting_Curves/meltCurve_D3YTG6_NDOR1.pdf</v>
      </c>
    </row>
    <row r="347" spans="1:28" x14ac:dyDescent="0.25">
      <c r="A347" t="s">
        <v>351</v>
      </c>
      <c r="B347">
        <v>0.99193492352474899</v>
      </c>
      <c r="C347">
        <v>1.0082359739680899</v>
      </c>
      <c r="D347">
        <v>0.83540291779516795</v>
      </c>
      <c r="E347">
        <v>0.67582006714834697</v>
      </c>
      <c r="F347">
        <v>0.43613647364213698</v>
      </c>
      <c r="G347">
        <v>0.24969652542433299</v>
      </c>
      <c r="H347">
        <v>0.15960833742383801</v>
      </c>
      <c r="I347">
        <v>0.217214691338529</v>
      </c>
      <c r="J347">
        <v>0.23904695388252201</v>
      </c>
      <c r="K347">
        <v>0.26897456499487399</v>
      </c>
      <c r="L347">
        <v>985.58841212459799</v>
      </c>
      <c r="M347">
        <v>19.6099733804901</v>
      </c>
      <c r="N347">
        <v>51.680508424685897</v>
      </c>
      <c r="O347">
        <v>49.745648174494796</v>
      </c>
      <c r="P347">
        <v>-7.8017236334870094E-2</v>
      </c>
      <c r="Q347">
        <v>0.20838619396891001</v>
      </c>
      <c r="R347">
        <v>0.98454146067369497</v>
      </c>
      <c r="S347" t="s">
        <v>7017</v>
      </c>
      <c r="T347" t="s">
        <v>13338</v>
      </c>
      <c r="U347" t="s">
        <v>13338</v>
      </c>
      <c r="V347" t="s">
        <v>13338</v>
      </c>
      <c r="W347" t="s">
        <v>13681</v>
      </c>
      <c r="X347">
        <v>4</v>
      </c>
      <c r="Y347" t="s">
        <v>20285</v>
      </c>
      <c r="Z347" t="s">
        <v>26762</v>
      </c>
      <c r="AA347">
        <v>0.49054213149388981</v>
      </c>
      <c r="AB347" t="str">
        <f>HYPERLINK("Melting_Curves/meltCurve_D3YTI9_TAPBP.pdf", "Melting_Curves/meltCurve_D3YTI9_TAPBP.pdf")</f>
        <v>Melting_Curves/meltCurve_D3YTI9_TAPBP.pdf</v>
      </c>
    </row>
    <row r="348" spans="1:28" x14ac:dyDescent="0.25">
      <c r="A348" t="s">
        <v>352</v>
      </c>
      <c r="B348">
        <v>0.99193492352474899</v>
      </c>
      <c r="C348">
        <v>1.0429386244480801</v>
      </c>
      <c r="D348">
        <v>1.07856729985193</v>
      </c>
      <c r="E348">
        <v>1.1286358780710499</v>
      </c>
      <c r="F348">
        <v>1.3800256238981701</v>
      </c>
      <c r="G348">
        <v>1.2158554377857</v>
      </c>
      <c r="H348">
        <v>0.79255354098651898</v>
      </c>
      <c r="I348">
        <v>0.65600355596836502</v>
      </c>
      <c r="J348">
        <v>0.55073966979123201</v>
      </c>
      <c r="K348">
        <v>0.47734339112192598</v>
      </c>
      <c r="L348">
        <v>2632.1176501959199</v>
      </c>
      <c r="M348">
        <v>42.482600640601902</v>
      </c>
      <c r="O348">
        <v>61.820731776755402</v>
      </c>
      <c r="P348">
        <v>-8.3561585035394195E-2</v>
      </c>
      <c r="Q348">
        <v>0.51360512125907198</v>
      </c>
      <c r="R348">
        <v>0.71737197456799295</v>
      </c>
      <c r="S348" t="s">
        <v>7018</v>
      </c>
      <c r="T348" t="s">
        <v>13338</v>
      </c>
      <c r="U348" t="s">
        <v>13338</v>
      </c>
      <c r="V348" t="s">
        <v>13338</v>
      </c>
      <c r="W348" t="s">
        <v>13682</v>
      </c>
      <c r="X348">
        <v>3</v>
      </c>
      <c r="Y348" t="s">
        <v>20286</v>
      </c>
      <c r="Z348" t="s">
        <v>26763</v>
      </c>
      <c r="AA348">
        <v>0.871210292759515</v>
      </c>
      <c r="AB348" t="str">
        <f>HYPERLINK("Melting_Curves/meltCurve_D6R941_MRPS36.pdf", "Melting_Curves/meltCurve_D6R941_MRPS36.pdf")</f>
        <v>Melting_Curves/meltCurve_D6R941_MRPS36.pdf</v>
      </c>
    </row>
    <row r="349" spans="1:28" x14ac:dyDescent="0.25">
      <c r="A349" t="s">
        <v>353</v>
      </c>
      <c r="B349">
        <v>0.99193492352474899</v>
      </c>
      <c r="C349">
        <v>0.83354190625851698</v>
      </c>
      <c r="D349">
        <v>0.74829532660324205</v>
      </c>
      <c r="E349">
        <v>0.80519253367816401</v>
      </c>
      <c r="F349">
        <v>0.543501220876627</v>
      </c>
      <c r="G349">
        <v>0.54024382505056001</v>
      </c>
      <c r="H349">
        <v>0.468944651055339</v>
      </c>
      <c r="I349">
        <v>0.68136839857949205</v>
      </c>
      <c r="J349">
        <v>0.84618336390422799</v>
      </c>
      <c r="K349">
        <v>0.88966305049564998</v>
      </c>
      <c r="L349">
        <v>1021.30706544619</v>
      </c>
      <c r="M349">
        <v>23.5384066256042</v>
      </c>
      <c r="O349">
        <v>43.079435582869898</v>
      </c>
      <c r="P349">
        <v>-4.4011653549425503E-2</v>
      </c>
      <c r="Q349">
        <v>0.67780915034951605</v>
      </c>
      <c r="R349">
        <v>0.36137805642663801</v>
      </c>
      <c r="S349" t="s">
        <v>7019</v>
      </c>
      <c r="T349" t="s">
        <v>13338</v>
      </c>
      <c r="U349" t="s">
        <v>13338</v>
      </c>
      <c r="V349" t="s">
        <v>13338</v>
      </c>
      <c r="W349" t="s">
        <v>13683</v>
      </c>
      <c r="X349">
        <v>15</v>
      </c>
      <c r="Y349" t="s">
        <v>20287</v>
      </c>
      <c r="Z349" t="s">
        <v>26764</v>
      </c>
      <c r="AA349">
        <v>0.71902943253693907</v>
      </c>
      <c r="AB349" t="str">
        <f>HYPERLINK("Melting_Curves/meltCurve_D6R9P3_HNRNPAB.pdf", "Melting_Curves/meltCurve_D6R9P3_HNRNPAB.pdf")</f>
        <v>Melting_Curves/meltCurve_D6R9P3_HNRNPAB.pdf</v>
      </c>
    </row>
    <row r="350" spans="1:28" x14ac:dyDescent="0.25">
      <c r="A350" t="s">
        <v>354</v>
      </c>
      <c r="B350">
        <v>0.99193492352474899</v>
      </c>
      <c r="C350">
        <v>0.66516524008348699</v>
      </c>
      <c r="D350">
        <v>0.768349528471027</v>
      </c>
      <c r="E350">
        <v>0.38276073538108002</v>
      </c>
      <c r="F350">
        <v>0.39209605633105399</v>
      </c>
      <c r="G350">
        <v>0.16889751308827999</v>
      </c>
      <c r="H350">
        <v>0.131767188909206</v>
      </c>
      <c r="I350">
        <v>0.187713288792699</v>
      </c>
      <c r="J350">
        <v>0.29234165422861402</v>
      </c>
      <c r="K350">
        <v>0.34401404344555597</v>
      </c>
      <c r="L350">
        <v>682.17548005726906</v>
      </c>
      <c r="M350">
        <v>14.7013064374128</v>
      </c>
      <c r="N350">
        <v>48.279512178847597</v>
      </c>
      <c r="O350">
        <v>45.5691620572495</v>
      </c>
      <c r="P350">
        <v>-6.3103300113479602E-2</v>
      </c>
      <c r="Q350">
        <v>0.217688515749242</v>
      </c>
      <c r="R350">
        <v>0.86916724795351596</v>
      </c>
      <c r="S350" t="s">
        <v>7020</v>
      </c>
      <c r="T350" t="s">
        <v>13338</v>
      </c>
      <c r="U350" t="s">
        <v>13338</v>
      </c>
      <c r="V350" t="s">
        <v>13338</v>
      </c>
      <c r="W350" t="s">
        <v>13684</v>
      </c>
      <c r="X350">
        <v>4</v>
      </c>
      <c r="Y350" t="s">
        <v>20288</v>
      </c>
      <c r="Z350" t="s">
        <v>26765</v>
      </c>
      <c r="AA350">
        <v>0.40772726878282811</v>
      </c>
      <c r="AB350" t="str">
        <f>HYPERLINK("Melting_Curves/meltCurve_D6R9U7_POLR3G.pdf", "Melting_Curves/meltCurve_D6R9U7_POLR3G.pdf")</f>
        <v>Melting_Curves/meltCurve_D6R9U7_POLR3G.pdf</v>
      </c>
    </row>
    <row r="351" spans="1:28" x14ac:dyDescent="0.25">
      <c r="A351" t="s">
        <v>355</v>
      </c>
      <c r="B351">
        <v>0.99193492352474899</v>
      </c>
      <c r="C351">
        <v>0.94597644705561701</v>
      </c>
      <c r="D351">
        <v>1.05337798369324</v>
      </c>
      <c r="E351">
        <v>0.950982828132938</v>
      </c>
      <c r="F351">
        <v>0.90604719242527099</v>
      </c>
      <c r="G351">
        <v>0.75593262859009902</v>
      </c>
      <c r="H351">
        <v>0.61876423405160297</v>
      </c>
      <c r="I351">
        <v>0.70215662864719697</v>
      </c>
      <c r="J351">
        <v>0.60392031418042602</v>
      </c>
      <c r="K351">
        <v>0.70480617388154698</v>
      </c>
      <c r="L351">
        <v>1677.78215735038</v>
      </c>
      <c r="M351">
        <v>30.6028033548208</v>
      </c>
      <c r="O351">
        <v>54.591953356841799</v>
      </c>
      <c r="P351">
        <v>-4.8396842581187198E-2</v>
      </c>
      <c r="Q351">
        <v>0.65466402013735003</v>
      </c>
      <c r="R351">
        <v>0.92936236821468998</v>
      </c>
      <c r="S351" t="s">
        <v>7021</v>
      </c>
      <c r="T351" t="s">
        <v>13338</v>
      </c>
      <c r="U351" t="s">
        <v>13338</v>
      </c>
      <c r="V351" t="s">
        <v>13338</v>
      </c>
      <c r="W351" t="s">
        <v>13685</v>
      </c>
      <c r="X351">
        <v>3</v>
      </c>
      <c r="Y351" t="s">
        <v>20289</v>
      </c>
      <c r="Z351" t="s">
        <v>26766</v>
      </c>
      <c r="AA351">
        <v>0.82751385096081498</v>
      </c>
      <c r="AB351" t="str">
        <f>HYPERLINK("Melting_Curves/meltCurve_D6R9Z7_COX7C.pdf", "Melting_Curves/meltCurve_D6R9Z7_COX7C.pdf")</f>
        <v>Melting_Curves/meltCurve_D6R9Z7_COX7C.pdf</v>
      </c>
    </row>
    <row r="352" spans="1:28" x14ac:dyDescent="0.25">
      <c r="A352" t="s">
        <v>356</v>
      </c>
      <c r="B352">
        <v>0.99193492352474899</v>
      </c>
      <c r="C352">
        <v>0.83677140438918496</v>
      </c>
      <c r="D352">
        <v>0.91545557273556699</v>
      </c>
      <c r="E352">
        <v>0.69194066418286204</v>
      </c>
      <c r="F352">
        <v>0.52238471992412305</v>
      </c>
      <c r="G352">
        <v>0.222920573710294</v>
      </c>
      <c r="H352">
        <v>7.7550940761996298E-2</v>
      </c>
      <c r="I352">
        <v>9.5368320392210604E-2</v>
      </c>
      <c r="J352">
        <v>0.13355712047211499</v>
      </c>
      <c r="K352">
        <v>0.16249357097341</v>
      </c>
      <c r="L352">
        <v>850.52176214197505</v>
      </c>
      <c r="M352">
        <v>16.392267191454799</v>
      </c>
      <c r="N352">
        <v>52.463320323409697</v>
      </c>
      <c r="O352">
        <v>51.131824458228003</v>
      </c>
      <c r="P352">
        <v>-7.3533468095995203E-2</v>
      </c>
      <c r="Q352">
        <v>8.2584315562117899E-2</v>
      </c>
      <c r="R352">
        <v>0.968892929084191</v>
      </c>
      <c r="S352" t="s">
        <v>7022</v>
      </c>
      <c r="T352" t="s">
        <v>13338</v>
      </c>
      <c r="U352" t="s">
        <v>13338</v>
      </c>
      <c r="V352" t="s">
        <v>13338</v>
      </c>
      <c r="W352" t="s">
        <v>13686</v>
      </c>
      <c r="X352">
        <v>5</v>
      </c>
      <c r="Y352" t="s">
        <v>20290</v>
      </c>
      <c r="Z352" t="s">
        <v>26767</v>
      </c>
      <c r="AA352">
        <v>0.46393543164853379</v>
      </c>
      <c r="AB352" t="str">
        <f>HYPERLINK("Melting_Curves/meltCurve_D6RAD4_CDK7.pdf", "Melting_Curves/meltCurve_D6RAD4_CDK7.pdf")</f>
        <v>Melting_Curves/meltCurve_D6RAD4_CDK7.pdf</v>
      </c>
    </row>
    <row r="353" spans="1:28" x14ac:dyDescent="0.25">
      <c r="A353" t="s">
        <v>357</v>
      </c>
      <c r="B353">
        <v>0.99193492352474899</v>
      </c>
      <c r="C353">
        <v>0.965092469683554</v>
      </c>
      <c r="D353">
        <v>0.73511983914846202</v>
      </c>
      <c r="E353">
        <v>0.851063542143079</v>
      </c>
      <c r="F353">
        <v>0.51640874111205703</v>
      </c>
      <c r="G353">
        <v>0.20112173602057201</v>
      </c>
      <c r="H353">
        <v>0.27300909457422901</v>
      </c>
      <c r="I353">
        <v>0.114964034226492</v>
      </c>
      <c r="J353">
        <v>0.144828857413727</v>
      </c>
      <c r="K353">
        <v>0.57507135876155002</v>
      </c>
      <c r="L353">
        <v>1202.7742095071801</v>
      </c>
      <c r="M353">
        <v>23.426019933097599</v>
      </c>
      <c r="N353">
        <v>52.918231146287702</v>
      </c>
      <c r="O353">
        <v>50.973748799711402</v>
      </c>
      <c r="P353">
        <v>-8.6057559080090801E-2</v>
      </c>
      <c r="Q353">
        <v>0.25098654485810301</v>
      </c>
      <c r="R353">
        <v>0.80134119188932196</v>
      </c>
      <c r="S353" t="s">
        <v>7023</v>
      </c>
      <c r="T353" t="s">
        <v>13338</v>
      </c>
      <c r="U353" t="s">
        <v>13338</v>
      </c>
      <c r="V353" t="s">
        <v>13338</v>
      </c>
      <c r="W353" t="s">
        <v>13687</v>
      </c>
      <c r="X353">
        <v>2</v>
      </c>
      <c r="Y353" t="s">
        <v>20291</v>
      </c>
      <c r="Z353" t="s">
        <v>26768</v>
      </c>
      <c r="AA353">
        <v>0.54190692787224415</v>
      </c>
      <c r="AB353" t="str">
        <f>HYPERLINK("Melting_Curves/meltCurve_D6RAR2_LYRM9.pdf", "Melting_Curves/meltCurve_D6RAR2_LYRM9.pdf")</f>
        <v>Melting_Curves/meltCurve_D6RAR2_LYRM9.pdf</v>
      </c>
    </row>
    <row r="354" spans="1:28" x14ac:dyDescent="0.25">
      <c r="A354" t="s">
        <v>358</v>
      </c>
      <c r="B354">
        <v>0.99193492352474899</v>
      </c>
      <c r="C354">
        <v>1.12082574106192</v>
      </c>
      <c r="D354">
        <v>0.925627870111148</v>
      </c>
      <c r="E354">
        <v>0.94804221675382905</v>
      </c>
      <c r="F354">
        <v>0.60778928615054795</v>
      </c>
      <c r="G354">
        <v>0.451149836542797</v>
      </c>
      <c r="H354">
        <v>0.56187083502900403</v>
      </c>
      <c r="I354">
        <v>0.55259766963669799</v>
      </c>
      <c r="J354">
        <v>0.61909015044091897</v>
      </c>
      <c r="K354">
        <v>0.61912579764790399</v>
      </c>
      <c r="L354">
        <v>3145.81829092309</v>
      </c>
      <c r="M354">
        <v>61.397044885919598</v>
      </c>
      <c r="O354">
        <v>51.183018573275398</v>
      </c>
      <c r="P354">
        <v>-0.13150656725530299</v>
      </c>
      <c r="Q354">
        <v>0.56148374474269203</v>
      </c>
      <c r="R354">
        <v>0.91868595274888998</v>
      </c>
      <c r="S354" t="s">
        <v>7024</v>
      </c>
      <c r="T354" t="s">
        <v>13338</v>
      </c>
      <c r="U354" t="s">
        <v>13338</v>
      </c>
      <c r="V354" t="s">
        <v>13338</v>
      </c>
      <c r="W354" t="s">
        <v>13688</v>
      </c>
      <c r="X354">
        <v>1</v>
      </c>
      <c r="Y354" t="s">
        <v>20292</v>
      </c>
      <c r="Z354" t="s">
        <v>26769</v>
      </c>
      <c r="AA354">
        <v>0.7263976266871377</v>
      </c>
      <c r="AB354" t="str">
        <f>HYPERLINK("Melting_Curves/meltCurve_D6RAT4_CNBP.pdf", "Melting_Curves/meltCurve_D6RAT4_CNBP.pdf")</f>
        <v>Melting_Curves/meltCurve_D6RAT4_CNBP.pdf</v>
      </c>
    </row>
    <row r="355" spans="1:28" x14ac:dyDescent="0.25">
      <c r="A355" t="s">
        <v>359</v>
      </c>
      <c r="B355">
        <v>0.99193492352474899</v>
      </c>
      <c r="C355">
        <v>0.675931462734774</v>
      </c>
      <c r="D355">
        <v>0.71940679580105504</v>
      </c>
      <c r="E355">
        <v>0.45609905551162599</v>
      </c>
      <c r="F355">
        <v>0.35236252910483501</v>
      </c>
      <c r="G355">
        <v>0.20013683688271</v>
      </c>
      <c r="H355">
        <v>0.111047362698158</v>
      </c>
      <c r="I355">
        <v>0.14980824084896899</v>
      </c>
      <c r="J355">
        <v>0.16990800870306799</v>
      </c>
      <c r="K355">
        <v>0.57819898555757399</v>
      </c>
      <c r="L355">
        <v>688.30315083705898</v>
      </c>
      <c r="M355">
        <v>14.9045908924749</v>
      </c>
      <c r="N355">
        <v>48.2445052863538</v>
      </c>
      <c r="O355">
        <v>45.373203043087699</v>
      </c>
      <c r="P355">
        <v>-6.2770528448377605E-2</v>
      </c>
      <c r="Q355">
        <v>0.23572409519207799</v>
      </c>
      <c r="R355">
        <v>0.76081264819825301</v>
      </c>
      <c r="S355" t="s">
        <v>7025</v>
      </c>
      <c r="T355" t="s">
        <v>13338</v>
      </c>
      <c r="U355" t="s">
        <v>13338</v>
      </c>
      <c r="V355" t="s">
        <v>13338</v>
      </c>
      <c r="W355" t="s">
        <v>13689</v>
      </c>
      <c r="X355">
        <v>4</v>
      </c>
      <c r="Y355" t="s">
        <v>20293</v>
      </c>
      <c r="Z355" t="s">
        <v>26770</v>
      </c>
      <c r="AA355">
        <v>0.41547369956408547</v>
      </c>
      <c r="AB355" t="str">
        <f>HYPERLINK("Melting_Curves/meltCurve_D6RB34_IRF2.pdf", "Melting_Curves/meltCurve_D6RB34_IRF2.pdf")</f>
        <v>Melting_Curves/meltCurve_D6RB34_IRF2.pdf</v>
      </c>
    </row>
    <row r="356" spans="1:28" x14ac:dyDescent="0.25">
      <c r="A356" t="s">
        <v>360</v>
      </c>
      <c r="B356">
        <v>0.99193492352474899</v>
      </c>
      <c r="C356">
        <v>0.68709268984573502</v>
      </c>
      <c r="D356">
        <v>0.77317367696615802</v>
      </c>
      <c r="E356">
        <v>0.54549770400742803</v>
      </c>
      <c r="F356">
        <v>0.30495413827411699</v>
      </c>
      <c r="G356">
        <v>0.124827584215572</v>
      </c>
      <c r="H356">
        <v>7.2424812772542493E-2</v>
      </c>
      <c r="I356">
        <v>8.6473628573840805E-2</v>
      </c>
      <c r="J356">
        <v>9.5898781532684399E-2</v>
      </c>
      <c r="K356">
        <v>9.4562325812684006E-2</v>
      </c>
      <c r="L356">
        <v>578.16548856255702</v>
      </c>
      <c r="M356">
        <v>11.7588948505124</v>
      </c>
      <c r="N356">
        <v>49.388454686061202</v>
      </c>
      <c r="O356">
        <v>47.810965928767999</v>
      </c>
      <c r="P356">
        <v>-5.9932512728380502E-2</v>
      </c>
      <c r="Q356">
        <v>2.55260330955599E-2</v>
      </c>
      <c r="R356">
        <v>0.95503550874354004</v>
      </c>
      <c r="S356" t="s">
        <v>7026</v>
      </c>
      <c r="T356" t="s">
        <v>13338</v>
      </c>
      <c r="U356" t="s">
        <v>13338</v>
      </c>
      <c r="V356" t="s">
        <v>13338</v>
      </c>
      <c r="W356" t="s">
        <v>13690</v>
      </c>
      <c r="X356">
        <v>8</v>
      </c>
      <c r="Y356" t="s">
        <v>20294</v>
      </c>
      <c r="Z356" t="s">
        <v>26771</v>
      </c>
      <c r="AA356">
        <v>0.35997824753823621</v>
      </c>
      <c r="AB356" t="str">
        <f>HYPERLINK("Melting_Curves/meltCurve_D6RBW1_EIF4E.pdf", "Melting_Curves/meltCurve_D6RBW1_EIF4E.pdf")</f>
        <v>Melting_Curves/meltCurve_D6RBW1_EIF4E.pdf</v>
      </c>
    </row>
    <row r="357" spans="1:28" x14ac:dyDescent="0.25">
      <c r="A357" t="s">
        <v>361</v>
      </c>
      <c r="B357">
        <v>0.99193492352474899</v>
      </c>
      <c r="C357">
        <v>1.04762071823522</v>
      </c>
      <c r="D357">
        <v>0.97650612078785703</v>
      </c>
      <c r="E357">
        <v>0.93239908983507602</v>
      </c>
      <c r="F357">
        <v>0.808808714126516</v>
      </c>
      <c r="G357">
        <v>0.34750397482284501</v>
      </c>
      <c r="H357">
        <v>0.293399359109001</v>
      </c>
      <c r="I357">
        <v>0.34538704875169801</v>
      </c>
      <c r="J357">
        <v>0.43037630437777802</v>
      </c>
      <c r="K357">
        <v>0.61310273155376305</v>
      </c>
      <c r="L357">
        <v>13339.6500336505</v>
      </c>
      <c r="M357">
        <v>250</v>
      </c>
      <c r="N357">
        <v>53.717610729892598</v>
      </c>
      <c r="O357">
        <v>53.355185745039897</v>
      </c>
      <c r="P357">
        <v>-0.69586270628729296</v>
      </c>
      <c r="Q357">
        <v>0.40595385984798599</v>
      </c>
      <c r="R357">
        <v>0.91575642844513605</v>
      </c>
      <c r="S357" t="s">
        <v>7027</v>
      </c>
      <c r="T357" t="s">
        <v>13338</v>
      </c>
      <c r="U357" t="s">
        <v>13338</v>
      </c>
      <c r="V357" t="s">
        <v>13338</v>
      </c>
      <c r="W357" t="s">
        <v>13691</v>
      </c>
      <c r="X357">
        <v>9</v>
      </c>
      <c r="Y357" t="s">
        <v>20295</v>
      </c>
      <c r="Z357" t="s">
        <v>26772</v>
      </c>
      <c r="AA357">
        <v>0.67053031667512653</v>
      </c>
      <c r="AB357" t="str">
        <f>HYPERLINK("Melting_Curves/meltCurve_D6RCD0_HSD17B11.pdf", "Melting_Curves/meltCurve_D6RCD0_HSD17B11.pdf")</f>
        <v>Melting_Curves/meltCurve_D6RCD0_HSD17B11.pdf</v>
      </c>
    </row>
    <row r="358" spans="1:28" x14ac:dyDescent="0.25">
      <c r="A358" t="s">
        <v>362</v>
      </c>
      <c r="B358">
        <v>0.99193492352474899</v>
      </c>
      <c r="C358">
        <v>1.60677411821047</v>
      </c>
      <c r="D358">
        <v>0.77454601224590802</v>
      </c>
      <c r="E358">
        <v>1.1205973851181901</v>
      </c>
      <c r="F358">
        <v>0.29535375638233702</v>
      </c>
      <c r="G358">
        <v>0.20296554107082301</v>
      </c>
      <c r="H358">
        <v>0.13310230911757201</v>
      </c>
      <c r="I358">
        <v>0.160097853900668</v>
      </c>
      <c r="J358">
        <v>0.119852434246839</v>
      </c>
      <c r="K358">
        <v>0.148408837176356</v>
      </c>
      <c r="L358">
        <v>13214.955800403201</v>
      </c>
      <c r="M358">
        <v>250</v>
      </c>
      <c r="N358">
        <v>52.937101555634499</v>
      </c>
      <c r="O358">
        <v>52.856427929478301</v>
      </c>
      <c r="P358">
        <v>-1.0016691114593499</v>
      </c>
      <c r="Q358">
        <v>0.15288537921429801</v>
      </c>
      <c r="R358">
        <v>0.82803876323900205</v>
      </c>
      <c r="S358" t="s">
        <v>7028</v>
      </c>
      <c r="T358" t="s">
        <v>13338</v>
      </c>
      <c r="U358" t="s">
        <v>13338</v>
      </c>
      <c r="V358" t="s">
        <v>13338</v>
      </c>
      <c r="W358" t="s">
        <v>13692</v>
      </c>
      <c r="X358">
        <v>4</v>
      </c>
      <c r="Y358" t="s">
        <v>20296</v>
      </c>
      <c r="Z358" t="s">
        <v>26773</v>
      </c>
      <c r="AA358">
        <v>0.51608877297845035</v>
      </c>
      <c r="AB358" t="str">
        <f>HYPERLINK("Melting_Curves/meltCurve_D6RCM8_TNFAIP8.pdf", "Melting_Curves/meltCurve_D6RCM8_TNFAIP8.pdf")</f>
        <v>Melting_Curves/meltCurve_D6RCM8_TNFAIP8.pdf</v>
      </c>
    </row>
    <row r="359" spans="1:28" x14ac:dyDescent="0.25">
      <c r="A359" t="s">
        <v>363</v>
      </c>
      <c r="B359">
        <v>0.99193492352474899</v>
      </c>
      <c r="C359">
        <v>0.660896430262084</v>
      </c>
      <c r="D359">
        <v>0.72764134085111198</v>
      </c>
      <c r="E359">
        <v>0.45580759214632399</v>
      </c>
      <c r="F359">
        <v>0.195221873494866</v>
      </c>
      <c r="G359">
        <v>0.118553013369078</v>
      </c>
      <c r="H359">
        <v>4.1288813417833498E-2</v>
      </c>
      <c r="I359">
        <v>6.7249930546871201E-2</v>
      </c>
      <c r="J359">
        <v>6.2812126259194495E-2</v>
      </c>
      <c r="K359">
        <v>5.5289972000775997E-2</v>
      </c>
      <c r="L359">
        <v>591.61481086803201</v>
      </c>
      <c r="M359">
        <v>12.3034939085035</v>
      </c>
      <c r="N359">
        <v>48.167211690207303</v>
      </c>
      <c r="O359">
        <v>46.867736964591501</v>
      </c>
      <c r="P359">
        <v>-6.4961959224961702E-2</v>
      </c>
      <c r="Q359">
        <v>1.0376959931033601E-2</v>
      </c>
      <c r="R359">
        <v>0.95916437191224002</v>
      </c>
      <c r="S359" t="s">
        <v>7029</v>
      </c>
      <c r="T359" t="s">
        <v>13338</v>
      </c>
      <c r="U359" t="s">
        <v>13338</v>
      </c>
      <c r="V359" t="s">
        <v>13338</v>
      </c>
      <c r="W359" t="s">
        <v>13693</v>
      </c>
      <c r="X359">
        <v>2</v>
      </c>
      <c r="Y359" t="s">
        <v>20297</v>
      </c>
      <c r="Z359" t="s">
        <v>26774</v>
      </c>
      <c r="AA359">
        <v>0.31392618174847592</v>
      </c>
      <c r="AB359" t="str">
        <f>HYPERLINK("Melting_Curves/meltCurve_D6RD25_PRELID1.pdf", "Melting_Curves/meltCurve_D6RD25_PRELID1.pdf")</f>
        <v>Melting_Curves/meltCurve_D6RD25_PRELID1.pdf</v>
      </c>
    </row>
    <row r="360" spans="1:28" x14ac:dyDescent="0.25">
      <c r="A360" t="s">
        <v>364</v>
      </c>
      <c r="B360">
        <v>0.99193492352474899</v>
      </c>
      <c r="C360">
        <v>0.79496412550927997</v>
      </c>
      <c r="D360">
        <v>1.0074577532387801</v>
      </c>
      <c r="E360">
        <v>0.71181366554936099</v>
      </c>
      <c r="F360">
        <v>0.81404770506011603</v>
      </c>
      <c r="G360">
        <v>0.47761810895962697</v>
      </c>
      <c r="H360">
        <v>0.33130308599251401</v>
      </c>
      <c r="I360">
        <v>0.41037722300393598</v>
      </c>
      <c r="J360">
        <v>0.61034920324580799</v>
      </c>
      <c r="K360">
        <v>0.62465334278171702</v>
      </c>
      <c r="L360">
        <v>868.6164485045</v>
      </c>
      <c r="M360">
        <v>17.113906618949699</v>
      </c>
      <c r="N360">
        <v>64.457058198621098</v>
      </c>
      <c r="O360">
        <v>50.077211999438099</v>
      </c>
      <c r="P360">
        <v>-4.3845133476643303E-2</v>
      </c>
      <c r="Q360">
        <v>0.48684776819881598</v>
      </c>
      <c r="R360">
        <v>0.677346574964798</v>
      </c>
      <c r="S360" t="s">
        <v>7030</v>
      </c>
      <c r="T360" t="s">
        <v>13338</v>
      </c>
      <c r="U360" t="s">
        <v>13338</v>
      </c>
      <c r="V360" t="s">
        <v>13338</v>
      </c>
      <c r="W360" t="s">
        <v>13694</v>
      </c>
      <c r="X360">
        <v>1</v>
      </c>
      <c r="Y360" t="s">
        <v>20298</v>
      </c>
      <c r="Z360" t="s">
        <v>26775</v>
      </c>
      <c r="AA360">
        <v>0.68031324693063699</v>
      </c>
      <c r="AB360" t="str">
        <f>HYPERLINK("Melting_Curves/meltCurve_D6RDH5_GNGT2.pdf", "Melting_Curves/meltCurve_D6RDH5_GNGT2.pdf")</f>
        <v>Melting_Curves/meltCurve_D6RDH5_GNGT2.pdf</v>
      </c>
    </row>
    <row r="361" spans="1:28" x14ac:dyDescent="0.25">
      <c r="A361" t="s">
        <v>365</v>
      </c>
      <c r="B361">
        <v>0.99193492352474899</v>
      </c>
      <c r="C361">
        <v>0.73056405275419001</v>
      </c>
      <c r="D361">
        <v>0.81572402321482695</v>
      </c>
      <c r="E361">
        <v>0.47102203807307702</v>
      </c>
      <c r="F361">
        <v>0.52571920658688898</v>
      </c>
      <c r="G361">
        <v>0.28284748106421698</v>
      </c>
      <c r="H361">
        <v>0.116363022797645</v>
      </c>
      <c r="I361">
        <v>0.12833005688413199</v>
      </c>
      <c r="J361">
        <v>9.0070237255466506E-2</v>
      </c>
      <c r="K361">
        <v>0.104702319707489</v>
      </c>
      <c r="L361">
        <v>466.42232818584802</v>
      </c>
      <c r="M361">
        <v>9.1380644030216391</v>
      </c>
      <c r="N361">
        <v>51.0416839883016</v>
      </c>
      <c r="O361">
        <v>48.775558944747303</v>
      </c>
      <c r="P361">
        <v>-4.6869421052493802E-2</v>
      </c>
      <c r="Q361">
        <v>0</v>
      </c>
      <c r="R361">
        <v>0.945373500408351</v>
      </c>
      <c r="S361" t="s">
        <v>7031</v>
      </c>
      <c r="T361" t="s">
        <v>13338</v>
      </c>
      <c r="U361" t="s">
        <v>13338</v>
      </c>
      <c r="V361" t="s">
        <v>13338</v>
      </c>
      <c r="W361" t="s">
        <v>13695</v>
      </c>
      <c r="X361">
        <v>2</v>
      </c>
      <c r="Y361" t="s">
        <v>20299</v>
      </c>
      <c r="Z361" t="s">
        <v>26776</v>
      </c>
      <c r="AA361">
        <v>0.41415684170576661</v>
      </c>
      <c r="AB361" t="str">
        <f>HYPERLINK("Melting_Curves/meltCurve_D6RDX3_ATG10.pdf", "Melting_Curves/meltCurve_D6RDX3_ATG10.pdf")</f>
        <v>Melting_Curves/meltCurve_D6RDX3_ATG10.pdf</v>
      </c>
    </row>
    <row r="362" spans="1:28" x14ac:dyDescent="0.25">
      <c r="A362" t="s">
        <v>366</v>
      </c>
      <c r="B362">
        <v>0.99193492352474899</v>
      </c>
      <c r="C362">
        <v>0.99638197879137902</v>
      </c>
      <c r="D362">
        <v>0.83853869649179802</v>
      </c>
      <c r="E362">
        <v>0.40092729671412097</v>
      </c>
      <c r="F362">
        <v>0.342542638483746</v>
      </c>
      <c r="G362">
        <v>0.15525433552395199</v>
      </c>
      <c r="H362">
        <v>0.121266164771311</v>
      </c>
      <c r="I362">
        <v>0.15596335587945601</v>
      </c>
      <c r="J362">
        <v>0.18049476839439901</v>
      </c>
      <c r="K362">
        <v>0.18628836532135501</v>
      </c>
      <c r="L362">
        <v>1228.3595479656899</v>
      </c>
      <c r="M362">
        <v>25.420648634134601</v>
      </c>
      <c r="N362">
        <v>49.110664450278797</v>
      </c>
      <c r="O362">
        <v>48.025273116345197</v>
      </c>
      <c r="P362">
        <v>-0.11013943455391299</v>
      </c>
      <c r="Q362">
        <v>0.16769867988291001</v>
      </c>
      <c r="R362">
        <v>0.98451957066408502</v>
      </c>
      <c r="S362" t="s">
        <v>7032</v>
      </c>
      <c r="T362" t="s">
        <v>13338</v>
      </c>
      <c r="U362" t="s">
        <v>13338</v>
      </c>
      <c r="V362" t="s">
        <v>13338</v>
      </c>
      <c r="W362" t="s">
        <v>13696</v>
      </c>
      <c r="X362">
        <v>6</v>
      </c>
      <c r="Y362" t="s">
        <v>20300</v>
      </c>
      <c r="Z362" t="s">
        <v>26777</v>
      </c>
      <c r="AA362">
        <v>0.40566233844810889</v>
      </c>
      <c r="AB362" t="str">
        <f>HYPERLINK("Melting_Curves/meltCurve_D6REA0_PET112.pdf", "Melting_Curves/meltCurve_D6REA0_PET112.pdf")</f>
        <v>Melting_Curves/meltCurve_D6REA0_PET112.pdf</v>
      </c>
    </row>
    <row r="363" spans="1:28" x14ac:dyDescent="0.25">
      <c r="A363" t="s">
        <v>367</v>
      </c>
      <c r="B363">
        <v>0.99193492352474899</v>
      </c>
      <c r="C363">
        <v>2.14137537519087</v>
      </c>
      <c r="D363">
        <v>1.1256663885287601</v>
      </c>
      <c r="E363">
        <v>1.34774312778062</v>
      </c>
      <c r="F363">
        <v>0.72957783727468195</v>
      </c>
      <c r="G363">
        <v>1.14075195868882</v>
      </c>
      <c r="H363">
        <v>1.04073595457986</v>
      </c>
      <c r="I363">
        <v>2.2300862154445</v>
      </c>
      <c r="J363">
        <v>2.4141898561056001</v>
      </c>
      <c r="K363">
        <v>1.1725694620771201</v>
      </c>
      <c r="L363">
        <v>226.5069458815</v>
      </c>
      <c r="M363">
        <v>5.9346369910123604</v>
      </c>
      <c r="Q363">
        <v>1.5</v>
      </c>
      <c r="R363">
        <v>2.24891031217609E-2</v>
      </c>
      <c r="S363" t="s">
        <v>7033</v>
      </c>
      <c r="T363" t="s">
        <v>13338</v>
      </c>
      <c r="U363" t="s">
        <v>13338</v>
      </c>
      <c r="V363" t="s">
        <v>13338</v>
      </c>
      <c r="W363" t="s">
        <v>13697</v>
      </c>
      <c r="X363">
        <v>2</v>
      </c>
      <c r="Y363" t="s">
        <v>20301</v>
      </c>
      <c r="Z363" t="s">
        <v>26778</v>
      </c>
      <c r="AA363">
        <v>1.4130784077519301</v>
      </c>
      <c r="AB363" t="str">
        <f>HYPERLINK("Melting_Curves/meltCurve_D6REL0_CDC42SE2.pdf", "Melting_Curves/meltCurve_D6REL0_CDC42SE2.pdf")</f>
        <v>Melting_Curves/meltCurve_D6REL0_CDC42SE2.pdf</v>
      </c>
    </row>
    <row r="364" spans="1:28" x14ac:dyDescent="0.25">
      <c r="A364" t="s">
        <v>368</v>
      </c>
      <c r="B364">
        <v>0.99193492352474899</v>
      </c>
      <c r="C364">
        <v>0.65349577597368103</v>
      </c>
      <c r="D364">
        <v>0.81472599990870498</v>
      </c>
      <c r="E364">
        <v>0.54649075720943696</v>
      </c>
      <c r="F364">
        <v>0.68995402050701005</v>
      </c>
      <c r="G364">
        <v>0.42001581140659</v>
      </c>
      <c r="H364">
        <v>0.22587386557151901</v>
      </c>
      <c r="I364">
        <v>0.13524542771437301</v>
      </c>
      <c r="J364">
        <v>0.110543646020428</v>
      </c>
      <c r="K364">
        <v>0.11029181962363301</v>
      </c>
      <c r="L364">
        <v>411.502208081655</v>
      </c>
      <c r="M364">
        <v>7.7672135310422004</v>
      </c>
      <c r="N364">
        <v>52.979385984017497</v>
      </c>
      <c r="O364">
        <v>49.811367687220503</v>
      </c>
      <c r="P364">
        <v>-3.9032356615414099E-2</v>
      </c>
      <c r="Q364">
        <v>0</v>
      </c>
      <c r="R364">
        <v>0.88074777862505704</v>
      </c>
      <c r="S364" t="s">
        <v>7034</v>
      </c>
      <c r="T364" t="s">
        <v>13338</v>
      </c>
      <c r="U364" t="s">
        <v>13338</v>
      </c>
      <c r="V364" t="s">
        <v>13338</v>
      </c>
      <c r="W364" t="s">
        <v>13698</v>
      </c>
      <c r="X364">
        <v>5</v>
      </c>
      <c r="Y364" t="s">
        <v>20302</v>
      </c>
      <c r="Z364" t="s">
        <v>26779</v>
      </c>
      <c r="AA364">
        <v>0.47430439494808257</v>
      </c>
      <c r="AB364" t="str">
        <f>HYPERLINK("Melting_Curves/meltCurve_D6REL5_FAM175A.pdf", "Melting_Curves/meltCurve_D6REL5_FAM175A.pdf")</f>
        <v>Melting_Curves/meltCurve_D6REL5_FAM175A.pdf</v>
      </c>
    </row>
    <row r="365" spans="1:28" x14ac:dyDescent="0.25">
      <c r="A365" t="s">
        <v>369</v>
      </c>
      <c r="B365">
        <v>0.99193492352474899</v>
      </c>
      <c r="C365">
        <v>0.79058277293801904</v>
      </c>
      <c r="D365">
        <v>0.61530659812870303</v>
      </c>
      <c r="E365">
        <v>0.26884275120465201</v>
      </c>
      <c r="F365">
        <v>0.17278681444740601</v>
      </c>
      <c r="G365">
        <v>0.117446664744848</v>
      </c>
      <c r="H365">
        <v>5.8546507556949401E-2</v>
      </c>
      <c r="I365">
        <v>4.3488738131565001E-2</v>
      </c>
      <c r="J365">
        <v>6.7341843979156393E-2</v>
      </c>
      <c r="K365">
        <v>1.8307780795383099E-2</v>
      </c>
      <c r="L365">
        <v>792.66039756219595</v>
      </c>
      <c r="M365">
        <v>16.963520685017102</v>
      </c>
      <c r="N365">
        <v>46.985616589588602</v>
      </c>
      <c r="O365">
        <v>46.092483087691001</v>
      </c>
      <c r="P365">
        <v>-8.7917907168210796E-2</v>
      </c>
      <c r="Q365">
        <v>4.4513968573231498E-2</v>
      </c>
      <c r="R365">
        <v>0.99290366150438403</v>
      </c>
      <c r="S365" t="s">
        <v>7035</v>
      </c>
      <c r="T365" t="s">
        <v>13338</v>
      </c>
      <c r="U365" t="s">
        <v>13338</v>
      </c>
      <c r="V365" t="s">
        <v>13338</v>
      </c>
      <c r="W365" t="s">
        <v>13699</v>
      </c>
      <c r="X365">
        <v>11</v>
      </c>
      <c r="Y365" t="s">
        <v>20303</v>
      </c>
      <c r="Z365" t="s">
        <v>26780</v>
      </c>
      <c r="AA365">
        <v>0.27912918029938699</v>
      </c>
      <c r="AB365" t="str">
        <f>HYPERLINK("Melting_Curves/meltCurve_D6REM4_CSNK1A1.pdf", "Melting_Curves/meltCurve_D6REM4_CSNK1A1.pdf")</f>
        <v>Melting_Curves/meltCurve_D6REM4_CSNK1A1.pdf</v>
      </c>
    </row>
    <row r="366" spans="1:28" x14ac:dyDescent="0.25">
      <c r="A366" t="s">
        <v>370</v>
      </c>
      <c r="B366">
        <v>0.99193492352474899</v>
      </c>
      <c r="C366">
        <v>0.94321925786399297</v>
      </c>
      <c r="D366">
        <v>0.69831698826446598</v>
      </c>
      <c r="E366">
        <v>0.27598280936910202</v>
      </c>
      <c r="F366">
        <v>0.155815617640812</v>
      </c>
      <c r="G366">
        <v>8.4698617818700597E-2</v>
      </c>
      <c r="H366">
        <v>6.19482424821493E-2</v>
      </c>
      <c r="I366">
        <v>8.1267424510549496E-2</v>
      </c>
      <c r="J366">
        <v>8.2891272351725706E-2</v>
      </c>
      <c r="K366">
        <v>0.107483434789357</v>
      </c>
      <c r="L366">
        <v>1249.2923783579399</v>
      </c>
      <c r="M366">
        <v>26.456982306966001</v>
      </c>
      <c r="N366">
        <v>47.552929596944502</v>
      </c>
      <c r="O366">
        <v>46.952442928375099</v>
      </c>
      <c r="P366">
        <v>-0.128954882595854</v>
      </c>
      <c r="Q366">
        <v>8.4599366007996002E-2</v>
      </c>
      <c r="R366">
        <v>0.99837288685262304</v>
      </c>
      <c r="S366" t="s">
        <v>7036</v>
      </c>
      <c r="T366" t="s">
        <v>13338</v>
      </c>
      <c r="U366" t="s">
        <v>13338</v>
      </c>
      <c r="V366" t="s">
        <v>13338</v>
      </c>
      <c r="W366" t="s">
        <v>13700</v>
      </c>
      <c r="X366">
        <v>13</v>
      </c>
      <c r="Y366" t="s">
        <v>20304</v>
      </c>
      <c r="Z366" t="s">
        <v>26781</v>
      </c>
      <c r="AA366">
        <v>0.31209480357886021</v>
      </c>
      <c r="AB366" t="str">
        <f>HYPERLINK("Melting_Curves/meltCurve_D6REX3_SEC31A.pdf", "Melting_Curves/meltCurve_D6REX3_SEC31A.pdf")</f>
        <v>Melting_Curves/meltCurve_D6REX3_SEC31A.pdf</v>
      </c>
    </row>
    <row r="367" spans="1:28" x14ac:dyDescent="0.25">
      <c r="A367" t="s">
        <v>371</v>
      </c>
      <c r="B367">
        <v>0.99193492352474899</v>
      </c>
      <c r="C367">
        <v>0.87003402130890295</v>
      </c>
      <c r="D367">
        <v>0.90634308873082403</v>
      </c>
      <c r="E367">
        <v>0.43606987079259901</v>
      </c>
      <c r="F367">
        <v>0.18268071128829899</v>
      </c>
      <c r="G367">
        <v>9.0067338226404295E-2</v>
      </c>
      <c r="H367">
        <v>5.7884259506380702E-2</v>
      </c>
      <c r="I367">
        <v>5.41734107129054E-2</v>
      </c>
      <c r="J367">
        <v>5.8537791762965599E-2</v>
      </c>
      <c r="K367">
        <v>5.3971544536184302E-2</v>
      </c>
      <c r="L367">
        <v>1266.1112182107499</v>
      </c>
      <c r="M367">
        <v>25.817906073744599</v>
      </c>
      <c r="N367">
        <v>49.269195916653103</v>
      </c>
      <c r="O367">
        <v>48.748675069924403</v>
      </c>
      <c r="P367">
        <v>-0.12491390168135399</v>
      </c>
      <c r="Q367">
        <v>5.65750546131292E-2</v>
      </c>
      <c r="R367">
        <v>0.98952624751280904</v>
      </c>
      <c r="S367" t="s">
        <v>7037</v>
      </c>
      <c r="T367" t="s">
        <v>13338</v>
      </c>
      <c r="U367" t="s">
        <v>13338</v>
      </c>
      <c r="V367" t="s">
        <v>13338</v>
      </c>
      <c r="W367" t="s">
        <v>13701</v>
      </c>
      <c r="X367">
        <v>11</v>
      </c>
      <c r="Y367" t="s">
        <v>20305</v>
      </c>
      <c r="Z367" t="s">
        <v>26782</v>
      </c>
      <c r="AA367">
        <v>0.34868791438149999</v>
      </c>
      <c r="AB367" t="str">
        <f>HYPERLINK("Melting_Curves/meltCurve_D6RF48_STX18.pdf", "Melting_Curves/meltCurve_D6RF48_STX18.pdf")</f>
        <v>Melting_Curves/meltCurve_D6RF48_STX18.pdf</v>
      </c>
    </row>
    <row r="368" spans="1:28" x14ac:dyDescent="0.25">
      <c r="A368" t="s">
        <v>372</v>
      </c>
      <c r="B368">
        <v>0.99193492352474899</v>
      </c>
      <c r="C368">
        <v>1.13662865201966</v>
      </c>
      <c r="D368">
        <v>1.21432872216173</v>
      </c>
      <c r="E368">
        <v>1.12938126531328</v>
      </c>
      <c r="F368">
        <v>1.0028826874172501</v>
      </c>
      <c r="G368">
        <v>0.70456855056001499</v>
      </c>
      <c r="H368">
        <v>0.280029249604688</v>
      </c>
      <c r="I368">
        <v>0.15732325952721099</v>
      </c>
      <c r="J368">
        <v>0.17843665582377799</v>
      </c>
      <c r="K368">
        <v>0.19317083672461699</v>
      </c>
      <c r="L368">
        <v>2434.80132011967</v>
      </c>
      <c r="M368">
        <v>42.2331431265752</v>
      </c>
      <c r="N368">
        <v>58.252891604619997</v>
      </c>
      <c r="O368">
        <v>57.522651727440802</v>
      </c>
      <c r="P368">
        <v>-0.15111553481955001</v>
      </c>
      <c r="Q368">
        <v>0.17670839484089901</v>
      </c>
      <c r="R368">
        <v>0.95369877098173905</v>
      </c>
      <c r="S368" t="s">
        <v>7038</v>
      </c>
      <c r="T368" t="s">
        <v>13338</v>
      </c>
      <c r="U368" t="s">
        <v>13338</v>
      </c>
      <c r="V368" t="s">
        <v>13338</v>
      </c>
      <c r="W368" t="s">
        <v>13702</v>
      </c>
      <c r="X368">
        <v>9</v>
      </c>
      <c r="Y368" t="s">
        <v>20306</v>
      </c>
      <c r="Z368" t="s">
        <v>26783</v>
      </c>
      <c r="AA368">
        <v>0.66402476873552452</v>
      </c>
      <c r="AB368" t="str">
        <f>HYPERLINK("Melting_Curves/meltCurve_D6RFG8_DCK.pdf", "Melting_Curves/meltCurve_D6RFG8_DCK.pdf")</f>
        <v>Melting_Curves/meltCurve_D6RFG8_DCK.pdf</v>
      </c>
    </row>
    <row r="369" spans="1:28" x14ac:dyDescent="0.25">
      <c r="A369" t="s">
        <v>373</v>
      </c>
      <c r="B369">
        <v>0.99193492352474899</v>
      </c>
      <c r="C369">
        <v>0.91473113377719995</v>
      </c>
      <c r="D369">
        <v>0.79595060345213298</v>
      </c>
      <c r="E369">
        <v>0.68590070952721804</v>
      </c>
      <c r="F369">
        <v>0.39213594445616701</v>
      </c>
      <c r="G369">
        <v>0.20282664485327301</v>
      </c>
      <c r="H369">
        <v>0.15481839618503401</v>
      </c>
      <c r="I369">
        <v>0.21334812528300201</v>
      </c>
      <c r="J369">
        <v>0.25441850350023298</v>
      </c>
      <c r="K369">
        <v>0.36581608434525098</v>
      </c>
      <c r="L369">
        <v>955.04925620551705</v>
      </c>
      <c r="M369">
        <v>19.271483366310001</v>
      </c>
      <c r="N369">
        <v>51.1489148517418</v>
      </c>
      <c r="O369">
        <v>49.033275348647798</v>
      </c>
      <c r="P369">
        <v>-7.6105994528252993E-2</v>
      </c>
      <c r="Q369">
        <v>0.22546999142604901</v>
      </c>
      <c r="R369">
        <v>0.94820155368027004</v>
      </c>
      <c r="S369" t="s">
        <v>7039</v>
      </c>
      <c r="T369" t="s">
        <v>13338</v>
      </c>
      <c r="U369" t="s">
        <v>13338</v>
      </c>
      <c r="V369" t="s">
        <v>13338</v>
      </c>
      <c r="W369" t="s">
        <v>13703</v>
      </c>
      <c r="X369">
        <v>1</v>
      </c>
      <c r="Y369" t="s">
        <v>20307</v>
      </c>
      <c r="Z369" t="s">
        <v>26784</v>
      </c>
      <c r="AA369">
        <v>0.48385438913069112</v>
      </c>
      <c r="AB369" t="str">
        <f>HYPERLINK("Melting_Curves/meltCurve_D6RGD4_APBB2.pdf", "Melting_Curves/meltCurve_D6RGD4_APBB2.pdf")</f>
        <v>Melting_Curves/meltCurve_D6RGD4_APBB2.pdf</v>
      </c>
    </row>
    <row r="370" spans="1:28" x14ac:dyDescent="0.25">
      <c r="A370" t="s">
        <v>374</v>
      </c>
      <c r="B370">
        <v>0.99193492352474899</v>
      </c>
      <c r="C370">
        <v>0.97979601281294504</v>
      </c>
      <c r="D370">
        <v>0.90397899609737498</v>
      </c>
      <c r="E370">
        <v>0.72538007559083695</v>
      </c>
      <c r="F370">
        <v>0.54554233011766895</v>
      </c>
      <c r="G370">
        <v>0.238291973927619</v>
      </c>
      <c r="H370">
        <v>0.14594204266212901</v>
      </c>
      <c r="I370">
        <v>0.12943137982421499</v>
      </c>
      <c r="J370">
        <v>0.113345473600313</v>
      </c>
      <c r="K370">
        <v>0.11662220751954699</v>
      </c>
      <c r="L370">
        <v>886.77411557898404</v>
      </c>
      <c r="M370">
        <v>16.909836314179302</v>
      </c>
      <c r="N370">
        <v>53.0248550783149</v>
      </c>
      <c r="O370">
        <v>51.724383633732799</v>
      </c>
      <c r="P370">
        <v>-7.4796181680338705E-2</v>
      </c>
      <c r="Q370">
        <v>8.4901315601193197E-2</v>
      </c>
      <c r="R370">
        <v>0.99477156670493505</v>
      </c>
      <c r="S370" t="s">
        <v>7040</v>
      </c>
      <c r="T370" t="s">
        <v>13338</v>
      </c>
      <c r="U370" t="s">
        <v>13338</v>
      </c>
      <c r="V370" t="s">
        <v>13338</v>
      </c>
      <c r="W370" t="s">
        <v>13704</v>
      </c>
      <c r="X370">
        <v>21</v>
      </c>
      <c r="Y370" t="s">
        <v>20308</v>
      </c>
      <c r="Z370" t="s">
        <v>26785</v>
      </c>
      <c r="AA370">
        <v>0.48115378297700778</v>
      </c>
      <c r="AB370" t="str">
        <f>HYPERLINK("Melting_Curves/meltCurve_D6RGI3_SEPT11.pdf", "Melting_Curves/meltCurve_D6RGI3_SEPT11.pdf")</f>
        <v>Melting_Curves/meltCurve_D6RGI3_SEPT11.pdf</v>
      </c>
    </row>
    <row r="371" spans="1:28" x14ac:dyDescent="0.25">
      <c r="A371" t="s">
        <v>375</v>
      </c>
      <c r="B371">
        <v>0.99193492352474899</v>
      </c>
      <c r="C371">
        <v>0.71943193010574202</v>
      </c>
      <c r="D371">
        <v>1.0359586168295301</v>
      </c>
      <c r="E371">
        <v>0.62755174647651701</v>
      </c>
      <c r="F371">
        <v>0.90324045932434405</v>
      </c>
      <c r="G371">
        <v>0.51384366779983903</v>
      </c>
      <c r="H371">
        <v>0.35023032693746298</v>
      </c>
      <c r="I371">
        <v>0.2099588776803</v>
      </c>
      <c r="J371">
        <v>4.1047532488330901E-2</v>
      </c>
      <c r="K371">
        <v>0</v>
      </c>
      <c r="L371">
        <v>749.58161271421397</v>
      </c>
      <c r="M371">
        <v>13.1099850196773</v>
      </c>
      <c r="N371">
        <v>57.176368336078198</v>
      </c>
      <c r="O371">
        <v>55.895121442128897</v>
      </c>
      <c r="P371">
        <v>-5.8646553856875797E-2</v>
      </c>
      <c r="Q371">
        <v>0</v>
      </c>
      <c r="R371">
        <v>0.85594795438220905</v>
      </c>
      <c r="S371" t="s">
        <v>7041</v>
      </c>
      <c r="T371" t="s">
        <v>13338</v>
      </c>
      <c r="U371" t="s">
        <v>13338</v>
      </c>
      <c r="V371" t="s">
        <v>13338</v>
      </c>
      <c r="W371" t="s">
        <v>13705</v>
      </c>
      <c r="X371">
        <v>1</v>
      </c>
      <c r="Y371" t="s">
        <v>20309</v>
      </c>
      <c r="Z371" t="s">
        <v>26786</v>
      </c>
      <c r="AA371">
        <v>0.58868482754142304</v>
      </c>
      <c r="AB371" t="str">
        <f>HYPERLINK("Melting_Curves/meltCurve_D6RGJ2_TNIP2.pdf", "Melting_Curves/meltCurve_D6RGJ2_TNIP2.pdf")</f>
        <v>Melting_Curves/meltCurve_D6RGJ2_TNIP2.pdf</v>
      </c>
    </row>
    <row r="372" spans="1:28" x14ac:dyDescent="0.25">
      <c r="A372" t="s">
        <v>376</v>
      </c>
      <c r="B372">
        <v>0.99193492352474899</v>
      </c>
      <c r="C372">
        <v>1.31952031303138</v>
      </c>
      <c r="D372">
        <v>1.0808457902019399</v>
      </c>
      <c r="E372">
        <v>1.0868657391441501</v>
      </c>
      <c r="F372">
        <v>1.05592034772933</v>
      </c>
      <c r="G372">
        <v>0.603018585103969</v>
      </c>
      <c r="H372">
        <v>0.53400130159940595</v>
      </c>
      <c r="I372">
        <v>0.60218003549247601</v>
      </c>
      <c r="J372">
        <v>0.27732718615479701</v>
      </c>
      <c r="K372">
        <v>0.22819464633738001</v>
      </c>
      <c r="L372">
        <v>956.03090386301994</v>
      </c>
      <c r="M372">
        <v>15.8490141340304</v>
      </c>
      <c r="N372">
        <v>62.207398149347902</v>
      </c>
      <c r="O372">
        <v>59.385338953033703</v>
      </c>
      <c r="P372">
        <v>-5.3996117235962197E-2</v>
      </c>
      <c r="Q372">
        <v>0.190784603279019</v>
      </c>
      <c r="R372">
        <v>0.83370891338565201</v>
      </c>
      <c r="S372" t="s">
        <v>7042</v>
      </c>
      <c r="T372" t="s">
        <v>13338</v>
      </c>
      <c r="U372" t="s">
        <v>13338</v>
      </c>
      <c r="V372" t="s">
        <v>13338</v>
      </c>
      <c r="W372" t="s">
        <v>13706</v>
      </c>
      <c r="X372">
        <v>1</v>
      </c>
      <c r="Y372" t="s">
        <v>20310</v>
      </c>
      <c r="Z372" t="s">
        <v>26787</v>
      </c>
      <c r="AA372">
        <v>0.74402818841976948</v>
      </c>
      <c r="AB372" t="str">
        <f>HYPERLINK("Melting_Curves/meltCurve_D6RH17_ADH6.pdf", "Melting_Curves/meltCurve_D6RH17_ADH6.pdf")</f>
        <v>Melting_Curves/meltCurve_D6RH17_ADH6.pdf</v>
      </c>
    </row>
    <row r="373" spans="1:28" x14ac:dyDescent="0.25">
      <c r="A373" t="s">
        <v>377</v>
      </c>
      <c r="B373">
        <v>0.99193492352474899</v>
      </c>
      <c r="C373">
        <v>0.722123869789421</v>
      </c>
      <c r="D373">
        <v>0.67006069383428701</v>
      </c>
      <c r="E373">
        <v>0.63558962385272999</v>
      </c>
      <c r="F373">
        <v>0.52428432019095195</v>
      </c>
      <c r="G373">
        <v>0.31892635347910497</v>
      </c>
      <c r="H373">
        <v>0.19219025705801501</v>
      </c>
      <c r="I373">
        <v>0.23674418767620201</v>
      </c>
      <c r="J373">
        <v>0.268550608233323</v>
      </c>
      <c r="K373">
        <v>0.24762184903958301</v>
      </c>
      <c r="L373">
        <v>428.44438736379101</v>
      </c>
      <c r="M373">
        <v>8.6587322636737998</v>
      </c>
      <c r="N373">
        <v>51.590478983786902</v>
      </c>
      <c r="O373">
        <v>47.054306365326298</v>
      </c>
      <c r="P373">
        <v>-3.9179123726896102E-2</v>
      </c>
      <c r="Q373">
        <v>0.149067440837508</v>
      </c>
      <c r="R373">
        <v>0.93271185728066697</v>
      </c>
      <c r="S373" t="s">
        <v>7043</v>
      </c>
      <c r="T373" t="s">
        <v>13338</v>
      </c>
      <c r="U373" t="s">
        <v>13338</v>
      </c>
      <c r="V373" t="s">
        <v>13338</v>
      </c>
      <c r="W373" t="s">
        <v>13707</v>
      </c>
      <c r="X373">
        <v>3</v>
      </c>
      <c r="Y373" t="s">
        <v>20311</v>
      </c>
      <c r="Z373" t="s">
        <v>26788</v>
      </c>
      <c r="AA373">
        <v>0.4666329473979352</v>
      </c>
      <c r="AB373" t="str">
        <f>HYPERLINK("Melting_Curves/meltCurve_D6RHD3_CENPK.pdf", "Melting_Curves/meltCurve_D6RHD3_CENPK.pdf")</f>
        <v>Melting_Curves/meltCurve_D6RHD3_CENPK.pdf</v>
      </c>
    </row>
    <row r="374" spans="1:28" x14ac:dyDescent="0.25">
      <c r="A374" t="s">
        <v>378</v>
      </c>
      <c r="B374">
        <v>0.99193492352474899</v>
      </c>
      <c r="C374">
        <v>0.96541898516339297</v>
      </c>
      <c r="D374">
        <v>0.79386263818663505</v>
      </c>
      <c r="E374">
        <v>0.65848939589872602</v>
      </c>
      <c r="F374">
        <v>0.53701095606513405</v>
      </c>
      <c r="G374">
        <v>0.35613760420743001</v>
      </c>
      <c r="H374">
        <v>0.23857353486496599</v>
      </c>
      <c r="I374">
        <v>0.21237582925578499</v>
      </c>
      <c r="J374">
        <v>0.186712698068427</v>
      </c>
      <c r="K374">
        <v>0.21043632914212501</v>
      </c>
      <c r="L374">
        <v>615.33630439099397</v>
      </c>
      <c r="M374">
        <v>11.937936983024599</v>
      </c>
      <c r="N374">
        <v>53.082095929539904</v>
      </c>
      <c r="O374">
        <v>50.1621369638857</v>
      </c>
      <c r="P374">
        <v>-5.08130260832809E-2</v>
      </c>
      <c r="Q374">
        <v>0.14616330547612999</v>
      </c>
      <c r="R374">
        <v>0.99223420306616505</v>
      </c>
      <c r="S374" t="s">
        <v>7044</v>
      </c>
      <c r="T374" t="s">
        <v>13338</v>
      </c>
      <c r="U374" t="s">
        <v>13338</v>
      </c>
      <c r="V374" t="s">
        <v>13338</v>
      </c>
      <c r="W374" t="s">
        <v>13708</v>
      </c>
      <c r="X374">
        <v>4</v>
      </c>
      <c r="Y374" t="s">
        <v>20312</v>
      </c>
      <c r="Z374" t="s">
        <v>26789</v>
      </c>
      <c r="AA374">
        <v>0.50184584391587961</v>
      </c>
      <c r="AB374" t="str">
        <f>HYPERLINK("Melting_Curves/meltCurve_D6RHG7_SERINC5.pdf", "Melting_Curves/meltCurve_D6RHG7_SERINC5.pdf")</f>
        <v>Melting_Curves/meltCurve_D6RHG7_SERINC5.pdf</v>
      </c>
    </row>
    <row r="375" spans="1:28" x14ac:dyDescent="0.25">
      <c r="A375" t="s">
        <v>379</v>
      </c>
      <c r="B375">
        <v>0.99193492352474899</v>
      </c>
      <c r="C375">
        <v>0.77959610439124605</v>
      </c>
      <c r="D375">
        <v>0.841249718373279</v>
      </c>
      <c r="E375">
        <v>0.58711597185294595</v>
      </c>
      <c r="F375">
        <v>0.36691699058712401</v>
      </c>
      <c r="G375">
        <v>0.168261252175226</v>
      </c>
      <c r="H375">
        <v>6.5486117255977097E-2</v>
      </c>
      <c r="I375">
        <v>8.9006391328236206E-2</v>
      </c>
      <c r="J375">
        <v>0.10278074015716999</v>
      </c>
      <c r="K375">
        <v>9.42642325356082E-2</v>
      </c>
      <c r="L375">
        <v>682.118033545397</v>
      </c>
      <c r="M375">
        <v>13.569700692053299</v>
      </c>
      <c r="N375">
        <v>50.582378802803397</v>
      </c>
      <c r="O375">
        <v>49.213726568797398</v>
      </c>
      <c r="P375">
        <v>-6.6152473099251999E-2</v>
      </c>
      <c r="Q375">
        <v>4.0473252499302802E-2</v>
      </c>
      <c r="R375">
        <v>0.97476721854021497</v>
      </c>
      <c r="S375" t="s">
        <v>7045</v>
      </c>
      <c r="T375" t="s">
        <v>13338</v>
      </c>
      <c r="U375" t="s">
        <v>13338</v>
      </c>
      <c r="V375" t="s">
        <v>13338</v>
      </c>
      <c r="W375" t="s">
        <v>13709</v>
      </c>
      <c r="X375">
        <v>8</v>
      </c>
      <c r="Y375" t="s">
        <v>20313</v>
      </c>
      <c r="Z375" t="s">
        <v>26790</v>
      </c>
      <c r="AA375">
        <v>0.39576849948889742</v>
      </c>
      <c r="AB375" t="str">
        <f>HYPERLINK("Melting_Curves/meltCurve_D6RHI7_CCNH.pdf", "Melting_Curves/meltCurve_D6RHI7_CCNH.pdf")</f>
        <v>Melting_Curves/meltCurve_D6RHI7_CCNH.pdf</v>
      </c>
    </row>
    <row r="376" spans="1:28" x14ac:dyDescent="0.25">
      <c r="A376" t="s">
        <v>380</v>
      </c>
      <c r="B376">
        <v>0.99193492352474899</v>
      </c>
      <c r="C376">
        <v>0.89846584943201802</v>
      </c>
      <c r="D376">
        <v>0.83802144173438797</v>
      </c>
      <c r="E376">
        <v>0.72350266042604405</v>
      </c>
      <c r="F376">
        <v>0.65515913441098705</v>
      </c>
      <c r="G376">
        <v>0.43304607129695799</v>
      </c>
      <c r="H376">
        <v>0.34547828867332803</v>
      </c>
      <c r="I376">
        <v>0.31013979863604002</v>
      </c>
      <c r="J376">
        <v>0.29752957211599701</v>
      </c>
      <c r="K376">
        <v>0.358958047087169</v>
      </c>
      <c r="L376">
        <v>572.92062856454902</v>
      </c>
      <c r="M376">
        <v>11.015401253396099</v>
      </c>
      <c r="N376">
        <v>55.616211431512802</v>
      </c>
      <c r="O376">
        <v>50.384937640885902</v>
      </c>
      <c r="P376">
        <v>-4.0722822315099098E-2</v>
      </c>
      <c r="Q376">
        <v>0.255178073980599</v>
      </c>
      <c r="R376">
        <v>0.97712549408910498</v>
      </c>
      <c r="S376" t="s">
        <v>7046</v>
      </c>
      <c r="T376" t="s">
        <v>13338</v>
      </c>
      <c r="U376" t="s">
        <v>13338</v>
      </c>
      <c r="V376" t="s">
        <v>13338</v>
      </c>
      <c r="W376" t="s">
        <v>13710</v>
      </c>
      <c r="X376">
        <v>5</v>
      </c>
      <c r="Y376" t="s">
        <v>20314</v>
      </c>
      <c r="Z376" t="s">
        <v>26791</v>
      </c>
      <c r="AA376">
        <v>0.57869257420146125</v>
      </c>
      <c r="AB376" t="str">
        <f>HYPERLINK("Melting_Curves/meltCurve_D6RHI9_RNASET2.pdf", "Melting_Curves/meltCurve_D6RHI9_RNASET2.pdf")</f>
        <v>Melting_Curves/meltCurve_D6RHI9_RNASET2.pdf</v>
      </c>
    </row>
    <row r="377" spans="1:28" x14ac:dyDescent="0.25">
      <c r="A377" t="s">
        <v>381</v>
      </c>
      <c r="B377">
        <v>0.99193492352474899</v>
      </c>
      <c r="C377">
        <v>0.82328572680184298</v>
      </c>
      <c r="D377">
        <v>1.01351074726839</v>
      </c>
      <c r="E377">
        <v>0.66105805064508505</v>
      </c>
      <c r="F377">
        <v>0.61462527756970597</v>
      </c>
      <c r="G377">
        <v>0.40466753752048401</v>
      </c>
      <c r="H377">
        <v>0.31480313424881301</v>
      </c>
      <c r="I377">
        <v>0.39425618392040301</v>
      </c>
      <c r="J377">
        <v>0.53730908818937195</v>
      </c>
      <c r="K377">
        <v>0.63699814604076199</v>
      </c>
      <c r="L377">
        <v>1386.39880653665</v>
      </c>
      <c r="M377">
        <v>28.136237026305899</v>
      </c>
      <c r="N377">
        <v>54.522996007767802</v>
      </c>
      <c r="O377">
        <v>49.027614355913201</v>
      </c>
      <c r="P377">
        <v>-7.6516798529656704E-2</v>
      </c>
      <c r="Q377">
        <v>0.466680174470119</v>
      </c>
      <c r="R377">
        <v>0.78642782239657705</v>
      </c>
      <c r="S377" t="s">
        <v>7047</v>
      </c>
      <c r="T377" t="s">
        <v>13338</v>
      </c>
      <c r="U377" t="s">
        <v>13338</v>
      </c>
      <c r="V377" t="s">
        <v>13338</v>
      </c>
      <c r="W377" t="s">
        <v>13711</v>
      </c>
      <c r="X377">
        <v>1</v>
      </c>
      <c r="Y377" t="s">
        <v>20315</v>
      </c>
      <c r="Z377" t="s">
        <v>26792</v>
      </c>
      <c r="AA377">
        <v>0.63527392793843562</v>
      </c>
      <c r="AB377" t="str">
        <f>HYPERLINK("Melting_Curves/meltCurve_D6RI11_CPLX1.pdf", "Melting_Curves/meltCurve_D6RI11_CPLX1.pdf")</f>
        <v>Melting_Curves/meltCurve_D6RI11_CPLX1.pdf</v>
      </c>
    </row>
    <row r="378" spans="1:28" x14ac:dyDescent="0.25">
      <c r="A378" t="s">
        <v>382</v>
      </c>
      <c r="B378">
        <v>0.99193492352474899</v>
      </c>
      <c r="C378">
        <v>0.99988755564510701</v>
      </c>
      <c r="D378">
        <v>1.1265976140596601</v>
      </c>
      <c r="E378">
        <v>0.99968004308262903</v>
      </c>
      <c r="F378">
        <v>0.77277500855257297</v>
      </c>
      <c r="G378">
        <v>0.552609152886546</v>
      </c>
      <c r="H378">
        <v>0.48999851968823999</v>
      </c>
      <c r="I378">
        <v>0.43919223811398</v>
      </c>
      <c r="J378">
        <v>0.497050670363134</v>
      </c>
      <c r="K378">
        <v>0.28745748404987798</v>
      </c>
      <c r="L378">
        <v>1485.9539866033199</v>
      </c>
      <c r="M378">
        <v>27.3056736260496</v>
      </c>
      <c r="N378">
        <v>58.181510128233597</v>
      </c>
      <c r="O378">
        <v>54.129874406339503</v>
      </c>
      <c r="P378">
        <v>-7.3843364185916499E-2</v>
      </c>
      <c r="Q378">
        <v>0.41446686608754801</v>
      </c>
      <c r="R378">
        <v>0.94462416948155503</v>
      </c>
      <c r="S378" t="s">
        <v>7048</v>
      </c>
      <c r="T378" t="s">
        <v>13338</v>
      </c>
      <c r="U378" t="s">
        <v>13338</v>
      </c>
      <c r="V378" t="s">
        <v>13338</v>
      </c>
      <c r="W378" t="s">
        <v>13712</v>
      </c>
      <c r="X378">
        <v>3</v>
      </c>
      <c r="Y378" t="s">
        <v>20316</v>
      </c>
      <c r="Z378" t="s">
        <v>26793</v>
      </c>
      <c r="AA378">
        <v>0.70051292850084979</v>
      </c>
      <c r="AB378" t="str">
        <f>HYPERLINK("Melting_Curves/meltCurve_D6RIE3_COX7A2.pdf", "Melting_Curves/meltCurve_D6RIE3_COX7A2.pdf")</f>
        <v>Melting_Curves/meltCurve_D6RIE3_COX7A2.pdf</v>
      </c>
    </row>
    <row r="379" spans="1:28" x14ac:dyDescent="0.25">
      <c r="A379" t="s">
        <v>383</v>
      </c>
      <c r="B379">
        <v>0.99193492352474899</v>
      </c>
      <c r="C379">
        <v>0.984208519980315</v>
      </c>
      <c r="D379">
        <v>0.84125498182227298</v>
      </c>
      <c r="E379">
        <v>0.67864120729258304</v>
      </c>
      <c r="F379">
        <v>0.52462857889467895</v>
      </c>
      <c r="G379">
        <v>0.36758000687258902</v>
      </c>
      <c r="H379">
        <v>0.28012261204961503</v>
      </c>
      <c r="I379">
        <v>0.25766857582698799</v>
      </c>
      <c r="J379">
        <v>0.31152075029370002</v>
      </c>
      <c r="K379">
        <v>0.43798586961626201</v>
      </c>
      <c r="L379">
        <v>881.66925762691801</v>
      </c>
      <c r="M379">
        <v>17.6675168795812</v>
      </c>
      <c r="N379">
        <v>52.832658835639499</v>
      </c>
      <c r="O379">
        <v>49.277236784230503</v>
      </c>
      <c r="P379">
        <v>-6.1647529431905802E-2</v>
      </c>
      <c r="Q379">
        <v>0.312261318079679</v>
      </c>
      <c r="R379">
        <v>0.96437197663685204</v>
      </c>
      <c r="S379" t="s">
        <v>7049</v>
      </c>
      <c r="T379" t="s">
        <v>13338</v>
      </c>
      <c r="U379" t="s">
        <v>13338</v>
      </c>
      <c r="V379" t="s">
        <v>13338</v>
      </c>
      <c r="W379" t="s">
        <v>13713</v>
      </c>
      <c r="X379">
        <v>1</v>
      </c>
      <c r="Y379" t="s">
        <v>20317</v>
      </c>
      <c r="Z379" t="s">
        <v>26794</v>
      </c>
      <c r="AA379">
        <v>0.55146061442658811</v>
      </c>
      <c r="AB379" t="str">
        <f>HYPERLINK("Melting_Curves/meltCurve_D6RIE5_RNF150.pdf", "Melting_Curves/meltCurve_D6RIE5_RNF150.pdf")</f>
        <v>Melting_Curves/meltCurve_D6RIE5_RNF150.pdf</v>
      </c>
    </row>
    <row r="380" spans="1:28" x14ac:dyDescent="0.25">
      <c r="A380" t="s">
        <v>384</v>
      </c>
      <c r="B380">
        <v>0.99193492352474899</v>
      </c>
      <c r="C380">
        <v>0.70705629458010399</v>
      </c>
      <c r="D380">
        <v>1.0553758189618501</v>
      </c>
      <c r="E380">
        <v>0.76289426313876696</v>
      </c>
      <c r="F380">
        <v>0.96040715266480703</v>
      </c>
      <c r="G380">
        <v>0.66849111473345901</v>
      </c>
      <c r="H380">
        <v>0.581541486088752</v>
      </c>
      <c r="I380">
        <v>0.71764696401366401</v>
      </c>
      <c r="J380">
        <v>0.94526083082196699</v>
      </c>
      <c r="K380">
        <v>1.3132731234782</v>
      </c>
      <c r="L380">
        <v>10112.7158975683</v>
      </c>
      <c r="M380">
        <v>250</v>
      </c>
      <c r="O380">
        <v>40.448262298920199</v>
      </c>
      <c r="P380">
        <v>-0.22114197643969799</v>
      </c>
      <c r="Q380">
        <v>0.85688301630191899</v>
      </c>
      <c r="R380">
        <v>3.69204184308169E-2</v>
      </c>
      <c r="S380" t="s">
        <v>7050</v>
      </c>
      <c r="T380" t="s">
        <v>13338</v>
      </c>
      <c r="U380" t="s">
        <v>13338</v>
      </c>
      <c r="V380" t="s">
        <v>13338</v>
      </c>
      <c r="W380" t="s">
        <v>13714</v>
      </c>
      <c r="X380">
        <v>1</v>
      </c>
      <c r="Y380" t="s">
        <v>20318</v>
      </c>
      <c r="Z380" t="s">
        <v>26795</v>
      </c>
      <c r="AA380">
        <v>0.85908749260465278</v>
      </c>
      <c r="AB380" t="str">
        <f>HYPERLINK("Melting_Curves/meltCurve_D6RIU2_CLDND1.pdf", "Melting_Curves/meltCurve_D6RIU2_CLDND1.pdf")</f>
        <v>Melting_Curves/meltCurve_D6RIU2_CLDND1.pdf</v>
      </c>
    </row>
    <row r="381" spans="1:28" x14ac:dyDescent="0.25">
      <c r="A381" t="s">
        <v>385</v>
      </c>
      <c r="B381">
        <v>0.99193492352474899</v>
      </c>
      <c r="C381">
        <v>0.81414254843848199</v>
      </c>
      <c r="D381">
        <v>0.87796939495065995</v>
      </c>
      <c r="E381">
        <v>0.45960327092508801</v>
      </c>
      <c r="F381">
        <v>0.52229368428718403</v>
      </c>
      <c r="G381">
        <v>0.25352701174652398</v>
      </c>
      <c r="H381">
        <v>0.13443088458084901</v>
      </c>
      <c r="I381">
        <v>0</v>
      </c>
      <c r="J381">
        <v>0</v>
      </c>
      <c r="K381">
        <v>0</v>
      </c>
      <c r="L381">
        <v>611.48162173952801</v>
      </c>
      <c r="M381">
        <v>11.9514145100464</v>
      </c>
      <c r="N381">
        <v>51.163953993044103</v>
      </c>
      <c r="O381">
        <v>49.794629217541001</v>
      </c>
      <c r="P381">
        <v>-6.0018228253052898E-2</v>
      </c>
      <c r="Q381">
        <v>0</v>
      </c>
      <c r="R381">
        <v>0.951645315245642</v>
      </c>
      <c r="S381" t="s">
        <v>7051</v>
      </c>
      <c r="T381" t="s">
        <v>13338</v>
      </c>
      <c r="U381" t="s">
        <v>13338</v>
      </c>
      <c r="V381" t="s">
        <v>13338</v>
      </c>
      <c r="W381" t="s">
        <v>13715</v>
      </c>
      <c r="X381">
        <v>2</v>
      </c>
      <c r="Y381" t="s">
        <v>20319</v>
      </c>
      <c r="Z381" t="s">
        <v>26796</v>
      </c>
      <c r="AA381">
        <v>0.40460512388725639</v>
      </c>
      <c r="AB381" t="str">
        <f>HYPERLINK("Melting_Curves/meltCurve_D6RIZ4_MFSD10.pdf", "Melting_Curves/meltCurve_D6RIZ4_MFSD10.pdf")</f>
        <v>Melting_Curves/meltCurve_D6RIZ4_MFSD10.pdf</v>
      </c>
    </row>
    <row r="382" spans="1:28" x14ac:dyDescent="0.25">
      <c r="A382" t="s">
        <v>386</v>
      </c>
      <c r="B382">
        <v>0.99193492352474899</v>
      </c>
      <c r="C382">
        <v>0.366243798010572</v>
      </c>
      <c r="D382">
        <v>0.75550529759725604</v>
      </c>
      <c r="E382">
        <v>0.34569152583304802</v>
      </c>
      <c r="F382">
        <v>0.22376325966092001</v>
      </c>
      <c r="G382">
        <v>9.3830139350571398E-2</v>
      </c>
      <c r="H382">
        <v>6.4763157443617297E-2</v>
      </c>
      <c r="I382">
        <v>6.7085760011038095E-2</v>
      </c>
      <c r="J382">
        <v>8.6322749334375504E-2</v>
      </c>
      <c r="K382">
        <v>0.11292291080027</v>
      </c>
      <c r="L382">
        <v>466.90735378700703</v>
      </c>
      <c r="M382">
        <v>10.1078686441677</v>
      </c>
      <c r="N382">
        <v>46.441974078675997</v>
      </c>
      <c r="O382">
        <v>44.493765065618597</v>
      </c>
      <c r="P382">
        <v>-5.53186134346903E-2</v>
      </c>
      <c r="Q382">
        <v>2.6427417775885201E-2</v>
      </c>
      <c r="R382">
        <v>0.78981126085497599</v>
      </c>
      <c r="S382" t="s">
        <v>7052</v>
      </c>
      <c r="T382" t="s">
        <v>13338</v>
      </c>
      <c r="U382" t="s">
        <v>13338</v>
      </c>
      <c r="V382" t="s">
        <v>13338</v>
      </c>
      <c r="W382" t="s">
        <v>13716</v>
      </c>
      <c r="X382">
        <v>3</v>
      </c>
      <c r="Y382" t="s">
        <v>20320</v>
      </c>
      <c r="Z382" t="s">
        <v>26797</v>
      </c>
      <c r="AA382">
        <v>0.28624555161207782</v>
      </c>
      <c r="AB382" t="str">
        <f>HYPERLINK("Melting_Curves/meltCurve_D6RJ07_ZNF346.pdf", "Melting_Curves/meltCurve_D6RJ07_ZNF346.pdf")</f>
        <v>Melting_Curves/meltCurve_D6RJ07_ZNF346.pdf</v>
      </c>
    </row>
    <row r="383" spans="1:28" x14ac:dyDescent="0.25">
      <c r="A383" t="s">
        <v>387</v>
      </c>
      <c r="B383">
        <v>0.99193492352474899</v>
      </c>
      <c r="C383">
        <v>0.67373862798485196</v>
      </c>
      <c r="D383">
        <v>0.90899478460096195</v>
      </c>
      <c r="E383">
        <v>0.55366334303496101</v>
      </c>
      <c r="F383">
        <v>0.36019547483593101</v>
      </c>
      <c r="G383">
        <v>0.174848912789867</v>
      </c>
      <c r="H383">
        <v>0.10134984467642399</v>
      </c>
      <c r="I383">
        <v>7.4434026768991704E-2</v>
      </c>
      <c r="J383">
        <v>8.0259988715143393E-2</v>
      </c>
      <c r="K383">
        <v>7.7868122123077699E-2</v>
      </c>
      <c r="L383">
        <v>603.52034442193496</v>
      </c>
      <c r="M383">
        <v>11.9762718834277</v>
      </c>
      <c r="N383">
        <v>50.507084668221701</v>
      </c>
      <c r="O383">
        <v>49.049660638564397</v>
      </c>
      <c r="P383">
        <v>-6.0241696993195801E-2</v>
      </c>
      <c r="Q383">
        <v>1.33433189707365E-2</v>
      </c>
      <c r="R383">
        <v>0.93617046880384502</v>
      </c>
      <c r="S383" t="s">
        <v>7053</v>
      </c>
      <c r="T383" t="s">
        <v>13338</v>
      </c>
      <c r="U383" t="s">
        <v>13338</v>
      </c>
      <c r="V383" t="s">
        <v>13338</v>
      </c>
      <c r="W383" t="s">
        <v>13717</v>
      </c>
      <c r="X383">
        <v>3</v>
      </c>
      <c r="Y383" t="s">
        <v>20321</v>
      </c>
      <c r="Z383" t="s">
        <v>26798</v>
      </c>
      <c r="AA383">
        <v>0.38862585723698378</v>
      </c>
      <c r="AB383" t="str">
        <f>HYPERLINK("Melting_Curves/meltCurve_D6RJ90_COMMD10.pdf", "Melting_Curves/meltCurve_D6RJ90_COMMD10.pdf")</f>
        <v>Melting_Curves/meltCurve_D6RJ90_COMMD10.pdf</v>
      </c>
    </row>
    <row r="384" spans="1:28" x14ac:dyDescent="0.25">
      <c r="A384" t="s">
        <v>388</v>
      </c>
      <c r="B384">
        <v>0.99193492352474899</v>
      </c>
      <c r="C384">
        <v>0.578872406687443</v>
      </c>
      <c r="D384">
        <v>0.65287533536341402</v>
      </c>
      <c r="E384">
        <v>0.19700055938581501</v>
      </c>
      <c r="F384">
        <v>0.12910045902855199</v>
      </c>
      <c r="G384">
        <v>7.3209340699578407E-2</v>
      </c>
      <c r="H384">
        <v>4.9407830512794501E-2</v>
      </c>
      <c r="I384">
        <v>5.3042780409227101E-2</v>
      </c>
      <c r="J384">
        <v>7.6651728659585194E-2</v>
      </c>
      <c r="K384">
        <v>7.1009297832968304E-2</v>
      </c>
      <c r="L384">
        <v>701.71110529851501</v>
      </c>
      <c r="M384">
        <v>15.3488438073159</v>
      </c>
      <c r="N384">
        <v>45.987941245859197</v>
      </c>
      <c r="O384">
        <v>44.962540262428597</v>
      </c>
      <c r="P384">
        <v>-8.1667304911366395E-2</v>
      </c>
      <c r="Q384">
        <v>4.3150736510327303E-2</v>
      </c>
      <c r="R384">
        <v>0.93467148603407402</v>
      </c>
      <c r="S384" t="s">
        <v>7054</v>
      </c>
      <c r="T384" t="s">
        <v>13338</v>
      </c>
      <c r="U384" t="s">
        <v>13338</v>
      </c>
      <c r="V384" t="s">
        <v>13338</v>
      </c>
      <c r="W384" t="s">
        <v>13718</v>
      </c>
      <c r="X384">
        <v>18</v>
      </c>
      <c r="Y384" t="s">
        <v>20322</v>
      </c>
      <c r="Z384" t="s">
        <v>26799</v>
      </c>
      <c r="AA384">
        <v>0.25278403465202198</v>
      </c>
      <c r="AB384" t="str">
        <f>HYPERLINK("Melting_Curves/meltCurve_D6W592_HNRPLL.pdf", "Melting_Curves/meltCurve_D6W592_HNRPLL.pdf")</f>
        <v>Melting_Curves/meltCurve_D6W592_HNRPLL.pdf</v>
      </c>
    </row>
    <row r="385" spans="1:28" x14ac:dyDescent="0.25">
      <c r="A385" t="s">
        <v>389</v>
      </c>
      <c r="B385">
        <v>0.99193492352474899</v>
      </c>
      <c r="C385">
        <v>0.79213304109893401</v>
      </c>
      <c r="D385">
        <v>0.90200325842083795</v>
      </c>
      <c r="E385">
        <v>0.72817345104408804</v>
      </c>
      <c r="F385">
        <v>0.65626420503148297</v>
      </c>
      <c r="G385">
        <v>0.505044745068852</v>
      </c>
      <c r="H385">
        <v>0.45093078350904803</v>
      </c>
      <c r="I385">
        <v>0.58383832067531305</v>
      </c>
      <c r="J385">
        <v>0.63337894075665102</v>
      </c>
      <c r="K385">
        <v>0.90737316024132997</v>
      </c>
      <c r="L385">
        <v>743.461178902911</v>
      </c>
      <c r="M385">
        <v>16.183785871559699</v>
      </c>
      <c r="O385">
        <v>45.254412928805699</v>
      </c>
      <c r="P385">
        <v>-3.4070968324755403E-2</v>
      </c>
      <c r="Q385">
        <v>0.61894057093953203</v>
      </c>
      <c r="R385">
        <v>0.47590309098645101</v>
      </c>
      <c r="S385" t="s">
        <v>7055</v>
      </c>
      <c r="T385" t="s">
        <v>13338</v>
      </c>
      <c r="U385" t="s">
        <v>13338</v>
      </c>
      <c r="V385" t="s">
        <v>13338</v>
      </c>
      <c r="W385" t="s">
        <v>13719</v>
      </c>
      <c r="X385">
        <v>9</v>
      </c>
      <c r="Y385" t="s">
        <v>20323</v>
      </c>
      <c r="Z385" t="s">
        <v>26800</v>
      </c>
      <c r="AA385">
        <v>0.70388190657589822</v>
      </c>
      <c r="AB385" t="str">
        <f>HYPERLINK("Melting_Curves/meltCurve_E2QRF9_GMNN.pdf", "Melting_Curves/meltCurve_E2QRF9_GMNN.pdf")</f>
        <v>Melting_Curves/meltCurve_E2QRF9_GMNN.pdf</v>
      </c>
    </row>
    <row r="386" spans="1:28" x14ac:dyDescent="0.25">
      <c r="A386" t="s">
        <v>390</v>
      </c>
      <c r="B386">
        <v>0.99193492352474899</v>
      </c>
      <c r="C386">
        <v>0.91418648366765398</v>
      </c>
      <c r="D386">
        <v>1.1816557812700099</v>
      </c>
      <c r="E386">
        <v>0.69174647940417799</v>
      </c>
      <c r="F386">
        <v>0.24276915767719401</v>
      </c>
      <c r="G386">
        <v>0.110599737015044</v>
      </c>
      <c r="H386">
        <v>9.0413215617781498E-2</v>
      </c>
      <c r="I386">
        <v>0.181544709646903</v>
      </c>
      <c r="J386">
        <v>6.42102343596129E-2</v>
      </c>
      <c r="K386">
        <v>4.9412404370055799E-2</v>
      </c>
      <c r="L386">
        <v>2068.0414445851302</v>
      </c>
      <c r="M386">
        <v>40.8834098399645</v>
      </c>
      <c r="N386">
        <v>50.867180038440097</v>
      </c>
      <c r="O386">
        <v>50.463305991399302</v>
      </c>
      <c r="P386">
        <v>-0.18191845510139501</v>
      </c>
      <c r="Q386">
        <v>0.10181765962646</v>
      </c>
      <c r="R386">
        <v>0.96676052235254595</v>
      </c>
      <c r="S386" t="s">
        <v>7056</v>
      </c>
      <c r="T386" t="s">
        <v>13338</v>
      </c>
      <c r="U386" t="s">
        <v>13338</v>
      </c>
      <c r="V386" t="s">
        <v>13338</v>
      </c>
      <c r="W386" t="s">
        <v>13720</v>
      </c>
      <c r="X386">
        <v>2</v>
      </c>
      <c r="Y386" t="s">
        <v>20324</v>
      </c>
      <c r="Z386" t="s">
        <v>26801</v>
      </c>
      <c r="AA386">
        <v>0.42169826346430811</v>
      </c>
      <c r="AB386" t="str">
        <f>HYPERLINK("Melting_Curves/meltCurve_E2QRH7_ELOVL5.pdf", "Melting_Curves/meltCurve_E2QRH7_ELOVL5.pdf")</f>
        <v>Melting_Curves/meltCurve_E2QRH7_ELOVL5.pdf</v>
      </c>
    </row>
    <row r="387" spans="1:28" x14ac:dyDescent="0.25">
      <c r="A387" t="s">
        <v>391</v>
      </c>
      <c r="B387">
        <v>0.99193492352474899</v>
      </c>
      <c r="C387">
        <v>0.76714878883376703</v>
      </c>
      <c r="D387">
        <v>0.584685984015334</v>
      </c>
      <c r="E387">
        <v>0.60357922449229695</v>
      </c>
      <c r="F387">
        <v>0.33086943595086099</v>
      </c>
      <c r="G387">
        <v>0.14926153812874801</v>
      </c>
      <c r="H387">
        <v>0.11857710106516101</v>
      </c>
      <c r="I387">
        <v>0.17890508266563601</v>
      </c>
      <c r="J387">
        <v>0.29738717714552798</v>
      </c>
      <c r="K387">
        <v>0.28767757214186801</v>
      </c>
      <c r="L387">
        <v>630.47304279048399</v>
      </c>
      <c r="M387">
        <v>13.431502987204601</v>
      </c>
      <c r="N387">
        <v>48.6895502390852</v>
      </c>
      <c r="O387">
        <v>45.936010883723199</v>
      </c>
      <c r="P387">
        <v>-5.9114714489452699E-2</v>
      </c>
      <c r="Q387">
        <v>0.19143188313953499</v>
      </c>
      <c r="R387">
        <v>0.90239411830094796</v>
      </c>
      <c r="S387" t="s">
        <v>7057</v>
      </c>
      <c r="T387" t="s">
        <v>13338</v>
      </c>
      <c r="U387" t="s">
        <v>13338</v>
      </c>
      <c r="V387" t="s">
        <v>13338</v>
      </c>
      <c r="W387" t="s">
        <v>13721</v>
      </c>
      <c r="X387">
        <v>1</v>
      </c>
      <c r="Y387" t="s">
        <v>20325</v>
      </c>
      <c r="Z387" t="s">
        <v>26802</v>
      </c>
      <c r="AA387">
        <v>0.40601411027372147</v>
      </c>
      <c r="AB387" t="str">
        <f>HYPERLINK("Melting_Curves/meltCurve_E5RFE7_CA1.pdf", "Melting_Curves/meltCurve_E5RFE7_CA1.pdf")</f>
        <v>Melting_Curves/meltCurve_E5RFE7_CA1.pdf</v>
      </c>
    </row>
    <row r="388" spans="1:28" x14ac:dyDescent="0.25">
      <c r="A388" t="s">
        <v>392</v>
      </c>
      <c r="B388">
        <v>0.99193492352474899</v>
      </c>
      <c r="C388">
        <v>0.66695156305444403</v>
      </c>
      <c r="D388">
        <v>0.69083067220281902</v>
      </c>
      <c r="E388">
        <v>0.61106689314685703</v>
      </c>
      <c r="F388">
        <v>0.34770876181340599</v>
      </c>
      <c r="G388">
        <v>0.213072385194784</v>
      </c>
      <c r="H388">
        <v>0.220513812464777</v>
      </c>
      <c r="I388">
        <v>0.34693885565611199</v>
      </c>
      <c r="J388">
        <v>0.32285938439343098</v>
      </c>
      <c r="K388">
        <v>0.55522445472379001</v>
      </c>
      <c r="L388">
        <v>653.31815604180997</v>
      </c>
      <c r="M388">
        <v>14.3480079042955</v>
      </c>
      <c r="N388">
        <v>49.174871144196601</v>
      </c>
      <c r="O388">
        <v>44.676613277049</v>
      </c>
      <c r="P388">
        <v>-5.4025396703328003E-2</v>
      </c>
      <c r="Q388">
        <v>0.32718698567579901</v>
      </c>
      <c r="R388">
        <v>0.76116980103486298</v>
      </c>
      <c r="S388" t="s">
        <v>7058</v>
      </c>
      <c r="T388" t="s">
        <v>13338</v>
      </c>
      <c r="U388" t="s">
        <v>13338</v>
      </c>
      <c r="V388" t="s">
        <v>13338</v>
      </c>
      <c r="W388" t="s">
        <v>13722</v>
      </c>
      <c r="X388">
        <v>4</v>
      </c>
      <c r="Y388" t="s">
        <v>20326</v>
      </c>
      <c r="Z388" t="s">
        <v>26803</v>
      </c>
      <c r="AA388">
        <v>0.47375972151462192</v>
      </c>
      <c r="AB388" t="str">
        <f>HYPERLINK("Melting_Curves/meltCurve_E5RFJ1_NSMCE2.pdf", "Melting_Curves/meltCurve_E5RFJ1_NSMCE2.pdf")</f>
        <v>Melting_Curves/meltCurve_E5RFJ1_NSMCE2.pdf</v>
      </c>
    </row>
    <row r="389" spans="1:28" x14ac:dyDescent="0.25">
      <c r="A389" t="s">
        <v>393</v>
      </c>
      <c r="B389">
        <v>0.99193492352474899</v>
      </c>
      <c r="C389">
        <v>1.0702620388058599</v>
      </c>
      <c r="D389">
        <v>1.0773774001822201</v>
      </c>
      <c r="E389">
        <v>0.79077697932550906</v>
      </c>
      <c r="F389">
        <v>0.55750667128443498</v>
      </c>
      <c r="G389">
        <v>0.25787775860239298</v>
      </c>
      <c r="H389">
        <v>0.120112450019064</v>
      </c>
      <c r="I389">
        <v>0.23081500146225301</v>
      </c>
      <c r="J389">
        <v>0.149926476785466</v>
      </c>
      <c r="K389">
        <v>0.38004289840139499</v>
      </c>
      <c r="L389">
        <v>1483.83513003695</v>
      </c>
      <c r="M389">
        <v>28.4181820494777</v>
      </c>
      <c r="N389">
        <v>53.265971936147899</v>
      </c>
      <c r="O389">
        <v>51.957787395957098</v>
      </c>
      <c r="P389">
        <v>-0.107379472072178</v>
      </c>
      <c r="Q389">
        <v>0.21470634746568501</v>
      </c>
      <c r="R389">
        <v>0.95205720088531398</v>
      </c>
      <c r="S389" t="s">
        <v>7059</v>
      </c>
      <c r="T389" t="s">
        <v>13338</v>
      </c>
      <c r="U389" t="s">
        <v>13338</v>
      </c>
      <c r="V389" t="s">
        <v>13338</v>
      </c>
      <c r="W389" t="s">
        <v>13723</v>
      </c>
      <c r="X389">
        <v>1</v>
      </c>
      <c r="Y389" t="s">
        <v>20327</v>
      </c>
      <c r="Z389" t="s">
        <v>26804</v>
      </c>
      <c r="AA389">
        <v>0.54003451245912282</v>
      </c>
      <c r="AB389" t="str">
        <f>HYPERLINK("Melting_Curves/meltCurve_E5RFP2_CPEB4.pdf", "Melting_Curves/meltCurve_E5RFP2_CPEB4.pdf")</f>
        <v>Melting_Curves/meltCurve_E5RFP2_CPEB4.pdf</v>
      </c>
    </row>
    <row r="390" spans="1:28" x14ac:dyDescent="0.25">
      <c r="A390" t="s">
        <v>394</v>
      </c>
      <c r="B390">
        <v>0.99193492352474899</v>
      </c>
      <c r="C390">
        <v>0.97108383659481601</v>
      </c>
      <c r="D390">
        <v>0.92085824188514898</v>
      </c>
      <c r="E390">
        <v>0.59044201852049105</v>
      </c>
      <c r="F390">
        <v>0.34779010653839199</v>
      </c>
      <c r="G390">
        <v>0.235323918900537</v>
      </c>
      <c r="H390">
        <v>0.121472255501377</v>
      </c>
      <c r="I390">
        <v>9.01016593155224E-2</v>
      </c>
      <c r="J390">
        <v>8.8419729834416497E-2</v>
      </c>
      <c r="K390">
        <v>0.102326485171225</v>
      </c>
      <c r="L390">
        <v>950.16443926871602</v>
      </c>
      <c r="M390">
        <v>18.795841669692798</v>
      </c>
      <c r="N390">
        <v>51.098609568083802</v>
      </c>
      <c r="O390">
        <v>49.990048949877298</v>
      </c>
      <c r="P390">
        <v>-8.5438957668291404E-2</v>
      </c>
      <c r="Q390">
        <v>9.1092574740433696E-2</v>
      </c>
      <c r="R390">
        <v>0.99592463169892098</v>
      </c>
      <c r="S390" t="s">
        <v>7060</v>
      </c>
      <c r="T390" t="s">
        <v>13338</v>
      </c>
      <c r="U390" t="s">
        <v>13338</v>
      </c>
      <c r="V390" t="s">
        <v>13338</v>
      </c>
      <c r="W390" t="s">
        <v>13724</v>
      </c>
      <c r="X390">
        <v>7</v>
      </c>
      <c r="Y390" t="s">
        <v>20328</v>
      </c>
      <c r="Z390" t="s">
        <v>26805</v>
      </c>
      <c r="AA390">
        <v>0.42498544430809199</v>
      </c>
      <c r="AB390" t="str">
        <f>HYPERLINK("Melting_Curves/meltCurve_E5RFU2_EPHX2.pdf", "Melting_Curves/meltCurve_E5RFU2_EPHX2.pdf")</f>
        <v>Melting_Curves/meltCurve_E5RFU2_EPHX2.pdf</v>
      </c>
    </row>
    <row r="391" spans="1:28" x14ac:dyDescent="0.25">
      <c r="A391" t="s">
        <v>395</v>
      </c>
      <c r="B391">
        <v>0.99193492352474899</v>
      </c>
      <c r="C391">
        <v>0.87893937010560197</v>
      </c>
      <c r="D391">
        <v>0.88798211603835597</v>
      </c>
      <c r="E391">
        <v>0.79988323636820902</v>
      </c>
      <c r="F391">
        <v>0.65315312492604505</v>
      </c>
      <c r="G391">
        <v>0.44996969380311203</v>
      </c>
      <c r="H391">
        <v>0.39375660362736398</v>
      </c>
      <c r="I391">
        <v>0.211775054272059</v>
      </c>
      <c r="J391">
        <v>0.168847098789598</v>
      </c>
      <c r="K391">
        <v>0.13975968388224999</v>
      </c>
      <c r="L391">
        <v>524.61249626141705</v>
      </c>
      <c r="M391">
        <v>9.30807510329333</v>
      </c>
      <c r="N391">
        <v>56.3609920082353</v>
      </c>
      <c r="O391">
        <v>53.9429421194436</v>
      </c>
      <c r="P391">
        <v>-4.3166096708489303E-2</v>
      </c>
      <c r="Q391">
        <v>0</v>
      </c>
      <c r="R391">
        <v>0.98778964687873505</v>
      </c>
      <c r="S391" t="s">
        <v>7061</v>
      </c>
      <c r="T391" t="s">
        <v>13338</v>
      </c>
      <c r="U391" t="s">
        <v>13338</v>
      </c>
      <c r="V391" t="s">
        <v>13338</v>
      </c>
      <c r="W391" t="s">
        <v>13725</v>
      </c>
      <c r="X391">
        <v>18</v>
      </c>
      <c r="Y391" t="s">
        <v>20329</v>
      </c>
      <c r="Z391" t="s">
        <v>26806</v>
      </c>
      <c r="AA391">
        <v>0.56419124984252578</v>
      </c>
      <c r="AB391" t="str">
        <f>HYPERLINK("Melting_Curves/meltCurve_E5RG17_TATDN1.pdf", "Melting_Curves/meltCurve_E5RG17_TATDN1.pdf")</f>
        <v>Melting_Curves/meltCurve_E5RG17_TATDN1.pdf</v>
      </c>
    </row>
    <row r="392" spans="1:28" x14ac:dyDescent="0.25">
      <c r="A392" t="s">
        <v>396</v>
      </c>
      <c r="B392">
        <v>0.99193492352474899</v>
      </c>
      <c r="C392">
        <v>0.78728351668618901</v>
      </c>
      <c r="D392">
        <v>0.95039729551257601</v>
      </c>
      <c r="E392">
        <v>0.69893076497960605</v>
      </c>
      <c r="F392">
        <v>0.695167560477435</v>
      </c>
      <c r="G392">
        <v>0.48627894874858002</v>
      </c>
      <c r="H392">
        <v>0.44520778949005502</v>
      </c>
      <c r="I392">
        <v>0.54095535316711596</v>
      </c>
      <c r="J392">
        <v>0.81993469786417905</v>
      </c>
      <c r="K392">
        <v>1.1312840110287501</v>
      </c>
      <c r="L392">
        <v>824.39500896436095</v>
      </c>
      <c r="M392">
        <v>18.368043094671801</v>
      </c>
      <c r="O392">
        <v>44.3601916162077</v>
      </c>
      <c r="P392">
        <v>-3.24278644050413E-2</v>
      </c>
      <c r="Q392">
        <v>0.68675144306891001</v>
      </c>
      <c r="R392">
        <v>0.18882209930334701</v>
      </c>
      <c r="S392" t="s">
        <v>7062</v>
      </c>
      <c r="T392" t="s">
        <v>13338</v>
      </c>
      <c r="U392" t="s">
        <v>13338</v>
      </c>
      <c r="V392" t="s">
        <v>13338</v>
      </c>
      <c r="W392" t="s">
        <v>13726</v>
      </c>
      <c r="X392">
        <v>2</v>
      </c>
      <c r="Y392" t="s">
        <v>20330</v>
      </c>
      <c r="Z392" t="s">
        <v>26807</v>
      </c>
      <c r="AA392">
        <v>0.74426860108751147</v>
      </c>
      <c r="AB392" t="str">
        <f>HYPERLINK("Melting_Curves/meltCurve_E5RG44_TRIQK.pdf", "Melting_Curves/meltCurve_E5RG44_TRIQK.pdf")</f>
        <v>Melting_Curves/meltCurve_E5RG44_TRIQK.pdf</v>
      </c>
    </row>
    <row r="393" spans="1:28" x14ac:dyDescent="0.25">
      <c r="A393" t="s">
        <v>397</v>
      </c>
      <c r="B393">
        <v>0.99193492352474899</v>
      </c>
      <c r="C393">
        <v>0.61093734641157504</v>
      </c>
      <c r="D393">
        <v>1.30688311480715</v>
      </c>
      <c r="E393">
        <v>0.44986594936153701</v>
      </c>
      <c r="F393">
        <v>0.46862420035094199</v>
      </c>
      <c r="G393">
        <v>0.13864107551987601</v>
      </c>
      <c r="H393">
        <v>9.7278137035702206E-2</v>
      </c>
      <c r="I393">
        <v>0.101185428147528</v>
      </c>
      <c r="J393">
        <v>0.22714356333376501</v>
      </c>
      <c r="K393">
        <v>0.25014719957350001</v>
      </c>
      <c r="L393">
        <v>12357.018227476899</v>
      </c>
      <c r="M393">
        <v>249.979643164706</v>
      </c>
      <c r="N393">
        <v>49.542695364308997</v>
      </c>
      <c r="O393">
        <v>49.428930805901103</v>
      </c>
      <c r="P393">
        <v>-0.99397723237087399</v>
      </c>
      <c r="Q393">
        <v>0.213836222311964</v>
      </c>
      <c r="R393">
        <v>0.76834783791503403</v>
      </c>
      <c r="S393" t="s">
        <v>7063</v>
      </c>
      <c r="T393" t="s">
        <v>13338</v>
      </c>
      <c r="U393" t="s">
        <v>13338</v>
      </c>
      <c r="V393" t="s">
        <v>13338</v>
      </c>
      <c r="W393" t="s">
        <v>13727</v>
      </c>
      <c r="X393">
        <v>2</v>
      </c>
      <c r="Y393" t="s">
        <v>20331</v>
      </c>
      <c r="Z393" t="s">
        <v>26808</v>
      </c>
      <c r="AA393">
        <v>0.46107689588203582</v>
      </c>
      <c r="AB393" t="str">
        <f>HYPERLINK("Melting_Curves/meltCurve_E5RGQ3_RWDD1.pdf", "Melting_Curves/meltCurve_E5RGQ3_RWDD1.pdf")</f>
        <v>Melting_Curves/meltCurve_E5RGQ3_RWDD1.pdf</v>
      </c>
    </row>
    <row r="394" spans="1:28" x14ac:dyDescent="0.25">
      <c r="A394" t="s">
        <v>398</v>
      </c>
      <c r="B394">
        <v>0.99193492352474899</v>
      </c>
      <c r="C394">
        <v>1.0403361373267099</v>
      </c>
      <c r="D394">
        <v>0.98406544865094603</v>
      </c>
      <c r="E394">
        <v>1.0161014377622599</v>
      </c>
      <c r="F394">
        <v>0.87826769883686395</v>
      </c>
      <c r="G394">
        <v>0.84781444446719301</v>
      </c>
      <c r="H394">
        <v>0.723919665870838</v>
      </c>
      <c r="I394">
        <v>1.1782572883048701</v>
      </c>
      <c r="J394">
        <v>1.25685573649319</v>
      </c>
      <c r="K394">
        <v>1.9885496192622201</v>
      </c>
      <c r="L394">
        <v>4103.7366707854999</v>
      </c>
      <c r="M394">
        <v>62.374980801645002</v>
      </c>
      <c r="O394">
        <v>65.723865445627993</v>
      </c>
      <c r="P394">
        <v>0.118630810567343</v>
      </c>
      <c r="Q394">
        <v>1.5</v>
      </c>
      <c r="R394">
        <v>0.64345127466899699</v>
      </c>
      <c r="S394" t="s">
        <v>7064</v>
      </c>
      <c r="T394" t="s">
        <v>13338</v>
      </c>
      <c r="U394" t="s">
        <v>13338</v>
      </c>
      <c r="V394" t="s">
        <v>13338</v>
      </c>
      <c r="W394" t="s">
        <v>13558</v>
      </c>
      <c r="X394">
        <v>7</v>
      </c>
      <c r="Y394" t="s">
        <v>20332</v>
      </c>
      <c r="Z394" t="s">
        <v>26809</v>
      </c>
      <c r="AA394">
        <v>1.0696922464663521</v>
      </c>
      <c r="AB394" t="str">
        <f>HYPERLINK("Melting_Curves/meltCurve_E5RGX5_STMN2.pdf", "Melting_Curves/meltCurve_E5RGX5_STMN2.pdf")</f>
        <v>Melting_Curves/meltCurve_E5RGX5_STMN2.pdf</v>
      </c>
    </row>
    <row r="395" spans="1:28" x14ac:dyDescent="0.25">
      <c r="A395" t="s">
        <v>399</v>
      </c>
      <c r="B395">
        <v>0.99193492352474899</v>
      </c>
      <c r="C395">
        <v>0.73464783656169097</v>
      </c>
      <c r="D395">
        <v>1.04975399215898</v>
      </c>
      <c r="E395">
        <v>0.70299367579243799</v>
      </c>
      <c r="F395">
        <v>0.31283932323545299</v>
      </c>
      <c r="G395">
        <v>8.8718088336028497E-2</v>
      </c>
      <c r="H395">
        <v>4.0818225417727602E-2</v>
      </c>
      <c r="I395">
        <v>3.1751990834272499E-2</v>
      </c>
      <c r="J395">
        <v>4.9104919678984803E-2</v>
      </c>
      <c r="K395">
        <v>5.1979301899703401E-2</v>
      </c>
      <c r="L395">
        <v>1401.4917163845701</v>
      </c>
      <c r="M395">
        <v>27.338834628131799</v>
      </c>
      <c r="N395">
        <v>51.411360247940401</v>
      </c>
      <c r="O395">
        <v>50.991838617176001</v>
      </c>
      <c r="P395">
        <v>-0.128978129108856</v>
      </c>
      <c r="Q395">
        <v>3.7739539084835003E-2</v>
      </c>
      <c r="R395">
        <v>0.95123923340615901</v>
      </c>
      <c r="S395" t="s">
        <v>7065</v>
      </c>
      <c r="T395" t="s">
        <v>13338</v>
      </c>
      <c r="U395" t="s">
        <v>13338</v>
      </c>
      <c r="V395" t="s">
        <v>13338</v>
      </c>
      <c r="W395" t="s">
        <v>13728</v>
      </c>
      <c r="X395">
        <v>6</v>
      </c>
      <c r="Y395" t="s">
        <v>20333</v>
      </c>
      <c r="Z395" t="s">
        <v>26810</v>
      </c>
      <c r="AA395">
        <v>0.40633890736750272</v>
      </c>
      <c r="AB395" t="str">
        <f>HYPERLINK("Melting_Curves/meltCurve_E5RHG8_TCEB1.pdf", "Melting_Curves/meltCurve_E5RHG8_TCEB1.pdf")</f>
        <v>Melting_Curves/meltCurve_E5RHG8_TCEB1.pdf</v>
      </c>
    </row>
    <row r="396" spans="1:28" x14ac:dyDescent="0.25">
      <c r="A396" t="s">
        <v>400</v>
      </c>
      <c r="B396">
        <v>0.99193492352474899</v>
      </c>
      <c r="C396">
        <v>0.99536920745684898</v>
      </c>
      <c r="D396">
        <v>1.02179573429655</v>
      </c>
      <c r="E396">
        <v>0.79482554469926003</v>
      </c>
      <c r="F396">
        <v>0.65886402235084995</v>
      </c>
      <c r="G396">
        <v>0.589689120863365</v>
      </c>
      <c r="H396">
        <v>0.44702677016789899</v>
      </c>
      <c r="I396">
        <v>0.87354200270093396</v>
      </c>
      <c r="J396">
        <v>0.86026939314976603</v>
      </c>
      <c r="K396">
        <v>0.88225789980931202</v>
      </c>
      <c r="L396">
        <v>12350.8825261109</v>
      </c>
      <c r="M396">
        <v>250</v>
      </c>
      <c r="O396">
        <v>49.400368396779399</v>
      </c>
      <c r="P396">
        <v>-0.35600923489827002</v>
      </c>
      <c r="Q396">
        <v>0.71860820143075099</v>
      </c>
      <c r="R396">
        <v>0.49498779062827403</v>
      </c>
      <c r="S396" t="s">
        <v>7066</v>
      </c>
      <c r="T396" t="s">
        <v>13338</v>
      </c>
      <c r="U396" t="s">
        <v>13338</v>
      </c>
      <c r="V396" t="s">
        <v>13338</v>
      </c>
      <c r="W396" t="s">
        <v>13729</v>
      </c>
      <c r="X396">
        <v>7</v>
      </c>
      <c r="Y396" t="s">
        <v>20334</v>
      </c>
      <c r="Z396" t="s">
        <v>26811</v>
      </c>
      <c r="AA396">
        <v>0.80683514041545068</v>
      </c>
      <c r="AB396" t="str">
        <f>HYPERLINK("Melting_Curves/meltCurve_E5RHG9_UQCRB.pdf", "Melting_Curves/meltCurve_E5RHG9_UQCRB.pdf")</f>
        <v>Melting_Curves/meltCurve_E5RHG9_UQCRB.pdf</v>
      </c>
    </row>
    <row r="397" spans="1:28" x14ac:dyDescent="0.25">
      <c r="A397" t="s">
        <v>401</v>
      </c>
      <c r="B397">
        <v>0.99193492352474899</v>
      </c>
      <c r="C397">
        <v>0.945218689876962</v>
      </c>
      <c r="D397">
        <v>0.70778036842855696</v>
      </c>
      <c r="E397">
        <v>0.43086513420697198</v>
      </c>
      <c r="F397">
        <v>0.157506093865245</v>
      </c>
      <c r="G397">
        <v>4.41451113944736E-2</v>
      </c>
      <c r="H397">
        <v>4.6449231495587502E-2</v>
      </c>
      <c r="I397">
        <v>5.5395653647491598E-2</v>
      </c>
      <c r="J397">
        <v>5.0330488913465102E-2</v>
      </c>
      <c r="K397">
        <v>6.7059890810640801E-2</v>
      </c>
      <c r="L397">
        <v>970.26265420822699</v>
      </c>
      <c r="M397">
        <v>20.0960545665578</v>
      </c>
      <c r="N397">
        <v>48.480557383915503</v>
      </c>
      <c r="O397">
        <v>47.810789623779598</v>
      </c>
      <c r="P397">
        <v>-0.100918163759239</v>
      </c>
      <c r="Q397">
        <v>3.9647707510151203E-2</v>
      </c>
      <c r="R397">
        <v>0.99610262387593895</v>
      </c>
      <c r="S397" t="s">
        <v>7067</v>
      </c>
      <c r="T397" t="s">
        <v>13338</v>
      </c>
      <c r="U397" t="s">
        <v>13338</v>
      </c>
      <c r="V397" t="s">
        <v>13338</v>
      </c>
      <c r="W397" t="s">
        <v>13730</v>
      </c>
      <c r="X397">
        <v>1</v>
      </c>
      <c r="Y397" t="s">
        <v>20335</v>
      </c>
      <c r="Z397" t="s">
        <v>26812</v>
      </c>
      <c r="AA397">
        <v>0.31818574877478528</v>
      </c>
      <c r="AB397" t="str">
        <f>HYPERLINK("Melting_Curves/meltCurve_E5RHW0_TMEM66.pdf", "Melting_Curves/meltCurve_E5RHW0_TMEM66.pdf")</f>
        <v>Melting_Curves/meltCurve_E5RHW0_TMEM66.pdf</v>
      </c>
    </row>
    <row r="398" spans="1:28" x14ac:dyDescent="0.25">
      <c r="A398" t="s">
        <v>402</v>
      </c>
      <c r="B398">
        <v>0.99193492352474899</v>
      </c>
      <c r="C398">
        <v>0.73601932189233399</v>
      </c>
      <c r="D398">
        <v>0.853672436083314</v>
      </c>
      <c r="E398">
        <v>0.52712748903890005</v>
      </c>
      <c r="F398">
        <v>0.267155590148619</v>
      </c>
      <c r="G398">
        <v>0.132859212203258</v>
      </c>
      <c r="H398">
        <v>0.124971638582205</v>
      </c>
      <c r="I398">
        <v>0.17056335832371999</v>
      </c>
      <c r="J398">
        <v>0.259552602223177</v>
      </c>
      <c r="K398">
        <v>0.30471985927460299</v>
      </c>
      <c r="L398">
        <v>929.69262105360895</v>
      </c>
      <c r="M398">
        <v>19.258399421200998</v>
      </c>
      <c r="N398">
        <v>49.464560360008797</v>
      </c>
      <c r="O398">
        <v>47.763184583512</v>
      </c>
      <c r="P398">
        <v>-8.21170138487817E-2</v>
      </c>
      <c r="Q398">
        <v>0.18538986680636299</v>
      </c>
      <c r="R398">
        <v>0.91067889534370094</v>
      </c>
      <c r="S398" t="s">
        <v>7068</v>
      </c>
      <c r="T398" t="s">
        <v>13338</v>
      </c>
      <c r="U398" t="s">
        <v>13338</v>
      </c>
      <c r="V398" t="s">
        <v>13338</v>
      </c>
      <c r="W398" t="s">
        <v>13731</v>
      </c>
      <c r="X398">
        <v>2</v>
      </c>
      <c r="Y398" t="s">
        <v>20336</v>
      </c>
      <c r="Z398" t="s">
        <v>26813</v>
      </c>
      <c r="AA398">
        <v>0.42254159417175707</v>
      </c>
      <c r="AB398" t="str">
        <f>HYPERLINK("Melting_Curves/meltCurve_E5RI52_C5orf45.pdf", "Melting_Curves/meltCurve_E5RI52_C5orf45.pdf")</f>
        <v>Melting_Curves/meltCurve_E5RI52_C5orf45.pdf</v>
      </c>
    </row>
    <row r="399" spans="1:28" x14ac:dyDescent="0.25">
      <c r="A399" t="s">
        <v>403</v>
      </c>
      <c r="B399">
        <v>0.99193492352474899</v>
      </c>
      <c r="C399">
        <v>0.93382844429195699</v>
      </c>
      <c r="D399">
        <v>0.88808235117772405</v>
      </c>
      <c r="E399">
        <v>0.76258072526134202</v>
      </c>
      <c r="F399">
        <v>0.61408669629933899</v>
      </c>
      <c r="G399">
        <v>0.40071211695342401</v>
      </c>
      <c r="H399">
        <v>0.29172651697791002</v>
      </c>
      <c r="I399">
        <v>0.21311501589722001</v>
      </c>
      <c r="J399">
        <v>0.20745195385898399</v>
      </c>
      <c r="K399">
        <v>0.164995594527862</v>
      </c>
      <c r="L399">
        <v>635.12911179894195</v>
      </c>
      <c r="M399">
        <v>11.797991681824501</v>
      </c>
      <c r="N399">
        <v>54.993270412633699</v>
      </c>
      <c r="O399">
        <v>52.3568716215118</v>
      </c>
      <c r="P399">
        <v>-5.0143638313558302E-2</v>
      </c>
      <c r="Q399">
        <v>0.110123704328003</v>
      </c>
      <c r="R399">
        <v>0.99743557207548195</v>
      </c>
      <c r="S399" t="s">
        <v>7069</v>
      </c>
      <c r="T399" t="s">
        <v>13338</v>
      </c>
      <c r="U399" t="s">
        <v>13338</v>
      </c>
      <c r="V399" t="s">
        <v>13338</v>
      </c>
      <c r="W399" t="s">
        <v>13732</v>
      </c>
      <c r="X399">
        <v>5</v>
      </c>
      <c r="Y399" t="s">
        <v>20337</v>
      </c>
      <c r="Z399" t="s">
        <v>26814</v>
      </c>
      <c r="AA399">
        <v>0.54445453218065554</v>
      </c>
      <c r="AB399" t="str">
        <f>HYPERLINK("Melting_Curves/meltCurve_E5RI87_RNF130.pdf", "Melting_Curves/meltCurve_E5RI87_RNF130.pdf")</f>
        <v>Melting_Curves/meltCurve_E5RI87_RNF130.pdf</v>
      </c>
    </row>
    <row r="400" spans="1:28" x14ac:dyDescent="0.25">
      <c r="A400" t="s">
        <v>404</v>
      </c>
      <c r="B400">
        <v>0.99193492352474899</v>
      </c>
      <c r="C400">
        <v>0.86708781135394297</v>
      </c>
      <c r="D400">
        <v>0.81179698099248698</v>
      </c>
      <c r="E400">
        <v>0.354200191466708</v>
      </c>
      <c r="F400">
        <v>0.16396226185631199</v>
      </c>
      <c r="G400">
        <v>8.23472850663758E-2</v>
      </c>
      <c r="H400">
        <v>3.88298990271332E-2</v>
      </c>
      <c r="I400">
        <v>7.0694644057714404E-2</v>
      </c>
      <c r="J400">
        <v>7.0071909077676506E-2</v>
      </c>
      <c r="K400">
        <v>7.3649481845768E-2</v>
      </c>
      <c r="L400">
        <v>1124.6198150995699</v>
      </c>
      <c r="M400">
        <v>23.3468491271624</v>
      </c>
      <c r="N400">
        <v>48.434399881980703</v>
      </c>
      <c r="O400">
        <v>47.820862217874598</v>
      </c>
      <c r="P400">
        <v>-0.11475561528617501</v>
      </c>
      <c r="Q400">
        <v>5.9810531844815301E-2</v>
      </c>
      <c r="R400">
        <v>0.99192625088331499</v>
      </c>
      <c r="S400" t="s">
        <v>7070</v>
      </c>
      <c r="T400" t="s">
        <v>13338</v>
      </c>
      <c r="U400" t="s">
        <v>13338</v>
      </c>
      <c r="V400" t="s">
        <v>13338</v>
      </c>
      <c r="W400" t="s">
        <v>13733</v>
      </c>
      <c r="X400">
        <v>5</v>
      </c>
      <c r="Y400" t="s">
        <v>20338</v>
      </c>
      <c r="Z400" t="s">
        <v>26815</v>
      </c>
      <c r="AA400">
        <v>0.32545969654393608</v>
      </c>
      <c r="AB400" t="str">
        <f>HYPERLINK("Melting_Curves/meltCurve_E5RIH5_TTI2.pdf", "Melting_Curves/meltCurve_E5RIH5_TTI2.pdf")</f>
        <v>Melting_Curves/meltCurve_E5RIH5_TTI2.pdf</v>
      </c>
    </row>
    <row r="401" spans="1:28" x14ac:dyDescent="0.25">
      <c r="A401" t="s">
        <v>405</v>
      </c>
      <c r="B401">
        <v>0.99193492352474899</v>
      </c>
      <c r="C401">
        <v>0.89018143335606603</v>
      </c>
      <c r="D401">
        <v>0.79648946244416696</v>
      </c>
      <c r="E401">
        <v>0.75056547965974896</v>
      </c>
      <c r="F401">
        <v>0.54279604624706201</v>
      </c>
      <c r="G401">
        <v>0.44895543727871001</v>
      </c>
      <c r="H401">
        <v>0.30975727228361999</v>
      </c>
      <c r="I401">
        <v>0.29820209634428901</v>
      </c>
      <c r="J401">
        <v>0.42444656248419199</v>
      </c>
      <c r="K401">
        <v>0.50492999071646405</v>
      </c>
      <c r="L401">
        <v>701.89200804727602</v>
      </c>
      <c r="M401">
        <v>14.195974704460699</v>
      </c>
      <c r="N401">
        <v>54.587307877697903</v>
      </c>
      <c r="O401">
        <v>48.492931282199997</v>
      </c>
      <c r="P401">
        <v>-4.6201299422320603E-2</v>
      </c>
      <c r="Q401">
        <v>0.36879129409060601</v>
      </c>
      <c r="R401">
        <v>0.91466593837432497</v>
      </c>
      <c r="S401" t="s">
        <v>7071</v>
      </c>
      <c r="T401" t="s">
        <v>13338</v>
      </c>
      <c r="U401" t="s">
        <v>13338</v>
      </c>
      <c r="V401" t="s">
        <v>13338</v>
      </c>
      <c r="W401" t="s">
        <v>13734</v>
      </c>
      <c r="X401">
        <v>1</v>
      </c>
      <c r="Y401" t="s">
        <v>20339</v>
      </c>
      <c r="Z401" t="s">
        <v>26816</v>
      </c>
      <c r="AA401">
        <v>0.58441753724392842</v>
      </c>
      <c r="AB401" t="str">
        <f>HYPERLINK("Melting_Curves/meltCurve_E5RIL0_LEPROTL1.pdf", "Melting_Curves/meltCurve_E5RIL0_LEPROTL1.pdf")</f>
        <v>Melting_Curves/meltCurve_E5RIL0_LEPROTL1.pdf</v>
      </c>
    </row>
    <row r="402" spans="1:28" x14ac:dyDescent="0.25">
      <c r="A402" t="s">
        <v>406</v>
      </c>
      <c r="B402">
        <v>0.99193492352474899</v>
      </c>
      <c r="C402">
        <v>0.82407746918432401</v>
      </c>
      <c r="D402">
        <v>0.97932011029721899</v>
      </c>
      <c r="E402">
        <v>0.80358254845018395</v>
      </c>
      <c r="F402">
        <v>0.62102504604827902</v>
      </c>
      <c r="G402">
        <v>0.438953207527362</v>
      </c>
      <c r="H402">
        <v>0.26512717556795701</v>
      </c>
      <c r="I402">
        <v>0.315873320743849</v>
      </c>
      <c r="J402">
        <v>0.26117450636870698</v>
      </c>
      <c r="K402">
        <v>0.243391131479683</v>
      </c>
      <c r="L402">
        <v>791.41880665615304</v>
      </c>
      <c r="M402">
        <v>14.887290855368001</v>
      </c>
      <c r="N402">
        <v>55.321847088115703</v>
      </c>
      <c r="O402">
        <v>52.229128141401702</v>
      </c>
      <c r="P402">
        <v>-5.5553230680067803E-2</v>
      </c>
      <c r="Q402">
        <v>0.22049047215083101</v>
      </c>
      <c r="R402">
        <v>0.96276554148914395</v>
      </c>
      <c r="S402" t="s">
        <v>7072</v>
      </c>
      <c r="T402" t="s">
        <v>13338</v>
      </c>
      <c r="U402" t="s">
        <v>13338</v>
      </c>
      <c r="V402" t="s">
        <v>13338</v>
      </c>
      <c r="W402" t="s">
        <v>13735</v>
      </c>
      <c r="X402">
        <v>13</v>
      </c>
      <c r="Y402" t="s">
        <v>20340</v>
      </c>
      <c r="Z402" t="s">
        <v>26817</v>
      </c>
      <c r="AA402">
        <v>0.57928443576587141</v>
      </c>
      <c r="AB402" t="str">
        <f>HYPERLINK("Melting_Curves/meltCurve_E5RIP7_IMPA1.pdf", "Melting_Curves/meltCurve_E5RIP7_IMPA1.pdf")</f>
        <v>Melting_Curves/meltCurve_E5RIP7_IMPA1.pdf</v>
      </c>
    </row>
    <row r="403" spans="1:28" x14ac:dyDescent="0.25">
      <c r="A403" t="s">
        <v>407</v>
      </c>
      <c r="B403">
        <v>0.99193492352474899</v>
      </c>
      <c r="C403">
        <v>0.89275533868982804</v>
      </c>
      <c r="D403">
        <v>0.88816521787639602</v>
      </c>
      <c r="E403">
        <v>0.78406772268508895</v>
      </c>
      <c r="F403">
        <v>0.60770876356251102</v>
      </c>
      <c r="G403">
        <v>0.61900833433193503</v>
      </c>
      <c r="H403">
        <v>0.48729554381129297</v>
      </c>
      <c r="I403">
        <v>0.65081430064040702</v>
      </c>
      <c r="J403">
        <v>0.759946604579392</v>
      </c>
      <c r="K403">
        <v>1.0405532095605099</v>
      </c>
      <c r="L403">
        <v>1066.7590948592299</v>
      </c>
      <c r="M403">
        <v>23.149599134150598</v>
      </c>
      <c r="O403">
        <v>45.741378146887001</v>
      </c>
      <c r="P403">
        <v>-3.8132761890030099E-2</v>
      </c>
      <c r="Q403">
        <v>0.69861887838710901</v>
      </c>
      <c r="R403">
        <v>0.34857707836153701</v>
      </c>
      <c r="S403" t="s">
        <v>7073</v>
      </c>
      <c r="T403" t="s">
        <v>13338</v>
      </c>
      <c r="U403" t="s">
        <v>13338</v>
      </c>
      <c r="V403" t="s">
        <v>13338</v>
      </c>
      <c r="W403" t="s">
        <v>13736</v>
      </c>
      <c r="X403">
        <v>1</v>
      </c>
      <c r="Y403" t="s">
        <v>20341</v>
      </c>
      <c r="Z403" t="s">
        <v>26818</v>
      </c>
      <c r="AA403">
        <v>0.76301995302517744</v>
      </c>
      <c r="AB403" t="str">
        <f>HYPERLINK("Melting_Curves/meltCurve_E5RIQ9_SERF1A.pdf", "Melting_Curves/meltCurve_E5RIQ9_SERF1A.pdf")</f>
        <v>Melting_Curves/meltCurve_E5RIQ9_SERF1A.pdf</v>
      </c>
    </row>
    <row r="404" spans="1:28" x14ac:dyDescent="0.25">
      <c r="A404" t="s">
        <v>408</v>
      </c>
      <c r="B404">
        <v>0.99193492352474899</v>
      </c>
      <c r="C404">
        <v>0.972957818936241</v>
      </c>
      <c r="D404">
        <v>1.23987835633466</v>
      </c>
      <c r="E404">
        <v>0.81593199724961196</v>
      </c>
      <c r="F404">
        <v>0.74878111648633705</v>
      </c>
      <c r="G404">
        <v>0.35588432882897503</v>
      </c>
      <c r="H404">
        <v>0.15358439792929601</v>
      </c>
      <c r="I404">
        <v>0.16503549235287801</v>
      </c>
      <c r="J404">
        <v>0.17890883333120999</v>
      </c>
      <c r="K404">
        <v>0.19886631650285599</v>
      </c>
      <c r="L404">
        <v>1508.5809372880699</v>
      </c>
      <c r="M404">
        <v>27.729314194154401</v>
      </c>
      <c r="N404">
        <v>55.173585238992302</v>
      </c>
      <c r="O404">
        <v>54.123244949997201</v>
      </c>
      <c r="P404">
        <v>-0.107538798520632</v>
      </c>
      <c r="Q404">
        <v>0.16041243072744901</v>
      </c>
      <c r="R404">
        <v>0.946146603687682</v>
      </c>
      <c r="S404" t="s">
        <v>7074</v>
      </c>
      <c r="T404" t="s">
        <v>13338</v>
      </c>
      <c r="U404" t="s">
        <v>13338</v>
      </c>
      <c r="V404" t="s">
        <v>13338</v>
      </c>
      <c r="W404" t="s">
        <v>13737</v>
      </c>
      <c r="X404">
        <v>3</v>
      </c>
      <c r="Y404" t="s">
        <v>20342</v>
      </c>
      <c r="Z404" t="s">
        <v>26819</v>
      </c>
      <c r="AA404">
        <v>0.56995072887398035</v>
      </c>
      <c r="AB404" t="str">
        <f>HYPERLINK("Melting_Curves/meltCurve_E5RIY0_TMEM55A.pdf", "Melting_Curves/meltCurve_E5RIY0_TMEM55A.pdf")</f>
        <v>Melting_Curves/meltCurve_E5RIY0_TMEM55A.pdf</v>
      </c>
    </row>
    <row r="405" spans="1:28" x14ac:dyDescent="0.25">
      <c r="A405" t="s">
        <v>409</v>
      </c>
      <c r="B405">
        <v>0.99193492352474899</v>
      </c>
      <c r="C405">
        <v>0.98259254462065804</v>
      </c>
      <c r="D405">
        <v>0.96085999257794497</v>
      </c>
      <c r="E405">
        <v>0.65765809463255498</v>
      </c>
      <c r="F405">
        <v>0.70289970430133397</v>
      </c>
      <c r="G405">
        <v>0.41925249002571702</v>
      </c>
      <c r="H405">
        <v>0.27303449026711402</v>
      </c>
      <c r="I405">
        <v>0.31796181915309202</v>
      </c>
      <c r="J405">
        <v>0.32112832653054502</v>
      </c>
      <c r="K405">
        <v>0.32934162834712399</v>
      </c>
      <c r="L405">
        <v>783.36352306700098</v>
      </c>
      <c r="M405">
        <v>15.0354842941461</v>
      </c>
      <c r="N405">
        <v>55.089851182919602</v>
      </c>
      <c r="O405">
        <v>51.205405535168303</v>
      </c>
      <c r="P405">
        <v>-5.2943758699074597E-2</v>
      </c>
      <c r="Q405">
        <v>0.27884323680499901</v>
      </c>
      <c r="R405">
        <v>0.95370440933450595</v>
      </c>
      <c r="S405" t="s">
        <v>7075</v>
      </c>
      <c r="T405" t="s">
        <v>13338</v>
      </c>
      <c r="U405" t="s">
        <v>13338</v>
      </c>
      <c r="V405" t="s">
        <v>13338</v>
      </c>
      <c r="W405" t="s">
        <v>13738</v>
      </c>
      <c r="X405">
        <v>2</v>
      </c>
      <c r="Y405" t="s">
        <v>20343</v>
      </c>
      <c r="Z405" t="s">
        <v>26820</v>
      </c>
      <c r="AA405">
        <v>0.58574143521704369</v>
      </c>
      <c r="AB405" t="str">
        <f>HYPERLINK("Melting_Curves/meltCurve_E5RJ08_CHCHD7.pdf", "Melting_Curves/meltCurve_E5RJ08_CHCHD7.pdf")</f>
        <v>Melting_Curves/meltCurve_E5RJ08_CHCHD7.pdf</v>
      </c>
    </row>
    <row r="406" spans="1:28" x14ac:dyDescent="0.25">
      <c r="A406" t="s">
        <v>410</v>
      </c>
      <c r="B406">
        <v>0.99193492352474899</v>
      </c>
      <c r="C406">
        <v>1.091194508848</v>
      </c>
      <c r="D406">
        <v>0.98132303108050001</v>
      </c>
      <c r="E406">
        <v>0.395752976452313</v>
      </c>
      <c r="F406">
        <v>0.17619963782225301</v>
      </c>
      <c r="G406">
        <v>4.7682444790928202E-2</v>
      </c>
      <c r="H406">
        <v>0.14856134742105601</v>
      </c>
      <c r="I406">
        <v>0.18071797429674699</v>
      </c>
      <c r="J406">
        <v>0.30359456442119798</v>
      </c>
      <c r="K406">
        <v>0.14851739626497101</v>
      </c>
      <c r="L406">
        <v>3073.1822397296901</v>
      </c>
      <c r="M406">
        <v>62.929849193930004</v>
      </c>
      <c r="N406">
        <v>49.151902780010701</v>
      </c>
      <c r="O406">
        <v>48.785808393146503</v>
      </c>
      <c r="P406">
        <v>-0.26871132566710798</v>
      </c>
      <c r="Q406">
        <v>0.16673603414017099</v>
      </c>
      <c r="R406">
        <v>0.97189769229603595</v>
      </c>
      <c r="S406" t="s">
        <v>7076</v>
      </c>
      <c r="T406" t="s">
        <v>13338</v>
      </c>
      <c r="U406" t="s">
        <v>13338</v>
      </c>
      <c r="V406" t="s">
        <v>13338</v>
      </c>
      <c r="W406" t="s">
        <v>13739</v>
      </c>
      <c r="X406">
        <v>2</v>
      </c>
      <c r="Y406" t="s">
        <v>20344</v>
      </c>
      <c r="Z406" t="s">
        <v>26821</v>
      </c>
      <c r="AA406">
        <v>0.41326442513626799</v>
      </c>
      <c r="AB406" t="str">
        <f>HYPERLINK("Melting_Curves/meltCurve_E5RJ68_AP3B1.pdf", "Melting_Curves/meltCurve_E5RJ68_AP3B1.pdf")</f>
        <v>Melting_Curves/meltCurve_E5RJ68_AP3B1.pdf</v>
      </c>
    </row>
    <row r="407" spans="1:28" x14ac:dyDescent="0.25">
      <c r="A407" t="s">
        <v>411</v>
      </c>
      <c r="B407">
        <v>0.99193492352474899</v>
      </c>
      <c r="C407">
        <v>0.9315158116094</v>
      </c>
      <c r="D407">
        <v>0.72148038585341601</v>
      </c>
      <c r="E407">
        <v>0.41557999330705497</v>
      </c>
      <c r="F407">
        <v>0.32764234208565601</v>
      </c>
      <c r="G407">
        <v>0.16757263865684399</v>
      </c>
      <c r="H407">
        <v>0.112691580874009</v>
      </c>
      <c r="I407">
        <v>9.2004493928836903E-2</v>
      </c>
      <c r="J407">
        <v>8.1014855657686E-2</v>
      </c>
      <c r="K407">
        <v>5.3972829637338501E-2</v>
      </c>
      <c r="L407">
        <v>741.564908370583</v>
      </c>
      <c r="M407">
        <v>15.229975773605499</v>
      </c>
      <c r="N407">
        <v>49.163635503514499</v>
      </c>
      <c r="O407">
        <v>47.874848255481901</v>
      </c>
      <c r="P407">
        <v>-7.4122755250451797E-2</v>
      </c>
      <c r="Q407">
        <v>6.80808748485007E-2</v>
      </c>
      <c r="R407">
        <v>0.992510751037606</v>
      </c>
      <c r="S407" t="s">
        <v>7077</v>
      </c>
      <c r="T407" t="s">
        <v>13338</v>
      </c>
      <c r="U407" t="s">
        <v>13338</v>
      </c>
      <c r="V407" t="s">
        <v>13338</v>
      </c>
      <c r="W407" t="s">
        <v>13740</v>
      </c>
      <c r="X407">
        <v>2</v>
      </c>
      <c r="Y407" t="s">
        <v>20345</v>
      </c>
      <c r="Z407" t="s">
        <v>26822</v>
      </c>
      <c r="AA407">
        <v>0.36066783689761511</v>
      </c>
      <c r="AB407" t="str">
        <f>HYPERLINK("Melting_Curves/meltCurve_E5RJ99_ZFAND1.pdf", "Melting_Curves/meltCurve_E5RJ99_ZFAND1.pdf")</f>
        <v>Melting_Curves/meltCurve_E5RJ99_ZFAND1.pdf</v>
      </c>
    </row>
    <row r="408" spans="1:28" x14ac:dyDescent="0.25">
      <c r="A408" t="s">
        <v>412</v>
      </c>
      <c r="B408">
        <v>0.99193492352474899</v>
      </c>
      <c r="C408">
        <v>0.77006937644691198</v>
      </c>
      <c r="D408">
        <v>0.77865800275419395</v>
      </c>
      <c r="E408">
        <v>0.587774580723464</v>
      </c>
      <c r="F408">
        <v>0.34826103434202299</v>
      </c>
      <c r="G408">
        <v>0.25079993020577901</v>
      </c>
      <c r="H408">
        <v>0.156945368422896</v>
      </c>
      <c r="I408">
        <v>0.133721962524806</v>
      </c>
      <c r="J408">
        <v>0.14489512140208599</v>
      </c>
      <c r="K408">
        <v>0.13637417339856001</v>
      </c>
      <c r="L408">
        <v>575.716854600499</v>
      </c>
      <c r="M408">
        <v>11.5898206941594</v>
      </c>
      <c r="N408">
        <v>50.4740186607089</v>
      </c>
      <c r="O408">
        <v>48.264575965945298</v>
      </c>
      <c r="P408">
        <v>-5.50127676131896E-2</v>
      </c>
      <c r="Q408">
        <v>8.3873425863358497E-2</v>
      </c>
      <c r="R408">
        <v>0.98075444994482996</v>
      </c>
      <c r="S408" t="s">
        <v>7078</v>
      </c>
      <c r="T408" t="s">
        <v>13338</v>
      </c>
      <c r="U408" t="s">
        <v>13338</v>
      </c>
      <c r="V408" t="s">
        <v>13338</v>
      </c>
      <c r="W408" t="s">
        <v>13741</v>
      </c>
      <c r="X408">
        <v>3</v>
      </c>
      <c r="Y408" t="s">
        <v>20346</v>
      </c>
      <c r="Z408" t="s">
        <v>26823</v>
      </c>
      <c r="AA408">
        <v>0.41346025597520192</v>
      </c>
      <c r="AB408" t="str">
        <f>HYPERLINK("Melting_Curves/meltCurve_E5RJI7_MRPL13.pdf", "Melting_Curves/meltCurve_E5RJI7_MRPL13.pdf")</f>
        <v>Melting_Curves/meltCurve_E5RJI7_MRPL13.pdf</v>
      </c>
    </row>
    <row r="409" spans="1:28" x14ac:dyDescent="0.25">
      <c r="A409" t="s">
        <v>413</v>
      </c>
      <c r="B409">
        <v>0.99193492352474899</v>
      </c>
      <c r="C409">
        <v>0.84054615987070003</v>
      </c>
      <c r="D409">
        <v>0.88725318291544097</v>
      </c>
      <c r="E409">
        <v>0.869712714906414</v>
      </c>
      <c r="F409">
        <v>0.72836315441321897</v>
      </c>
      <c r="G409">
        <v>0.400436335172485</v>
      </c>
      <c r="H409">
        <v>0.19869259781853801</v>
      </c>
      <c r="I409">
        <v>0.137473019821098</v>
      </c>
      <c r="J409">
        <v>0.13393948087645199</v>
      </c>
      <c r="K409">
        <v>0.139163353213063</v>
      </c>
      <c r="L409">
        <v>960.10018513037596</v>
      </c>
      <c r="M409">
        <v>17.4722985715355</v>
      </c>
      <c r="N409">
        <v>55.556353159902002</v>
      </c>
      <c r="O409">
        <v>54.245197860799401</v>
      </c>
      <c r="P409">
        <v>-7.3536970324928605E-2</v>
      </c>
      <c r="Q409">
        <v>8.6827370125695996E-2</v>
      </c>
      <c r="R409">
        <v>0.969166611370058</v>
      </c>
      <c r="S409" t="s">
        <v>7079</v>
      </c>
      <c r="T409" t="s">
        <v>13338</v>
      </c>
      <c r="U409" t="s">
        <v>13338</v>
      </c>
      <c r="V409" t="s">
        <v>13338</v>
      </c>
      <c r="W409" t="s">
        <v>13742</v>
      </c>
      <c r="X409">
        <v>20</v>
      </c>
      <c r="Y409" t="s">
        <v>20347</v>
      </c>
      <c r="Z409" t="s">
        <v>26824</v>
      </c>
      <c r="AA409">
        <v>0.55661561228662426</v>
      </c>
      <c r="AB409" t="str">
        <f>HYPERLINK("Melting_Curves/meltCurve_E5RJR5_SKP1.pdf", "Melting_Curves/meltCurve_E5RJR5_SKP1.pdf")</f>
        <v>Melting_Curves/meltCurve_E5RJR5_SKP1.pdf</v>
      </c>
    </row>
    <row r="410" spans="1:28" x14ac:dyDescent="0.25">
      <c r="A410" t="s">
        <v>414</v>
      </c>
      <c r="B410">
        <v>0.99193492352474899</v>
      </c>
      <c r="C410">
        <v>0.75749061016720698</v>
      </c>
      <c r="D410">
        <v>0.82287903475827295</v>
      </c>
      <c r="E410">
        <v>0.63273544312153296</v>
      </c>
      <c r="F410">
        <v>0.62379067713723602</v>
      </c>
      <c r="G410">
        <v>0.33832790768096099</v>
      </c>
      <c r="H410">
        <v>0.26472509166948199</v>
      </c>
      <c r="I410">
        <v>0.36143544195712601</v>
      </c>
      <c r="J410">
        <v>0.431699698818718</v>
      </c>
      <c r="K410">
        <v>0.66313458644857004</v>
      </c>
      <c r="L410">
        <v>642.79446397399897</v>
      </c>
      <c r="M410">
        <v>13.600859738058899</v>
      </c>
      <c r="N410">
        <v>54.226806002344198</v>
      </c>
      <c r="O410">
        <v>46.274720733442699</v>
      </c>
      <c r="P410">
        <v>-4.3149081969063301E-2</v>
      </c>
      <c r="Q410">
        <v>0.41285596902730898</v>
      </c>
      <c r="R410">
        <v>0.71233456222932801</v>
      </c>
      <c r="S410" t="s">
        <v>7080</v>
      </c>
      <c r="T410" t="s">
        <v>13338</v>
      </c>
      <c r="U410" t="s">
        <v>13338</v>
      </c>
      <c r="V410" t="s">
        <v>13338</v>
      </c>
      <c r="W410" t="s">
        <v>13743</v>
      </c>
      <c r="X410">
        <v>5</v>
      </c>
      <c r="Y410" t="s">
        <v>20348</v>
      </c>
      <c r="Z410" t="s">
        <v>26825</v>
      </c>
      <c r="AA410">
        <v>0.57406536571627298</v>
      </c>
      <c r="AB410" t="str">
        <f>HYPERLINK("Melting_Curves/meltCurve_E5RK82_CETN3.pdf", "Melting_Curves/meltCurve_E5RK82_CETN3.pdf")</f>
        <v>Melting_Curves/meltCurve_E5RK82_CETN3.pdf</v>
      </c>
    </row>
    <row r="411" spans="1:28" x14ac:dyDescent="0.25">
      <c r="A411" t="s">
        <v>415</v>
      </c>
      <c r="B411">
        <v>0.99193492352474899</v>
      </c>
      <c r="C411">
        <v>1.0066205019038299</v>
      </c>
      <c r="D411">
        <v>1.0882128484253399</v>
      </c>
      <c r="E411">
        <v>0.75090763161721596</v>
      </c>
      <c r="F411">
        <v>0.42414385641170899</v>
      </c>
      <c r="G411">
        <v>0.18152284233782701</v>
      </c>
      <c r="H411">
        <v>0.11935310561666899</v>
      </c>
      <c r="I411">
        <v>8.0795704818174996E-2</v>
      </c>
      <c r="J411">
        <v>0.119916324131119</v>
      </c>
      <c r="K411">
        <v>0.10163416835048</v>
      </c>
      <c r="L411">
        <v>1392.2452158998001</v>
      </c>
      <c r="M411">
        <v>26.842562198264901</v>
      </c>
      <c r="N411">
        <v>52.306215131766002</v>
      </c>
      <c r="O411">
        <v>51.581769363879097</v>
      </c>
      <c r="P411">
        <v>-0.116973502894158</v>
      </c>
      <c r="Q411">
        <v>0.100884747934542</v>
      </c>
      <c r="R411">
        <v>0.98953817974771097</v>
      </c>
      <c r="S411" t="s">
        <v>7081</v>
      </c>
      <c r="T411" t="s">
        <v>13338</v>
      </c>
      <c r="U411" t="s">
        <v>13338</v>
      </c>
      <c r="V411" t="s">
        <v>13338</v>
      </c>
      <c r="W411" t="s">
        <v>13744</v>
      </c>
      <c r="X411">
        <v>3</v>
      </c>
      <c r="Y411" t="s">
        <v>20349</v>
      </c>
      <c r="Z411" t="s">
        <v>26826</v>
      </c>
      <c r="AA411">
        <v>0.46368580843694551</v>
      </c>
      <c r="AB411" t="str">
        <f>HYPERLINK("Melting_Curves/meltCurve_E7EM50_PIGG.pdf", "Melting_Curves/meltCurve_E7EM50_PIGG.pdf")</f>
        <v>Melting_Curves/meltCurve_E7EM50_PIGG.pdf</v>
      </c>
    </row>
    <row r="412" spans="1:28" x14ac:dyDescent="0.25">
      <c r="A412" t="s">
        <v>416</v>
      </c>
      <c r="B412">
        <v>0.99193492352474899</v>
      </c>
      <c r="C412">
        <v>0.91179965955188802</v>
      </c>
      <c r="D412">
        <v>0.97332628096084095</v>
      </c>
      <c r="E412">
        <v>0.76112543285226497</v>
      </c>
      <c r="F412">
        <v>0.46313297737871001</v>
      </c>
      <c r="G412">
        <v>0.172743130215156</v>
      </c>
      <c r="H412">
        <v>9.2271372716396904E-2</v>
      </c>
      <c r="I412">
        <v>7.7777846431751896E-2</v>
      </c>
      <c r="J412">
        <v>9.8127554571014006E-2</v>
      </c>
      <c r="K412">
        <v>9.7929537069347206E-2</v>
      </c>
      <c r="L412">
        <v>1180.78991778707</v>
      </c>
      <c r="M412">
        <v>22.648959886376002</v>
      </c>
      <c r="N412">
        <v>52.510573339468003</v>
      </c>
      <c r="O412">
        <v>51.733062076236799</v>
      </c>
      <c r="P412">
        <v>-0.101256701543224</v>
      </c>
      <c r="Q412">
        <v>7.4886129290565095E-2</v>
      </c>
      <c r="R412">
        <v>0.993243181579753</v>
      </c>
      <c r="S412" t="s">
        <v>7082</v>
      </c>
      <c r="T412" t="s">
        <v>13338</v>
      </c>
      <c r="U412" t="s">
        <v>13338</v>
      </c>
      <c r="V412" t="s">
        <v>13338</v>
      </c>
      <c r="W412" t="s">
        <v>13745</v>
      </c>
      <c r="X412">
        <v>13</v>
      </c>
      <c r="Y412" t="s">
        <v>20350</v>
      </c>
      <c r="Z412" t="s">
        <v>26827</v>
      </c>
      <c r="AA412">
        <v>0.45927178347414582</v>
      </c>
      <c r="AB412" t="str">
        <f>HYPERLINK("Melting_Curves/meltCurve_E7EM64_COPS6.pdf", "Melting_Curves/meltCurve_E7EM64_COPS6.pdf")</f>
        <v>Melting_Curves/meltCurve_E7EM64_COPS6.pdf</v>
      </c>
    </row>
    <row r="413" spans="1:28" x14ac:dyDescent="0.25">
      <c r="A413" t="s">
        <v>417</v>
      </c>
      <c r="B413">
        <v>0.99193492352474899</v>
      </c>
      <c r="C413">
        <v>1.0573208837755199</v>
      </c>
      <c r="D413">
        <v>0.88684201721412903</v>
      </c>
      <c r="E413">
        <v>0.69494905884605296</v>
      </c>
      <c r="F413">
        <v>0.57194285204001705</v>
      </c>
      <c r="G413">
        <v>0.40550034954908798</v>
      </c>
      <c r="H413">
        <v>0.28632366762603001</v>
      </c>
      <c r="I413">
        <v>0.26526704512388999</v>
      </c>
      <c r="J413">
        <v>0.212671106832762</v>
      </c>
      <c r="K413">
        <v>0.16722453088258901</v>
      </c>
      <c r="L413">
        <v>692.89903820548705</v>
      </c>
      <c r="M413">
        <v>13.150839710702099</v>
      </c>
      <c r="N413">
        <v>54.337385426180397</v>
      </c>
      <c r="O413">
        <v>51.514937416792399</v>
      </c>
      <c r="P413">
        <v>-5.3329774259161897E-2</v>
      </c>
      <c r="Q413">
        <v>0.16451994922678301</v>
      </c>
      <c r="R413">
        <v>0.98654463262627801</v>
      </c>
      <c r="S413" t="s">
        <v>7083</v>
      </c>
      <c r="T413" t="s">
        <v>13338</v>
      </c>
      <c r="U413" t="s">
        <v>13338</v>
      </c>
      <c r="V413" t="s">
        <v>13338</v>
      </c>
      <c r="W413" t="s">
        <v>13746</v>
      </c>
      <c r="X413">
        <v>2</v>
      </c>
      <c r="Y413" t="s">
        <v>20351</v>
      </c>
      <c r="Z413" t="s">
        <v>26828</v>
      </c>
      <c r="AA413">
        <v>0.5396599114422832</v>
      </c>
      <c r="AB413" t="str">
        <f>HYPERLINK("Melting_Curves/meltCurve_E7EM95_RNF5.pdf", "Melting_Curves/meltCurve_E7EM95_RNF5.pdf")</f>
        <v>Melting_Curves/meltCurve_E7EM95_RNF5.pdf</v>
      </c>
    </row>
    <row r="414" spans="1:28" x14ac:dyDescent="0.25">
      <c r="A414" t="s">
        <v>418</v>
      </c>
      <c r="B414">
        <v>0.99193492352474899</v>
      </c>
      <c r="C414">
        <v>1.0786756023535899</v>
      </c>
      <c r="D414">
        <v>0.86695784987551305</v>
      </c>
      <c r="E414">
        <v>0.82407645510006799</v>
      </c>
      <c r="F414">
        <v>0.69011710575613905</v>
      </c>
      <c r="G414">
        <v>0.50147406591999399</v>
      </c>
      <c r="H414">
        <v>0.166099273065484</v>
      </c>
      <c r="I414">
        <v>0.107792143946981</v>
      </c>
      <c r="J414">
        <v>0.19100862433547799</v>
      </c>
      <c r="K414">
        <v>7.1658288404322701E-2</v>
      </c>
      <c r="L414">
        <v>805.41934400695504</v>
      </c>
      <c r="M414">
        <v>14.504563400865701</v>
      </c>
      <c r="N414">
        <v>55.7990267293698</v>
      </c>
      <c r="O414">
        <v>54.505198838693602</v>
      </c>
      <c r="P414">
        <v>-6.4278368469130501E-2</v>
      </c>
      <c r="Q414">
        <v>3.3931181454432503E-2</v>
      </c>
      <c r="R414">
        <v>0.97245576422702895</v>
      </c>
      <c r="S414" t="s">
        <v>7084</v>
      </c>
      <c r="T414" t="s">
        <v>13338</v>
      </c>
      <c r="U414" t="s">
        <v>13338</v>
      </c>
      <c r="V414" t="s">
        <v>13338</v>
      </c>
      <c r="W414" t="s">
        <v>13747</v>
      </c>
      <c r="X414">
        <v>1</v>
      </c>
      <c r="Y414" t="s">
        <v>20352</v>
      </c>
      <c r="Z414" t="s">
        <v>26829</v>
      </c>
      <c r="AA414">
        <v>0.55243769710561685</v>
      </c>
      <c r="AB414" t="str">
        <f>HYPERLINK("Melting_Curves/meltCurve_E7EMA9_ATHL1.pdf", "Melting_Curves/meltCurve_E7EMA9_ATHL1.pdf")</f>
        <v>Melting_Curves/meltCurve_E7EMA9_ATHL1.pdf</v>
      </c>
    </row>
    <row r="415" spans="1:28" x14ac:dyDescent="0.25">
      <c r="A415" t="s">
        <v>419</v>
      </c>
      <c r="B415">
        <v>0.99193492352474899</v>
      </c>
      <c r="C415">
        <v>0.89480616317253103</v>
      </c>
      <c r="D415">
        <v>0.98087605634497099</v>
      </c>
      <c r="E415">
        <v>0.824287755347895</v>
      </c>
      <c r="F415">
        <v>0.77648877338820999</v>
      </c>
      <c r="G415">
        <v>0.60233750794701202</v>
      </c>
      <c r="H415">
        <v>0.55513162035408803</v>
      </c>
      <c r="I415">
        <v>0.61915052884409305</v>
      </c>
      <c r="J415">
        <v>0.87169656737260404</v>
      </c>
      <c r="K415">
        <v>0.89433512343810995</v>
      </c>
      <c r="L415">
        <v>1527.27076977816</v>
      </c>
      <c r="M415">
        <v>31.190620917946099</v>
      </c>
      <c r="O415">
        <v>48.7657468173309</v>
      </c>
      <c r="P415">
        <v>-4.5604901073438502E-2</v>
      </c>
      <c r="Q415">
        <v>0.71479315465406901</v>
      </c>
      <c r="R415">
        <v>0.47899704103463098</v>
      </c>
      <c r="S415" t="s">
        <v>7085</v>
      </c>
      <c r="T415" t="s">
        <v>13338</v>
      </c>
      <c r="U415" t="s">
        <v>13338</v>
      </c>
      <c r="V415" t="s">
        <v>13338</v>
      </c>
      <c r="W415" t="s">
        <v>13748</v>
      </c>
      <c r="X415">
        <v>10</v>
      </c>
      <c r="Y415" t="s">
        <v>20353</v>
      </c>
      <c r="Z415" t="s">
        <v>26830</v>
      </c>
      <c r="AA415">
        <v>0.80163234530239302</v>
      </c>
      <c r="AB415" t="str">
        <f>HYPERLINK("Melting_Curves/meltCurve_E7EMM4_ASAH1.pdf", "Melting_Curves/meltCurve_E7EMM4_ASAH1.pdf")</f>
        <v>Melting_Curves/meltCurve_E7EMM4_ASAH1.pdf</v>
      </c>
    </row>
    <row r="416" spans="1:28" x14ac:dyDescent="0.25">
      <c r="A416" t="s">
        <v>420</v>
      </c>
      <c r="B416">
        <v>0.99193492352474899</v>
      </c>
      <c r="C416">
        <v>0.89244179515276401</v>
      </c>
      <c r="D416">
        <v>0.760298923855519</v>
      </c>
      <c r="E416">
        <v>0.76885351305148297</v>
      </c>
      <c r="F416">
        <v>0.63154055537984199</v>
      </c>
      <c r="G416">
        <v>0.54341138268730804</v>
      </c>
      <c r="H416">
        <v>0.45470259559899301</v>
      </c>
      <c r="I416">
        <v>0.58423820607566801</v>
      </c>
      <c r="J416">
        <v>0.39819267296508998</v>
      </c>
      <c r="K416">
        <v>0.89479850471889499</v>
      </c>
      <c r="L416">
        <v>729.83833938052396</v>
      </c>
      <c r="M416">
        <v>15.749915827208801</v>
      </c>
      <c r="O416">
        <v>45.611443992786903</v>
      </c>
      <c r="P416">
        <v>-3.6547479382542297E-2</v>
      </c>
      <c r="Q416">
        <v>0.576672219198195</v>
      </c>
      <c r="R416">
        <v>0.551205642424767</v>
      </c>
      <c r="S416" t="s">
        <v>7086</v>
      </c>
      <c r="T416" t="s">
        <v>13338</v>
      </c>
      <c r="U416" t="s">
        <v>13338</v>
      </c>
      <c r="V416" t="s">
        <v>13338</v>
      </c>
      <c r="W416" t="s">
        <v>13749</v>
      </c>
      <c r="X416">
        <v>8</v>
      </c>
      <c r="Y416" t="s">
        <v>20354</v>
      </c>
      <c r="Z416" t="s">
        <v>26831</v>
      </c>
      <c r="AA416">
        <v>0.67698061139577992</v>
      </c>
      <c r="AB416" t="str">
        <f>HYPERLINK("Melting_Curves/meltCurve_E7EMN6_PPP1R2.pdf", "Melting_Curves/meltCurve_E7EMN6_PPP1R2.pdf")</f>
        <v>Melting_Curves/meltCurve_E7EMN6_PPP1R2.pdf</v>
      </c>
    </row>
    <row r="417" spans="1:28" x14ac:dyDescent="0.25">
      <c r="A417" t="s">
        <v>421</v>
      </c>
      <c r="B417">
        <v>0.99193492352474899</v>
      </c>
      <c r="C417">
        <v>0.99933597314181</v>
      </c>
      <c r="D417">
        <v>0.73748735447284697</v>
      </c>
      <c r="E417">
        <v>0.41492725488930399</v>
      </c>
      <c r="F417">
        <v>0.33282017313071099</v>
      </c>
      <c r="G417">
        <v>0.18811704854335501</v>
      </c>
      <c r="H417">
        <v>0.16232981409757499</v>
      </c>
      <c r="I417">
        <v>0.20706834593040399</v>
      </c>
      <c r="J417">
        <v>0.23946658205756799</v>
      </c>
      <c r="K417">
        <v>0.44108313772202001</v>
      </c>
      <c r="L417">
        <v>1319.1559134935401</v>
      </c>
      <c r="M417">
        <v>27.950059973922102</v>
      </c>
      <c r="N417">
        <v>48.435340442494997</v>
      </c>
      <c r="O417">
        <v>46.957255836069002</v>
      </c>
      <c r="P417">
        <v>-0.110813893489549</v>
      </c>
      <c r="Q417">
        <v>0.25531850956952801</v>
      </c>
      <c r="R417">
        <v>0.94074149145974995</v>
      </c>
      <c r="S417" t="s">
        <v>7087</v>
      </c>
      <c r="T417" t="s">
        <v>13338</v>
      </c>
      <c r="U417" t="s">
        <v>13338</v>
      </c>
      <c r="V417" t="s">
        <v>13338</v>
      </c>
      <c r="W417" t="s">
        <v>13750</v>
      </c>
      <c r="X417">
        <v>2</v>
      </c>
      <c r="Y417" t="s">
        <v>20355</v>
      </c>
      <c r="Z417" t="s">
        <v>26832</v>
      </c>
      <c r="AA417">
        <v>0.4391635843080518</v>
      </c>
      <c r="AB417" t="str">
        <f>HYPERLINK("Melting_Curves/meltCurve_E7EMV7_TNIP1.pdf", "Melting_Curves/meltCurve_E7EMV7_TNIP1.pdf")</f>
        <v>Melting_Curves/meltCurve_E7EMV7_TNIP1.pdf</v>
      </c>
    </row>
    <row r="418" spans="1:28" x14ac:dyDescent="0.25">
      <c r="A418" t="s">
        <v>422</v>
      </c>
      <c r="B418">
        <v>0.99193492352474899</v>
      </c>
      <c r="C418">
        <v>0.73743269039455706</v>
      </c>
      <c r="D418">
        <v>0.89385219198931898</v>
      </c>
      <c r="E418">
        <v>0.51516953781574804</v>
      </c>
      <c r="F418">
        <v>0.29487771624945203</v>
      </c>
      <c r="G418">
        <v>0.174631783479446</v>
      </c>
      <c r="H418">
        <v>7.5854470973105895E-2</v>
      </c>
      <c r="I418">
        <v>7.3386277179117998E-2</v>
      </c>
      <c r="J418">
        <v>7.5053631620637398E-2</v>
      </c>
      <c r="K418">
        <v>0.10267574207257101</v>
      </c>
      <c r="L418">
        <v>732.91822963776201</v>
      </c>
      <c r="M418">
        <v>14.764070721050601</v>
      </c>
      <c r="N418">
        <v>49.995282132774797</v>
      </c>
      <c r="O418">
        <v>48.757976344074102</v>
      </c>
      <c r="P418">
        <v>-7.19588611115132E-2</v>
      </c>
      <c r="Q418">
        <v>4.9532807466387899E-2</v>
      </c>
      <c r="R418">
        <v>0.95859123409273095</v>
      </c>
      <c r="S418" t="s">
        <v>7088</v>
      </c>
      <c r="T418" t="s">
        <v>13338</v>
      </c>
      <c r="U418" t="s">
        <v>13338</v>
      </c>
      <c r="V418" t="s">
        <v>13338</v>
      </c>
      <c r="W418" t="s">
        <v>13751</v>
      </c>
      <c r="X418">
        <v>24</v>
      </c>
      <c r="Y418" t="s">
        <v>20356</v>
      </c>
      <c r="Z418" t="s">
        <v>26833</v>
      </c>
      <c r="AA418">
        <v>0.37861246082374111</v>
      </c>
      <c r="AB418" t="str">
        <f>HYPERLINK("Melting_Curves/meltCurve_E7EN19_MAP4K4.pdf", "Melting_Curves/meltCurve_E7EN19_MAP4K4.pdf")</f>
        <v>Melting_Curves/meltCurve_E7EN19_MAP4K4.pdf</v>
      </c>
    </row>
    <row r="419" spans="1:28" x14ac:dyDescent="0.25">
      <c r="A419" t="s">
        <v>423</v>
      </c>
      <c r="B419">
        <v>0.99193492352474899</v>
      </c>
      <c r="C419">
        <v>0.89769745759193997</v>
      </c>
      <c r="D419">
        <v>0.89571086493790597</v>
      </c>
      <c r="E419">
        <v>0.83822711898267199</v>
      </c>
      <c r="F419">
        <v>0.70758557868752703</v>
      </c>
      <c r="G419">
        <v>0.454717515832819</v>
      </c>
      <c r="H419">
        <v>0.26721377458824802</v>
      </c>
      <c r="I419">
        <v>0.29012349212464</v>
      </c>
      <c r="J419">
        <v>0.28046403627566902</v>
      </c>
      <c r="K419">
        <v>0.35685253283533003</v>
      </c>
      <c r="L419">
        <v>919.50818951660494</v>
      </c>
      <c r="M419">
        <v>17.206957077059101</v>
      </c>
      <c r="N419">
        <v>55.910690632025002</v>
      </c>
      <c r="O419">
        <v>52.732064805612701</v>
      </c>
      <c r="P419">
        <v>-5.9849738637273699E-2</v>
      </c>
      <c r="Q419">
        <v>0.266386414160941</v>
      </c>
      <c r="R419">
        <v>0.96329414218149301</v>
      </c>
      <c r="S419" t="s">
        <v>7089</v>
      </c>
      <c r="T419" t="s">
        <v>13338</v>
      </c>
      <c r="U419" t="s">
        <v>13338</v>
      </c>
      <c r="V419" t="s">
        <v>13338</v>
      </c>
      <c r="W419" t="s">
        <v>13752</v>
      </c>
      <c r="X419">
        <v>5</v>
      </c>
      <c r="Y419" t="s">
        <v>20357</v>
      </c>
      <c r="Z419" t="s">
        <v>26834</v>
      </c>
      <c r="AA419">
        <v>0.60775099741300964</v>
      </c>
      <c r="AB419" t="str">
        <f>HYPERLINK("Melting_Curves/meltCurve_E7EN73_KIAA0319L.pdf", "Melting_Curves/meltCurve_E7EN73_KIAA0319L.pdf")</f>
        <v>Melting_Curves/meltCurve_E7EN73_KIAA0319L.pdf</v>
      </c>
    </row>
    <row r="420" spans="1:28" x14ac:dyDescent="0.25">
      <c r="A420" t="s">
        <v>424</v>
      </c>
      <c r="B420">
        <v>0.99193492352474899</v>
      </c>
      <c r="C420">
        <v>1.01475503182338</v>
      </c>
      <c r="D420">
        <v>0.97781085981890103</v>
      </c>
      <c r="E420">
        <v>0.78448224143281597</v>
      </c>
      <c r="F420">
        <v>0.60097802157955305</v>
      </c>
      <c r="G420">
        <v>0.44964438156944397</v>
      </c>
      <c r="H420">
        <v>0.34158243524161802</v>
      </c>
      <c r="I420">
        <v>0.241274444751721</v>
      </c>
      <c r="J420">
        <v>0.30443709891012399</v>
      </c>
      <c r="K420">
        <v>0.31904650581961902</v>
      </c>
      <c r="L420">
        <v>945.398911559319</v>
      </c>
      <c r="M420">
        <v>18.0046162145929</v>
      </c>
      <c r="N420">
        <v>55.006030688162298</v>
      </c>
      <c r="O420">
        <v>51.8737953339566</v>
      </c>
      <c r="P420">
        <v>-6.2546296344651198E-2</v>
      </c>
      <c r="Q420">
        <v>0.27921740699050002</v>
      </c>
      <c r="R420">
        <v>0.99036995152456297</v>
      </c>
      <c r="S420" t="s">
        <v>7090</v>
      </c>
      <c r="T420" t="s">
        <v>13338</v>
      </c>
      <c r="U420" t="s">
        <v>13338</v>
      </c>
      <c r="V420" t="s">
        <v>13338</v>
      </c>
      <c r="W420" t="s">
        <v>13753</v>
      </c>
      <c r="X420">
        <v>1</v>
      </c>
      <c r="Y420" t="s">
        <v>20358</v>
      </c>
      <c r="Z420" t="s">
        <v>26835</v>
      </c>
      <c r="AA420">
        <v>0.59165144189821872</v>
      </c>
      <c r="AB420" t="str">
        <f>HYPERLINK("Melting_Curves/meltCurve_E7ENA9_NCSTN.pdf", "Melting_Curves/meltCurve_E7ENA9_NCSTN.pdf")</f>
        <v>Melting_Curves/meltCurve_E7ENA9_NCSTN.pdf</v>
      </c>
    </row>
    <row r="421" spans="1:28" x14ac:dyDescent="0.25">
      <c r="A421" t="s">
        <v>425</v>
      </c>
      <c r="B421">
        <v>0.99193492352474899</v>
      </c>
      <c r="C421">
        <v>0.82501688240198001</v>
      </c>
      <c r="D421">
        <v>0.82348776197017604</v>
      </c>
      <c r="E421">
        <v>0.46132125365576199</v>
      </c>
      <c r="F421">
        <v>0.22720314613155099</v>
      </c>
      <c r="G421">
        <v>0.128648863586104</v>
      </c>
      <c r="H421">
        <v>9.1229874446146705E-2</v>
      </c>
      <c r="I421">
        <v>0.122694835083915</v>
      </c>
      <c r="J421">
        <v>0.15354387487104501</v>
      </c>
      <c r="K421">
        <v>0.17277247239914201</v>
      </c>
      <c r="L421">
        <v>980.42733719599505</v>
      </c>
      <c r="M421">
        <v>20.254132656843101</v>
      </c>
      <c r="N421">
        <v>49.071291530577199</v>
      </c>
      <c r="O421">
        <v>47.941822880845898</v>
      </c>
      <c r="P421">
        <v>-9.2945218684761396E-2</v>
      </c>
      <c r="Q421">
        <v>0.120016563944136</v>
      </c>
      <c r="R421">
        <v>0.97977409056037601</v>
      </c>
      <c r="S421" t="s">
        <v>7091</v>
      </c>
      <c r="T421" t="s">
        <v>13338</v>
      </c>
      <c r="U421" t="s">
        <v>13338</v>
      </c>
      <c r="V421" t="s">
        <v>13338</v>
      </c>
      <c r="W421" t="s">
        <v>13754</v>
      </c>
      <c r="X421">
        <v>17</v>
      </c>
      <c r="Y421" t="s">
        <v>20359</v>
      </c>
      <c r="Z421" t="s">
        <v>26836</v>
      </c>
      <c r="AA421">
        <v>0.37868902141309779</v>
      </c>
      <c r="AB421" t="str">
        <f>HYPERLINK("Melting_Curves/meltCurve_E7ENK0_CALCOCO2.pdf", "Melting_Curves/meltCurve_E7ENK0_CALCOCO2.pdf")</f>
        <v>Melting_Curves/meltCurve_E7ENK0_CALCOCO2.pdf</v>
      </c>
    </row>
    <row r="422" spans="1:28" x14ac:dyDescent="0.25">
      <c r="A422" t="s">
        <v>426</v>
      </c>
      <c r="B422">
        <v>0.99193492352474899</v>
      </c>
      <c r="C422">
        <v>0.99893148389439101</v>
      </c>
      <c r="D422">
        <v>0.91658264328027605</v>
      </c>
      <c r="E422">
        <v>0.65214798130573104</v>
      </c>
      <c r="F422">
        <v>0.169439336430804</v>
      </c>
      <c r="G422">
        <v>8.6000506348644798E-2</v>
      </c>
      <c r="H422">
        <v>5.3220252182431801E-2</v>
      </c>
      <c r="I422">
        <v>6.20858198925512E-2</v>
      </c>
      <c r="J422">
        <v>6.2191107522173397E-2</v>
      </c>
      <c r="K422">
        <v>6.0775323302509399E-2</v>
      </c>
      <c r="L422">
        <v>1674.0889706569401</v>
      </c>
      <c r="M422">
        <v>33.290191696946501</v>
      </c>
      <c r="N422">
        <v>50.473163270355002</v>
      </c>
      <c r="O422">
        <v>50.1073235434922</v>
      </c>
      <c r="P422">
        <v>-0.156535871409335</v>
      </c>
      <c r="Q422">
        <v>5.7552888266064597E-2</v>
      </c>
      <c r="R422">
        <v>0.99835971153282599</v>
      </c>
      <c r="S422" t="s">
        <v>7092</v>
      </c>
      <c r="T422" t="s">
        <v>13338</v>
      </c>
      <c r="U422" t="s">
        <v>13338</v>
      </c>
      <c r="V422" t="s">
        <v>13338</v>
      </c>
      <c r="W422" t="s">
        <v>13755</v>
      </c>
      <c r="X422">
        <v>35</v>
      </c>
      <c r="Y422" t="s">
        <v>20360</v>
      </c>
      <c r="Z422" t="s">
        <v>26837</v>
      </c>
      <c r="AA422">
        <v>0.38548851803189182</v>
      </c>
      <c r="AB422" t="str">
        <f>HYPERLINK("Melting_Curves/meltCurve_E7ENR4_HK1.pdf", "Melting_Curves/meltCurve_E7ENR4_HK1.pdf")</f>
        <v>Melting_Curves/meltCurve_E7ENR4_HK1.pdf</v>
      </c>
    </row>
    <row r="423" spans="1:28" x14ac:dyDescent="0.25">
      <c r="A423" t="s">
        <v>427</v>
      </c>
      <c r="B423">
        <v>0.99193492352474899</v>
      </c>
      <c r="C423">
        <v>0.43674400178520301</v>
      </c>
      <c r="D423">
        <v>0.659043386306986</v>
      </c>
      <c r="E423">
        <v>0.21826139672720599</v>
      </c>
      <c r="F423">
        <v>0.15210170703967199</v>
      </c>
      <c r="G423">
        <v>8.3002956420564197E-2</v>
      </c>
      <c r="H423">
        <v>5.3139598385977503E-2</v>
      </c>
      <c r="I423">
        <v>5.3667947099915798E-2</v>
      </c>
      <c r="J423">
        <v>6.9238078674504294E-2</v>
      </c>
      <c r="K423">
        <v>7.1538614124970007E-2</v>
      </c>
      <c r="L423">
        <v>582.72117983126395</v>
      </c>
      <c r="M423">
        <v>12.8832833993931</v>
      </c>
      <c r="N423">
        <v>45.506645344414402</v>
      </c>
      <c r="O423">
        <v>44.182599592216903</v>
      </c>
      <c r="P423">
        <v>-7.0172602664109601E-2</v>
      </c>
      <c r="Q423">
        <v>3.7561591167477398E-2</v>
      </c>
      <c r="R423">
        <v>0.86894308960983502</v>
      </c>
      <c r="S423" t="s">
        <v>7093</v>
      </c>
      <c r="T423" t="s">
        <v>13338</v>
      </c>
      <c r="U423" t="s">
        <v>13338</v>
      </c>
      <c r="V423" t="s">
        <v>13338</v>
      </c>
      <c r="W423" t="s">
        <v>13756</v>
      </c>
      <c r="X423">
        <v>28</v>
      </c>
      <c r="Y423" t="s">
        <v>20361</v>
      </c>
      <c r="Z423" t="s">
        <v>26838</v>
      </c>
      <c r="AA423">
        <v>0.24643572268518191</v>
      </c>
      <c r="AB423" t="str">
        <f>HYPERLINK("Melting_Curves/meltCurve_E7ENU4_ADAR.pdf", "Melting_Curves/meltCurve_E7ENU4_ADAR.pdf")</f>
        <v>Melting_Curves/meltCurve_E7ENU4_ADAR.pdf</v>
      </c>
    </row>
    <row r="424" spans="1:28" x14ac:dyDescent="0.25">
      <c r="A424" t="s">
        <v>428</v>
      </c>
      <c r="B424">
        <v>0.99193492352474899</v>
      </c>
      <c r="C424">
        <v>1.1131145274434799</v>
      </c>
      <c r="D424">
        <v>0.90143495214970204</v>
      </c>
      <c r="E424">
        <v>0.84043558096152304</v>
      </c>
      <c r="F424">
        <v>0.705381105259554</v>
      </c>
      <c r="G424">
        <v>0.42635418904197098</v>
      </c>
      <c r="H424">
        <v>0.21438982433335901</v>
      </c>
      <c r="I424">
        <v>0.176661365680298</v>
      </c>
      <c r="J424">
        <v>0.23142708346037599</v>
      </c>
      <c r="K424">
        <v>0.24044641008548401</v>
      </c>
      <c r="L424">
        <v>1069.5278086092601</v>
      </c>
      <c r="M424">
        <v>19.759419250945001</v>
      </c>
      <c r="N424">
        <v>55.423683420245403</v>
      </c>
      <c r="O424">
        <v>53.5822427231669</v>
      </c>
      <c r="P424">
        <v>-7.5136927621978197E-2</v>
      </c>
      <c r="Q424">
        <v>0.18502308892791999</v>
      </c>
      <c r="R424">
        <v>0.97378380752035298</v>
      </c>
      <c r="S424" t="s">
        <v>7094</v>
      </c>
      <c r="T424" t="s">
        <v>13338</v>
      </c>
      <c r="U424" t="s">
        <v>13338</v>
      </c>
      <c r="V424" t="s">
        <v>13338</v>
      </c>
      <c r="W424" t="s">
        <v>13757</v>
      </c>
      <c r="X424">
        <v>3</v>
      </c>
      <c r="Y424" t="s">
        <v>20362</v>
      </c>
      <c r="Z424" t="s">
        <v>26839</v>
      </c>
      <c r="AA424">
        <v>0.580077577633202</v>
      </c>
      <c r="AB424" t="str">
        <f>HYPERLINK("Melting_Curves/meltCurve_E7ENX6_LRFN4.pdf", "Melting_Curves/meltCurve_E7ENX6_LRFN4.pdf")</f>
        <v>Melting_Curves/meltCurve_E7ENX6_LRFN4.pdf</v>
      </c>
    </row>
    <row r="425" spans="1:28" x14ac:dyDescent="0.25">
      <c r="A425" t="s">
        <v>429</v>
      </c>
      <c r="B425">
        <v>0.99193492352474899</v>
      </c>
      <c r="C425">
        <v>1.18552387888532</v>
      </c>
      <c r="D425">
        <v>0.63685689294547099</v>
      </c>
      <c r="E425">
        <v>0.714682802918303</v>
      </c>
      <c r="F425">
        <v>0.64179920027222603</v>
      </c>
      <c r="G425">
        <v>0.729500766937069</v>
      </c>
      <c r="H425">
        <v>0.52481051170145199</v>
      </c>
      <c r="I425">
        <v>0.67837421375426099</v>
      </c>
      <c r="J425">
        <v>0.50894035179957098</v>
      </c>
      <c r="K425">
        <v>0.94328457248163999</v>
      </c>
      <c r="L425">
        <v>11137.1132888169</v>
      </c>
      <c r="M425">
        <v>250</v>
      </c>
      <c r="O425">
        <v>44.545602469647299</v>
      </c>
      <c r="P425">
        <v>-0.45982508134816402</v>
      </c>
      <c r="Q425">
        <v>0.672269036797292</v>
      </c>
      <c r="R425">
        <v>0.61525816086393104</v>
      </c>
      <c r="S425" t="s">
        <v>7095</v>
      </c>
      <c r="T425" t="s">
        <v>13338</v>
      </c>
      <c r="U425" t="s">
        <v>13338</v>
      </c>
      <c r="V425" t="s">
        <v>13338</v>
      </c>
      <c r="W425" t="s">
        <v>13758</v>
      </c>
      <c r="X425">
        <v>3</v>
      </c>
      <c r="Y425" t="s">
        <v>20363</v>
      </c>
      <c r="Z425" t="s">
        <v>26840</v>
      </c>
      <c r="AA425">
        <v>0.72198362386293802</v>
      </c>
      <c r="AB425" t="str">
        <f>HYPERLINK("Melting_Curves/meltCurve_E7EP72_C19orf25.pdf", "Melting_Curves/meltCurve_E7EP72_C19orf25.pdf")</f>
        <v>Melting_Curves/meltCurve_E7EP72_C19orf25.pdf</v>
      </c>
    </row>
    <row r="426" spans="1:28" x14ac:dyDescent="0.25">
      <c r="A426" t="s">
        <v>430</v>
      </c>
      <c r="B426">
        <v>0.99193492352474899</v>
      </c>
      <c r="C426">
        <v>0.83521623052979699</v>
      </c>
      <c r="D426">
        <v>0.94740897218817299</v>
      </c>
      <c r="E426">
        <v>1.2966633551334901</v>
      </c>
      <c r="F426">
        <v>1.57674453195049</v>
      </c>
      <c r="G426">
        <v>0.59958610663247103</v>
      </c>
      <c r="H426">
        <v>0.17067656554362201</v>
      </c>
      <c r="I426">
        <v>0.118163850019502</v>
      </c>
      <c r="J426">
        <v>0.16407635144616001</v>
      </c>
      <c r="K426">
        <v>9.3877384547408904E-2</v>
      </c>
      <c r="L426">
        <v>14208.2352037372</v>
      </c>
      <c r="M426">
        <v>250</v>
      </c>
      <c r="N426">
        <v>56.9056189265564</v>
      </c>
      <c r="O426">
        <v>56.8293055243495</v>
      </c>
      <c r="P426">
        <v>-0.94944578374264199</v>
      </c>
      <c r="Q426">
        <v>0.13669851355426299</v>
      </c>
      <c r="R426">
        <v>0.82297237867960205</v>
      </c>
      <c r="S426" t="s">
        <v>7096</v>
      </c>
      <c r="T426" t="s">
        <v>13338</v>
      </c>
      <c r="U426" t="s">
        <v>13338</v>
      </c>
      <c r="V426" t="s">
        <v>13338</v>
      </c>
      <c r="W426" t="s">
        <v>13759</v>
      </c>
      <c r="X426">
        <v>3</v>
      </c>
      <c r="Y426" t="s">
        <v>20364</v>
      </c>
      <c r="Z426" t="s">
        <v>26841</v>
      </c>
      <c r="AA426">
        <v>0.62118138093774899</v>
      </c>
      <c r="AB426" t="str">
        <f>HYPERLINK("Melting_Curves/meltCurve_E7EPB3_RPL14.pdf", "Melting_Curves/meltCurve_E7EPB3_RPL14.pdf")</f>
        <v>Melting_Curves/meltCurve_E7EPB3_RPL14.pdf</v>
      </c>
    </row>
    <row r="427" spans="1:28" x14ac:dyDescent="0.25">
      <c r="A427" t="s">
        <v>431</v>
      </c>
      <c r="B427">
        <v>0.99193492352474899</v>
      </c>
      <c r="C427">
        <v>0.97473313422585794</v>
      </c>
      <c r="D427">
        <v>0.85826729670065705</v>
      </c>
      <c r="E427">
        <v>0.516811960889908</v>
      </c>
      <c r="F427">
        <v>0.33071373597335402</v>
      </c>
      <c r="G427">
        <v>0.17867306071001801</v>
      </c>
      <c r="H427">
        <v>0.12015392391555201</v>
      </c>
      <c r="I427">
        <v>0.12626134672613501</v>
      </c>
      <c r="J427">
        <v>0.12895268255435299</v>
      </c>
      <c r="K427">
        <v>0.11778353245907</v>
      </c>
      <c r="L427">
        <v>983.01536605159504</v>
      </c>
      <c r="M427">
        <v>19.855486079707401</v>
      </c>
      <c r="N427">
        <v>50.182226166355598</v>
      </c>
      <c r="O427">
        <v>49.014515492573103</v>
      </c>
      <c r="P427">
        <v>-8.9427638486716393E-2</v>
      </c>
      <c r="Q427">
        <v>0.116998583556746</v>
      </c>
      <c r="R427">
        <v>0.99734349102887199</v>
      </c>
      <c r="S427" t="s">
        <v>7097</v>
      </c>
      <c r="T427" t="s">
        <v>13338</v>
      </c>
      <c r="U427" t="s">
        <v>13338</v>
      </c>
      <c r="V427" t="s">
        <v>13338</v>
      </c>
      <c r="W427" t="s">
        <v>13760</v>
      </c>
      <c r="X427">
        <v>7</v>
      </c>
      <c r="Y427" t="s">
        <v>20365</v>
      </c>
      <c r="Z427" t="s">
        <v>26842</v>
      </c>
      <c r="AA427">
        <v>0.40936655198210131</v>
      </c>
      <c r="AB427" t="str">
        <f>HYPERLINK("Melting_Curves/meltCurve_E7EPD0_TOM1.pdf", "Melting_Curves/meltCurve_E7EPD0_TOM1.pdf")</f>
        <v>Melting_Curves/meltCurve_E7EPD0_TOM1.pdf</v>
      </c>
    </row>
    <row r="428" spans="1:28" x14ac:dyDescent="0.25">
      <c r="A428" t="s">
        <v>432</v>
      </c>
      <c r="B428">
        <v>0.99193492352474899</v>
      </c>
      <c r="C428">
        <v>0.32851116513928302</v>
      </c>
      <c r="D428">
        <v>0.57290468537357597</v>
      </c>
      <c r="E428">
        <v>0.199352667188233</v>
      </c>
      <c r="F428">
        <v>0.173146792079128</v>
      </c>
      <c r="G428">
        <v>0.12708592712164499</v>
      </c>
      <c r="H428">
        <v>0.142017931777601</v>
      </c>
      <c r="I428">
        <v>0.120907522262007</v>
      </c>
      <c r="J428">
        <v>0.110262185304041</v>
      </c>
      <c r="K428">
        <v>0.18911683698985499</v>
      </c>
      <c r="L428">
        <v>710.89730563284002</v>
      </c>
      <c r="M428">
        <v>16.4635859250665</v>
      </c>
      <c r="N428">
        <v>44.0461345910484</v>
      </c>
      <c r="O428">
        <v>42.557994390152402</v>
      </c>
      <c r="P428">
        <v>-8.33446072592441E-2</v>
      </c>
      <c r="Q428">
        <v>0.13828474637115701</v>
      </c>
      <c r="R428">
        <v>0.79369788583977696</v>
      </c>
      <c r="S428" t="s">
        <v>7098</v>
      </c>
      <c r="T428" t="s">
        <v>13338</v>
      </c>
      <c r="U428" t="s">
        <v>13338</v>
      </c>
      <c r="V428" t="s">
        <v>13338</v>
      </c>
      <c r="W428" t="s">
        <v>13761</v>
      </c>
      <c r="X428">
        <v>2</v>
      </c>
      <c r="Y428" t="s">
        <v>20366</v>
      </c>
      <c r="Z428" t="s">
        <v>26843</v>
      </c>
      <c r="AA428">
        <v>0.25897094366176648</v>
      </c>
      <c r="AB428" t="str">
        <f>HYPERLINK("Melting_Curves/meltCurve_E7EPF0_ZCCHC17.pdf", "Melting_Curves/meltCurve_E7EPF0_ZCCHC17.pdf")</f>
        <v>Melting_Curves/meltCurve_E7EPF0_ZCCHC17.pdf</v>
      </c>
    </row>
    <row r="429" spans="1:28" x14ac:dyDescent="0.25">
      <c r="A429" t="s">
        <v>433</v>
      </c>
      <c r="B429">
        <v>0.99193492352474899</v>
      </c>
      <c r="C429">
        <v>0.96231132896850202</v>
      </c>
      <c r="D429">
        <v>0.69521958387898897</v>
      </c>
      <c r="E429">
        <v>0.25171177549616403</v>
      </c>
      <c r="F429">
        <v>0.255622367417084</v>
      </c>
      <c r="G429">
        <v>0.138376486861777</v>
      </c>
      <c r="H429">
        <v>7.6067095587671399E-2</v>
      </c>
      <c r="I429">
        <v>8.6908076368834297E-2</v>
      </c>
      <c r="J429">
        <v>9.95559561315284E-2</v>
      </c>
      <c r="K429">
        <v>7.9278422548290303E-2</v>
      </c>
      <c r="L429">
        <v>1234.78608293873</v>
      </c>
      <c r="M429">
        <v>26.205660800174901</v>
      </c>
      <c r="N429">
        <v>47.555965814762601</v>
      </c>
      <c r="O429">
        <v>46.847229544563703</v>
      </c>
      <c r="P429">
        <v>-0.12488652154492701</v>
      </c>
      <c r="Q429">
        <v>0.106983196590864</v>
      </c>
      <c r="R429">
        <v>0.986556594814885</v>
      </c>
      <c r="S429" t="s">
        <v>7099</v>
      </c>
      <c r="T429" t="s">
        <v>13338</v>
      </c>
      <c r="U429" t="s">
        <v>13338</v>
      </c>
      <c r="V429" t="s">
        <v>13338</v>
      </c>
      <c r="W429" t="s">
        <v>13762</v>
      </c>
      <c r="X429">
        <v>9</v>
      </c>
      <c r="Y429" t="s">
        <v>20367</v>
      </c>
      <c r="Z429" t="s">
        <v>26844</v>
      </c>
      <c r="AA429">
        <v>0.32607393946782431</v>
      </c>
      <c r="AB429" t="str">
        <f>HYPERLINK("Melting_Curves/meltCurve_E7EPL4_PDXDC1.pdf", "Melting_Curves/meltCurve_E7EPL4_PDXDC1.pdf")</f>
        <v>Melting_Curves/meltCurve_E7EPL4_PDXDC1.pdf</v>
      </c>
    </row>
    <row r="430" spans="1:28" x14ac:dyDescent="0.25">
      <c r="A430" t="s">
        <v>434</v>
      </c>
      <c r="B430">
        <v>0.99193492352474899</v>
      </c>
      <c r="C430">
        <v>0.85156122131731204</v>
      </c>
      <c r="D430">
        <v>0.77834140374491401</v>
      </c>
      <c r="E430">
        <v>0.75499001484323702</v>
      </c>
      <c r="F430">
        <v>0.40764211697661701</v>
      </c>
      <c r="G430">
        <v>0.183419170126776</v>
      </c>
      <c r="H430">
        <v>0.102275763766195</v>
      </c>
      <c r="I430">
        <v>7.9023336478573902E-2</v>
      </c>
      <c r="J430">
        <v>8.8986303928785801E-2</v>
      </c>
      <c r="K430">
        <v>7.0049907242482307E-2</v>
      </c>
      <c r="L430">
        <v>703.28681648455699</v>
      </c>
      <c r="M430">
        <v>13.621050992970799</v>
      </c>
      <c r="N430">
        <v>51.780095073687797</v>
      </c>
      <c r="O430">
        <v>50.5575903584635</v>
      </c>
      <c r="P430">
        <v>-6.6080073375198195E-2</v>
      </c>
      <c r="Q430">
        <v>1.90603239260668E-2</v>
      </c>
      <c r="R430">
        <v>0.97562519274947301</v>
      </c>
      <c r="S430" t="s">
        <v>7100</v>
      </c>
      <c r="T430" t="s">
        <v>13338</v>
      </c>
      <c r="U430" t="s">
        <v>13338</v>
      </c>
      <c r="V430" t="s">
        <v>13338</v>
      </c>
      <c r="W430" t="s">
        <v>13763</v>
      </c>
      <c r="X430">
        <v>10</v>
      </c>
      <c r="Y430" t="s">
        <v>20368</v>
      </c>
      <c r="Z430" t="s">
        <v>26845</v>
      </c>
      <c r="AA430">
        <v>0.42514214001189032</v>
      </c>
      <c r="AB430" t="str">
        <f>HYPERLINK("Melting_Curves/meltCurve_E7EPT4_NDUFV2.pdf", "Melting_Curves/meltCurve_E7EPT4_NDUFV2.pdf")</f>
        <v>Melting_Curves/meltCurve_E7EPT4_NDUFV2.pdf</v>
      </c>
    </row>
    <row r="431" spans="1:28" x14ac:dyDescent="0.25">
      <c r="A431" t="s">
        <v>435</v>
      </c>
      <c r="B431">
        <v>0.99193492352474899</v>
      </c>
      <c r="C431">
        <v>0.79446481146912595</v>
      </c>
      <c r="D431">
        <v>0.81056152704445805</v>
      </c>
      <c r="E431">
        <v>0.44976622593981702</v>
      </c>
      <c r="F431">
        <v>0.19740868032759001</v>
      </c>
      <c r="G431">
        <v>0.105365695893275</v>
      </c>
      <c r="H431">
        <v>7.4156469111725007E-2</v>
      </c>
      <c r="I431">
        <v>8.4846174003323699E-2</v>
      </c>
      <c r="J431">
        <v>0.11286819965172699</v>
      </c>
      <c r="K431">
        <v>9.8351913948595299E-2</v>
      </c>
      <c r="L431">
        <v>883.61956359684405</v>
      </c>
      <c r="M431">
        <v>18.237985586438199</v>
      </c>
      <c r="N431">
        <v>48.873347154932802</v>
      </c>
      <c r="O431">
        <v>47.8781897778006</v>
      </c>
      <c r="P431">
        <v>-8.8268097017253994E-2</v>
      </c>
      <c r="Q431">
        <v>7.3161122614339796E-2</v>
      </c>
      <c r="R431">
        <v>0.97975583012059198</v>
      </c>
      <c r="S431" t="s">
        <v>7101</v>
      </c>
      <c r="T431" t="s">
        <v>13338</v>
      </c>
      <c r="U431" t="s">
        <v>13338</v>
      </c>
      <c r="V431" t="s">
        <v>13338</v>
      </c>
      <c r="W431" t="s">
        <v>13764</v>
      </c>
      <c r="X431">
        <v>6</v>
      </c>
      <c r="Y431" t="s">
        <v>20369</v>
      </c>
      <c r="Z431" t="s">
        <v>26846</v>
      </c>
      <c r="AA431">
        <v>0.35001542041115541</v>
      </c>
      <c r="AB431" t="str">
        <f>HYPERLINK("Melting_Curves/meltCurve_E7EQ45_AP5M1.pdf", "Melting_Curves/meltCurve_E7EQ45_AP5M1.pdf")</f>
        <v>Melting_Curves/meltCurve_E7EQ45_AP5M1.pdf</v>
      </c>
    </row>
    <row r="432" spans="1:28" x14ac:dyDescent="0.25">
      <c r="A432" t="s">
        <v>436</v>
      </c>
      <c r="B432">
        <v>0.99193492352474899</v>
      </c>
      <c r="C432">
        <v>0.85300177202083904</v>
      </c>
      <c r="D432">
        <v>0.99649801258730297</v>
      </c>
      <c r="E432">
        <v>0.77596766180994903</v>
      </c>
      <c r="F432">
        <v>0.70108075540070602</v>
      </c>
      <c r="G432">
        <v>0.27038440238913403</v>
      </c>
      <c r="H432">
        <v>9.9215578425749906E-2</v>
      </c>
      <c r="I432">
        <v>0.113610229575508</v>
      </c>
      <c r="J432">
        <v>0.12889614908775801</v>
      </c>
      <c r="K432">
        <v>0.16558787054167201</v>
      </c>
      <c r="L432">
        <v>1199.47185797106</v>
      </c>
      <c r="M432">
        <v>22.3029377328977</v>
      </c>
      <c r="N432">
        <v>54.331021385634898</v>
      </c>
      <c r="O432">
        <v>53.354121705745101</v>
      </c>
      <c r="P432">
        <v>-9.3943733052453196E-2</v>
      </c>
      <c r="Q432">
        <v>0.101072802773297</v>
      </c>
      <c r="R432">
        <v>0.96177983445652704</v>
      </c>
      <c r="S432" t="s">
        <v>7102</v>
      </c>
      <c r="T432" t="s">
        <v>13338</v>
      </c>
      <c r="U432" t="s">
        <v>13338</v>
      </c>
      <c r="V432" t="s">
        <v>13338</v>
      </c>
      <c r="W432" t="s">
        <v>13765</v>
      </c>
      <c r="X432">
        <v>17</v>
      </c>
      <c r="Y432" t="s">
        <v>20370</v>
      </c>
      <c r="Z432" t="s">
        <v>26847</v>
      </c>
      <c r="AA432">
        <v>0.52420357597706735</v>
      </c>
      <c r="AB432" t="str">
        <f>HYPERLINK("Melting_Curves/meltCurve_E7EQ69_NAA50.pdf", "Melting_Curves/meltCurve_E7EQ69_NAA50.pdf")</f>
        <v>Melting_Curves/meltCurve_E7EQ69_NAA50.pdf</v>
      </c>
    </row>
    <row r="433" spans="1:28" x14ac:dyDescent="0.25">
      <c r="A433" t="s">
        <v>437</v>
      </c>
      <c r="B433">
        <v>0.99193492352474899</v>
      </c>
      <c r="C433">
        <v>1.2151611199839301</v>
      </c>
      <c r="D433">
        <v>1.04086309245415</v>
      </c>
      <c r="E433">
        <v>1.0266809235235199</v>
      </c>
      <c r="F433">
        <v>0.91897212977812204</v>
      </c>
      <c r="G433">
        <v>0.61593116980490803</v>
      </c>
      <c r="H433">
        <v>0.547962522762239</v>
      </c>
      <c r="I433">
        <v>0.50090969100457094</v>
      </c>
      <c r="J433">
        <v>0.65546262097877905</v>
      </c>
      <c r="K433">
        <v>0.84029901033579801</v>
      </c>
      <c r="L433">
        <v>13367.2553114815</v>
      </c>
      <c r="M433">
        <v>250</v>
      </c>
      <c r="O433">
        <v>53.465599609594598</v>
      </c>
      <c r="P433">
        <v>-0.43005108524969499</v>
      </c>
      <c r="Q433">
        <v>0.63211297444259296</v>
      </c>
      <c r="R433">
        <v>0.77872132763051505</v>
      </c>
      <c r="S433" t="s">
        <v>7103</v>
      </c>
      <c r="T433" t="s">
        <v>13338</v>
      </c>
      <c r="U433" t="s">
        <v>13338</v>
      </c>
      <c r="V433" t="s">
        <v>13338</v>
      </c>
      <c r="W433" t="s">
        <v>13766</v>
      </c>
      <c r="X433">
        <v>8</v>
      </c>
      <c r="Y433" t="s">
        <v>20371</v>
      </c>
      <c r="Z433" t="s">
        <v>26848</v>
      </c>
      <c r="AA433">
        <v>0.79731676807893004</v>
      </c>
      <c r="AB433" t="str">
        <f>HYPERLINK("Melting_Curves/meltCurve_E7EQB2_LTF.pdf", "Melting_Curves/meltCurve_E7EQB2_LTF.pdf")</f>
        <v>Melting_Curves/meltCurve_E7EQB2_LTF.pdf</v>
      </c>
    </row>
    <row r="434" spans="1:28" x14ac:dyDescent="0.25">
      <c r="A434" t="s">
        <v>438</v>
      </c>
      <c r="B434">
        <v>0.99193492352474899</v>
      </c>
      <c r="C434">
        <v>0.69424965546330797</v>
      </c>
      <c r="D434">
        <v>0.85576496261018298</v>
      </c>
      <c r="E434">
        <v>0.39225766002215501</v>
      </c>
      <c r="F434">
        <v>7.29271387660443E-2</v>
      </c>
      <c r="G434">
        <v>3.2750150638784899E-2</v>
      </c>
      <c r="H434">
        <v>2.1372884842231599E-2</v>
      </c>
      <c r="I434">
        <v>2.36341541276507E-2</v>
      </c>
      <c r="J434">
        <v>3.7684716816745997E-2</v>
      </c>
      <c r="K434">
        <v>1.11508890957785E-2</v>
      </c>
      <c r="L434">
        <v>953.11679529946196</v>
      </c>
      <c r="M434">
        <v>19.692877200293101</v>
      </c>
      <c r="N434">
        <v>48.400862133652303</v>
      </c>
      <c r="O434">
        <v>47.908273108429</v>
      </c>
      <c r="P434">
        <v>-0.10272936207583799</v>
      </c>
      <c r="Q434">
        <v>3.6627782012921799E-4</v>
      </c>
      <c r="R434">
        <v>0.945622016483042</v>
      </c>
      <c r="S434" t="s">
        <v>7104</v>
      </c>
      <c r="T434" t="s">
        <v>13338</v>
      </c>
      <c r="U434" t="s">
        <v>13338</v>
      </c>
      <c r="V434" t="s">
        <v>13338</v>
      </c>
      <c r="W434" t="s">
        <v>13767</v>
      </c>
      <c r="X434">
        <v>2</v>
      </c>
      <c r="Y434" t="s">
        <v>20372</v>
      </c>
      <c r="Z434" t="s">
        <v>26849</v>
      </c>
      <c r="AA434">
        <v>0.29479964278505932</v>
      </c>
      <c r="AB434" t="str">
        <f>HYPERLINK("Melting_Curves/meltCurve_E7EQN6_SENP6.pdf", "Melting_Curves/meltCurve_E7EQN6_SENP6.pdf")</f>
        <v>Melting_Curves/meltCurve_E7EQN6_SENP6.pdf</v>
      </c>
    </row>
    <row r="435" spans="1:28" x14ac:dyDescent="0.25">
      <c r="A435" t="s">
        <v>439</v>
      </c>
      <c r="B435">
        <v>0.99193492352474899</v>
      </c>
      <c r="C435">
        <v>0.93268812613249097</v>
      </c>
      <c r="D435">
        <v>0.966698860770971</v>
      </c>
      <c r="E435">
        <v>0.71698386375232004</v>
      </c>
      <c r="F435">
        <v>0.64254371142898103</v>
      </c>
      <c r="G435">
        <v>0.50495726709962996</v>
      </c>
      <c r="H435">
        <v>0.27564372588031599</v>
      </c>
      <c r="I435">
        <v>0.16996492101169899</v>
      </c>
      <c r="J435">
        <v>0.17202426822186201</v>
      </c>
      <c r="K435">
        <v>0.117269075724312</v>
      </c>
      <c r="L435">
        <v>582.55360145390205</v>
      </c>
      <c r="M435">
        <v>10.4293427306197</v>
      </c>
      <c r="N435">
        <v>55.8625001185451</v>
      </c>
      <c r="O435">
        <v>53.920687828991397</v>
      </c>
      <c r="P435">
        <v>-4.8350974857706397E-2</v>
      </c>
      <c r="Q435">
        <v>4.9740734712120803E-4</v>
      </c>
      <c r="R435">
        <v>0.98621096817486598</v>
      </c>
      <c r="S435" t="s">
        <v>7105</v>
      </c>
      <c r="T435" t="s">
        <v>13338</v>
      </c>
      <c r="U435" t="s">
        <v>13338</v>
      </c>
      <c r="V435" t="s">
        <v>13338</v>
      </c>
      <c r="W435" t="s">
        <v>13768</v>
      </c>
      <c r="X435">
        <v>3</v>
      </c>
      <c r="Y435" t="s">
        <v>20373</v>
      </c>
      <c r="Z435" t="s">
        <v>26850</v>
      </c>
      <c r="AA435">
        <v>0.55051655686790635</v>
      </c>
      <c r="AB435" t="str">
        <f>HYPERLINK("Melting_Curves/meltCurve_E7EQR8_YIPF3.pdf", "Melting_Curves/meltCurve_E7EQR8_YIPF3.pdf")</f>
        <v>Melting_Curves/meltCurve_E7EQR8_YIPF3.pdf</v>
      </c>
    </row>
    <row r="436" spans="1:28" x14ac:dyDescent="0.25">
      <c r="A436" t="s">
        <v>440</v>
      </c>
      <c r="B436">
        <v>0.99193492352474899</v>
      </c>
      <c r="C436">
        <v>0.67702256351096302</v>
      </c>
      <c r="D436">
        <v>0.83827650264779296</v>
      </c>
      <c r="E436">
        <v>0.56503430800717602</v>
      </c>
      <c r="F436">
        <v>0.25846169388471102</v>
      </c>
      <c r="G436">
        <v>0.17259958507715301</v>
      </c>
      <c r="H436">
        <v>0.15243527245185701</v>
      </c>
      <c r="I436">
        <v>0.24883658156274399</v>
      </c>
      <c r="J436">
        <v>0.309124754819599</v>
      </c>
      <c r="K436">
        <v>0.45979377285022999</v>
      </c>
      <c r="L436">
        <v>805.24491985087298</v>
      </c>
      <c r="M436">
        <v>17.002060263015</v>
      </c>
      <c r="N436">
        <v>49.400777604086699</v>
      </c>
      <c r="O436">
        <v>46.7209504626884</v>
      </c>
      <c r="P436">
        <v>-6.8040426883009E-2</v>
      </c>
      <c r="Q436">
        <v>0.25215693917332699</v>
      </c>
      <c r="R436">
        <v>0.80699716466226101</v>
      </c>
      <c r="S436" t="s">
        <v>7106</v>
      </c>
      <c r="T436" t="s">
        <v>13338</v>
      </c>
      <c r="U436" t="s">
        <v>13338</v>
      </c>
      <c r="V436" t="s">
        <v>13338</v>
      </c>
      <c r="W436" t="s">
        <v>13769</v>
      </c>
      <c r="X436">
        <v>40</v>
      </c>
      <c r="Y436" t="s">
        <v>20374</v>
      </c>
      <c r="Z436" t="s">
        <v>26851</v>
      </c>
      <c r="AA436">
        <v>0.45099731683402339</v>
      </c>
      <c r="AB436" t="str">
        <f>HYPERLINK("Melting_Curves/meltCurve_E7EQT4_ACIN1.pdf", "Melting_Curves/meltCurve_E7EQT4_ACIN1.pdf")</f>
        <v>Melting_Curves/meltCurve_E7EQT4_ACIN1.pdf</v>
      </c>
    </row>
    <row r="437" spans="1:28" x14ac:dyDescent="0.25">
      <c r="A437" t="s">
        <v>441</v>
      </c>
      <c r="B437">
        <v>0.99193492352474899</v>
      </c>
      <c r="C437">
        <v>0.94801579050675999</v>
      </c>
      <c r="D437">
        <v>0.86182908276037395</v>
      </c>
      <c r="E437">
        <v>1.22107453640022</v>
      </c>
      <c r="F437">
        <v>1.29051954265275</v>
      </c>
      <c r="G437">
        <v>0.98592884060908004</v>
      </c>
      <c r="H437">
        <v>0.440056857486537</v>
      </c>
      <c r="I437">
        <v>0.33866550678837598</v>
      </c>
      <c r="J437">
        <v>0.35764012343046703</v>
      </c>
      <c r="K437">
        <v>0.38074807209102302</v>
      </c>
      <c r="L437">
        <v>5174.9642750943103</v>
      </c>
      <c r="M437">
        <v>87.055749563198205</v>
      </c>
      <c r="N437">
        <v>60.320370970785298</v>
      </c>
      <c r="O437">
        <v>59.412909348678497</v>
      </c>
      <c r="P437">
        <v>-0.23488240404876801</v>
      </c>
      <c r="Q437">
        <v>0.35879958518467597</v>
      </c>
      <c r="R437">
        <v>0.87262549816110202</v>
      </c>
      <c r="S437" t="s">
        <v>7107</v>
      </c>
      <c r="T437" t="s">
        <v>13338</v>
      </c>
      <c r="U437" t="s">
        <v>13338</v>
      </c>
      <c r="V437" t="s">
        <v>13338</v>
      </c>
      <c r="W437" t="s">
        <v>13770</v>
      </c>
      <c r="X437">
        <v>3</v>
      </c>
      <c r="Y437" t="s">
        <v>20375</v>
      </c>
      <c r="Z437" t="s">
        <v>26852</v>
      </c>
      <c r="AA437">
        <v>0.77494091618385208</v>
      </c>
      <c r="AB437" t="str">
        <f>HYPERLINK("Melting_Curves/meltCurve_E7EQV9_RPL15.pdf", "Melting_Curves/meltCurve_E7EQV9_RPL15.pdf")</f>
        <v>Melting_Curves/meltCurve_E7EQV9_RPL15.pdf</v>
      </c>
    </row>
    <row r="438" spans="1:28" x14ac:dyDescent="0.25">
      <c r="A438" t="s">
        <v>442</v>
      </c>
      <c r="B438">
        <v>0.99193492352474899</v>
      </c>
      <c r="C438">
        <v>0.94014669108530602</v>
      </c>
      <c r="D438">
        <v>0.694231920290865</v>
      </c>
      <c r="E438">
        <v>0.62128742155505201</v>
      </c>
      <c r="F438">
        <v>0.21862786487296901</v>
      </c>
      <c r="G438">
        <v>0.153297668735003</v>
      </c>
      <c r="H438">
        <v>0.119526431389543</v>
      </c>
      <c r="I438">
        <v>0.138779493060498</v>
      </c>
      <c r="J438">
        <v>0.17564521253839999</v>
      </c>
      <c r="K438">
        <v>0.14164013140933901</v>
      </c>
      <c r="L438">
        <v>858.21284258966296</v>
      </c>
      <c r="M438">
        <v>17.561240721285099</v>
      </c>
      <c r="N438">
        <v>49.643293696559901</v>
      </c>
      <c r="O438">
        <v>48.249228596265098</v>
      </c>
      <c r="P438">
        <v>-8.0104764417496102E-2</v>
      </c>
      <c r="Q438">
        <v>0.11970157562203999</v>
      </c>
      <c r="R438">
        <v>0.97242573213778505</v>
      </c>
      <c r="S438" t="s">
        <v>7108</v>
      </c>
      <c r="T438" t="s">
        <v>13338</v>
      </c>
      <c r="U438" t="s">
        <v>13338</v>
      </c>
      <c r="V438" t="s">
        <v>13338</v>
      </c>
      <c r="W438" t="s">
        <v>13771</v>
      </c>
      <c r="X438">
        <v>2</v>
      </c>
      <c r="Y438" t="s">
        <v>20376</v>
      </c>
      <c r="Z438" t="s">
        <v>26853</v>
      </c>
      <c r="AA438">
        <v>0.39602784180224587</v>
      </c>
      <c r="AB438" t="str">
        <f>HYPERLINK("Melting_Curves/meltCurve_E7EQZ4_SMN1.pdf", "Melting_Curves/meltCurve_E7EQZ4_SMN1.pdf")</f>
        <v>Melting_Curves/meltCurve_E7EQZ4_SMN1.pdf</v>
      </c>
    </row>
    <row r="439" spans="1:28" x14ac:dyDescent="0.25">
      <c r="A439" t="s">
        <v>443</v>
      </c>
      <c r="B439">
        <v>0.99193492352474899</v>
      </c>
      <c r="C439">
        <v>1.13470452236479</v>
      </c>
      <c r="D439">
        <v>1.0803555895463499</v>
      </c>
      <c r="E439">
        <v>1.0156781688938401</v>
      </c>
      <c r="F439">
        <v>0.67931574017083896</v>
      </c>
      <c r="G439">
        <v>0.228114360739675</v>
      </c>
      <c r="H439">
        <v>6.8133121802893604E-2</v>
      </c>
      <c r="I439">
        <v>7.2846841703382806E-2</v>
      </c>
      <c r="J439">
        <v>8.3129256947498703E-2</v>
      </c>
      <c r="K439">
        <v>9.4659928847855304E-2</v>
      </c>
      <c r="L439">
        <v>2091.6978739106598</v>
      </c>
      <c r="M439">
        <v>38.622811516643701</v>
      </c>
      <c r="N439">
        <v>54.398464277675302</v>
      </c>
      <c r="O439">
        <v>54.012485854183801</v>
      </c>
      <c r="P439">
        <v>-0.16468868353334301</v>
      </c>
      <c r="Q439">
        <v>7.8759584602406105E-2</v>
      </c>
      <c r="R439">
        <v>0.98628293032126302</v>
      </c>
      <c r="S439" t="s">
        <v>7109</v>
      </c>
      <c r="T439" t="s">
        <v>13338</v>
      </c>
      <c r="U439" t="s">
        <v>13338</v>
      </c>
      <c r="V439" t="s">
        <v>13338</v>
      </c>
      <c r="W439" t="s">
        <v>13772</v>
      </c>
      <c r="X439">
        <v>12</v>
      </c>
      <c r="Y439" t="s">
        <v>20377</v>
      </c>
      <c r="Z439" t="s">
        <v>26854</v>
      </c>
      <c r="AA439">
        <v>0.51718485675337189</v>
      </c>
      <c r="AB439" t="str">
        <f>HYPERLINK("Melting_Curves/meltCurve_E7ERC6_ATP2C1.pdf", "Melting_Curves/meltCurve_E7ERC6_ATP2C1.pdf")</f>
        <v>Melting_Curves/meltCurve_E7ERC6_ATP2C1.pdf</v>
      </c>
    </row>
    <row r="440" spans="1:28" x14ac:dyDescent="0.25">
      <c r="A440" t="s">
        <v>444</v>
      </c>
      <c r="B440">
        <v>0.99193492352474899</v>
      </c>
      <c r="C440">
        <v>1.1096345081452801</v>
      </c>
      <c r="D440">
        <v>0.95124929034852701</v>
      </c>
      <c r="E440">
        <v>0.702962358138286</v>
      </c>
      <c r="F440">
        <v>0.50293539013636401</v>
      </c>
      <c r="G440">
        <v>0.314723351706229</v>
      </c>
      <c r="H440">
        <v>0.15050247918812601</v>
      </c>
      <c r="I440">
        <v>0.21405803972971499</v>
      </c>
      <c r="J440">
        <v>0.16965813596875801</v>
      </c>
      <c r="K440">
        <v>0.28007714115990401</v>
      </c>
      <c r="L440">
        <v>1088.6873752940701</v>
      </c>
      <c r="M440">
        <v>21.158718790446699</v>
      </c>
      <c r="N440">
        <v>52.718026368917101</v>
      </c>
      <c r="O440">
        <v>51.000379750641699</v>
      </c>
      <c r="P440">
        <v>-8.3078090217635597E-2</v>
      </c>
      <c r="Q440">
        <v>0.199024536846925</v>
      </c>
      <c r="R440">
        <v>0.97390595698106497</v>
      </c>
      <c r="S440" t="s">
        <v>7110</v>
      </c>
      <c r="T440" t="s">
        <v>13338</v>
      </c>
      <c r="U440" t="s">
        <v>13338</v>
      </c>
      <c r="V440" t="s">
        <v>13338</v>
      </c>
      <c r="W440" t="s">
        <v>13773</v>
      </c>
      <c r="X440">
        <v>1</v>
      </c>
      <c r="Y440" t="s">
        <v>20378</v>
      </c>
      <c r="Z440" t="s">
        <v>26855</v>
      </c>
      <c r="AA440">
        <v>0.51482467381549457</v>
      </c>
      <c r="AB440" t="str">
        <f>HYPERLINK("Melting_Curves/meltCurve_E7ERR0_KLHDC3.pdf", "Melting_Curves/meltCurve_E7ERR0_KLHDC3.pdf")</f>
        <v>Melting_Curves/meltCurve_E7ERR0_KLHDC3.pdf</v>
      </c>
    </row>
    <row r="441" spans="1:28" x14ac:dyDescent="0.25">
      <c r="A441" t="s">
        <v>445</v>
      </c>
      <c r="B441">
        <v>0.99193492352474899</v>
      </c>
      <c r="C441">
        <v>0.95293650889920001</v>
      </c>
      <c r="D441">
        <v>0.97199937731014197</v>
      </c>
      <c r="E441">
        <v>0.81072952888966698</v>
      </c>
      <c r="F441">
        <v>0.67789095014154399</v>
      </c>
      <c r="G441">
        <v>0.53605886561190097</v>
      </c>
      <c r="H441">
        <v>0.651303417629024</v>
      </c>
      <c r="I441">
        <v>0.83485278644958005</v>
      </c>
      <c r="J441">
        <v>1.06535966269163</v>
      </c>
      <c r="K441">
        <v>1.2315176014165601</v>
      </c>
      <c r="L441">
        <v>11574.7911206521</v>
      </c>
      <c r="M441">
        <v>250</v>
      </c>
      <c r="O441">
        <v>46.296196906016597</v>
      </c>
      <c r="P441">
        <v>-0.22994157221945399</v>
      </c>
      <c r="Q441">
        <v>0.82967325787373702</v>
      </c>
      <c r="R441">
        <v>0.102484849255377</v>
      </c>
      <c r="S441" t="s">
        <v>7111</v>
      </c>
      <c r="T441" t="s">
        <v>13338</v>
      </c>
      <c r="U441" t="s">
        <v>13338</v>
      </c>
      <c r="V441" t="s">
        <v>13338</v>
      </c>
      <c r="W441" t="s">
        <v>13774</v>
      </c>
      <c r="X441">
        <v>13</v>
      </c>
      <c r="Y441" t="s">
        <v>20379</v>
      </c>
      <c r="Z441" t="s">
        <v>26856</v>
      </c>
      <c r="AA441">
        <v>0.86545096980417491</v>
      </c>
      <c r="AB441" t="str">
        <f>HYPERLINK("Melting_Curves/meltCurve_E7ERS3_ZC3H18.pdf", "Melting_Curves/meltCurve_E7ERS3_ZC3H18.pdf")</f>
        <v>Melting_Curves/meltCurve_E7ERS3_ZC3H18.pdf</v>
      </c>
    </row>
    <row r="442" spans="1:28" x14ac:dyDescent="0.25">
      <c r="A442" t="s">
        <v>446</v>
      </c>
      <c r="B442">
        <v>0.99193492352474899</v>
      </c>
      <c r="C442">
        <v>0.85500961766153205</v>
      </c>
      <c r="D442">
        <v>0.874673375049553</v>
      </c>
      <c r="E442">
        <v>0.57394181382444298</v>
      </c>
      <c r="F442">
        <v>0.59103679939260301</v>
      </c>
      <c r="G442">
        <v>0.85590273272700101</v>
      </c>
      <c r="H442">
        <v>0.29898682636337398</v>
      </c>
      <c r="I442">
        <v>0.28810571035732302</v>
      </c>
      <c r="J442">
        <v>0.66403176914280604</v>
      </c>
      <c r="K442">
        <v>0.79474921410171895</v>
      </c>
      <c r="L442">
        <v>858.83797263942802</v>
      </c>
      <c r="M442">
        <v>18.572924872038602</v>
      </c>
      <c r="O442">
        <v>45.715329117283801</v>
      </c>
      <c r="P442">
        <v>-4.4176009300191901E-2</v>
      </c>
      <c r="Q442">
        <v>0.56508029652458902</v>
      </c>
      <c r="R442">
        <v>0.41493607020913298</v>
      </c>
      <c r="S442" t="s">
        <v>7112</v>
      </c>
      <c r="T442" t="s">
        <v>13338</v>
      </c>
      <c r="U442" t="s">
        <v>13338</v>
      </c>
      <c r="V442" t="s">
        <v>13338</v>
      </c>
      <c r="W442" t="s">
        <v>13775</v>
      </c>
      <c r="X442">
        <v>2</v>
      </c>
      <c r="Y442" t="s">
        <v>20380</v>
      </c>
      <c r="Z442" t="s">
        <v>26857</v>
      </c>
      <c r="AA442">
        <v>0.66338539420042608</v>
      </c>
      <c r="AB442" t="str">
        <f>HYPERLINK("Melting_Curves/meltCurve_E7ERU0_DST.pdf", "Melting_Curves/meltCurve_E7ERU0_DST.pdf")</f>
        <v>Melting_Curves/meltCurve_E7ERU0_DST.pdf</v>
      </c>
    </row>
    <row r="443" spans="1:28" x14ac:dyDescent="0.25">
      <c r="A443" t="s">
        <v>447</v>
      </c>
      <c r="B443">
        <v>0.99193492352474899</v>
      </c>
      <c r="C443">
        <v>0.96795283185907799</v>
      </c>
      <c r="D443">
        <v>0.88659370897323297</v>
      </c>
      <c r="E443">
        <v>0.60813667646184799</v>
      </c>
      <c r="F443">
        <v>0.20734858312450999</v>
      </c>
      <c r="G443">
        <v>0.113578947334718</v>
      </c>
      <c r="H443">
        <v>7.7992232312911705E-2</v>
      </c>
      <c r="I443">
        <v>9.3257538274943097E-2</v>
      </c>
      <c r="J443">
        <v>0.110146697800049</v>
      </c>
      <c r="K443">
        <v>0.12877051804828901</v>
      </c>
      <c r="L443">
        <v>1394.3636143157401</v>
      </c>
      <c r="M443">
        <v>27.9560900083262</v>
      </c>
      <c r="N443">
        <v>50.256539751421101</v>
      </c>
      <c r="O443">
        <v>49.623805738636598</v>
      </c>
      <c r="P443">
        <v>-0.127436322432781</v>
      </c>
      <c r="Q443">
        <v>9.5178176122752894E-2</v>
      </c>
      <c r="R443">
        <v>0.99656081610761904</v>
      </c>
      <c r="S443" t="s">
        <v>7113</v>
      </c>
      <c r="T443" t="s">
        <v>13338</v>
      </c>
      <c r="U443" t="s">
        <v>13338</v>
      </c>
      <c r="V443" t="s">
        <v>13338</v>
      </c>
      <c r="W443" t="s">
        <v>13776</v>
      </c>
      <c r="X443">
        <v>41</v>
      </c>
      <c r="Y443" t="s">
        <v>20381</v>
      </c>
      <c r="Z443" t="s">
        <v>26858</v>
      </c>
      <c r="AA443">
        <v>0.39951693347440731</v>
      </c>
      <c r="AB443" t="str">
        <f>HYPERLINK("Melting_Curves/meltCurve_E7ES43_HSPA4L.pdf", "Melting_Curves/meltCurve_E7ES43_HSPA4L.pdf")</f>
        <v>Melting_Curves/meltCurve_E7ES43_HSPA4L.pdf</v>
      </c>
    </row>
    <row r="444" spans="1:28" x14ac:dyDescent="0.25">
      <c r="A444" t="s">
        <v>448</v>
      </c>
      <c r="B444">
        <v>0.99193492352474899</v>
      </c>
      <c r="C444">
        <v>1.05370212193757</v>
      </c>
      <c r="D444">
        <v>1.0573924475029299</v>
      </c>
      <c r="E444">
        <v>0.86389607823214198</v>
      </c>
      <c r="F444">
        <v>0.61916491753814595</v>
      </c>
      <c r="G444">
        <v>0.43976289592332302</v>
      </c>
      <c r="H444">
        <v>0.30291864058511903</v>
      </c>
      <c r="I444">
        <v>0.77344267345686701</v>
      </c>
      <c r="J444">
        <v>0.91187819778021395</v>
      </c>
      <c r="K444">
        <v>1.61363992185854</v>
      </c>
      <c r="L444">
        <v>15000</v>
      </c>
      <c r="M444">
        <v>219.03440856015101</v>
      </c>
      <c r="O444">
        <v>68.476658811437403</v>
      </c>
      <c r="P444">
        <v>0.399833932966012</v>
      </c>
      <c r="Q444">
        <v>1.5</v>
      </c>
      <c r="R444">
        <v>0.142447398683475</v>
      </c>
      <c r="S444" t="s">
        <v>7114</v>
      </c>
      <c r="T444" t="s">
        <v>13338</v>
      </c>
      <c r="U444" t="s">
        <v>13338</v>
      </c>
      <c r="V444" t="s">
        <v>13338</v>
      </c>
      <c r="W444" t="s">
        <v>13777</v>
      </c>
      <c r="X444">
        <v>2</v>
      </c>
      <c r="Y444" t="s">
        <v>20382</v>
      </c>
      <c r="Z444" t="s">
        <v>26859</v>
      </c>
      <c r="AA444">
        <v>1.0252626016245301</v>
      </c>
      <c r="AB444" t="str">
        <f>HYPERLINK("Melting_Curves/meltCurve_E7ESC9_WDR17.pdf", "Melting_Curves/meltCurve_E7ESC9_WDR17.pdf")</f>
        <v>Melting_Curves/meltCurve_E7ESC9_WDR17.pdf</v>
      </c>
    </row>
    <row r="445" spans="1:28" x14ac:dyDescent="0.25">
      <c r="A445" t="s">
        <v>449</v>
      </c>
      <c r="B445">
        <v>0.99193492352474899</v>
      </c>
      <c r="C445">
        <v>0.87316950120164005</v>
      </c>
      <c r="D445">
        <v>0.91089534679339401</v>
      </c>
      <c r="E445">
        <v>0.80469927715710399</v>
      </c>
      <c r="F445">
        <v>0.76550501942574001</v>
      </c>
      <c r="G445">
        <v>0.60529675732990096</v>
      </c>
      <c r="H445">
        <v>0.50429380102969501</v>
      </c>
      <c r="I445">
        <v>0.63098462795638699</v>
      </c>
      <c r="J445">
        <v>0.79652283562496995</v>
      </c>
      <c r="K445">
        <v>0.99669552056854005</v>
      </c>
      <c r="L445">
        <v>829.81787175774798</v>
      </c>
      <c r="M445">
        <v>17.9111739396125</v>
      </c>
      <c r="O445">
        <v>45.763684141426999</v>
      </c>
      <c r="P445">
        <v>-2.7960683970718998E-2</v>
      </c>
      <c r="Q445">
        <v>0.71425221413543705</v>
      </c>
      <c r="R445">
        <v>0.34543017829442901</v>
      </c>
      <c r="S445" t="s">
        <v>7115</v>
      </c>
      <c r="T445" t="s">
        <v>13338</v>
      </c>
      <c r="U445" t="s">
        <v>13338</v>
      </c>
      <c r="V445" t="s">
        <v>13338</v>
      </c>
      <c r="W445" t="s">
        <v>13778</v>
      </c>
      <c r="X445">
        <v>15</v>
      </c>
      <c r="Y445" t="s">
        <v>20383</v>
      </c>
      <c r="Z445" t="s">
        <v>26860</v>
      </c>
      <c r="AA445">
        <v>0.78008114428504194</v>
      </c>
      <c r="AB445" t="str">
        <f>HYPERLINK("Melting_Curves/meltCurve_E7ESM9_CAST.pdf", "Melting_Curves/meltCurve_E7ESM9_CAST.pdf")</f>
        <v>Melting_Curves/meltCurve_E7ESM9_CAST.pdf</v>
      </c>
    </row>
    <row r="446" spans="1:28" x14ac:dyDescent="0.25">
      <c r="A446" t="s">
        <v>450</v>
      </c>
      <c r="B446">
        <v>0.99193492352474899</v>
      </c>
      <c r="C446">
        <v>1.0713381686130901</v>
      </c>
      <c r="D446">
        <v>0.95754719516692999</v>
      </c>
      <c r="E446">
        <v>0.82809886412607903</v>
      </c>
      <c r="F446">
        <v>0.56644984719965696</v>
      </c>
      <c r="G446">
        <v>0.36561946953719499</v>
      </c>
      <c r="H446">
        <v>0.33209815624799799</v>
      </c>
      <c r="I446">
        <v>0.241210673698217</v>
      </c>
      <c r="J446">
        <v>0.18935771708287999</v>
      </c>
      <c r="K446">
        <v>0.118674227034215</v>
      </c>
      <c r="L446">
        <v>887.19376193985397</v>
      </c>
      <c r="M446">
        <v>16.6167409402868</v>
      </c>
      <c r="N446">
        <v>54.699831078528398</v>
      </c>
      <c r="O446">
        <v>52.636267044284303</v>
      </c>
      <c r="P446">
        <v>-6.5985602100545895E-2</v>
      </c>
      <c r="Q446">
        <v>0.163975405408398</v>
      </c>
      <c r="R446">
        <v>0.98466692723916804</v>
      </c>
      <c r="S446" t="s">
        <v>7116</v>
      </c>
      <c r="T446" t="s">
        <v>13338</v>
      </c>
      <c r="U446" t="s">
        <v>13338</v>
      </c>
      <c r="V446" t="s">
        <v>13338</v>
      </c>
      <c r="W446" t="s">
        <v>13779</v>
      </c>
      <c r="X446">
        <v>1</v>
      </c>
      <c r="Y446" t="s">
        <v>20384</v>
      </c>
      <c r="Z446" t="s">
        <v>26861</v>
      </c>
      <c r="AA446">
        <v>0.55248719302486327</v>
      </c>
      <c r="AB446" t="str">
        <f>HYPERLINK("Melting_Curves/meltCurve_E7ESU6_SLC38A9.pdf", "Melting_Curves/meltCurve_E7ESU6_SLC38A9.pdf")</f>
        <v>Melting_Curves/meltCurve_E7ESU6_SLC38A9.pdf</v>
      </c>
    </row>
    <row r="447" spans="1:28" x14ac:dyDescent="0.25">
      <c r="A447" t="s">
        <v>451</v>
      </c>
      <c r="B447">
        <v>0.99193492352474899</v>
      </c>
      <c r="C447">
        <v>0.89265536520630195</v>
      </c>
      <c r="D447">
        <v>1.1605134722428501</v>
      </c>
      <c r="E447">
        <v>0.67203796528234905</v>
      </c>
      <c r="F447">
        <v>0.36856073203671402</v>
      </c>
      <c r="G447">
        <v>0.404678694173569</v>
      </c>
      <c r="H447">
        <v>0.33378373264753503</v>
      </c>
      <c r="I447">
        <v>0.77346985496585996</v>
      </c>
      <c r="J447">
        <v>1.0096856642177101</v>
      </c>
      <c r="K447">
        <v>0.69543500411676795</v>
      </c>
      <c r="L447">
        <v>12326.4450674404</v>
      </c>
      <c r="M447">
        <v>250</v>
      </c>
      <c r="O447">
        <v>49.3026178063609</v>
      </c>
      <c r="P447">
        <v>-0.51011193639711705</v>
      </c>
      <c r="Q447">
        <v>0.59760227998581805</v>
      </c>
      <c r="R447">
        <v>0.463511380574476</v>
      </c>
      <c r="S447" t="s">
        <v>7117</v>
      </c>
      <c r="T447" t="s">
        <v>13338</v>
      </c>
      <c r="U447" t="s">
        <v>13338</v>
      </c>
      <c r="V447" t="s">
        <v>13338</v>
      </c>
      <c r="W447" t="s">
        <v>13780</v>
      </c>
      <c r="X447">
        <v>10</v>
      </c>
      <c r="Y447" t="s">
        <v>20385</v>
      </c>
      <c r="Z447" t="s">
        <v>26862</v>
      </c>
      <c r="AA447">
        <v>0.72245792526360308</v>
      </c>
      <c r="AB447" t="str">
        <f>HYPERLINK("Melting_Curves/meltCurve_E7ESU7_CTBP1.pdf", "Melting_Curves/meltCurve_E7ESU7_CTBP1.pdf")</f>
        <v>Melting_Curves/meltCurve_E7ESU7_CTBP1.pdf</v>
      </c>
    </row>
    <row r="448" spans="1:28" x14ac:dyDescent="0.25">
      <c r="A448" t="s">
        <v>452</v>
      </c>
      <c r="B448">
        <v>0.99193492352474899</v>
      </c>
      <c r="C448">
        <v>1.2462392829131601</v>
      </c>
      <c r="D448">
        <v>0.87479697317092897</v>
      </c>
      <c r="E448">
        <v>0.64253202347992999</v>
      </c>
      <c r="F448">
        <v>0.22201574233282401</v>
      </c>
      <c r="G448">
        <v>0.14877647089551399</v>
      </c>
      <c r="H448">
        <v>9.0355040375374202E-2</v>
      </c>
      <c r="I448">
        <v>0.130191079184553</v>
      </c>
      <c r="J448">
        <v>0.117223239911562</v>
      </c>
      <c r="K448">
        <v>0.108823775484088</v>
      </c>
      <c r="L448">
        <v>1546.6932640745599</v>
      </c>
      <c r="M448">
        <v>30.870109798630399</v>
      </c>
      <c r="N448">
        <v>50.516433397586397</v>
      </c>
      <c r="O448">
        <v>49.894412621081102</v>
      </c>
      <c r="P448">
        <v>-0.13742131865950899</v>
      </c>
      <c r="Q448">
        <v>0.111565592691639</v>
      </c>
      <c r="R448">
        <v>0.95985862085411899</v>
      </c>
      <c r="S448" t="s">
        <v>7118</v>
      </c>
      <c r="T448" t="s">
        <v>13338</v>
      </c>
      <c r="U448" t="s">
        <v>13338</v>
      </c>
      <c r="V448" t="s">
        <v>13338</v>
      </c>
      <c r="W448" t="s">
        <v>13781</v>
      </c>
      <c r="X448">
        <v>11</v>
      </c>
      <c r="Y448" t="s">
        <v>20386</v>
      </c>
      <c r="Z448" t="s">
        <v>26863</v>
      </c>
      <c r="AA448">
        <v>0.41596369863738952</v>
      </c>
      <c r="AB448" t="str">
        <f>HYPERLINK("Melting_Curves/meltCurve_E7ESZ7_NDUFA10.pdf", "Melting_Curves/meltCurve_E7ESZ7_NDUFA10.pdf")</f>
        <v>Melting_Curves/meltCurve_E7ESZ7_NDUFA10.pdf</v>
      </c>
    </row>
    <row r="449" spans="1:28" x14ac:dyDescent="0.25">
      <c r="A449" t="s">
        <v>453</v>
      </c>
      <c r="B449">
        <v>0.99193492352474899</v>
      </c>
      <c r="C449">
        <v>0.41486623901139502</v>
      </c>
      <c r="D449">
        <v>0.42178748189094101</v>
      </c>
      <c r="E449">
        <v>0.13997636685913201</v>
      </c>
      <c r="F449">
        <v>0.114288181509971</v>
      </c>
      <c r="G449">
        <v>6.8648981839668194E-2</v>
      </c>
      <c r="H449">
        <v>5.9360300425797298E-2</v>
      </c>
      <c r="I449">
        <v>6.13296643455662E-2</v>
      </c>
      <c r="J449">
        <v>7.0741251787761195E-2</v>
      </c>
      <c r="K449">
        <v>7.6317026417530895E-2</v>
      </c>
      <c r="L449">
        <v>840.29385014699994</v>
      </c>
      <c r="M449">
        <v>19.383785110581002</v>
      </c>
      <c r="N449">
        <v>43.708545775186998</v>
      </c>
      <c r="O449">
        <v>42.896872351619699</v>
      </c>
      <c r="P449">
        <v>-0.104675025576613</v>
      </c>
      <c r="Q449">
        <v>7.3438850784310006E-2</v>
      </c>
      <c r="R449">
        <v>0.91943875179403101</v>
      </c>
      <c r="S449" t="s">
        <v>7119</v>
      </c>
      <c r="T449" t="s">
        <v>13338</v>
      </c>
      <c r="U449" t="s">
        <v>13338</v>
      </c>
      <c r="V449" t="s">
        <v>13338</v>
      </c>
      <c r="W449" t="s">
        <v>13782</v>
      </c>
      <c r="X449">
        <v>24</v>
      </c>
      <c r="Y449" t="s">
        <v>20387</v>
      </c>
      <c r="Z449" t="s">
        <v>26864</v>
      </c>
      <c r="AA449">
        <v>0.19863502505846259</v>
      </c>
      <c r="AB449" t="str">
        <f>HYPERLINK("Melting_Curves/meltCurve_E7ET15_U2SURP.pdf", "Melting_Curves/meltCurve_E7ET15_U2SURP.pdf")</f>
        <v>Melting_Curves/meltCurve_E7ET15_U2SURP.pdf</v>
      </c>
    </row>
    <row r="450" spans="1:28" x14ac:dyDescent="0.25">
      <c r="A450" t="s">
        <v>454</v>
      </c>
      <c r="B450">
        <v>0.99193492352474899</v>
      </c>
      <c r="C450">
        <v>0.87788106051431403</v>
      </c>
      <c r="D450">
        <v>0.86159011653603601</v>
      </c>
      <c r="E450">
        <v>0.69621390104286496</v>
      </c>
      <c r="F450">
        <v>0.80427273171667102</v>
      </c>
      <c r="G450">
        <v>0.62725113894306705</v>
      </c>
      <c r="H450">
        <v>0.51030565729995903</v>
      </c>
      <c r="I450">
        <v>0.50993446663735198</v>
      </c>
      <c r="J450">
        <v>0.60943882945957495</v>
      </c>
      <c r="K450">
        <v>0.47446414156490901</v>
      </c>
      <c r="L450">
        <v>400.91226714852502</v>
      </c>
      <c r="M450">
        <v>7.6915028689228002</v>
      </c>
      <c r="O450">
        <v>48.951580257024403</v>
      </c>
      <c r="P450">
        <v>-2.2239851613113801E-2</v>
      </c>
      <c r="Q450">
        <v>0.43456969774999399</v>
      </c>
      <c r="R450">
        <v>0.880380965020087</v>
      </c>
      <c r="S450" t="s">
        <v>7120</v>
      </c>
      <c r="T450" t="s">
        <v>13338</v>
      </c>
      <c r="U450" t="s">
        <v>13338</v>
      </c>
      <c r="V450" t="s">
        <v>13338</v>
      </c>
      <c r="W450" t="s">
        <v>13783</v>
      </c>
      <c r="X450">
        <v>14</v>
      </c>
      <c r="Y450" t="s">
        <v>20388</v>
      </c>
      <c r="Z450" t="s">
        <v>26865</v>
      </c>
      <c r="AA450">
        <v>0.69013177912057566</v>
      </c>
      <c r="AB450" t="str">
        <f>HYPERLINK("Melting_Curves/meltCurve_E7ETB3_DNPEP.pdf", "Melting_Curves/meltCurve_E7ETB3_DNPEP.pdf")</f>
        <v>Melting_Curves/meltCurve_E7ETB3_DNPEP.pdf</v>
      </c>
    </row>
    <row r="451" spans="1:28" x14ac:dyDescent="0.25">
      <c r="A451" t="s">
        <v>455</v>
      </c>
      <c r="B451">
        <v>0.99193492352474899</v>
      </c>
      <c r="C451">
        <v>0.69107496856152795</v>
      </c>
      <c r="D451">
        <v>0.93624545148425997</v>
      </c>
      <c r="E451">
        <v>0.78342406555817001</v>
      </c>
      <c r="F451">
        <v>0.64916611660147105</v>
      </c>
      <c r="G451">
        <v>0.26688237914478402</v>
      </c>
      <c r="H451">
        <v>0.10175445552342301</v>
      </c>
      <c r="I451">
        <v>7.8938146185685801E-2</v>
      </c>
      <c r="J451">
        <v>0.132433387468194</v>
      </c>
      <c r="K451">
        <v>0.107260640079246</v>
      </c>
      <c r="L451">
        <v>863.67917317438696</v>
      </c>
      <c r="M451">
        <v>16.120879992450099</v>
      </c>
      <c r="N451">
        <v>53.902384172824902</v>
      </c>
      <c r="O451">
        <v>52.771128822898298</v>
      </c>
      <c r="P451">
        <v>-7.2817683768051894E-2</v>
      </c>
      <c r="Q451">
        <v>4.6608164811508701E-2</v>
      </c>
      <c r="R451">
        <v>0.91359308758795299</v>
      </c>
      <c r="S451" t="s">
        <v>7121</v>
      </c>
      <c r="T451" t="s">
        <v>13338</v>
      </c>
      <c r="U451" t="s">
        <v>13338</v>
      </c>
      <c r="V451" t="s">
        <v>13338</v>
      </c>
      <c r="W451" t="s">
        <v>13784</v>
      </c>
      <c r="X451">
        <v>3</v>
      </c>
      <c r="Y451" t="s">
        <v>20389</v>
      </c>
      <c r="Z451" t="s">
        <v>26866</v>
      </c>
      <c r="AA451">
        <v>0.49615606227346493</v>
      </c>
      <c r="AB451" t="str">
        <f>HYPERLINK("Melting_Curves/meltCurve_E7ETK0_RPS24.pdf", "Melting_Curves/meltCurve_E7ETK0_RPS24.pdf")</f>
        <v>Melting_Curves/meltCurve_E7ETK0_RPS24.pdf</v>
      </c>
    </row>
    <row r="452" spans="1:28" x14ac:dyDescent="0.25">
      <c r="A452" t="s">
        <v>456</v>
      </c>
      <c r="B452">
        <v>0.99193492352474899</v>
      </c>
      <c r="C452">
        <v>0.91320715866084201</v>
      </c>
      <c r="D452">
        <v>1.23934822181869</v>
      </c>
      <c r="E452">
        <v>0.81015189116209596</v>
      </c>
      <c r="F452">
        <v>0.75886016954302005</v>
      </c>
      <c r="G452">
        <v>0.40268805453650502</v>
      </c>
      <c r="H452">
        <v>0.247795627191366</v>
      </c>
      <c r="I452">
        <v>0.32207039456573699</v>
      </c>
      <c r="J452">
        <v>0.31230559414373799</v>
      </c>
      <c r="K452">
        <v>0.336779469601375</v>
      </c>
      <c r="L452">
        <v>1546.22453430008</v>
      </c>
      <c r="M452">
        <v>28.739348255286199</v>
      </c>
      <c r="N452">
        <v>55.532729783512501</v>
      </c>
      <c r="O452">
        <v>53.5431888480759</v>
      </c>
      <c r="P452">
        <v>-9.4485966791892695E-2</v>
      </c>
      <c r="Q452">
        <v>0.29587263907078998</v>
      </c>
      <c r="R452">
        <v>0.91365898041048199</v>
      </c>
      <c r="S452" t="s">
        <v>7122</v>
      </c>
      <c r="T452" t="s">
        <v>13338</v>
      </c>
      <c r="U452" t="s">
        <v>13338</v>
      </c>
      <c r="V452" t="s">
        <v>13338</v>
      </c>
      <c r="W452" t="s">
        <v>13785</v>
      </c>
      <c r="X452">
        <v>1</v>
      </c>
      <c r="Y452" t="s">
        <v>20390</v>
      </c>
      <c r="Z452" t="s">
        <v>26867</v>
      </c>
      <c r="AA452">
        <v>0.6248222860117828</v>
      </c>
      <c r="AB452" t="str">
        <f>HYPERLINK("Melting_Curves/meltCurve_E7ETM6_SYS1.pdf", "Melting_Curves/meltCurve_E7ETM6_SYS1.pdf")</f>
        <v>Melting_Curves/meltCurve_E7ETM6_SYS1.pdf</v>
      </c>
    </row>
    <row r="453" spans="1:28" x14ac:dyDescent="0.25">
      <c r="A453" t="s">
        <v>457</v>
      </c>
      <c r="B453">
        <v>0.99193492352474899</v>
      </c>
      <c r="C453">
        <v>0.93674846963981295</v>
      </c>
      <c r="D453">
        <v>1.10804366578816</v>
      </c>
      <c r="E453">
        <v>0.81682513261868595</v>
      </c>
      <c r="F453">
        <v>0.81666878400273801</v>
      </c>
      <c r="G453">
        <v>0.64727447770820501</v>
      </c>
      <c r="H453">
        <v>0.63531274024689699</v>
      </c>
      <c r="I453">
        <v>0.63209840546291596</v>
      </c>
      <c r="J453">
        <v>0.956826066257636</v>
      </c>
      <c r="K453">
        <v>0.61792395121902999</v>
      </c>
      <c r="L453">
        <v>6807.2718134658699</v>
      </c>
      <c r="M453">
        <v>137.856607975895</v>
      </c>
      <c r="O453">
        <v>49.368975844000701</v>
      </c>
      <c r="P453">
        <v>-0.19708752613453501</v>
      </c>
      <c r="Q453">
        <v>0.71767739523552698</v>
      </c>
      <c r="R453">
        <v>0.60767178499126095</v>
      </c>
      <c r="S453" t="s">
        <v>7123</v>
      </c>
      <c r="T453" t="s">
        <v>13338</v>
      </c>
      <c r="U453" t="s">
        <v>13338</v>
      </c>
      <c r="V453" t="s">
        <v>13338</v>
      </c>
      <c r="W453" t="s">
        <v>13786</v>
      </c>
      <c r="X453">
        <v>2</v>
      </c>
      <c r="Y453" t="s">
        <v>20391</v>
      </c>
      <c r="Z453" t="s">
        <v>26868</v>
      </c>
      <c r="AA453">
        <v>0.806024793117468</v>
      </c>
      <c r="AB453" t="str">
        <f>HYPERLINK("Melting_Curves/meltCurve_E7ETP9_LAMP3.pdf", "Melting_Curves/meltCurve_E7ETP9_LAMP3.pdf")</f>
        <v>Melting_Curves/meltCurve_E7ETP9_LAMP3.pdf</v>
      </c>
    </row>
    <row r="454" spans="1:28" x14ac:dyDescent="0.25">
      <c r="A454" t="s">
        <v>458</v>
      </c>
      <c r="B454">
        <v>0.99193492352474899</v>
      </c>
      <c r="C454">
        <v>0.51561105297061904</v>
      </c>
      <c r="D454">
        <v>0.86897487435712195</v>
      </c>
      <c r="E454">
        <v>0.41941838402339099</v>
      </c>
      <c r="F454">
        <v>0.32147886953837101</v>
      </c>
      <c r="G454">
        <v>0.135776503493692</v>
      </c>
      <c r="H454">
        <v>0.118922152743588</v>
      </c>
      <c r="I454">
        <v>0.15432787429286901</v>
      </c>
      <c r="J454">
        <v>0.24174407930588901</v>
      </c>
      <c r="K454">
        <v>0.36945943317271301</v>
      </c>
      <c r="L454">
        <v>596.75460643727502</v>
      </c>
      <c r="M454">
        <v>12.817979320592601</v>
      </c>
      <c r="N454">
        <v>48.264479209175903</v>
      </c>
      <c r="O454">
        <v>45.466565985684703</v>
      </c>
      <c r="P454">
        <v>-5.7637691477048898E-2</v>
      </c>
      <c r="Q454">
        <v>0.18236756393756001</v>
      </c>
      <c r="R454">
        <v>0.74996073123910401</v>
      </c>
      <c r="S454" t="s">
        <v>7124</v>
      </c>
      <c r="T454" t="s">
        <v>13338</v>
      </c>
      <c r="U454" t="s">
        <v>13338</v>
      </c>
      <c r="V454" t="s">
        <v>13338</v>
      </c>
      <c r="W454" t="s">
        <v>13787</v>
      </c>
      <c r="X454">
        <v>1</v>
      </c>
      <c r="Y454" t="s">
        <v>20392</v>
      </c>
      <c r="Z454" t="s">
        <v>26869</v>
      </c>
      <c r="AA454">
        <v>0.3924172360230454</v>
      </c>
      <c r="AB454" t="str">
        <f>HYPERLINK("Melting_Curves/meltCurve_E7ETU5_RBMS1.pdf", "Melting_Curves/meltCurve_E7ETU5_RBMS1.pdf")</f>
        <v>Melting_Curves/meltCurve_E7ETU5_RBMS1.pdf</v>
      </c>
    </row>
    <row r="455" spans="1:28" x14ac:dyDescent="0.25">
      <c r="A455" t="s">
        <v>459</v>
      </c>
      <c r="B455">
        <v>0.99193492352474899</v>
      </c>
      <c r="C455">
        <v>0.79972625139631903</v>
      </c>
      <c r="D455">
        <v>0.86829957416602299</v>
      </c>
      <c r="E455">
        <v>0.629709984540473</v>
      </c>
      <c r="F455">
        <v>0.205505870125023</v>
      </c>
      <c r="G455">
        <v>0.13301312497031301</v>
      </c>
      <c r="H455">
        <v>9.3354370664205003E-2</v>
      </c>
      <c r="I455">
        <v>0.10686653020114301</v>
      </c>
      <c r="J455">
        <v>0.11565938486482</v>
      </c>
      <c r="K455">
        <v>0.129393204350122</v>
      </c>
      <c r="L455">
        <v>1106.96011015617</v>
      </c>
      <c r="M455">
        <v>22.241941183406102</v>
      </c>
      <c r="N455">
        <v>50.243096674086303</v>
      </c>
      <c r="O455">
        <v>49.371967737466498</v>
      </c>
      <c r="P455">
        <v>-0.10196669840566901</v>
      </c>
      <c r="Q455">
        <v>9.4649360892799406E-2</v>
      </c>
      <c r="R455">
        <v>0.96648592287144797</v>
      </c>
      <c r="S455" t="s">
        <v>7125</v>
      </c>
      <c r="T455" t="s">
        <v>13338</v>
      </c>
      <c r="U455" t="s">
        <v>13338</v>
      </c>
      <c r="V455" t="s">
        <v>13338</v>
      </c>
      <c r="W455" t="s">
        <v>13788</v>
      </c>
      <c r="X455">
        <v>20</v>
      </c>
      <c r="Y455" t="s">
        <v>20393</v>
      </c>
      <c r="Z455" t="s">
        <v>26870</v>
      </c>
      <c r="AA455">
        <v>0.39967814326660839</v>
      </c>
      <c r="AB455" t="str">
        <f>HYPERLINK("Melting_Curves/meltCurve_E7ETZ4_BZW2.pdf", "Melting_Curves/meltCurve_E7ETZ4_BZW2.pdf")</f>
        <v>Melting_Curves/meltCurve_E7ETZ4_BZW2.pdf</v>
      </c>
    </row>
    <row r="456" spans="1:28" x14ac:dyDescent="0.25">
      <c r="A456" t="s">
        <v>460</v>
      </c>
      <c r="B456">
        <v>0.99193492352474899</v>
      </c>
      <c r="C456">
        <v>0.82152243811824099</v>
      </c>
      <c r="D456">
        <v>0.40733458127660099</v>
      </c>
      <c r="E456">
        <v>0.17513693890706</v>
      </c>
      <c r="F456">
        <v>0.119224734462802</v>
      </c>
      <c r="G456">
        <v>6.68747698704827E-2</v>
      </c>
      <c r="H456">
        <v>4.9594433192157401E-2</v>
      </c>
      <c r="I456">
        <v>4.9948473438912101E-2</v>
      </c>
      <c r="J456">
        <v>5.7035342094364103E-2</v>
      </c>
      <c r="K456">
        <v>7.0257150707212807E-2</v>
      </c>
      <c r="L456">
        <v>1171.0458086624701</v>
      </c>
      <c r="M456">
        <v>25.917806503430601</v>
      </c>
      <c r="N456">
        <v>45.433498579147901</v>
      </c>
      <c r="O456">
        <v>44.916647494885602</v>
      </c>
      <c r="P456">
        <v>-0.13465385587225501</v>
      </c>
      <c r="Q456">
        <v>6.6567744228925599E-2</v>
      </c>
      <c r="R456">
        <v>0.99676942179407402</v>
      </c>
      <c r="S456" t="s">
        <v>7126</v>
      </c>
      <c r="T456" t="s">
        <v>13338</v>
      </c>
      <c r="U456" t="s">
        <v>13338</v>
      </c>
      <c r="V456" t="s">
        <v>13338</v>
      </c>
      <c r="W456" t="s">
        <v>13789</v>
      </c>
      <c r="X456">
        <v>9</v>
      </c>
      <c r="Y456" t="s">
        <v>20394</v>
      </c>
      <c r="Z456" t="s">
        <v>26871</v>
      </c>
      <c r="AA456">
        <v>0.2362172906160129</v>
      </c>
      <c r="AB456" t="str">
        <f>HYPERLINK("Melting_Curves/meltCurve_E7EU13_ARAP1.pdf", "Melting_Curves/meltCurve_E7EU13_ARAP1.pdf")</f>
        <v>Melting_Curves/meltCurve_E7EU13_ARAP1.pdf</v>
      </c>
    </row>
    <row r="457" spans="1:28" x14ac:dyDescent="0.25">
      <c r="A457" t="s">
        <v>461</v>
      </c>
      <c r="B457">
        <v>0.99193492352474899</v>
      </c>
      <c r="C457">
        <v>0.864844620362615</v>
      </c>
      <c r="D457">
        <v>0.929858471204558</v>
      </c>
      <c r="E457">
        <v>0.76037800182523396</v>
      </c>
      <c r="F457">
        <v>0.56375328026449201</v>
      </c>
      <c r="G457">
        <v>0.24431652711039101</v>
      </c>
      <c r="H457">
        <v>7.6981279318395199E-2</v>
      </c>
      <c r="I457">
        <v>8.6513458048856906E-2</v>
      </c>
      <c r="J457">
        <v>9.3746119414832199E-2</v>
      </c>
      <c r="K457">
        <v>0.11200906945279</v>
      </c>
      <c r="L457">
        <v>943.70780682371003</v>
      </c>
      <c r="M457">
        <v>17.8377572551246</v>
      </c>
      <c r="N457">
        <v>53.252833382297602</v>
      </c>
      <c r="O457">
        <v>52.253593212099197</v>
      </c>
      <c r="P457">
        <v>-8.0654413860061294E-2</v>
      </c>
      <c r="Q457">
        <v>5.4978183581272301E-2</v>
      </c>
      <c r="R457">
        <v>0.98110046319080002</v>
      </c>
      <c r="S457" t="s">
        <v>7127</v>
      </c>
      <c r="T457" t="s">
        <v>13338</v>
      </c>
      <c r="U457" t="s">
        <v>13338</v>
      </c>
      <c r="V457" t="s">
        <v>13338</v>
      </c>
      <c r="W457" t="s">
        <v>13790</v>
      </c>
      <c r="X457">
        <v>45</v>
      </c>
      <c r="Y457" t="s">
        <v>20395</v>
      </c>
      <c r="Z457" t="s">
        <v>26872</v>
      </c>
      <c r="AA457">
        <v>0.47722574506979998</v>
      </c>
      <c r="AB457" t="str">
        <f>HYPERLINK("Melting_Curves/meltCurve_E7EU23_GDI2.pdf", "Melting_Curves/meltCurve_E7EU23_GDI2.pdf")</f>
        <v>Melting_Curves/meltCurve_E7EU23_GDI2.pdf</v>
      </c>
    </row>
    <row r="458" spans="1:28" x14ac:dyDescent="0.25">
      <c r="A458" t="s">
        <v>462</v>
      </c>
      <c r="B458">
        <v>0.99193492352474899</v>
      </c>
      <c r="C458">
        <v>0.90299176472529297</v>
      </c>
      <c r="D458">
        <v>0.56503047369284998</v>
      </c>
      <c r="E458">
        <v>0.17777471299254999</v>
      </c>
      <c r="F458">
        <v>0.16240653256179399</v>
      </c>
      <c r="G458">
        <v>0.16668523439685901</v>
      </c>
      <c r="H458">
        <v>8.8288976731597496E-2</v>
      </c>
      <c r="I458">
        <v>0.120400282490877</v>
      </c>
      <c r="J458">
        <v>0.26895857813412299</v>
      </c>
      <c r="K458">
        <v>0</v>
      </c>
      <c r="L458">
        <v>1474.84148723412</v>
      </c>
      <c r="M458">
        <v>32.113292785148197</v>
      </c>
      <c r="N458">
        <v>46.357531336314999</v>
      </c>
      <c r="O458">
        <v>45.749209600211103</v>
      </c>
      <c r="P458">
        <v>-0.152823439346264</v>
      </c>
      <c r="Q458">
        <v>0.12914363039915</v>
      </c>
      <c r="R458">
        <v>0.96334402001004904</v>
      </c>
      <c r="S458" t="s">
        <v>7128</v>
      </c>
      <c r="T458" t="s">
        <v>13338</v>
      </c>
      <c r="U458" t="s">
        <v>13338</v>
      </c>
      <c r="V458" t="s">
        <v>13338</v>
      </c>
      <c r="W458" t="s">
        <v>13791</v>
      </c>
      <c r="X458">
        <v>1</v>
      </c>
      <c r="Y458" t="s">
        <v>20396</v>
      </c>
      <c r="Z458" t="s">
        <v>26873</v>
      </c>
      <c r="AA458">
        <v>0.30573831893591291</v>
      </c>
      <c r="AB458" t="str">
        <f>HYPERLINK("Melting_Curves/meltCurve_E7EU24_CBFA2T3.pdf", "Melting_Curves/meltCurve_E7EU24_CBFA2T3.pdf")</f>
        <v>Melting_Curves/meltCurve_E7EU24_CBFA2T3.pdf</v>
      </c>
    </row>
    <row r="459" spans="1:28" x14ac:dyDescent="0.25">
      <c r="A459" t="s">
        <v>463</v>
      </c>
      <c r="B459">
        <v>0.99193492352474899</v>
      </c>
      <c r="C459">
        <v>0.90065477788514903</v>
      </c>
      <c r="D459">
        <v>0.89202830199004401</v>
      </c>
      <c r="E459">
        <v>0.648050404192689</v>
      </c>
      <c r="F459">
        <v>0.25446876018794901</v>
      </c>
      <c r="G459">
        <v>0.15019862567491299</v>
      </c>
      <c r="H459">
        <v>0.101884753007459</v>
      </c>
      <c r="I459">
        <v>0.120871138516093</v>
      </c>
      <c r="J459">
        <v>0.12128459046620001</v>
      </c>
      <c r="K459">
        <v>0.13176656032332101</v>
      </c>
      <c r="L459">
        <v>1250.1790673850101</v>
      </c>
      <c r="M459">
        <v>24.931692768239898</v>
      </c>
      <c r="N459">
        <v>50.650954997047002</v>
      </c>
      <c r="O459">
        <v>49.824904562168797</v>
      </c>
      <c r="P459">
        <v>-0.11128952988507899</v>
      </c>
      <c r="Q459">
        <v>0.110382908426658</v>
      </c>
      <c r="R459">
        <v>0.99166835810210496</v>
      </c>
      <c r="S459" t="s">
        <v>7129</v>
      </c>
      <c r="T459" t="s">
        <v>13338</v>
      </c>
      <c r="U459" t="s">
        <v>13338</v>
      </c>
      <c r="V459" t="s">
        <v>13338</v>
      </c>
      <c r="W459" t="s">
        <v>13792</v>
      </c>
      <c r="X459">
        <v>8</v>
      </c>
      <c r="Y459" t="s">
        <v>20397</v>
      </c>
      <c r="Z459" t="s">
        <v>26874</v>
      </c>
      <c r="AA459">
        <v>0.41920390032136789</v>
      </c>
      <c r="AB459" t="str">
        <f>HYPERLINK("Melting_Curves/meltCurve_E7EU35_PITPNC1.pdf", "Melting_Curves/meltCurve_E7EU35_PITPNC1.pdf")</f>
        <v>Melting_Curves/meltCurve_E7EU35_PITPNC1.pdf</v>
      </c>
    </row>
    <row r="460" spans="1:28" x14ac:dyDescent="0.25">
      <c r="A460" t="s">
        <v>464</v>
      </c>
      <c r="B460">
        <v>0.99193492352474899</v>
      </c>
      <c r="C460">
        <v>0.92636735155683403</v>
      </c>
      <c r="D460">
        <v>1.0086319445681</v>
      </c>
      <c r="E460">
        <v>0.80144971850456004</v>
      </c>
      <c r="F460">
        <v>0.68677645262775999</v>
      </c>
      <c r="G460">
        <v>0.32777727372836302</v>
      </c>
      <c r="H460">
        <v>0.108078897057307</v>
      </c>
      <c r="I460">
        <v>9.56027783343254E-2</v>
      </c>
      <c r="J460">
        <v>0.156319979162198</v>
      </c>
      <c r="K460">
        <v>0.113682826593376</v>
      </c>
      <c r="L460">
        <v>1146.72080269197</v>
      </c>
      <c r="M460">
        <v>21.1916071180069</v>
      </c>
      <c r="N460">
        <v>54.613669412471502</v>
      </c>
      <c r="O460">
        <v>53.637082251494199</v>
      </c>
      <c r="P460">
        <v>-9.0040209240000002E-2</v>
      </c>
      <c r="Q460">
        <v>8.8437371125545297E-2</v>
      </c>
      <c r="R460">
        <v>0.98309552689122803</v>
      </c>
      <c r="S460" t="s">
        <v>7130</v>
      </c>
      <c r="T460" t="s">
        <v>13338</v>
      </c>
      <c r="U460" t="s">
        <v>13338</v>
      </c>
      <c r="V460" t="s">
        <v>13338</v>
      </c>
      <c r="W460" t="s">
        <v>13793</v>
      </c>
      <c r="X460">
        <v>16</v>
      </c>
      <c r="Y460" t="s">
        <v>20398</v>
      </c>
      <c r="Z460" t="s">
        <v>26875</v>
      </c>
      <c r="AA460">
        <v>0.52849032337508339</v>
      </c>
      <c r="AB460" t="str">
        <f>HYPERLINK("Melting_Curves/meltCurve_E7EU96_CSNK2A1.pdf", "Melting_Curves/meltCurve_E7EU96_CSNK2A1.pdf")</f>
        <v>Melting_Curves/meltCurve_E7EU96_CSNK2A1.pdf</v>
      </c>
    </row>
    <row r="461" spans="1:28" x14ac:dyDescent="0.25">
      <c r="A461" t="s">
        <v>465</v>
      </c>
      <c r="B461">
        <v>0.99193492352474899</v>
      </c>
      <c r="C461">
        <v>1.0612633948432699</v>
      </c>
      <c r="D461">
        <v>1.0110506042882801</v>
      </c>
      <c r="E461">
        <v>0.97476197542442</v>
      </c>
      <c r="F461">
        <v>0.91995347720268605</v>
      </c>
      <c r="G461">
        <v>0.37067359385949999</v>
      </c>
      <c r="H461">
        <v>9.0145962652477499E-2</v>
      </c>
      <c r="I461">
        <v>9.6024231042000405E-2</v>
      </c>
      <c r="J461">
        <v>9.3988182188864997E-2</v>
      </c>
      <c r="K461">
        <v>7.1735203091922897E-2</v>
      </c>
      <c r="L461">
        <v>2642.0678052476701</v>
      </c>
      <c r="M461">
        <v>47.305263151144999</v>
      </c>
      <c r="N461">
        <v>56.066112363140803</v>
      </c>
      <c r="O461">
        <v>55.751918701009998</v>
      </c>
      <c r="P461">
        <v>-0.19455388001819099</v>
      </c>
      <c r="Q461">
        <v>8.2830123065962297E-2</v>
      </c>
      <c r="R461">
        <v>0.99734224303699703</v>
      </c>
      <c r="S461" t="s">
        <v>7131</v>
      </c>
      <c r="T461" t="s">
        <v>13338</v>
      </c>
      <c r="U461" t="s">
        <v>13338</v>
      </c>
      <c r="V461" t="s">
        <v>13338</v>
      </c>
      <c r="W461" t="s">
        <v>13794</v>
      </c>
      <c r="X461">
        <v>18</v>
      </c>
      <c r="Y461" t="s">
        <v>20399</v>
      </c>
      <c r="Z461" t="s">
        <v>26876</v>
      </c>
      <c r="AA461">
        <v>0.56996782604710039</v>
      </c>
      <c r="AB461" t="str">
        <f>HYPERLINK("Melting_Curves/meltCurve_E7EUC7_UGP2.pdf", "Melting_Curves/meltCurve_E7EUC7_UGP2.pdf")</f>
        <v>Melting_Curves/meltCurve_E7EUC7_UGP2.pdf</v>
      </c>
    </row>
    <row r="462" spans="1:28" x14ac:dyDescent="0.25">
      <c r="A462" t="s">
        <v>466</v>
      </c>
      <c r="B462">
        <v>0.99193492352474899</v>
      </c>
      <c r="C462">
        <v>0.962751622487798</v>
      </c>
      <c r="D462">
        <v>1.15201240720547</v>
      </c>
      <c r="E462">
        <v>0.76150797965816097</v>
      </c>
      <c r="F462">
        <v>0.66331747546265696</v>
      </c>
      <c r="G462">
        <v>0.37992794216570702</v>
      </c>
      <c r="H462">
        <v>0.144362726816986</v>
      </c>
      <c r="I462">
        <v>0.20299570573029599</v>
      </c>
      <c r="J462">
        <v>0.239493362854623</v>
      </c>
      <c r="K462">
        <v>0.27759011048055998</v>
      </c>
      <c r="L462">
        <v>1224.5781585151001</v>
      </c>
      <c r="M462">
        <v>22.987015087785199</v>
      </c>
      <c r="N462">
        <v>54.5415795663789</v>
      </c>
      <c r="O462">
        <v>52.874339615421</v>
      </c>
      <c r="P462">
        <v>-8.6178141436516795E-2</v>
      </c>
      <c r="Q462">
        <v>0.20711280953996999</v>
      </c>
      <c r="R462">
        <v>0.94883841818036696</v>
      </c>
      <c r="S462" t="s">
        <v>7132</v>
      </c>
      <c r="T462" t="s">
        <v>13338</v>
      </c>
      <c r="U462" t="s">
        <v>13338</v>
      </c>
      <c r="V462" t="s">
        <v>13338</v>
      </c>
      <c r="W462" t="s">
        <v>13795</v>
      </c>
      <c r="X462">
        <v>11</v>
      </c>
      <c r="Y462" t="s">
        <v>20400</v>
      </c>
      <c r="Z462" t="s">
        <v>26877</v>
      </c>
      <c r="AA462">
        <v>0.56643316342259453</v>
      </c>
      <c r="AB462" t="str">
        <f>HYPERLINK("Melting_Curves/meltCurve_E7EUE1_ABCD3.pdf", "Melting_Curves/meltCurve_E7EUE1_ABCD3.pdf")</f>
        <v>Melting_Curves/meltCurve_E7EUE1_ABCD3.pdf</v>
      </c>
    </row>
    <row r="463" spans="1:28" x14ac:dyDescent="0.25">
      <c r="A463" t="s">
        <v>467</v>
      </c>
      <c r="B463">
        <v>0.99193492352474899</v>
      </c>
      <c r="C463">
        <v>0.83498456312797797</v>
      </c>
      <c r="D463">
        <v>0.92203474343534497</v>
      </c>
      <c r="E463">
        <v>0.46082814746950601</v>
      </c>
      <c r="F463">
        <v>0.156631204621413</v>
      </c>
      <c r="G463">
        <v>7.7672759320510806E-2</v>
      </c>
      <c r="H463">
        <v>4.4631521310608303E-2</v>
      </c>
      <c r="I463">
        <v>5.5873825043486598E-2</v>
      </c>
      <c r="J463">
        <v>6.6046620372852305E-2</v>
      </c>
      <c r="K463">
        <v>5.1790554991579203E-2</v>
      </c>
      <c r="L463">
        <v>1358.65904637171</v>
      </c>
      <c r="M463">
        <v>27.628360638148401</v>
      </c>
      <c r="N463">
        <v>49.375263958535598</v>
      </c>
      <c r="O463">
        <v>48.920791309491797</v>
      </c>
      <c r="P463">
        <v>-0.13375090647194199</v>
      </c>
      <c r="Q463">
        <v>5.2692338671025102E-2</v>
      </c>
      <c r="R463">
        <v>0.98300768531909399</v>
      </c>
      <c r="S463" t="s">
        <v>7133</v>
      </c>
      <c r="T463" t="s">
        <v>13338</v>
      </c>
      <c r="U463" t="s">
        <v>13338</v>
      </c>
      <c r="V463" t="s">
        <v>13338</v>
      </c>
      <c r="W463" t="s">
        <v>13796</v>
      </c>
      <c r="X463">
        <v>17</v>
      </c>
      <c r="Y463" t="s">
        <v>20401</v>
      </c>
      <c r="Z463" t="s">
        <v>26878</v>
      </c>
      <c r="AA463">
        <v>0.34929666165762452</v>
      </c>
      <c r="AB463" t="str">
        <f>HYPERLINK("Melting_Curves/meltCurve_E7EUM5_NUP54.pdf", "Melting_Curves/meltCurve_E7EUM5_NUP54.pdf")</f>
        <v>Melting_Curves/meltCurve_E7EUM5_NUP54.pdf</v>
      </c>
    </row>
    <row r="464" spans="1:28" x14ac:dyDescent="0.25">
      <c r="A464" t="s">
        <v>468</v>
      </c>
      <c r="B464">
        <v>0.99193492352474899</v>
      </c>
      <c r="C464">
        <v>1.06962441019295</v>
      </c>
      <c r="D464">
        <v>1.0830874236755199</v>
      </c>
      <c r="E464">
        <v>0.92801331260174003</v>
      </c>
      <c r="F464">
        <v>0.63037813318823499</v>
      </c>
      <c r="G464">
        <v>0.25460232894637502</v>
      </c>
      <c r="H464">
        <v>9.9931614947478806E-2</v>
      </c>
      <c r="I464">
        <v>0.117383524083261</v>
      </c>
      <c r="J464">
        <v>0.26318161855188599</v>
      </c>
      <c r="K464">
        <v>0.13588237413621601</v>
      </c>
      <c r="L464">
        <v>1935.7239706063101</v>
      </c>
      <c r="M464">
        <v>36.153504607511898</v>
      </c>
      <c r="N464">
        <v>54.086779109736597</v>
      </c>
      <c r="O464">
        <v>53.378785045311503</v>
      </c>
      <c r="P464">
        <v>-0.14347775767552701</v>
      </c>
      <c r="Q464">
        <v>0.15265257498962201</v>
      </c>
      <c r="R464">
        <v>0.98104925379136199</v>
      </c>
      <c r="S464" t="s">
        <v>7134</v>
      </c>
      <c r="T464" t="s">
        <v>13338</v>
      </c>
      <c r="U464" t="s">
        <v>13338</v>
      </c>
      <c r="V464" t="s">
        <v>13338</v>
      </c>
      <c r="W464" t="s">
        <v>13797</v>
      </c>
      <c r="X464">
        <v>2</v>
      </c>
      <c r="Y464" t="s">
        <v>20402</v>
      </c>
      <c r="Z464" t="s">
        <v>26879</v>
      </c>
      <c r="AA464">
        <v>0.53897174933008107</v>
      </c>
      <c r="AB464" t="str">
        <f>HYPERLINK("Melting_Curves/meltCurve_E7EV01_CAPN5.pdf", "Melting_Curves/meltCurve_E7EV01_CAPN5.pdf")</f>
        <v>Melting_Curves/meltCurve_E7EV01_CAPN5.pdf</v>
      </c>
    </row>
    <row r="465" spans="1:28" x14ac:dyDescent="0.25">
      <c r="A465" t="s">
        <v>469</v>
      </c>
      <c r="B465">
        <v>0.99193492352474899</v>
      </c>
      <c r="C465">
        <v>0.85191704392932899</v>
      </c>
      <c r="D465">
        <v>0.84095542993106198</v>
      </c>
      <c r="E465">
        <v>0.76426284333065098</v>
      </c>
      <c r="F465">
        <v>0.62268338996403805</v>
      </c>
      <c r="G465">
        <v>0.41841668723354603</v>
      </c>
      <c r="H465">
        <v>0.309575510351284</v>
      </c>
      <c r="I465">
        <v>0.310730927448716</v>
      </c>
      <c r="J465">
        <v>0.40201317315095603</v>
      </c>
      <c r="K465">
        <v>0.40820301664398301</v>
      </c>
      <c r="L465">
        <v>646.06607094220396</v>
      </c>
      <c r="M465">
        <v>12.696245743203599</v>
      </c>
      <c r="N465">
        <v>55.307062225519601</v>
      </c>
      <c r="O465">
        <v>49.673510007553503</v>
      </c>
      <c r="P465">
        <v>-4.3538356555637502E-2</v>
      </c>
      <c r="Q465">
        <v>0.31876420787926901</v>
      </c>
      <c r="R465">
        <v>0.94165756302002301</v>
      </c>
      <c r="S465" t="s">
        <v>7135</v>
      </c>
      <c r="T465" t="s">
        <v>13338</v>
      </c>
      <c r="U465" t="s">
        <v>13338</v>
      </c>
      <c r="V465" t="s">
        <v>13338</v>
      </c>
      <c r="W465" t="s">
        <v>13798</v>
      </c>
      <c r="X465">
        <v>3</v>
      </c>
      <c r="Y465" t="s">
        <v>20403</v>
      </c>
      <c r="Z465" t="s">
        <v>26880</v>
      </c>
      <c r="AA465">
        <v>0.58655576164800183</v>
      </c>
      <c r="AB465" t="str">
        <f>HYPERLINK("Melting_Curves/meltCurve_E7EV46_PGBD3.pdf", "Melting_Curves/meltCurve_E7EV46_PGBD3.pdf")</f>
        <v>Melting_Curves/meltCurve_E7EV46_PGBD3.pdf</v>
      </c>
    </row>
    <row r="466" spans="1:28" x14ac:dyDescent="0.25">
      <c r="A466" t="s">
        <v>470</v>
      </c>
      <c r="B466">
        <v>0.99193492352474899</v>
      </c>
      <c r="C466">
        <v>0.76602970810244297</v>
      </c>
      <c r="D466">
        <v>0.94514333870780198</v>
      </c>
      <c r="E466">
        <v>0.78262628406942403</v>
      </c>
      <c r="F466">
        <v>0.70389615753252999</v>
      </c>
      <c r="G466">
        <v>0.51957953961399905</v>
      </c>
      <c r="H466">
        <v>0.49892976140042</v>
      </c>
      <c r="I466">
        <v>0.569250418501976</v>
      </c>
      <c r="J466">
        <v>0.71047094148929701</v>
      </c>
      <c r="K466">
        <v>0.95751249388688897</v>
      </c>
      <c r="L466">
        <v>676.87115724047896</v>
      </c>
      <c r="M466">
        <v>14.7301102938897</v>
      </c>
      <c r="O466">
        <v>45.129548933961502</v>
      </c>
      <c r="P466">
        <v>-2.7954550884947998E-2</v>
      </c>
      <c r="Q466">
        <v>0.65745282584347398</v>
      </c>
      <c r="R466">
        <v>0.35223470891751701</v>
      </c>
      <c r="S466" t="s">
        <v>7136</v>
      </c>
      <c r="T466" t="s">
        <v>13338</v>
      </c>
      <c r="U466" t="s">
        <v>13338</v>
      </c>
      <c r="V466" t="s">
        <v>13338</v>
      </c>
      <c r="W466" t="s">
        <v>13799</v>
      </c>
      <c r="X466">
        <v>61</v>
      </c>
      <c r="Y466" t="s">
        <v>20404</v>
      </c>
      <c r="Z466" t="s">
        <v>26881</v>
      </c>
      <c r="AA466">
        <v>0.73584325751927571</v>
      </c>
      <c r="AB466" t="str">
        <f>HYPERLINK("Melting_Curves/meltCurve_E7EVA0_MAP4.pdf", "Melting_Curves/meltCurve_E7EVA0_MAP4.pdf")</f>
        <v>Melting_Curves/meltCurve_E7EVA0_MAP4.pdf</v>
      </c>
    </row>
    <row r="467" spans="1:28" x14ac:dyDescent="0.25">
      <c r="A467" t="s">
        <v>471</v>
      </c>
      <c r="B467">
        <v>0.99193492352474899</v>
      </c>
      <c r="C467">
        <v>1.09473441011011</v>
      </c>
      <c r="D467">
        <v>1.03854816621611</v>
      </c>
      <c r="E467">
        <v>0.88026708877596105</v>
      </c>
      <c r="F467">
        <v>0.74889433659202898</v>
      </c>
      <c r="G467">
        <v>0.38005189226709701</v>
      </c>
      <c r="H467">
        <v>0.27128776477935501</v>
      </c>
      <c r="I467">
        <v>0.32673256731952699</v>
      </c>
      <c r="J467">
        <v>0.30997650351533701</v>
      </c>
      <c r="K467">
        <v>0.35773780013303402</v>
      </c>
      <c r="L467">
        <v>1853.68171295975</v>
      </c>
      <c r="M467">
        <v>34.478282803645698</v>
      </c>
      <c r="N467">
        <v>55.312679481116398</v>
      </c>
      <c r="O467">
        <v>53.583858004008697</v>
      </c>
      <c r="P467">
        <v>-0.111058539317685</v>
      </c>
      <c r="Q467">
        <v>0.30960348091879902</v>
      </c>
      <c r="R467">
        <v>0.97679244991700298</v>
      </c>
      <c r="S467" t="s">
        <v>7137</v>
      </c>
      <c r="T467" t="s">
        <v>13338</v>
      </c>
      <c r="U467" t="s">
        <v>13338</v>
      </c>
      <c r="V467" t="s">
        <v>13338</v>
      </c>
      <c r="W467" t="s">
        <v>13800</v>
      </c>
      <c r="X467">
        <v>10</v>
      </c>
      <c r="Y467" t="s">
        <v>20405</v>
      </c>
      <c r="Z467" t="s">
        <v>26882</v>
      </c>
      <c r="AA467">
        <v>0.62979458611704042</v>
      </c>
      <c r="AB467" t="str">
        <f>HYPERLINK("Melting_Curves/meltCurve_E7EVC7_ATG16L1.pdf", "Melting_Curves/meltCurve_E7EVC7_ATG16L1.pdf")</f>
        <v>Melting_Curves/meltCurve_E7EVC7_ATG16L1.pdf</v>
      </c>
    </row>
    <row r="468" spans="1:28" x14ac:dyDescent="0.25">
      <c r="A468" t="s">
        <v>472</v>
      </c>
      <c r="B468">
        <v>0.99193492352474899</v>
      </c>
      <c r="C468">
        <v>0.85360914968079904</v>
      </c>
      <c r="D468">
        <v>0.93876879053737505</v>
      </c>
      <c r="E468">
        <v>0.79706645993304004</v>
      </c>
      <c r="F468">
        <v>0.72403463613307295</v>
      </c>
      <c r="G468">
        <v>0.31536183518051297</v>
      </c>
      <c r="H468">
        <v>0.112819488768026</v>
      </c>
      <c r="I468">
        <v>0.118134805358559</v>
      </c>
      <c r="J468">
        <v>0.123268548715464</v>
      </c>
      <c r="K468">
        <v>0.186673771871847</v>
      </c>
      <c r="L468">
        <v>1154.5155323127101</v>
      </c>
      <c r="M468">
        <v>21.343649960693298</v>
      </c>
      <c r="N468">
        <v>54.698513771338199</v>
      </c>
      <c r="O468">
        <v>53.6236341383511</v>
      </c>
      <c r="P468">
        <v>-8.9020010734139399E-2</v>
      </c>
      <c r="Q468">
        <v>0.105409513630146</v>
      </c>
      <c r="R468">
        <v>0.96024541064948798</v>
      </c>
      <c r="S468" t="s">
        <v>7138</v>
      </c>
      <c r="T468" t="s">
        <v>13338</v>
      </c>
      <c r="U468" t="s">
        <v>13338</v>
      </c>
      <c r="V468" t="s">
        <v>13338</v>
      </c>
      <c r="W468" t="s">
        <v>13801</v>
      </c>
      <c r="X468">
        <v>5</v>
      </c>
      <c r="Y468" t="s">
        <v>20406</v>
      </c>
      <c r="Z468" t="s">
        <v>26883</v>
      </c>
      <c r="AA468">
        <v>0.53653629240221146</v>
      </c>
      <c r="AB468" t="str">
        <f>HYPERLINK("Melting_Curves/meltCurve_E7EVH9_HDHD1.pdf", "Melting_Curves/meltCurve_E7EVH9_HDHD1.pdf")</f>
        <v>Melting_Curves/meltCurve_E7EVH9_HDHD1.pdf</v>
      </c>
    </row>
    <row r="469" spans="1:28" x14ac:dyDescent="0.25">
      <c r="A469" t="s">
        <v>473</v>
      </c>
      <c r="B469">
        <v>0.99193492352474899</v>
      </c>
      <c r="C469">
        <v>1.07374531670742</v>
      </c>
      <c r="D469">
        <v>1.18003004641753</v>
      </c>
      <c r="E469">
        <v>0.79079858727297903</v>
      </c>
      <c r="F469">
        <v>0.27816491427637902</v>
      </c>
      <c r="G469">
        <v>0.14480116133443399</v>
      </c>
      <c r="H469">
        <v>9.0759524828721294E-2</v>
      </c>
      <c r="I469">
        <v>0.106020976248712</v>
      </c>
      <c r="J469">
        <v>0.11481670334540001</v>
      </c>
      <c r="K469">
        <v>0.121766077391678</v>
      </c>
      <c r="L469">
        <v>2117.3770739241199</v>
      </c>
      <c r="M469">
        <v>41.370451496178198</v>
      </c>
      <c r="N469">
        <v>51.502203989333303</v>
      </c>
      <c r="O469">
        <v>51.0617520160109</v>
      </c>
      <c r="P469">
        <v>-0.17951267407778701</v>
      </c>
      <c r="Q469">
        <v>0.113742814975689</v>
      </c>
      <c r="R469">
        <v>0.97763422616798901</v>
      </c>
      <c r="S469" t="s">
        <v>7139</v>
      </c>
      <c r="T469" t="s">
        <v>13338</v>
      </c>
      <c r="U469" t="s">
        <v>13338</v>
      </c>
      <c r="V469" t="s">
        <v>13338</v>
      </c>
      <c r="W469" t="s">
        <v>13802</v>
      </c>
      <c r="X469">
        <v>26</v>
      </c>
      <c r="Y469" t="s">
        <v>20407</v>
      </c>
      <c r="Z469" t="s">
        <v>26884</v>
      </c>
      <c r="AA469">
        <v>0.44697736124528548</v>
      </c>
      <c r="AB469" t="str">
        <f>HYPERLINK("Melting_Curves/meltCurve_E7EVJ5_CYFIP2.pdf", "Melting_Curves/meltCurve_E7EVJ5_CYFIP2.pdf")</f>
        <v>Melting_Curves/meltCurve_E7EVJ5_CYFIP2.pdf</v>
      </c>
    </row>
    <row r="470" spans="1:28" x14ac:dyDescent="0.25">
      <c r="A470" t="s">
        <v>474</v>
      </c>
      <c r="B470">
        <v>0.99193492352474899</v>
      </c>
      <c r="C470">
        <v>0.73826094931966901</v>
      </c>
      <c r="D470">
        <v>0.76459128355052497</v>
      </c>
      <c r="E470">
        <v>0.48894787061188699</v>
      </c>
      <c r="F470">
        <v>0.35965925787174202</v>
      </c>
      <c r="G470">
        <v>0.268656871140459</v>
      </c>
      <c r="H470">
        <v>0.229558282306112</v>
      </c>
      <c r="I470">
        <v>0.368810256426848</v>
      </c>
      <c r="J470">
        <v>0.43527175119779299</v>
      </c>
      <c r="K470">
        <v>0.65126164897157901</v>
      </c>
      <c r="L470">
        <v>863.93150330010701</v>
      </c>
      <c r="M470">
        <v>18.9784437649426</v>
      </c>
      <c r="N470">
        <v>49.267196631170599</v>
      </c>
      <c r="O470">
        <v>45.025345185674198</v>
      </c>
      <c r="P470">
        <v>-6.5139103093544704E-2</v>
      </c>
      <c r="Q470">
        <v>0.38186856708217298</v>
      </c>
      <c r="R470">
        <v>0.73733974639381905</v>
      </c>
      <c r="S470" t="s">
        <v>7140</v>
      </c>
      <c r="T470" t="s">
        <v>13338</v>
      </c>
      <c r="U470" t="s">
        <v>13338</v>
      </c>
      <c r="V470" t="s">
        <v>13338</v>
      </c>
      <c r="W470" t="s">
        <v>13803</v>
      </c>
      <c r="X470">
        <v>6</v>
      </c>
      <c r="Y470" t="s">
        <v>20408</v>
      </c>
      <c r="Z470" t="s">
        <v>26885</v>
      </c>
      <c r="AA470">
        <v>0.50684253097347987</v>
      </c>
      <c r="AB470" t="str">
        <f>HYPERLINK("Melting_Curves/meltCurve_E7EVM2_TAL1.pdf", "Melting_Curves/meltCurve_E7EVM2_TAL1.pdf")</f>
        <v>Melting_Curves/meltCurve_E7EVM2_TAL1.pdf</v>
      </c>
    </row>
    <row r="471" spans="1:28" x14ac:dyDescent="0.25">
      <c r="A471" t="s">
        <v>475</v>
      </c>
      <c r="B471">
        <v>0.99193492352474899</v>
      </c>
      <c r="C471">
        <v>0.98423038014153896</v>
      </c>
      <c r="D471">
        <v>0.68967729918076903</v>
      </c>
      <c r="E471">
        <v>0.46992702425994498</v>
      </c>
      <c r="F471">
        <v>0.43291513832151202</v>
      </c>
      <c r="G471">
        <v>0.319281455358782</v>
      </c>
      <c r="H471">
        <v>0.390857188079201</v>
      </c>
      <c r="I471">
        <v>0.63572029370713801</v>
      </c>
      <c r="J471">
        <v>0.86576432174998996</v>
      </c>
      <c r="K471">
        <v>1.02157833627488</v>
      </c>
      <c r="L471">
        <v>3716.3510201723998</v>
      </c>
      <c r="M471">
        <v>81.9515499508489</v>
      </c>
      <c r="O471">
        <v>45.321168079226602</v>
      </c>
      <c r="P471">
        <v>-0.18491886267018001</v>
      </c>
      <c r="Q471">
        <v>0.59094184338239397</v>
      </c>
      <c r="R471">
        <v>0.370499605668973</v>
      </c>
      <c r="S471" t="s">
        <v>7141</v>
      </c>
      <c r="T471" t="s">
        <v>13338</v>
      </c>
      <c r="U471" t="s">
        <v>13338</v>
      </c>
      <c r="V471" t="s">
        <v>13338</v>
      </c>
      <c r="W471" t="s">
        <v>13804</v>
      </c>
      <c r="X471">
        <v>3</v>
      </c>
      <c r="Y471" t="s">
        <v>20409</v>
      </c>
      <c r="Z471" t="s">
        <v>26886</v>
      </c>
      <c r="AA471">
        <v>0.66416891422052937</v>
      </c>
      <c r="AB471" t="str">
        <f>HYPERLINK("Melting_Curves/meltCurve_E7EVZ3_RAI1.pdf", "Melting_Curves/meltCurve_E7EVZ3_RAI1.pdf")</f>
        <v>Melting_Curves/meltCurve_E7EVZ3_RAI1.pdf</v>
      </c>
    </row>
    <row r="472" spans="1:28" x14ac:dyDescent="0.25">
      <c r="A472" t="s">
        <v>476</v>
      </c>
      <c r="B472">
        <v>0.99193492352474899</v>
      </c>
      <c r="C472">
        <v>1.45343132282603</v>
      </c>
      <c r="D472">
        <v>1.2363180407282299</v>
      </c>
      <c r="E472">
        <v>2.0265932310066201</v>
      </c>
      <c r="F472">
        <v>3.3409967522940698</v>
      </c>
      <c r="G472">
        <v>1.9509614158939801</v>
      </c>
      <c r="H472">
        <v>1.01589408688072</v>
      </c>
      <c r="I472">
        <v>1.0596240963544199</v>
      </c>
      <c r="J472">
        <v>0.47159710039574698</v>
      </c>
      <c r="K472">
        <v>0.72169450039470995</v>
      </c>
      <c r="L472">
        <v>15000</v>
      </c>
      <c r="M472">
        <v>229.31754914493101</v>
      </c>
      <c r="O472">
        <v>65.406516443864902</v>
      </c>
      <c r="P472">
        <v>-0.35374942111999602</v>
      </c>
      <c r="Q472">
        <v>0.59641095174103498</v>
      </c>
      <c r="R472">
        <v>-0.24009498867716</v>
      </c>
      <c r="S472" t="s">
        <v>7142</v>
      </c>
      <c r="T472" t="s">
        <v>13338</v>
      </c>
      <c r="U472" t="s">
        <v>13338</v>
      </c>
      <c r="V472" t="s">
        <v>13338</v>
      </c>
      <c r="W472" t="s">
        <v>13805</v>
      </c>
      <c r="X472">
        <v>1</v>
      </c>
      <c r="Y472" t="s">
        <v>20410</v>
      </c>
      <c r="Z472" t="s">
        <v>26887</v>
      </c>
      <c r="AA472">
        <v>0.93832583513599233</v>
      </c>
      <c r="AB472" t="str">
        <f>HYPERLINK("Melting_Curves/meltCurve_E7EW20_MYO6.pdf", "Melting_Curves/meltCurve_E7EW20_MYO6.pdf")</f>
        <v>Melting_Curves/meltCurve_E7EW20_MYO6.pdf</v>
      </c>
    </row>
    <row r="473" spans="1:28" x14ac:dyDescent="0.25">
      <c r="A473" t="s">
        <v>477</v>
      </c>
      <c r="B473">
        <v>0.99193492352474899</v>
      </c>
      <c r="C473">
        <v>0.99401571870826599</v>
      </c>
      <c r="D473">
        <v>0.92511765284401304</v>
      </c>
      <c r="E473">
        <v>0.72619796807068204</v>
      </c>
      <c r="F473">
        <v>0.61487101073541495</v>
      </c>
      <c r="G473">
        <v>0.42520157874507097</v>
      </c>
      <c r="H473">
        <v>0.23750830593097899</v>
      </c>
      <c r="I473">
        <v>0.17721181770233199</v>
      </c>
      <c r="J473">
        <v>0.16830456863075499</v>
      </c>
      <c r="K473">
        <v>0.168907905019549</v>
      </c>
      <c r="L473">
        <v>705.59462879441196</v>
      </c>
      <c r="M473">
        <v>13.119330895141101</v>
      </c>
      <c r="N473">
        <v>54.754076039805703</v>
      </c>
      <c r="O473">
        <v>52.579258401658102</v>
      </c>
      <c r="P473">
        <v>-5.5912743737086497E-2</v>
      </c>
      <c r="Q473">
        <v>0.103811166271379</v>
      </c>
      <c r="R473">
        <v>0.99379911452754</v>
      </c>
      <c r="S473" t="s">
        <v>7143</v>
      </c>
      <c r="T473" t="s">
        <v>13338</v>
      </c>
      <c r="U473" t="s">
        <v>13338</v>
      </c>
      <c r="V473" t="s">
        <v>13338</v>
      </c>
      <c r="W473" t="s">
        <v>13806</v>
      </c>
      <c r="X473">
        <v>8</v>
      </c>
      <c r="Y473" t="s">
        <v>20411</v>
      </c>
      <c r="Z473" t="s">
        <v>26888</v>
      </c>
      <c r="AA473">
        <v>0.53733564849104143</v>
      </c>
      <c r="AB473" t="str">
        <f>HYPERLINK("Melting_Curves/meltCurve_E7EW32_MON1B.pdf", "Melting_Curves/meltCurve_E7EW32_MON1B.pdf")</f>
        <v>Melting_Curves/meltCurve_E7EW32_MON1B.pdf</v>
      </c>
    </row>
    <row r="474" spans="1:28" x14ac:dyDescent="0.25">
      <c r="A474" t="s">
        <v>478</v>
      </c>
      <c r="B474">
        <v>0.99193492352474899</v>
      </c>
      <c r="C474">
        <v>0.96253032843904196</v>
      </c>
      <c r="D474">
        <v>0.79941642106282695</v>
      </c>
      <c r="E474">
        <v>0.67181364759694495</v>
      </c>
      <c r="F474">
        <v>0.335267016346942</v>
      </c>
      <c r="G474">
        <v>0.23721879570853699</v>
      </c>
      <c r="H474">
        <v>0.14274895047886901</v>
      </c>
      <c r="I474">
        <v>0.15593486446778701</v>
      </c>
      <c r="J474">
        <v>0.175540842168983</v>
      </c>
      <c r="K474">
        <v>0.21029140067594501</v>
      </c>
      <c r="L474">
        <v>921.78684877924798</v>
      </c>
      <c r="M474">
        <v>18.434004099713199</v>
      </c>
      <c r="N474">
        <v>51.037458841072002</v>
      </c>
      <c r="O474">
        <v>49.427379744720099</v>
      </c>
      <c r="P474">
        <v>-7.8726887208433294E-2</v>
      </c>
      <c r="Q474">
        <v>0.155671481376225</v>
      </c>
      <c r="R474">
        <v>0.98803998727401399</v>
      </c>
      <c r="S474" t="s">
        <v>7144</v>
      </c>
      <c r="T474" t="s">
        <v>13338</v>
      </c>
      <c r="U474" t="s">
        <v>13338</v>
      </c>
      <c r="V474" t="s">
        <v>13338</v>
      </c>
      <c r="W474" t="s">
        <v>13807</v>
      </c>
      <c r="X474">
        <v>7</v>
      </c>
      <c r="Y474" t="s">
        <v>20412</v>
      </c>
      <c r="Z474" t="s">
        <v>26889</v>
      </c>
      <c r="AA474">
        <v>0.45100563352865852</v>
      </c>
      <c r="AB474" t="str">
        <f>HYPERLINK("Melting_Curves/meltCurve_E7EW77_ABI2.pdf", "Melting_Curves/meltCurve_E7EW77_ABI2.pdf")</f>
        <v>Melting_Curves/meltCurve_E7EW77_ABI2.pdf</v>
      </c>
    </row>
    <row r="475" spans="1:28" x14ac:dyDescent="0.25">
      <c r="A475" t="s">
        <v>479</v>
      </c>
      <c r="B475">
        <v>0.99193492352474899</v>
      </c>
      <c r="C475">
        <v>1.0420700229028299</v>
      </c>
      <c r="D475">
        <v>0.63839527259321405</v>
      </c>
      <c r="E475">
        <v>0.33613276007137999</v>
      </c>
      <c r="F475">
        <v>0.173999185191309</v>
      </c>
      <c r="G475">
        <v>0.19313477866211601</v>
      </c>
      <c r="H475">
        <v>0.11859521441210399</v>
      </c>
      <c r="I475">
        <v>0.14128626548571599</v>
      </c>
      <c r="J475">
        <v>7.1496820863069993E-2</v>
      </c>
      <c r="K475">
        <v>0.234149509682681</v>
      </c>
      <c r="L475">
        <v>1360.2071197914199</v>
      </c>
      <c r="M475">
        <v>29.0320334388805</v>
      </c>
      <c r="N475">
        <v>47.4524985325126</v>
      </c>
      <c r="O475">
        <v>46.631336079576897</v>
      </c>
      <c r="P475">
        <v>-0.131717899601728</v>
      </c>
      <c r="Q475">
        <v>0.153743594818258</v>
      </c>
      <c r="R475">
        <v>0.97545388720818704</v>
      </c>
      <c r="S475" t="s">
        <v>7145</v>
      </c>
      <c r="T475" t="s">
        <v>13338</v>
      </c>
      <c r="U475" t="s">
        <v>13338</v>
      </c>
      <c r="V475" t="s">
        <v>13338</v>
      </c>
      <c r="W475" t="s">
        <v>13808</v>
      </c>
      <c r="X475">
        <v>3</v>
      </c>
      <c r="Y475" t="s">
        <v>20413</v>
      </c>
      <c r="Z475" t="s">
        <v>26890</v>
      </c>
      <c r="AA475">
        <v>0.35248215955518458</v>
      </c>
      <c r="AB475" t="str">
        <f>HYPERLINK("Melting_Curves/meltCurve_E7EW84_EXOC6.pdf", "Melting_Curves/meltCurve_E7EW84_EXOC6.pdf")</f>
        <v>Melting_Curves/meltCurve_E7EW84_EXOC6.pdf</v>
      </c>
    </row>
    <row r="476" spans="1:28" x14ac:dyDescent="0.25">
      <c r="A476" t="s">
        <v>480</v>
      </c>
      <c r="B476">
        <v>0.99193492352474899</v>
      </c>
      <c r="C476">
        <v>1.04378281348646</v>
      </c>
      <c r="D476">
        <v>0.86176488860606204</v>
      </c>
      <c r="E476">
        <v>0.82214202166278805</v>
      </c>
      <c r="F476">
        <v>0.63550005599449699</v>
      </c>
      <c r="G476">
        <v>0.381178807040842</v>
      </c>
      <c r="H476">
        <v>0.207353329526377</v>
      </c>
      <c r="I476">
        <v>0.197549378820739</v>
      </c>
      <c r="J476">
        <v>0.25158386824284401</v>
      </c>
      <c r="K476">
        <v>0.18437615270009799</v>
      </c>
      <c r="L476">
        <v>909.46338852237295</v>
      </c>
      <c r="M476">
        <v>17.044238861989498</v>
      </c>
      <c r="N476">
        <v>54.692059939485503</v>
      </c>
      <c r="O476">
        <v>52.640712969755299</v>
      </c>
      <c r="P476">
        <v>-6.7191562297600094E-2</v>
      </c>
      <c r="Q476">
        <v>0.16997280105698401</v>
      </c>
      <c r="R476">
        <v>0.98285097616986195</v>
      </c>
      <c r="S476" t="s">
        <v>7146</v>
      </c>
      <c r="T476" t="s">
        <v>13338</v>
      </c>
      <c r="U476" t="s">
        <v>13338</v>
      </c>
      <c r="V476" t="s">
        <v>13338</v>
      </c>
      <c r="W476" t="s">
        <v>13809</v>
      </c>
      <c r="X476">
        <v>5</v>
      </c>
      <c r="Y476" t="s">
        <v>20414</v>
      </c>
      <c r="Z476" t="s">
        <v>26891</v>
      </c>
      <c r="AA476">
        <v>0.55424936650569334</v>
      </c>
      <c r="AB476" t="str">
        <f>HYPERLINK("Melting_Curves/meltCurve_E7EWM3_ZMIZ2.pdf", "Melting_Curves/meltCurve_E7EWM3_ZMIZ2.pdf")</f>
        <v>Melting_Curves/meltCurve_E7EWM3_ZMIZ2.pdf</v>
      </c>
    </row>
    <row r="477" spans="1:28" x14ac:dyDescent="0.25">
      <c r="A477" t="s">
        <v>481</v>
      </c>
      <c r="B477">
        <v>0.99193492352474899</v>
      </c>
      <c r="C477">
        <v>0.89291099867920898</v>
      </c>
      <c r="D477">
        <v>0.85639229996828403</v>
      </c>
      <c r="E477">
        <v>0.57452905609875904</v>
      </c>
      <c r="F477">
        <v>0.23711201381503699</v>
      </c>
      <c r="G477">
        <v>0.15403988888530001</v>
      </c>
      <c r="H477">
        <v>0.103546543037803</v>
      </c>
      <c r="I477">
        <v>0.11552256036922499</v>
      </c>
      <c r="J477">
        <v>0.11996578281067</v>
      </c>
      <c r="K477">
        <v>0.202492475705218</v>
      </c>
      <c r="L477">
        <v>1124.0558335426099</v>
      </c>
      <c r="M477">
        <v>22.760466579022399</v>
      </c>
      <c r="N477">
        <v>50.015667258249103</v>
      </c>
      <c r="O477">
        <v>49.0098476992206</v>
      </c>
      <c r="P477">
        <v>-0.101647211985294</v>
      </c>
      <c r="Q477">
        <v>0.124514378784941</v>
      </c>
      <c r="R477">
        <v>0.98672276480722898</v>
      </c>
      <c r="S477" t="s">
        <v>7147</v>
      </c>
      <c r="T477" t="s">
        <v>13338</v>
      </c>
      <c r="U477" t="s">
        <v>13338</v>
      </c>
      <c r="V477" t="s">
        <v>13338</v>
      </c>
      <c r="W477" t="s">
        <v>13810</v>
      </c>
      <c r="X477">
        <v>11</v>
      </c>
      <c r="Y477" t="s">
        <v>20415</v>
      </c>
      <c r="Z477" t="s">
        <v>26892</v>
      </c>
      <c r="AA477">
        <v>0.40785291075346869</v>
      </c>
      <c r="AB477" t="str">
        <f>HYPERLINK("Melting_Curves/meltCurve_E7EWW0_C16orf62.pdf", "Melting_Curves/meltCurve_E7EWW0_C16orf62.pdf")</f>
        <v>Melting_Curves/meltCurve_E7EWW0_C16orf62.pdf</v>
      </c>
    </row>
    <row r="478" spans="1:28" x14ac:dyDescent="0.25">
      <c r="A478" t="s">
        <v>482</v>
      </c>
      <c r="B478">
        <v>0.99193492352474899</v>
      </c>
      <c r="C478">
        <v>0.76407348678002895</v>
      </c>
      <c r="D478">
        <v>0.56727466067250698</v>
      </c>
      <c r="E478">
        <v>0.217245056085594</v>
      </c>
      <c r="F478">
        <v>0.146482900196055</v>
      </c>
      <c r="G478">
        <v>0.107674029152485</v>
      </c>
      <c r="H478">
        <v>8.5430196089974902E-2</v>
      </c>
      <c r="I478">
        <v>0.109497995564605</v>
      </c>
      <c r="J478">
        <v>0.117946968582927</v>
      </c>
      <c r="K478">
        <v>0.13061428408934</v>
      </c>
      <c r="L478">
        <v>952.49945188878303</v>
      </c>
      <c r="M478">
        <v>20.842978407229001</v>
      </c>
      <c r="N478">
        <v>46.210249158555399</v>
      </c>
      <c r="O478">
        <v>45.2843876015841</v>
      </c>
      <c r="P478">
        <v>-0.103217696417839</v>
      </c>
      <c r="Q478">
        <v>0.103003183193623</v>
      </c>
      <c r="R478">
        <v>0.99099167485842499</v>
      </c>
      <c r="S478" t="s">
        <v>7148</v>
      </c>
      <c r="T478" t="s">
        <v>13338</v>
      </c>
      <c r="U478" t="s">
        <v>13338</v>
      </c>
      <c r="V478" t="s">
        <v>13338</v>
      </c>
      <c r="W478" t="s">
        <v>13811</v>
      </c>
      <c r="X478">
        <v>9</v>
      </c>
      <c r="Y478" t="s">
        <v>20416</v>
      </c>
      <c r="Z478" t="s">
        <v>26893</v>
      </c>
      <c r="AA478">
        <v>0.28629255167098627</v>
      </c>
      <c r="AB478" t="str">
        <f>HYPERLINK("Melting_Curves/meltCurve_E7EX01_MPP2.pdf", "Melting_Curves/meltCurve_E7EX01_MPP2.pdf")</f>
        <v>Melting_Curves/meltCurve_E7EX01_MPP2.pdf</v>
      </c>
    </row>
    <row r="479" spans="1:28" x14ac:dyDescent="0.25">
      <c r="A479" t="s">
        <v>483</v>
      </c>
      <c r="B479">
        <v>0.99193492352474899</v>
      </c>
      <c r="C479">
        <v>1.00392463735347</v>
      </c>
      <c r="D479">
        <v>0.87000754452590301</v>
      </c>
      <c r="E479">
        <v>0.79899984858587803</v>
      </c>
      <c r="F479">
        <v>0.56073089770610396</v>
      </c>
      <c r="G479">
        <v>0.45546304879419502</v>
      </c>
      <c r="H479">
        <v>0.39691682475183299</v>
      </c>
      <c r="I479">
        <v>0.56836824183909296</v>
      </c>
      <c r="J479">
        <v>0.62865996433634896</v>
      </c>
      <c r="K479">
        <v>0.88887652173674603</v>
      </c>
      <c r="L479">
        <v>1398.35461841181</v>
      </c>
      <c r="M479">
        <v>28.745575615823601</v>
      </c>
      <c r="O479">
        <v>48.4123067056805</v>
      </c>
      <c r="P479">
        <v>-6.1966928213082403E-2</v>
      </c>
      <c r="Q479">
        <v>0.58255299140137895</v>
      </c>
      <c r="R479">
        <v>0.638149862637853</v>
      </c>
      <c r="S479" t="s">
        <v>7149</v>
      </c>
      <c r="T479" t="s">
        <v>13338</v>
      </c>
      <c r="U479" t="s">
        <v>13338</v>
      </c>
      <c r="V479" t="s">
        <v>13338</v>
      </c>
      <c r="W479" t="s">
        <v>13812</v>
      </c>
      <c r="X479">
        <v>44</v>
      </c>
      <c r="Y479" t="s">
        <v>20417</v>
      </c>
      <c r="Z479" t="s">
        <v>26894</v>
      </c>
      <c r="AA479">
        <v>0.70562354783617942</v>
      </c>
      <c r="AB479" t="str">
        <f>HYPERLINK("Melting_Curves/meltCurve_E7EX17_EIF4B.pdf", "Melting_Curves/meltCurve_E7EX17_EIF4B.pdf")</f>
        <v>Melting_Curves/meltCurve_E7EX17_EIF4B.pdf</v>
      </c>
    </row>
    <row r="480" spans="1:28" x14ac:dyDescent="0.25">
      <c r="A480" t="s">
        <v>484</v>
      </c>
      <c r="B480">
        <v>0.99193492352474899</v>
      </c>
      <c r="C480">
        <v>0.64207919147160097</v>
      </c>
      <c r="D480">
        <v>0.67616728386605596</v>
      </c>
      <c r="E480">
        <v>0.19519050493790399</v>
      </c>
      <c r="F480">
        <v>0.14310275383920601</v>
      </c>
      <c r="G480">
        <v>8.9069080755362601E-2</v>
      </c>
      <c r="H480">
        <v>6.5620371747235395E-2</v>
      </c>
      <c r="I480">
        <v>6.4567003074858201E-2</v>
      </c>
      <c r="J480">
        <v>7.1923883271375E-2</v>
      </c>
      <c r="K480">
        <v>6.7915791781347601E-2</v>
      </c>
      <c r="L480">
        <v>756.28154986149298</v>
      </c>
      <c r="M480">
        <v>16.410622668037</v>
      </c>
      <c r="N480">
        <v>46.3940899762923</v>
      </c>
      <c r="O480">
        <v>45.416862416047302</v>
      </c>
      <c r="P480">
        <v>-8.5659863564051295E-2</v>
      </c>
      <c r="Q480">
        <v>5.1802949513717902E-2</v>
      </c>
      <c r="R480">
        <v>0.94986222739778103</v>
      </c>
      <c r="S480" t="s">
        <v>7150</v>
      </c>
      <c r="T480" t="s">
        <v>13338</v>
      </c>
      <c r="U480" t="s">
        <v>13338</v>
      </c>
      <c r="V480" t="s">
        <v>13338</v>
      </c>
      <c r="W480" t="s">
        <v>13813</v>
      </c>
      <c r="X480">
        <v>45</v>
      </c>
      <c r="Y480" t="s">
        <v>20418</v>
      </c>
      <c r="Z480" t="s">
        <v>26895</v>
      </c>
      <c r="AA480">
        <v>0.26681262879169643</v>
      </c>
      <c r="AB480" t="str">
        <f>HYPERLINK("Melting_Curves/meltCurve_E7EX73_EIF4G1.pdf", "Melting_Curves/meltCurve_E7EX73_EIF4G1.pdf")</f>
        <v>Melting_Curves/meltCurve_E7EX73_EIF4G1.pdf</v>
      </c>
    </row>
    <row r="481" spans="1:28" x14ac:dyDescent="0.25">
      <c r="A481" t="s">
        <v>485</v>
      </c>
      <c r="B481">
        <v>0.99193492352474899</v>
      </c>
      <c r="C481">
        <v>0.92056769059450605</v>
      </c>
      <c r="D481">
        <v>0.921778376892188</v>
      </c>
      <c r="E481">
        <v>0.30414689196781702</v>
      </c>
      <c r="F481">
        <v>0.176544950487111</v>
      </c>
      <c r="G481">
        <v>9.7799682524466594E-2</v>
      </c>
      <c r="H481">
        <v>6.2128111362244103E-2</v>
      </c>
      <c r="I481">
        <v>8.2706267841757802E-2</v>
      </c>
      <c r="J481">
        <v>8.32704455381022E-2</v>
      </c>
      <c r="K481">
        <v>9.1965719740959406E-2</v>
      </c>
      <c r="L481">
        <v>2048.4629913717799</v>
      </c>
      <c r="M481">
        <v>42.410173865121898</v>
      </c>
      <c r="N481">
        <v>48.539720249923398</v>
      </c>
      <c r="O481">
        <v>48.194199252322797</v>
      </c>
      <c r="P481">
        <v>-0.199305271060398</v>
      </c>
      <c r="Q481">
        <v>9.4053107843852707E-2</v>
      </c>
      <c r="R481">
        <v>0.99190099533916398</v>
      </c>
      <c r="S481" t="s">
        <v>7151</v>
      </c>
      <c r="T481" t="s">
        <v>13338</v>
      </c>
      <c r="U481" t="s">
        <v>13338</v>
      </c>
      <c r="V481" t="s">
        <v>13338</v>
      </c>
      <c r="W481" t="s">
        <v>13814</v>
      </c>
      <c r="X481">
        <v>49</v>
      </c>
      <c r="Y481" t="s">
        <v>20419</v>
      </c>
      <c r="Z481" t="s">
        <v>26896</v>
      </c>
      <c r="AA481">
        <v>0.3474272341596632</v>
      </c>
      <c r="AB481" t="str">
        <f>HYPERLINK("Melting_Curves/meltCurve_E7EX90_DCTN1.pdf", "Melting_Curves/meltCurve_E7EX90_DCTN1.pdf")</f>
        <v>Melting_Curves/meltCurve_E7EX90_DCTN1.pdf</v>
      </c>
    </row>
    <row r="482" spans="1:28" x14ac:dyDescent="0.25">
      <c r="A482" t="s">
        <v>486</v>
      </c>
      <c r="B482">
        <v>0.99193492352474899</v>
      </c>
      <c r="C482">
        <v>0.15854782090638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1.45939965660806</v>
      </c>
      <c r="K482">
        <v>0</v>
      </c>
      <c r="L482">
        <v>10184.4520432019</v>
      </c>
      <c r="M482">
        <v>250</v>
      </c>
      <c r="N482">
        <v>40.8105552896928</v>
      </c>
      <c r="O482">
        <v>40.735201571156303</v>
      </c>
      <c r="P482">
        <v>-1.2584759713478499</v>
      </c>
      <c r="Q482">
        <v>0.17977165012000099</v>
      </c>
      <c r="R482">
        <v>0.24153906486518001</v>
      </c>
      <c r="S482" t="s">
        <v>7152</v>
      </c>
      <c r="T482" t="s">
        <v>13338</v>
      </c>
      <c r="U482" t="s">
        <v>13338</v>
      </c>
      <c r="V482" t="s">
        <v>13338</v>
      </c>
      <c r="W482" t="s">
        <v>13815</v>
      </c>
      <c r="X482">
        <v>1</v>
      </c>
      <c r="Y482" t="s">
        <v>20420</v>
      </c>
      <c r="Z482" t="s">
        <v>26897</v>
      </c>
      <c r="AA482">
        <v>0.20004481369200811</v>
      </c>
      <c r="AB482" t="str">
        <f>HYPERLINK("Melting_Curves/meltCurve_E7EXA8_PRB4.pdf", "Melting_Curves/meltCurve_E7EXA8_PRB4.pdf")</f>
        <v>Melting_Curves/meltCurve_E7EXA8_PRB4.pdf</v>
      </c>
    </row>
    <row r="483" spans="1:28" x14ac:dyDescent="0.25">
      <c r="A483" t="s">
        <v>487</v>
      </c>
      <c r="B483">
        <v>0.99193492352474899</v>
      </c>
      <c r="C483">
        <v>0.70473264799669899</v>
      </c>
      <c r="D483">
        <v>0.52891528619425798</v>
      </c>
      <c r="E483">
        <v>0.243468041634328</v>
      </c>
      <c r="F483">
        <v>0.16883598673254199</v>
      </c>
      <c r="G483">
        <v>0.10029387946933301</v>
      </c>
      <c r="H483">
        <v>7.5362034128452604E-2</v>
      </c>
      <c r="I483">
        <v>0.10240950099619101</v>
      </c>
      <c r="J483">
        <v>9.5263852747187905E-2</v>
      </c>
      <c r="K483">
        <v>9.2591984822535001E-2</v>
      </c>
      <c r="L483">
        <v>805.07859988149301</v>
      </c>
      <c r="M483">
        <v>17.705404139898501</v>
      </c>
      <c r="N483">
        <v>45.964200158898997</v>
      </c>
      <c r="O483">
        <v>44.902629142417801</v>
      </c>
      <c r="P483">
        <v>-9.0049828709677607E-2</v>
      </c>
      <c r="Q483">
        <v>8.6547665285027497E-2</v>
      </c>
      <c r="R483">
        <v>0.98886382009159501</v>
      </c>
      <c r="S483" t="s">
        <v>7153</v>
      </c>
      <c r="T483" t="s">
        <v>13338</v>
      </c>
      <c r="U483" t="s">
        <v>13338</v>
      </c>
      <c r="V483" t="s">
        <v>13338</v>
      </c>
      <c r="W483" t="s">
        <v>13816</v>
      </c>
      <c r="X483">
        <v>7</v>
      </c>
      <c r="Y483" t="s">
        <v>20421</v>
      </c>
      <c r="Z483" t="s">
        <v>26898</v>
      </c>
      <c r="AA483">
        <v>0.27259866358964407</v>
      </c>
      <c r="AB483" t="str">
        <f>HYPERLINK("Melting_Curves/meltCurve_E9PAU2_RAVER1.pdf", "Melting_Curves/meltCurve_E9PAU2_RAVER1.pdf")</f>
        <v>Melting_Curves/meltCurve_E9PAU2_RAVER1.pdf</v>
      </c>
    </row>
    <row r="484" spans="1:28" x14ac:dyDescent="0.25">
      <c r="A484" t="s">
        <v>488</v>
      </c>
      <c r="B484">
        <v>0.99193492352474899</v>
      </c>
      <c r="C484">
        <v>0.76648531990549595</v>
      </c>
      <c r="D484">
        <v>0.81239259449467904</v>
      </c>
      <c r="E484">
        <v>0.78718638657714801</v>
      </c>
      <c r="F484">
        <v>0.66040616159910803</v>
      </c>
      <c r="G484">
        <v>0.47994812556731797</v>
      </c>
      <c r="H484">
        <v>0.53351570895160205</v>
      </c>
      <c r="I484">
        <v>0.59303115150879704</v>
      </c>
      <c r="J484">
        <v>0.65910697631523096</v>
      </c>
      <c r="K484">
        <v>1.18332840266996</v>
      </c>
      <c r="L484">
        <v>909.98183234924397</v>
      </c>
      <c r="M484">
        <v>21.344924472337699</v>
      </c>
      <c r="O484">
        <v>42.263328503446303</v>
      </c>
      <c r="P484">
        <v>-3.7960990410994197E-2</v>
      </c>
      <c r="Q484">
        <v>0.69935381797575102</v>
      </c>
      <c r="R484">
        <v>0.16946160071244701</v>
      </c>
      <c r="S484" t="s">
        <v>7154</v>
      </c>
      <c r="T484" t="s">
        <v>13338</v>
      </c>
      <c r="U484" t="s">
        <v>13338</v>
      </c>
      <c r="V484" t="s">
        <v>13338</v>
      </c>
      <c r="W484" t="s">
        <v>13817</v>
      </c>
      <c r="X484">
        <v>1</v>
      </c>
      <c r="Y484" t="s">
        <v>20422</v>
      </c>
      <c r="Z484" t="s">
        <v>26899</v>
      </c>
      <c r="AA484">
        <v>0.73245363953218212</v>
      </c>
      <c r="AB484" t="str">
        <f>HYPERLINK("Melting_Curves/meltCurve_E9PB28_HES4.pdf", "Melting_Curves/meltCurve_E9PB28_HES4.pdf")</f>
        <v>Melting_Curves/meltCurve_E9PB28_HES4.pdf</v>
      </c>
    </row>
    <row r="485" spans="1:28" x14ac:dyDescent="0.25">
      <c r="A485" t="s">
        <v>489</v>
      </c>
      <c r="B485">
        <v>0.99193492352474899</v>
      </c>
      <c r="C485">
        <v>0.92738013315130596</v>
      </c>
      <c r="D485">
        <v>0.90137585699418898</v>
      </c>
      <c r="E485">
        <v>0.686529335362427</v>
      </c>
      <c r="F485">
        <v>0.37665922316382899</v>
      </c>
      <c r="G485">
        <v>0.25549012530493698</v>
      </c>
      <c r="H485">
        <v>0.47285913611054597</v>
      </c>
      <c r="I485">
        <v>0.76183907027817799</v>
      </c>
      <c r="J485">
        <v>1.0567532257689201</v>
      </c>
      <c r="K485">
        <v>1.2949289715107499</v>
      </c>
      <c r="L485">
        <v>3901.2826946767</v>
      </c>
      <c r="M485">
        <v>84.109606597027394</v>
      </c>
      <c r="O485">
        <v>46.357117807283601</v>
      </c>
      <c r="P485">
        <v>-0.13581996831541801</v>
      </c>
      <c r="Q485">
        <v>0.70057063295017996</v>
      </c>
      <c r="R485">
        <v>0.123971230180575</v>
      </c>
      <c r="S485" t="s">
        <v>7155</v>
      </c>
      <c r="T485" t="s">
        <v>13338</v>
      </c>
      <c r="U485" t="s">
        <v>13338</v>
      </c>
      <c r="V485" t="s">
        <v>13338</v>
      </c>
      <c r="W485" t="s">
        <v>13818</v>
      </c>
      <c r="X485">
        <v>13</v>
      </c>
      <c r="Y485" t="s">
        <v>20423</v>
      </c>
      <c r="Z485" t="s">
        <v>26900</v>
      </c>
      <c r="AA485">
        <v>0.76449812045558097</v>
      </c>
      <c r="AB485" t="str">
        <f>HYPERLINK("Melting_Curves/meltCurve_E9PB61_ALYREF.pdf", "Melting_Curves/meltCurve_E9PB61_ALYREF.pdf")</f>
        <v>Melting_Curves/meltCurve_E9PB61_ALYREF.pdf</v>
      </c>
    </row>
    <row r="486" spans="1:28" x14ac:dyDescent="0.25">
      <c r="A486" t="s">
        <v>490</v>
      </c>
      <c r="B486">
        <v>0.99193492352474899</v>
      </c>
      <c r="C486">
        <v>1.1996491936542399</v>
      </c>
      <c r="D486">
        <v>1.0017888011392999</v>
      </c>
      <c r="E486">
        <v>0.99422948534867905</v>
      </c>
      <c r="F486">
        <v>0.77364525785240101</v>
      </c>
      <c r="G486">
        <v>0.593048550441301</v>
      </c>
      <c r="H486">
        <v>0.30191950117869798</v>
      </c>
      <c r="I486">
        <v>0.13959573277963599</v>
      </c>
      <c r="J486">
        <v>0.13534502413343599</v>
      </c>
      <c r="K486">
        <v>0.16236413132847</v>
      </c>
      <c r="L486">
        <v>1179.8862866239001</v>
      </c>
      <c r="M486">
        <v>20.750326016270101</v>
      </c>
      <c r="N486">
        <v>57.533958132587699</v>
      </c>
      <c r="O486">
        <v>56.340899067796599</v>
      </c>
      <c r="P486">
        <v>-8.21573101475217E-2</v>
      </c>
      <c r="Q486">
        <v>0.107737108590808</v>
      </c>
      <c r="R486">
        <v>0.96822690274299905</v>
      </c>
      <c r="S486" t="s">
        <v>7156</v>
      </c>
      <c r="T486" t="s">
        <v>13338</v>
      </c>
      <c r="U486" t="s">
        <v>13338</v>
      </c>
      <c r="V486" t="s">
        <v>13338</v>
      </c>
      <c r="W486" t="s">
        <v>13819</v>
      </c>
      <c r="X486">
        <v>27</v>
      </c>
      <c r="Y486" t="s">
        <v>20424</v>
      </c>
      <c r="Z486" t="s">
        <v>26901</v>
      </c>
      <c r="AA486">
        <v>0.61974251842822359</v>
      </c>
      <c r="AB486" t="str">
        <f>HYPERLINK("Melting_Curves/meltCurve_E9PBJ5_SDHA.pdf", "Melting_Curves/meltCurve_E9PBJ5_SDHA.pdf")</f>
        <v>Melting_Curves/meltCurve_E9PBJ5_SDHA.pdf</v>
      </c>
    </row>
    <row r="487" spans="1:28" x14ac:dyDescent="0.25">
      <c r="A487" t="s">
        <v>491</v>
      </c>
      <c r="B487">
        <v>0.99193492352474899</v>
      </c>
      <c r="C487">
        <v>0.59544610406235399</v>
      </c>
      <c r="D487">
        <v>0.67809019442246499</v>
      </c>
      <c r="E487">
        <v>0.33798294726045702</v>
      </c>
      <c r="F487">
        <v>0.33523678154652298</v>
      </c>
      <c r="G487">
        <v>0.19135101756890199</v>
      </c>
      <c r="H487">
        <v>9.8786355355348701E-2</v>
      </c>
      <c r="I487">
        <v>0.157951596694479</v>
      </c>
      <c r="J487">
        <v>0.126416784099809</v>
      </c>
      <c r="K487">
        <v>0.247900753558491</v>
      </c>
      <c r="L487">
        <v>581.72829995855898</v>
      </c>
      <c r="M487">
        <v>12.6481035609284</v>
      </c>
      <c r="N487">
        <v>47.237632424030203</v>
      </c>
      <c r="O487">
        <v>44.889055811704701</v>
      </c>
      <c r="P487">
        <v>-6.0473035304974901E-2</v>
      </c>
      <c r="Q487">
        <v>0.14167586071052801</v>
      </c>
      <c r="R487">
        <v>0.90669639641506605</v>
      </c>
      <c r="S487" t="s">
        <v>7157</v>
      </c>
      <c r="T487" t="s">
        <v>13338</v>
      </c>
      <c r="U487" t="s">
        <v>13338</v>
      </c>
      <c r="V487" t="s">
        <v>13338</v>
      </c>
      <c r="W487" t="s">
        <v>13820</v>
      </c>
      <c r="X487">
        <v>1</v>
      </c>
      <c r="Y487" t="s">
        <v>20425</v>
      </c>
      <c r="Z487" t="s">
        <v>26902</v>
      </c>
      <c r="AA487">
        <v>0.34852621861804001</v>
      </c>
      <c r="AB487" t="str">
        <f>HYPERLINK("Melting_Curves/meltCurve_E9PBR6_TMEM201.pdf", "Melting_Curves/meltCurve_E9PBR6_TMEM201.pdf")</f>
        <v>Melting_Curves/meltCurve_E9PBR6_TMEM201.pdf</v>
      </c>
    </row>
    <row r="488" spans="1:28" x14ac:dyDescent="0.25">
      <c r="A488" t="s">
        <v>492</v>
      </c>
      <c r="B488">
        <v>0.99193492352474899</v>
      </c>
      <c r="C488">
        <v>0.52800976213370598</v>
      </c>
      <c r="D488">
        <v>0.41497828127509601</v>
      </c>
      <c r="E488">
        <v>0.130146090149939</v>
      </c>
      <c r="F488">
        <v>0.13552557961583001</v>
      </c>
      <c r="G488">
        <v>8.5516580183250201E-2</v>
      </c>
      <c r="H488">
        <v>5.68784891061958E-2</v>
      </c>
      <c r="I488">
        <v>3.4635395635036599E-2</v>
      </c>
      <c r="J488">
        <v>4.9869059784340301E-2</v>
      </c>
      <c r="K488">
        <v>4.1852314188019803E-2</v>
      </c>
      <c r="L488">
        <v>830.174997548752</v>
      </c>
      <c r="M488">
        <v>18.860622689675701</v>
      </c>
      <c r="N488">
        <v>44.298195093863001</v>
      </c>
      <c r="O488">
        <v>43.530428228304601</v>
      </c>
      <c r="P488">
        <v>-0.102197700434087</v>
      </c>
      <c r="Q488">
        <v>5.6546906878608999E-2</v>
      </c>
      <c r="R488">
        <v>0.96028955478184697</v>
      </c>
      <c r="S488" t="s">
        <v>7158</v>
      </c>
      <c r="T488" t="s">
        <v>13338</v>
      </c>
      <c r="U488" t="s">
        <v>13338</v>
      </c>
      <c r="V488" t="s">
        <v>13338</v>
      </c>
      <c r="W488" t="s">
        <v>13821</v>
      </c>
      <c r="X488">
        <v>2</v>
      </c>
      <c r="Y488" t="s">
        <v>20426</v>
      </c>
      <c r="Z488" t="s">
        <v>26903</v>
      </c>
      <c r="AA488">
        <v>0.20375173650506739</v>
      </c>
      <c r="AB488" t="str">
        <f>HYPERLINK("Melting_Curves/meltCurve_E9PC26_BUB1.pdf", "Melting_Curves/meltCurve_E9PC26_BUB1.pdf")</f>
        <v>Melting_Curves/meltCurve_E9PC26_BUB1.pdf</v>
      </c>
    </row>
    <row r="489" spans="1:28" x14ac:dyDescent="0.25">
      <c r="A489" t="s">
        <v>493</v>
      </c>
      <c r="B489">
        <v>0.99193492352474899</v>
      </c>
      <c r="C489">
        <v>0.84429282968339103</v>
      </c>
      <c r="D489">
        <v>0.89752097732770897</v>
      </c>
      <c r="E489">
        <v>0.592961434127946</v>
      </c>
      <c r="F489">
        <v>0.16417904492708099</v>
      </c>
      <c r="G489">
        <v>7.7952534225793901E-2</v>
      </c>
      <c r="H489">
        <v>4.71989964797742E-2</v>
      </c>
      <c r="I489">
        <v>4.5421207773079897E-2</v>
      </c>
      <c r="J489">
        <v>4.4453620982633398E-2</v>
      </c>
      <c r="K489">
        <v>3.1331822536386902E-2</v>
      </c>
      <c r="L489">
        <v>1263.5720743715599</v>
      </c>
      <c r="M489">
        <v>25.293602326301201</v>
      </c>
      <c r="N489">
        <v>50.092094664306302</v>
      </c>
      <c r="O489">
        <v>49.647069405552998</v>
      </c>
      <c r="P489">
        <v>-0.123145077551228</v>
      </c>
      <c r="Q489">
        <v>3.3160470859044403E-2</v>
      </c>
      <c r="R489">
        <v>0.98484594979528295</v>
      </c>
      <c r="S489" t="s">
        <v>7159</v>
      </c>
      <c r="T489" t="s">
        <v>13338</v>
      </c>
      <c r="U489" t="s">
        <v>13338</v>
      </c>
      <c r="V489" t="s">
        <v>13338</v>
      </c>
      <c r="W489" t="s">
        <v>13822</v>
      </c>
      <c r="X489">
        <v>9</v>
      </c>
      <c r="Y489" t="s">
        <v>20427</v>
      </c>
      <c r="Z489" t="s">
        <v>26904</v>
      </c>
      <c r="AA489">
        <v>0.3624653452304446</v>
      </c>
      <c r="AB489" t="str">
        <f>HYPERLINK("Melting_Curves/meltCurve_E9PC62_CELF2.pdf", "Melting_Curves/meltCurve_E9PC62_CELF2.pdf")</f>
        <v>Melting_Curves/meltCurve_E9PC62_CELF2.pdf</v>
      </c>
    </row>
    <row r="490" spans="1:28" x14ac:dyDescent="0.25">
      <c r="A490" t="s">
        <v>494</v>
      </c>
      <c r="B490">
        <v>0.99193492352474899</v>
      </c>
      <c r="C490">
        <v>0.82877351224625395</v>
      </c>
      <c r="D490">
        <v>0.97383280116651005</v>
      </c>
      <c r="E490">
        <v>0.73878881757794401</v>
      </c>
      <c r="F490">
        <v>0.302147043003063</v>
      </c>
      <c r="G490">
        <v>0.18713622074653299</v>
      </c>
      <c r="H490">
        <v>9.2213683220289999E-2</v>
      </c>
      <c r="I490">
        <v>0.102599674694258</v>
      </c>
      <c r="J490">
        <v>0.11274578419249499</v>
      </c>
      <c r="K490">
        <v>9.0033467402949804E-2</v>
      </c>
      <c r="L490">
        <v>1412.3327064290099</v>
      </c>
      <c r="M490">
        <v>27.650083615223501</v>
      </c>
      <c r="N490">
        <v>51.496005181643497</v>
      </c>
      <c r="O490">
        <v>50.813849487793199</v>
      </c>
      <c r="P490">
        <v>-0.122385961044138</v>
      </c>
      <c r="Q490">
        <v>0.100350530664858</v>
      </c>
      <c r="R490">
        <v>0.97786054870778305</v>
      </c>
      <c r="S490" t="s">
        <v>7160</v>
      </c>
      <c r="T490" t="s">
        <v>13338</v>
      </c>
      <c r="U490" t="s">
        <v>13338</v>
      </c>
      <c r="V490" t="s">
        <v>13338</v>
      </c>
      <c r="W490" t="s">
        <v>13823</v>
      </c>
      <c r="X490">
        <v>9</v>
      </c>
      <c r="Y490" t="s">
        <v>20428</v>
      </c>
      <c r="Z490" t="s">
        <v>26905</v>
      </c>
      <c r="AA490">
        <v>0.4392496663668381</v>
      </c>
      <c r="AB490" t="str">
        <f>HYPERLINK("Melting_Curves/meltCurve_E9PC74_EIF2B5.pdf", "Melting_Curves/meltCurve_E9PC74_EIF2B5.pdf")</f>
        <v>Melting_Curves/meltCurve_E9PC74_EIF2B5.pdf</v>
      </c>
    </row>
    <row r="491" spans="1:28" x14ac:dyDescent="0.25">
      <c r="A491" t="s">
        <v>495</v>
      </c>
      <c r="B491">
        <v>0.99193492352474899</v>
      </c>
      <c r="C491">
        <v>0.95586613209145799</v>
      </c>
      <c r="D491">
        <v>0.95039310098798702</v>
      </c>
      <c r="E491">
        <v>0.76971888240946695</v>
      </c>
      <c r="F491">
        <v>0.67317374801740504</v>
      </c>
      <c r="G491">
        <v>0.343238382527423</v>
      </c>
      <c r="H491">
        <v>0.221110631327334</v>
      </c>
      <c r="I491">
        <v>0.311692016802321</v>
      </c>
      <c r="J491">
        <v>0.39864102594081102</v>
      </c>
      <c r="K491">
        <v>0.35169201631705099</v>
      </c>
      <c r="L491">
        <v>1122.14867810856</v>
      </c>
      <c r="M491">
        <v>21.546533935734999</v>
      </c>
      <c r="N491">
        <v>54.485511637085601</v>
      </c>
      <c r="O491">
        <v>51.6378627661473</v>
      </c>
      <c r="P491">
        <v>-7.2307347540088093E-2</v>
      </c>
      <c r="Q491">
        <v>0.30685724814895299</v>
      </c>
      <c r="R491">
        <v>0.95123574406215305</v>
      </c>
      <c r="S491" t="s">
        <v>7161</v>
      </c>
      <c r="T491" t="s">
        <v>13338</v>
      </c>
      <c r="U491" t="s">
        <v>13338</v>
      </c>
      <c r="V491" t="s">
        <v>13338</v>
      </c>
      <c r="W491" t="s">
        <v>13824</v>
      </c>
      <c r="X491">
        <v>1</v>
      </c>
      <c r="Y491" t="s">
        <v>20429</v>
      </c>
      <c r="Z491" t="s">
        <v>26906</v>
      </c>
      <c r="AA491">
        <v>0.59434611209056187</v>
      </c>
      <c r="AB491" t="str">
        <f>HYPERLINK("Melting_Curves/meltCurve_E9PC87_TMCC1.pdf", "Melting_Curves/meltCurve_E9PC87_TMCC1.pdf")</f>
        <v>Melting_Curves/meltCurve_E9PC87_TMCC1.pdf</v>
      </c>
    </row>
    <row r="492" spans="1:28" x14ac:dyDescent="0.25">
      <c r="A492" t="s">
        <v>496</v>
      </c>
      <c r="B492">
        <v>0.99193492352474899</v>
      </c>
      <c r="C492">
        <v>1.0422359692588701</v>
      </c>
      <c r="D492">
        <v>0.82056933620400896</v>
      </c>
      <c r="E492">
        <v>0.69450043142187601</v>
      </c>
      <c r="F492">
        <v>0.65661082511664803</v>
      </c>
      <c r="G492">
        <v>0.42097682183464302</v>
      </c>
      <c r="H492">
        <v>0.26217894725872198</v>
      </c>
      <c r="I492">
        <v>0.22348817637402399</v>
      </c>
      <c r="J492">
        <v>0.21069617442542601</v>
      </c>
      <c r="K492">
        <v>0.16825214511884301</v>
      </c>
      <c r="L492">
        <v>593.655011642766</v>
      </c>
      <c r="M492">
        <v>11.020129064784699</v>
      </c>
      <c r="N492">
        <v>54.968716593987402</v>
      </c>
      <c r="O492">
        <v>52.187362906034899</v>
      </c>
      <c r="P492">
        <v>-4.7588958916059999E-2</v>
      </c>
      <c r="Q492">
        <v>9.8845211315672102E-2</v>
      </c>
      <c r="R492">
        <v>0.97725281675454101</v>
      </c>
      <c r="S492" t="s">
        <v>7162</v>
      </c>
      <c r="T492" t="s">
        <v>13338</v>
      </c>
      <c r="U492" t="s">
        <v>13338</v>
      </c>
      <c r="V492" t="s">
        <v>13338</v>
      </c>
      <c r="W492" t="s">
        <v>13825</v>
      </c>
      <c r="X492">
        <v>1</v>
      </c>
      <c r="Y492" t="s">
        <v>20430</v>
      </c>
      <c r="Z492" t="s">
        <v>26907</v>
      </c>
      <c r="AA492">
        <v>0.54118847961164041</v>
      </c>
      <c r="AB492" t="str">
        <f>HYPERLINK("Melting_Curves/meltCurve_E9PCN2_GUCY1B3.pdf", "Melting_Curves/meltCurve_E9PCN2_GUCY1B3.pdf")</f>
        <v>Melting_Curves/meltCurve_E9PCN2_GUCY1B3.pdf</v>
      </c>
    </row>
    <row r="493" spans="1:28" x14ac:dyDescent="0.25">
      <c r="A493" t="s">
        <v>497</v>
      </c>
      <c r="B493">
        <v>0.99193492352474899</v>
      </c>
      <c r="C493">
        <v>0.68997183135145101</v>
      </c>
      <c r="D493">
        <v>0.404843977311102</v>
      </c>
      <c r="E493">
        <v>0.20872336014663601</v>
      </c>
      <c r="F493">
        <v>0.16551722889364201</v>
      </c>
      <c r="G493">
        <v>0.10969370912113501</v>
      </c>
      <c r="H493">
        <v>6.9373056502700897E-2</v>
      </c>
      <c r="I493">
        <v>8.2786981246396094E-2</v>
      </c>
      <c r="J493">
        <v>0.10795458030953201</v>
      </c>
      <c r="K493">
        <v>0.113179606812725</v>
      </c>
      <c r="L493">
        <v>951.33205499905898</v>
      </c>
      <c r="M493">
        <v>21.362234179800598</v>
      </c>
      <c r="N493">
        <v>45.017235886651903</v>
      </c>
      <c r="O493">
        <v>44.148619512425803</v>
      </c>
      <c r="P493">
        <v>-0.108561727638355</v>
      </c>
      <c r="Q493">
        <v>0.102578846259407</v>
      </c>
      <c r="R493">
        <v>0.98990828303481104</v>
      </c>
      <c r="S493" t="s">
        <v>7163</v>
      </c>
      <c r="T493" t="s">
        <v>13338</v>
      </c>
      <c r="U493" t="s">
        <v>13338</v>
      </c>
      <c r="V493" t="s">
        <v>13338</v>
      </c>
      <c r="W493" t="s">
        <v>13566</v>
      </c>
      <c r="X493">
        <v>13</v>
      </c>
      <c r="Y493" t="s">
        <v>20431</v>
      </c>
      <c r="Z493" t="s">
        <v>26908</v>
      </c>
      <c r="AA493">
        <v>0.25198404484228287</v>
      </c>
      <c r="AB493" t="str">
        <f>HYPERLINK("Melting_Curves/meltCurve_E9PCQ3_USP15.pdf", "Melting_Curves/meltCurve_E9PCQ3_USP15.pdf")</f>
        <v>Melting_Curves/meltCurve_E9PCQ3_USP15.pdf</v>
      </c>
    </row>
    <row r="494" spans="1:28" x14ac:dyDescent="0.25">
      <c r="A494" t="s">
        <v>498</v>
      </c>
      <c r="B494">
        <v>0.99193492352474899</v>
      </c>
      <c r="C494">
        <v>0.87659216808795404</v>
      </c>
      <c r="D494">
        <v>0.634958244822591</v>
      </c>
      <c r="E494">
        <v>0.66135912944868402</v>
      </c>
      <c r="F494">
        <v>0.57477694926693501</v>
      </c>
      <c r="G494">
        <v>0.28450346548884903</v>
      </c>
      <c r="H494">
        <v>0.34496719006250698</v>
      </c>
      <c r="I494">
        <v>0.32837638397393598</v>
      </c>
      <c r="J494">
        <v>0.38415201247691799</v>
      </c>
      <c r="K494">
        <v>0.38746393187976602</v>
      </c>
      <c r="L494">
        <v>582.82437820931602</v>
      </c>
      <c r="M494">
        <v>12.2101522729486</v>
      </c>
      <c r="N494">
        <v>52.316945341736101</v>
      </c>
      <c r="O494">
        <v>46.5065778242584</v>
      </c>
      <c r="P494">
        <v>-4.4086491728502597E-2</v>
      </c>
      <c r="Q494">
        <v>0.32847689333314101</v>
      </c>
      <c r="R494">
        <v>0.907284816630201</v>
      </c>
      <c r="S494" t="s">
        <v>7164</v>
      </c>
      <c r="T494" t="s">
        <v>13338</v>
      </c>
      <c r="U494" t="s">
        <v>13338</v>
      </c>
      <c r="V494" t="s">
        <v>13338</v>
      </c>
      <c r="W494" t="s">
        <v>13826</v>
      </c>
      <c r="X494">
        <v>7</v>
      </c>
      <c r="Y494" t="s">
        <v>20432</v>
      </c>
      <c r="Z494" t="s">
        <v>26909</v>
      </c>
      <c r="AA494">
        <v>0.52750105159155158</v>
      </c>
      <c r="AB494" t="str">
        <f>HYPERLINK("Melting_Curves/meltCurve_E9PCV0_GUSB.pdf", "Melting_Curves/meltCurve_E9PCV0_GUSB.pdf")</f>
        <v>Melting_Curves/meltCurve_E9PCV0_GUSB.pdf</v>
      </c>
    </row>
    <row r="495" spans="1:28" x14ac:dyDescent="0.25">
      <c r="A495" t="s">
        <v>499</v>
      </c>
      <c r="B495">
        <v>0.99193492352474899</v>
      </c>
      <c r="C495">
        <v>1.0247474899721201</v>
      </c>
      <c r="D495">
        <v>0.72264649950031801</v>
      </c>
      <c r="E495">
        <v>0.75552088278267804</v>
      </c>
      <c r="F495">
        <v>0.28044571377285699</v>
      </c>
      <c r="G495">
        <v>0.15346930105464099</v>
      </c>
      <c r="H495">
        <v>0</v>
      </c>
      <c r="I495">
        <v>0</v>
      </c>
      <c r="J495">
        <v>0.122955334611084</v>
      </c>
      <c r="K495">
        <v>0</v>
      </c>
      <c r="L495">
        <v>924.02804839426699</v>
      </c>
      <c r="M495">
        <v>18.0865830046762</v>
      </c>
      <c r="N495">
        <v>51.1270606189414</v>
      </c>
      <c r="O495">
        <v>50.476878457691797</v>
      </c>
      <c r="P495">
        <v>-8.8986109512776898E-2</v>
      </c>
      <c r="Q495">
        <v>6.66178047831756E-3</v>
      </c>
      <c r="R495">
        <v>0.96194282858538305</v>
      </c>
      <c r="S495" t="s">
        <v>7165</v>
      </c>
      <c r="T495" t="s">
        <v>13338</v>
      </c>
      <c r="U495" t="s">
        <v>13338</v>
      </c>
      <c r="V495" t="s">
        <v>13338</v>
      </c>
      <c r="W495" t="s">
        <v>13827</v>
      </c>
      <c r="X495">
        <v>1</v>
      </c>
      <c r="Y495" t="s">
        <v>20433</v>
      </c>
      <c r="Z495" t="s">
        <v>26910</v>
      </c>
      <c r="AA495">
        <v>0.39041362253207651</v>
      </c>
      <c r="AB495" t="str">
        <f>HYPERLINK("Melting_Curves/meltCurve_E9PCV4_SPHK2.pdf", "Melting_Curves/meltCurve_E9PCV4_SPHK2.pdf")</f>
        <v>Melting_Curves/meltCurve_E9PCV4_SPHK2.pdf</v>
      </c>
    </row>
    <row r="496" spans="1:28" x14ac:dyDescent="0.25">
      <c r="A496" t="s">
        <v>500</v>
      </c>
      <c r="B496">
        <v>0.99193492352474899</v>
      </c>
      <c r="C496">
        <v>0.964037613889412</v>
      </c>
      <c r="D496">
        <v>0.81722090067907704</v>
      </c>
      <c r="E496">
        <v>0.79107834272538102</v>
      </c>
      <c r="F496">
        <v>0.54927267167993798</v>
      </c>
      <c r="G496">
        <v>0.38608396505217701</v>
      </c>
      <c r="H496">
        <v>0.22774037557019999</v>
      </c>
      <c r="I496">
        <v>0.14711981864646601</v>
      </c>
      <c r="J496">
        <v>0.11971529822560099</v>
      </c>
      <c r="K496">
        <v>0.12356528609853699</v>
      </c>
      <c r="L496">
        <v>627.71352940371696</v>
      </c>
      <c r="M496">
        <v>11.6456318089463</v>
      </c>
      <c r="N496">
        <v>54.248905998376003</v>
      </c>
      <c r="O496">
        <v>52.385411878569499</v>
      </c>
      <c r="P496">
        <v>-5.3592527986478601E-2</v>
      </c>
      <c r="Q496">
        <v>3.5962382602885298E-2</v>
      </c>
      <c r="R496">
        <v>0.99257035266873195</v>
      </c>
      <c r="S496" t="s">
        <v>7166</v>
      </c>
      <c r="T496" t="s">
        <v>13338</v>
      </c>
      <c r="U496" t="s">
        <v>13338</v>
      </c>
      <c r="V496" t="s">
        <v>13338</v>
      </c>
      <c r="W496" t="s">
        <v>13828</v>
      </c>
      <c r="X496">
        <v>13</v>
      </c>
      <c r="Y496" t="s">
        <v>20434</v>
      </c>
      <c r="Z496" t="s">
        <v>26911</v>
      </c>
      <c r="AA496">
        <v>0.5087994186618231</v>
      </c>
      <c r="AB496" t="str">
        <f>HYPERLINK("Melting_Curves/meltCurve_E9PCW1_GOSR1.pdf", "Melting_Curves/meltCurve_E9PCW1_GOSR1.pdf")</f>
        <v>Melting_Curves/meltCurve_E9PCW1_GOSR1.pdf</v>
      </c>
    </row>
    <row r="497" spans="1:28" x14ac:dyDescent="0.25">
      <c r="A497" t="s">
        <v>501</v>
      </c>
      <c r="B497">
        <v>0.99193492352474899</v>
      </c>
      <c r="C497">
        <v>0.89261416813907202</v>
      </c>
      <c r="D497">
        <v>0.50361426403230103</v>
      </c>
      <c r="E497">
        <v>0.41755844998638503</v>
      </c>
      <c r="F497">
        <v>0.28632161679475299</v>
      </c>
      <c r="G497">
        <v>0.21433429336295201</v>
      </c>
      <c r="H497">
        <v>0.14900060111302099</v>
      </c>
      <c r="I497">
        <v>0.16735953848742199</v>
      </c>
      <c r="J497">
        <v>0.16406211355323899</v>
      </c>
      <c r="K497">
        <v>0.18723827717716901</v>
      </c>
      <c r="L497">
        <v>827.26825867546302</v>
      </c>
      <c r="M497">
        <v>17.915746686725999</v>
      </c>
      <c r="N497">
        <v>47.321070422329697</v>
      </c>
      <c r="O497">
        <v>45.611714372692198</v>
      </c>
      <c r="P497">
        <v>-8.0922879499307293E-2</v>
      </c>
      <c r="Q497">
        <v>0.175954916766249</v>
      </c>
      <c r="R497">
        <v>0.97501797812017899</v>
      </c>
      <c r="S497" t="s">
        <v>7167</v>
      </c>
      <c r="T497" t="s">
        <v>13338</v>
      </c>
      <c r="U497" t="s">
        <v>13338</v>
      </c>
      <c r="V497" t="s">
        <v>13338</v>
      </c>
      <c r="W497" t="s">
        <v>13829</v>
      </c>
      <c r="X497">
        <v>1</v>
      </c>
      <c r="Y497" t="s">
        <v>20435</v>
      </c>
      <c r="Z497" t="s">
        <v>26912</v>
      </c>
      <c r="AA497">
        <v>0.36172178616970269</v>
      </c>
      <c r="AB497" t="str">
        <f>HYPERLINK("Melting_Curves/meltCurve_E9PD55_RCAN1.pdf", "Melting_Curves/meltCurve_E9PD55_RCAN1.pdf")</f>
        <v>Melting_Curves/meltCurve_E9PD55_RCAN1.pdf</v>
      </c>
    </row>
    <row r="498" spans="1:28" x14ac:dyDescent="0.25">
      <c r="A498" t="s">
        <v>502</v>
      </c>
      <c r="B498">
        <v>0.99193492352474899</v>
      </c>
      <c r="C498">
        <v>1.0801188876138399</v>
      </c>
      <c r="D498">
        <v>0.94187693980925102</v>
      </c>
      <c r="E498">
        <v>0.50572172193819398</v>
      </c>
      <c r="F498">
        <v>0.33194375974245199</v>
      </c>
      <c r="G498">
        <v>0.28884809700783798</v>
      </c>
      <c r="H498">
        <v>0.170987175194139</v>
      </c>
      <c r="I498">
        <v>0.19404365207426599</v>
      </c>
      <c r="J498">
        <v>0.35203727329308099</v>
      </c>
      <c r="K498">
        <v>0.38413921072503598</v>
      </c>
      <c r="L498">
        <v>2017.3671821929599</v>
      </c>
      <c r="M498">
        <v>41.434379561547203</v>
      </c>
      <c r="N498">
        <v>49.686532328367299</v>
      </c>
      <c r="O498">
        <v>48.5752551195921</v>
      </c>
      <c r="P498">
        <v>-0.15300236680513499</v>
      </c>
      <c r="Q498">
        <v>0.28251718167009598</v>
      </c>
      <c r="R498">
        <v>0.95987074458604205</v>
      </c>
      <c r="S498" t="s">
        <v>7168</v>
      </c>
      <c r="T498" t="s">
        <v>13338</v>
      </c>
      <c r="U498" t="s">
        <v>13338</v>
      </c>
      <c r="V498" t="s">
        <v>13338</v>
      </c>
      <c r="W498" t="s">
        <v>13830</v>
      </c>
      <c r="X498">
        <v>6</v>
      </c>
      <c r="Y498" t="s">
        <v>20436</v>
      </c>
      <c r="Z498" t="s">
        <v>26913</v>
      </c>
      <c r="AA498">
        <v>0.49255775151280129</v>
      </c>
      <c r="AB498" t="str">
        <f>HYPERLINK("Melting_Curves/meltCurve_E9PDF6_MYO1B.pdf", "Melting_Curves/meltCurve_E9PDF6_MYO1B.pdf")</f>
        <v>Melting_Curves/meltCurve_E9PDF6_MYO1B.pdf</v>
      </c>
    </row>
    <row r="499" spans="1:28" x14ac:dyDescent="0.25">
      <c r="A499" t="s">
        <v>503</v>
      </c>
      <c r="B499">
        <v>0.99193492352474899</v>
      </c>
      <c r="C499">
        <v>0.84245408252316301</v>
      </c>
      <c r="D499">
        <v>0.92410315535071597</v>
      </c>
      <c r="E499">
        <v>0.71112143697085795</v>
      </c>
      <c r="F499">
        <v>0.97448137719638295</v>
      </c>
      <c r="G499">
        <v>0.62262566237704697</v>
      </c>
      <c r="H499">
        <v>0.23658088620825901</v>
      </c>
      <c r="I499">
        <v>0.195275180520398</v>
      </c>
      <c r="J499">
        <v>0.232929141696475</v>
      </c>
      <c r="K499">
        <v>0.24651050130912699</v>
      </c>
      <c r="L499">
        <v>2982.1192327997901</v>
      </c>
      <c r="M499">
        <v>52.453625371643497</v>
      </c>
      <c r="N499">
        <v>57.493051596609803</v>
      </c>
      <c r="O499">
        <v>56.770035576467301</v>
      </c>
      <c r="P499">
        <v>-0.179877225098412</v>
      </c>
      <c r="Q499">
        <v>0.221283218616322</v>
      </c>
      <c r="R499">
        <v>0.88736357268147903</v>
      </c>
      <c r="S499" t="s">
        <v>7169</v>
      </c>
      <c r="T499" t="s">
        <v>13338</v>
      </c>
      <c r="U499" t="s">
        <v>13338</v>
      </c>
      <c r="V499" t="s">
        <v>13338</v>
      </c>
      <c r="W499" t="s">
        <v>13831</v>
      </c>
      <c r="X499">
        <v>8</v>
      </c>
      <c r="Y499" t="s">
        <v>20437</v>
      </c>
      <c r="Z499" t="s">
        <v>26914</v>
      </c>
      <c r="AA499">
        <v>0.66049828182651871</v>
      </c>
      <c r="AB499" t="str">
        <f>HYPERLINK("Melting_Curves/meltCurve_E9PDR0_PCCB.pdf", "Melting_Curves/meltCurve_E9PDR0_PCCB.pdf")</f>
        <v>Melting_Curves/meltCurve_E9PDR0_PCCB.pdf</v>
      </c>
    </row>
    <row r="500" spans="1:28" x14ac:dyDescent="0.25">
      <c r="A500" t="s">
        <v>504</v>
      </c>
      <c r="B500">
        <v>0.99193492352474899</v>
      </c>
      <c r="C500">
        <v>0.77186203665881004</v>
      </c>
      <c r="D500">
        <v>0.83818460966953801</v>
      </c>
      <c r="E500">
        <v>0.55241353035043494</v>
      </c>
      <c r="F500">
        <v>0.30282582085743998</v>
      </c>
      <c r="G500">
        <v>0.13520335166309499</v>
      </c>
      <c r="H500">
        <v>7.5002405673501998E-2</v>
      </c>
      <c r="I500">
        <v>8.7828366494567697E-2</v>
      </c>
      <c r="J500">
        <v>0.12933077047741801</v>
      </c>
      <c r="K500">
        <v>9.5936689051142193E-2</v>
      </c>
      <c r="L500">
        <v>746.71247557050106</v>
      </c>
      <c r="M500">
        <v>15.080204262506699</v>
      </c>
      <c r="N500">
        <v>49.959276777158998</v>
      </c>
      <c r="O500">
        <v>48.669827591303203</v>
      </c>
      <c r="P500">
        <v>-7.2619128840793204E-2</v>
      </c>
      <c r="Q500">
        <v>6.2609353764108602E-2</v>
      </c>
      <c r="R500">
        <v>0.97162157623364298</v>
      </c>
      <c r="S500" t="s">
        <v>7170</v>
      </c>
      <c r="T500" t="s">
        <v>13338</v>
      </c>
      <c r="U500" t="s">
        <v>13338</v>
      </c>
      <c r="V500" t="s">
        <v>13338</v>
      </c>
      <c r="W500" t="s">
        <v>13832</v>
      </c>
      <c r="X500">
        <v>5</v>
      </c>
      <c r="Y500" t="s">
        <v>20438</v>
      </c>
      <c r="Z500" t="s">
        <v>26915</v>
      </c>
      <c r="AA500">
        <v>0.3824458647957043</v>
      </c>
      <c r="AB500" t="str">
        <f>HYPERLINK("Melting_Curves/meltCurve_E9PDU5_WDR6.pdf", "Melting_Curves/meltCurve_E9PDU5_WDR6.pdf")</f>
        <v>Melting_Curves/meltCurve_E9PDU5_WDR6.pdf</v>
      </c>
    </row>
    <row r="501" spans="1:28" x14ac:dyDescent="0.25">
      <c r="A501" t="s">
        <v>505</v>
      </c>
      <c r="B501">
        <v>0.99193492352474899</v>
      </c>
      <c r="C501">
        <v>1.0142592393657801</v>
      </c>
      <c r="D501">
        <v>0.95692059173870003</v>
      </c>
      <c r="E501">
        <v>0.88330890596635003</v>
      </c>
      <c r="F501">
        <v>0.63008203822588404</v>
      </c>
      <c r="G501">
        <v>0.55811086198649895</v>
      </c>
      <c r="H501">
        <v>0.415597741062459</v>
      </c>
      <c r="I501">
        <v>0.61691283558574606</v>
      </c>
      <c r="J501">
        <v>0.66118524496138997</v>
      </c>
      <c r="K501">
        <v>0.73195722371385097</v>
      </c>
      <c r="L501">
        <v>2432.60000860017</v>
      </c>
      <c r="M501">
        <v>48.174168563448497</v>
      </c>
      <c r="O501">
        <v>50.4091773338941</v>
      </c>
      <c r="P501">
        <v>-9.6354440786457093E-2</v>
      </c>
      <c r="Q501">
        <v>0.59670159349363106</v>
      </c>
      <c r="R501">
        <v>0.84334390819040705</v>
      </c>
      <c r="S501" t="s">
        <v>7171</v>
      </c>
      <c r="T501" t="s">
        <v>13338</v>
      </c>
      <c r="U501" t="s">
        <v>13338</v>
      </c>
      <c r="V501" t="s">
        <v>13338</v>
      </c>
      <c r="W501" t="s">
        <v>13833</v>
      </c>
      <c r="X501">
        <v>1</v>
      </c>
      <c r="Y501" t="s">
        <v>20439</v>
      </c>
      <c r="Z501" t="s">
        <v>26916</v>
      </c>
      <c r="AA501">
        <v>0.7387695756622541</v>
      </c>
      <c r="AB501" t="str">
        <f>HYPERLINK("Melting_Curves/meltCurve_E9PEE8_ITGB6.pdf", "Melting_Curves/meltCurve_E9PEE8_ITGB6.pdf")</f>
        <v>Melting_Curves/meltCurve_E9PEE8_ITGB6.pdf</v>
      </c>
    </row>
    <row r="502" spans="1:28" x14ac:dyDescent="0.25">
      <c r="A502" t="s">
        <v>506</v>
      </c>
      <c r="B502">
        <v>0.99193492352474899</v>
      </c>
      <c r="C502">
        <v>0.38345342776293001</v>
      </c>
      <c r="D502">
        <v>0.93070032718691997</v>
      </c>
      <c r="E502">
        <v>0.227984153284088</v>
      </c>
      <c r="F502">
        <v>0.133963059941276</v>
      </c>
      <c r="G502">
        <v>8.9177905112517802E-2</v>
      </c>
      <c r="H502">
        <v>6.1404000234644797E-2</v>
      </c>
      <c r="I502">
        <v>0.104569195027992</v>
      </c>
      <c r="J502">
        <v>7.2361789295752404E-2</v>
      </c>
      <c r="K502">
        <v>1.3779394478234599</v>
      </c>
      <c r="L502">
        <v>766.71764576876103</v>
      </c>
      <c r="M502">
        <v>17.651928606725701</v>
      </c>
      <c r="N502">
        <v>45.971387004450499</v>
      </c>
      <c r="O502">
        <v>42.889397996317001</v>
      </c>
      <c r="P502">
        <v>-7.0878633149516507E-2</v>
      </c>
      <c r="Q502">
        <v>0.31117334161675902</v>
      </c>
      <c r="R502">
        <v>0.17492332550152001</v>
      </c>
      <c r="S502" t="s">
        <v>7172</v>
      </c>
      <c r="T502" t="s">
        <v>13338</v>
      </c>
      <c r="U502" t="s">
        <v>13338</v>
      </c>
      <c r="V502" t="s">
        <v>13338</v>
      </c>
      <c r="W502" t="s">
        <v>13834</v>
      </c>
      <c r="X502">
        <v>3</v>
      </c>
      <c r="Y502" t="s">
        <v>20440</v>
      </c>
      <c r="Z502" t="s">
        <v>26917</v>
      </c>
      <c r="AA502">
        <v>0.40948690403472338</v>
      </c>
      <c r="AB502" t="str">
        <f>HYPERLINK("Melting_Curves/meltCurve_E9PEL9_SYNE1.pdf", "Melting_Curves/meltCurve_E9PEL9_SYNE1.pdf")</f>
        <v>Melting_Curves/meltCurve_E9PEL9_SYNE1.pdf</v>
      </c>
    </row>
    <row r="503" spans="1:28" x14ac:dyDescent="0.25">
      <c r="A503" t="s">
        <v>507</v>
      </c>
      <c r="B503">
        <v>0.99193492352474899</v>
      </c>
      <c r="C503">
        <v>1.0225110916567599</v>
      </c>
      <c r="D503">
        <v>1.00293663910959</v>
      </c>
      <c r="E503">
        <v>0.78466840414946104</v>
      </c>
      <c r="F503">
        <v>0.23301439101438201</v>
      </c>
      <c r="G503">
        <v>0.13258512793232899</v>
      </c>
      <c r="H503">
        <v>8.3054827261290404E-2</v>
      </c>
      <c r="I503">
        <v>8.8638005903896797E-2</v>
      </c>
      <c r="J503">
        <v>9.9600969855225999E-2</v>
      </c>
      <c r="K503">
        <v>9.43952027447197E-2</v>
      </c>
      <c r="L503">
        <v>2099.02842829984</v>
      </c>
      <c r="M503">
        <v>41.153792320729899</v>
      </c>
      <c r="N503">
        <v>51.270515766510599</v>
      </c>
      <c r="O503">
        <v>50.884527594141403</v>
      </c>
      <c r="P503">
        <v>-0.18275420964577699</v>
      </c>
      <c r="Q503">
        <v>9.6137682451610501E-2</v>
      </c>
      <c r="R503">
        <v>0.99907143912268703</v>
      </c>
      <c r="S503" t="s">
        <v>7173</v>
      </c>
      <c r="T503" t="s">
        <v>13338</v>
      </c>
      <c r="U503" t="s">
        <v>13338</v>
      </c>
      <c r="V503" t="s">
        <v>13338</v>
      </c>
      <c r="W503" t="s">
        <v>13835</v>
      </c>
      <c r="X503">
        <v>29</v>
      </c>
      <c r="Y503" t="s">
        <v>20441</v>
      </c>
      <c r="Z503" t="s">
        <v>26918</v>
      </c>
      <c r="AA503">
        <v>0.43069836449374432</v>
      </c>
      <c r="AB503" t="str">
        <f>HYPERLINK("Melting_Curves/meltCurve_E9PEN8_XPO7.pdf", "Melting_Curves/meltCurve_E9PEN8_XPO7.pdf")</f>
        <v>Melting_Curves/meltCurve_E9PEN8_XPO7.pdf</v>
      </c>
    </row>
    <row r="504" spans="1:28" x14ac:dyDescent="0.25">
      <c r="A504" t="s">
        <v>508</v>
      </c>
      <c r="B504">
        <v>0.99193492352474899</v>
      </c>
      <c r="C504">
        <v>0.95957841587128601</v>
      </c>
      <c r="D504">
        <v>0.80854432756765404</v>
      </c>
      <c r="E504">
        <v>0.21981885331607601</v>
      </c>
      <c r="F504">
        <v>0.161585045916842</v>
      </c>
      <c r="G504">
        <v>8.9596013798378393E-2</v>
      </c>
      <c r="H504">
        <v>6.0367901743165801E-2</v>
      </c>
      <c r="I504">
        <v>6.6347023566743296E-2</v>
      </c>
      <c r="J504">
        <v>7.5290011919025707E-2</v>
      </c>
      <c r="K504">
        <v>7.3475165901603204E-2</v>
      </c>
      <c r="L504">
        <v>1817.71008960828</v>
      </c>
      <c r="M504">
        <v>38.247900077626603</v>
      </c>
      <c r="N504">
        <v>47.7500840525976</v>
      </c>
      <c r="O504">
        <v>47.395088454220598</v>
      </c>
      <c r="P504">
        <v>-0.18507133793153699</v>
      </c>
      <c r="Q504">
        <v>8.2673815620324095E-2</v>
      </c>
      <c r="R504">
        <v>0.99573493422895798</v>
      </c>
      <c r="S504" t="s">
        <v>7174</v>
      </c>
      <c r="T504" t="s">
        <v>13338</v>
      </c>
      <c r="U504" t="s">
        <v>13338</v>
      </c>
      <c r="V504" t="s">
        <v>13338</v>
      </c>
      <c r="W504" t="s">
        <v>13836</v>
      </c>
      <c r="X504">
        <v>62</v>
      </c>
      <c r="Y504" t="s">
        <v>20442</v>
      </c>
      <c r="Z504" t="s">
        <v>26919</v>
      </c>
      <c r="AA504">
        <v>0.31607122149240391</v>
      </c>
      <c r="AB504" t="str">
        <f>HYPERLINK("Melting_Curves/meltCurve_E9PEZ3_DIAPH1.pdf", "Melting_Curves/meltCurve_E9PEZ3_DIAPH1.pdf")</f>
        <v>Melting_Curves/meltCurve_E9PEZ3_DIAPH1.pdf</v>
      </c>
    </row>
    <row r="505" spans="1:28" x14ac:dyDescent="0.25">
      <c r="A505" t="s">
        <v>509</v>
      </c>
      <c r="B505">
        <v>0.99193492352474899</v>
      </c>
      <c r="C505">
        <v>0.61516807436551901</v>
      </c>
      <c r="D505">
        <v>0.57699687447903703</v>
      </c>
      <c r="E505">
        <v>0.52864207953079401</v>
      </c>
      <c r="F505">
        <v>0.33484871905862201</v>
      </c>
      <c r="G505">
        <v>0.17979507025786601</v>
      </c>
      <c r="H505">
        <v>0.118480217261655</v>
      </c>
      <c r="I505">
        <v>0.12441506046143699</v>
      </c>
      <c r="J505">
        <v>0.16847340473436301</v>
      </c>
      <c r="K505">
        <v>0.175394501792944</v>
      </c>
      <c r="L505">
        <v>477.83724936176498</v>
      </c>
      <c r="M505">
        <v>10.169725117827401</v>
      </c>
      <c r="N505">
        <v>48.013158665207001</v>
      </c>
      <c r="O505">
        <v>45.2780887871197</v>
      </c>
      <c r="P505">
        <v>-5.0686302679863099E-2</v>
      </c>
      <c r="Q505">
        <v>9.7740506455549603E-2</v>
      </c>
      <c r="R505">
        <v>0.92747648490074996</v>
      </c>
      <c r="S505" t="s">
        <v>7175</v>
      </c>
      <c r="T505" t="s">
        <v>13338</v>
      </c>
      <c r="U505" t="s">
        <v>13338</v>
      </c>
      <c r="V505" t="s">
        <v>13338</v>
      </c>
      <c r="W505" t="s">
        <v>13837</v>
      </c>
      <c r="X505">
        <v>1</v>
      </c>
      <c r="Y505" t="s">
        <v>20443</v>
      </c>
      <c r="Z505" t="s">
        <v>26920</v>
      </c>
      <c r="AA505">
        <v>0.35835078274478133</v>
      </c>
      <c r="AB505" t="str">
        <f>HYPERLINK("Melting_Curves/meltCurve_E9PF06_MRPL3.pdf", "Melting_Curves/meltCurve_E9PF06_MRPL3.pdf")</f>
        <v>Melting_Curves/meltCurve_E9PF06_MRPL3.pdf</v>
      </c>
    </row>
    <row r="506" spans="1:28" x14ac:dyDescent="0.25">
      <c r="A506" t="s">
        <v>510</v>
      </c>
      <c r="B506">
        <v>0.99193492352474899</v>
      </c>
      <c r="C506">
        <v>0.93801359673777795</v>
      </c>
      <c r="D506">
        <v>0.98336273273470398</v>
      </c>
      <c r="E506">
        <v>0.81801075514508903</v>
      </c>
      <c r="F506">
        <v>0.51536278916939304</v>
      </c>
      <c r="G506">
        <v>0.15637494562579901</v>
      </c>
      <c r="H506">
        <v>9.6038100574880103E-2</v>
      </c>
      <c r="I506">
        <v>9.5730610518953804E-2</v>
      </c>
      <c r="J506">
        <v>9.3737340803643807E-2</v>
      </c>
      <c r="K506">
        <v>0.10768860815739199</v>
      </c>
      <c r="L506">
        <v>1388.7195252249801</v>
      </c>
      <c r="M506">
        <v>26.384341374347802</v>
      </c>
      <c r="N506">
        <v>53.001167158932098</v>
      </c>
      <c r="O506">
        <v>52.334642346293101</v>
      </c>
      <c r="P506">
        <v>-0.115516926387048</v>
      </c>
      <c r="Q506">
        <v>8.3475585404545194E-2</v>
      </c>
      <c r="R506">
        <v>0.99442291684341899</v>
      </c>
      <c r="S506" t="s">
        <v>7176</v>
      </c>
      <c r="T506" t="s">
        <v>13338</v>
      </c>
      <c r="U506" t="s">
        <v>13338</v>
      </c>
      <c r="V506" t="s">
        <v>13338</v>
      </c>
      <c r="W506" t="s">
        <v>13838</v>
      </c>
      <c r="X506">
        <v>17</v>
      </c>
      <c r="Y506" t="s">
        <v>20444</v>
      </c>
      <c r="Z506" t="s">
        <v>26921</v>
      </c>
      <c r="AA506">
        <v>0.47705387555061202</v>
      </c>
      <c r="AB506" t="str">
        <f>HYPERLINK("Melting_Curves/meltCurve_E9PF18_HADH.pdf", "Melting_Curves/meltCurve_E9PF18_HADH.pdf")</f>
        <v>Melting_Curves/meltCurve_E9PF18_HADH.pdf</v>
      </c>
    </row>
    <row r="507" spans="1:28" x14ac:dyDescent="0.25">
      <c r="A507" t="s">
        <v>511</v>
      </c>
      <c r="B507">
        <v>0.99193492352474899</v>
      </c>
      <c r="C507">
        <v>0.56137561542229697</v>
      </c>
      <c r="D507">
        <v>1.0826640514647601</v>
      </c>
      <c r="E507">
        <v>0.48462541462922598</v>
      </c>
      <c r="F507">
        <v>0.16230540106018099</v>
      </c>
      <c r="G507">
        <v>8.1490736361315E-2</v>
      </c>
      <c r="H507">
        <v>4.5097735198104297E-2</v>
      </c>
      <c r="I507">
        <v>5.9420066698872703E-2</v>
      </c>
      <c r="J507">
        <v>7.4382947530877999E-2</v>
      </c>
      <c r="K507">
        <v>7.8013198829133795E-2</v>
      </c>
      <c r="L507">
        <v>3439.7177611032798</v>
      </c>
      <c r="M507">
        <v>69.578024799719302</v>
      </c>
      <c r="N507">
        <v>49.564349382292797</v>
      </c>
      <c r="O507">
        <v>49.396051125541597</v>
      </c>
      <c r="P507">
        <v>-0.323288985128458</v>
      </c>
      <c r="Q507">
        <v>8.1940298936933206E-2</v>
      </c>
      <c r="R507">
        <v>0.85637676884978797</v>
      </c>
      <c r="S507" t="s">
        <v>7177</v>
      </c>
      <c r="T507" t="s">
        <v>13338</v>
      </c>
      <c r="U507" t="s">
        <v>13338</v>
      </c>
      <c r="V507" t="s">
        <v>13338</v>
      </c>
      <c r="W507" t="s">
        <v>13839</v>
      </c>
      <c r="X507">
        <v>10</v>
      </c>
      <c r="Y507" t="s">
        <v>20445</v>
      </c>
      <c r="Z507" t="s">
        <v>26922</v>
      </c>
      <c r="AA507">
        <v>0.37175747136899612</v>
      </c>
      <c r="AB507" t="str">
        <f>HYPERLINK("Melting_Curves/meltCurve_E9PF19_TBL2.pdf", "Melting_Curves/meltCurve_E9PF19_TBL2.pdf")</f>
        <v>Melting_Curves/meltCurve_E9PF19_TBL2.pdf</v>
      </c>
    </row>
    <row r="508" spans="1:28" x14ac:dyDescent="0.25">
      <c r="A508" t="s">
        <v>512</v>
      </c>
      <c r="B508">
        <v>0.99193492352474899</v>
      </c>
      <c r="C508">
        <v>0.85629594568091105</v>
      </c>
      <c r="D508">
        <v>0.72009861140706</v>
      </c>
      <c r="E508">
        <v>0.49493626258769602</v>
      </c>
      <c r="F508">
        <v>0.26271819083701797</v>
      </c>
      <c r="G508">
        <v>0.14754865095063199</v>
      </c>
      <c r="H508">
        <v>9.1305071184915196E-2</v>
      </c>
      <c r="I508">
        <v>9.58880145837296E-2</v>
      </c>
      <c r="J508">
        <v>9.59706252752765E-2</v>
      </c>
      <c r="K508">
        <v>9.3644407553738401E-2</v>
      </c>
      <c r="L508">
        <v>729.41221218539397</v>
      </c>
      <c r="M508">
        <v>14.994535471414199</v>
      </c>
      <c r="N508">
        <v>49.127305575973303</v>
      </c>
      <c r="O508">
        <v>47.804584480034599</v>
      </c>
      <c r="P508">
        <v>-7.3058259032159303E-2</v>
      </c>
      <c r="Q508">
        <v>6.8416261497033601E-2</v>
      </c>
      <c r="R508">
        <v>0.99656130684038302</v>
      </c>
      <c r="S508" t="s">
        <v>7178</v>
      </c>
      <c r="T508" t="s">
        <v>13338</v>
      </c>
      <c r="U508" t="s">
        <v>13338</v>
      </c>
      <c r="V508" t="s">
        <v>13338</v>
      </c>
      <c r="W508" t="s">
        <v>13840</v>
      </c>
      <c r="X508">
        <v>11</v>
      </c>
      <c r="Y508" t="s">
        <v>20446</v>
      </c>
      <c r="Z508" t="s">
        <v>26923</v>
      </c>
      <c r="AA508">
        <v>0.36019981338086798</v>
      </c>
      <c r="AB508" t="str">
        <f>HYPERLINK("Melting_Curves/meltCurve_E9PFK9_RABGEF1.pdf", "Melting_Curves/meltCurve_E9PFK9_RABGEF1.pdf")</f>
        <v>Melting_Curves/meltCurve_E9PFK9_RABGEF1.pdf</v>
      </c>
    </row>
    <row r="509" spans="1:28" x14ac:dyDescent="0.25">
      <c r="A509" t="s">
        <v>513</v>
      </c>
      <c r="B509">
        <v>0.99193492352474899</v>
      </c>
      <c r="C509">
        <v>0.80399360882832505</v>
      </c>
      <c r="D509">
        <v>0.91139017867907601</v>
      </c>
      <c r="E509">
        <v>0.63343520209968196</v>
      </c>
      <c r="F509">
        <v>0.43378479403763498</v>
      </c>
      <c r="G509">
        <v>0.23659714759977599</v>
      </c>
      <c r="H509">
        <v>0.107864191232389</v>
      </c>
      <c r="I509">
        <v>9.1130480024219904E-2</v>
      </c>
      <c r="J509">
        <v>9.5720418476731906E-2</v>
      </c>
      <c r="K509">
        <v>0.11267220578696099</v>
      </c>
      <c r="L509">
        <v>715.78253992151201</v>
      </c>
      <c r="M509">
        <v>13.941521638161101</v>
      </c>
      <c r="N509">
        <v>51.743314662586599</v>
      </c>
      <c r="O509">
        <v>50.3200371611157</v>
      </c>
      <c r="P509">
        <v>-6.5721880006285302E-2</v>
      </c>
      <c r="Q509">
        <v>5.12704712520336E-2</v>
      </c>
      <c r="R509">
        <v>0.97645524226482205</v>
      </c>
      <c r="S509" t="s">
        <v>7179</v>
      </c>
      <c r="T509" t="s">
        <v>13338</v>
      </c>
      <c r="U509" t="s">
        <v>13338</v>
      </c>
      <c r="V509" t="s">
        <v>13338</v>
      </c>
      <c r="W509" t="s">
        <v>13841</v>
      </c>
      <c r="X509">
        <v>7</v>
      </c>
      <c r="Y509" t="s">
        <v>20447</v>
      </c>
      <c r="Z509" t="s">
        <v>26924</v>
      </c>
      <c r="AA509">
        <v>0.43427949891293338</v>
      </c>
      <c r="AB509" t="str">
        <f>HYPERLINK("Melting_Curves/meltCurve_E9PFP8_PCBP3.pdf", "Melting_Curves/meltCurve_E9PFP8_PCBP3.pdf")</f>
        <v>Melting_Curves/meltCurve_E9PFP8_PCBP3.pdf</v>
      </c>
    </row>
    <row r="510" spans="1:28" x14ac:dyDescent="0.25">
      <c r="A510" t="s">
        <v>514</v>
      </c>
      <c r="B510">
        <v>0.99193492352474899</v>
      </c>
      <c r="C510">
        <v>0.59795845246244295</v>
      </c>
      <c r="D510">
        <v>0.53505043867131397</v>
      </c>
      <c r="E510">
        <v>0.180805854214726</v>
      </c>
      <c r="F510">
        <v>0.111942510744614</v>
      </c>
      <c r="G510">
        <v>6.2221352030095198E-2</v>
      </c>
      <c r="H510">
        <v>3.6015148775270497E-2</v>
      </c>
      <c r="I510">
        <v>4.1380437716478799E-2</v>
      </c>
      <c r="J510">
        <v>4.5362547151352503E-2</v>
      </c>
      <c r="K510">
        <v>4.5103945613458603E-2</v>
      </c>
      <c r="L510">
        <v>739.18119894588597</v>
      </c>
      <c r="M510">
        <v>16.351070005155702</v>
      </c>
      <c r="N510">
        <v>45.396406828411003</v>
      </c>
      <c r="O510">
        <v>44.546944466312198</v>
      </c>
      <c r="P510">
        <v>-8.87426525417368E-2</v>
      </c>
      <c r="Q510">
        <v>3.2985776387040498E-2</v>
      </c>
      <c r="R510">
        <v>0.96739640060069698</v>
      </c>
      <c r="S510" t="s">
        <v>7180</v>
      </c>
      <c r="T510" t="s">
        <v>13338</v>
      </c>
      <c r="U510" t="s">
        <v>13338</v>
      </c>
      <c r="V510" t="s">
        <v>13338</v>
      </c>
      <c r="W510" t="s">
        <v>13842</v>
      </c>
      <c r="X510">
        <v>19</v>
      </c>
      <c r="Y510" t="s">
        <v>20448</v>
      </c>
      <c r="Z510" t="s">
        <v>26925</v>
      </c>
      <c r="AA510">
        <v>0.2260798743630959</v>
      </c>
      <c r="AB510" t="str">
        <f>HYPERLINK("Melting_Curves/meltCurve_E9PFR3_PPP2R5D.pdf", "Melting_Curves/meltCurve_E9PFR3_PPP2R5D.pdf")</f>
        <v>Melting_Curves/meltCurve_E9PFR3_PPP2R5D.pdf</v>
      </c>
    </row>
    <row r="511" spans="1:28" x14ac:dyDescent="0.25">
      <c r="A511" t="s">
        <v>515</v>
      </c>
      <c r="B511">
        <v>0.99193492352474899</v>
      </c>
      <c r="C511">
        <v>1.2757978960048399</v>
      </c>
      <c r="D511">
        <v>1.0770602026168601</v>
      </c>
      <c r="E511">
        <v>0.86560479137098301</v>
      </c>
      <c r="F511">
        <v>0.94031503995518195</v>
      </c>
      <c r="G511">
        <v>0.51054170794411802</v>
      </c>
      <c r="H511">
        <v>0.54524892868320696</v>
      </c>
      <c r="I511">
        <v>0.46549511466645399</v>
      </c>
      <c r="J511">
        <v>0.93934470748975896</v>
      </c>
      <c r="K511">
        <v>1.24967707435622</v>
      </c>
      <c r="L511">
        <v>1786.1626691231199</v>
      </c>
      <c r="M511">
        <v>34.690811770833797</v>
      </c>
      <c r="O511">
        <v>51.317869586464198</v>
      </c>
      <c r="P511">
        <v>-4.0993640474321302E-2</v>
      </c>
      <c r="Q511">
        <v>0.75743449043175803</v>
      </c>
      <c r="R511">
        <v>0.25306731366351398</v>
      </c>
      <c r="S511" t="s">
        <v>7181</v>
      </c>
      <c r="T511" t="s">
        <v>13338</v>
      </c>
      <c r="U511" t="s">
        <v>13338</v>
      </c>
      <c r="V511" t="s">
        <v>13338</v>
      </c>
      <c r="W511" t="s">
        <v>13843</v>
      </c>
      <c r="X511">
        <v>3</v>
      </c>
      <c r="Y511" t="s">
        <v>20449</v>
      </c>
      <c r="Z511" t="s">
        <v>26926</v>
      </c>
      <c r="AA511">
        <v>0.85147071242660965</v>
      </c>
      <c r="AB511" t="str">
        <f>HYPERLINK("Melting_Curves/meltCurve_E9PFU9_ZFAND2B.pdf", "Melting_Curves/meltCurve_E9PFU9_ZFAND2B.pdf")</f>
        <v>Melting_Curves/meltCurve_E9PFU9_ZFAND2B.pdf</v>
      </c>
    </row>
    <row r="512" spans="1:28" x14ac:dyDescent="0.25">
      <c r="A512" t="s">
        <v>516</v>
      </c>
      <c r="B512">
        <v>0.99193492352474899</v>
      </c>
      <c r="C512">
        <v>1.07377884243379</v>
      </c>
      <c r="D512">
        <v>0.37588428160103199</v>
      </c>
      <c r="E512">
        <v>0.212082261687742</v>
      </c>
      <c r="F512">
        <v>0.151659900452361</v>
      </c>
      <c r="G512">
        <v>0.103093970844684</v>
      </c>
      <c r="H512">
        <v>7.1161585107372693E-2</v>
      </c>
      <c r="I512">
        <v>0.106542109361561</v>
      </c>
      <c r="J512">
        <v>0.121011049322663</v>
      </c>
      <c r="K512">
        <v>0.12202057024009599</v>
      </c>
      <c r="L512">
        <v>11457.747712185799</v>
      </c>
      <c r="M512">
        <v>250</v>
      </c>
      <c r="N512">
        <v>45.8846871718901</v>
      </c>
      <c r="O512">
        <v>45.828057915006397</v>
      </c>
      <c r="P512">
        <v>-1.1908699077182501</v>
      </c>
      <c r="Q512">
        <v>0.12679591838621401</v>
      </c>
      <c r="R512">
        <v>0.98646229995090595</v>
      </c>
      <c r="S512" t="s">
        <v>7182</v>
      </c>
      <c r="T512" t="s">
        <v>13338</v>
      </c>
      <c r="U512" t="s">
        <v>13338</v>
      </c>
      <c r="V512" t="s">
        <v>13338</v>
      </c>
      <c r="W512" t="s">
        <v>13844</v>
      </c>
      <c r="X512">
        <v>2</v>
      </c>
      <c r="Y512" t="s">
        <v>20450</v>
      </c>
      <c r="Z512" t="s">
        <v>26927</v>
      </c>
      <c r="AA512">
        <v>0.29658765282606142</v>
      </c>
      <c r="AB512" t="str">
        <f>HYPERLINK("Melting_Curves/meltCurve_E9PG19_FCHSD2.pdf", "Melting_Curves/meltCurve_E9PG19_FCHSD2.pdf")</f>
        <v>Melting_Curves/meltCurve_E9PG19_FCHSD2.pdf</v>
      </c>
    </row>
    <row r="513" spans="1:28" x14ac:dyDescent="0.25">
      <c r="A513" t="s">
        <v>517</v>
      </c>
      <c r="B513">
        <v>0.99193492352474899</v>
      </c>
      <c r="C513">
        <v>0.81580605101873904</v>
      </c>
      <c r="D513">
        <v>0.64989069476522698</v>
      </c>
      <c r="E513">
        <v>0.19925200513000901</v>
      </c>
      <c r="F513">
        <v>0.13843382894194201</v>
      </c>
      <c r="G513">
        <v>6.7137135798938596E-2</v>
      </c>
      <c r="H513">
        <v>6.3953018684412097E-2</v>
      </c>
      <c r="I513">
        <v>4.70876519866366E-2</v>
      </c>
      <c r="J513">
        <v>5.0482738673121703E-2</v>
      </c>
      <c r="K513">
        <v>5.1137220806582701E-2</v>
      </c>
      <c r="L513">
        <v>1014.70056489756</v>
      </c>
      <c r="M513">
        <v>21.765128226047999</v>
      </c>
      <c r="N513">
        <v>46.848461359654699</v>
      </c>
      <c r="O513">
        <v>46.2322783231184</v>
      </c>
      <c r="P513">
        <v>-0.11178270565876</v>
      </c>
      <c r="Q513">
        <v>5.02517838781971E-2</v>
      </c>
      <c r="R513">
        <v>0.991171315884955</v>
      </c>
      <c r="S513" t="s">
        <v>7183</v>
      </c>
      <c r="T513" t="s">
        <v>13338</v>
      </c>
      <c r="U513" t="s">
        <v>13338</v>
      </c>
      <c r="V513" t="s">
        <v>13338</v>
      </c>
      <c r="W513" t="s">
        <v>13845</v>
      </c>
      <c r="X513">
        <v>9</v>
      </c>
      <c r="Y513" t="s">
        <v>20451</v>
      </c>
      <c r="Z513" t="s">
        <v>26928</v>
      </c>
      <c r="AA513">
        <v>0.27153747793791172</v>
      </c>
      <c r="AB513" t="str">
        <f>HYPERLINK("Melting_Curves/meltCurve_E9PG22_CEP97.pdf", "Melting_Curves/meltCurve_E9PG22_CEP97.pdf")</f>
        <v>Melting_Curves/meltCurve_E9PG22_CEP97.pdf</v>
      </c>
    </row>
    <row r="514" spans="1:28" x14ac:dyDescent="0.25">
      <c r="A514" t="s">
        <v>518</v>
      </c>
      <c r="B514">
        <v>0.99193492352474899</v>
      </c>
      <c r="C514">
        <v>0.88010632475143502</v>
      </c>
      <c r="D514">
        <v>0.862077717137541</v>
      </c>
      <c r="E514">
        <v>0.69989436656040305</v>
      </c>
      <c r="F514">
        <v>0.23084739578807401</v>
      </c>
      <c r="G514">
        <v>0.12701175978783599</v>
      </c>
      <c r="H514">
        <v>6.5008719094811401E-2</v>
      </c>
      <c r="I514">
        <v>7.4876528342039395E-2</v>
      </c>
      <c r="J514">
        <v>8.7957575257058801E-2</v>
      </c>
      <c r="K514">
        <v>9.9573753888063402E-2</v>
      </c>
      <c r="L514">
        <v>1264.2066450371001</v>
      </c>
      <c r="M514">
        <v>25.028087280492802</v>
      </c>
      <c r="N514">
        <v>50.827489849626403</v>
      </c>
      <c r="O514">
        <v>50.192359287490703</v>
      </c>
      <c r="P514">
        <v>-0.115681248022854</v>
      </c>
      <c r="Q514">
        <v>7.2044624093695303E-2</v>
      </c>
      <c r="R514">
        <v>0.98348615034756004</v>
      </c>
      <c r="S514" t="s">
        <v>7184</v>
      </c>
      <c r="T514" t="s">
        <v>13338</v>
      </c>
      <c r="U514" t="s">
        <v>13338</v>
      </c>
      <c r="V514" t="s">
        <v>13338</v>
      </c>
      <c r="W514" t="s">
        <v>13846</v>
      </c>
      <c r="X514">
        <v>2</v>
      </c>
      <c r="Y514" t="s">
        <v>20452</v>
      </c>
      <c r="Z514" t="s">
        <v>26929</v>
      </c>
      <c r="AA514">
        <v>0.40550523424591239</v>
      </c>
      <c r="AB514" t="str">
        <f>HYPERLINK("Melting_Curves/meltCurve_E9PG35_MCCC1.pdf", "Melting_Curves/meltCurve_E9PG35_MCCC1.pdf")</f>
        <v>Melting_Curves/meltCurve_E9PG35_MCCC1.pdf</v>
      </c>
    </row>
    <row r="515" spans="1:28" x14ac:dyDescent="0.25">
      <c r="A515" t="s">
        <v>519</v>
      </c>
      <c r="B515">
        <v>0.99193492352474899</v>
      </c>
      <c r="C515">
        <v>0.83370302855114897</v>
      </c>
      <c r="D515">
        <v>0.79285288376224405</v>
      </c>
      <c r="E515">
        <v>0.307341445260091</v>
      </c>
      <c r="F515">
        <v>0.18215974599936299</v>
      </c>
      <c r="G515">
        <v>0.29289456319940899</v>
      </c>
      <c r="H515">
        <v>8.6755816656621507E-2</v>
      </c>
      <c r="I515">
        <v>9.6982503372850595E-2</v>
      </c>
      <c r="J515">
        <v>0.110978837009009</v>
      </c>
      <c r="K515">
        <v>0.11481766931708499</v>
      </c>
      <c r="L515">
        <v>1056.57158364987</v>
      </c>
      <c r="M515">
        <v>22.251425813736901</v>
      </c>
      <c r="N515">
        <v>48.104980668838799</v>
      </c>
      <c r="O515">
        <v>47.104777831302499</v>
      </c>
      <c r="P515">
        <v>-0.10334172575612301</v>
      </c>
      <c r="Q515">
        <v>0.1249482055421</v>
      </c>
      <c r="R515">
        <v>0.96087569230877101</v>
      </c>
      <c r="S515" t="s">
        <v>7185</v>
      </c>
      <c r="T515" t="s">
        <v>13338</v>
      </c>
      <c r="U515" t="s">
        <v>13338</v>
      </c>
      <c r="V515" t="s">
        <v>13338</v>
      </c>
      <c r="W515" t="s">
        <v>13847</v>
      </c>
      <c r="X515">
        <v>7</v>
      </c>
      <c r="Y515" t="s">
        <v>20453</v>
      </c>
      <c r="Z515" t="s">
        <v>26930</v>
      </c>
      <c r="AA515">
        <v>0.35321489643675641</v>
      </c>
      <c r="AB515" t="str">
        <f>HYPERLINK("Melting_Curves/meltCurve_E9PGC0_RASA1.pdf", "Melting_Curves/meltCurve_E9PGC0_RASA1.pdf")</f>
        <v>Melting_Curves/meltCurve_E9PGC0_RASA1.pdf</v>
      </c>
    </row>
    <row r="516" spans="1:28" x14ac:dyDescent="0.25">
      <c r="A516" t="s">
        <v>520</v>
      </c>
      <c r="B516">
        <v>0.99193492352474899</v>
      </c>
      <c r="C516">
        <v>0.66692520927639498</v>
      </c>
      <c r="D516">
        <v>0.82508920751447001</v>
      </c>
      <c r="E516">
        <v>0.55904681394510403</v>
      </c>
      <c r="F516">
        <v>0.296770032919566</v>
      </c>
      <c r="G516">
        <v>0.15538610613957499</v>
      </c>
      <c r="H516">
        <v>0.13730400364721901</v>
      </c>
      <c r="I516">
        <v>0.16427801707051901</v>
      </c>
      <c r="J516">
        <v>0.19046737275874501</v>
      </c>
      <c r="K516">
        <v>0.27886891418866799</v>
      </c>
      <c r="L516">
        <v>669.67725252966102</v>
      </c>
      <c r="M516">
        <v>13.8945443539147</v>
      </c>
      <c r="N516">
        <v>49.499965035875498</v>
      </c>
      <c r="O516">
        <v>47.231701988627997</v>
      </c>
      <c r="P516">
        <v>-6.2290088305479503E-2</v>
      </c>
      <c r="Q516">
        <v>0.153145042435746</v>
      </c>
      <c r="R516">
        <v>0.90053076299391399</v>
      </c>
      <c r="S516" t="s">
        <v>7186</v>
      </c>
      <c r="T516" t="s">
        <v>13338</v>
      </c>
      <c r="U516" t="s">
        <v>13338</v>
      </c>
      <c r="V516" t="s">
        <v>13338</v>
      </c>
      <c r="W516" t="s">
        <v>13848</v>
      </c>
      <c r="X516">
        <v>62</v>
      </c>
      <c r="Y516" t="s">
        <v>20454</v>
      </c>
      <c r="Z516" t="s">
        <v>26931</v>
      </c>
      <c r="AA516">
        <v>0.40957181459880981</v>
      </c>
      <c r="AB516" t="str">
        <f>HYPERLINK("Melting_Curves/meltCurve_E9PGC8_MAP1A.pdf", "Melting_Curves/meltCurve_E9PGC8_MAP1A.pdf")</f>
        <v>Melting_Curves/meltCurve_E9PGC8_MAP1A.pdf</v>
      </c>
    </row>
    <row r="517" spans="1:28" x14ac:dyDescent="0.25">
      <c r="A517" t="s">
        <v>521</v>
      </c>
      <c r="B517">
        <v>0.99193492352474899</v>
      </c>
      <c r="C517">
        <v>1.0932558937710299</v>
      </c>
      <c r="D517">
        <v>1.1149028456007699</v>
      </c>
      <c r="E517">
        <v>0.41429257235498101</v>
      </c>
      <c r="F517">
        <v>0.199312271208131</v>
      </c>
      <c r="G517">
        <v>7.3605355751611201E-2</v>
      </c>
      <c r="H517">
        <v>5.5927838398074102E-2</v>
      </c>
      <c r="I517">
        <v>7.6768952522783401E-2</v>
      </c>
      <c r="J517">
        <v>0.11416013152955599</v>
      </c>
      <c r="K517">
        <v>8.0624584112098704E-2</v>
      </c>
      <c r="L517">
        <v>7200.0679199880997</v>
      </c>
      <c r="M517">
        <v>145.78522944413899</v>
      </c>
      <c r="N517">
        <v>49.463967676109498</v>
      </c>
      <c r="O517">
        <v>49.378894757383598</v>
      </c>
      <c r="P517">
        <v>-0.66424144906387195</v>
      </c>
      <c r="Q517">
        <v>0.10005952729983</v>
      </c>
      <c r="R517">
        <v>0.98118438058551105</v>
      </c>
      <c r="S517" t="s">
        <v>7187</v>
      </c>
      <c r="T517" t="s">
        <v>13338</v>
      </c>
      <c r="U517" t="s">
        <v>13338</v>
      </c>
      <c r="V517" t="s">
        <v>13338</v>
      </c>
      <c r="W517" t="s">
        <v>13849</v>
      </c>
      <c r="X517">
        <v>3</v>
      </c>
      <c r="Y517" t="s">
        <v>20455</v>
      </c>
      <c r="Z517" t="s">
        <v>26932</v>
      </c>
      <c r="AA517">
        <v>0.38191593923500572</v>
      </c>
      <c r="AB517" t="str">
        <f>HYPERLINK("Melting_Curves/meltCurve_E9PGE5_TBC1D23.pdf", "Melting_Curves/meltCurve_E9PGE5_TBC1D23.pdf")</f>
        <v>Melting_Curves/meltCurve_E9PGE5_TBC1D23.pdf</v>
      </c>
    </row>
    <row r="518" spans="1:28" x14ac:dyDescent="0.25">
      <c r="A518" t="s">
        <v>522</v>
      </c>
      <c r="B518">
        <v>0.99193492352474899</v>
      </c>
      <c r="C518">
        <v>0.99556704162561405</v>
      </c>
      <c r="D518">
        <v>0.83304673788579897</v>
      </c>
      <c r="E518">
        <v>0.69807185304874397</v>
      </c>
      <c r="F518">
        <v>0.33899522670292098</v>
      </c>
      <c r="G518">
        <v>0.15987408945671899</v>
      </c>
      <c r="H518">
        <v>0.102135130718241</v>
      </c>
      <c r="I518">
        <v>0.119837185558602</v>
      </c>
      <c r="J518">
        <v>0.152986850815442</v>
      </c>
      <c r="K518">
        <v>0.162738428743953</v>
      </c>
      <c r="L518">
        <v>1101.17056993662</v>
      </c>
      <c r="M518">
        <v>21.775517032950201</v>
      </c>
      <c r="N518">
        <v>51.211484780898999</v>
      </c>
      <c r="O518">
        <v>50.148518300311501</v>
      </c>
      <c r="P518">
        <v>-9.5585987346149301E-2</v>
      </c>
      <c r="Q518">
        <v>0.11949109582370999</v>
      </c>
      <c r="R518">
        <v>0.98962529728535897</v>
      </c>
      <c r="S518" t="s">
        <v>7188</v>
      </c>
      <c r="T518" t="s">
        <v>13338</v>
      </c>
      <c r="U518" t="s">
        <v>13338</v>
      </c>
      <c r="V518" t="s">
        <v>13338</v>
      </c>
      <c r="W518" t="s">
        <v>13850</v>
      </c>
      <c r="X518">
        <v>7</v>
      </c>
      <c r="Y518" t="s">
        <v>20456</v>
      </c>
      <c r="Z518" t="s">
        <v>26933</v>
      </c>
      <c r="AA518">
        <v>0.44008796073350698</v>
      </c>
      <c r="AB518" t="str">
        <f>HYPERLINK("Melting_Curves/meltCurve_E9PGF9_MGEA5.pdf", "Melting_Curves/meltCurve_E9PGF9_MGEA5.pdf")</f>
        <v>Melting_Curves/meltCurve_E9PGF9_MGEA5.pdf</v>
      </c>
    </row>
    <row r="519" spans="1:28" x14ac:dyDescent="0.25">
      <c r="A519" t="s">
        <v>523</v>
      </c>
      <c r="B519">
        <v>0.99193492352474899</v>
      </c>
      <c r="C519">
        <v>0.93171140122550899</v>
      </c>
      <c r="D519">
        <v>1.07793753836393</v>
      </c>
      <c r="E519">
        <v>0.98307803600785104</v>
      </c>
      <c r="F519">
        <v>0.85812779050087595</v>
      </c>
      <c r="G519">
        <v>0.77159108922683595</v>
      </c>
      <c r="H519">
        <v>0.61923578476942898</v>
      </c>
      <c r="I519">
        <v>0.75016780972421704</v>
      </c>
      <c r="J519">
        <v>0.77631232420305796</v>
      </c>
      <c r="K519">
        <v>0.68494621073820305</v>
      </c>
      <c r="L519">
        <v>1895.8978680892801</v>
      </c>
      <c r="M519">
        <v>35.502771180440199</v>
      </c>
      <c r="O519">
        <v>53.232852224568497</v>
      </c>
      <c r="P519">
        <v>-4.7969680476522503E-2</v>
      </c>
      <c r="Q519">
        <v>0.71229814996020901</v>
      </c>
      <c r="R519">
        <v>0.86184065704242996</v>
      </c>
      <c r="S519" t="s">
        <v>7189</v>
      </c>
      <c r="T519" t="s">
        <v>13338</v>
      </c>
      <c r="U519" t="s">
        <v>13338</v>
      </c>
      <c r="V519" t="s">
        <v>13338</v>
      </c>
      <c r="W519" t="s">
        <v>13851</v>
      </c>
      <c r="X519">
        <v>2</v>
      </c>
      <c r="Y519" t="s">
        <v>20457</v>
      </c>
      <c r="Z519" t="s">
        <v>26934</v>
      </c>
      <c r="AA519">
        <v>0.84216429295012873</v>
      </c>
      <c r="AB519" t="str">
        <f>HYPERLINK("Melting_Curves/meltCurve_E9PGQ0_SLC25A44.pdf", "Melting_Curves/meltCurve_E9PGQ0_SLC25A44.pdf")</f>
        <v>Melting_Curves/meltCurve_E9PGQ0_SLC25A44.pdf</v>
      </c>
    </row>
    <row r="520" spans="1:28" x14ac:dyDescent="0.25">
      <c r="A520" t="s">
        <v>524</v>
      </c>
      <c r="B520">
        <v>0.99193492352474899</v>
      </c>
      <c r="C520">
        <v>0.76183820681597603</v>
      </c>
      <c r="D520">
        <v>0.80461453297480801</v>
      </c>
      <c r="E520">
        <v>0.26857359345995901</v>
      </c>
      <c r="F520">
        <v>0.12502958229715599</v>
      </c>
      <c r="G520">
        <v>6.9595537699384105E-2</v>
      </c>
      <c r="H520">
        <v>4.8305899922902899E-2</v>
      </c>
      <c r="I520">
        <v>6.8391037241897101E-2</v>
      </c>
      <c r="J520">
        <v>8.1480225858532804E-2</v>
      </c>
      <c r="K520">
        <v>0.101867267039986</v>
      </c>
      <c r="L520">
        <v>1117.1757949729899</v>
      </c>
      <c r="M520">
        <v>23.518264249129501</v>
      </c>
      <c r="N520">
        <v>47.779114125265203</v>
      </c>
      <c r="O520">
        <v>47.163031377140399</v>
      </c>
      <c r="P520">
        <v>-0.11673149628418</v>
      </c>
      <c r="Q520">
        <v>6.3652551234229304E-2</v>
      </c>
      <c r="R520">
        <v>0.96456481232820601</v>
      </c>
      <c r="S520" t="s">
        <v>7190</v>
      </c>
      <c r="T520" t="s">
        <v>13338</v>
      </c>
      <c r="U520" t="s">
        <v>13338</v>
      </c>
      <c r="V520" t="s">
        <v>13338</v>
      </c>
      <c r="W520" t="s">
        <v>13852</v>
      </c>
      <c r="X520">
        <v>40</v>
      </c>
      <c r="Y520" t="s">
        <v>20458</v>
      </c>
      <c r="Z520" t="s">
        <v>26935</v>
      </c>
      <c r="AA520">
        <v>0.3072913192445263</v>
      </c>
      <c r="AB520" t="str">
        <f>HYPERLINK("Melting_Curves/meltCurve_E9PGQ4_FNBP1.pdf", "Melting_Curves/meltCurve_E9PGQ4_FNBP1.pdf")</f>
        <v>Melting_Curves/meltCurve_E9PGQ4_FNBP1.pdf</v>
      </c>
    </row>
    <row r="521" spans="1:28" x14ac:dyDescent="0.25">
      <c r="A521" t="s">
        <v>525</v>
      </c>
      <c r="B521">
        <v>0.99193492352474899</v>
      </c>
      <c r="C521">
        <v>0.978548926969665</v>
      </c>
      <c r="D521">
        <v>0.88744664162426101</v>
      </c>
      <c r="E521">
        <v>0.80560244608763798</v>
      </c>
      <c r="F521">
        <v>0.59067600814912002</v>
      </c>
      <c r="G521">
        <v>0.52124700174150196</v>
      </c>
      <c r="H521">
        <v>0.30210340909157801</v>
      </c>
      <c r="I521">
        <v>0.19533424369959301</v>
      </c>
      <c r="J521">
        <v>0.15858232974277101</v>
      </c>
      <c r="K521">
        <v>0.122928123897233</v>
      </c>
      <c r="L521">
        <v>574.43475450178005</v>
      </c>
      <c r="M521">
        <v>10.244600175283299</v>
      </c>
      <c r="N521">
        <v>56.071932894066499</v>
      </c>
      <c r="O521">
        <v>54.061433124085603</v>
      </c>
      <c r="P521">
        <v>-4.7395815434723598E-2</v>
      </c>
      <c r="Q521">
        <v>0</v>
      </c>
      <c r="R521">
        <v>0.99399365285402896</v>
      </c>
      <c r="S521" t="s">
        <v>7191</v>
      </c>
      <c r="T521" t="s">
        <v>13338</v>
      </c>
      <c r="U521" t="s">
        <v>13338</v>
      </c>
      <c r="V521" t="s">
        <v>13338</v>
      </c>
      <c r="W521" t="s">
        <v>13853</v>
      </c>
      <c r="X521">
        <v>17</v>
      </c>
      <c r="Y521" t="s">
        <v>20459</v>
      </c>
      <c r="Z521" t="s">
        <v>26936</v>
      </c>
      <c r="AA521">
        <v>0.55648012537717528</v>
      </c>
      <c r="AB521" t="str">
        <f>HYPERLINK("Melting_Curves/meltCurve_E9PGT1_TSN.pdf", "Melting_Curves/meltCurve_E9PGT1_TSN.pdf")</f>
        <v>Melting_Curves/meltCurve_E9PGT1_TSN.pdf</v>
      </c>
    </row>
    <row r="522" spans="1:28" x14ac:dyDescent="0.25">
      <c r="A522" t="s">
        <v>526</v>
      </c>
      <c r="B522">
        <v>0.99193492352474899</v>
      </c>
      <c r="C522">
        <v>0.998487570498657</v>
      </c>
      <c r="D522">
        <v>0.99760088373640399</v>
      </c>
      <c r="E522">
        <v>0.49789357438563098</v>
      </c>
      <c r="F522">
        <v>0.19276276709960299</v>
      </c>
      <c r="G522">
        <v>0.11320726369135101</v>
      </c>
      <c r="H522">
        <v>6.8181487661390303E-2</v>
      </c>
      <c r="I522">
        <v>7.4941903993822806E-2</v>
      </c>
      <c r="J522">
        <v>8.1778311614293303E-2</v>
      </c>
      <c r="K522">
        <v>7.6167682453683994E-2</v>
      </c>
      <c r="L522">
        <v>1860.46610683932</v>
      </c>
      <c r="M522">
        <v>37.615669898147999</v>
      </c>
      <c r="N522">
        <v>49.714992147535398</v>
      </c>
      <c r="O522">
        <v>49.320701468941003</v>
      </c>
      <c r="P522">
        <v>-0.17393374901323</v>
      </c>
      <c r="Q522">
        <v>8.7772517866166799E-2</v>
      </c>
      <c r="R522">
        <v>0.99632185065997703</v>
      </c>
      <c r="S522" t="s">
        <v>7192</v>
      </c>
      <c r="T522" t="s">
        <v>13338</v>
      </c>
      <c r="U522" t="s">
        <v>13338</v>
      </c>
      <c r="V522" t="s">
        <v>13338</v>
      </c>
      <c r="W522" t="s">
        <v>13854</v>
      </c>
      <c r="X522">
        <v>26</v>
      </c>
      <c r="Y522" t="s">
        <v>20460</v>
      </c>
      <c r="Z522" t="s">
        <v>26937</v>
      </c>
      <c r="AA522">
        <v>0.37895807971054413</v>
      </c>
      <c r="AB522" t="str">
        <f>HYPERLINK("Melting_Curves/meltCurve_E9PGT3_RPS6KA1.pdf", "Melting_Curves/meltCurve_E9PGT3_RPS6KA1.pdf")</f>
        <v>Melting_Curves/meltCurve_E9PGT3_RPS6KA1.pdf</v>
      </c>
    </row>
    <row r="523" spans="1:28" x14ac:dyDescent="0.25">
      <c r="A523" t="s">
        <v>527</v>
      </c>
      <c r="B523">
        <v>0.99193492352474899</v>
      </c>
      <c r="C523">
        <v>0.94132417455985495</v>
      </c>
      <c r="D523">
        <v>0.87894114191836104</v>
      </c>
      <c r="E523">
        <v>0.80776577648338699</v>
      </c>
      <c r="F523">
        <v>0.40368241531014498</v>
      </c>
      <c r="G523">
        <v>0.18894128072709901</v>
      </c>
      <c r="H523">
        <v>0.20987372745204799</v>
      </c>
      <c r="I523">
        <v>0.15045939076282699</v>
      </c>
      <c r="J523">
        <v>0.15388168237369201</v>
      </c>
      <c r="K523">
        <v>0.121902416159479</v>
      </c>
      <c r="L523">
        <v>1275.82248931145</v>
      </c>
      <c r="M523">
        <v>24.7455922245503</v>
      </c>
      <c r="N523">
        <v>52.271167418269698</v>
      </c>
      <c r="O523">
        <v>51.224401251114202</v>
      </c>
      <c r="P523">
        <v>-0.103460735822195</v>
      </c>
      <c r="Q523">
        <v>0.143340000336802</v>
      </c>
      <c r="R523">
        <v>0.98790431754649799</v>
      </c>
      <c r="S523" t="s">
        <v>7193</v>
      </c>
      <c r="T523" t="s">
        <v>13338</v>
      </c>
      <c r="U523" t="s">
        <v>13338</v>
      </c>
      <c r="V523" t="s">
        <v>13338</v>
      </c>
      <c r="W523" t="s">
        <v>13855</v>
      </c>
      <c r="X523">
        <v>7</v>
      </c>
      <c r="Y523" t="s">
        <v>20461</v>
      </c>
      <c r="Z523" t="s">
        <v>26938</v>
      </c>
      <c r="AA523">
        <v>0.48131179976761163</v>
      </c>
      <c r="AB523" t="str">
        <f>HYPERLINK("Melting_Curves/meltCurve_E9PGT6_COPS8.pdf", "Melting_Curves/meltCurve_E9PGT6_COPS8.pdf")</f>
        <v>Melting_Curves/meltCurve_E9PGT6_COPS8.pdf</v>
      </c>
    </row>
    <row r="524" spans="1:28" x14ac:dyDescent="0.25">
      <c r="A524" t="s">
        <v>528</v>
      </c>
      <c r="B524">
        <v>0.99193492352474899</v>
      </c>
      <c r="C524">
        <v>0.865849897721784</v>
      </c>
      <c r="D524">
        <v>0.79883420007680095</v>
      </c>
      <c r="E524">
        <v>0.76891130785330797</v>
      </c>
      <c r="F524">
        <v>0.59771343156118495</v>
      </c>
      <c r="G524">
        <v>0.50214807116157001</v>
      </c>
      <c r="H524">
        <v>0.162283222429148</v>
      </c>
      <c r="I524">
        <v>9.7398953472101701E-2</v>
      </c>
      <c r="J524">
        <v>8.4218859825973394E-2</v>
      </c>
      <c r="K524">
        <v>5.9505598883875799E-2</v>
      </c>
      <c r="L524">
        <v>614.55944629108296</v>
      </c>
      <c r="M524">
        <v>11.277525139715801</v>
      </c>
      <c r="N524">
        <v>54.494176506757</v>
      </c>
      <c r="O524">
        <v>52.865028867422303</v>
      </c>
      <c r="P524">
        <v>-5.3348032878529697E-2</v>
      </c>
      <c r="Q524">
        <v>0</v>
      </c>
      <c r="R524">
        <v>0.96601527673943899</v>
      </c>
      <c r="S524" t="s">
        <v>7194</v>
      </c>
      <c r="T524" t="s">
        <v>13338</v>
      </c>
      <c r="U524" t="s">
        <v>13338</v>
      </c>
      <c r="V524" t="s">
        <v>13338</v>
      </c>
      <c r="W524" t="s">
        <v>13856</v>
      </c>
      <c r="X524">
        <v>11</v>
      </c>
      <c r="Y524" t="s">
        <v>20462</v>
      </c>
      <c r="Z524" t="s">
        <v>26939</v>
      </c>
      <c r="AA524">
        <v>0.5091961174451487</v>
      </c>
      <c r="AB524" t="str">
        <f>HYPERLINK("Melting_Curves/meltCurve_E9PH29_PRDX3.pdf", "Melting_Curves/meltCurve_E9PH29_PRDX3.pdf")</f>
        <v>Melting_Curves/meltCurve_E9PH29_PRDX3.pdf</v>
      </c>
    </row>
    <row r="525" spans="1:28" x14ac:dyDescent="0.25">
      <c r="A525" t="s">
        <v>529</v>
      </c>
      <c r="B525">
        <v>0.99193492352474899</v>
      </c>
      <c r="C525">
        <v>0.91783801678610999</v>
      </c>
      <c r="D525">
        <v>1.03903404325844</v>
      </c>
      <c r="E525">
        <v>0.82758548362052298</v>
      </c>
      <c r="F525">
        <v>0.66822794229355198</v>
      </c>
      <c r="G525">
        <v>0.20826963534811299</v>
      </c>
      <c r="H525">
        <v>9.6558812922030807E-2</v>
      </c>
      <c r="I525">
        <v>9.2691381736854705E-2</v>
      </c>
      <c r="J525">
        <v>0.111157001931158</v>
      </c>
      <c r="K525">
        <v>0.119468173059678</v>
      </c>
      <c r="L525">
        <v>1528.94551332427</v>
      </c>
      <c r="M525">
        <v>28.448233975989499</v>
      </c>
      <c r="N525">
        <v>54.117972415026003</v>
      </c>
      <c r="O525">
        <v>53.481362777406098</v>
      </c>
      <c r="P525">
        <v>-0.121140189034914</v>
      </c>
      <c r="Q525">
        <v>8.9055545227061703E-2</v>
      </c>
      <c r="R525">
        <v>0.98392343391559101</v>
      </c>
      <c r="S525" t="s">
        <v>7195</v>
      </c>
      <c r="T525" t="s">
        <v>13338</v>
      </c>
      <c r="U525" t="s">
        <v>13338</v>
      </c>
      <c r="V525" t="s">
        <v>13338</v>
      </c>
      <c r="W525" t="s">
        <v>13857</v>
      </c>
      <c r="X525">
        <v>8</v>
      </c>
      <c r="Y525" t="s">
        <v>20463</v>
      </c>
      <c r="Z525" t="s">
        <v>26940</v>
      </c>
      <c r="AA525">
        <v>0.51302289689904224</v>
      </c>
      <c r="AB525" t="str">
        <f>HYPERLINK("Melting_Curves/meltCurve_E9PHG5_CYP20A1.pdf", "Melting_Curves/meltCurve_E9PHG5_CYP20A1.pdf")</f>
        <v>Melting_Curves/meltCurve_E9PHG5_CYP20A1.pdf</v>
      </c>
    </row>
    <row r="526" spans="1:28" x14ac:dyDescent="0.25">
      <c r="A526" t="s">
        <v>530</v>
      </c>
      <c r="B526">
        <v>0.99193492352474899</v>
      </c>
      <c r="C526">
        <v>0.88903891249873401</v>
      </c>
      <c r="D526">
        <v>0.92314670012914701</v>
      </c>
      <c r="E526">
        <v>0.68418209842631195</v>
      </c>
      <c r="F526">
        <v>0.30501003696880102</v>
      </c>
      <c r="G526">
        <v>0.13732513943147101</v>
      </c>
      <c r="H526">
        <v>8.6023249478331607E-2</v>
      </c>
      <c r="I526">
        <v>0.106466277931898</v>
      </c>
      <c r="J526">
        <v>0.12326466935651501</v>
      </c>
      <c r="K526">
        <v>0.14505736188262899</v>
      </c>
      <c r="L526">
        <v>1298.6846484284499</v>
      </c>
      <c r="M526">
        <v>25.6552918648235</v>
      </c>
      <c r="N526">
        <v>51.097406837851203</v>
      </c>
      <c r="O526">
        <v>50.315983997624599</v>
      </c>
      <c r="P526">
        <v>-0.113901679788056</v>
      </c>
      <c r="Q526">
        <v>0.106460283091589</v>
      </c>
      <c r="R526">
        <v>0.98942089043430703</v>
      </c>
      <c r="S526" t="s">
        <v>7196</v>
      </c>
      <c r="T526" t="s">
        <v>13338</v>
      </c>
      <c r="U526" t="s">
        <v>13338</v>
      </c>
      <c r="V526" t="s">
        <v>13338</v>
      </c>
      <c r="W526" t="s">
        <v>13858</v>
      </c>
      <c r="X526">
        <v>32</v>
      </c>
      <c r="Y526" t="s">
        <v>20464</v>
      </c>
      <c r="Z526" t="s">
        <v>26941</v>
      </c>
      <c r="AA526">
        <v>0.43042542690499452</v>
      </c>
      <c r="AB526" t="str">
        <f>HYPERLINK("Melting_Curves/meltCurve_E9PHY5_EPB41L2.pdf", "Melting_Curves/meltCurve_E9PHY5_EPB41L2.pdf")</f>
        <v>Melting_Curves/meltCurve_E9PHY5_EPB41L2.pdf</v>
      </c>
    </row>
    <row r="527" spans="1:28" x14ac:dyDescent="0.25">
      <c r="A527" t="s">
        <v>531</v>
      </c>
      <c r="B527">
        <v>0.99193492352474899</v>
      </c>
      <c r="C527">
        <v>0.92444990502871704</v>
      </c>
      <c r="D527">
        <v>0.96868549755302602</v>
      </c>
      <c r="E527">
        <v>0.61376930273667296</v>
      </c>
      <c r="F527">
        <v>0.49098390333180397</v>
      </c>
      <c r="G527">
        <v>0.22435345819199501</v>
      </c>
      <c r="H527">
        <v>0.179785155129425</v>
      </c>
      <c r="I527">
        <v>0.22288723324839799</v>
      </c>
      <c r="J527">
        <v>0.239757485330025</v>
      </c>
      <c r="K527">
        <v>0.29697989880246101</v>
      </c>
      <c r="L527">
        <v>1093.8619627722001</v>
      </c>
      <c r="M527">
        <v>21.744742866650601</v>
      </c>
      <c r="N527">
        <v>51.727461058768696</v>
      </c>
      <c r="O527">
        <v>49.885008087895599</v>
      </c>
      <c r="P527">
        <v>-8.4449107053336997E-2</v>
      </c>
      <c r="Q527">
        <v>0.225073213451847</v>
      </c>
      <c r="R527">
        <v>0.97050560055943702</v>
      </c>
      <c r="S527" t="s">
        <v>7197</v>
      </c>
      <c r="T527" t="s">
        <v>13338</v>
      </c>
      <c r="U527" t="s">
        <v>13338</v>
      </c>
      <c r="V527" t="s">
        <v>13338</v>
      </c>
      <c r="W527" t="s">
        <v>13859</v>
      </c>
      <c r="X527">
        <v>2</v>
      </c>
      <c r="Y527" t="s">
        <v>20465</v>
      </c>
      <c r="Z527" t="s">
        <v>26942</v>
      </c>
      <c r="AA527">
        <v>0.50041125288642141</v>
      </c>
      <c r="AB527" t="str">
        <f>HYPERLINK("Melting_Curves/meltCurve_E9PI30_CTSW.pdf", "Melting_Curves/meltCurve_E9PI30_CTSW.pdf")</f>
        <v>Melting_Curves/meltCurve_E9PI30_CTSW.pdf</v>
      </c>
    </row>
    <row r="528" spans="1:28" x14ac:dyDescent="0.25">
      <c r="A528" t="s">
        <v>532</v>
      </c>
      <c r="B528">
        <v>0.99193492352474899</v>
      </c>
      <c r="C528">
        <v>0.89970852254225897</v>
      </c>
      <c r="D528">
        <v>0.97916178708673995</v>
      </c>
      <c r="E528">
        <v>0.71213692621737701</v>
      </c>
      <c r="F528">
        <v>0.37018781396101402</v>
      </c>
      <c r="G528">
        <v>0.153984037519107</v>
      </c>
      <c r="H528">
        <v>0.10588729540307899</v>
      </c>
      <c r="I528">
        <v>0.12107878708250699</v>
      </c>
      <c r="J528">
        <v>0.13089539763482699</v>
      </c>
      <c r="K528">
        <v>9.2230210532536605E-2</v>
      </c>
      <c r="L528">
        <v>1279.64802718891</v>
      </c>
      <c r="M528">
        <v>24.994895216755602</v>
      </c>
      <c r="N528">
        <v>51.675964133382102</v>
      </c>
      <c r="O528">
        <v>50.872039835065699</v>
      </c>
      <c r="P528">
        <v>-0.110118679443966</v>
      </c>
      <c r="Q528">
        <v>0.103515114134549</v>
      </c>
      <c r="R528">
        <v>0.99178042551358103</v>
      </c>
      <c r="S528" t="s">
        <v>7198</v>
      </c>
      <c r="T528" t="s">
        <v>13338</v>
      </c>
      <c r="U528" t="s">
        <v>13338</v>
      </c>
      <c r="V528" t="s">
        <v>13338</v>
      </c>
      <c r="W528" t="s">
        <v>13860</v>
      </c>
      <c r="X528">
        <v>10</v>
      </c>
      <c r="Y528" t="s">
        <v>20466</v>
      </c>
      <c r="Z528" t="s">
        <v>26943</v>
      </c>
      <c r="AA528">
        <v>0.44621382941168941</v>
      </c>
      <c r="AB528" t="str">
        <f>HYPERLINK("Melting_Curves/meltCurve_E9PI68_SPCS2.pdf", "Melting_Curves/meltCurve_E9PI68_SPCS2.pdf")</f>
        <v>Melting_Curves/meltCurve_E9PI68_SPCS2.pdf</v>
      </c>
    </row>
    <row r="529" spans="1:28" x14ac:dyDescent="0.25">
      <c r="A529" t="s">
        <v>533</v>
      </c>
      <c r="B529">
        <v>0.99193492352474899</v>
      </c>
      <c r="C529">
        <v>0.62809168794094505</v>
      </c>
      <c r="D529">
        <v>1.26844515903426</v>
      </c>
      <c r="E529">
        <v>0.56806604033026498</v>
      </c>
      <c r="F529">
        <v>0.653110082487387</v>
      </c>
      <c r="G529">
        <v>0.62756233524151905</v>
      </c>
      <c r="H529">
        <v>0.199286268947197</v>
      </c>
      <c r="I529">
        <v>0.169111102455025</v>
      </c>
      <c r="J529">
        <v>0.14323510557212199</v>
      </c>
      <c r="K529">
        <v>0.17633976698227499</v>
      </c>
      <c r="L529">
        <v>569.53120879813002</v>
      </c>
      <c r="M529">
        <v>10.1671991400229</v>
      </c>
      <c r="N529">
        <v>56.016515586194103</v>
      </c>
      <c r="O529">
        <v>53.979124802477401</v>
      </c>
      <c r="P529">
        <v>-4.71100650654937E-2</v>
      </c>
      <c r="Q529">
        <v>0</v>
      </c>
      <c r="R529">
        <v>0.74205831638458197</v>
      </c>
      <c r="S529" t="s">
        <v>7199</v>
      </c>
      <c r="T529" t="s">
        <v>13338</v>
      </c>
      <c r="U529" t="s">
        <v>13338</v>
      </c>
      <c r="V529" t="s">
        <v>13338</v>
      </c>
      <c r="W529" t="s">
        <v>13861</v>
      </c>
      <c r="X529">
        <v>1</v>
      </c>
      <c r="Y529" t="s">
        <v>20467</v>
      </c>
      <c r="Z529" t="s">
        <v>26944</v>
      </c>
      <c r="AA529">
        <v>0.55490188134037577</v>
      </c>
      <c r="AB529" t="str">
        <f>HYPERLINK("Melting_Curves/meltCurve_E9PIB9_GLI1.pdf", "Melting_Curves/meltCurve_E9PIB9_GLI1.pdf")</f>
        <v>Melting_Curves/meltCurve_E9PIB9_GLI1.pdf</v>
      </c>
    </row>
    <row r="530" spans="1:28" x14ac:dyDescent="0.25">
      <c r="A530" t="s">
        <v>534</v>
      </c>
      <c r="B530">
        <v>0.99193492352474899</v>
      </c>
      <c r="C530">
        <v>1.02414720878238</v>
      </c>
      <c r="D530">
        <v>1.1947639337454901</v>
      </c>
      <c r="E530">
        <v>0.86029121059667901</v>
      </c>
      <c r="F530">
        <v>0.67592495356461801</v>
      </c>
      <c r="G530">
        <v>0.402828256679515</v>
      </c>
      <c r="H530">
        <v>0.21739530705239701</v>
      </c>
      <c r="I530">
        <v>0.183474549153821</v>
      </c>
      <c r="J530">
        <v>0.15129638615046301</v>
      </c>
      <c r="K530">
        <v>0.12908616211926999</v>
      </c>
      <c r="L530">
        <v>1200.41808663237</v>
      </c>
      <c r="M530">
        <v>22.022094684049101</v>
      </c>
      <c r="N530">
        <v>55.324591880893699</v>
      </c>
      <c r="O530">
        <v>54.066211654986397</v>
      </c>
      <c r="P530">
        <v>-8.7727219171563606E-2</v>
      </c>
      <c r="Q530">
        <v>0.13850654011789401</v>
      </c>
      <c r="R530">
        <v>0.96889504845732199</v>
      </c>
      <c r="S530" t="s">
        <v>7200</v>
      </c>
      <c r="T530" t="s">
        <v>13338</v>
      </c>
      <c r="U530" t="s">
        <v>13338</v>
      </c>
      <c r="V530" t="s">
        <v>13338</v>
      </c>
      <c r="W530" t="s">
        <v>13862</v>
      </c>
      <c r="X530">
        <v>6</v>
      </c>
      <c r="Y530" t="s">
        <v>20468</v>
      </c>
      <c r="Z530" t="s">
        <v>26945</v>
      </c>
      <c r="AA530">
        <v>0.56510760667282034</v>
      </c>
      <c r="AB530" t="str">
        <f>HYPERLINK("Melting_Curves/meltCurve_E9PIE4_MTCH2.pdf", "Melting_Curves/meltCurve_E9PIE4_MTCH2.pdf")</f>
        <v>Melting_Curves/meltCurve_E9PIE4_MTCH2.pdf</v>
      </c>
    </row>
    <row r="531" spans="1:28" x14ac:dyDescent="0.25">
      <c r="A531" t="s">
        <v>535</v>
      </c>
      <c r="B531">
        <v>0.99193492352474899</v>
      </c>
      <c r="C531">
        <v>0.74494469732244495</v>
      </c>
      <c r="D531">
        <v>0.93223042741259499</v>
      </c>
      <c r="E531">
        <v>0.61282199318153496</v>
      </c>
      <c r="F531">
        <v>0.65471053343982399</v>
      </c>
      <c r="G531">
        <v>0.43865735118053001</v>
      </c>
      <c r="H531">
        <v>0.36775558742886999</v>
      </c>
      <c r="I531">
        <v>0.38166519766302498</v>
      </c>
      <c r="J531">
        <v>0.51577308793238197</v>
      </c>
      <c r="K531">
        <v>0.52750197952151101</v>
      </c>
      <c r="L531">
        <v>606.70731433958599</v>
      </c>
      <c r="M531">
        <v>12.5637487730296</v>
      </c>
      <c r="N531">
        <v>57.043414717605302</v>
      </c>
      <c r="O531">
        <v>47.115888520994098</v>
      </c>
      <c r="P531">
        <v>-3.8188185574705998E-2</v>
      </c>
      <c r="Q531">
        <v>0.42727055892504601</v>
      </c>
      <c r="R531">
        <v>0.79706183257863505</v>
      </c>
      <c r="S531" t="s">
        <v>7201</v>
      </c>
      <c r="T531" t="s">
        <v>13338</v>
      </c>
      <c r="U531" t="s">
        <v>13338</v>
      </c>
      <c r="V531" t="s">
        <v>13338</v>
      </c>
      <c r="W531" t="s">
        <v>13863</v>
      </c>
      <c r="X531">
        <v>3</v>
      </c>
      <c r="Y531" t="s">
        <v>20469</v>
      </c>
      <c r="Z531" t="s">
        <v>26946</v>
      </c>
      <c r="AA531">
        <v>0.60582024629158648</v>
      </c>
      <c r="AB531" t="str">
        <f>HYPERLINK("Melting_Curves/meltCurve_E9PIM6_THY1.pdf", "Melting_Curves/meltCurve_E9PIM6_THY1.pdf")</f>
        <v>Melting_Curves/meltCurve_E9PIM6_THY1.pdf</v>
      </c>
    </row>
    <row r="532" spans="1:28" x14ac:dyDescent="0.25">
      <c r="A532" t="s">
        <v>536</v>
      </c>
      <c r="B532">
        <v>0.99193492352474899</v>
      </c>
      <c r="C532">
        <v>0.64371021256740801</v>
      </c>
      <c r="D532">
        <v>0.56431023618383302</v>
      </c>
      <c r="E532">
        <v>0.36706227619610698</v>
      </c>
      <c r="F532">
        <v>0.35296865727334997</v>
      </c>
      <c r="G532">
        <v>0.18798632084308101</v>
      </c>
      <c r="H532">
        <v>0.140751997856505</v>
      </c>
      <c r="I532">
        <v>0.28524839889965298</v>
      </c>
      <c r="J532">
        <v>0.35188930735889701</v>
      </c>
      <c r="K532">
        <v>0.55498705106497204</v>
      </c>
      <c r="L532">
        <v>906.93916439556097</v>
      </c>
      <c r="M532">
        <v>20.7096462104981</v>
      </c>
      <c r="N532">
        <v>45.962746396512898</v>
      </c>
      <c r="O532">
        <v>43.390883426142899</v>
      </c>
      <c r="P532">
        <v>-8.2107471795021605E-2</v>
      </c>
      <c r="Q532">
        <v>0.31189269591568503</v>
      </c>
      <c r="R532">
        <v>0.77935612346122096</v>
      </c>
      <c r="S532" t="s">
        <v>7202</v>
      </c>
      <c r="T532" t="s">
        <v>13338</v>
      </c>
      <c r="U532" t="s">
        <v>13338</v>
      </c>
      <c r="V532" t="s">
        <v>13338</v>
      </c>
      <c r="W532" t="s">
        <v>13864</v>
      </c>
      <c r="X532">
        <v>1</v>
      </c>
      <c r="Y532" t="s">
        <v>20470</v>
      </c>
      <c r="Z532" t="s">
        <v>26947</v>
      </c>
      <c r="AA532">
        <v>0.41168899029750178</v>
      </c>
      <c r="AB532" t="str">
        <f>HYPERLINK("Melting_Curves/meltCurve_E9PJ24_PHRF1.pdf", "Melting_Curves/meltCurve_E9PJ24_PHRF1.pdf")</f>
        <v>Melting_Curves/meltCurve_E9PJ24_PHRF1.pdf</v>
      </c>
    </row>
    <row r="533" spans="1:28" x14ac:dyDescent="0.25">
      <c r="A533" t="s">
        <v>537</v>
      </c>
      <c r="B533">
        <v>0.99193492352474899</v>
      </c>
      <c r="C533">
        <v>0.80987374893741704</v>
      </c>
      <c r="D533">
        <v>0.79067303020317203</v>
      </c>
      <c r="E533">
        <v>0.29336233837888698</v>
      </c>
      <c r="F533">
        <v>0.18530742880172399</v>
      </c>
      <c r="G533">
        <v>0.10809834426791901</v>
      </c>
      <c r="H533">
        <v>8.1516744204612801E-2</v>
      </c>
      <c r="I533">
        <v>7.5534698366283695E-2</v>
      </c>
      <c r="J533">
        <v>8.8516422688361907E-2</v>
      </c>
      <c r="K533">
        <v>9.8230733413712495E-2</v>
      </c>
      <c r="L533">
        <v>1043.7150086076799</v>
      </c>
      <c r="M533">
        <v>21.935775113235099</v>
      </c>
      <c r="N533">
        <v>47.972802128110899</v>
      </c>
      <c r="O533">
        <v>47.190355089362299</v>
      </c>
      <c r="P533">
        <v>-0.106669764319045</v>
      </c>
      <c r="Q533">
        <v>8.2107600538775194E-2</v>
      </c>
      <c r="R533">
        <v>0.97982168479447296</v>
      </c>
      <c r="S533" t="s">
        <v>7203</v>
      </c>
      <c r="T533" t="s">
        <v>13338</v>
      </c>
      <c r="U533" t="s">
        <v>13338</v>
      </c>
      <c r="V533" t="s">
        <v>13338</v>
      </c>
      <c r="W533" t="s">
        <v>13865</v>
      </c>
      <c r="X533">
        <v>3</v>
      </c>
      <c r="Y533" t="s">
        <v>20471</v>
      </c>
      <c r="Z533" t="s">
        <v>26948</v>
      </c>
      <c r="AA533">
        <v>0.32483244754068791</v>
      </c>
      <c r="AB533" t="str">
        <f>HYPERLINK("Melting_Curves/meltCurve_E9PJ55_TCP11L1.pdf", "Melting_Curves/meltCurve_E9PJ55_TCP11L1.pdf")</f>
        <v>Melting_Curves/meltCurve_E9PJ55_TCP11L1.pdf</v>
      </c>
    </row>
    <row r="534" spans="1:28" x14ac:dyDescent="0.25">
      <c r="A534" t="s">
        <v>538</v>
      </c>
      <c r="B534">
        <v>0.99193492352474899</v>
      </c>
      <c r="C534">
        <v>0.55762746770671001</v>
      </c>
      <c r="D534">
        <v>0.89540852814516603</v>
      </c>
      <c r="E534">
        <v>0.51897597983062305</v>
      </c>
      <c r="F534">
        <v>0.74260402090106303</v>
      </c>
      <c r="G534">
        <v>0.24257971268150999</v>
      </c>
      <c r="H534">
        <v>9.7359199005479194E-2</v>
      </c>
      <c r="I534">
        <v>8.1409942125730703E-2</v>
      </c>
      <c r="J534">
        <v>8.1017505361822006E-2</v>
      </c>
      <c r="K534">
        <v>7.5575008484500106E-2</v>
      </c>
      <c r="L534">
        <v>480.377536669037</v>
      </c>
      <c r="M534">
        <v>9.2539915825371803</v>
      </c>
      <c r="N534">
        <v>51.910300520496897</v>
      </c>
      <c r="O534">
        <v>49.6589275144281</v>
      </c>
      <c r="P534">
        <v>-4.6618199952464398E-2</v>
      </c>
      <c r="Q534">
        <v>0</v>
      </c>
      <c r="R534">
        <v>0.79624670930424801</v>
      </c>
      <c r="S534" t="s">
        <v>7204</v>
      </c>
      <c r="T534" t="s">
        <v>13338</v>
      </c>
      <c r="U534" t="s">
        <v>13338</v>
      </c>
      <c r="V534" t="s">
        <v>13338</v>
      </c>
      <c r="W534" t="s">
        <v>13866</v>
      </c>
      <c r="X534">
        <v>2</v>
      </c>
      <c r="Y534" t="s">
        <v>20472</v>
      </c>
      <c r="Z534" t="s">
        <v>26949</v>
      </c>
      <c r="AA534">
        <v>0.43857421748782532</v>
      </c>
      <c r="AB534" t="str">
        <f>HYPERLINK("Melting_Curves/meltCurve_E9PJ64_PDE4DIP.pdf", "Melting_Curves/meltCurve_E9PJ64_PDE4DIP.pdf")</f>
        <v>Melting_Curves/meltCurve_E9PJ64_PDE4DIP.pdf</v>
      </c>
    </row>
    <row r="535" spans="1:28" x14ac:dyDescent="0.25">
      <c r="A535" t="s">
        <v>539</v>
      </c>
      <c r="B535">
        <v>0.99193492352474899</v>
      </c>
      <c r="C535">
        <v>0.85485895186474103</v>
      </c>
      <c r="D535">
        <v>0.81656314744978697</v>
      </c>
      <c r="E535">
        <v>0.50651730564520903</v>
      </c>
      <c r="F535">
        <v>0.28949044520047401</v>
      </c>
      <c r="G535">
        <v>0.18806675640676099</v>
      </c>
      <c r="H535">
        <v>0.124755633060708</v>
      </c>
      <c r="I535">
        <v>0.15610752744766701</v>
      </c>
      <c r="J535">
        <v>0.165420494442794</v>
      </c>
      <c r="K535">
        <v>0.20287216136024799</v>
      </c>
      <c r="L535">
        <v>896.68191851699896</v>
      </c>
      <c r="M535">
        <v>18.431437932856099</v>
      </c>
      <c r="N535">
        <v>49.602967934199</v>
      </c>
      <c r="O535">
        <v>48.087759037582003</v>
      </c>
      <c r="P535">
        <v>-8.1533517775818604E-2</v>
      </c>
      <c r="Q535">
        <v>0.14915198422016701</v>
      </c>
      <c r="R535">
        <v>0.98761779904254199</v>
      </c>
      <c r="S535" t="s">
        <v>7205</v>
      </c>
      <c r="T535" t="s">
        <v>13338</v>
      </c>
      <c r="U535" t="s">
        <v>13338</v>
      </c>
      <c r="V535" t="s">
        <v>13338</v>
      </c>
      <c r="W535" t="s">
        <v>13867</v>
      </c>
      <c r="X535">
        <v>10</v>
      </c>
      <c r="Y535" t="s">
        <v>20473</v>
      </c>
      <c r="Z535" t="s">
        <v>26950</v>
      </c>
      <c r="AA535">
        <v>0.40861396714164139</v>
      </c>
      <c r="AB535" t="str">
        <f>HYPERLINK("Melting_Curves/meltCurve_E9PJ81_UBXN1.pdf", "Melting_Curves/meltCurve_E9PJ81_UBXN1.pdf")</f>
        <v>Melting_Curves/meltCurve_E9PJ81_UBXN1.pdf</v>
      </c>
    </row>
    <row r="536" spans="1:28" x14ac:dyDescent="0.25">
      <c r="A536" t="s">
        <v>540</v>
      </c>
      <c r="B536">
        <v>0.99193492352474899</v>
      </c>
      <c r="C536">
        <v>1.08622390374185</v>
      </c>
      <c r="D536">
        <v>0.82861650470969195</v>
      </c>
      <c r="E536">
        <v>0.71467103249324404</v>
      </c>
      <c r="F536">
        <v>0.46852507278814998</v>
      </c>
      <c r="G536">
        <v>0.32395764497111201</v>
      </c>
      <c r="H536">
        <v>0.10951696570799099</v>
      </c>
      <c r="I536">
        <v>5.5671684713138499E-2</v>
      </c>
      <c r="J536">
        <v>5.6551514047013897E-2</v>
      </c>
      <c r="K536">
        <v>0.102804145983866</v>
      </c>
      <c r="L536">
        <v>777.44923805411599</v>
      </c>
      <c r="M536">
        <v>14.787094541044601</v>
      </c>
      <c r="N536">
        <v>52.799004955723397</v>
      </c>
      <c r="O536">
        <v>51.642734237616502</v>
      </c>
      <c r="P536">
        <v>-6.9425890852842106E-2</v>
      </c>
      <c r="Q536">
        <v>3.0246333379251401E-2</v>
      </c>
      <c r="R536">
        <v>0.98175032327780798</v>
      </c>
      <c r="S536" t="s">
        <v>7206</v>
      </c>
      <c r="T536" t="s">
        <v>13338</v>
      </c>
      <c r="U536" t="s">
        <v>13338</v>
      </c>
      <c r="V536" t="s">
        <v>13338</v>
      </c>
      <c r="W536" t="s">
        <v>13868</v>
      </c>
      <c r="X536">
        <v>7</v>
      </c>
      <c r="Y536" t="s">
        <v>20474</v>
      </c>
      <c r="Z536" t="s">
        <v>26951</v>
      </c>
      <c r="AA536">
        <v>0.45844350378866378</v>
      </c>
      <c r="AB536" t="str">
        <f>HYPERLINK("Melting_Curves/meltCurve_E9PJD7_CYHR1.pdf", "Melting_Curves/meltCurve_E9PJD7_CYHR1.pdf")</f>
        <v>Melting_Curves/meltCurve_E9PJD7_CYHR1.pdf</v>
      </c>
    </row>
    <row r="537" spans="1:28" x14ac:dyDescent="0.25">
      <c r="A537" t="s">
        <v>541</v>
      </c>
      <c r="B537">
        <v>0.99193492352474899</v>
      </c>
      <c r="C537">
        <v>0.52963287984287999</v>
      </c>
      <c r="D537">
        <v>0.49179414042089498</v>
      </c>
      <c r="E537">
        <v>0.22716893330933599</v>
      </c>
      <c r="F537">
        <v>0.15078034717823299</v>
      </c>
      <c r="G537">
        <v>8.3051574358924393E-2</v>
      </c>
      <c r="H537">
        <v>6.7862554945925399E-2</v>
      </c>
      <c r="I537">
        <v>7.1364716887986304E-2</v>
      </c>
      <c r="J537">
        <v>7.4817981347532606E-2</v>
      </c>
      <c r="K537">
        <v>6.8312472388931594E-2</v>
      </c>
      <c r="L537">
        <v>692.62308530457403</v>
      </c>
      <c r="M537">
        <v>15.534585668589701</v>
      </c>
      <c r="N537">
        <v>44.993512307809702</v>
      </c>
      <c r="O537">
        <v>43.866638381545599</v>
      </c>
      <c r="P537">
        <v>-8.2728708734381998E-2</v>
      </c>
      <c r="Q537">
        <v>6.5643359855403705E-2</v>
      </c>
      <c r="R537">
        <v>0.95118138115020501</v>
      </c>
      <c r="S537" t="s">
        <v>7207</v>
      </c>
      <c r="T537" t="s">
        <v>13338</v>
      </c>
      <c r="U537" t="s">
        <v>13338</v>
      </c>
      <c r="V537" t="s">
        <v>13338</v>
      </c>
      <c r="W537" t="s">
        <v>13869</v>
      </c>
      <c r="X537">
        <v>2</v>
      </c>
      <c r="Y537" t="s">
        <v>20475</v>
      </c>
      <c r="Z537" t="s">
        <v>26952</v>
      </c>
      <c r="AA537">
        <v>0.23770171892492509</v>
      </c>
      <c r="AB537" t="str">
        <f>HYPERLINK("Melting_Curves/meltCurve_E9PJF5_BRMS1.pdf", "Melting_Curves/meltCurve_E9PJF5_BRMS1.pdf")</f>
        <v>Melting_Curves/meltCurve_E9PJF5_BRMS1.pdf</v>
      </c>
    </row>
    <row r="538" spans="1:28" x14ac:dyDescent="0.25">
      <c r="A538" t="s">
        <v>542</v>
      </c>
      <c r="B538">
        <v>0.99193492352474899</v>
      </c>
      <c r="C538">
        <v>1.0564443253047</v>
      </c>
      <c r="D538">
        <v>0.80684208472560504</v>
      </c>
      <c r="E538">
        <v>0.83766872378760804</v>
      </c>
      <c r="F538">
        <v>0.66374939453769999</v>
      </c>
      <c r="G538">
        <v>0.61665831325895004</v>
      </c>
      <c r="H538">
        <v>0.53328065248824097</v>
      </c>
      <c r="I538">
        <v>0.65565496810270996</v>
      </c>
      <c r="J538">
        <v>0.58468776238412101</v>
      </c>
      <c r="K538">
        <v>0.89763624046386303</v>
      </c>
      <c r="L538">
        <v>1052.6156993142599</v>
      </c>
      <c r="M538">
        <v>22.108602914332</v>
      </c>
      <c r="O538">
        <v>47.226743695211098</v>
      </c>
      <c r="P538">
        <v>-4.0026611083248502E-2</v>
      </c>
      <c r="Q538">
        <v>0.65800007727071896</v>
      </c>
      <c r="R538">
        <v>0.64685361209327796</v>
      </c>
      <c r="S538" t="s">
        <v>7208</v>
      </c>
      <c r="T538" t="s">
        <v>13338</v>
      </c>
      <c r="U538" t="s">
        <v>13338</v>
      </c>
      <c r="V538" t="s">
        <v>13338</v>
      </c>
      <c r="W538" t="s">
        <v>13870</v>
      </c>
      <c r="X538">
        <v>5</v>
      </c>
      <c r="Y538" t="s">
        <v>20476</v>
      </c>
      <c r="Z538" t="s">
        <v>26953</v>
      </c>
      <c r="AA538">
        <v>0.74871685036212043</v>
      </c>
      <c r="AB538" t="str">
        <f>HYPERLINK("Melting_Curves/meltCurve_E9PJK1_CD81.pdf", "Melting_Curves/meltCurve_E9PJK1_CD81.pdf")</f>
        <v>Melting_Curves/meltCurve_E9PJK1_CD81.pdf</v>
      </c>
    </row>
    <row r="539" spans="1:28" x14ac:dyDescent="0.25">
      <c r="A539" t="s">
        <v>543</v>
      </c>
      <c r="B539">
        <v>0.99193492352474899</v>
      </c>
      <c r="C539">
        <v>1.02111028267147</v>
      </c>
      <c r="D539">
        <v>0.93654992701591999</v>
      </c>
      <c r="E539">
        <v>0.74669580082604103</v>
      </c>
      <c r="F539">
        <v>0.43899123687969399</v>
      </c>
      <c r="G539">
        <v>0.22319677545609301</v>
      </c>
      <c r="H539">
        <v>8.5019607942282499E-2</v>
      </c>
      <c r="I539">
        <v>9.8625674564422006E-2</v>
      </c>
      <c r="J539">
        <v>0.107288087955016</v>
      </c>
      <c r="K539">
        <v>0.10862600791839</v>
      </c>
      <c r="L539">
        <v>1105.59298912431</v>
      </c>
      <c r="M539">
        <v>21.288495605599401</v>
      </c>
      <c r="N539">
        <v>52.4018623685565</v>
      </c>
      <c r="O539">
        <v>51.482056015860003</v>
      </c>
      <c r="P539">
        <v>-9.4430312850982898E-2</v>
      </c>
      <c r="Q539">
        <v>8.6577945950977994E-2</v>
      </c>
      <c r="R539">
        <v>0.99761997691015802</v>
      </c>
      <c r="S539" t="s">
        <v>7209</v>
      </c>
      <c r="T539" t="s">
        <v>13338</v>
      </c>
      <c r="U539" t="s">
        <v>13338</v>
      </c>
      <c r="V539" t="s">
        <v>13338</v>
      </c>
      <c r="W539" t="s">
        <v>13871</v>
      </c>
      <c r="X539">
        <v>5</v>
      </c>
      <c r="Y539" t="s">
        <v>20477</v>
      </c>
      <c r="Z539" t="s">
        <v>26954</v>
      </c>
      <c r="AA539">
        <v>0.46121800094784049</v>
      </c>
      <c r="AB539" t="str">
        <f>HYPERLINK("Melting_Curves/meltCurve_E9PJM3_FBXO3.pdf", "Melting_Curves/meltCurve_E9PJM3_FBXO3.pdf")</f>
        <v>Melting_Curves/meltCurve_E9PJM3_FBXO3.pdf</v>
      </c>
    </row>
    <row r="540" spans="1:28" x14ac:dyDescent="0.25">
      <c r="A540" t="s">
        <v>544</v>
      </c>
      <c r="B540">
        <v>0.99193492352474899</v>
      </c>
      <c r="C540">
        <v>0.92031932621906898</v>
      </c>
      <c r="D540">
        <v>0.84017302902565105</v>
      </c>
      <c r="E540">
        <v>0.56498136371524099</v>
      </c>
      <c r="F540">
        <v>0.348304666936957</v>
      </c>
      <c r="G540">
        <v>0.117361308670863</v>
      </c>
      <c r="H540">
        <v>7.46684319557821E-2</v>
      </c>
      <c r="I540">
        <v>0.10835443718401901</v>
      </c>
      <c r="J540">
        <v>0.14765732491820999</v>
      </c>
      <c r="K540">
        <v>0.217506142340191</v>
      </c>
      <c r="L540">
        <v>984.77685157851897</v>
      </c>
      <c r="M540">
        <v>19.856983833723199</v>
      </c>
      <c r="N540">
        <v>50.293075903397202</v>
      </c>
      <c r="O540">
        <v>49.098704957202997</v>
      </c>
      <c r="P540">
        <v>-8.8909169029605203E-2</v>
      </c>
      <c r="Q540">
        <v>0.120676155792506</v>
      </c>
      <c r="R540">
        <v>0.98074018816477304</v>
      </c>
      <c r="S540" t="s">
        <v>7210</v>
      </c>
      <c r="T540" t="s">
        <v>13338</v>
      </c>
      <c r="U540" t="s">
        <v>13338</v>
      </c>
      <c r="V540" t="s">
        <v>13338</v>
      </c>
      <c r="W540" t="s">
        <v>13872</v>
      </c>
      <c r="X540">
        <v>14</v>
      </c>
      <c r="Y540" t="s">
        <v>20478</v>
      </c>
      <c r="Z540" t="s">
        <v>26955</v>
      </c>
      <c r="AA540">
        <v>0.41430858391035491</v>
      </c>
      <c r="AB540" t="str">
        <f>HYPERLINK("Melting_Curves/meltCurve_E9PK01_EEF1D.pdf", "Melting_Curves/meltCurve_E9PK01_EEF1D.pdf")</f>
        <v>Melting_Curves/meltCurve_E9PK01_EEF1D.pdf</v>
      </c>
    </row>
    <row r="541" spans="1:28" x14ac:dyDescent="0.25">
      <c r="A541" t="s">
        <v>545</v>
      </c>
      <c r="B541">
        <v>0.99193492352474899</v>
      </c>
      <c r="C541">
        <v>0.62913914998522902</v>
      </c>
      <c r="D541">
        <v>0.38503326183193098</v>
      </c>
      <c r="E541">
        <v>0.227820065140031</v>
      </c>
      <c r="F541">
        <v>0.20246038691958099</v>
      </c>
      <c r="G541">
        <v>8.2456340905875003E-2</v>
      </c>
      <c r="H541">
        <v>5.7475308714161497E-2</v>
      </c>
      <c r="I541">
        <v>7.0528475320756498E-2</v>
      </c>
      <c r="J541">
        <v>9.6539364316455295E-2</v>
      </c>
      <c r="K541">
        <v>0.105623452976048</v>
      </c>
      <c r="L541">
        <v>857.52486921870695</v>
      </c>
      <c r="M541">
        <v>19.359488068560399</v>
      </c>
      <c r="N541">
        <v>44.783375505687999</v>
      </c>
      <c r="O541">
        <v>43.830310259093899</v>
      </c>
      <c r="P541">
        <v>-9.9914604176900998E-2</v>
      </c>
      <c r="Q541">
        <v>9.5198011152260106E-2</v>
      </c>
      <c r="R541">
        <v>0.974690055982256</v>
      </c>
      <c r="S541" t="s">
        <v>7211</v>
      </c>
      <c r="T541" t="s">
        <v>13338</v>
      </c>
      <c r="U541" t="s">
        <v>13338</v>
      </c>
      <c r="V541" t="s">
        <v>13338</v>
      </c>
      <c r="W541" t="s">
        <v>13873</v>
      </c>
      <c r="X541">
        <v>6</v>
      </c>
      <c r="Y541" t="s">
        <v>20479</v>
      </c>
      <c r="Z541" t="s">
        <v>26956</v>
      </c>
      <c r="AA541">
        <v>0.2428319691193068</v>
      </c>
      <c r="AB541" t="str">
        <f>HYPERLINK("Melting_Curves/meltCurve_E9PK67_PARP10.pdf", "Melting_Curves/meltCurve_E9PK67_PARP10.pdf")</f>
        <v>Melting_Curves/meltCurve_E9PK67_PARP10.pdf</v>
      </c>
    </row>
    <row r="542" spans="1:28" x14ac:dyDescent="0.25">
      <c r="A542" t="s">
        <v>546</v>
      </c>
      <c r="B542">
        <v>0.99193492352474899</v>
      </c>
      <c r="C542">
        <v>0.68836589155453498</v>
      </c>
      <c r="D542">
        <v>0.76276535595148598</v>
      </c>
      <c r="E542">
        <v>0.75442276907767503</v>
      </c>
      <c r="F542">
        <v>0.48667871016657599</v>
      </c>
      <c r="G542">
        <v>0.32528630568093098</v>
      </c>
      <c r="H542">
        <v>0.333572132835739</v>
      </c>
      <c r="I542">
        <v>0.60458613384847804</v>
      </c>
      <c r="J542">
        <v>0.51865870353015098</v>
      </c>
      <c r="K542">
        <v>0.59871949449774198</v>
      </c>
      <c r="L542">
        <v>599.34896962439404</v>
      </c>
      <c r="M542">
        <v>13.232587539462299</v>
      </c>
      <c r="N542">
        <v>58.839364972736902</v>
      </c>
      <c r="O542">
        <v>44.296448447272802</v>
      </c>
      <c r="P542">
        <v>-3.9122236011899701E-2</v>
      </c>
      <c r="Q542">
        <v>0.47623507227890599</v>
      </c>
      <c r="R542">
        <v>0.62284211621905805</v>
      </c>
      <c r="S542" t="s">
        <v>7212</v>
      </c>
      <c r="T542" t="s">
        <v>13338</v>
      </c>
      <c r="U542" t="s">
        <v>13338</v>
      </c>
      <c r="V542" t="s">
        <v>13338</v>
      </c>
      <c r="W542" t="s">
        <v>13874</v>
      </c>
      <c r="X542">
        <v>23</v>
      </c>
      <c r="Y542" t="s">
        <v>20480</v>
      </c>
      <c r="Z542" t="s">
        <v>26957</v>
      </c>
      <c r="AA542">
        <v>0.58972901299604852</v>
      </c>
      <c r="AB542" t="str">
        <f>HYPERLINK("Melting_Curves/meltCurve_E9PK91_BCLAF1.pdf", "Melting_Curves/meltCurve_E9PK91_BCLAF1.pdf")</f>
        <v>Melting_Curves/meltCurve_E9PK91_BCLAF1.pdf</v>
      </c>
    </row>
    <row r="543" spans="1:28" x14ac:dyDescent="0.25">
      <c r="A543" t="s">
        <v>547</v>
      </c>
      <c r="B543">
        <v>0.99193492352474899</v>
      </c>
      <c r="C543">
        <v>1.1112794673700599</v>
      </c>
      <c r="D543">
        <v>1.2766411687516299</v>
      </c>
      <c r="E543">
        <v>0.98572245576655504</v>
      </c>
      <c r="F543">
        <v>0.58974605835444605</v>
      </c>
      <c r="G543">
        <v>0.14796060725093599</v>
      </c>
      <c r="H543">
        <v>3.2102137199247302E-2</v>
      </c>
      <c r="I543">
        <v>2.3963914345463001E-2</v>
      </c>
      <c r="J543">
        <v>2.6388124871730301E-2</v>
      </c>
      <c r="K543">
        <v>2.4780819941064399E-2</v>
      </c>
      <c r="L543">
        <v>2128.9767628909799</v>
      </c>
      <c r="M543">
        <v>39.651522944575902</v>
      </c>
      <c r="N543">
        <v>53.769272756805101</v>
      </c>
      <c r="O543">
        <v>53.556163319979802</v>
      </c>
      <c r="P543">
        <v>-0.17997923028943</v>
      </c>
      <c r="Q543">
        <v>2.7631259603237798E-2</v>
      </c>
      <c r="R543">
        <v>0.96336098868035802</v>
      </c>
      <c r="S543" t="s">
        <v>7213</v>
      </c>
      <c r="T543" t="s">
        <v>13338</v>
      </c>
      <c r="U543" t="s">
        <v>13338</v>
      </c>
      <c r="V543" t="s">
        <v>13338</v>
      </c>
      <c r="W543" t="s">
        <v>13875</v>
      </c>
      <c r="X543">
        <v>1</v>
      </c>
      <c r="Y543" t="s">
        <v>20481</v>
      </c>
      <c r="Z543" t="s">
        <v>26958</v>
      </c>
      <c r="AA543">
        <v>0.47509262723945161</v>
      </c>
      <c r="AB543" t="str">
        <f>HYPERLINK("Melting_Curves/meltCurve_E9PKA7_RCE1.pdf", "Melting_Curves/meltCurve_E9PKA7_RCE1.pdf")</f>
        <v>Melting_Curves/meltCurve_E9PKA7_RCE1.pdf</v>
      </c>
    </row>
    <row r="544" spans="1:28" x14ac:dyDescent="0.25">
      <c r="A544" t="s">
        <v>548</v>
      </c>
      <c r="B544">
        <v>0.99193492352474899</v>
      </c>
      <c r="C544">
        <v>0.84170243355290897</v>
      </c>
      <c r="D544">
        <v>0.78475231523133504</v>
      </c>
      <c r="E544">
        <v>0.53944972918276002</v>
      </c>
      <c r="F544">
        <v>0.32723322220347401</v>
      </c>
      <c r="G544">
        <v>0.26092621938512101</v>
      </c>
      <c r="H544">
        <v>0.14376099774925299</v>
      </c>
      <c r="I544">
        <v>0.19883182361058399</v>
      </c>
      <c r="J544">
        <v>0.23454682723592099</v>
      </c>
      <c r="K544">
        <v>0.27576147918472399</v>
      </c>
      <c r="L544">
        <v>802.47050931574404</v>
      </c>
      <c r="M544">
        <v>16.608268911815198</v>
      </c>
      <c r="N544">
        <v>49.860262841650403</v>
      </c>
      <c r="O544">
        <v>47.633331492882</v>
      </c>
      <c r="P544">
        <v>-6.9658805382262795E-2</v>
      </c>
      <c r="Q544">
        <v>0.20091461696290799</v>
      </c>
      <c r="R544">
        <v>0.97706598059266703</v>
      </c>
      <c r="S544" t="s">
        <v>7214</v>
      </c>
      <c r="T544" t="s">
        <v>13338</v>
      </c>
      <c r="U544" t="s">
        <v>13338</v>
      </c>
      <c r="V544" t="s">
        <v>13338</v>
      </c>
      <c r="W544" t="s">
        <v>13876</v>
      </c>
      <c r="X544">
        <v>8</v>
      </c>
      <c r="Y544" t="s">
        <v>20482</v>
      </c>
      <c r="Z544" t="s">
        <v>26959</v>
      </c>
      <c r="AA544">
        <v>0.43902016404334232</v>
      </c>
      <c r="AB544" t="str">
        <f>HYPERLINK("Melting_Curves/meltCurve_E9PKC0_PLEKHA7.pdf", "Melting_Curves/meltCurve_E9PKC0_PLEKHA7.pdf")</f>
        <v>Melting_Curves/meltCurve_E9PKC0_PLEKHA7.pdf</v>
      </c>
    </row>
    <row r="545" spans="1:28" x14ac:dyDescent="0.25">
      <c r="A545" t="s">
        <v>549</v>
      </c>
      <c r="B545">
        <v>0.99193492352474899</v>
      </c>
      <c r="C545">
        <v>0.92121642738871301</v>
      </c>
      <c r="D545">
        <v>0.90278687175708705</v>
      </c>
      <c r="E545">
        <v>0.68588549932266096</v>
      </c>
      <c r="F545">
        <v>0.29404263084492599</v>
      </c>
      <c r="G545">
        <v>0.11153203871110499</v>
      </c>
      <c r="H545">
        <v>5.5540664381531102E-2</v>
      </c>
      <c r="I545">
        <v>5.6411859945979297E-2</v>
      </c>
      <c r="J545">
        <v>5.67148918742863E-2</v>
      </c>
      <c r="K545">
        <v>5.5993093151424499E-2</v>
      </c>
      <c r="L545">
        <v>1171.66352304564</v>
      </c>
      <c r="M545">
        <v>23.015852752989801</v>
      </c>
      <c r="N545">
        <v>51.1116321550275</v>
      </c>
      <c r="O545">
        <v>50.527172009586103</v>
      </c>
      <c r="P545">
        <v>-0.108863760975293</v>
      </c>
      <c r="Q545">
        <v>4.4054431677536303E-2</v>
      </c>
      <c r="R545">
        <v>0.99609505437935797</v>
      </c>
      <c r="S545" t="s">
        <v>7215</v>
      </c>
      <c r="T545" t="s">
        <v>13338</v>
      </c>
      <c r="U545" t="s">
        <v>13338</v>
      </c>
      <c r="V545" t="s">
        <v>13338</v>
      </c>
      <c r="W545" t="s">
        <v>13877</v>
      </c>
      <c r="X545">
        <v>19</v>
      </c>
      <c r="Y545" t="s">
        <v>20483</v>
      </c>
      <c r="Z545" t="s">
        <v>26960</v>
      </c>
      <c r="AA545">
        <v>0.40174228398797918</v>
      </c>
      <c r="AB545" t="str">
        <f>HYPERLINK("Melting_Curves/meltCurve_E9PKG1_PRMT1.pdf", "Melting_Curves/meltCurve_E9PKG1_PRMT1.pdf")</f>
        <v>Melting_Curves/meltCurve_E9PKG1_PRMT1.pdf</v>
      </c>
    </row>
    <row r="546" spans="1:28" x14ac:dyDescent="0.25">
      <c r="A546" t="s">
        <v>550</v>
      </c>
      <c r="B546">
        <v>0.99193492352474899</v>
      </c>
      <c r="C546">
        <v>0.828741130870294</v>
      </c>
      <c r="D546">
        <v>0.94929144441512203</v>
      </c>
      <c r="E546">
        <v>0.71021319202168698</v>
      </c>
      <c r="F546">
        <v>0.69538002844076996</v>
      </c>
      <c r="G546">
        <v>0.38815801327779398</v>
      </c>
      <c r="H546">
        <v>0.41758006861410202</v>
      </c>
      <c r="I546">
        <v>0.48284578363361402</v>
      </c>
      <c r="J546">
        <v>0.77377621767523497</v>
      </c>
      <c r="K546">
        <v>0.68151408221858201</v>
      </c>
      <c r="L546">
        <v>1087.5705841619599</v>
      </c>
      <c r="M546">
        <v>22.4550893483134</v>
      </c>
      <c r="O546">
        <v>48.053950382488701</v>
      </c>
      <c r="P546">
        <v>-5.1432565617503402E-2</v>
      </c>
      <c r="Q546">
        <v>0.55974590688186399</v>
      </c>
      <c r="R546">
        <v>0.60651455717154201</v>
      </c>
      <c r="S546" t="s">
        <v>7216</v>
      </c>
      <c r="T546" t="s">
        <v>13338</v>
      </c>
      <c r="U546" t="s">
        <v>13338</v>
      </c>
      <c r="V546" t="s">
        <v>13338</v>
      </c>
      <c r="W546" t="s">
        <v>13878</v>
      </c>
      <c r="X546">
        <v>4</v>
      </c>
      <c r="Y546" t="s">
        <v>20484</v>
      </c>
      <c r="Z546" t="s">
        <v>26961</v>
      </c>
      <c r="AA546">
        <v>0.68837716181946695</v>
      </c>
      <c r="AB546" t="str">
        <f>HYPERLINK("Melting_Curves/meltCurve_E9PKN9_TP53I11.pdf", "Melting_Curves/meltCurve_E9PKN9_TP53I11.pdf")</f>
        <v>Melting_Curves/meltCurve_E9PKN9_TP53I11.pdf</v>
      </c>
    </row>
    <row r="547" spans="1:28" x14ac:dyDescent="0.25">
      <c r="A547" t="s">
        <v>551</v>
      </c>
      <c r="B547">
        <v>0.99193492352474899</v>
      </c>
      <c r="C547">
        <v>0.61252037055067299</v>
      </c>
      <c r="D547">
        <v>0.83042735883824603</v>
      </c>
      <c r="E547">
        <v>0.41396056138169302</v>
      </c>
      <c r="F547">
        <v>0.24643353307478999</v>
      </c>
      <c r="G547">
        <v>0.17339215728960999</v>
      </c>
      <c r="H547">
        <v>9.8714214262664496E-2</v>
      </c>
      <c r="I547">
        <v>9.6319480064148102E-2</v>
      </c>
      <c r="J547">
        <v>7.87177792713981E-2</v>
      </c>
      <c r="K547">
        <v>7.4993060375433698E-2</v>
      </c>
      <c r="L547">
        <v>562.71708221942799</v>
      </c>
      <c r="M547">
        <v>11.6515980811982</v>
      </c>
      <c r="N547">
        <v>48.595259495546202</v>
      </c>
      <c r="O547">
        <v>46.938455540693603</v>
      </c>
      <c r="P547">
        <v>-5.9920579428160398E-2</v>
      </c>
      <c r="Q547">
        <v>3.4700734352525797E-2</v>
      </c>
      <c r="R547">
        <v>0.92107129478664396</v>
      </c>
      <c r="S547" t="s">
        <v>7217</v>
      </c>
      <c r="T547" t="s">
        <v>13338</v>
      </c>
      <c r="U547" t="s">
        <v>13338</v>
      </c>
      <c r="V547" t="s">
        <v>13338</v>
      </c>
      <c r="W547" t="s">
        <v>13879</v>
      </c>
      <c r="X547">
        <v>2</v>
      </c>
      <c r="Y547" t="s">
        <v>20485</v>
      </c>
      <c r="Z547" t="s">
        <v>26962</v>
      </c>
      <c r="AA547">
        <v>0.34060138004726448</v>
      </c>
      <c r="AB547" t="str">
        <f>HYPERLINK("Melting_Curves/meltCurve_E9PKV2_MRPL17.pdf", "Melting_Curves/meltCurve_E9PKV2_MRPL17.pdf")</f>
        <v>Melting_Curves/meltCurve_E9PKV2_MRPL17.pdf</v>
      </c>
    </row>
    <row r="548" spans="1:28" x14ac:dyDescent="0.25">
      <c r="A548" t="s">
        <v>552</v>
      </c>
      <c r="B548">
        <v>0.99193492352474899</v>
      </c>
      <c r="C548">
        <v>0.76858569315282099</v>
      </c>
      <c r="D548">
        <v>0.87294824075298705</v>
      </c>
      <c r="E548">
        <v>0.40183568709547401</v>
      </c>
      <c r="F548">
        <v>0.211304754474647</v>
      </c>
      <c r="G548">
        <v>0.12222801873822101</v>
      </c>
      <c r="H548">
        <v>9.1391467891474606E-2</v>
      </c>
      <c r="I548">
        <v>9.4811586950789103E-2</v>
      </c>
      <c r="J548">
        <v>0.12740112067507101</v>
      </c>
      <c r="K548">
        <v>0.1436842881738</v>
      </c>
      <c r="L548">
        <v>1036.9035734720801</v>
      </c>
      <c r="M548">
        <v>21.450559319019501</v>
      </c>
      <c r="N548">
        <v>48.868167750876303</v>
      </c>
      <c r="O548">
        <v>47.924992078363303</v>
      </c>
      <c r="P548">
        <v>-0.100306929752958</v>
      </c>
      <c r="Q548">
        <v>0.103596232377602</v>
      </c>
      <c r="R548">
        <v>0.96116980678838704</v>
      </c>
      <c r="S548" t="s">
        <v>7218</v>
      </c>
      <c r="T548" t="s">
        <v>13338</v>
      </c>
      <c r="U548" t="s">
        <v>13338</v>
      </c>
      <c r="V548" t="s">
        <v>13338</v>
      </c>
      <c r="W548" t="s">
        <v>13880</v>
      </c>
      <c r="X548">
        <v>6</v>
      </c>
      <c r="Y548" t="s">
        <v>20486</v>
      </c>
      <c r="Z548" t="s">
        <v>26963</v>
      </c>
      <c r="AA548">
        <v>0.36370546531749598</v>
      </c>
      <c r="AB548" t="str">
        <f>HYPERLINK("Melting_Curves/meltCurve_E9PKV8_TTC9C.pdf", "Melting_Curves/meltCurve_E9PKV8_TTC9C.pdf")</f>
        <v>Melting_Curves/meltCurve_E9PKV8_TTC9C.pdf</v>
      </c>
    </row>
    <row r="549" spans="1:28" x14ac:dyDescent="0.25">
      <c r="A549" t="s">
        <v>553</v>
      </c>
      <c r="B549">
        <v>0.99193492352474899</v>
      </c>
      <c r="C549">
        <v>1.0859246922114401</v>
      </c>
      <c r="D549">
        <v>0.888732429069647</v>
      </c>
      <c r="E549">
        <v>1.5403347626201001</v>
      </c>
      <c r="F549">
        <v>1.5029942166030501</v>
      </c>
      <c r="G549">
        <v>1.11268404717317</v>
      </c>
      <c r="H549">
        <v>0.331251947528235</v>
      </c>
      <c r="I549">
        <v>0.29497370337205098</v>
      </c>
      <c r="J549">
        <v>0.416570595102428</v>
      </c>
      <c r="K549">
        <v>0.35870064382991901</v>
      </c>
      <c r="L549">
        <v>14736.699516569601</v>
      </c>
      <c r="M549">
        <v>250</v>
      </c>
      <c r="N549">
        <v>59.232528355548403</v>
      </c>
      <c r="O549">
        <v>58.9430243263892</v>
      </c>
      <c r="P549">
        <v>-0.68890765634432805</v>
      </c>
      <c r="Q549">
        <v>0.35029917188153797</v>
      </c>
      <c r="R549">
        <v>0.71521705600382401</v>
      </c>
      <c r="S549" t="s">
        <v>7219</v>
      </c>
      <c r="T549" t="s">
        <v>13338</v>
      </c>
      <c r="U549" t="s">
        <v>13338</v>
      </c>
      <c r="V549" t="s">
        <v>13338</v>
      </c>
      <c r="W549" t="s">
        <v>13881</v>
      </c>
      <c r="X549">
        <v>7</v>
      </c>
      <c r="Y549" t="s">
        <v>20487</v>
      </c>
      <c r="Z549" t="s">
        <v>26964</v>
      </c>
      <c r="AA549">
        <v>0.76069139702406519</v>
      </c>
      <c r="AB549" t="str">
        <f>HYPERLINK("Melting_Curves/meltCurve_E9PKZ0_RPL8.pdf", "Melting_Curves/meltCurve_E9PKZ0_RPL8.pdf")</f>
        <v>Melting_Curves/meltCurve_E9PKZ0_RPL8.pdf</v>
      </c>
    </row>
    <row r="550" spans="1:28" x14ac:dyDescent="0.25">
      <c r="A550" t="s">
        <v>554</v>
      </c>
      <c r="B550">
        <v>0.99193492352474899</v>
      </c>
      <c r="C550">
        <v>0.71379077784825895</v>
      </c>
      <c r="D550">
        <v>0.94767937913073197</v>
      </c>
      <c r="E550">
        <v>0.67670623796011597</v>
      </c>
      <c r="F550">
        <v>0.78565704327770902</v>
      </c>
      <c r="G550">
        <v>0.45560633000221201</v>
      </c>
      <c r="H550">
        <v>0.49897438275822198</v>
      </c>
      <c r="I550">
        <v>0.52683696574268302</v>
      </c>
      <c r="J550">
        <v>0.76438416426204803</v>
      </c>
      <c r="K550">
        <v>0.98665813891007004</v>
      </c>
      <c r="L550">
        <v>647.966912360724</v>
      </c>
      <c r="M550">
        <v>14.710631466552</v>
      </c>
      <c r="O550">
        <v>43.257572747451597</v>
      </c>
      <c r="P550">
        <v>-2.8442774331234998E-2</v>
      </c>
      <c r="Q550">
        <v>0.66548513110250795</v>
      </c>
      <c r="R550">
        <v>0.234564976555281</v>
      </c>
      <c r="S550" t="s">
        <v>7220</v>
      </c>
      <c r="T550" t="s">
        <v>13338</v>
      </c>
      <c r="U550" t="s">
        <v>13338</v>
      </c>
      <c r="V550" t="s">
        <v>13338</v>
      </c>
      <c r="W550" t="s">
        <v>13882</v>
      </c>
      <c r="X550">
        <v>6</v>
      </c>
      <c r="Y550" t="s">
        <v>20488</v>
      </c>
      <c r="Z550" t="s">
        <v>26965</v>
      </c>
      <c r="AA550">
        <v>0.72315934114803304</v>
      </c>
      <c r="AB550" t="str">
        <f>HYPERLINK("Melting_Curves/meltCurve_E9PL10_BTF3L4.pdf", "Melting_Curves/meltCurve_E9PL10_BTF3L4.pdf")</f>
        <v>Melting_Curves/meltCurve_E9PL10_BTF3L4.pdf</v>
      </c>
    </row>
    <row r="551" spans="1:28" x14ac:dyDescent="0.25">
      <c r="A551" t="s">
        <v>555</v>
      </c>
      <c r="B551">
        <v>0.99193492352474899</v>
      </c>
      <c r="C551">
        <v>0.66063625275535598</v>
      </c>
      <c r="D551">
        <v>0.41844162945668401</v>
      </c>
      <c r="E551">
        <v>0.24619227338710201</v>
      </c>
      <c r="F551">
        <v>0.23851626851756899</v>
      </c>
      <c r="G551">
        <v>0.121368049446686</v>
      </c>
      <c r="H551">
        <v>7.6165448794646803E-2</v>
      </c>
      <c r="I551">
        <v>7.68216651730802E-2</v>
      </c>
      <c r="J551">
        <v>7.8777861556258003E-2</v>
      </c>
      <c r="K551">
        <v>7.0191912676460799E-2</v>
      </c>
      <c r="L551">
        <v>766.02490329885097</v>
      </c>
      <c r="M551">
        <v>17.108938254473799</v>
      </c>
      <c r="N551">
        <v>45.304751376112002</v>
      </c>
      <c r="O551">
        <v>44.175132109002298</v>
      </c>
      <c r="P551">
        <v>-8.8027356376429597E-2</v>
      </c>
      <c r="Q551">
        <v>9.0911521572063406E-2</v>
      </c>
      <c r="R551">
        <v>0.97417671741269496</v>
      </c>
      <c r="S551" t="s">
        <v>7221</v>
      </c>
      <c r="T551" t="s">
        <v>13338</v>
      </c>
      <c r="U551" t="s">
        <v>13338</v>
      </c>
      <c r="V551" t="s">
        <v>13338</v>
      </c>
      <c r="W551" t="s">
        <v>13883</v>
      </c>
      <c r="X551">
        <v>9</v>
      </c>
      <c r="Y551" t="s">
        <v>20489</v>
      </c>
      <c r="Z551" t="s">
        <v>26966</v>
      </c>
      <c r="AA551">
        <v>0.25811374128032982</v>
      </c>
      <c r="AB551" t="str">
        <f>HYPERLINK("Melting_Curves/meltCurve_E9PL17_CLP1.pdf", "Melting_Curves/meltCurve_E9PL17_CLP1.pdf")</f>
        <v>Melting_Curves/meltCurve_E9PL17_CLP1.pdf</v>
      </c>
    </row>
    <row r="552" spans="1:28" x14ac:dyDescent="0.25">
      <c r="A552" t="s">
        <v>556</v>
      </c>
      <c r="B552">
        <v>0.99193492352474899</v>
      </c>
      <c r="C552">
        <v>1.0237079582848101</v>
      </c>
      <c r="D552">
        <v>1.0314005667083199</v>
      </c>
      <c r="E552">
        <v>0.91168326851282599</v>
      </c>
      <c r="F552">
        <v>0.58362932741881002</v>
      </c>
      <c r="G552">
        <v>0.28477094252069601</v>
      </c>
      <c r="H552">
        <v>0.106312525824862</v>
      </c>
      <c r="I552">
        <v>0.100094015052259</v>
      </c>
      <c r="J552">
        <v>0.117297236120486</v>
      </c>
      <c r="K552">
        <v>8.8443681872848595E-2</v>
      </c>
      <c r="L552">
        <v>1430.2206375589101</v>
      </c>
      <c r="M552">
        <v>26.656598842995901</v>
      </c>
      <c r="N552">
        <v>54.069493192439403</v>
      </c>
      <c r="O552">
        <v>53.354309844266098</v>
      </c>
      <c r="P552">
        <v>-0.113325578965681</v>
      </c>
      <c r="Q552">
        <v>9.2705788574061004E-2</v>
      </c>
      <c r="R552">
        <v>0.99740980571242599</v>
      </c>
      <c r="S552" t="s">
        <v>7222</v>
      </c>
      <c r="T552" t="s">
        <v>13338</v>
      </c>
      <c r="U552" t="s">
        <v>13338</v>
      </c>
      <c r="V552" t="s">
        <v>13338</v>
      </c>
      <c r="W552" t="s">
        <v>13884</v>
      </c>
      <c r="X552">
        <v>1</v>
      </c>
      <c r="Y552" t="s">
        <v>20490</v>
      </c>
      <c r="Z552" t="s">
        <v>26967</v>
      </c>
      <c r="AA552">
        <v>0.5130720710264961</v>
      </c>
      <c r="AB552" t="str">
        <f>HYPERLINK("Melting_Curves/meltCurve_E9PL33_EI24.pdf", "Melting_Curves/meltCurve_E9PL33_EI24.pdf")</f>
        <v>Melting_Curves/meltCurve_E9PL33_EI24.pdf</v>
      </c>
    </row>
    <row r="553" spans="1:28" x14ac:dyDescent="0.25">
      <c r="A553" t="s">
        <v>557</v>
      </c>
      <c r="B553">
        <v>0.99193492352474899</v>
      </c>
      <c r="C553">
        <v>0.81492297526218105</v>
      </c>
      <c r="D553">
        <v>0.82408330524314999</v>
      </c>
      <c r="E553">
        <v>0.76026776089043102</v>
      </c>
      <c r="F553">
        <v>0.56075641080924798</v>
      </c>
      <c r="G553">
        <v>0.34730384826211502</v>
      </c>
      <c r="H553">
        <v>0.26627377822160597</v>
      </c>
      <c r="I553">
        <v>0.25561771992504601</v>
      </c>
      <c r="J553">
        <v>0.220325992332218</v>
      </c>
      <c r="K553">
        <v>0.199030802561591</v>
      </c>
      <c r="L553">
        <v>525.38553563560197</v>
      </c>
      <c r="M553">
        <v>9.9787448705491908</v>
      </c>
      <c r="N553">
        <v>54.070606828671401</v>
      </c>
      <c r="O553">
        <v>50.666986268892998</v>
      </c>
      <c r="P553">
        <v>-4.3582341528706103E-2</v>
      </c>
      <c r="Q553">
        <v>0.11527829899926299</v>
      </c>
      <c r="R553">
        <v>0.97349230980152301</v>
      </c>
      <c r="S553" t="s">
        <v>7223</v>
      </c>
      <c r="T553" t="s">
        <v>13338</v>
      </c>
      <c r="U553" t="s">
        <v>13338</v>
      </c>
      <c r="V553" t="s">
        <v>13338</v>
      </c>
      <c r="W553" t="s">
        <v>13885</v>
      </c>
      <c r="X553">
        <v>12</v>
      </c>
      <c r="Y553" t="s">
        <v>20491</v>
      </c>
      <c r="Z553" t="s">
        <v>26968</v>
      </c>
      <c r="AA553">
        <v>0.51986162800457447</v>
      </c>
      <c r="AB553" t="str">
        <f>HYPERLINK("Melting_Curves/meltCurve_E9PL57_NEDD8_MDP1.pdf", "Melting_Curves/meltCurve_E9PL57_NEDD8_MDP1.pdf")</f>
        <v>Melting_Curves/meltCurve_E9PL57_NEDD8_MDP1.pdf</v>
      </c>
    </row>
    <row r="554" spans="1:28" x14ac:dyDescent="0.25">
      <c r="A554" t="s">
        <v>558</v>
      </c>
      <c r="B554">
        <v>0.99193492352474899</v>
      </c>
      <c r="C554">
        <v>0.67329656675389804</v>
      </c>
      <c r="D554">
        <v>0.85393316888982196</v>
      </c>
      <c r="E554">
        <v>0.77083016162725404</v>
      </c>
      <c r="F554">
        <v>0.76955775642601298</v>
      </c>
      <c r="G554">
        <v>0.55248593928260004</v>
      </c>
      <c r="H554">
        <v>0.45329150912188698</v>
      </c>
      <c r="I554">
        <v>0.31747615718633199</v>
      </c>
      <c r="J554">
        <v>0.37730513583554098</v>
      </c>
      <c r="K554">
        <v>0.38289238570342199</v>
      </c>
      <c r="L554">
        <v>295.815584077013</v>
      </c>
      <c r="M554">
        <v>4.9385452997255603</v>
      </c>
      <c r="N554">
        <v>59.899354491641098</v>
      </c>
      <c r="O554">
        <v>52.126414012670097</v>
      </c>
      <c r="P554">
        <v>-2.3836837446426899E-2</v>
      </c>
      <c r="Q554">
        <v>0</v>
      </c>
      <c r="R554">
        <v>0.83792173681071902</v>
      </c>
      <c r="S554" t="s">
        <v>7224</v>
      </c>
      <c r="T554" t="s">
        <v>13338</v>
      </c>
      <c r="U554" t="s">
        <v>13338</v>
      </c>
      <c r="V554" t="s">
        <v>13338</v>
      </c>
      <c r="W554" t="s">
        <v>13598</v>
      </c>
      <c r="X554">
        <v>1</v>
      </c>
      <c r="Z554" t="s">
        <v>26969</v>
      </c>
      <c r="AA554">
        <v>0.6165007545385558</v>
      </c>
      <c r="AB554" t="str">
        <f>HYPERLINK("Melting_Curves/meltCurve_E9PLD3_.pdf", "Melting_Curves/meltCurve_E9PLD3_.pdf")</f>
        <v>Melting_Curves/meltCurve_E9PLD3_.pdf</v>
      </c>
    </row>
    <row r="555" spans="1:28" x14ac:dyDescent="0.25">
      <c r="A555" t="s">
        <v>559</v>
      </c>
      <c r="B555">
        <v>0.99193492352474899</v>
      </c>
      <c r="C555">
        <v>0.91065004246221504</v>
      </c>
      <c r="D555">
        <v>0.89929077643302702</v>
      </c>
      <c r="E555">
        <v>0.66950367016049595</v>
      </c>
      <c r="F555">
        <v>0.73673006508091998</v>
      </c>
      <c r="G555">
        <v>0.43760761132227299</v>
      </c>
      <c r="H555">
        <v>0.17241233420461699</v>
      </c>
      <c r="I555">
        <v>0.22799193212202001</v>
      </c>
      <c r="J555">
        <v>7.1682872866962094E-2</v>
      </c>
      <c r="K555">
        <v>0.10604438853763699</v>
      </c>
      <c r="L555">
        <v>605.88995619494096</v>
      </c>
      <c r="M555">
        <v>10.978004074977299</v>
      </c>
      <c r="N555">
        <v>55.191267191279202</v>
      </c>
      <c r="O555">
        <v>53.454729160826197</v>
      </c>
      <c r="P555">
        <v>-5.1359985956074002E-2</v>
      </c>
      <c r="Q555">
        <v>0</v>
      </c>
      <c r="R555">
        <v>0.96060039512882101</v>
      </c>
      <c r="S555" t="s">
        <v>7225</v>
      </c>
      <c r="T555" t="s">
        <v>13338</v>
      </c>
      <c r="U555" t="s">
        <v>13338</v>
      </c>
      <c r="V555" t="s">
        <v>13338</v>
      </c>
      <c r="W555" t="s">
        <v>13886</v>
      </c>
      <c r="X555">
        <v>1</v>
      </c>
      <c r="Y555" t="s">
        <v>20492</v>
      </c>
      <c r="Z555" t="s">
        <v>26970</v>
      </c>
      <c r="AA555">
        <v>0.53044666145729336</v>
      </c>
      <c r="AB555" t="str">
        <f>HYPERLINK("Melting_Curves/meltCurve_E9PLJ2_CHIA.pdf", "Melting_Curves/meltCurve_E9PLJ2_CHIA.pdf")</f>
        <v>Melting_Curves/meltCurve_E9PLJ2_CHIA.pdf</v>
      </c>
    </row>
    <row r="556" spans="1:28" x14ac:dyDescent="0.25">
      <c r="A556" t="s">
        <v>560</v>
      </c>
      <c r="B556">
        <v>0.99193492352474899</v>
      </c>
      <c r="C556">
        <v>1.0454588680986401</v>
      </c>
      <c r="D556">
        <v>0.99452870275190597</v>
      </c>
      <c r="E556">
        <v>0.88552689136876706</v>
      </c>
      <c r="F556">
        <v>0.73783185507670401</v>
      </c>
      <c r="G556">
        <v>0.50073037407338195</v>
      </c>
      <c r="H556">
        <v>0.22086775491949701</v>
      </c>
      <c r="I556">
        <v>0.11263340597605</v>
      </c>
      <c r="J556">
        <v>0.120255601606175</v>
      </c>
      <c r="K556">
        <v>9.3313508417730895E-2</v>
      </c>
      <c r="L556">
        <v>1018.12520532245</v>
      </c>
      <c r="M556">
        <v>18.165997233341301</v>
      </c>
      <c r="N556">
        <v>56.4127264529127</v>
      </c>
      <c r="O556">
        <v>55.379732803353903</v>
      </c>
      <c r="P556">
        <v>-7.7438955619582597E-2</v>
      </c>
      <c r="Q556">
        <v>5.5742544703789497E-2</v>
      </c>
      <c r="R556">
        <v>0.99558014598800904</v>
      </c>
      <c r="S556" t="s">
        <v>7226</v>
      </c>
      <c r="T556" t="s">
        <v>13338</v>
      </c>
      <c r="U556" t="s">
        <v>13338</v>
      </c>
      <c r="V556" t="s">
        <v>13338</v>
      </c>
      <c r="W556" t="s">
        <v>13887</v>
      </c>
      <c r="X556">
        <v>28</v>
      </c>
      <c r="Y556" t="s">
        <v>20493</v>
      </c>
      <c r="Z556" t="s">
        <v>26971</v>
      </c>
      <c r="AA556">
        <v>0.5745060866534758</v>
      </c>
      <c r="AB556" t="str">
        <f>HYPERLINK("Melting_Curves/meltCurve_E9PLK3_NPEPPS.pdf", "Melting_Curves/meltCurve_E9PLK3_NPEPPS.pdf")</f>
        <v>Melting_Curves/meltCurve_E9PLK3_NPEPPS.pdf</v>
      </c>
    </row>
    <row r="557" spans="1:28" x14ac:dyDescent="0.25">
      <c r="A557" t="s">
        <v>561</v>
      </c>
      <c r="B557">
        <v>0.99193492352474899</v>
      </c>
      <c r="C557">
        <v>0.70371231643952803</v>
      </c>
      <c r="D557">
        <v>1.39800851453931</v>
      </c>
      <c r="E557">
        <v>1.06361691346465</v>
      </c>
      <c r="F557">
        <v>1.3737082136616501</v>
      </c>
      <c r="G557">
        <v>0.38090336792278601</v>
      </c>
      <c r="H557">
        <v>0.13580235120133699</v>
      </c>
      <c r="I557">
        <v>0.12825253319413599</v>
      </c>
      <c r="J557">
        <v>0.185150737697691</v>
      </c>
      <c r="K557">
        <v>0.27056984056610001</v>
      </c>
      <c r="L557">
        <v>14136.091159949399</v>
      </c>
      <c r="M557">
        <v>250</v>
      </c>
      <c r="N557">
        <v>56.645445257795998</v>
      </c>
      <c r="O557">
        <v>56.540746192478203</v>
      </c>
      <c r="P557">
        <v>-0.90648806307627205</v>
      </c>
      <c r="Q557">
        <v>0.17994381719279701</v>
      </c>
      <c r="R557">
        <v>0.82796198028175505</v>
      </c>
      <c r="S557" t="s">
        <v>7227</v>
      </c>
      <c r="T557" t="s">
        <v>13338</v>
      </c>
      <c r="U557" t="s">
        <v>13338</v>
      </c>
      <c r="V557" t="s">
        <v>13338</v>
      </c>
      <c r="W557" t="s">
        <v>13888</v>
      </c>
      <c r="X557">
        <v>3</v>
      </c>
      <c r="Y557" t="s">
        <v>20494</v>
      </c>
      <c r="Z557" t="s">
        <v>26972</v>
      </c>
      <c r="AA557">
        <v>0.6322688121576977</v>
      </c>
      <c r="AB557" t="str">
        <f>HYPERLINK("Melting_Curves/meltCurve_E9PLL6_RPL27A.pdf", "Melting_Curves/meltCurve_E9PLL6_RPL27A.pdf")</f>
        <v>Melting_Curves/meltCurve_E9PLL6_RPL27A.pdf</v>
      </c>
    </row>
    <row r="558" spans="1:28" x14ac:dyDescent="0.25">
      <c r="A558" t="s">
        <v>562</v>
      </c>
      <c r="B558">
        <v>0.99193492352474899</v>
      </c>
      <c r="C558">
        <v>0.95769649117831301</v>
      </c>
      <c r="D558">
        <v>0.59697776072196596</v>
      </c>
      <c r="E558">
        <v>0.25616178362270903</v>
      </c>
      <c r="F558">
        <v>0.18334850955104101</v>
      </c>
      <c r="G558">
        <v>0.115109636602672</v>
      </c>
      <c r="H558">
        <v>7.6220658007981196E-2</v>
      </c>
      <c r="I558">
        <v>7.8155853501271605E-2</v>
      </c>
      <c r="J558">
        <v>9.1651119358480901E-2</v>
      </c>
      <c r="K558">
        <v>8.1477177795457503E-2</v>
      </c>
      <c r="L558">
        <v>1200.1314871024599</v>
      </c>
      <c r="M558">
        <v>25.749312357011299</v>
      </c>
      <c r="N558">
        <v>46.993984930784897</v>
      </c>
      <c r="O558">
        <v>46.329906011806997</v>
      </c>
      <c r="P558">
        <v>-0.12571320385118001</v>
      </c>
      <c r="Q558">
        <v>9.5244054399375305E-2</v>
      </c>
      <c r="R558">
        <v>0.99451219183280504</v>
      </c>
      <c r="S558" t="s">
        <v>7228</v>
      </c>
      <c r="T558" t="s">
        <v>13338</v>
      </c>
      <c r="U558" t="s">
        <v>13338</v>
      </c>
      <c r="V558" t="s">
        <v>13338</v>
      </c>
      <c r="W558" t="s">
        <v>13566</v>
      </c>
      <c r="X558">
        <v>36</v>
      </c>
      <c r="Y558" t="s">
        <v>20495</v>
      </c>
      <c r="Z558" t="s">
        <v>26973</v>
      </c>
      <c r="AA558">
        <v>0.30217479097386118</v>
      </c>
      <c r="AB558" t="str">
        <f>HYPERLINK("Melting_Curves/meltCurve_E9PM46_USP47.pdf", "Melting_Curves/meltCurve_E9PM46_USP47.pdf")</f>
        <v>Melting_Curves/meltCurve_E9PM46_USP47.pdf</v>
      </c>
    </row>
    <row r="559" spans="1:28" x14ac:dyDescent="0.25">
      <c r="A559" t="s">
        <v>563</v>
      </c>
      <c r="B559">
        <v>0.99193492352474899</v>
      </c>
      <c r="C559">
        <v>0.80541779366970601</v>
      </c>
      <c r="D559">
        <v>0.92218834482335199</v>
      </c>
      <c r="E559">
        <v>0.77314592539539695</v>
      </c>
      <c r="F559">
        <v>0.77784002293264598</v>
      </c>
      <c r="G559">
        <v>0.56407627533094595</v>
      </c>
      <c r="H559">
        <v>0.55832713418229296</v>
      </c>
      <c r="I559">
        <v>0.64377235336490701</v>
      </c>
      <c r="J559">
        <v>0.71701245184806595</v>
      </c>
      <c r="K559">
        <v>1.0354577498267099</v>
      </c>
      <c r="L559">
        <v>691.78701483305497</v>
      </c>
      <c r="M559">
        <v>15.447465188102999</v>
      </c>
      <c r="O559">
        <v>44.0528266750093</v>
      </c>
      <c r="P559">
        <v>-2.49860121198539E-2</v>
      </c>
      <c r="Q559">
        <v>0.71500680824268903</v>
      </c>
      <c r="R559">
        <v>0.27567886663306601</v>
      </c>
      <c r="S559" t="s">
        <v>7229</v>
      </c>
      <c r="T559" t="s">
        <v>13338</v>
      </c>
      <c r="U559" t="s">
        <v>13338</v>
      </c>
      <c r="V559" t="s">
        <v>13338</v>
      </c>
      <c r="W559" t="s">
        <v>13889</v>
      </c>
      <c r="X559">
        <v>9</v>
      </c>
      <c r="Y559" t="s">
        <v>20496</v>
      </c>
      <c r="Z559" t="s">
        <v>26974</v>
      </c>
      <c r="AA559">
        <v>0.76926062863373068</v>
      </c>
      <c r="AB559" t="str">
        <f>HYPERLINK("Melting_Curves/meltCurve_E9PM92_C11orf58.pdf", "Melting_Curves/meltCurve_E9PM92_C11orf58.pdf")</f>
        <v>Melting_Curves/meltCurve_E9PM92_C11orf58.pdf</v>
      </c>
    </row>
    <row r="560" spans="1:28" x14ac:dyDescent="0.25">
      <c r="A560" t="s">
        <v>564</v>
      </c>
      <c r="B560">
        <v>0.99193492352474899</v>
      </c>
      <c r="C560">
        <v>0.88041724560260903</v>
      </c>
      <c r="D560">
        <v>0.93761772859356096</v>
      </c>
      <c r="E560">
        <v>0.67882663571172197</v>
      </c>
      <c r="F560">
        <v>0.41693146981292201</v>
      </c>
      <c r="G560">
        <v>0.14544532985347899</v>
      </c>
      <c r="H560">
        <v>8.0922150328123901E-2</v>
      </c>
      <c r="I560">
        <v>9.8930772852159996E-2</v>
      </c>
      <c r="J560">
        <v>0.128874768583947</v>
      </c>
      <c r="K560">
        <v>0.152019711858455</v>
      </c>
      <c r="L560">
        <v>1086.74054301458</v>
      </c>
      <c r="M560">
        <v>21.257032691084198</v>
      </c>
      <c r="N560">
        <v>51.656789760226999</v>
      </c>
      <c r="O560">
        <v>50.6778099264586</v>
      </c>
      <c r="P560">
        <v>-9.4540221131107799E-2</v>
      </c>
      <c r="Q560">
        <v>9.8468834519868806E-2</v>
      </c>
      <c r="R560">
        <v>0.98379804699288598</v>
      </c>
      <c r="S560" t="s">
        <v>7230</v>
      </c>
      <c r="T560" t="s">
        <v>13338</v>
      </c>
      <c r="U560" t="s">
        <v>13338</v>
      </c>
      <c r="V560" t="s">
        <v>13338</v>
      </c>
      <c r="W560" t="s">
        <v>13890</v>
      </c>
      <c r="X560">
        <v>7</v>
      </c>
      <c r="Y560" t="s">
        <v>20497</v>
      </c>
      <c r="Z560" t="s">
        <v>26975</v>
      </c>
      <c r="AA560">
        <v>0.44390749679243452</v>
      </c>
      <c r="AB560" t="str">
        <f>HYPERLINK("Melting_Curves/meltCurve_E9PMI6_CLNS1A.pdf", "Melting_Curves/meltCurve_E9PMI6_CLNS1A.pdf")</f>
        <v>Melting_Curves/meltCurve_E9PMI6_CLNS1A.pdf</v>
      </c>
    </row>
    <row r="561" spans="1:28" x14ac:dyDescent="0.25">
      <c r="A561" t="s">
        <v>565</v>
      </c>
      <c r="B561">
        <v>0.99193492352474899</v>
      </c>
      <c r="C561">
        <v>0.81085722341358901</v>
      </c>
      <c r="D561">
        <v>0.80723788478897396</v>
      </c>
      <c r="E561">
        <v>0.35285760212466399</v>
      </c>
      <c r="F561">
        <v>0.182736600078481</v>
      </c>
      <c r="G561">
        <v>0.112598740271105</v>
      </c>
      <c r="H561">
        <v>6.38742825024462E-2</v>
      </c>
      <c r="I561">
        <v>6.0864160103896503E-2</v>
      </c>
      <c r="J561">
        <v>6.8949590377888295E-2</v>
      </c>
      <c r="K561">
        <v>5.7981180023950099E-2</v>
      </c>
      <c r="L561">
        <v>935.86205153583603</v>
      </c>
      <c r="M561">
        <v>19.456405418754301</v>
      </c>
      <c r="N561">
        <v>48.394092970382196</v>
      </c>
      <c r="O561">
        <v>47.6009754814405</v>
      </c>
      <c r="P561">
        <v>-9.6498818780463305E-2</v>
      </c>
      <c r="Q561">
        <v>5.5679383544219897E-2</v>
      </c>
      <c r="R561">
        <v>0.98369070235914302</v>
      </c>
      <c r="S561" t="s">
        <v>7231</v>
      </c>
      <c r="T561" t="s">
        <v>13338</v>
      </c>
      <c r="U561" t="s">
        <v>13338</v>
      </c>
      <c r="V561" t="s">
        <v>13338</v>
      </c>
      <c r="W561" t="s">
        <v>13891</v>
      </c>
      <c r="X561">
        <v>7</v>
      </c>
      <c r="Y561" t="s">
        <v>20498</v>
      </c>
      <c r="Z561" t="s">
        <v>26976</v>
      </c>
      <c r="AA561">
        <v>0.32485483218539002</v>
      </c>
      <c r="AB561" t="str">
        <f>HYPERLINK("Melting_Curves/meltCurve_E9PMJ2_FAM118B.pdf", "Melting_Curves/meltCurve_E9PMJ2_FAM118B.pdf")</f>
        <v>Melting_Curves/meltCurve_E9PMJ2_FAM118B.pdf</v>
      </c>
    </row>
    <row r="562" spans="1:28" x14ac:dyDescent="0.25">
      <c r="A562" t="s">
        <v>566</v>
      </c>
      <c r="B562">
        <v>0.99193492352474899</v>
      </c>
      <c r="C562">
        <v>0.91415060398432502</v>
      </c>
      <c r="D562">
        <v>1.1378486131257</v>
      </c>
      <c r="E562">
        <v>0.84477802285279902</v>
      </c>
      <c r="F562">
        <v>0.44671071703812398</v>
      </c>
      <c r="G562">
        <v>0.14894154264859999</v>
      </c>
      <c r="H562">
        <v>9.5417396636020696E-2</v>
      </c>
      <c r="I562">
        <v>0.10098600721449801</v>
      </c>
      <c r="J562">
        <v>0.112823810567638</v>
      </c>
      <c r="K562">
        <v>0.115136234009601</v>
      </c>
      <c r="L562">
        <v>1751.28644230179</v>
      </c>
      <c r="M562">
        <v>33.461976925840098</v>
      </c>
      <c r="N562">
        <v>52.695122021771503</v>
      </c>
      <c r="O562">
        <v>52.150749951870402</v>
      </c>
      <c r="P562">
        <v>-0.144080405965307</v>
      </c>
      <c r="Q562">
        <v>0.10180207927712601</v>
      </c>
      <c r="R562">
        <v>0.981701844973764</v>
      </c>
      <c r="S562" t="s">
        <v>7232</v>
      </c>
      <c r="T562" t="s">
        <v>13338</v>
      </c>
      <c r="U562" t="s">
        <v>13338</v>
      </c>
      <c r="V562" t="s">
        <v>13338</v>
      </c>
      <c r="W562" t="s">
        <v>13892</v>
      </c>
      <c r="X562">
        <v>3</v>
      </c>
      <c r="Y562" t="s">
        <v>20499</v>
      </c>
      <c r="Z562" t="s">
        <v>26977</v>
      </c>
      <c r="AA562">
        <v>0.47580296220000129</v>
      </c>
      <c r="AB562" t="str">
        <f>HYPERLINK("Melting_Curves/meltCurve_E9PMM3_PEX16.pdf", "Melting_Curves/meltCurve_E9PMM3_PEX16.pdf")</f>
        <v>Melting_Curves/meltCurve_E9PMM3_PEX16.pdf</v>
      </c>
    </row>
    <row r="563" spans="1:28" x14ac:dyDescent="0.25">
      <c r="A563" t="s">
        <v>567</v>
      </c>
      <c r="B563">
        <v>0.99193492352474899</v>
      </c>
      <c r="C563">
        <v>0.75503158735095</v>
      </c>
      <c r="D563">
        <v>0.54430178707934895</v>
      </c>
      <c r="E563">
        <v>0.262172295159673</v>
      </c>
      <c r="F563">
        <v>0.17681966236938099</v>
      </c>
      <c r="G563">
        <v>0.117931895544858</v>
      </c>
      <c r="H563">
        <v>7.5656772931703503E-2</v>
      </c>
      <c r="I563">
        <v>0.105143016792045</v>
      </c>
      <c r="J563">
        <v>0.105923036523521</v>
      </c>
      <c r="K563">
        <v>8.8475314212599895E-2</v>
      </c>
      <c r="L563">
        <v>832.62797342608997</v>
      </c>
      <c r="M563">
        <v>18.181428840894</v>
      </c>
      <c r="N563">
        <v>46.312775226580797</v>
      </c>
      <c r="O563">
        <v>45.252292270671198</v>
      </c>
      <c r="P563">
        <v>-9.1219499285255398E-2</v>
      </c>
      <c r="Q563">
        <v>9.1887508019162401E-2</v>
      </c>
      <c r="R563">
        <v>0.99383107308403895</v>
      </c>
      <c r="S563" t="s">
        <v>7233</v>
      </c>
      <c r="T563" t="s">
        <v>13338</v>
      </c>
      <c r="U563" t="s">
        <v>13338</v>
      </c>
      <c r="V563" t="s">
        <v>13338</v>
      </c>
      <c r="W563" t="s">
        <v>13893</v>
      </c>
      <c r="X563">
        <v>3</v>
      </c>
      <c r="Y563" t="s">
        <v>20500</v>
      </c>
      <c r="Z563" t="s">
        <v>26978</v>
      </c>
      <c r="AA563">
        <v>0.28503735488774329</v>
      </c>
      <c r="AB563" t="str">
        <f>HYPERLINK("Melting_Curves/meltCurve_E9PMQ6_HSF1.pdf", "Melting_Curves/meltCurve_E9PMQ6_HSF1.pdf")</f>
        <v>Melting_Curves/meltCurve_E9PMQ6_HSF1.pdf</v>
      </c>
    </row>
    <row r="564" spans="1:28" x14ac:dyDescent="0.25">
      <c r="A564" t="s">
        <v>568</v>
      </c>
      <c r="B564">
        <v>0.99193492352474899</v>
      </c>
      <c r="C564">
        <v>0.54546069724575397</v>
      </c>
      <c r="D564">
        <v>0.88952329905115601</v>
      </c>
      <c r="E564">
        <v>0.56806578420851905</v>
      </c>
      <c r="F564">
        <v>0.53568604402677999</v>
      </c>
      <c r="G564">
        <v>0.40236881494300097</v>
      </c>
      <c r="H564">
        <v>0.25795562040436798</v>
      </c>
      <c r="I564">
        <v>0.18655966493130799</v>
      </c>
      <c r="J564">
        <v>0.199747926081286</v>
      </c>
      <c r="K564">
        <v>0.14480285912421401</v>
      </c>
      <c r="L564">
        <v>352.78391989690198</v>
      </c>
      <c r="M564">
        <v>6.7094401580893503</v>
      </c>
      <c r="N564">
        <v>52.580231555488098</v>
      </c>
      <c r="O564">
        <v>48.500129078333899</v>
      </c>
      <c r="P564">
        <v>-3.4659510586231901E-2</v>
      </c>
      <c r="Q564">
        <v>0</v>
      </c>
      <c r="R564">
        <v>0.84452206403973795</v>
      </c>
      <c r="S564" t="s">
        <v>7234</v>
      </c>
      <c r="T564" t="s">
        <v>13338</v>
      </c>
      <c r="U564" t="s">
        <v>13338</v>
      </c>
      <c r="V564" t="s">
        <v>13338</v>
      </c>
      <c r="W564" t="s">
        <v>13894</v>
      </c>
      <c r="X564">
        <v>1</v>
      </c>
      <c r="Y564" t="s">
        <v>20501</v>
      </c>
      <c r="Z564" t="s">
        <v>26979</v>
      </c>
      <c r="AA564">
        <v>0.4682560346741923</v>
      </c>
      <c r="AB564" t="str">
        <f>HYPERLINK("Melting_Curves/meltCurve_E9PMR4_CD151.pdf", "Melting_Curves/meltCurve_E9PMR4_CD151.pdf")</f>
        <v>Melting_Curves/meltCurve_E9PMR4_CD151.pdf</v>
      </c>
    </row>
    <row r="565" spans="1:28" x14ac:dyDescent="0.25">
      <c r="A565" t="s">
        <v>569</v>
      </c>
      <c r="B565">
        <v>0.99193492352474899</v>
      </c>
      <c r="C565">
        <v>0.57512342791313698</v>
      </c>
      <c r="D565">
        <v>0.42593386706179798</v>
      </c>
      <c r="E565">
        <v>0.29310620114467401</v>
      </c>
      <c r="F565">
        <v>0.132828564446685</v>
      </c>
      <c r="G565">
        <v>0.118826853330097</v>
      </c>
      <c r="H565">
        <v>0.12705453340626499</v>
      </c>
      <c r="I565">
        <v>0.16858361034820199</v>
      </c>
      <c r="J565">
        <v>0.14854461745970901</v>
      </c>
      <c r="K565">
        <v>0.18909977821002699</v>
      </c>
      <c r="L565">
        <v>869.69935764802506</v>
      </c>
      <c r="M565">
        <v>19.8334021866151</v>
      </c>
      <c r="N565">
        <v>44.6600162941441</v>
      </c>
      <c r="O565">
        <v>43.411748069742202</v>
      </c>
      <c r="P565">
        <v>-9.6969518063289795E-2</v>
      </c>
      <c r="Q565">
        <v>0.15103326836085701</v>
      </c>
      <c r="R565">
        <v>0.95755134742324399</v>
      </c>
      <c r="S565" t="s">
        <v>7235</v>
      </c>
      <c r="T565" t="s">
        <v>13338</v>
      </c>
      <c r="U565" t="s">
        <v>13338</v>
      </c>
      <c r="V565" t="s">
        <v>13338</v>
      </c>
      <c r="W565" t="s">
        <v>13895</v>
      </c>
      <c r="X565">
        <v>9</v>
      </c>
      <c r="Y565" t="s">
        <v>20502</v>
      </c>
      <c r="Z565" t="s">
        <v>26980</v>
      </c>
      <c r="AA565">
        <v>0.27724199706027391</v>
      </c>
      <c r="AB565" t="str">
        <f>HYPERLINK("Melting_Curves/meltCurve_E9PMS6_LMO7.pdf", "Melting_Curves/meltCurve_E9PMS6_LMO7.pdf")</f>
        <v>Melting_Curves/meltCurve_E9PMS6_LMO7.pdf</v>
      </c>
    </row>
    <row r="566" spans="1:28" x14ac:dyDescent="0.25">
      <c r="A566" t="s">
        <v>570</v>
      </c>
      <c r="B566">
        <v>0.99193492352474899</v>
      </c>
      <c r="C566">
        <v>0.77703777105320504</v>
      </c>
      <c r="D566">
        <v>0.85186608155103805</v>
      </c>
      <c r="E566">
        <v>0.54662149174100105</v>
      </c>
      <c r="F566">
        <v>0.40978120607666002</v>
      </c>
      <c r="G566">
        <v>0.20928620341548199</v>
      </c>
      <c r="H566">
        <v>0.16120041495012899</v>
      </c>
      <c r="I566">
        <v>0.106560805557133</v>
      </c>
      <c r="J566">
        <v>7.6438907698342107E-2</v>
      </c>
      <c r="K566">
        <v>0.109307164366066</v>
      </c>
      <c r="L566">
        <v>593.333845806564</v>
      </c>
      <c r="M566">
        <v>11.7556722544113</v>
      </c>
      <c r="N566">
        <v>50.853906123472001</v>
      </c>
      <c r="O566">
        <v>49.078022025599097</v>
      </c>
      <c r="P566">
        <v>-5.7368379551497199E-2</v>
      </c>
      <c r="Q566">
        <v>4.2235365715823203E-2</v>
      </c>
      <c r="R566">
        <v>0.97621280918190201</v>
      </c>
      <c r="S566" t="s">
        <v>7236</v>
      </c>
      <c r="T566" t="s">
        <v>13338</v>
      </c>
      <c r="U566" t="s">
        <v>13338</v>
      </c>
      <c r="V566" t="s">
        <v>13338</v>
      </c>
      <c r="W566" t="s">
        <v>13896</v>
      </c>
      <c r="X566">
        <v>1</v>
      </c>
      <c r="Y566" t="s">
        <v>20503</v>
      </c>
      <c r="Z566" t="s">
        <v>26981</v>
      </c>
      <c r="AA566">
        <v>0.40981037798441328</v>
      </c>
      <c r="AB566" t="str">
        <f>HYPERLINK("Melting_Curves/meltCurve_E9PMU5_MANEAL.pdf", "Melting_Curves/meltCurve_E9PMU5_MANEAL.pdf")</f>
        <v>Melting_Curves/meltCurve_E9PMU5_MANEAL.pdf</v>
      </c>
    </row>
    <row r="567" spans="1:28" x14ac:dyDescent="0.25">
      <c r="A567" t="s">
        <v>571</v>
      </c>
      <c r="B567">
        <v>0.99193492352474899</v>
      </c>
      <c r="C567">
        <v>0.76661799623445004</v>
      </c>
      <c r="D567">
        <v>0.97078795066962198</v>
      </c>
      <c r="E567">
        <v>0.66100250167892105</v>
      </c>
      <c r="F567">
        <v>0.62267124974149701</v>
      </c>
      <c r="G567">
        <v>0.355237707404502</v>
      </c>
      <c r="H567">
        <v>0.39898771270746197</v>
      </c>
      <c r="I567">
        <v>0.36855295451092901</v>
      </c>
      <c r="J567">
        <v>0.55556650964007304</v>
      </c>
      <c r="K567">
        <v>0.79712582791603903</v>
      </c>
      <c r="L567">
        <v>1156.97976203659</v>
      </c>
      <c r="M567">
        <v>23.874905768365899</v>
      </c>
      <c r="O567">
        <v>48.123959700226898</v>
      </c>
      <c r="P567">
        <v>-6.16863324633262E-2</v>
      </c>
      <c r="Q567">
        <v>0.502650810999832</v>
      </c>
      <c r="R567">
        <v>0.59172724437132496</v>
      </c>
      <c r="S567" t="s">
        <v>7237</v>
      </c>
      <c r="T567" t="s">
        <v>13338</v>
      </c>
      <c r="U567" t="s">
        <v>13338</v>
      </c>
      <c r="V567" t="s">
        <v>13338</v>
      </c>
      <c r="W567" t="s">
        <v>13897</v>
      </c>
      <c r="X567">
        <v>3</v>
      </c>
      <c r="Y567" t="s">
        <v>20504</v>
      </c>
      <c r="Z567" t="s">
        <v>26982</v>
      </c>
      <c r="AA567">
        <v>0.64774588519610254</v>
      </c>
      <c r="AB567" t="str">
        <f>HYPERLINK("Melting_Curves/meltCurve_E9PND3_EBAG9.pdf", "Melting_Curves/meltCurve_E9PND3_EBAG9.pdf")</f>
        <v>Melting_Curves/meltCurve_E9PND3_EBAG9.pdf</v>
      </c>
    </row>
    <row r="568" spans="1:28" x14ac:dyDescent="0.25">
      <c r="A568" t="s">
        <v>572</v>
      </c>
      <c r="B568">
        <v>0.99193492352474899</v>
      </c>
      <c r="C568">
        <v>0.83804983000784805</v>
      </c>
      <c r="D568">
        <v>0.91275934512055901</v>
      </c>
      <c r="E568">
        <v>0.76170941205739995</v>
      </c>
      <c r="F568">
        <v>0.62604214768699595</v>
      </c>
      <c r="G568">
        <v>0.43568309584641202</v>
      </c>
      <c r="H568">
        <v>0.27265989953566</v>
      </c>
      <c r="I568">
        <v>0.235991577068173</v>
      </c>
      <c r="J568">
        <v>0.264253536520271</v>
      </c>
      <c r="K568">
        <v>0.34757505075113998</v>
      </c>
      <c r="L568">
        <v>699.67182145966797</v>
      </c>
      <c r="M568">
        <v>13.337748497889701</v>
      </c>
      <c r="N568">
        <v>54.997170880503802</v>
      </c>
      <c r="O568">
        <v>51.320857437442498</v>
      </c>
      <c r="P568">
        <v>-5.0043683712375497E-2</v>
      </c>
      <c r="Q568">
        <v>0.22989254977569901</v>
      </c>
      <c r="R568">
        <v>0.95610700414802496</v>
      </c>
      <c r="S568" t="s">
        <v>7238</v>
      </c>
      <c r="T568" t="s">
        <v>13338</v>
      </c>
      <c r="U568" t="s">
        <v>13338</v>
      </c>
      <c r="V568" t="s">
        <v>13338</v>
      </c>
      <c r="W568" t="s">
        <v>13898</v>
      </c>
      <c r="X568">
        <v>6</v>
      </c>
      <c r="Y568" t="s">
        <v>20505</v>
      </c>
      <c r="Z568" t="s">
        <v>26983</v>
      </c>
      <c r="AA568">
        <v>0.5696540966149698</v>
      </c>
      <c r="AB568" t="str">
        <f>HYPERLINK("Melting_Curves/meltCurve_E9PNP3_AAMDC.pdf", "Melting_Curves/meltCurve_E9PNP3_AAMDC.pdf")</f>
        <v>Melting_Curves/meltCurve_E9PNP3_AAMDC.pdf</v>
      </c>
    </row>
    <row r="569" spans="1:28" x14ac:dyDescent="0.25">
      <c r="A569" t="s">
        <v>573</v>
      </c>
      <c r="B569">
        <v>0.99193492352474899</v>
      </c>
      <c r="C569">
        <v>0.94398179667805304</v>
      </c>
      <c r="D569">
        <v>1.0269950378311801</v>
      </c>
      <c r="E569">
        <v>0.67213242701745302</v>
      </c>
      <c r="F569">
        <v>0.35354475325479501</v>
      </c>
      <c r="G569">
        <v>0.17516948689723999</v>
      </c>
      <c r="H569">
        <v>0.111983973250771</v>
      </c>
      <c r="I569">
        <v>0.125563396743675</v>
      </c>
      <c r="J569">
        <v>0.17067972481852101</v>
      </c>
      <c r="K569">
        <v>0.11188526663939299</v>
      </c>
      <c r="L569">
        <v>1385.4064058465101</v>
      </c>
      <c r="M569">
        <v>27.2570858123525</v>
      </c>
      <c r="N569">
        <v>51.390706753015202</v>
      </c>
      <c r="O569">
        <v>50.556188612955999</v>
      </c>
      <c r="P569">
        <v>-0.11738087344050301</v>
      </c>
      <c r="Q569">
        <v>0.12914093836485599</v>
      </c>
      <c r="R569">
        <v>0.99108134596840103</v>
      </c>
      <c r="S569" t="s">
        <v>7239</v>
      </c>
      <c r="T569" t="s">
        <v>13338</v>
      </c>
      <c r="U569" t="s">
        <v>13338</v>
      </c>
      <c r="V569" t="s">
        <v>13338</v>
      </c>
      <c r="W569" t="s">
        <v>13899</v>
      </c>
      <c r="X569">
        <v>8</v>
      </c>
      <c r="Y569" t="s">
        <v>20506</v>
      </c>
      <c r="Z569" t="s">
        <v>26984</v>
      </c>
      <c r="AA569">
        <v>0.45005967530552088</v>
      </c>
      <c r="AB569" t="str">
        <f>HYPERLINK("Melting_Curves/meltCurve_E9PNT2_ARHGAP27.pdf", "Melting_Curves/meltCurve_E9PNT2_ARHGAP27.pdf")</f>
        <v>Melting_Curves/meltCurve_E9PNT2_ARHGAP27.pdf</v>
      </c>
    </row>
    <row r="570" spans="1:28" x14ac:dyDescent="0.25">
      <c r="A570" t="s">
        <v>574</v>
      </c>
      <c r="B570">
        <v>0.99193492352474899</v>
      </c>
      <c r="C570">
        <v>0.94866595416757005</v>
      </c>
      <c r="D570">
        <v>0.89359960506670999</v>
      </c>
      <c r="E570">
        <v>0.87717639881152798</v>
      </c>
      <c r="F570">
        <v>0.61664945047384101</v>
      </c>
      <c r="G570">
        <v>0.55870566283767598</v>
      </c>
      <c r="H570">
        <v>0.50972827517263797</v>
      </c>
      <c r="I570">
        <v>0.64712139691653703</v>
      </c>
      <c r="J570">
        <v>0.69495652555670895</v>
      </c>
      <c r="K570">
        <v>0.94845481705521795</v>
      </c>
      <c r="L570">
        <v>12427.6720360818</v>
      </c>
      <c r="M570">
        <v>250</v>
      </c>
      <c r="O570">
        <v>49.707507277044797</v>
      </c>
      <c r="P570">
        <v>-0.424228320543798</v>
      </c>
      <c r="Q570">
        <v>0.66260268505465703</v>
      </c>
      <c r="R570">
        <v>0.55028815778586204</v>
      </c>
      <c r="S570" t="s">
        <v>7240</v>
      </c>
      <c r="T570" t="s">
        <v>13338</v>
      </c>
      <c r="U570" t="s">
        <v>13338</v>
      </c>
      <c r="V570" t="s">
        <v>13338</v>
      </c>
      <c r="W570" t="s">
        <v>13900</v>
      </c>
      <c r="X570">
        <v>7</v>
      </c>
      <c r="Y570" t="s">
        <v>20507</v>
      </c>
      <c r="Z570" t="s">
        <v>26985</v>
      </c>
      <c r="AA570">
        <v>0.77184412363603772</v>
      </c>
      <c r="AB570" t="str">
        <f>HYPERLINK("Melting_Curves/meltCurve_E9PNW4_CD59.pdf", "Melting_Curves/meltCurve_E9PNW4_CD59.pdf")</f>
        <v>Melting_Curves/meltCurve_E9PNW4_CD59.pdf</v>
      </c>
    </row>
    <row r="571" spans="1:28" x14ac:dyDescent="0.25">
      <c r="A571" t="s">
        <v>575</v>
      </c>
      <c r="B571">
        <v>0.99193492352474899</v>
      </c>
      <c r="C571">
        <v>0.97886966772144601</v>
      </c>
      <c r="D571">
        <v>0.49995157819386299</v>
      </c>
      <c r="E571">
        <v>0.108789398023954</v>
      </c>
      <c r="F571">
        <v>5.4630970999150402E-2</v>
      </c>
      <c r="G571">
        <v>1.7749714758815899E-2</v>
      </c>
      <c r="H571">
        <v>0</v>
      </c>
      <c r="I571">
        <v>0</v>
      </c>
      <c r="J571">
        <v>1.0650603069935099E-2</v>
      </c>
      <c r="K571">
        <v>0</v>
      </c>
      <c r="L571">
        <v>1722.43747857016</v>
      </c>
      <c r="M571">
        <v>37.409846000211203</v>
      </c>
      <c r="N571">
        <v>46.083007785399602</v>
      </c>
      <c r="O571">
        <v>45.9113826107926</v>
      </c>
      <c r="P571">
        <v>-0.200401661141384</v>
      </c>
      <c r="Q571">
        <v>1.6227694602877599E-2</v>
      </c>
      <c r="R571">
        <v>0.99698817251594296</v>
      </c>
      <c r="S571" t="s">
        <v>7241</v>
      </c>
      <c r="T571" t="s">
        <v>13338</v>
      </c>
      <c r="U571" t="s">
        <v>13338</v>
      </c>
      <c r="V571" t="s">
        <v>13338</v>
      </c>
      <c r="W571" t="s">
        <v>13901</v>
      </c>
      <c r="X571">
        <v>2</v>
      </c>
      <c r="Y571" t="s">
        <v>20508</v>
      </c>
      <c r="Z571" t="s">
        <v>26986</v>
      </c>
      <c r="AA571">
        <v>0.2180581679748477</v>
      </c>
      <c r="AB571" t="str">
        <f>HYPERLINK("Melting_Curves/meltCurve_E9PP40_LRRC14.pdf", "Melting_Curves/meltCurve_E9PP40_LRRC14.pdf")</f>
        <v>Melting_Curves/meltCurve_E9PP40_LRRC14.pdf</v>
      </c>
    </row>
    <row r="572" spans="1:28" x14ac:dyDescent="0.25">
      <c r="A572" t="s">
        <v>576</v>
      </c>
      <c r="B572">
        <v>0.99193492352474899</v>
      </c>
      <c r="C572">
        <v>1.1898019588368001</v>
      </c>
      <c r="D572">
        <v>0.93226501169681197</v>
      </c>
      <c r="E572">
        <v>0.64082351390772296</v>
      </c>
      <c r="F572">
        <v>0.61790102853010398</v>
      </c>
      <c r="G572">
        <v>0.56898083968243096</v>
      </c>
      <c r="H572">
        <v>2.72821058201828</v>
      </c>
      <c r="I572">
        <v>3.6639644959714199</v>
      </c>
      <c r="J572">
        <v>3.6614171976298699</v>
      </c>
      <c r="K572">
        <v>3.6902705580186499</v>
      </c>
      <c r="L572">
        <v>2832.78178829032</v>
      </c>
      <c r="M572">
        <v>48.943384819987898</v>
      </c>
      <c r="O572">
        <v>57.782390036327499</v>
      </c>
      <c r="P572">
        <v>0.10587881783502499</v>
      </c>
      <c r="Q572">
        <v>1.5</v>
      </c>
      <c r="R572">
        <v>5.3053045187794599E-2</v>
      </c>
      <c r="S572" t="s">
        <v>7242</v>
      </c>
      <c r="T572" t="s">
        <v>13338</v>
      </c>
      <c r="U572" t="s">
        <v>13338</v>
      </c>
      <c r="V572" t="s">
        <v>13338</v>
      </c>
      <c r="W572" t="s">
        <v>13902</v>
      </c>
      <c r="X572">
        <v>1</v>
      </c>
      <c r="Y572" t="s">
        <v>20509</v>
      </c>
      <c r="Z572" t="s">
        <v>26987</v>
      </c>
      <c r="AA572">
        <v>1.20069464955575</v>
      </c>
      <c r="AB572" t="str">
        <f>HYPERLINK("Melting_Curves/meltCurve_E9PPU5_RAG2.pdf", "Melting_Curves/meltCurve_E9PPU5_RAG2.pdf")</f>
        <v>Melting_Curves/meltCurve_E9PPU5_RAG2.pdf</v>
      </c>
    </row>
    <row r="573" spans="1:28" x14ac:dyDescent="0.25">
      <c r="A573" t="s">
        <v>577</v>
      </c>
      <c r="B573">
        <v>0.99193492352474899</v>
      </c>
      <c r="C573">
        <v>1.1670130162364001</v>
      </c>
      <c r="D573">
        <v>1.05682401140506</v>
      </c>
      <c r="E573">
        <v>0.98801925357768305</v>
      </c>
      <c r="F573">
        <v>0.267027220738835</v>
      </c>
      <c r="G573">
        <v>0.193057591173251</v>
      </c>
      <c r="H573">
        <v>9.6784424050668505E-2</v>
      </c>
      <c r="I573">
        <v>0.114512926746294</v>
      </c>
      <c r="J573">
        <v>7.7486409127879602E-2</v>
      </c>
      <c r="K573">
        <v>7.81662266996202E-2</v>
      </c>
      <c r="L573">
        <v>3951.4600306439602</v>
      </c>
      <c r="M573">
        <v>75.809482877837297</v>
      </c>
      <c r="N573">
        <v>52.297310730610299</v>
      </c>
      <c r="O573">
        <v>52.0873224541144</v>
      </c>
      <c r="P573">
        <v>-0.323351334672353</v>
      </c>
      <c r="Q573">
        <v>0.11132476467635601</v>
      </c>
      <c r="R573">
        <v>0.980448101939568</v>
      </c>
      <c r="S573" t="s">
        <v>7243</v>
      </c>
      <c r="T573" t="s">
        <v>13338</v>
      </c>
      <c r="U573" t="s">
        <v>13338</v>
      </c>
      <c r="V573" t="s">
        <v>13338</v>
      </c>
      <c r="W573" t="s">
        <v>13903</v>
      </c>
      <c r="X573">
        <v>2</v>
      </c>
      <c r="Y573" t="s">
        <v>20510</v>
      </c>
      <c r="Z573" t="s">
        <v>26988</v>
      </c>
      <c r="AA573">
        <v>0.47134098164524191</v>
      </c>
      <c r="AB573" t="str">
        <f>HYPERLINK("Melting_Curves/meltCurve_E9PPZ9_GPAA1.pdf", "Melting_Curves/meltCurve_E9PPZ9_GPAA1.pdf")</f>
        <v>Melting_Curves/meltCurve_E9PPZ9_GPAA1.pdf</v>
      </c>
    </row>
    <row r="574" spans="1:28" x14ac:dyDescent="0.25">
      <c r="A574" t="s">
        <v>578</v>
      </c>
      <c r="B574">
        <v>0.99193492352474899</v>
      </c>
      <c r="C574">
        <v>0.774523846440061</v>
      </c>
      <c r="D574">
        <v>0.48394880664650203</v>
      </c>
      <c r="E574">
        <v>0.31262599532261998</v>
      </c>
      <c r="F574">
        <v>0.31685823611485497</v>
      </c>
      <c r="G574">
        <v>0.16741686134336001</v>
      </c>
      <c r="H574">
        <v>0.107729188044413</v>
      </c>
      <c r="I574">
        <v>0.12714835811578301</v>
      </c>
      <c r="J574">
        <v>0.18399912190283399</v>
      </c>
      <c r="K574">
        <v>0.17913348184914801</v>
      </c>
      <c r="L574">
        <v>825.34555962258605</v>
      </c>
      <c r="M574">
        <v>18.218982321640102</v>
      </c>
      <c r="N574">
        <v>46.300973636029703</v>
      </c>
      <c r="O574">
        <v>44.766212225161297</v>
      </c>
      <c r="P574">
        <v>-8.5206089876075405E-2</v>
      </c>
      <c r="Q574">
        <v>0.162593299217556</v>
      </c>
      <c r="R574">
        <v>0.97276910497035096</v>
      </c>
      <c r="S574" t="s">
        <v>7244</v>
      </c>
      <c r="T574" t="s">
        <v>13338</v>
      </c>
      <c r="U574" t="s">
        <v>13338</v>
      </c>
      <c r="V574" t="s">
        <v>13338</v>
      </c>
      <c r="W574" t="s">
        <v>13904</v>
      </c>
      <c r="X574">
        <v>1</v>
      </c>
      <c r="Y574" t="s">
        <v>20511</v>
      </c>
      <c r="Z574" t="s">
        <v>26989</v>
      </c>
      <c r="AA574">
        <v>0.3275899399267107</v>
      </c>
      <c r="AB574" t="str">
        <f>HYPERLINK("Melting_Curves/meltCurve_E9PQ62_VWA5B1.pdf", "Melting_Curves/meltCurve_E9PQ62_VWA5B1.pdf")</f>
        <v>Melting_Curves/meltCurve_E9PQ62_VWA5B1.pdf</v>
      </c>
    </row>
    <row r="575" spans="1:28" x14ac:dyDescent="0.25">
      <c r="A575" t="s">
        <v>579</v>
      </c>
      <c r="B575">
        <v>0.99193492352474899</v>
      </c>
      <c r="C575">
        <v>0.89206020751683401</v>
      </c>
      <c r="D575">
        <v>0.97716436975816201</v>
      </c>
      <c r="E575">
        <v>0.64925842173605297</v>
      </c>
      <c r="F575">
        <v>0.44588018997248802</v>
      </c>
      <c r="G575">
        <v>0.37486337393897301</v>
      </c>
      <c r="H575">
        <v>0.17867600046674201</v>
      </c>
      <c r="I575">
        <v>0.247107617730807</v>
      </c>
      <c r="J575">
        <v>0.33142305901220198</v>
      </c>
      <c r="K575">
        <v>0.28683819594877702</v>
      </c>
      <c r="L575">
        <v>1089.7053261077499</v>
      </c>
      <c r="M575">
        <v>21.6992161328759</v>
      </c>
      <c r="N575">
        <v>52.048929671547697</v>
      </c>
      <c r="O575">
        <v>49.797976497549399</v>
      </c>
      <c r="P575">
        <v>-7.9865501658968996E-2</v>
      </c>
      <c r="Q575">
        <v>0.26687735939965002</v>
      </c>
      <c r="R575">
        <v>0.963782738567172</v>
      </c>
      <c r="S575" t="s">
        <v>7245</v>
      </c>
      <c r="T575" t="s">
        <v>13338</v>
      </c>
      <c r="U575" t="s">
        <v>13338</v>
      </c>
      <c r="V575" t="s">
        <v>13338</v>
      </c>
      <c r="W575" t="s">
        <v>13905</v>
      </c>
      <c r="X575">
        <v>2</v>
      </c>
      <c r="Y575" t="s">
        <v>20512</v>
      </c>
      <c r="Z575" t="s">
        <v>26990</v>
      </c>
      <c r="AA575">
        <v>0.52529366285532286</v>
      </c>
      <c r="AB575" t="str">
        <f>HYPERLINK("Melting_Curves/meltCurve_E9PQ63_CBR1.pdf", "Melting_Curves/meltCurve_E9PQ63_CBR1.pdf")</f>
        <v>Melting_Curves/meltCurve_E9PQ63_CBR1.pdf</v>
      </c>
    </row>
    <row r="576" spans="1:28" x14ac:dyDescent="0.25">
      <c r="A576" t="s">
        <v>580</v>
      </c>
      <c r="B576">
        <v>0.99193492352474899</v>
      </c>
      <c r="C576">
        <v>0.93076737190146797</v>
      </c>
      <c r="D576">
        <v>0.91390545335750994</v>
      </c>
      <c r="E576">
        <v>0.80655876799350701</v>
      </c>
      <c r="F576">
        <v>0.73540056438005996</v>
      </c>
      <c r="G576">
        <v>0.57573591597831097</v>
      </c>
      <c r="H576">
        <v>0.23009651540552301</v>
      </c>
      <c r="I576">
        <v>0.232330527963719</v>
      </c>
      <c r="J576">
        <v>0.213358534790934</v>
      </c>
      <c r="K576">
        <v>0.30113353014027999</v>
      </c>
      <c r="L576">
        <v>792.19244074494497</v>
      </c>
      <c r="M576">
        <v>14.3928271021211</v>
      </c>
      <c r="N576">
        <v>56.727082651491301</v>
      </c>
      <c r="O576">
        <v>54.010961829329098</v>
      </c>
      <c r="P576">
        <v>-5.5031588046230699E-2</v>
      </c>
      <c r="Q576">
        <v>0.17404522598031799</v>
      </c>
      <c r="R576">
        <v>0.95861887732357898</v>
      </c>
      <c r="S576" t="s">
        <v>7246</v>
      </c>
      <c r="T576" t="s">
        <v>13338</v>
      </c>
      <c r="U576" t="s">
        <v>13338</v>
      </c>
      <c r="V576" t="s">
        <v>13338</v>
      </c>
      <c r="W576" t="s">
        <v>13906</v>
      </c>
      <c r="X576">
        <v>6</v>
      </c>
      <c r="Y576" t="s">
        <v>20513</v>
      </c>
      <c r="Z576" t="s">
        <v>26991</v>
      </c>
      <c r="AA576">
        <v>0.60470954201509208</v>
      </c>
      <c r="AB576" t="str">
        <f>HYPERLINK("Melting_Curves/meltCurve_E9PQY3_ACP2.pdf", "Melting_Curves/meltCurve_E9PQY3_ACP2.pdf")</f>
        <v>Melting_Curves/meltCurve_E9PQY3_ACP2.pdf</v>
      </c>
    </row>
    <row r="577" spans="1:28" x14ac:dyDescent="0.25">
      <c r="A577" t="s">
        <v>581</v>
      </c>
      <c r="B577">
        <v>0.99193492352474899</v>
      </c>
      <c r="C577">
        <v>0.75929835357512399</v>
      </c>
      <c r="D577">
        <v>0.94598417324227901</v>
      </c>
      <c r="E577">
        <v>0.86569946173539702</v>
      </c>
      <c r="F577">
        <v>0.72614271728803303</v>
      </c>
      <c r="G577">
        <v>0.56880930473869096</v>
      </c>
      <c r="H577">
        <v>0.41169538640945602</v>
      </c>
      <c r="I577">
        <v>0.275829434045743</v>
      </c>
      <c r="J577">
        <v>0.38621957561992099</v>
      </c>
      <c r="K577">
        <v>0.54260659597404803</v>
      </c>
      <c r="L577">
        <v>839.49142843226002</v>
      </c>
      <c r="M577">
        <v>15.7577290976122</v>
      </c>
      <c r="N577">
        <v>58.435239413756698</v>
      </c>
      <c r="O577">
        <v>52.439050807556598</v>
      </c>
      <c r="P577">
        <v>-4.6907263937089098E-2</v>
      </c>
      <c r="Q577">
        <v>0.37565446429252602</v>
      </c>
      <c r="R577">
        <v>0.82134934309562102</v>
      </c>
      <c r="S577" t="s">
        <v>7247</v>
      </c>
      <c r="T577" t="s">
        <v>13338</v>
      </c>
      <c r="U577" t="s">
        <v>13338</v>
      </c>
      <c r="V577" t="s">
        <v>13338</v>
      </c>
      <c r="W577" t="s">
        <v>13907</v>
      </c>
      <c r="X577">
        <v>3</v>
      </c>
      <c r="Y577" t="s">
        <v>20514</v>
      </c>
      <c r="Z577" t="s">
        <v>26992</v>
      </c>
      <c r="AA577">
        <v>0.66432613065243373</v>
      </c>
      <c r="AB577" t="str">
        <f>HYPERLINK("Melting_Curves/meltCurve_E9PR30_FAU.pdf", "Melting_Curves/meltCurve_E9PR30_FAU.pdf")</f>
        <v>Melting_Curves/meltCurve_E9PR30_FAU.pdf</v>
      </c>
    </row>
    <row r="578" spans="1:28" x14ac:dyDescent="0.25">
      <c r="A578" t="s">
        <v>582</v>
      </c>
      <c r="B578">
        <v>0.99193492352474899</v>
      </c>
      <c r="C578">
        <v>0.61635639833983702</v>
      </c>
      <c r="D578">
        <v>0.47134440027989999</v>
      </c>
      <c r="E578">
        <v>0.16250981307815299</v>
      </c>
      <c r="F578">
        <v>0.124918898750257</v>
      </c>
      <c r="G578">
        <v>7.7033511436041993E-2</v>
      </c>
      <c r="H578">
        <v>4.1762223358223501E-2</v>
      </c>
      <c r="I578">
        <v>6.7071887661044494E-2</v>
      </c>
      <c r="J578">
        <v>3.9995819949719298E-2</v>
      </c>
      <c r="K578">
        <v>9.3157950786536603E-2</v>
      </c>
      <c r="L578">
        <v>824.85580274674999</v>
      </c>
      <c r="M578">
        <v>18.443517438233201</v>
      </c>
      <c r="N578">
        <v>45.032798401412599</v>
      </c>
      <c r="O578">
        <v>44.207520839494698</v>
      </c>
      <c r="P578">
        <v>-9.8097780595845396E-2</v>
      </c>
      <c r="Q578">
        <v>5.95144745633365E-2</v>
      </c>
      <c r="R578">
        <v>0.97587936311432699</v>
      </c>
      <c r="S578" t="s">
        <v>7248</v>
      </c>
      <c r="T578" t="s">
        <v>13338</v>
      </c>
      <c r="U578" t="s">
        <v>13338</v>
      </c>
      <c r="V578" t="s">
        <v>13338</v>
      </c>
      <c r="W578" t="s">
        <v>13908</v>
      </c>
      <c r="X578">
        <v>2</v>
      </c>
      <c r="Y578" t="s">
        <v>20515</v>
      </c>
      <c r="Z578" t="s">
        <v>26993</v>
      </c>
      <c r="AA578">
        <v>0.22742267607496999</v>
      </c>
      <c r="AB578" t="str">
        <f>HYPERLINK("Melting_Curves/meltCurve_E9PR76_MAF1.pdf", "Melting_Curves/meltCurve_E9PR76_MAF1.pdf")</f>
        <v>Melting_Curves/meltCurve_E9PR76_MAF1.pdf</v>
      </c>
    </row>
    <row r="579" spans="1:28" x14ac:dyDescent="0.25">
      <c r="A579" t="s">
        <v>583</v>
      </c>
      <c r="B579">
        <v>0.99193492352474899</v>
      </c>
      <c r="C579">
        <v>0.940101323809165</v>
      </c>
      <c r="D579">
        <v>0.60648526060219099</v>
      </c>
      <c r="E579">
        <v>0.19585947400537701</v>
      </c>
      <c r="F579">
        <v>0.13103977145349699</v>
      </c>
      <c r="G579">
        <v>7.4925166235256899E-2</v>
      </c>
      <c r="H579">
        <v>3.3670280718522898E-2</v>
      </c>
      <c r="I579">
        <v>6.7104739836297805E-2</v>
      </c>
      <c r="J579">
        <v>6.7748538215990001E-2</v>
      </c>
      <c r="K579">
        <v>2.3911963142880299E-2</v>
      </c>
      <c r="L579">
        <v>1305.20247572634</v>
      </c>
      <c r="M579">
        <v>28.0147612617825</v>
      </c>
      <c r="N579">
        <v>46.798681053301202</v>
      </c>
      <c r="O579">
        <v>46.354357316934497</v>
      </c>
      <c r="P579">
        <v>-0.142212539319854</v>
      </c>
      <c r="Q579">
        <v>5.8765567694346897E-2</v>
      </c>
      <c r="R579">
        <v>0.99657834827424796</v>
      </c>
      <c r="S579" t="s">
        <v>7249</v>
      </c>
      <c r="T579" t="s">
        <v>13338</v>
      </c>
      <c r="U579" t="s">
        <v>13338</v>
      </c>
      <c r="V579" t="s">
        <v>13338</v>
      </c>
      <c r="W579" t="s">
        <v>13909</v>
      </c>
      <c r="X579">
        <v>1</v>
      </c>
      <c r="Y579" t="s">
        <v>20516</v>
      </c>
      <c r="Z579" t="s">
        <v>26994</v>
      </c>
      <c r="AA579">
        <v>0.27210352086171508</v>
      </c>
      <c r="AB579" t="str">
        <f>HYPERLINK("Melting_Curves/meltCurve_E9PRK7_ARL14EP.pdf", "Melting_Curves/meltCurve_E9PRK7_ARL14EP.pdf")</f>
        <v>Melting_Curves/meltCurve_E9PRK7_ARL14EP.pdf</v>
      </c>
    </row>
    <row r="580" spans="1:28" x14ac:dyDescent="0.25">
      <c r="A580" t="s">
        <v>584</v>
      </c>
      <c r="B580">
        <v>0.99193492352474899</v>
      </c>
      <c r="C580">
        <v>0.96522419645836799</v>
      </c>
      <c r="D580">
        <v>1.1419146127981099</v>
      </c>
      <c r="E580">
        <v>0.769553708730354</v>
      </c>
      <c r="F580">
        <v>0.62915218017682295</v>
      </c>
      <c r="G580">
        <v>0.27038762968989299</v>
      </c>
      <c r="H580">
        <v>9.7564563057982195E-2</v>
      </c>
      <c r="I580">
        <v>0.14570985796614699</v>
      </c>
      <c r="J580">
        <v>0.13331133613347801</v>
      </c>
      <c r="K580">
        <v>0.13015670383823599</v>
      </c>
      <c r="L580">
        <v>1260.96022777804</v>
      </c>
      <c r="M580">
        <v>23.617347837318601</v>
      </c>
      <c r="N580">
        <v>53.957278801678903</v>
      </c>
      <c r="O580">
        <v>53.012900979685497</v>
      </c>
      <c r="P580">
        <v>-9.9156648315153806E-2</v>
      </c>
      <c r="Q580">
        <v>0.10972340784174101</v>
      </c>
      <c r="R580">
        <v>0.97068969319721998</v>
      </c>
      <c r="S580" t="s">
        <v>7250</v>
      </c>
      <c r="T580" t="s">
        <v>13338</v>
      </c>
      <c r="U580" t="s">
        <v>13338</v>
      </c>
      <c r="V580" t="s">
        <v>13338</v>
      </c>
      <c r="W580" t="s">
        <v>13910</v>
      </c>
      <c r="X580">
        <v>1</v>
      </c>
      <c r="Y580" t="s">
        <v>20517</v>
      </c>
      <c r="Z580" t="s">
        <v>26995</v>
      </c>
      <c r="AA580">
        <v>0.51624401562554345</v>
      </c>
      <c r="AB580" t="str">
        <f>HYPERLINK("Melting_Curves/meltCurve_E9PRM7_SLC22A18.pdf", "Melting_Curves/meltCurve_E9PRM7_SLC22A18.pdf")</f>
        <v>Melting_Curves/meltCurve_E9PRM7_SLC22A18.pdf</v>
      </c>
    </row>
    <row r="581" spans="1:28" x14ac:dyDescent="0.25">
      <c r="A581" t="s">
        <v>585</v>
      </c>
      <c r="B581">
        <v>0.99193492352474899</v>
      </c>
      <c r="C581">
        <v>1.07094988046827</v>
      </c>
      <c r="D581">
        <v>0.95839827945663802</v>
      </c>
      <c r="E581">
        <v>0.605161331584538</v>
      </c>
      <c r="F581">
        <v>0.16701245250052901</v>
      </c>
      <c r="G581">
        <v>0.11244516560084999</v>
      </c>
      <c r="H581">
        <v>7.11741604268359E-2</v>
      </c>
      <c r="I581">
        <v>8.5031522723253802E-2</v>
      </c>
      <c r="J581">
        <v>0.110534478151284</v>
      </c>
      <c r="K581">
        <v>0.108994347653614</v>
      </c>
      <c r="L581">
        <v>1951.70497696441</v>
      </c>
      <c r="M581">
        <v>39.100284835292499</v>
      </c>
      <c r="N581">
        <v>50.187227108141897</v>
      </c>
      <c r="O581">
        <v>49.785335949329102</v>
      </c>
      <c r="P581">
        <v>-0.177605961455477</v>
      </c>
      <c r="Q581">
        <v>9.5438604289875495E-2</v>
      </c>
      <c r="R581">
        <v>0.99598316829515399</v>
      </c>
      <c r="S581" t="s">
        <v>7251</v>
      </c>
      <c r="T581" t="s">
        <v>13338</v>
      </c>
      <c r="U581" t="s">
        <v>13338</v>
      </c>
      <c r="V581" t="s">
        <v>13338</v>
      </c>
      <c r="W581" t="s">
        <v>13911</v>
      </c>
      <c r="X581">
        <v>15</v>
      </c>
      <c r="Y581" t="s">
        <v>20478</v>
      </c>
      <c r="Z581" t="s">
        <v>26996</v>
      </c>
      <c r="AA581">
        <v>0.39767609576038981</v>
      </c>
      <c r="AB581" t="str">
        <f>HYPERLINK("Melting_Curves/meltCurve_E9PRY8_EEF1D.pdf", "Melting_Curves/meltCurve_E9PRY8_EEF1D.pdf")</f>
        <v>Melting_Curves/meltCurve_E9PRY8_EEF1D.pdf</v>
      </c>
    </row>
    <row r="582" spans="1:28" x14ac:dyDescent="0.25">
      <c r="A582" t="s">
        <v>586</v>
      </c>
      <c r="B582">
        <v>0.99193492352474899</v>
      </c>
      <c r="C582">
        <v>0.96015717329031902</v>
      </c>
      <c r="D582">
        <v>1.0357157024941599</v>
      </c>
      <c r="E582">
        <v>0.76063694803263604</v>
      </c>
      <c r="F582">
        <v>0.19650440323613899</v>
      </c>
      <c r="G582">
        <v>0.108292566109607</v>
      </c>
      <c r="H582">
        <v>6.7826115874879606E-2</v>
      </c>
      <c r="I582">
        <v>8.3839797740109204E-2</v>
      </c>
      <c r="J582">
        <v>9.8384144957578301E-2</v>
      </c>
      <c r="K582">
        <v>0.103091463590054</v>
      </c>
      <c r="L582">
        <v>2287.8385087809702</v>
      </c>
      <c r="M582">
        <v>45.073254706528999</v>
      </c>
      <c r="N582">
        <v>50.9858181234951</v>
      </c>
      <c r="O582">
        <v>50.658621873960598</v>
      </c>
      <c r="P582">
        <v>-0.20216642599394799</v>
      </c>
      <c r="Q582">
        <v>9.1127690628315702E-2</v>
      </c>
      <c r="R582">
        <v>0.99733159099939594</v>
      </c>
      <c r="S582" t="s">
        <v>7252</v>
      </c>
      <c r="T582" t="s">
        <v>13338</v>
      </c>
      <c r="U582" t="s">
        <v>13338</v>
      </c>
      <c r="V582" t="s">
        <v>13338</v>
      </c>
      <c r="W582" t="s">
        <v>13912</v>
      </c>
      <c r="X582">
        <v>13</v>
      </c>
      <c r="Y582" t="s">
        <v>20518</v>
      </c>
      <c r="Z582" t="s">
        <v>26997</v>
      </c>
      <c r="AA582">
        <v>0.41956338347306332</v>
      </c>
      <c r="AB582" t="str">
        <f>HYPERLINK("Melting_Curves/meltCurve_E9PS17_SCYL1.pdf", "Melting_Curves/meltCurve_E9PS17_SCYL1.pdf")</f>
        <v>Melting_Curves/meltCurve_E9PS17_SCYL1.pdf</v>
      </c>
    </row>
    <row r="583" spans="1:28" x14ac:dyDescent="0.25">
      <c r="A583" t="s">
        <v>587</v>
      </c>
      <c r="B583">
        <v>0.99193492352474899</v>
      </c>
      <c r="C583">
        <v>1.9574392216609</v>
      </c>
      <c r="D583">
        <v>0.98564862558328303</v>
      </c>
      <c r="E583">
        <v>1.29350473834785</v>
      </c>
      <c r="F583">
        <v>0.49851981722001998</v>
      </c>
      <c r="G583">
        <v>0.48891805050103199</v>
      </c>
      <c r="H583">
        <v>0.36222528423118699</v>
      </c>
      <c r="I583">
        <v>0.54143835022729503</v>
      </c>
      <c r="J583">
        <v>0.47465561529595202</v>
      </c>
      <c r="K583">
        <v>0.39210331450260599</v>
      </c>
      <c r="L583">
        <v>13173.6587120448</v>
      </c>
      <c r="M583">
        <v>250</v>
      </c>
      <c r="N583">
        <v>53.192658050076602</v>
      </c>
      <c r="O583">
        <v>52.691262905720698</v>
      </c>
      <c r="P583">
        <v>-0.65016945725401099</v>
      </c>
      <c r="Q583">
        <v>0.45186800546822697</v>
      </c>
      <c r="R583">
        <v>0.56819391125982799</v>
      </c>
      <c r="S583" t="s">
        <v>7253</v>
      </c>
      <c r="T583" t="s">
        <v>13338</v>
      </c>
      <c r="U583" t="s">
        <v>13338</v>
      </c>
      <c r="V583" t="s">
        <v>13338</v>
      </c>
      <c r="W583" t="s">
        <v>13913</v>
      </c>
      <c r="X583">
        <v>8</v>
      </c>
      <c r="Y583" t="s">
        <v>20491</v>
      </c>
      <c r="Z583" t="s">
        <v>26998</v>
      </c>
      <c r="AA583">
        <v>0.68386321306972397</v>
      </c>
      <c r="AB583" t="str">
        <f>HYPERLINK("Melting_Curves/meltCurve_E9PS38_NEDD8_MDP1.pdf", "Melting_Curves/meltCurve_E9PS38_NEDD8_MDP1.pdf")</f>
        <v>Melting_Curves/meltCurve_E9PS38_NEDD8_MDP1.pdf</v>
      </c>
    </row>
    <row r="584" spans="1:28" x14ac:dyDescent="0.25">
      <c r="A584" t="s">
        <v>588</v>
      </c>
      <c r="B584">
        <v>0.99193492352474899</v>
      </c>
      <c r="C584">
        <v>1.30910615811983</v>
      </c>
      <c r="D584">
        <v>1.04297493555224</v>
      </c>
      <c r="E584">
        <v>0.784162446999221</v>
      </c>
      <c r="F584">
        <v>0.36294568942827499</v>
      </c>
      <c r="G584">
        <v>0.137801037929209</v>
      </c>
      <c r="H584">
        <v>3.8795827340024999E-2</v>
      </c>
      <c r="I584">
        <v>0.104051858000652</v>
      </c>
      <c r="J584">
        <v>5.3175132361174701E-2</v>
      </c>
      <c r="K584">
        <v>7.9564586925054998E-2</v>
      </c>
      <c r="L584">
        <v>1602.98110069209</v>
      </c>
      <c r="M584">
        <v>30.956885824402502</v>
      </c>
      <c r="N584">
        <v>52.032114988536399</v>
      </c>
      <c r="O584">
        <v>51.566449970277603</v>
      </c>
      <c r="P584">
        <v>-0.13967160506028301</v>
      </c>
      <c r="Q584">
        <v>6.9373227828339795E-2</v>
      </c>
      <c r="R584">
        <v>0.95188097183801801</v>
      </c>
      <c r="S584" t="s">
        <v>7254</v>
      </c>
      <c r="T584" t="s">
        <v>13338</v>
      </c>
      <c r="U584" t="s">
        <v>13338</v>
      </c>
      <c r="V584" t="s">
        <v>13338</v>
      </c>
      <c r="W584" t="s">
        <v>13914</v>
      </c>
      <c r="X584">
        <v>2</v>
      </c>
      <c r="Y584" t="s">
        <v>20519</v>
      </c>
      <c r="Z584" t="s">
        <v>26999</v>
      </c>
      <c r="AA584">
        <v>0.44039967119675588</v>
      </c>
      <c r="AB584" t="str">
        <f>HYPERLINK("Melting_Curves/meltCurve_E9PS47_PTDSS2.pdf", "Melting_Curves/meltCurve_E9PS47_PTDSS2.pdf")</f>
        <v>Melting_Curves/meltCurve_E9PS47_PTDSS2.pdf</v>
      </c>
    </row>
    <row r="585" spans="1:28" x14ac:dyDescent="0.25">
      <c r="A585" t="s">
        <v>589</v>
      </c>
      <c r="B585">
        <v>0.99193492352474899</v>
      </c>
      <c r="C585">
        <v>0.99272937888778801</v>
      </c>
      <c r="D585">
        <v>0.95621259703371397</v>
      </c>
      <c r="E585">
        <v>0.85076291520721803</v>
      </c>
      <c r="F585">
        <v>0.74671766555200003</v>
      </c>
      <c r="G585">
        <v>0.61146292028688798</v>
      </c>
      <c r="H585">
        <v>0.51006252169408095</v>
      </c>
      <c r="I585">
        <v>0.32308801768637502</v>
      </c>
      <c r="J585">
        <v>0.26190754481964101</v>
      </c>
      <c r="K585">
        <v>0.163942571688522</v>
      </c>
      <c r="L585">
        <v>572.283443021219</v>
      </c>
      <c r="M585">
        <v>9.5957020890923008</v>
      </c>
      <c r="N585">
        <v>59.639552242606797</v>
      </c>
      <c r="O585">
        <v>57.2219368118188</v>
      </c>
      <c r="P585">
        <v>-4.1947051202233097E-2</v>
      </c>
      <c r="Q585">
        <v>0</v>
      </c>
      <c r="R585">
        <v>0.99366607957747299</v>
      </c>
      <c r="S585" t="s">
        <v>7255</v>
      </c>
      <c r="T585" t="s">
        <v>13338</v>
      </c>
      <c r="U585" t="s">
        <v>13338</v>
      </c>
      <c r="V585" t="s">
        <v>13338</v>
      </c>
      <c r="W585" t="s">
        <v>13915</v>
      </c>
      <c r="X585">
        <v>6</v>
      </c>
      <c r="Y585" t="s">
        <v>20520</v>
      </c>
      <c r="Z585" t="s">
        <v>27000</v>
      </c>
      <c r="AA585">
        <v>0.65175839789465506</v>
      </c>
      <c r="AB585" t="str">
        <f>HYPERLINK("Melting_Curves/meltCurve_E9PS74_SLC43A3.pdf", "Melting_Curves/meltCurve_E9PS74_SLC43A3.pdf")</f>
        <v>Melting_Curves/meltCurve_E9PS74_SLC43A3.pdf</v>
      </c>
    </row>
    <row r="586" spans="1:28" x14ac:dyDescent="0.25">
      <c r="A586" t="s">
        <v>590</v>
      </c>
      <c r="B586">
        <v>0.99193492352474899</v>
      </c>
      <c r="C586">
        <v>1.1203975806889801</v>
      </c>
      <c r="D586">
        <v>0.83308452732209703</v>
      </c>
      <c r="E586">
        <v>0.95723868567826598</v>
      </c>
      <c r="F586">
        <v>0.88427869028290695</v>
      </c>
      <c r="G586">
        <v>0.530726955362674</v>
      </c>
      <c r="H586">
        <v>0.39622307647609001</v>
      </c>
      <c r="I586">
        <v>0.30756004724535102</v>
      </c>
      <c r="J586">
        <v>0.217262073414832</v>
      </c>
      <c r="K586">
        <v>0.24899488388317201</v>
      </c>
      <c r="L586">
        <v>1221.68528245675</v>
      </c>
      <c r="M586">
        <v>21.686424216312599</v>
      </c>
      <c r="N586">
        <v>58.004332377870199</v>
      </c>
      <c r="O586">
        <v>55.8616789066729</v>
      </c>
      <c r="P586">
        <v>-7.4517419561025602E-2</v>
      </c>
      <c r="Q586">
        <v>0.232226030105155</v>
      </c>
      <c r="R586">
        <v>0.95382976267937503</v>
      </c>
      <c r="S586" t="s">
        <v>7256</v>
      </c>
      <c r="T586" t="s">
        <v>13338</v>
      </c>
      <c r="U586" t="s">
        <v>13338</v>
      </c>
      <c r="V586" t="s">
        <v>13338</v>
      </c>
      <c r="W586" t="s">
        <v>13916</v>
      </c>
      <c r="X586">
        <v>1</v>
      </c>
      <c r="Y586" t="s">
        <v>20521</v>
      </c>
      <c r="Z586" t="s">
        <v>27001</v>
      </c>
      <c r="AA586">
        <v>0.65897829632285176</v>
      </c>
      <c r="AB586" t="str">
        <f>HYPERLINK("Melting_Curves/meltCurve_E9PSH3_TSPAN4.pdf", "Melting_Curves/meltCurve_E9PSH3_TSPAN4.pdf")</f>
        <v>Melting_Curves/meltCurve_E9PSH3_TSPAN4.pdf</v>
      </c>
    </row>
    <row r="587" spans="1:28" x14ac:dyDescent="0.25">
      <c r="A587" t="s">
        <v>591</v>
      </c>
      <c r="B587">
        <v>0.99193492352474899</v>
      </c>
      <c r="C587">
        <v>0.65919860241721795</v>
      </c>
      <c r="D587">
        <v>0.78487616267238203</v>
      </c>
      <c r="E587">
        <v>0.46692067581998398</v>
      </c>
      <c r="F587">
        <v>0.35176513682076099</v>
      </c>
      <c r="G587">
        <v>0.180039501435624</v>
      </c>
      <c r="H587">
        <v>0.14274582566792399</v>
      </c>
      <c r="I587">
        <v>0.143232453442247</v>
      </c>
      <c r="J587">
        <v>0.24096318370049</v>
      </c>
      <c r="K587">
        <v>0.15549345334913001</v>
      </c>
      <c r="L587">
        <v>574.87037482080905</v>
      </c>
      <c r="M587">
        <v>12.010389943257801</v>
      </c>
      <c r="N587">
        <v>49.070615248477402</v>
      </c>
      <c r="O587">
        <v>46.595405451070398</v>
      </c>
      <c r="P587">
        <v>-5.6216867175072197E-2</v>
      </c>
      <c r="Q587">
        <v>0.12781566057513699</v>
      </c>
      <c r="R587">
        <v>0.92726978405200799</v>
      </c>
      <c r="S587" t="s">
        <v>7257</v>
      </c>
      <c r="T587" t="s">
        <v>13338</v>
      </c>
      <c r="U587" t="s">
        <v>13338</v>
      </c>
      <c r="V587" t="s">
        <v>13338</v>
      </c>
      <c r="W587" t="s">
        <v>13917</v>
      </c>
      <c r="X587">
        <v>7</v>
      </c>
      <c r="Y587" t="s">
        <v>20522</v>
      </c>
      <c r="Z587" t="s">
        <v>27002</v>
      </c>
      <c r="AA587">
        <v>0.39084413079352459</v>
      </c>
      <c r="AB587" t="str">
        <f>HYPERLINK("Melting_Curves/meltCurve_E9PSH8_CD3E.pdf", "Melting_Curves/meltCurve_E9PSH8_CD3E.pdf")</f>
        <v>Melting_Curves/meltCurve_E9PSH8_CD3E.pdf</v>
      </c>
    </row>
    <row r="588" spans="1:28" x14ac:dyDescent="0.25">
      <c r="A588" t="s">
        <v>592</v>
      </c>
      <c r="B588">
        <v>0.99193492352474899</v>
      </c>
      <c r="C588">
        <v>0.86660295338500604</v>
      </c>
      <c r="D588">
        <v>0.94408769467494802</v>
      </c>
      <c r="E588">
        <v>0.77562220117873903</v>
      </c>
      <c r="F588">
        <v>0.63271734999066198</v>
      </c>
      <c r="G588">
        <v>0.46705349369273103</v>
      </c>
      <c r="H588">
        <v>0.31579630594605301</v>
      </c>
      <c r="I588">
        <v>0.32457774412055301</v>
      </c>
      <c r="J588">
        <v>0.36676290925737798</v>
      </c>
      <c r="K588">
        <v>0.53059704626091297</v>
      </c>
      <c r="L588">
        <v>931.75008323824898</v>
      </c>
      <c r="M588">
        <v>18.155365231202701</v>
      </c>
      <c r="N588">
        <v>55.572590473251999</v>
      </c>
      <c r="O588">
        <v>50.710437854694398</v>
      </c>
      <c r="P588">
        <v>-5.5913120283319198E-2</v>
      </c>
      <c r="Q588">
        <v>0.37533758302263198</v>
      </c>
      <c r="R588">
        <v>0.91416541824568398</v>
      </c>
      <c r="S588" t="s">
        <v>7258</v>
      </c>
      <c r="T588" t="s">
        <v>13338</v>
      </c>
      <c r="U588" t="s">
        <v>13338</v>
      </c>
      <c r="V588" t="s">
        <v>13338</v>
      </c>
      <c r="W588" t="s">
        <v>13918</v>
      </c>
      <c r="X588">
        <v>15</v>
      </c>
      <c r="Y588" t="s">
        <v>20523</v>
      </c>
      <c r="Z588" t="s">
        <v>27003</v>
      </c>
      <c r="AA588">
        <v>0.62138930737973397</v>
      </c>
      <c r="AB588" t="str">
        <f>HYPERLINK("Melting_Curves/meltCurve_E9PSI1_TM9SF1.pdf", "Melting_Curves/meltCurve_E9PSI1_TM9SF1.pdf")</f>
        <v>Melting_Curves/meltCurve_E9PSI1_TM9SF1.pdf</v>
      </c>
    </row>
    <row r="589" spans="1:28" x14ac:dyDescent="0.25">
      <c r="A589" t="s">
        <v>593</v>
      </c>
      <c r="B589">
        <v>0.99193492352474899</v>
      </c>
      <c r="C589">
        <v>0.87530510867188105</v>
      </c>
      <c r="D589">
        <v>0.85278949323557396</v>
      </c>
      <c r="E589">
        <v>0.484959801201856</v>
      </c>
      <c r="F589">
        <v>0.20441068996937101</v>
      </c>
      <c r="G589">
        <v>0.118182829279567</v>
      </c>
      <c r="H589">
        <v>7.61538372323049E-2</v>
      </c>
      <c r="I589">
        <v>9.0248681251939106E-2</v>
      </c>
      <c r="J589">
        <v>0.102999827701876</v>
      </c>
      <c r="K589">
        <v>0.108206760097163</v>
      </c>
      <c r="L589">
        <v>1090.54401064688</v>
      </c>
      <c r="M589">
        <v>22.267973328155801</v>
      </c>
      <c r="N589">
        <v>49.390634260682098</v>
      </c>
      <c r="O589">
        <v>48.583833194305797</v>
      </c>
      <c r="P589">
        <v>-0.104768574077808</v>
      </c>
      <c r="Q589">
        <v>8.5691406477987994E-2</v>
      </c>
      <c r="R589">
        <v>0.99230304557226101</v>
      </c>
      <c r="S589" t="s">
        <v>7259</v>
      </c>
      <c r="T589" t="s">
        <v>13338</v>
      </c>
      <c r="U589" t="s">
        <v>13338</v>
      </c>
      <c r="V589" t="s">
        <v>13338</v>
      </c>
      <c r="W589" t="s">
        <v>13919</v>
      </c>
      <c r="X589">
        <v>15</v>
      </c>
      <c r="Y589" t="s">
        <v>20524</v>
      </c>
      <c r="Z589" t="s">
        <v>27004</v>
      </c>
      <c r="AA589">
        <v>0.36946290360551881</v>
      </c>
      <c r="AB589" t="str">
        <f>HYPERLINK("Melting_Curves/meltCurve_F2Z2B9_TUBGCP2.pdf", "Melting_Curves/meltCurve_F2Z2B9_TUBGCP2.pdf")</f>
        <v>Melting_Curves/meltCurve_F2Z2B9_TUBGCP2.pdf</v>
      </c>
    </row>
    <row r="590" spans="1:28" x14ac:dyDescent="0.25">
      <c r="A590" t="s">
        <v>594</v>
      </c>
      <c r="B590">
        <v>0.99193492352474899</v>
      </c>
      <c r="C590">
        <v>0.69945936429946098</v>
      </c>
      <c r="D590">
        <v>1.1265826387542599</v>
      </c>
      <c r="E590">
        <v>1.2761005149757501</v>
      </c>
      <c r="F590">
        <v>1.70184953620492</v>
      </c>
      <c r="G590">
        <v>1.9598793929742</v>
      </c>
      <c r="H590">
        <v>1.3500657382485299</v>
      </c>
      <c r="I590">
        <v>1.4906494476375001</v>
      </c>
      <c r="J590">
        <v>0.58348825797934001</v>
      </c>
      <c r="K590">
        <v>0.136912619537675</v>
      </c>
      <c r="L590">
        <v>15000</v>
      </c>
      <c r="M590">
        <v>223.47686629787501</v>
      </c>
      <c r="N590">
        <v>67.217200278111093</v>
      </c>
      <c r="O590">
        <v>67.115664734718294</v>
      </c>
      <c r="P590">
        <v>-0.71854164059477499</v>
      </c>
      <c r="Q590">
        <v>0.13681623327363099</v>
      </c>
      <c r="R590">
        <v>0.27541432915529901</v>
      </c>
      <c r="S590" t="s">
        <v>7260</v>
      </c>
      <c r="T590" t="s">
        <v>13338</v>
      </c>
      <c r="U590" t="s">
        <v>13338</v>
      </c>
      <c r="V590" t="s">
        <v>13338</v>
      </c>
      <c r="W590" t="s">
        <v>13920</v>
      </c>
      <c r="X590">
        <v>4</v>
      </c>
      <c r="Y590" t="s">
        <v>20525</v>
      </c>
      <c r="Z590" t="s">
        <v>27005</v>
      </c>
      <c r="AA590">
        <v>0.91729061074226748</v>
      </c>
      <c r="AB590" t="str">
        <f>HYPERLINK("Melting_Curves/meltCurve_F2Z2E2_IQGAP3.pdf", "Melting_Curves/meltCurve_F2Z2E2_IQGAP3.pdf")</f>
        <v>Melting_Curves/meltCurve_F2Z2E2_IQGAP3.pdf</v>
      </c>
    </row>
    <row r="591" spans="1:28" x14ac:dyDescent="0.25">
      <c r="A591" t="s">
        <v>595</v>
      </c>
      <c r="B591">
        <v>0.99193492352474899</v>
      </c>
      <c r="C591">
        <v>0.86836834638003302</v>
      </c>
      <c r="D591">
        <v>0.98840145275465996</v>
      </c>
      <c r="E591">
        <v>0.845784352781771</v>
      </c>
      <c r="F591">
        <v>0.94783274358580905</v>
      </c>
      <c r="G591">
        <v>0.499652159200976</v>
      </c>
      <c r="H591">
        <v>0.15363134651499699</v>
      </c>
      <c r="I591">
        <v>0.18078750496727999</v>
      </c>
      <c r="J591">
        <v>0.20346123790843501</v>
      </c>
      <c r="K591">
        <v>0.33858398274340101</v>
      </c>
      <c r="L591">
        <v>3206.7849453066601</v>
      </c>
      <c r="M591">
        <v>57.077136896257002</v>
      </c>
      <c r="N591">
        <v>56.751872128607999</v>
      </c>
      <c r="O591">
        <v>56.114511025113998</v>
      </c>
      <c r="P591">
        <v>-0.198920594717239</v>
      </c>
      <c r="Q591">
        <v>0.217737476341577</v>
      </c>
      <c r="R591">
        <v>0.94569431349571098</v>
      </c>
      <c r="S591" t="s">
        <v>7261</v>
      </c>
      <c r="T591" t="s">
        <v>13338</v>
      </c>
      <c r="U591" t="s">
        <v>13338</v>
      </c>
      <c r="V591" t="s">
        <v>13338</v>
      </c>
      <c r="W591" t="s">
        <v>13921</v>
      </c>
      <c r="X591">
        <v>20</v>
      </c>
      <c r="Y591" t="s">
        <v>20526</v>
      </c>
      <c r="Z591" t="s">
        <v>27006</v>
      </c>
      <c r="AA591">
        <v>0.64121039579658901</v>
      </c>
      <c r="AB591" t="str">
        <f>HYPERLINK("Melting_Curves/meltCurve_F2Z2U4_TRRAP.pdf", "Melting_Curves/meltCurve_F2Z2U4_TRRAP.pdf")</f>
        <v>Melting_Curves/meltCurve_F2Z2U4_TRRAP.pdf</v>
      </c>
    </row>
    <row r="592" spans="1:28" x14ac:dyDescent="0.25">
      <c r="A592" t="s">
        <v>596</v>
      </c>
      <c r="B592">
        <v>0.99193492352474899</v>
      </c>
      <c r="C592">
        <v>0.56270831117295805</v>
      </c>
      <c r="D592">
        <v>0.96070217032565097</v>
      </c>
      <c r="E592">
        <v>0.41445346590215798</v>
      </c>
      <c r="F592">
        <v>0.22655762203434901</v>
      </c>
      <c r="G592">
        <v>4.2992063197576799E-2</v>
      </c>
      <c r="H592">
        <v>2.03797505818538E-2</v>
      </c>
      <c r="I592">
        <v>2.3966754453123799E-2</v>
      </c>
      <c r="J592">
        <v>3.8071820832529399E-2</v>
      </c>
      <c r="K592">
        <v>2.1285451367267599E-2</v>
      </c>
      <c r="L592">
        <v>738.80974847462005</v>
      </c>
      <c r="M592">
        <v>15.098995273570999</v>
      </c>
      <c r="N592">
        <v>48.931053478164102</v>
      </c>
      <c r="O592">
        <v>48.096826610758498</v>
      </c>
      <c r="P592">
        <v>-7.8490012056997904E-2</v>
      </c>
      <c r="Q592">
        <v>0</v>
      </c>
      <c r="R592">
        <v>0.87268667806281397</v>
      </c>
      <c r="S592" t="s">
        <v>7262</v>
      </c>
      <c r="T592" t="s">
        <v>13338</v>
      </c>
      <c r="U592" t="s">
        <v>13338</v>
      </c>
      <c r="V592" t="s">
        <v>13338</v>
      </c>
      <c r="W592" t="s">
        <v>13922</v>
      </c>
      <c r="X592">
        <v>16</v>
      </c>
      <c r="Y592" t="s">
        <v>20527</v>
      </c>
      <c r="Z592" t="s">
        <v>27007</v>
      </c>
      <c r="AA592">
        <v>0.32214037367540199</v>
      </c>
      <c r="AB592" t="str">
        <f>HYPERLINK("Melting_Curves/meltCurve_F2Z2U8_MYH14.pdf", "Melting_Curves/meltCurve_F2Z2U8_MYH14.pdf")</f>
        <v>Melting_Curves/meltCurve_F2Z2U8_MYH14.pdf</v>
      </c>
    </row>
    <row r="593" spans="1:28" x14ac:dyDescent="0.25">
      <c r="A593" t="s">
        <v>597</v>
      </c>
      <c r="B593">
        <v>0.99193492352474899</v>
      </c>
      <c r="C593">
        <v>0.51073183967895197</v>
      </c>
      <c r="D593">
        <v>0.43233126447847797</v>
      </c>
      <c r="E593">
        <v>0.16762072640417999</v>
      </c>
      <c r="F593">
        <v>0.12994026755879301</v>
      </c>
      <c r="G593">
        <v>7.3926866638874197E-2</v>
      </c>
      <c r="H593">
        <v>2.9497900464744601E-2</v>
      </c>
      <c r="I593">
        <v>3.5854218380934597E-2</v>
      </c>
      <c r="J593">
        <v>4.0055325765185702E-2</v>
      </c>
      <c r="K593">
        <v>4.1543744866044403E-2</v>
      </c>
      <c r="L593">
        <v>751.52372146351297</v>
      </c>
      <c r="M593">
        <v>17.000259822552401</v>
      </c>
      <c r="N593">
        <v>44.446503608302997</v>
      </c>
      <c r="O593">
        <v>43.6085127574935</v>
      </c>
      <c r="P593">
        <v>-9.3192895815040699E-2</v>
      </c>
      <c r="Q593">
        <v>4.3837547574994598E-2</v>
      </c>
      <c r="R593">
        <v>0.95455023251522197</v>
      </c>
      <c r="S593" t="s">
        <v>7263</v>
      </c>
      <c r="T593" t="s">
        <v>13338</v>
      </c>
      <c r="U593" t="s">
        <v>13338</v>
      </c>
      <c r="V593" t="s">
        <v>13338</v>
      </c>
      <c r="W593" t="s">
        <v>13923</v>
      </c>
      <c r="X593">
        <v>7</v>
      </c>
      <c r="Y593" t="s">
        <v>20528</v>
      </c>
      <c r="Z593" t="s">
        <v>27008</v>
      </c>
      <c r="AA593">
        <v>0.20381212397619261</v>
      </c>
      <c r="AB593" t="str">
        <f>HYPERLINK("Melting_Curves/meltCurve_F2Z2W7_TRMT2A.pdf", "Melting_Curves/meltCurve_F2Z2W7_TRMT2A.pdf")</f>
        <v>Melting_Curves/meltCurve_F2Z2W7_TRMT2A.pdf</v>
      </c>
    </row>
    <row r="594" spans="1:28" x14ac:dyDescent="0.25">
      <c r="A594" t="s">
        <v>598</v>
      </c>
      <c r="B594">
        <v>0.99193492352474899</v>
      </c>
      <c r="C594">
        <v>0.83412409217719496</v>
      </c>
      <c r="D594">
        <v>0.75632037144470898</v>
      </c>
      <c r="E594">
        <v>0.70058393596238899</v>
      </c>
      <c r="F594">
        <v>0.32763998303760999</v>
      </c>
      <c r="G594">
        <v>0.20845148665846</v>
      </c>
      <c r="H594">
        <v>0.120498033498111</v>
      </c>
      <c r="I594">
        <v>0.122889267705083</v>
      </c>
      <c r="J594">
        <v>0.14577209703886099</v>
      </c>
      <c r="K594">
        <v>0.13285375325547599</v>
      </c>
      <c r="L594">
        <v>684.03626657899599</v>
      </c>
      <c r="M594">
        <v>13.619070555475799</v>
      </c>
      <c r="N594">
        <v>50.904184378112397</v>
      </c>
      <c r="O594">
        <v>49.1805857860071</v>
      </c>
      <c r="P594">
        <v>-6.3498202775150003E-2</v>
      </c>
      <c r="Q594">
        <v>8.2927780211541097E-2</v>
      </c>
      <c r="R594">
        <v>0.97174633138334998</v>
      </c>
      <c r="S594" t="s">
        <v>7264</v>
      </c>
      <c r="T594" t="s">
        <v>13338</v>
      </c>
      <c r="U594" t="s">
        <v>13338</v>
      </c>
      <c r="V594" t="s">
        <v>13338</v>
      </c>
      <c r="W594" t="s">
        <v>13924</v>
      </c>
      <c r="X594">
        <v>10</v>
      </c>
      <c r="Y594" t="s">
        <v>20529</v>
      </c>
      <c r="Z594" t="s">
        <v>27009</v>
      </c>
      <c r="AA594">
        <v>0.42113011868071099</v>
      </c>
      <c r="AB594" t="str">
        <f>HYPERLINK("Melting_Curves/meltCurve_F2Z2X4_XPO4.pdf", "Melting_Curves/meltCurve_F2Z2X4_XPO4.pdf")</f>
        <v>Melting_Curves/meltCurve_F2Z2X4_XPO4.pdf</v>
      </c>
    </row>
    <row r="595" spans="1:28" x14ac:dyDescent="0.25">
      <c r="A595" t="s">
        <v>599</v>
      </c>
      <c r="B595">
        <v>0.99193492352474899</v>
      </c>
      <c r="C595">
        <v>0.97617146420263201</v>
      </c>
      <c r="D595">
        <v>0.840735797314344</v>
      </c>
      <c r="E595">
        <v>0.47405798440597002</v>
      </c>
      <c r="F595">
        <v>7.5737763508429701E-2</v>
      </c>
      <c r="G595">
        <v>3.7433134422183399E-2</v>
      </c>
      <c r="H595">
        <v>4.0233469836352398E-2</v>
      </c>
      <c r="I595">
        <v>1.5677466962107402E-2</v>
      </c>
      <c r="J595">
        <v>5.6690112156098003E-2</v>
      </c>
      <c r="K595">
        <v>7.9594609391414495E-2</v>
      </c>
      <c r="L595">
        <v>1418.3916473722199</v>
      </c>
      <c r="M595">
        <v>28.927428328203401</v>
      </c>
      <c r="N595">
        <v>49.1575377264911</v>
      </c>
      <c r="O595">
        <v>48.800241405242303</v>
      </c>
      <c r="P595">
        <v>-0.14294845939316</v>
      </c>
      <c r="Q595">
        <v>3.5397872563586001E-2</v>
      </c>
      <c r="R595">
        <v>0.99489312718206502</v>
      </c>
      <c r="S595" t="s">
        <v>7265</v>
      </c>
      <c r="T595" t="s">
        <v>13338</v>
      </c>
      <c r="U595" t="s">
        <v>13338</v>
      </c>
      <c r="V595" t="s">
        <v>13338</v>
      </c>
      <c r="W595" t="s">
        <v>13925</v>
      </c>
      <c r="X595">
        <v>2</v>
      </c>
      <c r="Y595" t="s">
        <v>20530</v>
      </c>
      <c r="Z595" t="s">
        <v>27010</v>
      </c>
      <c r="AA595">
        <v>0.33216519560526631</v>
      </c>
      <c r="AB595" t="str">
        <f>HYPERLINK("Melting_Curves/meltCurve_F2Z3A6_VEZT.pdf", "Melting_Curves/meltCurve_F2Z3A6_VEZT.pdf")</f>
        <v>Melting_Curves/meltCurve_F2Z3A6_VEZT.pdf</v>
      </c>
    </row>
    <row r="596" spans="1:28" x14ac:dyDescent="0.25">
      <c r="A596" t="s">
        <v>600</v>
      </c>
      <c r="B596">
        <v>0.99193492352474899</v>
      </c>
      <c r="C596">
        <v>0</v>
      </c>
      <c r="D596">
        <v>0.43876870994339101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10190.3644250669</v>
      </c>
      <c r="M596">
        <v>250</v>
      </c>
      <c r="N596">
        <v>40.778191941776598</v>
      </c>
      <c r="O596">
        <v>40.758849447325503</v>
      </c>
      <c r="P596">
        <v>-1.4586530108664</v>
      </c>
      <c r="Q596">
        <v>4.8751710562709001E-2</v>
      </c>
      <c r="R596">
        <v>0.823899754712622</v>
      </c>
      <c r="S596" t="s">
        <v>7266</v>
      </c>
      <c r="T596" t="s">
        <v>13338</v>
      </c>
      <c r="U596" t="s">
        <v>13338</v>
      </c>
      <c r="V596" t="s">
        <v>13338</v>
      </c>
      <c r="W596" t="s">
        <v>13926</v>
      </c>
      <c r="X596">
        <v>1</v>
      </c>
      <c r="Y596" t="s">
        <v>20531</v>
      </c>
      <c r="Z596" t="s">
        <v>27011</v>
      </c>
      <c r="AA596">
        <v>7.3006439814226914E-2</v>
      </c>
      <c r="AB596" t="str">
        <f>HYPERLINK("Melting_Curves/meltCurve_F2Z3L0_SHANK3.pdf", "Melting_Curves/meltCurve_F2Z3L0_SHANK3.pdf")</f>
        <v>Melting_Curves/meltCurve_F2Z3L0_SHANK3.pdf</v>
      </c>
    </row>
    <row r="597" spans="1:28" x14ac:dyDescent="0.25">
      <c r="A597" t="s">
        <v>601</v>
      </c>
      <c r="B597">
        <v>0.99193492352474899</v>
      </c>
      <c r="C597">
        <v>0.663008038873937</v>
      </c>
      <c r="D597">
        <v>0.809970070699503</v>
      </c>
      <c r="E597">
        <v>0.35666474228738498</v>
      </c>
      <c r="F597">
        <v>0.288413215915716</v>
      </c>
      <c r="G597">
        <v>0.15489634373681099</v>
      </c>
      <c r="H597">
        <v>0.12691070419312001</v>
      </c>
      <c r="I597">
        <v>0.13710871651384299</v>
      </c>
      <c r="J597">
        <v>0.13275706834369699</v>
      </c>
      <c r="K597">
        <v>0.20805313654509899</v>
      </c>
      <c r="L597">
        <v>682.87397564990999</v>
      </c>
      <c r="M597">
        <v>14.4467449700537</v>
      </c>
      <c r="N597">
        <v>48.233836922655598</v>
      </c>
      <c r="O597">
        <v>46.3903606410775</v>
      </c>
      <c r="P597">
        <v>-6.8086916606001496E-2</v>
      </c>
      <c r="Q597">
        <v>0.12555900716732399</v>
      </c>
      <c r="R597">
        <v>0.92164822159374604</v>
      </c>
      <c r="S597" t="s">
        <v>7267</v>
      </c>
      <c r="T597" t="s">
        <v>13338</v>
      </c>
      <c r="U597" t="s">
        <v>13338</v>
      </c>
      <c r="V597" t="s">
        <v>13338</v>
      </c>
      <c r="W597" t="s">
        <v>13927</v>
      </c>
      <c r="X597">
        <v>2</v>
      </c>
      <c r="Y597" t="s">
        <v>20532</v>
      </c>
      <c r="Z597" t="s">
        <v>27012</v>
      </c>
      <c r="AA597">
        <v>0.36264300660013798</v>
      </c>
      <c r="AB597" t="str">
        <f>HYPERLINK("Melting_Curves/meltCurve_F5GWD3_GTF2H3.pdf", "Melting_Curves/meltCurve_F5GWD3_GTF2H3.pdf")</f>
        <v>Melting_Curves/meltCurve_F5GWD3_GTF2H3.pdf</v>
      </c>
    </row>
    <row r="598" spans="1:28" x14ac:dyDescent="0.25">
      <c r="A598" t="s">
        <v>602</v>
      </c>
      <c r="B598">
        <v>0.99193492352474899</v>
      </c>
      <c r="C598">
        <v>1.15469612463084</v>
      </c>
      <c r="D598">
        <v>1.3255374371489601</v>
      </c>
      <c r="E598">
        <v>1.23277707389293</v>
      </c>
      <c r="F598">
        <v>0.84992327958150304</v>
      </c>
      <c r="G598">
        <v>0.644589281126559</v>
      </c>
      <c r="H598">
        <v>0.67639761775370999</v>
      </c>
      <c r="I598">
        <v>1.1903276133984</v>
      </c>
      <c r="J598">
        <v>1.5321826939461001</v>
      </c>
      <c r="K598">
        <v>1.68068273334922</v>
      </c>
      <c r="L598">
        <v>15000</v>
      </c>
      <c r="M598">
        <v>233.88823790840701</v>
      </c>
      <c r="O598">
        <v>64.128512286950397</v>
      </c>
      <c r="P598">
        <v>0.45589756439734602</v>
      </c>
      <c r="Q598">
        <v>1.5</v>
      </c>
      <c r="R598">
        <v>0.55397613673832702</v>
      </c>
      <c r="S598" t="s">
        <v>7268</v>
      </c>
      <c r="T598" t="s">
        <v>13338</v>
      </c>
      <c r="U598" t="s">
        <v>13338</v>
      </c>
      <c r="V598" t="s">
        <v>13338</v>
      </c>
      <c r="W598" t="s">
        <v>13928</v>
      </c>
      <c r="X598">
        <v>1</v>
      </c>
      <c r="Y598" t="s">
        <v>20533</v>
      </c>
      <c r="Z598" t="s">
        <v>27013</v>
      </c>
      <c r="AA598">
        <v>1.0977157823771519</v>
      </c>
      <c r="AB598" t="str">
        <f>HYPERLINK("Melting_Curves/meltCurve_F5GWH5_TMEM258.pdf", "Melting_Curves/meltCurve_F5GWH5_TMEM258.pdf")</f>
        <v>Melting_Curves/meltCurve_F5GWH5_TMEM258.pdf</v>
      </c>
    </row>
    <row r="599" spans="1:28" x14ac:dyDescent="0.25">
      <c r="A599" t="s">
        <v>603</v>
      </c>
      <c r="B599">
        <v>0.99193492352474899</v>
      </c>
      <c r="C599">
        <v>0.86696876620465002</v>
      </c>
      <c r="D599">
        <v>0.87346893890738098</v>
      </c>
      <c r="E599">
        <v>0.58038326862215905</v>
      </c>
      <c r="F599">
        <v>0.47741598115648398</v>
      </c>
      <c r="G599">
        <v>0.36113429704460698</v>
      </c>
      <c r="H599">
        <v>0.244145038634487</v>
      </c>
      <c r="I599">
        <v>0.20720870402915501</v>
      </c>
      <c r="J599">
        <v>0.214956916028328</v>
      </c>
      <c r="K599">
        <v>0.241701859342806</v>
      </c>
      <c r="L599">
        <v>654.271861993794</v>
      </c>
      <c r="M599">
        <v>13.0197173650455</v>
      </c>
      <c r="N599">
        <v>52.166244530666098</v>
      </c>
      <c r="O599">
        <v>49.1112004822347</v>
      </c>
      <c r="P599">
        <v>-5.3701287469542003E-2</v>
      </c>
      <c r="Q599">
        <v>0.18988361598469999</v>
      </c>
      <c r="R599">
        <v>0.98468740755911699</v>
      </c>
      <c r="S599" t="s">
        <v>7269</v>
      </c>
      <c r="T599" t="s">
        <v>13338</v>
      </c>
      <c r="U599" t="s">
        <v>13338</v>
      </c>
      <c r="V599" t="s">
        <v>13338</v>
      </c>
      <c r="W599" t="s">
        <v>13929</v>
      </c>
      <c r="X599">
        <v>2</v>
      </c>
      <c r="Y599" t="s">
        <v>20534</v>
      </c>
      <c r="Z599" t="s">
        <v>27014</v>
      </c>
      <c r="AA599">
        <v>0.49104330279611269</v>
      </c>
      <c r="AB599" t="str">
        <f>HYPERLINK("Melting_Curves/meltCurve_F5GWI9_CCDC53.pdf", "Melting_Curves/meltCurve_F5GWI9_CCDC53.pdf")</f>
        <v>Melting_Curves/meltCurve_F5GWI9_CCDC53.pdf</v>
      </c>
    </row>
    <row r="600" spans="1:28" x14ac:dyDescent="0.25">
      <c r="A600" t="s">
        <v>604</v>
      </c>
      <c r="B600">
        <v>0.99193492352474899</v>
      </c>
      <c r="C600">
        <v>0.85896473343775404</v>
      </c>
      <c r="D600">
        <v>0.800216378686466</v>
      </c>
      <c r="E600">
        <v>0.37414821420133298</v>
      </c>
      <c r="F600">
        <v>0.21228714615901401</v>
      </c>
      <c r="G600">
        <v>0.11461293663598</v>
      </c>
      <c r="H600">
        <v>7.6209582477737098E-2</v>
      </c>
      <c r="I600">
        <v>0.11001147973976801</v>
      </c>
      <c r="J600">
        <v>0.10996008473555199</v>
      </c>
      <c r="K600">
        <v>0.12848709257614599</v>
      </c>
      <c r="L600">
        <v>1046.46534473514</v>
      </c>
      <c r="M600">
        <v>21.7914341915295</v>
      </c>
      <c r="N600">
        <v>48.518381989974003</v>
      </c>
      <c r="O600">
        <v>47.622964649631399</v>
      </c>
      <c r="P600">
        <v>-0.10296460318244</v>
      </c>
      <c r="Q600">
        <v>9.9946498758723398E-2</v>
      </c>
      <c r="R600">
        <v>0.98998719637131904</v>
      </c>
      <c r="S600" t="s">
        <v>7270</v>
      </c>
      <c r="T600" t="s">
        <v>13338</v>
      </c>
      <c r="U600" t="s">
        <v>13338</v>
      </c>
      <c r="V600" t="s">
        <v>13338</v>
      </c>
      <c r="W600" t="s">
        <v>13930</v>
      </c>
      <c r="X600">
        <v>2</v>
      </c>
      <c r="Y600" t="s">
        <v>20535</v>
      </c>
      <c r="Z600" t="s">
        <v>27015</v>
      </c>
      <c r="AA600">
        <v>0.35127166402730858</v>
      </c>
      <c r="AB600" t="str">
        <f>HYPERLINK("Melting_Curves/meltCurve_F5GWN5_PIK3C2B.pdf", "Melting_Curves/meltCurve_F5GWN5_PIK3C2B.pdf")</f>
        <v>Melting_Curves/meltCurve_F5GWN5_PIK3C2B.pdf</v>
      </c>
    </row>
    <row r="601" spans="1:28" x14ac:dyDescent="0.25">
      <c r="A601" t="s">
        <v>605</v>
      </c>
      <c r="B601">
        <v>0.99193492352474899</v>
      </c>
      <c r="C601">
        <v>0.96039657617788099</v>
      </c>
      <c r="D601">
        <v>0.88618857240841697</v>
      </c>
      <c r="E601">
        <v>0.63844503673358199</v>
      </c>
      <c r="F601">
        <v>0.37261815982715801</v>
      </c>
      <c r="G601">
        <v>0.15922893944004099</v>
      </c>
      <c r="H601">
        <v>0.12560832772106201</v>
      </c>
      <c r="I601">
        <v>0.17921619434333499</v>
      </c>
      <c r="J601">
        <v>0.20648267523283101</v>
      </c>
      <c r="K601">
        <v>0.28190728212535199</v>
      </c>
      <c r="L601">
        <v>1196.19339872715</v>
      </c>
      <c r="M601">
        <v>23.930045798813101</v>
      </c>
      <c r="N601">
        <v>50.967146444083902</v>
      </c>
      <c r="O601">
        <v>49.641925800280497</v>
      </c>
      <c r="P601">
        <v>-9.8291356579160397E-2</v>
      </c>
      <c r="Q601">
        <v>0.18440684580205599</v>
      </c>
      <c r="R601">
        <v>0.98067098996788005</v>
      </c>
      <c r="S601" t="s">
        <v>7271</v>
      </c>
      <c r="T601" t="s">
        <v>13338</v>
      </c>
      <c r="U601" t="s">
        <v>13338</v>
      </c>
      <c r="V601" t="s">
        <v>13338</v>
      </c>
      <c r="W601" t="s">
        <v>13931</v>
      </c>
      <c r="X601">
        <v>24</v>
      </c>
      <c r="Y601" t="s">
        <v>20536</v>
      </c>
      <c r="Z601" t="s">
        <v>27016</v>
      </c>
      <c r="AA601">
        <v>0.46387806066627579</v>
      </c>
      <c r="AB601" t="str">
        <f>HYPERLINK("Melting_Curves/meltCurve_F5GWT4_WNK1.pdf", "Melting_Curves/meltCurve_F5GWT4_WNK1.pdf")</f>
        <v>Melting_Curves/meltCurve_F5GWT4_WNK1.pdf</v>
      </c>
    </row>
    <row r="602" spans="1:28" x14ac:dyDescent="0.25">
      <c r="A602" t="s">
        <v>606</v>
      </c>
      <c r="B602">
        <v>0.99193492352474899</v>
      </c>
      <c r="C602">
        <v>0.68424017628148603</v>
      </c>
      <c r="D602">
        <v>0.75353193195627599</v>
      </c>
      <c r="E602">
        <v>0.31310671647404298</v>
      </c>
      <c r="F602">
        <v>0.17289145923375501</v>
      </c>
      <c r="G602">
        <v>9.4551864340985003E-2</v>
      </c>
      <c r="H602">
        <v>7.74555365667077E-2</v>
      </c>
      <c r="I602">
        <v>9.2862963277217603E-2</v>
      </c>
      <c r="J602">
        <v>0.110020677554842</v>
      </c>
      <c r="K602">
        <v>0.133316009759155</v>
      </c>
      <c r="L602">
        <v>770.806700953735</v>
      </c>
      <c r="M602">
        <v>16.412478893626002</v>
      </c>
      <c r="N602">
        <v>47.467862786918502</v>
      </c>
      <c r="O602">
        <v>46.284071197064002</v>
      </c>
      <c r="P602">
        <v>-8.15785408820386E-2</v>
      </c>
      <c r="Q602">
        <v>7.9842197230690096E-2</v>
      </c>
      <c r="R602">
        <v>0.95038914799007201</v>
      </c>
      <c r="S602" t="s">
        <v>7272</v>
      </c>
      <c r="T602" t="s">
        <v>13338</v>
      </c>
      <c r="U602" t="s">
        <v>13338</v>
      </c>
      <c r="V602" t="s">
        <v>13338</v>
      </c>
      <c r="W602" t="s">
        <v>13932</v>
      </c>
      <c r="X602">
        <v>5</v>
      </c>
      <c r="Y602" t="s">
        <v>20537</v>
      </c>
      <c r="Z602" t="s">
        <v>27017</v>
      </c>
      <c r="AA602">
        <v>0.3142121672447718</v>
      </c>
      <c r="AB602" t="str">
        <f>HYPERLINK("Melting_Curves/meltCurve_F5GWU7_SMAD5.pdf", "Melting_Curves/meltCurve_F5GWU7_SMAD5.pdf")</f>
        <v>Melting_Curves/meltCurve_F5GWU7_SMAD5.pdf</v>
      </c>
    </row>
    <row r="603" spans="1:28" x14ac:dyDescent="0.25">
      <c r="A603" t="s">
        <v>607</v>
      </c>
      <c r="B603">
        <v>0.99193492352474899</v>
      </c>
      <c r="C603">
        <v>0.54660818568874803</v>
      </c>
      <c r="D603">
        <v>0.50204576983447102</v>
      </c>
      <c r="E603">
        <v>0.200188888214681</v>
      </c>
      <c r="F603">
        <v>0.123398309720416</v>
      </c>
      <c r="G603">
        <v>8.3424997416997895E-2</v>
      </c>
      <c r="H603">
        <v>5.27474154253917E-2</v>
      </c>
      <c r="I603">
        <v>6.04703681551522E-2</v>
      </c>
      <c r="J603">
        <v>6.4873010585631594E-2</v>
      </c>
      <c r="K603">
        <v>0.107569498627073</v>
      </c>
      <c r="L603">
        <v>737.67968128678001</v>
      </c>
      <c r="M603">
        <v>16.5400147792943</v>
      </c>
      <c r="N603">
        <v>44.982041438385998</v>
      </c>
      <c r="O603">
        <v>43.963043918446402</v>
      </c>
      <c r="P603">
        <v>-8.7894510739170206E-2</v>
      </c>
      <c r="Q603">
        <v>6.5576500510970095E-2</v>
      </c>
      <c r="R603">
        <v>0.95357332810871398</v>
      </c>
      <c r="S603" t="s">
        <v>7273</v>
      </c>
      <c r="T603" t="s">
        <v>13338</v>
      </c>
      <c r="U603" t="s">
        <v>13338</v>
      </c>
      <c r="V603" t="s">
        <v>13338</v>
      </c>
      <c r="W603" t="s">
        <v>13933</v>
      </c>
      <c r="X603">
        <v>33</v>
      </c>
      <c r="Y603" t="s">
        <v>20538</v>
      </c>
      <c r="Z603" t="s">
        <v>27018</v>
      </c>
      <c r="AA603">
        <v>0.234352642812831</v>
      </c>
      <c r="AB603" t="str">
        <f>HYPERLINK("Melting_Curves/meltCurve_F5GWX5_CHD4.pdf", "Melting_Curves/meltCurve_F5GWX5_CHD4.pdf")</f>
        <v>Melting_Curves/meltCurve_F5GWX5_CHD4.pdf</v>
      </c>
    </row>
    <row r="604" spans="1:28" x14ac:dyDescent="0.25">
      <c r="A604" t="s">
        <v>608</v>
      </c>
      <c r="B604">
        <v>0.99193492352474899</v>
      </c>
      <c r="C604">
        <v>1.06491910630568</v>
      </c>
      <c r="D604">
        <v>0.91572503859454901</v>
      </c>
      <c r="E604">
        <v>0.92390814217283901</v>
      </c>
      <c r="F604">
        <v>0.80742658171347703</v>
      </c>
      <c r="G604">
        <v>0.62961752325460096</v>
      </c>
      <c r="H604">
        <v>0.50398350357497401</v>
      </c>
      <c r="I604">
        <v>0.66662906765825003</v>
      </c>
      <c r="J604">
        <v>0.58571341824952405</v>
      </c>
      <c r="K604">
        <v>0.86153612154461501</v>
      </c>
      <c r="L604">
        <v>1688.97163840131</v>
      </c>
      <c r="M604">
        <v>32.349385524646799</v>
      </c>
      <c r="O604">
        <v>52.012019364936201</v>
      </c>
      <c r="P604">
        <v>-5.4699338358672002E-2</v>
      </c>
      <c r="Q604">
        <v>0.64821477424735197</v>
      </c>
      <c r="R604">
        <v>0.73176297967386705</v>
      </c>
      <c r="S604" t="s">
        <v>7274</v>
      </c>
      <c r="T604" t="s">
        <v>13338</v>
      </c>
      <c r="U604" t="s">
        <v>13338</v>
      </c>
      <c r="V604" t="s">
        <v>13338</v>
      </c>
      <c r="W604" t="s">
        <v>13934</v>
      </c>
      <c r="X604">
        <v>4</v>
      </c>
      <c r="Y604" t="s">
        <v>20539</v>
      </c>
      <c r="Z604" t="s">
        <v>27019</v>
      </c>
      <c r="AA604">
        <v>0.79333649188929756</v>
      </c>
      <c r="AB604" t="str">
        <f>HYPERLINK("Melting_Curves/meltCurve_F5GWY5_PODXL.pdf", "Melting_Curves/meltCurve_F5GWY5_PODXL.pdf")</f>
        <v>Melting_Curves/meltCurve_F5GWY5_PODXL.pdf</v>
      </c>
    </row>
    <row r="605" spans="1:28" x14ac:dyDescent="0.25">
      <c r="A605" t="s">
        <v>609</v>
      </c>
      <c r="B605">
        <v>0.99193492352474899</v>
      </c>
      <c r="C605">
        <v>0.61059382794344996</v>
      </c>
      <c r="D605">
        <v>1.14671950631908</v>
      </c>
      <c r="E605">
        <v>0.66703625222092799</v>
      </c>
      <c r="F605">
        <v>0.43484880296155698</v>
      </c>
      <c r="G605">
        <v>0.13322105045014801</v>
      </c>
      <c r="H605">
        <v>6.0567772194914202E-2</v>
      </c>
      <c r="I605">
        <v>7.6214584158956003E-2</v>
      </c>
      <c r="J605">
        <v>0.112248503520787</v>
      </c>
      <c r="K605">
        <v>9.5070336469348399E-2</v>
      </c>
      <c r="L605">
        <v>1225.8448872178899</v>
      </c>
      <c r="M605">
        <v>23.7613968676702</v>
      </c>
      <c r="N605">
        <v>51.943122142214101</v>
      </c>
      <c r="O605">
        <v>51.228529598076399</v>
      </c>
      <c r="P605">
        <v>-0.107306353355342</v>
      </c>
      <c r="Q605">
        <v>7.4624055224584193E-2</v>
      </c>
      <c r="R605">
        <v>0.86669081194600295</v>
      </c>
      <c r="S605" t="s">
        <v>7275</v>
      </c>
      <c r="T605" t="s">
        <v>13338</v>
      </c>
      <c r="U605" t="s">
        <v>13338</v>
      </c>
      <c r="V605" t="s">
        <v>13338</v>
      </c>
      <c r="W605" t="s">
        <v>13935</v>
      </c>
      <c r="X605">
        <v>10</v>
      </c>
      <c r="Y605" t="s">
        <v>20540</v>
      </c>
      <c r="Z605" t="s">
        <v>27020</v>
      </c>
      <c r="AA605">
        <v>0.44140122003441251</v>
      </c>
      <c r="AB605" t="str">
        <f>HYPERLINK("Melting_Curves/meltCurve_F5GX09_FAM76B.pdf", "Melting_Curves/meltCurve_F5GX09_FAM76B.pdf")</f>
        <v>Melting_Curves/meltCurve_F5GX09_FAM76B.pdf</v>
      </c>
    </row>
    <row r="606" spans="1:28" x14ac:dyDescent="0.25">
      <c r="A606" t="s">
        <v>610</v>
      </c>
      <c r="B606">
        <v>0.99193492352474899</v>
      </c>
      <c r="C606">
        <v>0.62908681016602697</v>
      </c>
      <c r="D606">
        <v>1.0339144026375899</v>
      </c>
      <c r="E606">
        <v>0.55164077345127704</v>
      </c>
      <c r="F606">
        <v>0.145597174350548</v>
      </c>
      <c r="G606">
        <v>7.0992912321189802E-2</v>
      </c>
      <c r="H606">
        <v>3.3749686370132197E-2</v>
      </c>
      <c r="I606">
        <v>4.1505282369647602E-2</v>
      </c>
      <c r="J606">
        <v>3.6055080810199702E-2</v>
      </c>
      <c r="K606">
        <v>4.7326529650640901E-2</v>
      </c>
      <c r="L606">
        <v>1841.6293203068799</v>
      </c>
      <c r="M606">
        <v>36.946951610601801</v>
      </c>
      <c r="N606">
        <v>49.974268218682901</v>
      </c>
      <c r="O606">
        <v>49.699881821478897</v>
      </c>
      <c r="P606">
        <v>-0.17739547258841201</v>
      </c>
      <c r="Q606">
        <v>4.5495390025194198E-2</v>
      </c>
      <c r="R606">
        <v>0.905149959355383</v>
      </c>
      <c r="S606" t="s">
        <v>7276</v>
      </c>
      <c r="T606" t="s">
        <v>13338</v>
      </c>
      <c r="U606" t="s">
        <v>13338</v>
      </c>
      <c r="V606" t="s">
        <v>13338</v>
      </c>
      <c r="W606" t="s">
        <v>13936</v>
      </c>
      <c r="X606">
        <v>60</v>
      </c>
      <c r="Y606" t="s">
        <v>20541</v>
      </c>
      <c r="Z606" t="s">
        <v>27021</v>
      </c>
      <c r="AA606">
        <v>0.36260180219408339</v>
      </c>
      <c r="AB606" t="str">
        <f>HYPERLINK("Melting_Curves/meltCurve_F5GX68_DNMT1.pdf", "Melting_Curves/meltCurve_F5GX68_DNMT1.pdf")</f>
        <v>Melting_Curves/meltCurve_F5GX68_DNMT1.pdf</v>
      </c>
    </row>
    <row r="607" spans="1:28" x14ac:dyDescent="0.25">
      <c r="A607" t="s">
        <v>611</v>
      </c>
      <c r="B607">
        <v>0.99193492352474899</v>
      </c>
      <c r="C607">
        <v>1.0818013800270501</v>
      </c>
      <c r="D607">
        <v>1.1799203354799299</v>
      </c>
      <c r="E607">
        <v>1.20739184302706</v>
      </c>
      <c r="F607">
        <v>0.56837079805632096</v>
      </c>
      <c r="G607">
        <v>0.15701141691413201</v>
      </c>
      <c r="H607">
        <v>9.8367806119680296E-2</v>
      </c>
      <c r="I607">
        <v>0.109516239017533</v>
      </c>
      <c r="J607">
        <v>0.120193819658222</v>
      </c>
      <c r="K607">
        <v>0.122015544828028</v>
      </c>
      <c r="L607">
        <v>10708.179274455701</v>
      </c>
      <c r="M607">
        <v>201.24668005941501</v>
      </c>
      <c r="N607">
        <v>53.282888576929999</v>
      </c>
      <c r="O607">
        <v>53.203972676115797</v>
      </c>
      <c r="P607">
        <v>-0.83081791479271905</v>
      </c>
      <c r="Q607">
        <v>0.121420352123184</v>
      </c>
      <c r="R607">
        <v>0.96222607965861995</v>
      </c>
      <c r="S607" t="s">
        <v>7277</v>
      </c>
      <c r="T607" t="s">
        <v>13338</v>
      </c>
      <c r="U607" t="s">
        <v>13338</v>
      </c>
      <c r="V607" t="s">
        <v>13338</v>
      </c>
      <c r="W607" t="s">
        <v>13937</v>
      </c>
      <c r="X607">
        <v>8</v>
      </c>
      <c r="Y607" t="s">
        <v>20542</v>
      </c>
      <c r="Z607" t="s">
        <v>27022</v>
      </c>
      <c r="AA607">
        <v>0.50839209635988092</v>
      </c>
      <c r="AB607" t="str">
        <f>HYPERLINK("Melting_Curves/meltCurve_F5GX82_FRYL.pdf", "Melting_Curves/meltCurve_F5GX82_FRYL.pdf")</f>
        <v>Melting_Curves/meltCurve_F5GX82_FRYL.pdf</v>
      </c>
    </row>
    <row r="608" spans="1:28" x14ac:dyDescent="0.25">
      <c r="A608" t="s">
        <v>612</v>
      </c>
      <c r="B608">
        <v>0.99193492352474899</v>
      </c>
      <c r="C608">
        <v>1.08086140470341</v>
      </c>
      <c r="D608">
        <v>0.900297170198607</v>
      </c>
      <c r="E608">
        <v>0.73075831827478099</v>
      </c>
      <c r="F608">
        <v>0.57091003103319105</v>
      </c>
      <c r="G608">
        <v>0.38274847120173699</v>
      </c>
      <c r="H608">
        <v>0.28572419699245399</v>
      </c>
      <c r="I608">
        <v>0.40209194830747103</v>
      </c>
      <c r="J608">
        <v>0.33366229725169699</v>
      </c>
      <c r="K608">
        <v>0.36415485111478302</v>
      </c>
      <c r="L608">
        <v>1044.7659493916799</v>
      </c>
      <c r="M608">
        <v>20.5624529378509</v>
      </c>
      <c r="N608">
        <v>53.755775275004098</v>
      </c>
      <c r="O608">
        <v>50.336179589659103</v>
      </c>
      <c r="P608">
        <v>-6.7608755752226607E-2</v>
      </c>
      <c r="Q608">
        <v>0.33800379378295298</v>
      </c>
      <c r="R608">
        <v>0.97248746886084603</v>
      </c>
      <c r="S608" t="s">
        <v>7278</v>
      </c>
      <c r="T608" t="s">
        <v>13338</v>
      </c>
      <c r="U608" t="s">
        <v>13338</v>
      </c>
      <c r="V608" t="s">
        <v>13338</v>
      </c>
      <c r="W608" t="s">
        <v>13938</v>
      </c>
      <c r="X608">
        <v>13</v>
      </c>
      <c r="Y608" t="s">
        <v>20543</v>
      </c>
      <c r="Z608" t="s">
        <v>27023</v>
      </c>
      <c r="AA608">
        <v>0.58525322446900352</v>
      </c>
      <c r="AB608" t="str">
        <f>HYPERLINK("Melting_Curves/meltCurve_F5GXA6_HLA_C.pdf", "Melting_Curves/meltCurve_F5GXA6_HLA_C.pdf")</f>
        <v>Melting_Curves/meltCurve_F5GXA6_HLA_C.pdf</v>
      </c>
    </row>
    <row r="609" spans="1:28" x14ac:dyDescent="0.25">
      <c r="A609" t="s">
        <v>613</v>
      </c>
      <c r="B609">
        <v>0.99193492352474899</v>
      </c>
      <c r="C609">
        <v>1.0447394799330501</v>
      </c>
      <c r="D609">
        <v>1.0721709727919</v>
      </c>
      <c r="E609">
        <v>0.83696000234569001</v>
      </c>
      <c r="F609">
        <v>0.169465257777767</v>
      </c>
      <c r="G609">
        <v>0.105673521599744</v>
      </c>
      <c r="H609">
        <v>5.8400581813059703E-2</v>
      </c>
      <c r="I609">
        <v>7.8740177126103206E-2</v>
      </c>
      <c r="J609">
        <v>8.13655593735714E-2</v>
      </c>
      <c r="K609">
        <v>8.1458298982200097E-2</v>
      </c>
      <c r="L609">
        <v>2784.5838507328599</v>
      </c>
      <c r="M609">
        <v>54.587578258544099</v>
      </c>
      <c r="N609">
        <v>51.175892624979703</v>
      </c>
      <c r="O609">
        <v>50.9429681050403</v>
      </c>
      <c r="P609">
        <v>-0.246320263563922</v>
      </c>
      <c r="Q609">
        <v>8.0502730341390799E-2</v>
      </c>
      <c r="R609">
        <v>0.99557417336148202</v>
      </c>
      <c r="S609" t="s">
        <v>7279</v>
      </c>
      <c r="T609" t="s">
        <v>13338</v>
      </c>
      <c r="U609" t="s">
        <v>13338</v>
      </c>
      <c r="V609" t="s">
        <v>13338</v>
      </c>
      <c r="W609" t="s">
        <v>13939</v>
      </c>
      <c r="X609">
        <v>19</v>
      </c>
      <c r="Y609" t="s">
        <v>20544</v>
      </c>
      <c r="Z609" t="s">
        <v>27024</v>
      </c>
      <c r="AA609">
        <v>0.41973262064866551</v>
      </c>
      <c r="AB609" t="str">
        <f>HYPERLINK("Melting_Curves/meltCurve_F5GXC8_SUCLA2.pdf", "Melting_Curves/meltCurve_F5GXC8_SUCLA2.pdf")</f>
        <v>Melting_Curves/meltCurve_F5GXC8_SUCLA2.pdf</v>
      </c>
    </row>
    <row r="610" spans="1:28" x14ac:dyDescent="0.25">
      <c r="A610" t="s">
        <v>614</v>
      </c>
      <c r="B610">
        <v>0.99193492352474899</v>
      </c>
      <c r="C610">
        <v>0.94535583324903405</v>
      </c>
      <c r="D610">
        <v>0.88690840444834296</v>
      </c>
      <c r="E610">
        <v>0.60933164539160001</v>
      </c>
      <c r="F610">
        <v>0.26339210325722401</v>
      </c>
      <c r="G610">
        <v>0.15885210185318499</v>
      </c>
      <c r="H610">
        <v>0.11032850847671399</v>
      </c>
      <c r="I610">
        <v>0.120215253362806</v>
      </c>
      <c r="J610">
        <v>0.14427440509046</v>
      </c>
      <c r="K610">
        <v>0.155621454024546</v>
      </c>
      <c r="L610">
        <v>1232.69623979015</v>
      </c>
      <c r="M610">
        <v>24.729020896087899</v>
      </c>
      <c r="N610">
        <v>50.438634519574201</v>
      </c>
      <c r="O610">
        <v>49.525616578269897</v>
      </c>
      <c r="P610">
        <v>-0.109142001329383</v>
      </c>
      <c r="Q610">
        <v>0.12568333696739101</v>
      </c>
      <c r="R610">
        <v>0.99663764867001503</v>
      </c>
      <c r="S610" t="s">
        <v>7280</v>
      </c>
      <c r="T610" t="s">
        <v>13338</v>
      </c>
      <c r="U610" t="s">
        <v>13338</v>
      </c>
      <c r="V610" t="s">
        <v>13338</v>
      </c>
      <c r="W610" t="s">
        <v>13940</v>
      </c>
      <c r="X610">
        <v>10</v>
      </c>
      <c r="Y610" t="s">
        <v>20545</v>
      </c>
      <c r="Z610" t="s">
        <v>27025</v>
      </c>
      <c r="AA610">
        <v>0.42067310776567091</v>
      </c>
      <c r="AB610" t="str">
        <f>HYPERLINK("Melting_Curves/meltCurve_F5GXE4_ATE1.pdf", "Melting_Curves/meltCurve_F5GXE4_ATE1.pdf")</f>
        <v>Melting_Curves/meltCurve_F5GXE4_ATE1.pdf</v>
      </c>
    </row>
    <row r="611" spans="1:28" x14ac:dyDescent="0.25">
      <c r="A611" t="s">
        <v>615</v>
      </c>
      <c r="B611">
        <v>0.99193492352474899</v>
      </c>
      <c r="C611">
        <v>0.64521482058950796</v>
      </c>
      <c r="D611">
        <v>0.85523749210895905</v>
      </c>
      <c r="E611">
        <v>0.51540366835954998</v>
      </c>
      <c r="F611">
        <v>0.33046514526501702</v>
      </c>
      <c r="G611">
        <v>0.145741612416393</v>
      </c>
      <c r="H611">
        <v>8.6497762600853401E-2</v>
      </c>
      <c r="I611">
        <v>0.13042784521652201</v>
      </c>
      <c r="J611">
        <v>0.13645679253600199</v>
      </c>
      <c r="K611">
        <v>0.11276140872575099</v>
      </c>
      <c r="L611">
        <v>590.82867638775201</v>
      </c>
      <c r="M611">
        <v>12.033446339709499</v>
      </c>
      <c r="N611">
        <v>49.621874331151901</v>
      </c>
      <c r="O611">
        <v>47.801895860510598</v>
      </c>
      <c r="P611">
        <v>-5.9199846803587398E-2</v>
      </c>
      <c r="Q611">
        <v>5.9557787565715899E-2</v>
      </c>
      <c r="R611">
        <v>0.92171573763176196</v>
      </c>
      <c r="S611" t="s">
        <v>7281</v>
      </c>
      <c r="T611" t="s">
        <v>13338</v>
      </c>
      <c r="U611" t="s">
        <v>13338</v>
      </c>
      <c r="V611" t="s">
        <v>13338</v>
      </c>
      <c r="W611" t="s">
        <v>13941</v>
      </c>
      <c r="X611">
        <v>1</v>
      </c>
      <c r="Y611" t="s">
        <v>20546</v>
      </c>
      <c r="Z611" t="s">
        <v>27026</v>
      </c>
      <c r="AA611">
        <v>0.37897494162484763</v>
      </c>
      <c r="AB611" t="str">
        <f>HYPERLINK("Melting_Curves/meltCurve_F5GXF9_AFF1.pdf", "Melting_Curves/meltCurve_F5GXF9_AFF1.pdf")</f>
        <v>Melting_Curves/meltCurve_F5GXF9_AFF1.pdf</v>
      </c>
    </row>
    <row r="612" spans="1:28" x14ac:dyDescent="0.25">
      <c r="A612" t="s">
        <v>616</v>
      </c>
      <c r="B612">
        <v>0.99193492352474899</v>
      </c>
      <c r="C612">
        <v>1.0287153978283901</v>
      </c>
      <c r="D612">
        <v>0.89152951158842697</v>
      </c>
      <c r="E612">
        <v>0.69745465846757604</v>
      </c>
      <c r="F612">
        <v>0.54251769507268799</v>
      </c>
      <c r="G612">
        <v>0.415750102076138</v>
      </c>
      <c r="H612">
        <v>0.29812297360526901</v>
      </c>
      <c r="I612">
        <v>0.45509617173011502</v>
      </c>
      <c r="J612">
        <v>0.46566766971198997</v>
      </c>
      <c r="K612">
        <v>0.52436150426577399</v>
      </c>
      <c r="L612">
        <v>1218.63764406271</v>
      </c>
      <c r="M612">
        <v>24.722040094013401</v>
      </c>
      <c r="N612">
        <v>53.608396940405399</v>
      </c>
      <c r="O612">
        <v>48.974443214094997</v>
      </c>
      <c r="P612">
        <v>-7.17272001774691E-2</v>
      </c>
      <c r="Q612">
        <v>0.43164081569034002</v>
      </c>
      <c r="R612">
        <v>0.94254174086018605</v>
      </c>
      <c r="S612" t="s">
        <v>7282</v>
      </c>
      <c r="T612" t="s">
        <v>13338</v>
      </c>
      <c r="U612" t="s">
        <v>13338</v>
      </c>
      <c r="V612" t="s">
        <v>13338</v>
      </c>
      <c r="W612" t="s">
        <v>13942</v>
      </c>
      <c r="X612">
        <v>5</v>
      </c>
      <c r="Y612" t="s">
        <v>20547</v>
      </c>
      <c r="Z612" t="s">
        <v>27027</v>
      </c>
      <c r="AA612">
        <v>0.61287417694969737</v>
      </c>
      <c r="AB612" t="str">
        <f>HYPERLINK("Melting_Curves/meltCurve_F5GXI4_PTPRK.pdf", "Melting_Curves/meltCurve_F5GXI4_PTPRK.pdf")</f>
        <v>Melting_Curves/meltCurve_F5GXI4_PTPRK.pdf</v>
      </c>
    </row>
    <row r="613" spans="1:28" x14ac:dyDescent="0.25">
      <c r="A613" t="s">
        <v>617</v>
      </c>
      <c r="B613">
        <v>0.99193492352474899</v>
      </c>
      <c r="C613">
        <v>1.0455638592944001</v>
      </c>
      <c r="D613">
        <v>0.61795241890735897</v>
      </c>
      <c r="E613">
        <v>0.24854042037667401</v>
      </c>
      <c r="F613">
        <v>0.118165631416595</v>
      </c>
      <c r="G613">
        <v>6.92912627503698E-2</v>
      </c>
      <c r="H613">
        <v>4.23660639472229E-2</v>
      </c>
      <c r="I613">
        <v>5.9927786878265797E-2</v>
      </c>
      <c r="J613">
        <v>9.8179436778660298E-2</v>
      </c>
      <c r="K613">
        <v>5.7615732264102097E-2</v>
      </c>
      <c r="L613">
        <v>1432.57367115835</v>
      </c>
      <c r="M613">
        <v>30.586149915292001</v>
      </c>
      <c r="N613">
        <v>47.077972373358598</v>
      </c>
      <c r="O613">
        <v>46.638484321446697</v>
      </c>
      <c r="P613">
        <v>-0.15208965066795199</v>
      </c>
      <c r="Q613">
        <v>7.2366023390546E-2</v>
      </c>
      <c r="R613">
        <v>0.98934721366858402</v>
      </c>
      <c r="S613" t="s">
        <v>7283</v>
      </c>
      <c r="T613" t="s">
        <v>13338</v>
      </c>
      <c r="U613" t="s">
        <v>13338</v>
      </c>
      <c r="V613" t="s">
        <v>13338</v>
      </c>
      <c r="W613" t="s">
        <v>13943</v>
      </c>
      <c r="X613">
        <v>1</v>
      </c>
      <c r="Y613" t="s">
        <v>20548</v>
      </c>
      <c r="Z613" t="s">
        <v>27028</v>
      </c>
      <c r="AA613">
        <v>0.28912544730376311</v>
      </c>
      <c r="AB613" t="str">
        <f>HYPERLINK("Melting_Curves/meltCurve_F5GXJ4_STIM2.pdf", "Melting_Curves/meltCurve_F5GXJ4_STIM2.pdf")</f>
        <v>Melting_Curves/meltCurve_F5GXJ4_STIM2.pdf</v>
      </c>
    </row>
    <row r="614" spans="1:28" x14ac:dyDescent="0.25">
      <c r="A614" t="s">
        <v>618</v>
      </c>
      <c r="B614">
        <v>0.99193492352474899</v>
      </c>
      <c r="C614">
        <v>0.78383883624717998</v>
      </c>
      <c r="D614">
        <v>0.70393044345593903</v>
      </c>
      <c r="E614">
        <v>0.51634602945476904</v>
      </c>
      <c r="F614">
        <v>0.33079997870661898</v>
      </c>
      <c r="G614">
        <v>0.24661813298422999</v>
      </c>
      <c r="H614">
        <v>0.20884729484596201</v>
      </c>
      <c r="I614">
        <v>0.21373285757103</v>
      </c>
      <c r="J614">
        <v>0.18620318613425099</v>
      </c>
      <c r="K614">
        <v>0.19003702269583</v>
      </c>
      <c r="L614">
        <v>619.34097404608406</v>
      </c>
      <c r="M614">
        <v>12.949850991910299</v>
      </c>
      <c r="N614">
        <v>49.392713811499497</v>
      </c>
      <c r="O614">
        <v>46.728714724038603</v>
      </c>
      <c r="P614">
        <v>-5.7624148537065302E-2</v>
      </c>
      <c r="Q614">
        <v>0.16841682242605099</v>
      </c>
      <c r="R614">
        <v>0.98898282755760303</v>
      </c>
      <c r="S614" t="s">
        <v>7284</v>
      </c>
      <c r="T614" t="s">
        <v>13338</v>
      </c>
      <c r="U614" t="s">
        <v>13338</v>
      </c>
      <c r="V614" t="s">
        <v>13338</v>
      </c>
      <c r="W614" t="s">
        <v>13944</v>
      </c>
      <c r="X614">
        <v>3</v>
      </c>
      <c r="Y614" t="s">
        <v>20549</v>
      </c>
      <c r="Z614" t="s">
        <v>27029</v>
      </c>
      <c r="AA614">
        <v>0.41401126309705388</v>
      </c>
      <c r="AB614" t="str">
        <f>HYPERLINK("Melting_Curves/meltCurve_F5GXK8_DNAJB11.pdf", "Melting_Curves/meltCurve_F5GXK8_DNAJB11.pdf")</f>
        <v>Melting_Curves/meltCurve_F5GXK8_DNAJB11.pdf</v>
      </c>
    </row>
    <row r="615" spans="1:28" x14ac:dyDescent="0.25">
      <c r="A615" t="s">
        <v>619</v>
      </c>
      <c r="B615">
        <v>0.99193492352474899</v>
      </c>
      <c r="C615">
        <v>0.87862355965084704</v>
      </c>
      <c r="D615">
        <v>0.83251402797560703</v>
      </c>
      <c r="E615">
        <v>0.70913003381294704</v>
      </c>
      <c r="F615">
        <v>0.50173402156807201</v>
      </c>
      <c r="G615">
        <v>0.34603345801836699</v>
      </c>
      <c r="H615">
        <v>0.330133594142141</v>
      </c>
      <c r="I615">
        <v>0.34722045161952703</v>
      </c>
      <c r="J615">
        <v>0.44365056591651397</v>
      </c>
      <c r="K615">
        <v>0.403898908027082</v>
      </c>
      <c r="L615">
        <v>818.66588273587399</v>
      </c>
      <c r="M615">
        <v>16.672022290796299</v>
      </c>
      <c r="N615">
        <v>53.136507270639399</v>
      </c>
      <c r="O615">
        <v>48.414020679093099</v>
      </c>
      <c r="P615">
        <v>-5.5196072413268599E-2</v>
      </c>
      <c r="Q615">
        <v>0.35890547192825101</v>
      </c>
      <c r="R615">
        <v>0.95658866067517201</v>
      </c>
      <c r="S615" t="s">
        <v>7285</v>
      </c>
      <c r="T615" t="s">
        <v>13338</v>
      </c>
      <c r="U615" t="s">
        <v>13338</v>
      </c>
      <c r="V615" t="s">
        <v>13338</v>
      </c>
      <c r="W615" t="s">
        <v>13945</v>
      </c>
      <c r="X615">
        <v>2</v>
      </c>
      <c r="Y615" t="s">
        <v>20550</v>
      </c>
      <c r="Z615" t="s">
        <v>27030</v>
      </c>
      <c r="AA615">
        <v>0.56634359867719331</v>
      </c>
      <c r="AB615" t="str">
        <f>HYPERLINK("Melting_Curves/meltCurve_F5GXX5_DAD1.pdf", "Melting_Curves/meltCurve_F5GXX5_DAD1.pdf")</f>
        <v>Melting_Curves/meltCurve_F5GXX5_DAD1.pdf</v>
      </c>
    </row>
    <row r="616" spans="1:28" x14ac:dyDescent="0.25">
      <c r="A616" t="s">
        <v>620</v>
      </c>
      <c r="B616">
        <v>0.99193492352474899</v>
      </c>
      <c r="C616">
        <v>0.94141503832484497</v>
      </c>
      <c r="D616">
        <v>0.82132644658684595</v>
      </c>
      <c r="E616">
        <v>0.61290612980947201</v>
      </c>
      <c r="F616">
        <v>0.43387806311798</v>
      </c>
      <c r="G616">
        <v>0.34442786615285498</v>
      </c>
      <c r="H616">
        <v>0.29949417223702202</v>
      </c>
      <c r="I616">
        <v>0.46328449403098998</v>
      </c>
      <c r="J616">
        <v>0.479734390666263</v>
      </c>
      <c r="K616">
        <v>0.75370781757793903</v>
      </c>
      <c r="L616">
        <v>1311.05331843568</v>
      </c>
      <c r="M616">
        <v>27.757958554151202</v>
      </c>
      <c r="N616">
        <v>52.092393465552597</v>
      </c>
      <c r="O616">
        <v>46.988502404666399</v>
      </c>
      <c r="P616">
        <v>-7.9382091704155902E-2</v>
      </c>
      <c r="Q616">
        <v>0.46249448013432298</v>
      </c>
      <c r="R616">
        <v>0.76312755314926495</v>
      </c>
      <c r="S616" t="s">
        <v>7286</v>
      </c>
      <c r="T616" t="s">
        <v>13338</v>
      </c>
      <c r="U616" t="s">
        <v>13338</v>
      </c>
      <c r="V616" t="s">
        <v>13338</v>
      </c>
      <c r="W616" t="s">
        <v>13946</v>
      </c>
      <c r="X616">
        <v>2</v>
      </c>
      <c r="Y616" t="s">
        <v>20551</v>
      </c>
      <c r="Z616" t="s">
        <v>27031</v>
      </c>
      <c r="AA616">
        <v>0.59587022077197982</v>
      </c>
      <c r="AB616" t="str">
        <f>HYPERLINK("Melting_Curves/meltCurve_F5GY92_GPBP1.pdf", "Melting_Curves/meltCurve_F5GY92_GPBP1.pdf")</f>
        <v>Melting_Curves/meltCurve_F5GY92_GPBP1.pdf</v>
      </c>
    </row>
    <row r="617" spans="1:28" x14ac:dyDescent="0.25">
      <c r="A617" t="s">
        <v>621</v>
      </c>
      <c r="B617">
        <v>0.99193492352474899</v>
      </c>
      <c r="C617">
        <v>0.82478362942154604</v>
      </c>
      <c r="D617">
        <v>0.92776846032902704</v>
      </c>
      <c r="E617">
        <v>0.912348445407412</v>
      </c>
      <c r="F617">
        <v>0.39113516212242999</v>
      </c>
      <c r="G617">
        <v>0.166207265448826</v>
      </c>
      <c r="H617">
        <v>7.4105608030089101E-2</v>
      </c>
      <c r="I617">
        <v>0.12487100607762799</v>
      </c>
      <c r="J617">
        <v>0.12119325759263</v>
      </c>
      <c r="K617">
        <v>0.20077686970041</v>
      </c>
      <c r="L617">
        <v>2165.0714633683501</v>
      </c>
      <c r="M617">
        <v>41.538446590714898</v>
      </c>
      <c r="N617">
        <v>52.506773100914202</v>
      </c>
      <c r="O617">
        <v>52.001741172444902</v>
      </c>
      <c r="P617">
        <v>-0.17350001227151901</v>
      </c>
      <c r="Q617">
        <v>0.13118687631379</v>
      </c>
      <c r="R617">
        <v>0.96787779430568999</v>
      </c>
      <c r="S617" t="s">
        <v>7287</v>
      </c>
      <c r="T617" t="s">
        <v>13338</v>
      </c>
      <c r="U617" t="s">
        <v>13338</v>
      </c>
      <c r="V617" t="s">
        <v>13338</v>
      </c>
      <c r="W617" t="s">
        <v>13947</v>
      </c>
      <c r="X617">
        <v>3</v>
      </c>
      <c r="Y617" t="s">
        <v>20552</v>
      </c>
      <c r="Z617" t="s">
        <v>27032</v>
      </c>
      <c r="AA617">
        <v>0.48514838112151121</v>
      </c>
      <c r="AB617" t="str">
        <f>HYPERLINK("Melting_Curves/meltCurve_F5GY99_GALNT1.pdf", "Melting_Curves/meltCurve_F5GY99_GALNT1.pdf")</f>
        <v>Melting_Curves/meltCurve_F5GY99_GALNT1.pdf</v>
      </c>
    </row>
    <row r="618" spans="1:28" x14ac:dyDescent="0.25">
      <c r="A618" t="s">
        <v>622</v>
      </c>
      <c r="B618">
        <v>0.99193492352474899</v>
      </c>
      <c r="C618">
        <v>0.86465218492844897</v>
      </c>
      <c r="D618">
        <v>0.86944147927486404</v>
      </c>
      <c r="E618">
        <v>0.39726657742913801</v>
      </c>
      <c r="F618">
        <v>0.16186795379699601</v>
      </c>
      <c r="G618">
        <v>0.10893699423792901</v>
      </c>
      <c r="H618">
        <v>7.23931899641716E-2</v>
      </c>
      <c r="I618">
        <v>0.121482351536795</v>
      </c>
      <c r="J618">
        <v>0.12726544528183401</v>
      </c>
      <c r="K618">
        <v>0.102620771783854</v>
      </c>
      <c r="L618">
        <v>1378.2081686235499</v>
      </c>
      <c r="M618">
        <v>28.460933977759101</v>
      </c>
      <c r="N618">
        <v>48.815204907643903</v>
      </c>
      <c r="O618">
        <v>48.187382060759496</v>
      </c>
      <c r="P618">
        <v>-0.13262086951296001</v>
      </c>
      <c r="Q618">
        <v>0.101842382522981</v>
      </c>
      <c r="R618">
        <v>0.98740116263931299</v>
      </c>
      <c r="S618" t="s">
        <v>7288</v>
      </c>
      <c r="T618" t="s">
        <v>13338</v>
      </c>
      <c r="U618" t="s">
        <v>13338</v>
      </c>
      <c r="V618" t="s">
        <v>13338</v>
      </c>
      <c r="W618" t="s">
        <v>13948</v>
      </c>
      <c r="X618">
        <v>25</v>
      </c>
      <c r="Y618" t="s">
        <v>20553</v>
      </c>
      <c r="Z618" t="s">
        <v>27033</v>
      </c>
      <c r="AA618">
        <v>0.36011792392728498</v>
      </c>
      <c r="AB618" t="str">
        <f>HYPERLINK("Melting_Curves/meltCurve_F5GYC4_RPS6KA3.pdf", "Melting_Curves/meltCurve_F5GYC4_RPS6KA3.pdf")</f>
        <v>Melting_Curves/meltCurve_F5GYC4_RPS6KA3.pdf</v>
      </c>
    </row>
    <row r="619" spans="1:28" x14ac:dyDescent="0.25">
      <c r="A619" t="s">
        <v>623</v>
      </c>
      <c r="B619">
        <v>0.99193492352474899</v>
      </c>
      <c r="C619">
        <v>0.91148247909333902</v>
      </c>
      <c r="D619">
        <v>0.84699838731756005</v>
      </c>
      <c r="E619">
        <v>0.82703269203958096</v>
      </c>
      <c r="F619">
        <v>0.66126369181914701</v>
      </c>
      <c r="G619">
        <v>0.39934292798999599</v>
      </c>
      <c r="H619">
        <v>0.40603305297027098</v>
      </c>
      <c r="I619">
        <v>0.49518972843800102</v>
      </c>
      <c r="J619">
        <v>0.58326707304592995</v>
      </c>
      <c r="K619">
        <v>0.86740836212456596</v>
      </c>
      <c r="L619">
        <v>999.32878113177196</v>
      </c>
      <c r="M619">
        <v>20.4603352358052</v>
      </c>
      <c r="O619">
        <v>48.382855383875103</v>
      </c>
      <c r="P619">
        <v>-4.6800694981547597E-2</v>
      </c>
      <c r="Q619">
        <v>0.557332005847614</v>
      </c>
      <c r="R619">
        <v>0.59492272652762701</v>
      </c>
      <c r="S619" t="s">
        <v>7289</v>
      </c>
      <c r="T619" t="s">
        <v>13338</v>
      </c>
      <c r="U619" t="s">
        <v>13338</v>
      </c>
      <c r="V619" t="s">
        <v>13338</v>
      </c>
      <c r="W619" t="s">
        <v>13949</v>
      </c>
      <c r="X619">
        <v>1</v>
      </c>
      <c r="Y619" t="s">
        <v>20554</v>
      </c>
      <c r="Z619" t="s">
        <v>27034</v>
      </c>
      <c r="AA619">
        <v>0.69373229021383287</v>
      </c>
      <c r="AB619" t="str">
        <f>HYPERLINK("Melting_Curves/meltCurve_F5GYN4_OTUB1.pdf", "Melting_Curves/meltCurve_F5GYN4_OTUB1.pdf")</f>
        <v>Melting_Curves/meltCurve_F5GYN4_OTUB1.pdf</v>
      </c>
    </row>
    <row r="620" spans="1:28" x14ac:dyDescent="0.25">
      <c r="A620" t="s">
        <v>624</v>
      </c>
      <c r="B620">
        <v>0.99193492352474899</v>
      </c>
      <c r="C620">
        <v>0.90456548922537205</v>
      </c>
      <c r="D620">
        <v>0.89898581681488299</v>
      </c>
      <c r="E620">
        <v>0.72887057973075597</v>
      </c>
      <c r="F620">
        <v>0.63367931696536595</v>
      </c>
      <c r="G620">
        <v>0.48039053464714598</v>
      </c>
      <c r="H620">
        <v>0.34690175888715002</v>
      </c>
      <c r="I620">
        <v>0.22581127317810801</v>
      </c>
      <c r="J620">
        <v>0.14238190529910899</v>
      </c>
      <c r="K620">
        <v>8.9366825511303899E-2</v>
      </c>
      <c r="L620">
        <v>532.02460882123705</v>
      </c>
      <c r="M620">
        <v>9.5258663629657505</v>
      </c>
      <c r="N620">
        <v>55.850521993224099</v>
      </c>
      <c r="O620">
        <v>53.555434761538798</v>
      </c>
      <c r="P620">
        <v>-4.4493370433247401E-2</v>
      </c>
      <c r="Q620">
        <v>0</v>
      </c>
      <c r="R620">
        <v>0.992507910063399</v>
      </c>
      <c r="S620" t="s">
        <v>7290</v>
      </c>
      <c r="T620" t="s">
        <v>13338</v>
      </c>
      <c r="U620" t="s">
        <v>13338</v>
      </c>
      <c r="V620" t="s">
        <v>13338</v>
      </c>
      <c r="W620" t="s">
        <v>13950</v>
      </c>
      <c r="X620">
        <v>15</v>
      </c>
      <c r="Y620" t="s">
        <v>20555</v>
      </c>
      <c r="Z620" t="s">
        <v>27035</v>
      </c>
      <c r="AA620">
        <v>0.55019797288940486</v>
      </c>
      <c r="AB620" t="str">
        <f>HYPERLINK("Melting_Curves/meltCurve_F5GYQ1_ATP6V0D1.pdf", "Melting_Curves/meltCurve_F5GYQ1_ATP6V0D1.pdf")</f>
        <v>Melting_Curves/meltCurve_F5GYQ1_ATP6V0D1.pdf</v>
      </c>
    </row>
    <row r="621" spans="1:28" x14ac:dyDescent="0.25">
      <c r="A621" t="s">
        <v>625</v>
      </c>
      <c r="B621">
        <v>0.99193492352474899</v>
      </c>
      <c r="C621">
        <v>0.80932039431560598</v>
      </c>
      <c r="D621">
        <v>1.1725757201456199</v>
      </c>
      <c r="E621">
        <v>0.92168497000323901</v>
      </c>
      <c r="F621">
        <v>0.76588677557875295</v>
      </c>
      <c r="G621">
        <v>0.389151369601129</v>
      </c>
      <c r="H621">
        <v>0.20836320637915601</v>
      </c>
      <c r="I621">
        <v>0.17130486146775201</v>
      </c>
      <c r="J621">
        <v>0.167947928142227</v>
      </c>
      <c r="K621">
        <v>0.22049100614855599</v>
      </c>
      <c r="L621">
        <v>1656.1776424782099</v>
      </c>
      <c r="M621">
        <v>30.250285068145601</v>
      </c>
      <c r="N621">
        <v>55.567304921070203</v>
      </c>
      <c r="O621">
        <v>54.5115675389412</v>
      </c>
      <c r="P621">
        <v>-0.11380185214652599</v>
      </c>
      <c r="Q621">
        <v>0.179713086447956</v>
      </c>
      <c r="R621">
        <v>0.94778782206832801</v>
      </c>
      <c r="S621" t="s">
        <v>7291</v>
      </c>
      <c r="T621" t="s">
        <v>13338</v>
      </c>
      <c r="U621" t="s">
        <v>13338</v>
      </c>
      <c r="V621" t="s">
        <v>13338</v>
      </c>
      <c r="W621" t="s">
        <v>13951</v>
      </c>
      <c r="X621">
        <v>1</v>
      </c>
      <c r="Y621" t="s">
        <v>20556</v>
      </c>
      <c r="Z621" t="s">
        <v>27036</v>
      </c>
      <c r="AA621">
        <v>0.58834251586784625</v>
      </c>
      <c r="AB621" t="str">
        <f>HYPERLINK("Melting_Curves/meltCurve_F5GZ78_PXN.pdf", "Melting_Curves/meltCurve_F5GZ78_PXN.pdf")</f>
        <v>Melting_Curves/meltCurve_F5GZ78_PXN.pdf</v>
      </c>
    </row>
    <row r="622" spans="1:28" x14ac:dyDescent="0.25">
      <c r="A622" t="s">
        <v>626</v>
      </c>
      <c r="B622">
        <v>0.99193492352474899</v>
      </c>
      <c r="C622">
        <v>1.0640141135176799</v>
      </c>
      <c r="D622">
        <v>1.11720644449034</v>
      </c>
      <c r="E622">
        <v>0.78969233822828899</v>
      </c>
      <c r="F622">
        <v>0.351261283241387</v>
      </c>
      <c r="G622">
        <v>0.14533557049071999</v>
      </c>
      <c r="H622">
        <v>9.8208727561699197E-2</v>
      </c>
      <c r="I622">
        <v>0.148150240064885</v>
      </c>
      <c r="J622">
        <v>0.13803382548524501</v>
      </c>
      <c r="K622">
        <v>0.20791456033078901</v>
      </c>
      <c r="L622">
        <v>1898.97143779149</v>
      </c>
      <c r="M622">
        <v>36.9831902883803</v>
      </c>
      <c r="N622">
        <v>51.825968340747998</v>
      </c>
      <c r="O622">
        <v>51.197440493323697</v>
      </c>
      <c r="P622">
        <v>-0.15444402965635901</v>
      </c>
      <c r="Q622">
        <v>0.14478798262491699</v>
      </c>
      <c r="R622">
        <v>0.98266247968126497</v>
      </c>
      <c r="S622" t="s">
        <v>7292</v>
      </c>
      <c r="T622" t="s">
        <v>13338</v>
      </c>
      <c r="U622" t="s">
        <v>13338</v>
      </c>
      <c r="V622" t="s">
        <v>13338</v>
      </c>
      <c r="W622" t="s">
        <v>13952</v>
      </c>
      <c r="X622">
        <v>8</v>
      </c>
      <c r="Y622" t="s">
        <v>20557</v>
      </c>
      <c r="Z622" t="s">
        <v>27037</v>
      </c>
      <c r="AA622">
        <v>0.47180789048793292</v>
      </c>
      <c r="AB622" t="str">
        <f>HYPERLINK("Melting_Curves/meltCurve_F5GZ90_DTL.pdf", "Melting_Curves/meltCurve_F5GZ90_DTL.pdf")</f>
        <v>Melting_Curves/meltCurve_F5GZ90_DTL.pdf</v>
      </c>
    </row>
    <row r="623" spans="1:28" x14ac:dyDescent="0.25">
      <c r="A623" t="s">
        <v>627</v>
      </c>
      <c r="B623">
        <v>0.99193492352474899</v>
      </c>
      <c r="C623">
        <v>0.91840051744506301</v>
      </c>
      <c r="D623">
        <v>0.95933560381794103</v>
      </c>
      <c r="E623">
        <v>0.76395444178310401</v>
      </c>
      <c r="F623">
        <v>0.65732627949118405</v>
      </c>
      <c r="G623">
        <v>0.44298006373808502</v>
      </c>
      <c r="H623">
        <v>0.46925975192645802</v>
      </c>
      <c r="I623">
        <v>0.41755772097352201</v>
      </c>
      <c r="J623">
        <v>0.620084398747761</v>
      </c>
      <c r="K623">
        <v>0.44669340360135501</v>
      </c>
      <c r="L623">
        <v>1080.3177655313</v>
      </c>
      <c r="M623">
        <v>21.436756060917102</v>
      </c>
      <c r="N623">
        <v>58.510733817096003</v>
      </c>
      <c r="O623">
        <v>49.963173679913098</v>
      </c>
      <c r="P623">
        <v>-5.6375535962182699E-2</v>
      </c>
      <c r="Q623">
        <v>0.47442961949201001</v>
      </c>
      <c r="R623">
        <v>0.91493238738851002</v>
      </c>
      <c r="S623" t="s">
        <v>7293</v>
      </c>
      <c r="T623" t="s">
        <v>13338</v>
      </c>
      <c r="U623" t="s">
        <v>13338</v>
      </c>
      <c r="V623" t="s">
        <v>13338</v>
      </c>
      <c r="W623" t="s">
        <v>13953</v>
      </c>
      <c r="X623">
        <v>1</v>
      </c>
      <c r="Y623" t="s">
        <v>20558</v>
      </c>
      <c r="Z623" t="s">
        <v>27038</v>
      </c>
      <c r="AA623">
        <v>0.66293918428197751</v>
      </c>
      <c r="AB623" t="str">
        <f>HYPERLINK("Melting_Curves/meltCurve_F5GZG6_TPK1.pdf", "Melting_Curves/meltCurve_F5GZG6_TPK1.pdf")</f>
        <v>Melting_Curves/meltCurve_F5GZG6_TPK1.pdf</v>
      </c>
    </row>
    <row r="624" spans="1:28" x14ac:dyDescent="0.25">
      <c r="A624" t="s">
        <v>628</v>
      </c>
      <c r="B624">
        <v>0.99193492352474899</v>
      </c>
      <c r="C624">
        <v>1.0294495160260599</v>
      </c>
      <c r="D624">
        <v>0.94884742631661201</v>
      </c>
      <c r="E624">
        <v>0.91338576837377905</v>
      </c>
      <c r="F624">
        <v>0.73791330002662303</v>
      </c>
      <c r="G624">
        <v>0.59189503698788604</v>
      </c>
      <c r="H624">
        <v>0.476774019543663</v>
      </c>
      <c r="I624">
        <v>0.29619438020022898</v>
      </c>
      <c r="J624">
        <v>0.26256787196050702</v>
      </c>
      <c r="K624">
        <v>0.139021505455314</v>
      </c>
      <c r="L624">
        <v>619.69386549513194</v>
      </c>
      <c r="M624">
        <v>10.4483799839666</v>
      </c>
      <c r="N624">
        <v>59.310022742679202</v>
      </c>
      <c r="O624">
        <v>57.260914391118902</v>
      </c>
      <c r="P624">
        <v>-4.5636173273239301E-2</v>
      </c>
      <c r="Q624">
        <v>0</v>
      </c>
      <c r="R624">
        <v>0.99142842650011898</v>
      </c>
      <c r="S624" t="s">
        <v>7294</v>
      </c>
      <c r="T624" t="s">
        <v>13338</v>
      </c>
      <c r="U624" t="s">
        <v>13338</v>
      </c>
      <c r="V624" t="s">
        <v>13338</v>
      </c>
      <c r="W624" t="s">
        <v>13954</v>
      </c>
      <c r="X624">
        <v>3</v>
      </c>
      <c r="Y624" t="s">
        <v>20559</v>
      </c>
      <c r="Z624" t="s">
        <v>27039</v>
      </c>
      <c r="AA624">
        <v>0.6462730961852825</v>
      </c>
      <c r="AB624" t="str">
        <f>HYPERLINK("Melting_Curves/meltCurve_F5GZK1_EXTL2.pdf", "Melting_Curves/meltCurve_F5GZK1_EXTL2.pdf")</f>
        <v>Melting_Curves/meltCurve_F5GZK1_EXTL2.pdf</v>
      </c>
    </row>
    <row r="625" spans="1:28" x14ac:dyDescent="0.25">
      <c r="A625" t="s">
        <v>629</v>
      </c>
      <c r="B625">
        <v>0.99193492352474899</v>
      </c>
      <c r="C625">
        <v>0.42508415146938799</v>
      </c>
      <c r="D625">
        <v>0.80232912633818299</v>
      </c>
      <c r="E625">
        <v>0.37212985998529802</v>
      </c>
      <c r="F625">
        <v>0.213284571822138</v>
      </c>
      <c r="G625">
        <v>7.7336139887280095E-2</v>
      </c>
      <c r="H625">
        <v>5.2753911629788403E-2</v>
      </c>
      <c r="I625">
        <v>5.9835787676607098E-2</v>
      </c>
      <c r="J625">
        <v>7.9618578327249501E-2</v>
      </c>
      <c r="K625">
        <v>7.3735194289828901E-2</v>
      </c>
      <c r="L625">
        <v>486.90375698728002</v>
      </c>
      <c r="M625">
        <v>10.329781871233999</v>
      </c>
      <c r="N625">
        <v>47.135920324748596</v>
      </c>
      <c r="O625">
        <v>45.4719492066762</v>
      </c>
      <c r="P625">
        <v>-5.6816433673733402E-2</v>
      </c>
      <c r="Q625">
        <v>0</v>
      </c>
      <c r="R625">
        <v>0.82518274002496395</v>
      </c>
      <c r="S625" t="s">
        <v>7295</v>
      </c>
      <c r="T625" t="s">
        <v>13338</v>
      </c>
      <c r="U625" t="s">
        <v>13338</v>
      </c>
      <c r="V625" t="s">
        <v>13338</v>
      </c>
      <c r="W625" t="s">
        <v>13955</v>
      </c>
      <c r="X625">
        <v>17</v>
      </c>
      <c r="Y625" t="s">
        <v>20560</v>
      </c>
      <c r="Z625" t="s">
        <v>27040</v>
      </c>
      <c r="AA625">
        <v>0.29175689276046413</v>
      </c>
      <c r="AB625" t="str">
        <f>HYPERLINK("Melting_Curves/meltCurve_F5GZS0_DHX36.pdf", "Melting_Curves/meltCurve_F5GZS0_DHX36.pdf")</f>
        <v>Melting_Curves/meltCurve_F5GZS0_DHX36.pdf</v>
      </c>
    </row>
    <row r="626" spans="1:28" x14ac:dyDescent="0.25">
      <c r="A626" t="s">
        <v>630</v>
      </c>
      <c r="B626">
        <v>0.99193492352474899</v>
      </c>
      <c r="C626">
        <v>0.94287516565096396</v>
      </c>
      <c r="D626">
        <v>0.90351499318583195</v>
      </c>
      <c r="E626">
        <v>0.77495104862743802</v>
      </c>
      <c r="F626">
        <v>0.73253624047827004</v>
      </c>
      <c r="G626">
        <v>0.599518301614552</v>
      </c>
      <c r="H626">
        <v>0.44843056238666001</v>
      </c>
      <c r="I626">
        <v>0.403083355589825</v>
      </c>
      <c r="J626">
        <v>0.42799724196393801</v>
      </c>
      <c r="K626">
        <v>0.36050532704142302</v>
      </c>
      <c r="L626">
        <v>522.88376661392704</v>
      </c>
      <c r="M626">
        <v>9.5365725491299393</v>
      </c>
      <c r="N626">
        <v>60.098088393702298</v>
      </c>
      <c r="O626">
        <v>52.580888847387598</v>
      </c>
      <c r="P626">
        <v>-3.2516119493577703E-2</v>
      </c>
      <c r="Q626">
        <v>0.28329368629559498</v>
      </c>
      <c r="R626">
        <v>0.98742819248811697</v>
      </c>
      <c r="S626" t="s">
        <v>7296</v>
      </c>
      <c r="T626" t="s">
        <v>13338</v>
      </c>
      <c r="U626" t="s">
        <v>13338</v>
      </c>
      <c r="V626" t="s">
        <v>13338</v>
      </c>
      <c r="W626" t="s">
        <v>13956</v>
      </c>
      <c r="X626">
        <v>24</v>
      </c>
      <c r="Y626" t="s">
        <v>20561</v>
      </c>
      <c r="Z626" t="s">
        <v>27041</v>
      </c>
      <c r="AA626">
        <v>0.65703703027923388</v>
      </c>
      <c r="AB626" t="str">
        <f>HYPERLINK("Melting_Curves/meltCurve_F5GZS6_SLC3A2.pdf", "Melting_Curves/meltCurve_F5GZS6_SLC3A2.pdf")</f>
        <v>Melting_Curves/meltCurve_F5GZS6_SLC3A2.pdf</v>
      </c>
    </row>
    <row r="627" spans="1:28" x14ac:dyDescent="0.25">
      <c r="A627" t="s">
        <v>631</v>
      </c>
      <c r="B627">
        <v>0.99193492352474899</v>
      </c>
      <c r="C627">
        <v>0.76201322188853804</v>
      </c>
      <c r="D627">
        <v>0.71008061858262495</v>
      </c>
      <c r="E627">
        <v>0.35418509793547698</v>
      </c>
      <c r="F627">
        <v>0.16666375396830499</v>
      </c>
      <c r="G627">
        <v>9.4064439610515305E-2</v>
      </c>
      <c r="H627">
        <v>6.0645661699235E-2</v>
      </c>
      <c r="I627">
        <v>9.7586897490140503E-2</v>
      </c>
      <c r="J627">
        <v>8.71907010207425E-2</v>
      </c>
      <c r="K627">
        <v>0.12119325950698499</v>
      </c>
      <c r="L627">
        <v>810.35797366137194</v>
      </c>
      <c r="M627">
        <v>17.1550849642434</v>
      </c>
      <c r="N627">
        <v>47.674693266983802</v>
      </c>
      <c r="O627">
        <v>46.609319512642799</v>
      </c>
      <c r="P627">
        <v>-8.5318760510720501E-2</v>
      </c>
      <c r="Q627">
        <v>7.2831637953176501E-2</v>
      </c>
      <c r="R627">
        <v>0.98130330740430904</v>
      </c>
      <c r="S627" t="s">
        <v>7297</v>
      </c>
      <c r="T627" t="s">
        <v>13338</v>
      </c>
      <c r="U627" t="s">
        <v>13338</v>
      </c>
      <c r="V627" t="s">
        <v>13338</v>
      </c>
      <c r="W627" t="s">
        <v>13957</v>
      </c>
      <c r="X627">
        <v>10</v>
      </c>
      <c r="Y627" t="s">
        <v>20562</v>
      </c>
      <c r="Z627" t="s">
        <v>27042</v>
      </c>
      <c r="AA627">
        <v>0.31525767066709048</v>
      </c>
      <c r="AB627" t="str">
        <f>HYPERLINK("Melting_Curves/meltCurve_F5GZX9_FAM120B.pdf", "Melting_Curves/meltCurve_F5GZX9_FAM120B.pdf")</f>
        <v>Melting_Curves/meltCurve_F5GZX9_FAM120B.pdf</v>
      </c>
    </row>
    <row r="628" spans="1:28" x14ac:dyDescent="0.25">
      <c r="A628" t="s">
        <v>632</v>
      </c>
      <c r="B628">
        <v>0.99193492352474899</v>
      </c>
      <c r="C628">
        <v>0.84775891319431795</v>
      </c>
      <c r="D628">
        <v>1.0021010930285399</v>
      </c>
      <c r="E628">
        <v>0.60269347972801102</v>
      </c>
      <c r="F628">
        <v>0.55162092808086605</v>
      </c>
      <c r="G628">
        <v>0.26597644364843598</v>
      </c>
      <c r="H628">
        <v>0.23392234000442899</v>
      </c>
      <c r="I628">
        <v>0.22231501691203701</v>
      </c>
      <c r="J628">
        <v>0.19019040521147401</v>
      </c>
      <c r="K628">
        <v>0.22925013394612501</v>
      </c>
      <c r="L628">
        <v>840.86243096038902</v>
      </c>
      <c r="M628">
        <v>16.465160094288802</v>
      </c>
      <c r="N628">
        <v>52.5919088361644</v>
      </c>
      <c r="O628">
        <v>50.333709231825701</v>
      </c>
      <c r="P628">
        <v>-6.6279714137535597E-2</v>
      </c>
      <c r="Q628">
        <v>0.18959309366134999</v>
      </c>
      <c r="R628">
        <v>0.95316456002865502</v>
      </c>
      <c r="S628" t="s">
        <v>7298</v>
      </c>
      <c r="T628" t="s">
        <v>13338</v>
      </c>
      <c r="U628" t="s">
        <v>13338</v>
      </c>
      <c r="V628" t="s">
        <v>13338</v>
      </c>
      <c r="W628" t="s">
        <v>13958</v>
      </c>
      <c r="X628">
        <v>3</v>
      </c>
      <c r="Y628" t="s">
        <v>20563</v>
      </c>
      <c r="Z628" t="s">
        <v>27043</v>
      </c>
      <c r="AA628">
        <v>0.50457659528563892</v>
      </c>
      <c r="AB628" t="str">
        <f>HYPERLINK("Melting_Curves/meltCurve_F5GZY7_GABARAPL1.pdf", "Melting_Curves/meltCurve_F5GZY7_GABARAPL1.pdf")</f>
        <v>Melting_Curves/meltCurve_F5GZY7_GABARAPL1.pdf</v>
      </c>
    </row>
    <row r="629" spans="1:28" x14ac:dyDescent="0.25">
      <c r="A629" t="s">
        <v>633</v>
      </c>
      <c r="B629">
        <v>0.99193492352474899</v>
      </c>
      <c r="C629">
        <v>0.99116632039863695</v>
      </c>
      <c r="D629">
        <v>0.78759710351312195</v>
      </c>
      <c r="E629">
        <v>0.41507588182918098</v>
      </c>
      <c r="F629">
        <v>0.16812229071391599</v>
      </c>
      <c r="G629">
        <v>0.117823772210532</v>
      </c>
      <c r="H629">
        <v>7.1486007506602098E-2</v>
      </c>
      <c r="I629">
        <v>0.110480721063245</v>
      </c>
      <c r="J629">
        <v>8.6546791128227496E-2</v>
      </c>
      <c r="K629">
        <v>0.109636693551037</v>
      </c>
      <c r="L629">
        <v>1219.15719022604</v>
      </c>
      <c r="M629">
        <v>25.223136861425498</v>
      </c>
      <c r="N629">
        <v>48.732366494922999</v>
      </c>
      <c r="O629">
        <v>48.034128246163803</v>
      </c>
      <c r="P629">
        <v>-0.119073128544361</v>
      </c>
      <c r="Q629">
        <v>9.2975673735451805E-2</v>
      </c>
      <c r="R629">
        <v>0.99823729560278396</v>
      </c>
      <c r="S629" t="s">
        <v>7299</v>
      </c>
      <c r="T629" t="s">
        <v>13338</v>
      </c>
      <c r="U629" t="s">
        <v>13338</v>
      </c>
      <c r="V629" t="s">
        <v>13338</v>
      </c>
      <c r="W629" t="s">
        <v>13959</v>
      </c>
      <c r="X629">
        <v>12</v>
      </c>
      <c r="Y629" t="s">
        <v>20564</v>
      </c>
      <c r="Z629" t="s">
        <v>27044</v>
      </c>
      <c r="AA629">
        <v>0.35284100526245737</v>
      </c>
      <c r="AB629" t="str">
        <f>HYPERLINK("Melting_Curves/meltCurve_F5H012_TRIM21.pdf", "Melting_Curves/meltCurve_F5H012_TRIM21.pdf")</f>
        <v>Melting_Curves/meltCurve_F5H012_TRIM21.pdf</v>
      </c>
    </row>
    <row r="630" spans="1:28" x14ac:dyDescent="0.25">
      <c r="A630" t="s">
        <v>634</v>
      </c>
      <c r="B630">
        <v>0.99193492352474899</v>
      </c>
      <c r="C630">
        <v>1.1141296596925401</v>
      </c>
      <c r="D630">
        <v>0.84411699371832005</v>
      </c>
      <c r="E630">
        <v>0.64910645803800604</v>
      </c>
      <c r="F630">
        <v>0.44801774303534098</v>
      </c>
      <c r="G630">
        <v>0.203944941873375</v>
      </c>
      <c r="H630">
        <v>8.9948523792509602E-2</v>
      </c>
      <c r="I630">
        <v>0.13542495483102501</v>
      </c>
      <c r="J630">
        <v>0.133874990904364</v>
      </c>
      <c r="K630">
        <v>0.181486425205548</v>
      </c>
      <c r="L630">
        <v>980.89631272378597</v>
      </c>
      <c r="M630">
        <v>19.2596288484933</v>
      </c>
      <c r="N630">
        <v>51.676287932393997</v>
      </c>
      <c r="O630">
        <v>50.390639974849798</v>
      </c>
      <c r="P630">
        <v>-8.39568498309059E-2</v>
      </c>
      <c r="Q630">
        <v>0.121378851073921</v>
      </c>
      <c r="R630">
        <v>0.97515315318096696</v>
      </c>
      <c r="S630" t="s">
        <v>7300</v>
      </c>
      <c r="T630" t="s">
        <v>13338</v>
      </c>
      <c r="U630" t="s">
        <v>13338</v>
      </c>
      <c r="V630" t="s">
        <v>13338</v>
      </c>
      <c r="W630" t="s">
        <v>13960</v>
      </c>
      <c r="X630">
        <v>3</v>
      </c>
      <c r="Y630" t="s">
        <v>20565</v>
      </c>
      <c r="Z630" t="s">
        <v>27045</v>
      </c>
      <c r="AA630">
        <v>0.4545834710470657</v>
      </c>
      <c r="AB630" t="str">
        <f>HYPERLINK("Melting_Curves/meltCurve_F5H029_FAM65B.pdf", "Melting_Curves/meltCurve_F5H029_FAM65B.pdf")</f>
        <v>Melting_Curves/meltCurve_F5H029_FAM65B.pdf</v>
      </c>
    </row>
    <row r="631" spans="1:28" x14ac:dyDescent="0.25">
      <c r="A631" t="s">
        <v>635</v>
      </c>
      <c r="B631">
        <v>0.99193492352474899</v>
      </c>
      <c r="C631">
        <v>0.48791656417129697</v>
      </c>
      <c r="D631">
        <v>0.61061643228955798</v>
      </c>
      <c r="E631">
        <v>0.43451871190836699</v>
      </c>
      <c r="F631">
        <v>8.4129435043971995E-2</v>
      </c>
      <c r="G631">
        <v>7.4902903555164699E-2</v>
      </c>
      <c r="H631">
        <v>4.4793271229793499E-2</v>
      </c>
      <c r="I631">
        <v>5.2403572058773697E-2</v>
      </c>
      <c r="J631">
        <v>5.3130173029601199E-2</v>
      </c>
      <c r="K631">
        <v>9.2977769428174498E-2</v>
      </c>
      <c r="L631">
        <v>537.08476570114703</v>
      </c>
      <c r="M631">
        <v>11.647209705216101</v>
      </c>
      <c r="N631">
        <v>46.248286873982998</v>
      </c>
      <c r="O631">
        <v>44.816329014281202</v>
      </c>
      <c r="P631">
        <v>-6.3899118595158594E-2</v>
      </c>
      <c r="Q631">
        <v>1.6778019075070899E-2</v>
      </c>
      <c r="R631">
        <v>0.88815813394752896</v>
      </c>
      <c r="S631" t="s">
        <v>7301</v>
      </c>
      <c r="T631" t="s">
        <v>13338</v>
      </c>
      <c r="U631" t="s">
        <v>13338</v>
      </c>
      <c r="V631" t="s">
        <v>13338</v>
      </c>
      <c r="W631" t="s">
        <v>13961</v>
      </c>
      <c r="X631">
        <v>15</v>
      </c>
      <c r="Y631" t="s">
        <v>20566</v>
      </c>
      <c r="Z631" t="s">
        <v>27046</v>
      </c>
      <c r="AA631">
        <v>0.2639284670714343</v>
      </c>
      <c r="AB631" t="str">
        <f>HYPERLINK("Melting_Curves/meltCurve_F5H0B0_TPD52.pdf", "Melting_Curves/meltCurve_F5H0B0_TPD52.pdf")</f>
        <v>Melting_Curves/meltCurve_F5H0B0_TPD52.pdf</v>
      </c>
    </row>
    <row r="632" spans="1:28" x14ac:dyDescent="0.25">
      <c r="A632" t="s">
        <v>636</v>
      </c>
      <c r="B632">
        <v>0.99193492352474899</v>
      </c>
      <c r="C632">
        <v>0.80950037609637804</v>
      </c>
      <c r="D632">
        <v>1.1097937216601901</v>
      </c>
      <c r="E632">
        <v>0.76517753479815598</v>
      </c>
      <c r="F632">
        <v>0.58540224042914202</v>
      </c>
      <c r="G632">
        <v>0.19229406271463501</v>
      </c>
      <c r="H632">
        <v>7.7967210170551707E-2</v>
      </c>
      <c r="I632">
        <v>5.0096657559185201E-2</v>
      </c>
      <c r="J632">
        <v>5.4036483385455698E-2</v>
      </c>
      <c r="K632">
        <v>3.4621214197291202E-2</v>
      </c>
      <c r="L632">
        <v>1182.0358078760701</v>
      </c>
      <c r="M632">
        <v>22.154703616833402</v>
      </c>
      <c r="N632">
        <v>53.4860691116533</v>
      </c>
      <c r="O632">
        <v>52.924715665687998</v>
      </c>
      <c r="P632">
        <v>-0.10186259587114301</v>
      </c>
      <c r="Q632">
        <v>2.6674719441863001E-2</v>
      </c>
      <c r="R632">
        <v>0.96100547814284998</v>
      </c>
      <c r="S632" t="s">
        <v>7302</v>
      </c>
      <c r="T632" t="s">
        <v>13338</v>
      </c>
      <c r="U632" t="s">
        <v>13338</v>
      </c>
      <c r="V632" t="s">
        <v>13338</v>
      </c>
      <c r="W632" t="s">
        <v>13962</v>
      </c>
      <c r="X632">
        <v>4</v>
      </c>
      <c r="Y632" t="s">
        <v>20567</v>
      </c>
      <c r="Z632" t="s">
        <v>27047</v>
      </c>
      <c r="AA632">
        <v>0.47111046918990152</v>
      </c>
      <c r="AB632" t="str">
        <f>HYPERLINK("Melting_Curves/meltCurve_F5H0F9_ANAPC5.pdf", "Melting_Curves/meltCurve_F5H0F9_ANAPC5.pdf")</f>
        <v>Melting_Curves/meltCurve_F5H0F9_ANAPC5.pdf</v>
      </c>
    </row>
    <row r="633" spans="1:28" x14ac:dyDescent="0.25">
      <c r="A633" t="s">
        <v>637</v>
      </c>
      <c r="B633">
        <v>0.99193492352474899</v>
      </c>
      <c r="C633">
        <v>0.69744384540831394</v>
      </c>
      <c r="D633">
        <v>0.60143949263044505</v>
      </c>
      <c r="E633">
        <v>0.27304528721368598</v>
      </c>
      <c r="F633">
        <v>0.13530850071332201</v>
      </c>
      <c r="G633">
        <v>0.135649367986028</v>
      </c>
      <c r="H633">
        <v>0.14304510896228401</v>
      </c>
      <c r="I633">
        <v>0.24742297642859301</v>
      </c>
      <c r="J633">
        <v>0.28998624234406001</v>
      </c>
      <c r="K633">
        <v>0.40417796961964397</v>
      </c>
      <c r="L633">
        <v>980.40774847820796</v>
      </c>
      <c r="M633">
        <v>21.880445915638798</v>
      </c>
      <c r="N633">
        <v>46.046883984428597</v>
      </c>
      <c r="O633">
        <v>44.438258969670997</v>
      </c>
      <c r="P633">
        <v>-9.5703304176680701E-2</v>
      </c>
      <c r="Q633">
        <v>0.22254049407246301</v>
      </c>
      <c r="R633">
        <v>0.88256281697470396</v>
      </c>
      <c r="S633" t="s">
        <v>7303</v>
      </c>
      <c r="T633" t="s">
        <v>13338</v>
      </c>
      <c r="U633" t="s">
        <v>13338</v>
      </c>
      <c r="V633" t="s">
        <v>13338</v>
      </c>
      <c r="W633" t="s">
        <v>13963</v>
      </c>
      <c r="X633">
        <v>4</v>
      </c>
      <c r="Y633" t="s">
        <v>20568</v>
      </c>
      <c r="Z633" t="s">
        <v>27048</v>
      </c>
      <c r="AA633">
        <v>0.35802238927595398</v>
      </c>
      <c r="AB633" t="str">
        <f>HYPERLINK("Melting_Curves/meltCurve_F5H0I3_SOX5.pdf", "Melting_Curves/meltCurve_F5H0I3_SOX5.pdf")</f>
        <v>Melting_Curves/meltCurve_F5H0I3_SOX5.pdf</v>
      </c>
    </row>
    <row r="634" spans="1:28" x14ac:dyDescent="0.25">
      <c r="A634" t="s">
        <v>638</v>
      </c>
      <c r="B634">
        <v>0.99193492352474899</v>
      </c>
      <c r="C634">
        <v>0.85773154845337296</v>
      </c>
      <c r="D634">
        <v>0.71984083208947403</v>
      </c>
      <c r="E634">
        <v>0.24780430750206101</v>
      </c>
      <c r="F634">
        <v>0.14059875665366001</v>
      </c>
      <c r="G634">
        <v>8.1881279103037899E-2</v>
      </c>
      <c r="H634">
        <v>5.4048333787031798E-2</v>
      </c>
      <c r="I634">
        <v>5.71981082043896E-2</v>
      </c>
      <c r="J634">
        <v>6.6838415821596595E-2</v>
      </c>
      <c r="K634">
        <v>6.2398942742142097E-2</v>
      </c>
      <c r="L634">
        <v>1124.4663884020599</v>
      </c>
      <c r="M634">
        <v>23.816574385569599</v>
      </c>
      <c r="N634">
        <v>47.467435113610499</v>
      </c>
      <c r="O634">
        <v>46.884526310357998</v>
      </c>
      <c r="P634">
        <v>-0.119405322842631</v>
      </c>
      <c r="Q634">
        <v>5.9785738772396901E-2</v>
      </c>
      <c r="R634">
        <v>0.99335177719046097</v>
      </c>
      <c r="S634" t="s">
        <v>7304</v>
      </c>
      <c r="T634" t="s">
        <v>13338</v>
      </c>
      <c r="U634" t="s">
        <v>13338</v>
      </c>
      <c r="V634" t="s">
        <v>13338</v>
      </c>
      <c r="W634" t="s">
        <v>13964</v>
      </c>
      <c r="X634">
        <v>19</v>
      </c>
      <c r="Y634" t="s">
        <v>20569</v>
      </c>
      <c r="Z634" t="s">
        <v>27049</v>
      </c>
      <c r="AA634">
        <v>0.29516470701068948</v>
      </c>
      <c r="AB634" t="str">
        <f>HYPERLINK("Melting_Curves/meltCurve_F5H0L8_SEC23IP.pdf", "Melting_Curves/meltCurve_F5H0L8_SEC23IP.pdf")</f>
        <v>Melting_Curves/meltCurve_F5H0L8_SEC23IP.pdf</v>
      </c>
    </row>
    <row r="635" spans="1:28" x14ac:dyDescent="0.25">
      <c r="A635" t="s">
        <v>639</v>
      </c>
      <c r="B635">
        <v>0.99193492352474899</v>
      </c>
      <c r="C635">
        <v>1.15357005124941</v>
      </c>
      <c r="D635">
        <v>1.08929010223204</v>
      </c>
      <c r="E635">
        <v>0.68414562852825</v>
      </c>
      <c r="F635">
        <v>0.42467666396531301</v>
      </c>
      <c r="G635">
        <v>0.207287766729743</v>
      </c>
      <c r="H635">
        <v>0.13411169276047499</v>
      </c>
      <c r="I635">
        <v>9.5979505892387906E-2</v>
      </c>
      <c r="J635">
        <v>0.14168599349446501</v>
      </c>
      <c r="K635">
        <v>0.110330982107359</v>
      </c>
      <c r="L635">
        <v>1311.46015019482</v>
      </c>
      <c r="M635">
        <v>25.4668737853126</v>
      </c>
      <c r="N635">
        <v>52.055025410688998</v>
      </c>
      <c r="O635">
        <v>51.182338625287699</v>
      </c>
      <c r="P635">
        <v>-0.10952818754126099</v>
      </c>
      <c r="Q635">
        <v>0.119509104692788</v>
      </c>
      <c r="R635">
        <v>0.97069754395401797</v>
      </c>
      <c r="S635" t="s">
        <v>7305</v>
      </c>
      <c r="T635" t="s">
        <v>13338</v>
      </c>
      <c r="U635" t="s">
        <v>13338</v>
      </c>
      <c r="V635" t="s">
        <v>13338</v>
      </c>
      <c r="W635" t="s">
        <v>13965</v>
      </c>
      <c r="X635">
        <v>2</v>
      </c>
      <c r="Y635" t="s">
        <v>20570</v>
      </c>
      <c r="Z635" t="s">
        <v>27050</v>
      </c>
      <c r="AA635">
        <v>0.46464755459724649</v>
      </c>
      <c r="AB635" t="str">
        <f>HYPERLINK("Melting_Curves/meltCurve_F5H0M4_LPCAT3.pdf", "Melting_Curves/meltCurve_F5H0M4_LPCAT3.pdf")</f>
        <v>Melting_Curves/meltCurve_F5H0M4_LPCAT3.pdf</v>
      </c>
    </row>
    <row r="636" spans="1:28" x14ac:dyDescent="0.25">
      <c r="A636" t="s">
        <v>640</v>
      </c>
      <c r="B636">
        <v>0.99193492352474899</v>
      </c>
      <c r="C636">
        <v>1.0570756899287801</v>
      </c>
      <c r="D636">
        <v>0.69529714174606405</v>
      </c>
      <c r="E636">
        <v>0.56501270327429298</v>
      </c>
      <c r="F636">
        <v>0.26778168913143002</v>
      </c>
      <c r="G636">
        <v>0.17281509083254501</v>
      </c>
      <c r="H636">
        <v>0.126117673507948</v>
      </c>
      <c r="I636">
        <v>0.177615646071523</v>
      </c>
      <c r="J636">
        <v>0.205367226092525</v>
      </c>
      <c r="K636">
        <v>0.278862473802864</v>
      </c>
      <c r="L636">
        <v>1027.2844504147399</v>
      </c>
      <c r="M636">
        <v>21.226270570352799</v>
      </c>
      <c r="N636">
        <v>49.468174385177299</v>
      </c>
      <c r="O636">
        <v>47.973422770069597</v>
      </c>
      <c r="P636">
        <v>-9.0234876605575803E-2</v>
      </c>
      <c r="Q636">
        <v>0.18426273146642599</v>
      </c>
      <c r="R636">
        <v>0.96040710186811096</v>
      </c>
      <c r="S636" t="s">
        <v>7306</v>
      </c>
      <c r="T636" t="s">
        <v>13338</v>
      </c>
      <c r="U636" t="s">
        <v>13338</v>
      </c>
      <c r="V636" t="s">
        <v>13338</v>
      </c>
      <c r="W636" t="s">
        <v>13966</v>
      </c>
      <c r="X636">
        <v>8</v>
      </c>
      <c r="Y636" t="s">
        <v>20571</v>
      </c>
      <c r="Z636" t="s">
        <v>27051</v>
      </c>
      <c r="AA636">
        <v>0.42274735673846198</v>
      </c>
      <c r="AB636" t="str">
        <f>HYPERLINK("Melting_Curves/meltCurve_F5H0Q6_CLASRP.pdf", "Melting_Curves/meltCurve_F5H0Q6_CLASRP.pdf")</f>
        <v>Melting_Curves/meltCurve_F5H0Q6_CLASRP.pdf</v>
      </c>
    </row>
    <row r="637" spans="1:28" x14ac:dyDescent="0.25">
      <c r="A637" t="s">
        <v>641</v>
      </c>
      <c r="B637">
        <v>0.99193492352474899</v>
      </c>
      <c r="C637">
        <v>0.873552730597838</v>
      </c>
      <c r="D637">
        <v>0.38398316228416601</v>
      </c>
      <c r="E637">
        <v>0.144159041933903</v>
      </c>
      <c r="F637">
        <v>9.5036865328730402E-2</v>
      </c>
      <c r="G637">
        <v>5.3934795202279999E-2</v>
      </c>
      <c r="H637">
        <v>4.0787778897209498E-2</v>
      </c>
      <c r="I637">
        <v>4.2068860547441897E-2</v>
      </c>
      <c r="J637">
        <v>5.2801788829103899E-2</v>
      </c>
      <c r="K637">
        <v>3.6051042518563003E-2</v>
      </c>
      <c r="L637">
        <v>1443.0944628207301</v>
      </c>
      <c r="M637">
        <v>31.915250174128499</v>
      </c>
      <c r="N637">
        <v>45.3847783630058</v>
      </c>
      <c r="O637">
        <v>45.040045186041397</v>
      </c>
      <c r="P637">
        <v>-0.16726176326188899</v>
      </c>
      <c r="Q637">
        <v>5.58195908279552E-2</v>
      </c>
      <c r="R637">
        <v>0.99688551056749997</v>
      </c>
      <c r="S637" t="s">
        <v>7307</v>
      </c>
      <c r="T637" t="s">
        <v>13338</v>
      </c>
      <c r="U637" t="s">
        <v>13338</v>
      </c>
      <c r="V637" t="s">
        <v>13338</v>
      </c>
      <c r="W637" t="s">
        <v>13967</v>
      </c>
      <c r="X637">
        <v>10</v>
      </c>
      <c r="Y637" t="s">
        <v>20572</v>
      </c>
      <c r="Z637" t="s">
        <v>27052</v>
      </c>
      <c r="AA637">
        <v>0.22516617379012829</v>
      </c>
      <c r="AB637" t="str">
        <f>HYPERLINK("Melting_Curves/meltCurve_F5H0R1_TUT1.pdf", "Melting_Curves/meltCurve_F5H0R1_TUT1.pdf")</f>
        <v>Melting_Curves/meltCurve_F5H0R1_TUT1.pdf</v>
      </c>
    </row>
    <row r="638" spans="1:28" x14ac:dyDescent="0.25">
      <c r="A638" t="s">
        <v>642</v>
      </c>
      <c r="B638">
        <v>0.99193492352474899</v>
      </c>
      <c r="C638">
        <v>0.93913511432428098</v>
      </c>
      <c r="D638">
        <v>0.96076055480002398</v>
      </c>
      <c r="E638">
        <v>0.63905524542675396</v>
      </c>
      <c r="F638">
        <v>0.44297824059056401</v>
      </c>
      <c r="G638">
        <v>9.6968241010655806E-2</v>
      </c>
      <c r="H638">
        <v>8.2034977995218597E-2</v>
      </c>
      <c r="I638">
        <v>6.1792377052828897E-2</v>
      </c>
      <c r="J638">
        <v>4.8122542773207197E-2</v>
      </c>
      <c r="K638">
        <v>3.9774930563904402E-2</v>
      </c>
      <c r="L638">
        <v>1004.56230357544</v>
      </c>
      <c r="M638">
        <v>19.4929487498401</v>
      </c>
      <c r="N638">
        <v>51.698178852135499</v>
      </c>
      <c r="O638">
        <v>51.001474137133798</v>
      </c>
      <c r="P638">
        <v>-9.2697454672489299E-2</v>
      </c>
      <c r="Q638">
        <v>2.9898113159301101E-2</v>
      </c>
      <c r="R638">
        <v>0.98929928171715098</v>
      </c>
      <c r="S638" t="s">
        <v>7308</v>
      </c>
      <c r="T638" t="s">
        <v>13338</v>
      </c>
      <c r="U638" t="s">
        <v>13338</v>
      </c>
      <c r="V638" t="s">
        <v>13338</v>
      </c>
      <c r="W638" t="s">
        <v>13968</v>
      </c>
      <c r="X638">
        <v>3</v>
      </c>
      <c r="Y638" t="s">
        <v>20573</v>
      </c>
      <c r="Z638" t="s">
        <v>27053</v>
      </c>
      <c r="AA638">
        <v>0.41698194687332552</v>
      </c>
      <c r="AB638" t="str">
        <f>HYPERLINK("Melting_Curves/meltCurve_F5H148_RRN3.pdf", "Melting_Curves/meltCurve_F5H148_RRN3.pdf")</f>
        <v>Melting_Curves/meltCurve_F5H148_RRN3.pdf</v>
      </c>
    </row>
    <row r="639" spans="1:28" x14ac:dyDescent="0.25">
      <c r="A639" t="s">
        <v>643</v>
      </c>
      <c r="B639">
        <v>0.99193492352474899</v>
      </c>
      <c r="C639">
        <v>0.73068506459386895</v>
      </c>
      <c r="D639">
        <v>0.65761109056684597</v>
      </c>
      <c r="E639">
        <v>0.3445026257921</v>
      </c>
      <c r="F639">
        <v>0.31217206225277699</v>
      </c>
      <c r="G639">
        <v>0.129840623176012</v>
      </c>
      <c r="H639">
        <v>7.3062402346565497E-2</v>
      </c>
      <c r="I639">
        <v>6.01259338269651E-2</v>
      </c>
      <c r="J639">
        <v>9.3583890002207196E-2</v>
      </c>
      <c r="K639">
        <v>8.3604576916022993E-2</v>
      </c>
      <c r="L639">
        <v>610.18445346858698</v>
      </c>
      <c r="M639">
        <v>12.8768382201857</v>
      </c>
      <c r="N639">
        <v>47.792579544405498</v>
      </c>
      <c r="O639">
        <v>46.2870098320765</v>
      </c>
      <c r="P639">
        <v>-6.5954407077099902E-2</v>
      </c>
      <c r="Q639">
        <v>5.1856479276232798E-2</v>
      </c>
      <c r="R639">
        <v>0.97704493769614098</v>
      </c>
      <c r="S639" t="s">
        <v>7309</v>
      </c>
      <c r="T639" t="s">
        <v>13338</v>
      </c>
      <c r="U639" t="s">
        <v>13338</v>
      </c>
      <c r="V639" t="s">
        <v>13338</v>
      </c>
      <c r="W639" t="s">
        <v>13393</v>
      </c>
      <c r="X639">
        <v>5</v>
      </c>
      <c r="Y639" t="s">
        <v>20574</v>
      </c>
      <c r="Z639" t="s">
        <v>27054</v>
      </c>
      <c r="AA639">
        <v>0.31926445338956078</v>
      </c>
      <c r="AB639" t="str">
        <f>HYPERLINK("Melting_Curves/meltCurve_F5H1D6_POLE.pdf", "Melting_Curves/meltCurve_F5H1D6_POLE.pdf")</f>
        <v>Melting_Curves/meltCurve_F5H1D6_POLE.pdf</v>
      </c>
    </row>
    <row r="640" spans="1:28" x14ac:dyDescent="0.25">
      <c r="A640" t="s">
        <v>644</v>
      </c>
      <c r="B640">
        <v>0.99193492352474899</v>
      </c>
      <c r="C640">
        <v>1.10188880975431</v>
      </c>
      <c r="D640">
        <v>0.91847871015150495</v>
      </c>
      <c r="E640">
        <v>0.85755246069750402</v>
      </c>
      <c r="F640">
        <v>0.68280552599750899</v>
      </c>
      <c r="G640">
        <v>0.44142661499119201</v>
      </c>
      <c r="H640">
        <v>0.29295864793725701</v>
      </c>
      <c r="I640">
        <v>0.44609517589239001</v>
      </c>
      <c r="J640">
        <v>0.34880753673639497</v>
      </c>
      <c r="K640">
        <v>0.37920900266270802</v>
      </c>
      <c r="L640">
        <v>1222.8870150006801</v>
      </c>
      <c r="M640">
        <v>23.197186897128802</v>
      </c>
      <c r="N640">
        <v>55.714289845374502</v>
      </c>
      <c r="O640">
        <v>52.329957395620902</v>
      </c>
      <c r="P640">
        <v>-7.1320454842342604E-2</v>
      </c>
      <c r="Q640">
        <v>0.35645147791873499</v>
      </c>
      <c r="R640">
        <v>0.96045616082698304</v>
      </c>
      <c r="S640" t="s">
        <v>7310</v>
      </c>
      <c r="T640" t="s">
        <v>13338</v>
      </c>
      <c r="U640" t="s">
        <v>13338</v>
      </c>
      <c r="V640" t="s">
        <v>13338</v>
      </c>
      <c r="W640" t="s">
        <v>13969</v>
      </c>
      <c r="X640">
        <v>6</v>
      </c>
      <c r="Y640" t="s">
        <v>20575</v>
      </c>
      <c r="Z640" t="s">
        <v>27055</v>
      </c>
      <c r="AA640">
        <v>0.63605334089446841</v>
      </c>
      <c r="AB640" t="str">
        <f>HYPERLINK("Melting_Curves/meltCurve_F5H1F3_FBLN2.pdf", "Melting_Curves/meltCurve_F5H1F3_FBLN2.pdf")</f>
        <v>Melting_Curves/meltCurve_F5H1F3_FBLN2.pdf</v>
      </c>
    </row>
    <row r="641" spans="1:28" x14ac:dyDescent="0.25">
      <c r="A641" t="s">
        <v>645</v>
      </c>
      <c r="B641">
        <v>0.99193492352474899</v>
      </c>
      <c r="C641">
        <v>0.73948933478107104</v>
      </c>
      <c r="D641">
        <v>0.75255195446208401</v>
      </c>
      <c r="E641">
        <v>0.39219556023709901</v>
      </c>
      <c r="F641">
        <v>0.14824113537147199</v>
      </c>
      <c r="G641">
        <v>8.9049377244543398E-2</v>
      </c>
      <c r="H641">
        <v>5.7440790366868902E-2</v>
      </c>
      <c r="I641">
        <v>8.5656531351953599E-2</v>
      </c>
      <c r="J641">
        <v>9.0433028700693793E-2</v>
      </c>
      <c r="K641">
        <v>0.118935549932865</v>
      </c>
      <c r="L641">
        <v>806.972961234011</v>
      </c>
      <c r="M641">
        <v>16.952633274007599</v>
      </c>
      <c r="N641">
        <v>47.9906956037984</v>
      </c>
      <c r="O641">
        <v>46.954077873026797</v>
      </c>
      <c r="P641">
        <v>-8.4471772547818499E-2</v>
      </c>
      <c r="Q641">
        <v>6.4205474194271694E-2</v>
      </c>
      <c r="R641">
        <v>0.969531370686739</v>
      </c>
      <c r="S641" t="s">
        <v>7311</v>
      </c>
      <c r="T641" t="s">
        <v>13338</v>
      </c>
      <c r="U641" t="s">
        <v>13338</v>
      </c>
      <c r="V641" t="s">
        <v>13338</v>
      </c>
      <c r="W641" t="s">
        <v>13970</v>
      </c>
      <c r="X641">
        <v>9</v>
      </c>
      <c r="Y641" t="s">
        <v>20576</v>
      </c>
      <c r="Z641" t="s">
        <v>27056</v>
      </c>
      <c r="AA641">
        <v>0.32042079711535743</v>
      </c>
      <c r="AB641" t="str">
        <f>HYPERLINK("Melting_Curves/meltCurve_F5H1G9_ABI1.pdf", "Melting_Curves/meltCurve_F5H1G9_ABI1.pdf")</f>
        <v>Melting_Curves/meltCurve_F5H1G9_ABI1.pdf</v>
      </c>
    </row>
    <row r="642" spans="1:28" x14ac:dyDescent="0.25">
      <c r="A642" t="s">
        <v>646</v>
      </c>
      <c r="B642">
        <v>0.99193492352474899</v>
      </c>
      <c r="C642">
        <v>0.95455596064391801</v>
      </c>
      <c r="D642">
        <v>0.82290408025871398</v>
      </c>
      <c r="E642">
        <v>0.70994090538662802</v>
      </c>
      <c r="F642">
        <v>0.507466764928868</v>
      </c>
      <c r="G642">
        <v>0.39301598891039202</v>
      </c>
      <c r="H642">
        <v>0.22099247334760999</v>
      </c>
      <c r="I642">
        <v>0.30797462589804098</v>
      </c>
      <c r="J642">
        <v>0.22892012379323001</v>
      </c>
      <c r="K642">
        <v>0.28784448195443701</v>
      </c>
      <c r="L642">
        <v>717.69508785021105</v>
      </c>
      <c r="M642">
        <v>14.095692018848601</v>
      </c>
      <c r="N642">
        <v>53.243620508726799</v>
      </c>
      <c r="O642">
        <v>49.923994129315503</v>
      </c>
      <c r="P642">
        <v>-5.4357104320117797E-2</v>
      </c>
      <c r="Q642">
        <v>0.23001322173640601</v>
      </c>
      <c r="R642">
        <v>0.984750706933057</v>
      </c>
      <c r="S642" t="s">
        <v>7312</v>
      </c>
      <c r="T642" t="s">
        <v>13338</v>
      </c>
      <c r="U642" t="s">
        <v>13338</v>
      </c>
      <c r="V642" t="s">
        <v>13338</v>
      </c>
      <c r="W642" t="s">
        <v>13971</v>
      </c>
      <c r="X642">
        <v>3</v>
      </c>
      <c r="Y642" t="s">
        <v>20577</v>
      </c>
      <c r="Z642" t="s">
        <v>27057</v>
      </c>
      <c r="AA642">
        <v>0.52993012541575102</v>
      </c>
      <c r="AB642" t="str">
        <f>HYPERLINK("Melting_Curves/meltCurve_F5H1I4_HELB.pdf", "Melting_Curves/meltCurve_F5H1I4_HELB.pdf")</f>
        <v>Melting_Curves/meltCurve_F5H1I4_HELB.pdf</v>
      </c>
    </row>
    <row r="643" spans="1:28" x14ac:dyDescent="0.25">
      <c r="A643" t="s">
        <v>647</v>
      </c>
      <c r="B643">
        <v>0.99193492352474899</v>
      </c>
      <c r="C643">
        <v>1.15470300055428</v>
      </c>
      <c r="D643">
        <v>0.65005452365153105</v>
      </c>
      <c r="E643">
        <v>0.77878421055453195</v>
      </c>
      <c r="F643">
        <v>0.57104439865876799</v>
      </c>
      <c r="G643">
        <v>0.308169742855122</v>
      </c>
      <c r="H643">
        <v>0.211727888150338</v>
      </c>
      <c r="I643">
        <v>0.20099866637545699</v>
      </c>
      <c r="J643">
        <v>0.20059435939338999</v>
      </c>
      <c r="K643">
        <v>0.18563470596772999</v>
      </c>
      <c r="L643">
        <v>697.21645960961905</v>
      </c>
      <c r="M643">
        <v>13.3715949867132</v>
      </c>
      <c r="N643">
        <v>53.439775288752003</v>
      </c>
      <c r="O643">
        <v>51.016832616457002</v>
      </c>
      <c r="P643">
        <v>-5.6447767984000398E-2</v>
      </c>
      <c r="Q643">
        <v>0.13867252683140999</v>
      </c>
      <c r="R643">
        <v>0.91105966816352901</v>
      </c>
      <c r="S643" t="s">
        <v>7313</v>
      </c>
      <c r="T643" t="s">
        <v>13338</v>
      </c>
      <c r="U643" t="s">
        <v>13338</v>
      </c>
      <c r="V643" t="s">
        <v>13338</v>
      </c>
      <c r="W643" t="s">
        <v>13972</v>
      </c>
      <c r="X643">
        <v>6</v>
      </c>
      <c r="Y643" t="s">
        <v>20578</v>
      </c>
      <c r="Z643" t="s">
        <v>27058</v>
      </c>
      <c r="AA643">
        <v>0.50989565695518801</v>
      </c>
      <c r="AB643" t="str">
        <f>HYPERLINK("Melting_Curves/meltCurve_F5H1L4_TXNRD2.pdf", "Melting_Curves/meltCurve_F5H1L4_TXNRD2.pdf")</f>
        <v>Melting_Curves/meltCurve_F5H1L4_TXNRD2.pdf</v>
      </c>
    </row>
    <row r="644" spans="1:28" x14ac:dyDescent="0.25">
      <c r="A644" t="s">
        <v>648</v>
      </c>
      <c r="B644">
        <v>0.99193492352474899</v>
      </c>
      <c r="C644">
        <v>0.80731148872290703</v>
      </c>
      <c r="D644">
        <v>0.79945400753124596</v>
      </c>
      <c r="E644">
        <v>0.55989452467729495</v>
      </c>
      <c r="F644">
        <v>0.45091642824371603</v>
      </c>
      <c r="G644">
        <v>0.29658546105754202</v>
      </c>
      <c r="H644">
        <v>0.24618867499105301</v>
      </c>
      <c r="I644">
        <v>0.362021991978483</v>
      </c>
      <c r="J644">
        <v>0.52397766112762101</v>
      </c>
      <c r="K644">
        <v>0.693983598910073</v>
      </c>
      <c r="L644">
        <v>926.34094794465204</v>
      </c>
      <c r="M644">
        <v>19.980299046282699</v>
      </c>
      <c r="N644">
        <v>51.1642620287138</v>
      </c>
      <c r="O644">
        <v>45.905786367900198</v>
      </c>
      <c r="P644">
        <v>-6.2750619762682106E-2</v>
      </c>
      <c r="Q644">
        <v>0.42332746684421002</v>
      </c>
      <c r="R644">
        <v>0.71544176132192905</v>
      </c>
      <c r="S644" t="s">
        <v>7314</v>
      </c>
      <c r="T644" t="s">
        <v>13338</v>
      </c>
      <c r="U644" t="s">
        <v>13338</v>
      </c>
      <c r="V644" t="s">
        <v>13338</v>
      </c>
      <c r="W644" t="s">
        <v>13973</v>
      </c>
      <c r="X644">
        <v>13</v>
      </c>
      <c r="Y644" t="s">
        <v>20579</v>
      </c>
      <c r="Z644" t="s">
        <v>27059</v>
      </c>
      <c r="AA644">
        <v>0.55436289214695</v>
      </c>
      <c r="AB644" t="str">
        <f>HYPERLINK("Melting_Curves/meltCurve_F5H1N7_KIAA1211.pdf", "Melting_Curves/meltCurve_F5H1N7_KIAA1211.pdf")</f>
        <v>Melting_Curves/meltCurve_F5H1N7_KIAA1211.pdf</v>
      </c>
    </row>
    <row r="645" spans="1:28" x14ac:dyDescent="0.25">
      <c r="A645" t="s">
        <v>649</v>
      </c>
      <c r="B645">
        <v>0.99193492352474899</v>
      </c>
      <c r="C645">
        <v>0.93827353445763295</v>
      </c>
      <c r="D645">
        <v>0.85874516966064396</v>
      </c>
      <c r="E645">
        <v>0.75116834857485604</v>
      </c>
      <c r="F645">
        <v>0.52630773081827598</v>
      </c>
      <c r="G645">
        <v>0.306178022703533</v>
      </c>
      <c r="H645">
        <v>0.27543398563114602</v>
      </c>
      <c r="I645">
        <v>0.32850064751324298</v>
      </c>
      <c r="J645">
        <v>0.43690266480060103</v>
      </c>
      <c r="K645">
        <v>0.52200014224709901</v>
      </c>
      <c r="L645">
        <v>1127.6588183021599</v>
      </c>
      <c r="M645">
        <v>22.591405042429599</v>
      </c>
      <c r="N645">
        <v>53.103698189749998</v>
      </c>
      <c r="O645">
        <v>49.529217345931201</v>
      </c>
      <c r="P645">
        <v>-7.1703641167778706E-2</v>
      </c>
      <c r="Q645">
        <v>0.37120265910503703</v>
      </c>
      <c r="R645">
        <v>0.91007726550050305</v>
      </c>
      <c r="S645" t="s">
        <v>7315</v>
      </c>
      <c r="T645" t="s">
        <v>13338</v>
      </c>
      <c r="U645" t="s">
        <v>13338</v>
      </c>
      <c r="V645" t="s">
        <v>13338</v>
      </c>
      <c r="W645" t="s">
        <v>13974</v>
      </c>
      <c r="X645">
        <v>4</v>
      </c>
      <c r="Y645" t="s">
        <v>20580</v>
      </c>
      <c r="Z645" t="s">
        <v>27060</v>
      </c>
      <c r="AA645">
        <v>0.58590928652120366</v>
      </c>
      <c r="AB645" t="str">
        <f>HYPERLINK("Melting_Curves/meltCurve_F5H1R7_FLJ22184.pdf", "Melting_Curves/meltCurve_F5H1R7_FLJ22184.pdf")</f>
        <v>Melting_Curves/meltCurve_F5H1R7_FLJ22184.pdf</v>
      </c>
    </row>
    <row r="646" spans="1:28" x14ac:dyDescent="0.25">
      <c r="A646" t="s">
        <v>650</v>
      </c>
      <c r="B646">
        <v>0.99193492352474899</v>
      </c>
      <c r="C646">
        <v>0.97781243726645894</v>
      </c>
      <c r="D646">
        <v>0.840899142449549</v>
      </c>
      <c r="E646">
        <v>0.53745195072156804</v>
      </c>
      <c r="F646">
        <v>0.30799478826513399</v>
      </c>
      <c r="G646">
        <v>0.19223632103336899</v>
      </c>
      <c r="H646">
        <v>0.13635481059582699</v>
      </c>
      <c r="I646">
        <v>0.13832574434599701</v>
      </c>
      <c r="J646">
        <v>0.148613860730403</v>
      </c>
      <c r="K646">
        <v>0.16767812061753801</v>
      </c>
      <c r="L646">
        <v>1033.26139184623</v>
      </c>
      <c r="M646">
        <v>20.959901134216601</v>
      </c>
      <c r="N646">
        <v>50.0997576769823</v>
      </c>
      <c r="O646">
        <v>48.854918129759099</v>
      </c>
      <c r="P646">
        <v>-9.1961152004843602E-2</v>
      </c>
      <c r="Q646">
        <v>0.14262359104185901</v>
      </c>
      <c r="R646">
        <v>0.99864544312061598</v>
      </c>
      <c r="S646" t="s">
        <v>7316</v>
      </c>
      <c r="T646" t="s">
        <v>13338</v>
      </c>
      <c r="U646" t="s">
        <v>13338</v>
      </c>
      <c r="V646" t="s">
        <v>13338</v>
      </c>
      <c r="W646" t="s">
        <v>13975</v>
      </c>
      <c r="X646">
        <v>5</v>
      </c>
      <c r="Y646" t="s">
        <v>20581</v>
      </c>
      <c r="Z646" t="s">
        <v>27061</v>
      </c>
      <c r="AA646">
        <v>0.41922689549924269</v>
      </c>
      <c r="AB646" t="str">
        <f>HYPERLINK("Melting_Curves/meltCurve_F5H1Z6_STARD10.pdf", "Melting_Curves/meltCurve_F5H1Z6_STARD10.pdf")</f>
        <v>Melting_Curves/meltCurve_F5H1Z6_STARD10.pdf</v>
      </c>
    </row>
    <row r="647" spans="1:28" x14ac:dyDescent="0.25">
      <c r="A647" t="s">
        <v>651</v>
      </c>
      <c r="B647">
        <v>0.99193492352474899</v>
      </c>
      <c r="C647">
        <v>1.17844006401073</v>
      </c>
      <c r="D647">
        <v>1.2620690033064199</v>
      </c>
      <c r="E647">
        <v>1.1567491714657101</v>
      </c>
      <c r="F647">
        <v>0.84857603301111695</v>
      </c>
      <c r="G647">
        <v>0.67155564111300103</v>
      </c>
      <c r="H647">
        <v>0.38198367395633798</v>
      </c>
      <c r="I647">
        <v>0.25676360295388201</v>
      </c>
      <c r="J647">
        <v>0.18944625983767799</v>
      </c>
      <c r="K647">
        <v>0.180176306462866</v>
      </c>
      <c r="L647">
        <v>1389.4907279265601</v>
      </c>
      <c r="M647">
        <v>24.029375907177499</v>
      </c>
      <c r="N647">
        <v>58.860935505605397</v>
      </c>
      <c r="O647">
        <v>57.428654951077299</v>
      </c>
      <c r="P647">
        <v>-8.6564854319849893E-2</v>
      </c>
      <c r="Q647">
        <v>0.17247539553313199</v>
      </c>
      <c r="R647">
        <v>0.919933152281453</v>
      </c>
      <c r="S647" t="s">
        <v>7317</v>
      </c>
      <c r="T647" t="s">
        <v>13338</v>
      </c>
      <c r="U647" t="s">
        <v>13338</v>
      </c>
      <c r="V647" t="s">
        <v>13338</v>
      </c>
      <c r="W647" t="s">
        <v>13976</v>
      </c>
      <c r="X647">
        <v>3</v>
      </c>
      <c r="Y647" t="s">
        <v>20582</v>
      </c>
      <c r="Z647" t="s">
        <v>27062</v>
      </c>
      <c r="AA647">
        <v>0.67181711546598832</v>
      </c>
      <c r="AB647" t="str">
        <f>HYPERLINK("Melting_Curves/meltCurve_F5H254_TMEM135.pdf", "Melting_Curves/meltCurve_F5H254_TMEM135.pdf")</f>
        <v>Melting_Curves/meltCurve_F5H254_TMEM135.pdf</v>
      </c>
    </row>
    <row r="648" spans="1:28" x14ac:dyDescent="0.25">
      <c r="A648" t="s">
        <v>652</v>
      </c>
      <c r="B648">
        <v>0.99193492352474899</v>
      </c>
      <c r="C648">
        <v>0.93420392688211795</v>
      </c>
      <c r="D648">
        <v>0.97272756289993401</v>
      </c>
      <c r="E648">
        <v>0.61063590156042602</v>
      </c>
      <c r="F648">
        <v>0.33759682432551702</v>
      </c>
      <c r="G648">
        <v>0.14947583206273099</v>
      </c>
      <c r="H648">
        <v>4.5199521197961397E-2</v>
      </c>
      <c r="I648">
        <v>6.4992847094630907E-2</v>
      </c>
      <c r="J648">
        <v>7.4689179899942296E-2</v>
      </c>
      <c r="K648">
        <v>6.7351689759550804E-2</v>
      </c>
      <c r="L648">
        <v>1110.1711301063599</v>
      </c>
      <c r="M648">
        <v>21.858150611146701</v>
      </c>
      <c r="N648">
        <v>51.071078729285503</v>
      </c>
      <c r="O648">
        <v>50.370429583779298</v>
      </c>
      <c r="P648">
        <v>-0.102337013819253</v>
      </c>
      <c r="Q648">
        <v>5.6710533329418798E-2</v>
      </c>
      <c r="R648">
        <v>0.99349696639146301</v>
      </c>
      <c r="S648" t="s">
        <v>7318</v>
      </c>
      <c r="T648" t="s">
        <v>13338</v>
      </c>
      <c r="U648" t="s">
        <v>13338</v>
      </c>
      <c r="V648" t="s">
        <v>13338</v>
      </c>
      <c r="W648" t="s">
        <v>13977</v>
      </c>
      <c r="X648">
        <v>1</v>
      </c>
      <c r="Y648" t="s">
        <v>20583</v>
      </c>
      <c r="Z648" t="s">
        <v>27063</v>
      </c>
      <c r="AA648">
        <v>0.40702985562998378</v>
      </c>
      <c r="AB648" t="str">
        <f>HYPERLINK("Melting_Curves/meltCurve_F5H2A8_SYT10.pdf", "Melting_Curves/meltCurve_F5H2A8_SYT10.pdf")</f>
        <v>Melting_Curves/meltCurve_F5H2A8_SYT10.pdf</v>
      </c>
    </row>
    <row r="649" spans="1:28" x14ac:dyDescent="0.25">
      <c r="A649" t="s">
        <v>653</v>
      </c>
      <c r="B649">
        <v>0.99193492352474899</v>
      </c>
      <c r="C649">
        <v>0.64178003317990595</v>
      </c>
      <c r="D649">
        <v>0.27325448189399099</v>
      </c>
      <c r="E649">
        <v>0.211040679075816</v>
      </c>
      <c r="F649">
        <v>0.109958456506335</v>
      </c>
      <c r="G649">
        <v>6.94127864142349E-2</v>
      </c>
      <c r="H649">
        <v>4.5451631942841401E-2</v>
      </c>
      <c r="I649">
        <v>7.1008801474717706E-2</v>
      </c>
      <c r="J649">
        <v>7.2820058099219306E-2</v>
      </c>
      <c r="K649">
        <v>8.6105014966242399E-2</v>
      </c>
      <c r="L649">
        <v>1143.9300649856</v>
      </c>
      <c r="M649">
        <v>26.114202026974201</v>
      </c>
      <c r="N649">
        <v>44.118014820404397</v>
      </c>
      <c r="O649">
        <v>43.550433245403198</v>
      </c>
      <c r="P649">
        <v>-0.137228874751505</v>
      </c>
      <c r="Q649">
        <v>8.45883299652153E-2</v>
      </c>
      <c r="R649">
        <v>0.98378714605621997</v>
      </c>
      <c r="S649" t="s">
        <v>7319</v>
      </c>
      <c r="T649" t="s">
        <v>13338</v>
      </c>
      <c r="U649" t="s">
        <v>13338</v>
      </c>
      <c r="V649" t="s">
        <v>13338</v>
      </c>
      <c r="W649" t="s">
        <v>13978</v>
      </c>
      <c r="X649">
        <v>5</v>
      </c>
      <c r="Y649" t="s">
        <v>20584</v>
      </c>
      <c r="Z649" t="s">
        <v>27064</v>
      </c>
      <c r="AA649">
        <v>0.2104647230434353</v>
      </c>
      <c r="AB649" t="str">
        <f>HYPERLINK("Melting_Curves/meltCurve_F5H2H5_ANKLE2.pdf", "Melting_Curves/meltCurve_F5H2H5_ANKLE2.pdf")</f>
        <v>Melting_Curves/meltCurve_F5H2H5_ANKLE2.pdf</v>
      </c>
    </row>
    <row r="650" spans="1:28" x14ac:dyDescent="0.25">
      <c r="A650" t="s">
        <v>654</v>
      </c>
      <c r="B650">
        <v>0.99193492352474899</v>
      </c>
      <c r="C650">
        <v>0.97954924616704298</v>
      </c>
      <c r="D650">
        <v>0.834320460437184</v>
      </c>
      <c r="E650">
        <v>0.93096695975219101</v>
      </c>
      <c r="F650">
        <v>0.75888121396277997</v>
      </c>
      <c r="G650">
        <v>0.41460239600507998</v>
      </c>
      <c r="H650">
        <v>0.27906511229859399</v>
      </c>
      <c r="I650">
        <v>0.162759286136024</v>
      </c>
      <c r="J650">
        <v>8.24386803974273E-2</v>
      </c>
      <c r="K650">
        <v>0.109007501753245</v>
      </c>
      <c r="L650">
        <v>925.03659089159999</v>
      </c>
      <c r="M650">
        <v>16.552363191040499</v>
      </c>
      <c r="N650">
        <v>56.291864050529902</v>
      </c>
      <c r="O650">
        <v>55.088878974781899</v>
      </c>
      <c r="P650">
        <v>-7.0891127248513305E-2</v>
      </c>
      <c r="Q650">
        <v>5.6317305775518897E-2</v>
      </c>
      <c r="R650">
        <v>0.97894068430442505</v>
      </c>
      <c r="S650" t="s">
        <v>7320</v>
      </c>
      <c r="T650" t="s">
        <v>13338</v>
      </c>
      <c r="U650" t="s">
        <v>13338</v>
      </c>
      <c r="V650" t="s">
        <v>13338</v>
      </c>
      <c r="W650" t="s">
        <v>13979</v>
      </c>
      <c r="X650">
        <v>1</v>
      </c>
      <c r="Y650" t="s">
        <v>20585</v>
      </c>
      <c r="Z650" t="s">
        <v>27065</v>
      </c>
      <c r="AA650">
        <v>0.57139968448131884</v>
      </c>
      <c r="AB650" t="str">
        <f>HYPERLINK("Melting_Curves/meltCurve_F5H2J3_VMP1.pdf", "Melting_Curves/meltCurve_F5H2J3_VMP1.pdf")</f>
        <v>Melting_Curves/meltCurve_F5H2J3_VMP1.pdf</v>
      </c>
    </row>
    <row r="651" spans="1:28" x14ac:dyDescent="0.25">
      <c r="A651" t="s">
        <v>655</v>
      </c>
      <c r="B651">
        <v>0.99193492352474899</v>
      </c>
      <c r="C651">
        <v>0.92261619913071202</v>
      </c>
      <c r="D651">
        <v>0.94467675730869405</v>
      </c>
      <c r="E651">
        <v>0.70004966157087301</v>
      </c>
      <c r="F651">
        <v>0.600299017501152</v>
      </c>
      <c r="G651">
        <v>0.41148706842724703</v>
      </c>
      <c r="H651">
        <v>0.29519270151758098</v>
      </c>
      <c r="I651">
        <v>0.29424611556890601</v>
      </c>
      <c r="J651">
        <v>0.40783932959653502</v>
      </c>
      <c r="K651">
        <v>0.46819790219542501</v>
      </c>
      <c r="L651">
        <v>966.76448720436304</v>
      </c>
      <c r="M651">
        <v>19.1371035072337</v>
      </c>
      <c r="N651">
        <v>54.130170366600503</v>
      </c>
      <c r="O651">
        <v>49.9758818229068</v>
      </c>
      <c r="P651">
        <v>-6.1215226363753102E-2</v>
      </c>
      <c r="Q651">
        <v>0.36057901556209099</v>
      </c>
      <c r="R651">
        <v>0.94503617519753103</v>
      </c>
      <c r="S651" t="s">
        <v>7321</v>
      </c>
      <c r="T651" t="s">
        <v>13338</v>
      </c>
      <c r="U651" t="s">
        <v>13338</v>
      </c>
      <c r="V651" t="s">
        <v>13338</v>
      </c>
      <c r="W651" t="s">
        <v>13980</v>
      </c>
      <c r="X651">
        <v>10</v>
      </c>
      <c r="Y651" t="s">
        <v>20586</v>
      </c>
      <c r="Z651" t="s">
        <v>27066</v>
      </c>
      <c r="AA651">
        <v>0.59441885100097225</v>
      </c>
      <c r="AB651" t="str">
        <f>HYPERLINK("Melting_Curves/meltCurve_F5H2Q7_KIAA1715.pdf", "Melting_Curves/meltCurve_F5H2Q7_KIAA1715.pdf")</f>
        <v>Melting_Curves/meltCurve_F5H2Q7_KIAA1715.pdf</v>
      </c>
    </row>
    <row r="652" spans="1:28" x14ac:dyDescent="0.25">
      <c r="A652" t="s">
        <v>656</v>
      </c>
      <c r="B652">
        <v>0.99193492352474899</v>
      </c>
      <c r="C652">
        <v>0.83952922360069204</v>
      </c>
      <c r="D652">
        <v>0.83047261137074302</v>
      </c>
      <c r="E652">
        <v>0.62247502526426901</v>
      </c>
      <c r="F652">
        <v>0.208406422460862</v>
      </c>
      <c r="G652">
        <v>0.12053547100247999</v>
      </c>
      <c r="H652">
        <v>8.7064043872954605E-2</v>
      </c>
      <c r="I652">
        <v>0.100681589017543</v>
      </c>
      <c r="J652">
        <v>0.121028706833648</v>
      </c>
      <c r="K652">
        <v>0.13393183115329699</v>
      </c>
      <c r="L652">
        <v>1028.7819655897499</v>
      </c>
      <c r="M652">
        <v>20.739979397994301</v>
      </c>
      <c r="N652">
        <v>50.084372461649998</v>
      </c>
      <c r="O652">
        <v>49.149545257363101</v>
      </c>
      <c r="P652">
        <v>-9.5978668312872495E-2</v>
      </c>
      <c r="Q652">
        <v>9.0225477062504306E-2</v>
      </c>
      <c r="R652">
        <v>0.97562261498703096</v>
      </c>
      <c r="S652" t="s">
        <v>7322</v>
      </c>
      <c r="T652" t="s">
        <v>13338</v>
      </c>
      <c r="U652" t="s">
        <v>13338</v>
      </c>
      <c r="V652" t="s">
        <v>13338</v>
      </c>
      <c r="W652" t="s">
        <v>13981</v>
      </c>
      <c r="X652">
        <v>26</v>
      </c>
      <c r="Y652" t="s">
        <v>20587</v>
      </c>
      <c r="Z652" t="s">
        <v>27067</v>
      </c>
      <c r="AA652">
        <v>0.3932726436127697</v>
      </c>
      <c r="AB652" t="str">
        <f>HYPERLINK("Melting_Curves/meltCurve_F5H2S7_DCTN2.pdf", "Melting_Curves/meltCurve_F5H2S7_DCTN2.pdf")</f>
        <v>Melting_Curves/meltCurve_F5H2S7_DCTN2.pdf</v>
      </c>
    </row>
    <row r="653" spans="1:28" x14ac:dyDescent="0.25">
      <c r="A653" t="s">
        <v>657</v>
      </c>
      <c r="B653">
        <v>0.99193492352474899</v>
      </c>
      <c r="C653">
        <v>0.450550820899624</v>
      </c>
      <c r="D653">
        <v>0.77496871884248297</v>
      </c>
      <c r="E653">
        <v>0.38760693765702497</v>
      </c>
      <c r="F653">
        <v>0.29757523214454501</v>
      </c>
      <c r="G653">
        <v>9.3043115886969105E-2</v>
      </c>
      <c r="H653">
        <v>6.1396882597885803E-2</v>
      </c>
      <c r="I653">
        <v>7.4961976173558403E-2</v>
      </c>
      <c r="J653">
        <v>9.2743149839327604E-2</v>
      </c>
      <c r="K653">
        <v>0.10238826777992301</v>
      </c>
      <c r="L653">
        <v>463.45682027272898</v>
      </c>
      <c r="M653">
        <v>9.7900421041755195</v>
      </c>
      <c r="N653">
        <v>47.4591691924686</v>
      </c>
      <c r="O653">
        <v>45.491190873773</v>
      </c>
      <c r="P653">
        <v>-5.3174550276709101E-2</v>
      </c>
      <c r="Q653">
        <v>1.2180045659626699E-2</v>
      </c>
      <c r="R653">
        <v>0.83991735768282005</v>
      </c>
      <c r="S653" t="s">
        <v>7323</v>
      </c>
      <c r="T653" t="s">
        <v>13338</v>
      </c>
      <c r="U653" t="s">
        <v>13338</v>
      </c>
      <c r="V653" t="s">
        <v>13338</v>
      </c>
      <c r="W653" t="s">
        <v>13982</v>
      </c>
      <c r="X653">
        <v>20</v>
      </c>
      <c r="Y653" t="s">
        <v>20588</v>
      </c>
      <c r="Z653" t="s">
        <v>27068</v>
      </c>
      <c r="AA653">
        <v>0.31091494938512793</v>
      </c>
      <c r="AB653" t="str">
        <f>HYPERLINK("Melting_Curves/meltCurve_F5H2U2_PRPF4B.pdf", "Melting_Curves/meltCurve_F5H2U2_PRPF4B.pdf")</f>
        <v>Melting_Curves/meltCurve_F5H2U2_PRPF4B.pdf</v>
      </c>
    </row>
    <row r="654" spans="1:28" x14ac:dyDescent="0.25">
      <c r="A654" t="s">
        <v>658</v>
      </c>
      <c r="B654">
        <v>0.99193492352474899</v>
      </c>
      <c r="C654">
        <v>0.714641148074173</v>
      </c>
      <c r="D654">
        <v>0.78737393255687205</v>
      </c>
      <c r="E654">
        <v>0.49755492952860803</v>
      </c>
      <c r="F654">
        <v>0.34537645054564597</v>
      </c>
      <c r="G654">
        <v>0.20439650949327601</v>
      </c>
      <c r="H654">
        <v>0.15694341213131799</v>
      </c>
      <c r="I654">
        <v>0.289627856954498</v>
      </c>
      <c r="J654">
        <v>0.359304055062588</v>
      </c>
      <c r="K654">
        <v>0.56760800135104605</v>
      </c>
      <c r="L654">
        <v>802.73726673833801</v>
      </c>
      <c r="M654">
        <v>17.321981026616299</v>
      </c>
      <c r="N654">
        <v>49.075752761005099</v>
      </c>
      <c r="O654">
        <v>45.737711301676001</v>
      </c>
      <c r="P654">
        <v>-6.5382489326782894E-2</v>
      </c>
      <c r="Q654">
        <v>0.309484573551213</v>
      </c>
      <c r="R654">
        <v>0.77644566948867799</v>
      </c>
      <c r="S654" t="s">
        <v>7324</v>
      </c>
      <c r="T654" t="s">
        <v>13338</v>
      </c>
      <c r="U654" t="s">
        <v>13338</v>
      </c>
      <c r="V654" t="s">
        <v>13338</v>
      </c>
      <c r="W654" t="s">
        <v>13983</v>
      </c>
      <c r="X654">
        <v>7</v>
      </c>
      <c r="Y654" t="s">
        <v>20589</v>
      </c>
      <c r="Z654" t="s">
        <v>27069</v>
      </c>
      <c r="AA654">
        <v>0.4698650389349453</v>
      </c>
      <c r="AB654" t="str">
        <f>HYPERLINK("Melting_Curves/meltCurve_F5H2X7_CIZ1.pdf", "Melting_Curves/meltCurve_F5H2X7_CIZ1.pdf")</f>
        <v>Melting_Curves/meltCurve_F5H2X7_CIZ1.pdf</v>
      </c>
    </row>
    <row r="655" spans="1:28" x14ac:dyDescent="0.25">
      <c r="A655" t="s">
        <v>659</v>
      </c>
      <c r="B655">
        <v>0.99193492352474899</v>
      </c>
      <c r="C655">
        <v>0.63724985225058095</v>
      </c>
      <c r="D655">
        <v>0.47261752100620802</v>
      </c>
      <c r="E655">
        <v>0.28677425183313199</v>
      </c>
      <c r="F655">
        <v>0.22836871778276599</v>
      </c>
      <c r="G655">
        <v>9.6887208924712503E-2</v>
      </c>
      <c r="H655">
        <v>6.4247333953038804E-2</v>
      </c>
      <c r="I655">
        <v>8.7823200461194698E-2</v>
      </c>
      <c r="J655">
        <v>9.6739046802621007E-2</v>
      </c>
      <c r="K655">
        <v>0.12131113845347501</v>
      </c>
      <c r="L655">
        <v>702.29088070615398</v>
      </c>
      <c r="M655">
        <v>15.5890470178123</v>
      </c>
      <c r="N655">
        <v>45.644697549734403</v>
      </c>
      <c r="O655">
        <v>44.328487082453201</v>
      </c>
      <c r="P655">
        <v>-7.9847969945948893E-2</v>
      </c>
      <c r="Q655">
        <v>9.1866993088107807E-2</v>
      </c>
      <c r="R655">
        <v>0.97116199742700005</v>
      </c>
      <c r="S655" t="s">
        <v>7325</v>
      </c>
      <c r="T655" t="s">
        <v>13338</v>
      </c>
      <c r="U655" t="s">
        <v>13338</v>
      </c>
      <c r="V655" t="s">
        <v>13338</v>
      </c>
      <c r="W655" t="s">
        <v>13984</v>
      </c>
      <c r="X655">
        <v>13</v>
      </c>
      <c r="Y655" t="s">
        <v>20590</v>
      </c>
      <c r="Z655" t="s">
        <v>27070</v>
      </c>
      <c r="AA655">
        <v>0.27148273980918047</v>
      </c>
      <c r="AB655" t="str">
        <f>HYPERLINK("Melting_Curves/meltCurve_F5H315_XAB2.pdf", "Melting_Curves/meltCurve_F5H315_XAB2.pdf")</f>
        <v>Melting_Curves/meltCurve_F5H315_XAB2.pdf</v>
      </c>
    </row>
    <row r="656" spans="1:28" x14ac:dyDescent="0.25">
      <c r="A656" t="s">
        <v>660</v>
      </c>
      <c r="B656">
        <v>0.99193492352474899</v>
      </c>
      <c r="C656">
        <v>0.90037913373161005</v>
      </c>
      <c r="D656">
        <v>0.84901579832463903</v>
      </c>
      <c r="E656">
        <v>0.44301652081082799</v>
      </c>
      <c r="F656">
        <v>0.18856528418151799</v>
      </c>
      <c r="G656">
        <v>0.102475709416862</v>
      </c>
      <c r="H656">
        <v>6.2039941796107799E-2</v>
      </c>
      <c r="I656">
        <v>7.5018600526157997E-2</v>
      </c>
      <c r="J656">
        <v>8.4360060231217601E-2</v>
      </c>
      <c r="K656">
        <v>9.6935964567383098E-2</v>
      </c>
      <c r="L656">
        <v>1156.9865609374001</v>
      </c>
      <c r="M656">
        <v>23.713698067861198</v>
      </c>
      <c r="N656">
        <v>49.126267959316998</v>
      </c>
      <c r="O656">
        <v>48.446832662957803</v>
      </c>
      <c r="P656">
        <v>-0.113199243138281</v>
      </c>
      <c r="Q656">
        <v>7.4956393752379405E-2</v>
      </c>
      <c r="R656">
        <v>0.99553208231468004</v>
      </c>
      <c r="S656" t="s">
        <v>7326</v>
      </c>
      <c r="T656" t="s">
        <v>13338</v>
      </c>
      <c r="U656" t="s">
        <v>13338</v>
      </c>
      <c r="V656" t="s">
        <v>13338</v>
      </c>
      <c r="W656" t="s">
        <v>13985</v>
      </c>
      <c r="X656">
        <v>18</v>
      </c>
      <c r="Y656" t="s">
        <v>20591</v>
      </c>
      <c r="Z656" t="s">
        <v>27071</v>
      </c>
      <c r="AA656">
        <v>0.35512267726735552</v>
      </c>
      <c r="AB656" t="str">
        <f>HYPERLINK("Melting_Curves/meltCurve_F5H365_SEC23A.pdf", "Melting_Curves/meltCurve_F5H365_SEC23A.pdf")</f>
        <v>Melting_Curves/meltCurve_F5H365_SEC23A.pdf</v>
      </c>
    </row>
    <row r="657" spans="1:28" x14ac:dyDescent="0.25">
      <c r="A657" t="s">
        <v>661</v>
      </c>
      <c r="B657">
        <v>0.99193492352474899</v>
      </c>
      <c r="C657">
        <v>0.532921918490739</v>
      </c>
      <c r="D657">
        <v>0.73219256534441302</v>
      </c>
      <c r="E657">
        <v>0.45929294184935898</v>
      </c>
      <c r="F657">
        <v>0.15347938451514201</v>
      </c>
      <c r="G657">
        <v>0.111730249646151</v>
      </c>
      <c r="H657">
        <v>0.18136904080785299</v>
      </c>
      <c r="I657">
        <v>0.51732559107445497</v>
      </c>
      <c r="J657">
        <v>0.72657789255384297</v>
      </c>
      <c r="K657">
        <v>1.1720820579362199</v>
      </c>
      <c r="L657">
        <v>4023.8197026704702</v>
      </c>
      <c r="M657">
        <v>96.638522182025397</v>
      </c>
      <c r="O657">
        <v>41.620021067998103</v>
      </c>
      <c r="P657">
        <v>-0.28638252714915602</v>
      </c>
      <c r="Q657">
        <v>0.50664615817090397</v>
      </c>
      <c r="R657">
        <v>0.18403879119675701</v>
      </c>
      <c r="S657" t="s">
        <v>7327</v>
      </c>
      <c r="T657" t="s">
        <v>13338</v>
      </c>
      <c r="U657" t="s">
        <v>13338</v>
      </c>
      <c r="V657" t="s">
        <v>13338</v>
      </c>
      <c r="W657" t="s">
        <v>13986</v>
      </c>
      <c r="X657">
        <v>1</v>
      </c>
      <c r="Y657" t="s">
        <v>20592</v>
      </c>
      <c r="Z657" t="s">
        <v>27072</v>
      </c>
      <c r="AA657">
        <v>0.53394373442379583</v>
      </c>
      <c r="AB657" t="str">
        <f>HYPERLINK("Melting_Curves/meltCurve_F5H450_FZD10.pdf", "Melting_Curves/meltCurve_F5H450_FZD10.pdf")</f>
        <v>Melting_Curves/meltCurve_F5H450_FZD10.pdf</v>
      </c>
    </row>
    <row r="658" spans="1:28" x14ac:dyDescent="0.25">
      <c r="A658" t="s">
        <v>662</v>
      </c>
      <c r="B658">
        <v>0.99193492352474899</v>
      </c>
      <c r="C658">
        <v>0.99040140117803699</v>
      </c>
      <c r="D658">
        <v>0.67144969588499404</v>
      </c>
      <c r="E658">
        <v>0.347244835512107</v>
      </c>
      <c r="F658">
        <v>0.15078496387690099</v>
      </c>
      <c r="G658">
        <v>0.105552782103927</v>
      </c>
      <c r="H658">
        <v>4.0459266581312402E-2</v>
      </c>
      <c r="I658">
        <v>6.2883041516831495E-2</v>
      </c>
      <c r="J658">
        <v>6.5883555518253395E-2</v>
      </c>
      <c r="K658">
        <v>4.2950891299432102E-2</v>
      </c>
      <c r="L658">
        <v>1063.7268770528401</v>
      </c>
      <c r="M658">
        <v>22.316892855146499</v>
      </c>
      <c r="N658">
        <v>47.928037805891101</v>
      </c>
      <c r="O658">
        <v>47.286859219311303</v>
      </c>
      <c r="P658">
        <v>-0.111180041044438</v>
      </c>
      <c r="Q658">
        <v>5.7709957159016903E-2</v>
      </c>
      <c r="R658">
        <v>0.99485275471538004</v>
      </c>
      <c r="S658" t="s">
        <v>7328</v>
      </c>
      <c r="T658" t="s">
        <v>13338</v>
      </c>
      <c r="U658" t="s">
        <v>13338</v>
      </c>
      <c r="V658" t="s">
        <v>13338</v>
      </c>
      <c r="W658" t="s">
        <v>13987</v>
      </c>
      <c r="X658">
        <v>7</v>
      </c>
      <c r="Y658" t="s">
        <v>20593</v>
      </c>
      <c r="Z658" t="s">
        <v>27073</v>
      </c>
      <c r="AA658">
        <v>0.30910849264573742</v>
      </c>
      <c r="AB658" t="str">
        <f>HYPERLINK("Melting_Curves/meltCurve_F5H4G7_KPNA6.pdf", "Melting_Curves/meltCurve_F5H4G7_KPNA6.pdf")</f>
        <v>Melting_Curves/meltCurve_F5H4G7_KPNA6.pdf</v>
      </c>
    </row>
    <row r="659" spans="1:28" x14ac:dyDescent="0.25">
      <c r="A659" t="s">
        <v>663</v>
      </c>
      <c r="B659">
        <v>0.99193492352474899</v>
      </c>
      <c r="C659">
        <v>1.1894994191194299</v>
      </c>
      <c r="D659">
        <v>0.72700351055287604</v>
      </c>
      <c r="E659">
        <v>0.66665033144442098</v>
      </c>
      <c r="F659">
        <v>0.339939659854543</v>
      </c>
      <c r="G659">
        <v>0.32198987260071898</v>
      </c>
      <c r="H659">
        <v>0.133916510781383</v>
      </c>
      <c r="I659">
        <v>0.270937754528705</v>
      </c>
      <c r="J659">
        <v>0.143574000966253</v>
      </c>
      <c r="K659">
        <v>1.2599506420145199</v>
      </c>
      <c r="L659">
        <v>1388.6372665557301</v>
      </c>
      <c r="M659">
        <v>29.199368854145298</v>
      </c>
      <c r="N659">
        <v>50.701854215796502</v>
      </c>
      <c r="O659">
        <v>47.335716634895597</v>
      </c>
      <c r="P659">
        <v>-8.9713051224675405E-2</v>
      </c>
      <c r="Q659">
        <v>0.418261340152281</v>
      </c>
      <c r="R659">
        <v>0.40107729491916599</v>
      </c>
      <c r="S659" t="s">
        <v>7329</v>
      </c>
      <c r="T659" t="s">
        <v>13338</v>
      </c>
      <c r="U659" t="s">
        <v>13338</v>
      </c>
      <c r="V659" t="s">
        <v>13338</v>
      </c>
      <c r="W659" t="s">
        <v>13988</v>
      </c>
      <c r="X659">
        <v>1</v>
      </c>
      <c r="Y659" t="s">
        <v>20594</v>
      </c>
      <c r="Z659" t="s">
        <v>27074</v>
      </c>
      <c r="AA659">
        <v>0.56849982476561867</v>
      </c>
      <c r="AB659" t="str">
        <f>HYPERLINK("Melting_Curves/meltCurve_F5H4Q5_VPS37C.pdf", "Melting_Curves/meltCurve_F5H4Q5_VPS37C.pdf")</f>
        <v>Melting_Curves/meltCurve_F5H4Q5_VPS37C.pdf</v>
      </c>
    </row>
    <row r="660" spans="1:28" x14ac:dyDescent="0.25">
      <c r="A660" t="s">
        <v>664</v>
      </c>
      <c r="B660">
        <v>0.99193492352474899</v>
      </c>
      <c r="C660">
        <v>0.70264753137024005</v>
      </c>
      <c r="D660">
        <v>0.47374277654761998</v>
      </c>
      <c r="E660">
        <v>0.167726119935794</v>
      </c>
      <c r="F660">
        <v>0.15171670967741399</v>
      </c>
      <c r="G660">
        <v>7.1187907148796803E-2</v>
      </c>
      <c r="H660">
        <v>3.8129900636847402E-2</v>
      </c>
      <c r="I660">
        <v>2.5218617358089002E-2</v>
      </c>
      <c r="J660">
        <v>2.9106888302101602E-2</v>
      </c>
      <c r="K660">
        <v>2.00825342986614E-2</v>
      </c>
      <c r="L660">
        <v>830.86761166517101</v>
      </c>
      <c r="M660">
        <v>18.3265654469552</v>
      </c>
      <c r="N660">
        <v>45.515557765118601</v>
      </c>
      <c r="O660">
        <v>44.807329398576599</v>
      </c>
      <c r="P660">
        <v>-9.8705824242345405E-2</v>
      </c>
      <c r="Q660">
        <v>3.4725752443173101E-2</v>
      </c>
      <c r="R660">
        <v>0.98834338313310799</v>
      </c>
      <c r="S660" t="s">
        <v>7330</v>
      </c>
      <c r="T660" t="s">
        <v>13338</v>
      </c>
      <c r="U660" t="s">
        <v>13338</v>
      </c>
      <c r="V660" t="s">
        <v>13338</v>
      </c>
      <c r="W660" t="s">
        <v>13989</v>
      </c>
      <c r="X660">
        <v>3</v>
      </c>
      <c r="Y660" t="s">
        <v>20595</v>
      </c>
      <c r="Z660" t="s">
        <v>27075</v>
      </c>
      <c r="AA660">
        <v>0.22572568553883349</v>
      </c>
      <c r="AB660" t="str">
        <f>HYPERLINK("Melting_Curves/meltCurve_F5H4S8_NFATC1.pdf", "Melting_Curves/meltCurve_F5H4S8_NFATC1.pdf")</f>
        <v>Melting_Curves/meltCurve_F5H4S8_NFATC1.pdf</v>
      </c>
    </row>
    <row r="661" spans="1:28" x14ac:dyDescent="0.25">
      <c r="A661" t="s">
        <v>665</v>
      </c>
      <c r="B661">
        <v>0.99193492352474899</v>
      </c>
      <c r="C661">
        <v>0.73026585464095295</v>
      </c>
      <c r="D661">
        <v>0.42034624026552098</v>
      </c>
      <c r="E661">
        <v>0.143655719547748</v>
      </c>
      <c r="F661">
        <v>8.4990416183047895E-2</v>
      </c>
      <c r="G661">
        <v>4.43451449707922E-2</v>
      </c>
      <c r="H661">
        <v>3.53241022750743E-2</v>
      </c>
      <c r="I661">
        <v>4.66316831789889E-2</v>
      </c>
      <c r="J661">
        <v>5.6949006900832398E-2</v>
      </c>
      <c r="K661">
        <v>5.9786299273554999E-2</v>
      </c>
      <c r="L661">
        <v>1017.93639689129</v>
      </c>
      <c r="M661">
        <v>22.6397271005075</v>
      </c>
      <c r="N661">
        <v>45.162401869217902</v>
      </c>
      <c r="O661">
        <v>44.6160070385233</v>
      </c>
      <c r="P661">
        <v>-0.12080979920748799</v>
      </c>
      <c r="Q661">
        <v>4.7701700792023502E-2</v>
      </c>
      <c r="R661">
        <v>0.99622276714779001</v>
      </c>
      <c r="S661" t="s">
        <v>7331</v>
      </c>
      <c r="T661" t="s">
        <v>13338</v>
      </c>
      <c r="U661" t="s">
        <v>13338</v>
      </c>
      <c r="V661" t="s">
        <v>13338</v>
      </c>
      <c r="W661" t="s">
        <v>13990</v>
      </c>
      <c r="X661">
        <v>6</v>
      </c>
      <c r="Y661" t="s">
        <v>20596</v>
      </c>
      <c r="Z661" t="s">
        <v>27076</v>
      </c>
      <c r="AA661">
        <v>0.21730636229159539</v>
      </c>
      <c r="AB661" t="str">
        <f>HYPERLINK("Melting_Curves/meltCurve_F5H4V9_PDCD2.pdf", "Melting_Curves/meltCurve_F5H4V9_PDCD2.pdf")</f>
        <v>Melting_Curves/meltCurve_F5H4V9_PDCD2.pdf</v>
      </c>
    </row>
    <row r="662" spans="1:28" x14ac:dyDescent="0.25">
      <c r="A662" t="s">
        <v>666</v>
      </c>
      <c r="B662">
        <v>0.99193492352474899</v>
      </c>
      <c r="C662">
        <v>0.88616320959998396</v>
      </c>
      <c r="D662">
        <v>0.80693712344722401</v>
      </c>
      <c r="E662">
        <v>0.48881246192262601</v>
      </c>
      <c r="F662">
        <v>0.37866710586822999</v>
      </c>
      <c r="G662">
        <v>0.17022686621761701</v>
      </c>
      <c r="H662">
        <v>8.5179337013429099E-2</v>
      </c>
      <c r="I662">
        <v>0.13362224371487499</v>
      </c>
      <c r="J662">
        <v>0.11473714594232499</v>
      </c>
      <c r="K662">
        <v>0.100683893617422</v>
      </c>
      <c r="L662">
        <v>745.90764855790496</v>
      </c>
      <c r="M662">
        <v>15.084708036953399</v>
      </c>
      <c r="N662">
        <v>50.051390014795402</v>
      </c>
      <c r="O662">
        <v>48.603340894350502</v>
      </c>
      <c r="P662">
        <v>-7.1146555299736902E-2</v>
      </c>
      <c r="Q662">
        <v>8.3146021805189901E-2</v>
      </c>
      <c r="R662">
        <v>0.99001705483497104</v>
      </c>
      <c r="S662" t="s">
        <v>7332</v>
      </c>
      <c r="T662" t="s">
        <v>13338</v>
      </c>
      <c r="U662" t="s">
        <v>13338</v>
      </c>
      <c r="V662" t="s">
        <v>13338</v>
      </c>
      <c r="W662" t="s">
        <v>13991</v>
      </c>
      <c r="X662">
        <v>3</v>
      </c>
      <c r="Y662" t="s">
        <v>20597</v>
      </c>
      <c r="Z662" t="s">
        <v>27077</v>
      </c>
      <c r="AA662">
        <v>0.39393152321528407</v>
      </c>
      <c r="AB662" t="str">
        <f>HYPERLINK("Melting_Curves/meltCurve_F5H523_KLHL42.pdf", "Melting_Curves/meltCurve_F5H523_KLHL42.pdf")</f>
        <v>Melting_Curves/meltCurve_F5H523_KLHL42.pdf</v>
      </c>
    </row>
    <row r="663" spans="1:28" x14ac:dyDescent="0.25">
      <c r="A663" t="s">
        <v>667</v>
      </c>
      <c r="B663">
        <v>0.99193492352474899</v>
      </c>
      <c r="C663">
        <v>0.84503411597679301</v>
      </c>
      <c r="D663">
        <v>0.66813521021524303</v>
      </c>
      <c r="E663">
        <v>0.31139374931661701</v>
      </c>
      <c r="F663">
        <v>0.18940827811757099</v>
      </c>
      <c r="G663">
        <v>7.7531825824615694E-2</v>
      </c>
      <c r="H663">
        <v>3.3589712211252898E-2</v>
      </c>
      <c r="I663">
        <v>7.3880202982762697E-2</v>
      </c>
      <c r="J663">
        <v>8.5838618762829999E-2</v>
      </c>
      <c r="K663">
        <v>0.112952171795954</v>
      </c>
      <c r="L663">
        <v>910.13813395741397</v>
      </c>
      <c r="M663">
        <v>19.304623264581501</v>
      </c>
      <c r="N663">
        <v>47.513396572617701</v>
      </c>
      <c r="O663">
        <v>46.648954294749203</v>
      </c>
      <c r="P663">
        <v>-9.6289352625624797E-2</v>
      </c>
      <c r="Q663">
        <v>6.9315282672829701E-2</v>
      </c>
      <c r="R663">
        <v>0.99303530434698595</v>
      </c>
      <c r="S663" t="s">
        <v>7333</v>
      </c>
      <c r="T663" t="s">
        <v>13338</v>
      </c>
      <c r="U663" t="s">
        <v>13338</v>
      </c>
      <c r="V663" t="s">
        <v>13338</v>
      </c>
      <c r="W663" t="s">
        <v>13992</v>
      </c>
      <c r="X663">
        <v>5</v>
      </c>
      <c r="Y663" t="s">
        <v>20598</v>
      </c>
      <c r="Z663" t="s">
        <v>27078</v>
      </c>
      <c r="AA663">
        <v>0.30565001849541651</v>
      </c>
      <c r="AB663" t="str">
        <f>HYPERLINK("Melting_Curves/meltCurve_F5H527_SSH2.pdf", "Melting_Curves/meltCurve_F5H527_SSH2.pdf")</f>
        <v>Melting_Curves/meltCurve_F5H527_SSH2.pdf</v>
      </c>
    </row>
    <row r="664" spans="1:28" x14ac:dyDescent="0.25">
      <c r="A664" t="s">
        <v>668</v>
      </c>
      <c r="B664">
        <v>0.99193492352474899</v>
      </c>
      <c r="C664">
        <v>1.00962699551154</v>
      </c>
      <c r="D664">
        <v>0.96154673783580902</v>
      </c>
      <c r="E664">
        <v>0.84428197127084303</v>
      </c>
      <c r="F664">
        <v>0.75791725183241798</v>
      </c>
      <c r="G664">
        <v>0.64886090426060306</v>
      </c>
      <c r="H664">
        <v>0.57816370086964797</v>
      </c>
      <c r="I664">
        <v>0.54018267117984797</v>
      </c>
      <c r="J664">
        <v>0.34053165840577998</v>
      </c>
      <c r="K664">
        <v>0.34668098446659201</v>
      </c>
      <c r="L664">
        <v>457.41898250963197</v>
      </c>
      <c r="M664">
        <v>7.4225434429697499</v>
      </c>
      <c r="N664">
        <v>62.911627835991801</v>
      </c>
      <c r="O664">
        <v>57.627112321261798</v>
      </c>
      <c r="P664">
        <v>-2.9978924308243601E-2</v>
      </c>
      <c r="Q664">
        <v>7.0388016057565894E-2</v>
      </c>
      <c r="R664">
        <v>0.97655532685815405</v>
      </c>
      <c r="S664" t="s">
        <v>7334</v>
      </c>
      <c r="T664" t="s">
        <v>13338</v>
      </c>
      <c r="U664" t="s">
        <v>13338</v>
      </c>
      <c r="V664" t="s">
        <v>13338</v>
      </c>
      <c r="W664" t="s">
        <v>13993</v>
      </c>
      <c r="X664">
        <v>12</v>
      </c>
      <c r="Y664" t="s">
        <v>20599</v>
      </c>
      <c r="Z664" t="s">
        <v>27079</v>
      </c>
      <c r="AA664">
        <v>0.70499043100401593</v>
      </c>
      <c r="AB664" t="str">
        <f>HYPERLINK("Melting_Curves/meltCurve_F5H569_ATP6V0A1.pdf", "Melting_Curves/meltCurve_F5H569_ATP6V0A1.pdf")</f>
        <v>Melting_Curves/meltCurve_F5H569_ATP6V0A1.pdf</v>
      </c>
    </row>
    <row r="665" spans="1:28" x14ac:dyDescent="0.25">
      <c r="A665" t="s">
        <v>669</v>
      </c>
      <c r="B665">
        <v>0.99193492352474899</v>
      </c>
      <c r="C665">
        <v>1.2782305074201099</v>
      </c>
      <c r="D665">
        <v>0.78235962221697097</v>
      </c>
      <c r="E665">
        <v>0.71506948242565105</v>
      </c>
      <c r="F665">
        <v>0.45394073393210599</v>
      </c>
      <c r="G665">
        <v>0.38654337690479701</v>
      </c>
      <c r="H665">
        <v>0.32144225153987899</v>
      </c>
      <c r="I665">
        <v>0.42959158793525998</v>
      </c>
      <c r="J665">
        <v>0.260995964356869</v>
      </c>
      <c r="K665">
        <v>0.360235669681647</v>
      </c>
      <c r="L665">
        <v>1138.7190763331701</v>
      </c>
      <c r="M665">
        <v>22.897342982773601</v>
      </c>
      <c r="N665">
        <v>52.353801485737698</v>
      </c>
      <c r="O665">
        <v>49.356828328217603</v>
      </c>
      <c r="P665">
        <v>-7.6409561951745406E-2</v>
      </c>
      <c r="Q665">
        <v>0.34118788163498198</v>
      </c>
      <c r="R665">
        <v>0.88070554629099196</v>
      </c>
      <c r="S665" t="s">
        <v>7335</v>
      </c>
      <c r="T665" t="s">
        <v>13338</v>
      </c>
      <c r="U665" t="s">
        <v>13338</v>
      </c>
      <c r="V665" t="s">
        <v>13338</v>
      </c>
      <c r="W665" t="s">
        <v>13994</v>
      </c>
      <c r="X665">
        <v>7</v>
      </c>
      <c r="Y665" t="s">
        <v>20600</v>
      </c>
      <c r="Z665" t="s">
        <v>27080</v>
      </c>
      <c r="AA665">
        <v>0.56190711302295648</v>
      </c>
      <c r="AB665" t="str">
        <f>HYPERLINK("Melting_Curves/meltCurve_F5H577_BRK1.pdf", "Melting_Curves/meltCurve_F5H577_BRK1.pdf")</f>
        <v>Melting_Curves/meltCurve_F5H577_BRK1.pdf</v>
      </c>
    </row>
    <row r="666" spans="1:28" x14ac:dyDescent="0.25">
      <c r="A666" t="s">
        <v>670</v>
      </c>
      <c r="B666">
        <v>0.99193492352474899</v>
      </c>
      <c r="C666">
        <v>0.98484421365925001</v>
      </c>
      <c r="D666">
        <v>0.93901904189456498</v>
      </c>
      <c r="E666">
        <v>0.83580620713543297</v>
      </c>
      <c r="F666">
        <v>0.93520371698407601</v>
      </c>
      <c r="G666">
        <v>0.502779575305348</v>
      </c>
      <c r="H666">
        <v>0.15889472500772001</v>
      </c>
      <c r="I666">
        <v>0.10238906491377001</v>
      </c>
      <c r="J666">
        <v>0.13683088992514</v>
      </c>
      <c r="K666">
        <v>7.8675611871991694E-2</v>
      </c>
      <c r="L666">
        <v>2040.4248631038699</v>
      </c>
      <c r="M666">
        <v>36.120770228556502</v>
      </c>
      <c r="N666">
        <v>56.8359652445398</v>
      </c>
      <c r="O666">
        <v>56.316661938320401</v>
      </c>
      <c r="P666">
        <v>-0.144480428869186</v>
      </c>
      <c r="Q666">
        <v>9.8952809101275602E-2</v>
      </c>
      <c r="R666">
        <v>0.97928168570274698</v>
      </c>
      <c r="S666" t="s">
        <v>7336</v>
      </c>
      <c r="T666" t="s">
        <v>13338</v>
      </c>
      <c r="U666" t="s">
        <v>13338</v>
      </c>
      <c r="V666" t="s">
        <v>13338</v>
      </c>
      <c r="W666" t="s">
        <v>13995</v>
      </c>
      <c r="X666">
        <v>33</v>
      </c>
      <c r="Y666" t="s">
        <v>20601</v>
      </c>
      <c r="Z666" t="s">
        <v>27081</v>
      </c>
      <c r="AA666">
        <v>0.59844904444931879</v>
      </c>
      <c r="AB666" t="str">
        <f>HYPERLINK("Melting_Curves/meltCurve_F5H5D3_TUBA1C.pdf", "Melting_Curves/meltCurve_F5H5D3_TUBA1C.pdf")</f>
        <v>Melting_Curves/meltCurve_F5H5D3_TUBA1C.pdf</v>
      </c>
    </row>
    <row r="667" spans="1:28" x14ac:dyDescent="0.25">
      <c r="A667" t="s">
        <v>671</v>
      </c>
      <c r="B667">
        <v>0.99193492352474899</v>
      </c>
      <c r="C667">
        <v>0.62638515562786701</v>
      </c>
      <c r="D667">
        <v>0.54835431759075004</v>
      </c>
      <c r="E667">
        <v>0.23471239263183899</v>
      </c>
      <c r="F667">
        <v>0.19248808963058101</v>
      </c>
      <c r="G667">
        <v>0.12688453947664299</v>
      </c>
      <c r="H667">
        <v>9.3129125906890403E-2</v>
      </c>
      <c r="I667">
        <v>0.10039296374571299</v>
      </c>
      <c r="J667">
        <v>8.60218825405238E-2</v>
      </c>
      <c r="K667">
        <v>0.151793474865311</v>
      </c>
      <c r="L667">
        <v>743.16765776305601</v>
      </c>
      <c r="M667">
        <v>16.481992768064199</v>
      </c>
      <c r="N667">
        <v>45.731907428949597</v>
      </c>
      <c r="O667">
        <v>44.441595840357103</v>
      </c>
      <c r="P667">
        <v>-8.31438189493304E-2</v>
      </c>
      <c r="Q667">
        <v>0.10331568343306</v>
      </c>
      <c r="R667">
        <v>0.96631516970028197</v>
      </c>
      <c r="S667" t="s">
        <v>7337</v>
      </c>
      <c r="T667" t="s">
        <v>13338</v>
      </c>
      <c r="U667" t="s">
        <v>13338</v>
      </c>
      <c r="V667" t="s">
        <v>13338</v>
      </c>
      <c r="W667" t="s">
        <v>13996</v>
      </c>
      <c r="X667">
        <v>8</v>
      </c>
      <c r="Y667" t="s">
        <v>20602</v>
      </c>
      <c r="Z667" t="s">
        <v>27082</v>
      </c>
      <c r="AA667">
        <v>0.27874461865467348</v>
      </c>
      <c r="AB667" t="str">
        <f>HYPERLINK("Melting_Curves/meltCurve_F5H5I6_GRSF1.pdf", "Melting_Curves/meltCurve_F5H5I6_GRSF1.pdf")</f>
        <v>Melting_Curves/meltCurve_F5H5I6_GRSF1.pdf</v>
      </c>
    </row>
    <row r="668" spans="1:28" x14ac:dyDescent="0.25">
      <c r="A668" t="s">
        <v>672</v>
      </c>
      <c r="B668">
        <v>0.99193492352474899</v>
      </c>
      <c r="C668">
        <v>1.0691191457448099</v>
      </c>
      <c r="D668">
        <v>0.97956613683540406</v>
      </c>
      <c r="E668">
        <v>1.0087769971701099</v>
      </c>
      <c r="F668">
        <v>0.43263111892735601</v>
      </c>
      <c r="G668">
        <v>0.17977589881195399</v>
      </c>
      <c r="H668">
        <v>6.2282716389188697E-2</v>
      </c>
      <c r="I668">
        <v>5.0209619968027697E-2</v>
      </c>
      <c r="J668">
        <v>6.0090403676025701E-2</v>
      </c>
      <c r="K668">
        <v>3.7463404425565998E-2</v>
      </c>
      <c r="L668">
        <v>2460.6961571950001</v>
      </c>
      <c r="M668">
        <v>46.603740527674901</v>
      </c>
      <c r="N668">
        <v>52.9671730075681</v>
      </c>
      <c r="O668">
        <v>52.703457176761198</v>
      </c>
      <c r="P668">
        <v>-0.20597939534081799</v>
      </c>
      <c r="Q668">
        <v>6.8245292915519798E-2</v>
      </c>
      <c r="R668">
        <v>0.99189582936276</v>
      </c>
      <c r="S668" t="s">
        <v>7338</v>
      </c>
      <c r="T668" t="s">
        <v>13338</v>
      </c>
      <c r="U668" t="s">
        <v>13338</v>
      </c>
      <c r="V668" t="s">
        <v>13338</v>
      </c>
      <c r="W668" t="s">
        <v>13997</v>
      </c>
      <c r="X668">
        <v>4</v>
      </c>
      <c r="Y668" t="s">
        <v>20603</v>
      </c>
      <c r="Z668" t="s">
        <v>27083</v>
      </c>
      <c r="AA668">
        <v>0.4683057623371909</v>
      </c>
      <c r="AB668" t="str">
        <f>HYPERLINK("Melting_Curves/meltCurve_F5H5N1_NDUFS7.pdf", "Melting_Curves/meltCurve_F5H5N1_NDUFS7.pdf")</f>
        <v>Melting_Curves/meltCurve_F5H5N1_NDUFS7.pdf</v>
      </c>
    </row>
    <row r="669" spans="1:28" x14ac:dyDescent="0.25">
      <c r="A669" t="s">
        <v>673</v>
      </c>
      <c r="B669">
        <v>0.99193492352474899</v>
      </c>
      <c r="C669">
        <v>0.95718437118473898</v>
      </c>
      <c r="D669">
        <v>0.88762183360597102</v>
      </c>
      <c r="E669">
        <v>0.73143060948469696</v>
      </c>
      <c r="F669">
        <v>0.45949492351314802</v>
      </c>
      <c r="G669">
        <v>0.16872010714329</v>
      </c>
      <c r="H669">
        <v>8.7133872178810606E-2</v>
      </c>
      <c r="I669">
        <v>9.5493176292185206E-2</v>
      </c>
      <c r="J669">
        <v>0.10984077518749399</v>
      </c>
      <c r="K669">
        <v>0.114452356308648</v>
      </c>
      <c r="L669">
        <v>1024.57676929481</v>
      </c>
      <c r="M669">
        <v>19.7924614033968</v>
      </c>
      <c r="N669">
        <v>52.212480529317098</v>
      </c>
      <c r="O669">
        <v>51.246260081463099</v>
      </c>
      <c r="P669">
        <v>-8.9041953325466605E-2</v>
      </c>
      <c r="Q669">
        <v>7.7848433026485295E-2</v>
      </c>
      <c r="R669">
        <v>0.99346431778754396</v>
      </c>
      <c r="S669" t="s">
        <v>7339</v>
      </c>
      <c r="T669" t="s">
        <v>13338</v>
      </c>
      <c r="U669" t="s">
        <v>13338</v>
      </c>
      <c r="V669" t="s">
        <v>13338</v>
      </c>
      <c r="W669" t="s">
        <v>13998</v>
      </c>
      <c r="X669">
        <v>10</v>
      </c>
      <c r="Y669" t="s">
        <v>20604</v>
      </c>
      <c r="Z669" t="s">
        <v>27084</v>
      </c>
      <c r="AA669">
        <v>0.45253260111662069</v>
      </c>
      <c r="AB669" t="str">
        <f>HYPERLINK("Melting_Curves/meltCurve_F5H5P2_BCKDHA.pdf", "Melting_Curves/meltCurve_F5H5P2_BCKDHA.pdf")</f>
        <v>Melting_Curves/meltCurve_F5H5P2_BCKDHA.pdf</v>
      </c>
    </row>
    <row r="670" spans="1:28" x14ac:dyDescent="0.25">
      <c r="A670" t="s">
        <v>674</v>
      </c>
      <c r="B670">
        <v>0.99193492352474899</v>
      </c>
      <c r="C670">
        <v>1.3450821191475399</v>
      </c>
      <c r="D670">
        <v>0.51714160224413097</v>
      </c>
      <c r="E670">
        <v>0.22435009874742801</v>
      </c>
      <c r="F670">
        <v>0.178416966946605</v>
      </c>
      <c r="G670">
        <v>8.3316189054467998E-2</v>
      </c>
      <c r="H670">
        <v>4.32520349847242E-2</v>
      </c>
      <c r="I670">
        <v>4.6798894461447402E-2</v>
      </c>
      <c r="J670">
        <v>7.0301649200522995E-2</v>
      </c>
      <c r="K670">
        <v>3.1584402148106497E-2</v>
      </c>
      <c r="S670" t="s">
        <v>7340</v>
      </c>
      <c r="T670" t="s">
        <v>13338</v>
      </c>
      <c r="U670" t="s">
        <v>13339</v>
      </c>
      <c r="V670" t="s">
        <v>13338</v>
      </c>
      <c r="W670" t="s">
        <v>13999</v>
      </c>
      <c r="X670">
        <v>1</v>
      </c>
      <c r="Y670" t="s">
        <v>20605</v>
      </c>
      <c r="Z670" t="s">
        <v>27085</v>
      </c>
      <c r="AB670" t="str">
        <f>HYPERLINK("Melting_Curves/meltCurve_F5H5R8_NAT1.pdf", "Melting_Curves/meltCurve_F5H5R8_NAT1.pdf")</f>
        <v>Melting_Curves/meltCurve_F5H5R8_NAT1.pdf</v>
      </c>
    </row>
    <row r="671" spans="1:28" x14ac:dyDescent="0.25">
      <c r="A671" t="s">
        <v>675</v>
      </c>
      <c r="B671">
        <v>0.99193492352474899</v>
      </c>
      <c r="C671">
        <v>0.70827273454117701</v>
      </c>
      <c r="D671">
        <v>0.82424396043979598</v>
      </c>
      <c r="E671">
        <v>0.36429839049767498</v>
      </c>
      <c r="F671">
        <v>0.148369985145203</v>
      </c>
      <c r="G671">
        <v>8.6165754478001094E-2</v>
      </c>
      <c r="H671">
        <v>5.5070613951467201E-2</v>
      </c>
      <c r="I671">
        <v>5.9349911319102701E-2</v>
      </c>
      <c r="J671">
        <v>7.14790875837579E-2</v>
      </c>
      <c r="K671">
        <v>7.75977542482717E-2</v>
      </c>
      <c r="L671">
        <v>836.40207612223003</v>
      </c>
      <c r="M671">
        <v>17.4445049927192</v>
      </c>
      <c r="N671">
        <v>48.201059485253197</v>
      </c>
      <c r="O671">
        <v>47.329686717514598</v>
      </c>
      <c r="P671">
        <v>-8.8092723513450502E-2</v>
      </c>
      <c r="Q671">
        <v>4.4015693636924397E-2</v>
      </c>
      <c r="R671">
        <v>0.95357661070784605</v>
      </c>
      <c r="S671" t="s">
        <v>7341</v>
      </c>
      <c r="T671" t="s">
        <v>13338</v>
      </c>
      <c r="U671" t="s">
        <v>13338</v>
      </c>
      <c r="V671" t="s">
        <v>13338</v>
      </c>
      <c r="W671" t="s">
        <v>14000</v>
      </c>
      <c r="X671">
        <v>39</v>
      </c>
      <c r="Y671" t="s">
        <v>20606</v>
      </c>
      <c r="Z671" t="s">
        <v>27086</v>
      </c>
      <c r="AA671">
        <v>0.31537635084586252</v>
      </c>
      <c r="AB671" t="str">
        <f>HYPERLINK("Melting_Curves/meltCurve_F5H604_CLASP2.pdf", "Melting_Curves/meltCurve_F5H604_CLASP2.pdf")</f>
        <v>Melting_Curves/meltCurve_F5H604_CLASP2.pdf</v>
      </c>
    </row>
    <row r="672" spans="1:28" x14ac:dyDescent="0.25">
      <c r="A672" t="s">
        <v>676</v>
      </c>
      <c r="B672">
        <v>0.99193492352474899</v>
      </c>
      <c r="C672">
        <v>0.86460993877166903</v>
      </c>
      <c r="D672">
        <v>0.83349562599687199</v>
      </c>
      <c r="E672">
        <v>0.591115881757037</v>
      </c>
      <c r="F672">
        <v>0.239103620944455</v>
      </c>
      <c r="G672">
        <v>0.171225061450482</v>
      </c>
      <c r="H672">
        <v>0.101853727332317</v>
      </c>
      <c r="I672">
        <v>0.12343906902579301</v>
      </c>
      <c r="J672">
        <v>9.8082073986055895E-2</v>
      </c>
      <c r="K672">
        <v>0.10813538015207701</v>
      </c>
      <c r="L672">
        <v>920.21516544960605</v>
      </c>
      <c r="M672">
        <v>18.562043679783901</v>
      </c>
      <c r="N672">
        <v>50.113136783874197</v>
      </c>
      <c r="O672">
        <v>49.010476244196902</v>
      </c>
      <c r="P672">
        <v>-8.6133733668871601E-2</v>
      </c>
      <c r="Q672">
        <v>9.0343864644644903E-2</v>
      </c>
      <c r="R672">
        <v>0.98880889353034496</v>
      </c>
      <c r="S672" t="s">
        <v>7342</v>
      </c>
      <c r="T672" t="s">
        <v>13338</v>
      </c>
      <c r="U672" t="s">
        <v>13338</v>
      </c>
      <c r="V672" t="s">
        <v>13338</v>
      </c>
      <c r="W672" t="s">
        <v>14001</v>
      </c>
      <c r="X672">
        <v>5</v>
      </c>
      <c r="Y672" t="s">
        <v>20607</v>
      </c>
      <c r="Z672" t="s">
        <v>27087</v>
      </c>
      <c r="AA672">
        <v>0.3953770361134788</v>
      </c>
      <c r="AB672" t="str">
        <f>HYPERLINK("Melting_Curves/meltCurve_F5H620_OXNAD1.pdf", "Melting_Curves/meltCurve_F5H620_OXNAD1.pdf")</f>
        <v>Melting_Curves/meltCurve_F5H620_OXNAD1.pdf</v>
      </c>
    </row>
    <row r="673" spans="1:28" x14ac:dyDescent="0.25">
      <c r="A673" t="s">
        <v>677</v>
      </c>
      <c r="B673">
        <v>0.99193492352474899</v>
      </c>
      <c r="C673">
        <v>0.97341055898079198</v>
      </c>
      <c r="D673">
        <v>1.0039630999561699</v>
      </c>
      <c r="E673">
        <v>0.68690602037911896</v>
      </c>
      <c r="F673">
        <v>0.44627888245939401</v>
      </c>
      <c r="G673">
        <v>0.263195635531005</v>
      </c>
      <c r="H673">
        <v>0.199171182655099</v>
      </c>
      <c r="I673">
        <v>0.22984078167198299</v>
      </c>
      <c r="J673">
        <v>0.25889698978265901</v>
      </c>
      <c r="K673">
        <v>0.28437946160028399</v>
      </c>
      <c r="L673">
        <v>1336.50988940978</v>
      </c>
      <c r="M673">
        <v>26.393461571208199</v>
      </c>
      <c r="N673">
        <v>51.929397373171199</v>
      </c>
      <c r="O673">
        <v>50.349883496243997</v>
      </c>
      <c r="P673">
        <v>-9.9515248873591602E-2</v>
      </c>
      <c r="Q673">
        <v>0.24064090472954999</v>
      </c>
      <c r="R673">
        <v>0.98935669753132705</v>
      </c>
      <c r="S673" t="s">
        <v>7343</v>
      </c>
      <c r="T673" t="s">
        <v>13338</v>
      </c>
      <c r="U673" t="s">
        <v>13338</v>
      </c>
      <c r="V673" t="s">
        <v>13338</v>
      </c>
      <c r="W673" t="s">
        <v>14002</v>
      </c>
      <c r="X673">
        <v>2</v>
      </c>
      <c r="Y673" t="s">
        <v>20608</v>
      </c>
      <c r="Z673" t="s">
        <v>27088</v>
      </c>
      <c r="AA673">
        <v>0.51604176916687128</v>
      </c>
      <c r="AB673" t="str">
        <f>HYPERLINK("Melting_Curves/meltCurve_F5H631_CLEC2B.pdf", "Melting_Curves/meltCurve_F5H631_CLEC2B.pdf")</f>
        <v>Melting_Curves/meltCurve_F5H631_CLEC2B.pdf</v>
      </c>
    </row>
    <row r="674" spans="1:28" x14ac:dyDescent="0.25">
      <c r="A674" t="s">
        <v>678</v>
      </c>
      <c r="B674">
        <v>0.99193492352474899</v>
      </c>
      <c r="C674">
        <v>0.68679846041444004</v>
      </c>
      <c r="D674">
        <v>0.54520402719120797</v>
      </c>
      <c r="E674">
        <v>0.55801411951495405</v>
      </c>
      <c r="F674">
        <v>0.20598371561357101</v>
      </c>
      <c r="G674">
        <v>0.17166610790039499</v>
      </c>
      <c r="H674">
        <v>3.69538692264662E-2</v>
      </c>
      <c r="I674">
        <v>0.158075084153767</v>
      </c>
      <c r="J674">
        <v>0.140069354015253</v>
      </c>
      <c r="K674">
        <v>8.89679915492258E-2</v>
      </c>
      <c r="L674">
        <v>539.113025138544</v>
      </c>
      <c r="M674">
        <v>11.4221481212971</v>
      </c>
      <c r="N674">
        <v>47.7929798826856</v>
      </c>
      <c r="O674">
        <v>45.821687712011901</v>
      </c>
      <c r="P674">
        <v>-5.8211252540000702E-2</v>
      </c>
      <c r="Q674">
        <v>6.6179509667449399E-2</v>
      </c>
      <c r="R674">
        <v>0.93295377857583495</v>
      </c>
      <c r="S674" t="s">
        <v>7344</v>
      </c>
      <c r="T674" t="s">
        <v>13338</v>
      </c>
      <c r="U674" t="s">
        <v>13338</v>
      </c>
      <c r="V674" t="s">
        <v>13338</v>
      </c>
      <c r="W674" t="s">
        <v>14003</v>
      </c>
      <c r="X674">
        <v>2</v>
      </c>
      <c r="Y674" t="s">
        <v>20609</v>
      </c>
      <c r="Z674" t="s">
        <v>27089</v>
      </c>
      <c r="AA674">
        <v>0.3324644717681714</v>
      </c>
      <c r="AB674" t="str">
        <f>HYPERLINK("Melting_Curves/meltCurve_F5H6S1_KDM6A.pdf", "Melting_Curves/meltCurve_F5H6S1_KDM6A.pdf")</f>
        <v>Melting_Curves/meltCurve_F5H6S1_KDM6A.pdf</v>
      </c>
    </row>
    <row r="675" spans="1:28" x14ac:dyDescent="0.25">
      <c r="A675" t="s">
        <v>679</v>
      </c>
      <c r="B675">
        <v>0.99193492352474899</v>
      </c>
      <c r="C675">
        <v>0.79895228492800097</v>
      </c>
      <c r="D675">
        <v>0.60536367496532295</v>
      </c>
      <c r="E675">
        <v>0.40191201971560397</v>
      </c>
      <c r="F675">
        <v>0.212921924024567</v>
      </c>
      <c r="G675">
        <v>0.151539024151608</v>
      </c>
      <c r="H675">
        <v>5.9253010167602101E-2</v>
      </c>
      <c r="I675">
        <v>0.12842989938275101</v>
      </c>
      <c r="J675">
        <v>0.109802171650177</v>
      </c>
      <c r="K675">
        <v>0.19647791982437801</v>
      </c>
      <c r="L675">
        <v>758.31012568922404</v>
      </c>
      <c r="M675">
        <v>16.222115066928598</v>
      </c>
      <c r="N675">
        <v>47.502216233353202</v>
      </c>
      <c r="O675">
        <v>46.052411169193199</v>
      </c>
      <c r="P675">
        <v>-7.8041283587191895E-2</v>
      </c>
      <c r="Q675">
        <v>0.113870848697338</v>
      </c>
      <c r="R675">
        <v>0.98230185717644602</v>
      </c>
      <c r="S675" t="s">
        <v>7345</v>
      </c>
      <c r="T675" t="s">
        <v>13338</v>
      </c>
      <c r="U675" t="s">
        <v>13338</v>
      </c>
      <c r="V675" t="s">
        <v>13338</v>
      </c>
      <c r="W675" t="s">
        <v>14004</v>
      </c>
      <c r="X675">
        <v>2</v>
      </c>
      <c r="Y675" t="s">
        <v>20610</v>
      </c>
      <c r="Z675" t="s">
        <v>27090</v>
      </c>
      <c r="AA675">
        <v>0.33387121470513459</v>
      </c>
      <c r="AB675" t="str">
        <f>HYPERLINK("Melting_Curves/meltCurve_F5H6U2_FAM60A.pdf", "Melting_Curves/meltCurve_F5H6U2_FAM60A.pdf")</f>
        <v>Melting_Curves/meltCurve_F5H6U2_FAM60A.pdf</v>
      </c>
    </row>
    <row r="676" spans="1:28" x14ac:dyDescent="0.25">
      <c r="A676" t="s">
        <v>680</v>
      </c>
      <c r="B676">
        <v>0.99193492352474899</v>
      </c>
      <c r="C676">
        <v>0.689555358712718</v>
      </c>
      <c r="D676">
        <v>0.88224853414766202</v>
      </c>
      <c r="E676">
        <v>0.43721041804092498</v>
      </c>
      <c r="F676">
        <v>0.17208756188723401</v>
      </c>
      <c r="G676">
        <v>7.4287892781132403E-2</v>
      </c>
      <c r="H676">
        <v>5.0067883112096701E-2</v>
      </c>
      <c r="I676">
        <v>6.9251926843794095E-2</v>
      </c>
      <c r="J676">
        <v>7.0072274295969794E-2</v>
      </c>
      <c r="K676">
        <v>8.75016967591562E-2</v>
      </c>
      <c r="L676">
        <v>877.18311133917598</v>
      </c>
      <c r="M676">
        <v>18.037709847273799</v>
      </c>
      <c r="N676">
        <v>48.882296389522402</v>
      </c>
      <c r="O676">
        <v>48.044613682853601</v>
      </c>
      <c r="P676">
        <v>-8.9699829806369299E-2</v>
      </c>
      <c r="Q676">
        <v>4.4361430313842903E-2</v>
      </c>
      <c r="R676">
        <v>0.93805955698672905</v>
      </c>
      <c r="S676" t="s">
        <v>7346</v>
      </c>
      <c r="T676" t="s">
        <v>13338</v>
      </c>
      <c r="U676" t="s">
        <v>13338</v>
      </c>
      <c r="V676" t="s">
        <v>13338</v>
      </c>
      <c r="W676" t="s">
        <v>14005</v>
      </c>
      <c r="X676">
        <v>4</v>
      </c>
      <c r="Y676" t="s">
        <v>20611</v>
      </c>
      <c r="Z676" t="s">
        <v>27091</v>
      </c>
      <c r="AA676">
        <v>0.33589098795189692</v>
      </c>
      <c r="AB676" t="str">
        <f>HYPERLINK("Melting_Curves/meltCurve_F5H715_AIDA.pdf", "Melting_Curves/meltCurve_F5H715_AIDA.pdf")</f>
        <v>Melting_Curves/meltCurve_F5H715_AIDA.pdf</v>
      </c>
    </row>
    <row r="677" spans="1:28" x14ac:dyDescent="0.25">
      <c r="A677" t="s">
        <v>681</v>
      </c>
      <c r="B677">
        <v>0.99193492352474899</v>
      </c>
      <c r="C677">
        <v>0.92876588844906804</v>
      </c>
      <c r="D677">
        <v>0.886620943581784</v>
      </c>
      <c r="E677">
        <v>0.78668289935797397</v>
      </c>
      <c r="F677">
        <v>0.53863517338036204</v>
      </c>
      <c r="G677">
        <v>0.38231937540988298</v>
      </c>
      <c r="H677">
        <v>0.31318569729213003</v>
      </c>
      <c r="I677">
        <v>0.39227777569001498</v>
      </c>
      <c r="J677">
        <v>0.40086408086401498</v>
      </c>
      <c r="K677">
        <v>0.56710337427870405</v>
      </c>
      <c r="L677">
        <v>1220.9976885814301</v>
      </c>
      <c r="M677">
        <v>24.292326889239899</v>
      </c>
      <c r="N677">
        <v>53.970310636075403</v>
      </c>
      <c r="O677">
        <v>49.925793125705603</v>
      </c>
      <c r="P677">
        <v>-7.2285082323462299E-2</v>
      </c>
      <c r="Q677">
        <v>0.40576533835728701</v>
      </c>
      <c r="R677">
        <v>0.91855604956437598</v>
      </c>
      <c r="S677" t="s">
        <v>7347</v>
      </c>
      <c r="T677" t="s">
        <v>13338</v>
      </c>
      <c r="U677" t="s">
        <v>13338</v>
      </c>
      <c r="V677" t="s">
        <v>13338</v>
      </c>
      <c r="W677" t="s">
        <v>14006</v>
      </c>
      <c r="X677">
        <v>27</v>
      </c>
      <c r="Y677" t="s">
        <v>20612</v>
      </c>
      <c r="Z677" t="s">
        <v>27092</v>
      </c>
      <c r="AA677">
        <v>0.61468667612653038</v>
      </c>
      <c r="AB677" t="str">
        <f>HYPERLINK("Melting_Curves/meltCurve_F5H721_WBP11.pdf", "Melting_Curves/meltCurve_F5H721_WBP11.pdf")</f>
        <v>Melting_Curves/meltCurve_F5H721_WBP11.pdf</v>
      </c>
    </row>
    <row r="678" spans="1:28" x14ac:dyDescent="0.25">
      <c r="A678" t="s">
        <v>682</v>
      </c>
      <c r="B678">
        <v>0.99193492352474899</v>
      </c>
      <c r="C678">
        <v>2.7819557483746902</v>
      </c>
      <c r="D678">
        <v>2.9277989636008401</v>
      </c>
      <c r="E678">
        <v>1.75128354461375</v>
      </c>
      <c r="F678">
        <v>1.52140178928668</v>
      </c>
      <c r="G678">
        <v>3.1872818584827201</v>
      </c>
      <c r="H678">
        <v>1.11437386026577</v>
      </c>
      <c r="I678">
        <v>1.47116306177166</v>
      </c>
      <c r="J678">
        <v>0</v>
      </c>
      <c r="K678">
        <v>0</v>
      </c>
      <c r="L678">
        <v>15000</v>
      </c>
      <c r="M678">
        <v>227.385797149642</v>
      </c>
      <c r="N678">
        <v>65.967186762665904</v>
      </c>
      <c r="O678">
        <v>65.9620856633899</v>
      </c>
      <c r="P678">
        <v>-0.86180501055646397</v>
      </c>
      <c r="Q678">
        <v>0</v>
      </c>
      <c r="R678">
        <v>-0.113971735694869</v>
      </c>
      <c r="S678" t="s">
        <v>7348</v>
      </c>
      <c r="T678" t="s">
        <v>13338</v>
      </c>
      <c r="U678" t="s">
        <v>13338</v>
      </c>
      <c r="V678" t="s">
        <v>13338</v>
      </c>
      <c r="W678" t="s">
        <v>14007</v>
      </c>
      <c r="X678">
        <v>1</v>
      </c>
      <c r="Y678" t="s">
        <v>20613</v>
      </c>
      <c r="Z678" t="s">
        <v>27093</v>
      </c>
      <c r="AA678">
        <v>0.8657126225873234</v>
      </c>
      <c r="AB678" t="str">
        <f>HYPERLINK("Melting_Curves/meltCurve_F5H7K2_MGA.pdf", "Melting_Curves/meltCurve_F5H7K2_MGA.pdf")</f>
        <v>Melting_Curves/meltCurve_F5H7K2_MGA.pdf</v>
      </c>
    </row>
    <row r="679" spans="1:28" x14ac:dyDescent="0.25">
      <c r="A679" t="s">
        <v>683</v>
      </c>
      <c r="B679">
        <v>0.99193492352474899</v>
      </c>
      <c r="C679">
        <v>0.90179762647078299</v>
      </c>
      <c r="D679">
        <v>0.97058320951806998</v>
      </c>
      <c r="E679">
        <v>0.83403988748929603</v>
      </c>
      <c r="F679">
        <v>0.69735350462749701</v>
      </c>
      <c r="G679">
        <v>0.57200851647543305</v>
      </c>
      <c r="H679">
        <v>0.42401566203904201</v>
      </c>
      <c r="I679">
        <v>0.34924999026313502</v>
      </c>
      <c r="J679">
        <v>0.35404525319914898</v>
      </c>
      <c r="K679">
        <v>0.23707414714855901</v>
      </c>
      <c r="L679">
        <v>569.25213942738901</v>
      </c>
      <c r="M679">
        <v>10.090806720466199</v>
      </c>
      <c r="N679">
        <v>58.738758032541</v>
      </c>
      <c r="O679">
        <v>54.331821484009197</v>
      </c>
      <c r="P679">
        <v>-3.88027984399038E-2</v>
      </c>
      <c r="Q679">
        <v>0.16469052163203499</v>
      </c>
      <c r="R679">
        <v>0.98575468365760599</v>
      </c>
      <c r="S679" t="s">
        <v>7349</v>
      </c>
      <c r="T679" t="s">
        <v>13338</v>
      </c>
      <c r="U679" t="s">
        <v>13338</v>
      </c>
      <c r="V679" t="s">
        <v>13338</v>
      </c>
      <c r="W679" t="s">
        <v>14008</v>
      </c>
      <c r="X679">
        <v>10</v>
      </c>
      <c r="Y679" t="s">
        <v>20614</v>
      </c>
      <c r="Z679" t="s">
        <v>27094</v>
      </c>
      <c r="AA679">
        <v>0.63757539687351905</v>
      </c>
      <c r="AB679" t="str">
        <f>HYPERLINK("Melting_Curves/meltCurve_F5H7N9_MFGE8.pdf", "Melting_Curves/meltCurve_F5H7N9_MFGE8.pdf")</f>
        <v>Melting_Curves/meltCurve_F5H7N9_MFGE8.pdf</v>
      </c>
    </row>
    <row r="680" spans="1:28" x14ac:dyDescent="0.25">
      <c r="A680" t="s">
        <v>684</v>
      </c>
      <c r="B680">
        <v>0.99193492352474899</v>
      </c>
      <c r="C680">
        <v>0.80366932334352603</v>
      </c>
      <c r="D680">
        <v>0.84833223897810905</v>
      </c>
      <c r="E680">
        <v>0.66984520322840102</v>
      </c>
      <c r="F680">
        <v>0.630810286393786</v>
      </c>
      <c r="G680">
        <v>0.38917757639047501</v>
      </c>
      <c r="H680">
        <v>0.22609733026621201</v>
      </c>
      <c r="I680">
        <v>0.237671655371824</v>
      </c>
      <c r="J680">
        <v>0.215448540204492</v>
      </c>
      <c r="K680">
        <v>0.198993022423743</v>
      </c>
      <c r="L680">
        <v>474.51549913094198</v>
      </c>
      <c r="M680">
        <v>8.8930482942677909</v>
      </c>
      <c r="N680">
        <v>54.270354069002302</v>
      </c>
      <c r="O680">
        <v>50.866772809582699</v>
      </c>
      <c r="P680">
        <v>-4.0703808820931803E-2</v>
      </c>
      <c r="Q680">
        <v>6.94307147357454E-2</v>
      </c>
      <c r="R680">
        <v>0.96547374521753504</v>
      </c>
      <c r="S680" t="s">
        <v>7350</v>
      </c>
      <c r="T680" t="s">
        <v>13338</v>
      </c>
      <c r="U680" t="s">
        <v>13338</v>
      </c>
      <c r="V680" t="s">
        <v>13338</v>
      </c>
      <c r="W680" t="s">
        <v>14009</v>
      </c>
      <c r="X680">
        <v>1</v>
      </c>
      <c r="Y680" t="s">
        <v>20615</v>
      </c>
      <c r="Z680" t="s">
        <v>27095</v>
      </c>
      <c r="AA680">
        <v>0.51716072007616398</v>
      </c>
      <c r="AB680" t="str">
        <f>HYPERLINK("Melting_Curves/meltCurve_F5H7Z9_REEP1.pdf", "Melting_Curves/meltCurve_F5H7Z9_REEP1.pdf")</f>
        <v>Melting_Curves/meltCurve_F5H7Z9_REEP1.pdf</v>
      </c>
    </row>
    <row r="681" spans="1:28" x14ac:dyDescent="0.25">
      <c r="A681" t="s">
        <v>685</v>
      </c>
      <c r="B681">
        <v>0.99193492352474899</v>
      </c>
      <c r="C681">
        <v>0.86283478389893598</v>
      </c>
      <c r="D681">
        <v>0.86692788187778103</v>
      </c>
      <c r="E681">
        <v>0.679403547337044</v>
      </c>
      <c r="F681">
        <v>0.19254208663709901</v>
      </c>
      <c r="G681">
        <v>0.101780150716257</v>
      </c>
      <c r="H681">
        <v>5.4861620990884798E-2</v>
      </c>
      <c r="I681">
        <v>6.4305299497541102E-2</v>
      </c>
      <c r="J681">
        <v>7.3885173338348806E-2</v>
      </c>
      <c r="K681">
        <v>6.4274437662598494E-2</v>
      </c>
      <c r="L681">
        <v>1322.9357883023699</v>
      </c>
      <c r="M681">
        <v>26.2623447523798</v>
      </c>
      <c r="N681">
        <v>50.597345323565101</v>
      </c>
      <c r="O681">
        <v>50.084516106542701</v>
      </c>
      <c r="P681">
        <v>-0.123912896967769</v>
      </c>
      <c r="Q681">
        <v>5.4760963172679297E-2</v>
      </c>
      <c r="R681">
        <v>0.98179109786669205</v>
      </c>
      <c r="S681" t="s">
        <v>7351</v>
      </c>
      <c r="T681" t="s">
        <v>13338</v>
      </c>
      <c r="U681" t="s">
        <v>13338</v>
      </c>
      <c r="V681" t="s">
        <v>13338</v>
      </c>
      <c r="W681" t="s">
        <v>14010</v>
      </c>
      <c r="X681">
        <v>24</v>
      </c>
      <c r="Y681" t="s">
        <v>20616</v>
      </c>
      <c r="Z681" t="s">
        <v>27096</v>
      </c>
      <c r="AA681">
        <v>0.38930645245423889</v>
      </c>
      <c r="AB681" t="str">
        <f>HYPERLINK("Melting_Curves/meltCurve_F5H801_OGDH.pdf", "Melting_Curves/meltCurve_F5H801_OGDH.pdf")</f>
        <v>Melting_Curves/meltCurve_F5H801_OGDH.pdf</v>
      </c>
    </row>
    <row r="682" spans="1:28" x14ac:dyDescent="0.25">
      <c r="A682" t="s">
        <v>686</v>
      </c>
      <c r="B682">
        <v>0.99193492352474899</v>
      </c>
      <c r="C682">
        <v>1.02379295735131</v>
      </c>
      <c r="D682">
        <v>1.05689802442628</v>
      </c>
      <c r="E682">
        <v>0.95556981462696999</v>
      </c>
      <c r="F682">
        <v>0.73378875806695298</v>
      </c>
      <c r="G682">
        <v>0.79577725443708602</v>
      </c>
      <c r="H682">
        <v>0.59872113789586801</v>
      </c>
      <c r="I682">
        <v>0.85002061381635996</v>
      </c>
      <c r="J682">
        <v>0.90161522103396297</v>
      </c>
      <c r="K682">
        <v>1.05251687948883</v>
      </c>
      <c r="L682">
        <v>12454.5676658422</v>
      </c>
      <c r="M682">
        <v>250</v>
      </c>
      <c r="O682">
        <v>49.815076851491</v>
      </c>
      <c r="P682">
        <v>-0.223233957944619</v>
      </c>
      <c r="Q682">
        <v>0.82207331121745997</v>
      </c>
      <c r="R682">
        <v>0.40656736146227301</v>
      </c>
      <c r="S682" t="s">
        <v>7352</v>
      </c>
      <c r="T682" t="s">
        <v>13338</v>
      </c>
      <c r="U682" t="s">
        <v>13338</v>
      </c>
      <c r="V682" t="s">
        <v>13338</v>
      </c>
      <c r="W682" t="s">
        <v>14011</v>
      </c>
      <c r="X682">
        <v>1</v>
      </c>
      <c r="Y682" t="s">
        <v>20617</v>
      </c>
      <c r="Z682" t="s">
        <v>27097</v>
      </c>
      <c r="AA682">
        <v>0.8803199470228591</v>
      </c>
      <c r="AB682" t="str">
        <f>HYPERLINK("Melting_Curves/meltCurve_F5H843_SLC16A7.pdf", "Melting_Curves/meltCurve_F5H843_SLC16A7.pdf")</f>
        <v>Melting_Curves/meltCurve_F5H843_SLC16A7.pdf</v>
      </c>
    </row>
    <row r="683" spans="1:28" x14ac:dyDescent="0.25">
      <c r="A683" t="s">
        <v>687</v>
      </c>
      <c r="B683">
        <v>0.99193492352474899</v>
      </c>
      <c r="C683">
        <v>0.92132685478740495</v>
      </c>
      <c r="D683">
        <v>0.89355373624228496</v>
      </c>
      <c r="E683">
        <v>0.74659970566297396</v>
      </c>
      <c r="F683">
        <v>0.54456781273645205</v>
      </c>
      <c r="G683">
        <v>0.173349380764933</v>
      </c>
      <c r="H683">
        <v>8.65962539321872E-2</v>
      </c>
      <c r="I683">
        <v>9.7667639151483299E-2</v>
      </c>
      <c r="J683">
        <v>0.102569098748246</v>
      </c>
      <c r="K683">
        <v>8.2179768703468006E-2</v>
      </c>
      <c r="L683">
        <v>966.440686442676</v>
      </c>
      <c r="M683">
        <v>18.415188475382699</v>
      </c>
      <c r="N683">
        <v>52.817263767196302</v>
      </c>
      <c r="O683">
        <v>51.873517703068302</v>
      </c>
      <c r="P683">
        <v>-8.3839933346975107E-2</v>
      </c>
      <c r="Q683">
        <v>5.5372092042956303E-2</v>
      </c>
      <c r="R683">
        <v>0.98630013446471099</v>
      </c>
      <c r="S683" t="s">
        <v>7353</v>
      </c>
      <c r="T683" t="s">
        <v>13338</v>
      </c>
      <c r="U683" t="s">
        <v>13338</v>
      </c>
      <c r="V683" t="s">
        <v>13338</v>
      </c>
      <c r="W683" t="s">
        <v>14012</v>
      </c>
      <c r="X683">
        <v>29</v>
      </c>
      <c r="Y683" t="s">
        <v>20618</v>
      </c>
      <c r="Z683" t="s">
        <v>27098</v>
      </c>
      <c r="AA683">
        <v>0.46338276493561747</v>
      </c>
      <c r="AB683" t="str">
        <f>HYPERLINK("Melting_Curves/meltCurve_F5H860_INPP4A.pdf", "Melting_Curves/meltCurve_F5H860_INPP4A.pdf")</f>
        <v>Melting_Curves/meltCurve_F5H860_INPP4A.pdf</v>
      </c>
    </row>
    <row r="684" spans="1:28" x14ac:dyDescent="0.25">
      <c r="A684" t="s">
        <v>688</v>
      </c>
      <c r="B684">
        <v>0.99193492352474899</v>
      </c>
      <c r="C684">
        <v>0.60658697505944403</v>
      </c>
      <c r="D684">
        <v>0.82283287468175204</v>
      </c>
      <c r="E684">
        <v>0.41846758263218298</v>
      </c>
      <c r="F684">
        <v>0.158546826484352</v>
      </c>
      <c r="G684">
        <v>8.2533014071313304E-2</v>
      </c>
      <c r="H684">
        <v>4.2174680273827897E-2</v>
      </c>
      <c r="I684">
        <v>4.3507501425449402E-2</v>
      </c>
      <c r="J684">
        <v>7.3022837553548603E-2</v>
      </c>
      <c r="K684">
        <v>5.0219416119012497E-2</v>
      </c>
      <c r="L684">
        <v>643.12776212015604</v>
      </c>
      <c r="M684">
        <v>13.375757990616799</v>
      </c>
      <c r="N684">
        <v>48.1395957033915</v>
      </c>
      <c r="O684">
        <v>47.045018412198502</v>
      </c>
      <c r="P684">
        <v>-7.0522541891006596E-2</v>
      </c>
      <c r="Q684">
        <v>7.9933974395152707E-3</v>
      </c>
      <c r="R684">
        <v>0.91911504005858402</v>
      </c>
      <c r="S684" t="s">
        <v>7354</v>
      </c>
      <c r="T684" t="s">
        <v>13338</v>
      </c>
      <c r="U684" t="s">
        <v>13338</v>
      </c>
      <c r="V684" t="s">
        <v>13338</v>
      </c>
      <c r="W684" t="s">
        <v>14013</v>
      </c>
      <c r="X684">
        <v>4</v>
      </c>
      <c r="Y684" t="s">
        <v>20619</v>
      </c>
      <c r="Z684" t="s">
        <v>27099</v>
      </c>
      <c r="AA684">
        <v>0.30692899556224651</v>
      </c>
      <c r="AB684" t="str">
        <f>HYPERLINK("Melting_Curves/meltCurve_F5H874_ASCC1.pdf", "Melting_Curves/meltCurve_F5H874_ASCC1.pdf")</f>
        <v>Melting_Curves/meltCurve_F5H874_ASCC1.pdf</v>
      </c>
    </row>
    <row r="685" spans="1:28" x14ac:dyDescent="0.25">
      <c r="A685" t="s">
        <v>689</v>
      </c>
      <c r="B685">
        <v>0.99193492352474899</v>
      </c>
      <c r="C685">
        <v>0.91263052441959103</v>
      </c>
      <c r="D685">
        <v>0.82704425702800899</v>
      </c>
      <c r="E685">
        <v>0.699534076295657</v>
      </c>
      <c r="F685">
        <v>0.50945955380522501</v>
      </c>
      <c r="G685">
        <v>0.46288116315307898</v>
      </c>
      <c r="H685">
        <v>0.28089857131808399</v>
      </c>
      <c r="I685">
        <v>0.29247208630761001</v>
      </c>
      <c r="J685">
        <v>0.30864651545206201</v>
      </c>
      <c r="K685">
        <v>0.32737397438809401</v>
      </c>
      <c r="L685">
        <v>642.25481055863895</v>
      </c>
      <c r="M685">
        <v>12.6961888694598</v>
      </c>
      <c r="N685">
        <v>53.8496990594344</v>
      </c>
      <c r="O685">
        <v>49.380689813183501</v>
      </c>
      <c r="P685">
        <v>-4.7037380962610703E-2</v>
      </c>
      <c r="Q685">
        <v>0.26835099170181698</v>
      </c>
      <c r="R685">
        <v>0.98525830862744501</v>
      </c>
      <c r="S685" t="s">
        <v>7355</v>
      </c>
      <c r="T685" t="s">
        <v>13338</v>
      </c>
      <c r="U685" t="s">
        <v>13338</v>
      </c>
      <c r="V685" t="s">
        <v>13338</v>
      </c>
      <c r="W685" t="s">
        <v>14014</v>
      </c>
      <c r="X685">
        <v>12</v>
      </c>
      <c r="Y685" t="s">
        <v>20620</v>
      </c>
      <c r="Z685" t="s">
        <v>27100</v>
      </c>
      <c r="AA685">
        <v>0.54899523748277856</v>
      </c>
      <c r="AB685" t="str">
        <f>HYPERLINK("Melting_Curves/meltCurve_F5H877_SPINT1.pdf", "Melting_Curves/meltCurve_F5H877_SPINT1.pdf")</f>
        <v>Melting_Curves/meltCurve_F5H877_SPINT1.pdf</v>
      </c>
    </row>
    <row r="686" spans="1:28" x14ac:dyDescent="0.25">
      <c r="A686" t="s">
        <v>690</v>
      </c>
      <c r="B686">
        <v>0.99193492352474899</v>
      </c>
      <c r="C686">
        <v>0.90662180383096902</v>
      </c>
      <c r="D686">
        <v>0.90305327831596305</v>
      </c>
      <c r="E686">
        <v>0.65799901577742004</v>
      </c>
      <c r="F686">
        <v>0.53326409481170201</v>
      </c>
      <c r="G686">
        <v>0.220938816397032</v>
      </c>
      <c r="H686">
        <v>7.4273025010611393E-2</v>
      </c>
      <c r="I686">
        <v>7.7016319743655498E-2</v>
      </c>
      <c r="J686">
        <v>8.4690150995701596E-2</v>
      </c>
      <c r="K686">
        <v>7.3670251911152299E-2</v>
      </c>
      <c r="L686">
        <v>773.07908158627799</v>
      </c>
      <c r="M686">
        <v>14.775901452562101</v>
      </c>
      <c r="N686">
        <v>52.484970677659497</v>
      </c>
      <c r="O686">
        <v>51.389975801963402</v>
      </c>
      <c r="P686">
        <v>-7.0260180120661403E-2</v>
      </c>
      <c r="Q686">
        <v>2.2656680521584201E-2</v>
      </c>
      <c r="R686">
        <v>0.98687146089086297</v>
      </c>
      <c r="S686" t="s">
        <v>7356</v>
      </c>
      <c r="T686" t="s">
        <v>13338</v>
      </c>
      <c r="U686" t="s">
        <v>13338</v>
      </c>
      <c r="V686" t="s">
        <v>13338</v>
      </c>
      <c r="W686" t="s">
        <v>14015</v>
      </c>
      <c r="X686">
        <v>33</v>
      </c>
      <c r="Y686" t="s">
        <v>20621</v>
      </c>
      <c r="Z686" t="s">
        <v>27101</v>
      </c>
      <c r="AA686">
        <v>0.44611435348934397</v>
      </c>
      <c r="AB686" t="str">
        <f>HYPERLINK("Melting_Curves/meltCurve_F5H897_TRAP1.pdf", "Melting_Curves/meltCurve_F5H897_TRAP1.pdf")</f>
        <v>Melting_Curves/meltCurve_F5H897_TRAP1.pdf</v>
      </c>
    </row>
    <row r="687" spans="1:28" x14ac:dyDescent="0.25">
      <c r="A687" t="s">
        <v>691</v>
      </c>
      <c r="B687">
        <v>0.99193492352474899</v>
      </c>
      <c r="C687">
        <v>0.87625793487257897</v>
      </c>
      <c r="D687">
        <v>0.849644984540185</v>
      </c>
      <c r="E687">
        <v>0.66958415148452699</v>
      </c>
      <c r="F687">
        <v>0.56465419394792804</v>
      </c>
      <c r="G687">
        <v>0.26888858961284401</v>
      </c>
      <c r="H687">
        <v>7.6055269721809399E-2</v>
      </c>
      <c r="I687">
        <v>5.9906999123664803E-2</v>
      </c>
      <c r="J687">
        <v>6.2816529268738097E-2</v>
      </c>
      <c r="K687">
        <v>6.3905749220861702E-2</v>
      </c>
      <c r="L687">
        <v>685.30578559055004</v>
      </c>
      <c r="M687">
        <v>13.0047816615863</v>
      </c>
      <c r="N687">
        <v>52.696459345976102</v>
      </c>
      <c r="O687">
        <v>51.497111630254899</v>
      </c>
      <c r="P687">
        <v>-6.3144686298638703E-2</v>
      </c>
      <c r="Q687">
        <v>0</v>
      </c>
      <c r="R687">
        <v>0.982599093161451</v>
      </c>
      <c r="S687" t="s">
        <v>7357</v>
      </c>
      <c r="T687" t="s">
        <v>13338</v>
      </c>
      <c r="U687" t="s">
        <v>13338</v>
      </c>
      <c r="V687" t="s">
        <v>13338</v>
      </c>
      <c r="W687" t="s">
        <v>14016</v>
      </c>
      <c r="X687">
        <v>6</v>
      </c>
      <c r="Y687" t="s">
        <v>20622</v>
      </c>
      <c r="Z687" t="s">
        <v>27102</v>
      </c>
      <c r="AA687">
        <v>0.44963426983821342</v>
      </c>
      <c r="AB687" t="str">
        <f>HYPERLINK("Melting_Curves/meltCurve_F5H8H2_MVK.pdf", "Melting_Curves/meltCurve_F5H8H2_MVK.pdf")</f>
        <v>Melting_Curves/meltCurve_F5H8H2_MVK.pdf</v>
      </c>
    </row>
    <row r="688" spans="1:28" x14ac:dyDescent="0.25">
      <c r="A688" t="s">
        <v>692</v>
      </c>
      <c r="B688">
        <v>0.99193492352474899</v>
      </c>
      <c r="C688">
        <v>0.89496828845405796</v>
      </c>
      <c r="D688">
        <v>0.95998523746782305</v>
      </c>
      <c r="E688">
        <v>0.49033914776979498</v>
      </c>
      <c r="F688">
        <v>0.22387689589912799</v>
      </c>
      <c r="G688">
        <v>9.8355273732611298E-2</v>
      </c>
      <c r="H688">
        <v>7.2990372153626706E-2</v>
      </c>
      <c r="I688">
        <v>9.4971067734770806E-2</v>
      </c>
      <c r="J688">
        <v>0.13262230745012801</v>
      </c>
      <c r="K688">
        <v>0.16216824588331</v>
      </c>
      <c r="L688">
        <v>1615.1488026858799</v>
      </c>
      <c r="M688">
        <v>32.781665877107002</v>
      </c>
      <c r="N688">
        <v>49.664945432504403</v>
      </c>
      <c r="O688">
        <v>49.0876198617268</v>
      </c>
      <c r="P688">
        <v>-0.14779357707617599</v>
      </c>
      <c r="Q688">
        <v>0.114773271043538</v>
      </c>
      <c r="R688">
        <v>0.98641743231887602</v>
      </c>
      <c r="S688" t="s">
        <v>7358</v>
      </c>
      <c r="T688" t="s">
        <v>13338</v>
      </c>
      <c r="U688" t="s">
        <v>13338</v>
      </c>
      <c r="V688" t="s">
        <v>13338</v>
      </c>
      <c r="W688" t="s">
        <v>14017</v>
      </c>
      <c r="X688">
        <v>7</v>
      </c>
      <c r="Y688" t="s">
        <v>20623</v>
      </c>
      <c r="Z688" t="s">
        <v>27103</v>
      </c>
      <c r="AA688">
        <v>0.39282255942021038</v>
      </c>
      <c r="AB688" t="str">
        <f>HYPERLINK("Melting_Curves/meltCurve_F5H8J3_CLPTM1.pdf", "Melting_Curves/meltCurve_F5H8J3_CLPTM1.pdf")</f>
        <v>Melting_Curves/meltCurve_F5H8J3_CLPTM1.pdf</v>
      </c>
    </row>
    <row r="689" spans="1:28" x14ac:dyDescent="0.25">
      <c r="A689" t="s">
        <v>693</v>
      </c>
      <c r="B689">
        <v>0.99193492352474899</v>
      </c>
      <c r="C689">
        <v>0.87349913483714003</v>
      </c>
      <c r="D689">
        <v>0.95941164780340205</v>
      </c>
      <c r="E689">
        <v>0.51437649448971401</v>
      </c>
      <c r="F689">
        <v>0.196514360432687</v>
      </c>
      <c r="G689">
        <v>0.134776934204417</v>
      </c>
      <c r="H689">
        <v>6.7297294571190006E-2</v>
      </c>
      <c r="I689">
        <v>8.0669982270777096E-2</v>
      </c>
      <c r="J689">
        <v>8.6180638284106201E-2</v>
      </c>
      <c r="K689">
        <v>0.105286728713554</v>
      </c>
      <c r="L689">
        <v>1506.03743668886</v>
      </c>
      <c r="M689">
        <v>30.4368773460806</v>
      </c>
      <c r="N689">
        <v>49.809243107276401</v>
      </c>
      <c r="O689">
        <v>49.268559914229201</v>
      </c>
      <c r="P689">
        <v>-0.14039686481040001</v>
      </c>
      <c r="Q689">
        <v>9.0956835721406698E-2</v>
      </c>
      <c r="R689">
        <v>0.98737960252217805</v>
      </c>
      <c r="S689" t="s">
        <v>7359</v>
      </c>
      <c r="T689" t="s">
        <v>13338</v>
      </c>
      <c r="U689" t="s">
        <v>13338</v>
      </c>
      <c r="V689" t="s">
        <v>13338</v>
      </c>
      <c r="W689" t="s">
        <v>14018</v>
      </c>
      <c r="X689">
        <v>6</v>
      </c>
      <c r="Y689" t="s">
        <v>20624</v>
      </c>
      <c r="Z689" t="s">
        <v>27104</v>
      </c>
      <c r="AA689">
        <v>0.383649817961289</v>
      </c>
      <c r="AB689" t="str">
        <f>HYPERLINK("Melting_Curves/meltCurve_F5H8L0_RABGAP1L.pdf", "Melting_Curves/meltCurve_F5H8L0_RABGAP1L.pdf")</f>
        <v>Melting_Curves/meltCurve_F5H8L0_RABGAP1L.pdf</v>
      </c>
    </row>
    <row r="690" spans="1:28" x14ac:dyDescent="0.25">
      <c r="A690" t="s">
        <v>694</v>
      </c>
      <c r="B690">
        <v>0.99193492352474899</v>
      </c>
      <c r="C690">
        <v>1.1224189449141799</v>
      </c>
      <c r="D690">
        <v>1.0022827288130001</v>
      </c>
      <c r="E690">
        <v>0.85163951124439996</v>
      </c>
      <c r="F690">
        <v>0.74189707637064894</v>
      </c>
      <c r="G690">
        <v>0.59468655051998498</v>
      </c>
      <c r="H690">
        <v>0.440230756928367</v>
      </c>
      <c r="I690">
        <v>0.45421855720576898</v>
      </c>
      <c r="J690">
        <v>0.41200415501508397</v>
      </c>
      <c r="K690">
        <v>0.248540447709859</v>
      </c>
      <c r="L690">
        <v>753.17979563348194</v>
      </c>
      <c r="M690">
        <v>13.532194856766001</v>
      </c>
      <c r="N690">
        <v>59.494431391070698</v>
      </c>
      <c r="O690">
        <v>54.485069543368198</v>
      </c>
      <c r="P690">
        <v>-4.4026086229246399E-2</v>
      </c>
      <c r="Q690">
        <v>0.29105308160404503</v>
      </c>
      <c r="R690">
        <v>0.95573325009537102</v>
      </c>
      <c r="S690" t="s">
        <v>7360</v>
      </c>
      <c r="T690" t="s">
        <v>13338</v>
      </c>
      <c r="U690" t="s">
        <v>13338</v>
      </c>
      <c r="V690" t="s">
        <v>13338</v>
      </c>
      <c r="W690" t="s">
        <v>14019</v>
      </c>
      <c r="X690">
        <v>5</v>
      </c>
      <c r="Y690" t="s">
        <v>20625</v>
      </c>
      <c r="Z690" t="s">
        <v>27105</v>
      </c>
      <c r="AA690">
        <v>0.67522354774519289</v>
      </c>
      <c r="AB690" t="str">
        <f>HYPERLINK("Melting_Curves/meltCurve_F5H8L4_SIDT2.pdf", "Melting_Curves/meltCurve_F5H8L4_SIDT2.pdf")</f>
        <v>Melting_Curves/meltCurve_F5H8L4_SIDT2.pdf</v>
      </c>
    </row>
    <row r="691" spans="1:28" x14ac:dyDescent="0.25">
      <c r="A691" t="s">
        <v>695</v>
      </c>
      <c r="B691">
        <v>0.99193492352474899</v>
      </c>
      <c r="C691">
        <v>0.731429302345043</v>
      </c>
      <c r="D691">
        <v>0.94545245976732395</v>
      </c>
      <c r="E691">
        <v>0.68911930089478302</v>
      </c>
      <c r="F691">
        <v>0.49215287505386801</v>
      </c>
      <c r="G691">
        <v>0.28608671879048703</v>
      </c>
      <c r="H691">
        <v>0.17950872346156299</v>
      </c>
      <c r="I691">
        <v>0.145043945063034</v>
      </c>
      <c r="J691">
        <v>0.22947615202699001</v>
      </c>
      <c r="K691">
        <v>0.19705443218765001</v>
      </c>
      <c r="L691">
        <v>714.78902380445095</v>
      </c>
      <c r="M691">
        <v>13.9239817936788</v>
      </c>
      <c r="N691">
        <v>52.579850052400701</v>
      </c>
      <c r="O691">
        <v>50.310999113451103</v>
      </c>
      <c r="P691">
        <v>-5.9483138345949101E-2</v>
      </c>
      <c r="Q691">
        <v>0.14040325561620801</v>
      </c>
      <c r="R691">
        <v>0.93201722769586304</v>
      </c>
      <c r="S691" t="s">
        <v>7361</v>
      </c>
      <c r="T691" t="s">
        <v>13338</v>
      </c>
      <c r="U691" t="s">
        <v>13338</v>
      </c>
      <c r="V691" t="s">
        <v>13338</v>
      </c>
      <c r="W691" t="s">
        <v>14020</v>
      </c>
      <c r="X691">
        <v>1</v>
      </c>
      <c r="Y691" t="s">
        <v>20626</v>
      </c>
      <c r="Z691" t="s">
        <v>27106</v>
      </c>
      <c r="AA691">
        <v>0.48728629718499128</v>
      </c>
      <c r="AB691" t="str">
        <f>HYPERLINK("Melting_Curves/meltCurve_F6PQP6_EPN2.pdf", "Melting_Curves/meltCurve_F6PQP6_EPN2.pdf")</f>
        <v>Melting_Curves/meltCurve_F6PQP6_EPN2.pdf</v>
      </c>
    </row>
    <row r="692" spans="1:28" x14ac:dyDescent="0.25">
      <c r="A692" t="s">
        <v>696</v>
      </c>
      <c r="B692">
        <v>0.99193492352474899</v>
      </c>
      <c r="C692">
        <v>1.2825995712468099</v>
      </c>
      <c r="D692">
        <v>0.93780335104032797</v>
      </c>
      <c r="E692">
        <v>0.52615350525272397</v>
      </c>
      <c r="F692">
        <v>0.216717489422315</v>
      </c>
      <c r="G692">
        <v>0.168204976889405</v>
      </c>
      <c r="H692">
        <v>9.6423597979383699E-2</v>
      </c>
      <c r="I692">
        <v>0.140170859153186</v>
      </c>
      <c r="J692">
        <v>0.183776350923153</v>
      </c>
      <c r="K692">
        <v>0.147546691620041</v>
      </c>
      <c r="L692">
        <v>1911.0749929179899</v>
      </c>
      <c r="M692">
        <v>38.735565962590499</v>
      </c>
      <c r="N692">
        <v>49.791863392153701</v>
      </c>
      <c r="O692">
        <v>49.205522983954502</v>
      </c>
      <c r="P692">
        <v>-0.16744882712197201</v>
      </c>
      <c r="Q692">
        <v>0.14916605784699899</v>
      </c>
      <c r="R692">
        <v>0.95053711415849396</v>
      </c>
      <c r="S692" t="s">
        <v>7362</v>
      </c>
      <c r="T692" t="s">
        <v>13338</v>
      </c>
      <c r="U692" t="s">
        <v>13338</v>
      </c>
      <c r="V692" t="s">
        <v>13338</v>
      </c>
      <c r="W692" t="s">
        <v>14021</v>
      </c>
      <c r="X692">
        <v>1</v>
      </c>
      <c r="Y692" t="s">
        <v>20627</v>
      </c>
      <c r="Z692" t="s">
        <v>27107</v>
      </c>
      <c r="AA692">
        <v>0.41705678429281312</v>
      </c>
      <c r="AB692" t="str">
        <f>HYPERLINK("Melting_Curves/meltCurve_F6RAJ7_CDPF1.pdf", "Melting_Curves/meltCurve_F6RAJ7_CDPF1.pdf")</f>
        <v>Melting_Curves/meltCurve_F6RAJ7_CDPF1.pdf</v>
      </c>
    </row>
    <row r="693" spans="1:28" x14ac:dyDescent="0.25">
      <c r="A693" t="s">
        <v>697</v>
      </c>
      <c r="B693">
        <v>0.99193492352474899</v>
      </c>
      <c r="C693">
        <v>0.99412575659328295</v>
      </c>
      <c r="D693">
        <v>0.92810129921928597</v>
      </c>
      <c r="E693">
        <v>0.72134786201662005</v>
      </c>
      <c r="F693">
        <v>0.302184538876546</v>
      </c>
      <c r="G693">
        <v>0.114345323981786</v>
      </c>
      <c r="H693">
        <v>6.4441616144091399E-2</v>
      </c>
      <c r="I693">
        <v>7.5745282720714097E-2</v>
      </c>
      <c r="J693">
        <v>7.6707191423863397E-2</v>
      </c>
      <c r="K693">
        <v>7.6825460325210093E-2</v>
      </c>
      <c r="L693">
        <v>1386.1713849204</v>
      </c>
      <c r="M693">
        <v>27.1414443463357</v>
      </c>
      <c r="N693">
        <v>51.344711053140898</v>
      </c>
      <c r="O693">
        <v>50.797296319688598</v>
      </c>
      <c r="P693">
        <v>-0.12461607380603</v>
      </c>
      <c r="Q693">
        <v>6.7094864551196301E-2</v>
      </c>
      <c r="R693">
        <v>0.99913765920362696</v>
      </c>
      <c r="S693" t="s">
        <v>7363</v>
      </c>
      <c r="T693" t="s">
        <v>13338</v>
      </c>
      <c r="U693" t="s">
        <v>13338</v>
      </c>
      <c r="V693" t="s">
        <v>13338</v>
      </c>
      <c r="W693" t="s">
        <v>14022</v>
      </c>
      <c r="X693">
        <v>18</v>
      </c>
      <c r="Y693" t="s">
        <v>20628</v>
      </c>
      <c r="Z693" t="s">
        <v>27108</v>
      </c>
      <c r="AA693">
        <v>0.41857355000000718</v>
      </c>
      <c r="AB693" t="str">
        <f>HYPERLINK("Melting_Curves/meltCurve_F6T1Q0_PDE12.pdf", "Melting_Curves/meltCurve_F6T1Q0_PDE12.pdf")</f>
        <v>Melting_Curves/meltCurve_F6T1Q0_PDE12.pdf</v>
      </c>
    </row>
    <row r="694" spans="1:28" x14ac:dyDescent="0.25">
      <c r="A694" t="s">
        <v>698</v>
      </c>
      <c r="B694">
        <v>0.99193492352474899</v>
      </c>
      <c r="C694">
        <v>0.73081654676518304</v>
      </c>
      <c r="D694">
        <v>0.887577714036757</v>
      </c>
      <c r="E694">
        <v>0.63641601009156101</v>
      </c>
      <c r="F694">
        <v>0.449751187417468</v>
      </c>
      <c r="G694">
        <v>0.16604358835887401</v>
      </c>
      <c r="H694">
        <v>9.1990476568091201E-2</v>
      </c>
      <c r="I694">
        <v>0.10337334012013499</v>
      </c>
      <c r="J694">
        <v>0.155845416778366</v>
      </c>
      <c r="K694">
        <v>0.15023116576710799</v>
      </c>
      <c r="L694">
        <v>700.40853773574497</v>
      </c>
      <c r="M694">
        <v>13.807501234221601</v>
      </c>
      <c r="N694">
        <v>51.3317951283165</v>
      </c>
      <c r="O694">
        <v>49.698166601536897</v>
      </c>
      <c r="P694">
        <v>-6.4249122726062993E-2</v>
      </c>
      <c r="Q694">
        <v>7.5106756762667995E-2</v>
      </c>
      <c r="R694">
        <v>0.94016503216759895</v>
      </c>
      <c r="S694" t="s">
        <v>7364</v>
      </c>
      <c r="T694" t="s">
        <v>13338</v>
      </c>
      <c r="U694" t="s">
        <v>13338</v>
      </c>
      <c r="V694" t="s">
        <v>13338</v>
      </c>
      <c r="W694" t="s">
        <v>14023</v>
      </c>
      <c r="X694">
        <v>6</v>
      </c>
      <c r="Y694" t="s">
        <v>20629</v>
      </c>
      <c r="Z694" t="s">
        <v>27109</v>
      </c>
      <c r="AA694">
        <v>0.43051568531069051</v>
      </c>
      <c r="AB694" t="str">
        <f>HYPERLINK("Melting_Curves/meltCurve_F6U1T9_PPP3R1.pdf", "Melting_Curves/meltCurve_F6U1T9_PPP3R1.pdf")</f>
        <v>Melting_Curves/meltCurve_F6U1T9_PPP3R1.pdf</v>
      </c>
    </row>
    <row r="695" spans="1:28" x14ac:dyDescent="0.25">
      <c r="A695" t="s">
        <v>699</v>
      </c>
      <c r="B695">
        <v>0.99193492352474899</v>
      </c>
      <c r="C695">
        <v>0.56219163379072401</v>
      </c>
      <c r="D695">
        <v>0.71014182817805205</v>
      </c>
      <c r="E695">
        <v>0.51116840041827805</v>
      </c>
      <c r="F695">
        <v>0.433647259219057</v>
      </c>
      <c r="G695">
        <v>0.26355462051998602</v>
      </c>
      <c r="H695">
        <v>0.29554455631411902</v>
      </c>
      <c r="I695">
        <v>0.446560491465406</v>
      </c>
      <c r="J695">
        <v>0.55566783759383598</v>
      </c>
      <c r="K695">
        <v>0.79796074996749899</v>
      </c>
      <c r="L695">
        <v>3199.5376953960699</v>
      </c>
      <c r="M695">
        <v>76.491173619746604</v>
      </c>
      <c r="O695">
        <v>41.800283794345198</v>
      </c>
      <c r="P695">
        <v>-0.22812676080632699</v>
      </c>
      <c r="Q695">
        <v>0.50134053272525902</v>
      </c>
      <c r="R695">
        <v>0.470060154946779</v>
      </c>
      <c r="S695" t="s">
        <v>7365</v>
      </c>
      <c r="T695" t="s">
        <v>13338</v>
      </c>
      <c r="U695" t="s">
        <v>13338</v>
      </c>
      <c r="V695" t="s">
        <v>13338</v>
      </c>
      <c r="W695" t="s">
        <v>14024</v>
      </c>
      <c r="X695">
        <v>4</v>
      </c>
      <c r="Y695" t="s">
        <v>20630</v>
      </c>
      <c r="Z695" t="s">
        <v>27110</v>
      </c>
      <c r="AA695">
        <v>0.5323734238018728</v>
      </c>
      <c r="AB695" t="str">
        <f>HYPERLINK("Melting_Curves/meltCurve_F6VZ39_RBM38.pdf", "Melting_Curves/meltCurve_F6VZ39_RBM38.pdf")</f>
        <v>Melting_Curves/meltCurve_F6VZ39_RBM38.pdf</v>
      </c>
    </row>
    <row r="696" spans="1:28" x14ac:dyDescent="0.25">
      <c r="A696" t="s">
        <v>700</v>
      </c>
      <c r="B696">
        <v>0.99193492352474899</v>
      </c>
      <c r="C696">
        <v>1.2662750040588899</v>
      </c>
      <c r="D696">
        <v>1.3908517740819799</v>
      </c>
      <c r="E696">
        <v>1.1058009156761099</v>
      </c>
      <c r="F696">
        <v>0.35423881974080901</v>
      </c>
      <c r="G696">
        <v>0.18036129420854699</v>
      </c>
      <c r="H696">
        <v>0.106971438243759</v>
      </c>
      <c r="I696">
        <v>0.12290048583017101</v>
      </c>
      <c r="J696">
        <v>0.23667229203057799</v>
      </c>
      <c r="K696">
        <v>0.18094353342089201</v>
      </c>
      <c r="L696">
        <v>13234.5408459071</v>
      </c>
      <c r="M696">
        <v>250</v>
      </c>
      <c r="N696">
        <v>53.023467007504301</v>
      </c>
      <c r="O696">
        <v>52.934775818888397</v>
      </c>
      <c r="P696">
        <v>-0.98521032828255095</v>
      </c>
      <c r="Q696">
        <v>0.165569797179972</v>
      </c>
      <c r="R696">
        <v>0.90145656101006599</v>
      </c>
      <c r="S696" t="s">
        <v>7366</v>
      </c>
      <c r="T696" t="s">
        <v>13338</v>
      </c>
      <c r="U696" t="s">
        <v>13338</v>
      </c>
      <c r="V696" t="s">
        <v>13338</v>
      </c>
      <c r="W696" t="s">
        <v>14025</v>
      </c>
      <c r="X696">
        <v>4</v>
      </c>
      <c r="Y696" t="s">
        <v>20631</v>
      </c>
      <c r="Z696" t="s">
        <v>27111</v>
      </c>
      <c r="AA696">
        <v>0.52551379700670486</v>
      </c>
      <c r="AB696" t="str">
        <f>HYPERLINK("Melting_Curves/meltCurve_F6WCX7_MAP2K7.pdf", "Melting_Curves/meltCurve_F6WCX7_MAP2K7.pdf")</f>
        <v>Melting_Curves/meltCurve_F6WCX7_MAP2K7.pdf</v>
      </c>
    </row>
    <row r="697" spans="1:28" x14ac:dyDescent="0.25">
      <c r="A697" t="s">
        <v>701</v>
      </c>
      <c r="B697">
        <v>0.99193492352474899</v>
      </c>
      <c r="C697">
        <v>0.61874121483072497</v>
      </c>
      <c r="D697">
        <v>0.73723465301376001</v>
      </c>
      <c r="E697">
        <v>0.69639039638751499</v>
      </c>
      <c r="F697">
        <v>0.47136966430973098</v>
      </c>
      <c r="G697">
        <v>1.66821144983759</v>
      </c>
      <c r="H697">
        <v>0.48484208656795502</v>
      </c>
      <c r="I697">
        <v>0.87652333039158803</v>
      </c>
      <c r="J697">
        <v>0.73005630301293101</v>
      </c>
      <c r="K697">
        <v>3.58569397284155</v>
      </c>
      <c r="L697">
        <v>15000</v>
      </c>
      <c r="M697">
        <v>219.93842813563899</v>
      </c>
      <c r="O697">
        <v>68.195266926419507</v>
      </c>
      <c r="P697">
        <v>0.403140933837766</v>
      </c>
      <c r="Q697">
        <v>1.5</v>
      </c>
      <c r="R697">
        <v>0.28094934308176001</v>
      </c>
      <c r="S697" t="s">
        <v>7367</v>
      </c>
      <c r="T697" t="s">
        <v>13338</v>
      </c>
      <c r="U697" t="s">
        <v>13338</v>
      </c>
      <c r="V697" t="s">
        <v>13338</v>
      </c>
      <c r="W697" t="s">
        <v>14026</v>
      </c>
      <c r="X697">
        <v>7</v>
      </c>
      <c r="Y697" t="s">
        <v>20632</v>
      </c>
      <c r="Z697" t="s">
        <v>27112</v>
      </c>
      <c r="AA697">
        <v>1.029926822580931</v>
      </c>
      <c r="AB697" t="str">
        <f>HYPERLINK("Melting_Curves/meltCurve_F6XY72_NME2.pdf", "Melting_Curves/meltCurve_F6XY72_NME2.pdf")</f>
        <v>Melting_Curves/meltCurve_F6XY72_NME2.pdf</v>
      </c>
    </row>
    <row r="698" spans="1:28" x14ac:dyDescent="0.25">
      <c r="A698" t="s">
        <v>702</v>
      </c>
      <c r="B698">
        <v>0.99193492352474899</v>
      </c>
      <c r="C698">
        <v>1.65290454395155</v>
      </c>
      <c r="D698">
        <v>0.69530950969054295</v>
      </c>
      <c r="E698">
        <v>0.88529972323301098</v>
      </c>
      <c r="F698">
        <v>0.19379946475314699</v>
      </c>
      <c r="G698">
        <v>0.30727371495550099</v>
      </c>
      <c r="H698">
        <v>0.19629107531819401</v>
      </c>
      <c r="I698">
        <v>0.20450203664112501</v>
      </c>
      <c r="J698">
        <v>0.247754277342986</v>
      </c>
      <c r="K698">
        <v>0.49350190951758199</v>
      </c>
      <c r="L698">
        <v>12483.0057460516</v>
      </c>
      <c r="M698">
        <v>250</v>
      </c>
      <c r="N698">
        <v>50.090973959144897</v>
      </c>
      <c r="O698">
        <v>49.928842932700903</v>
      </c>
      <c r="P698">
        <v>-0.90897672159667697</v>
      </c>
      <c r="Q698">
        <v>0.273853726432503</v>
      </c>
      <c r="R698">
        <v>0.71482164647951696</v>
      </c>
      <c r="S698" t="s">
        <v>7368</v>
      </c>
      <c r="T698" t="s">
        <v>13338</v>
      </c>
      <c r="U698" t="s">
        <v>13338</v>
      </c>
      <c r="V698" t="s">
        <v>13338</v>
      </c>
      <c r="W698" t="s">
        <v>14027</v>
      </c>
      <c r="X698">
        <v>18</v>
      </c>
      <c r="Y698" t="s">
        <v>20417</v>
      </c>
      <c r="Z698" t="s">
        <v>27113</v>
      </c>
      <c r="AA698">
        <v>0.51432074120697824</v>
      </c>
      <c r="AB698" t="str">
        <f>HYPERLINK("Melting_Curves/meltCurve_F8VP89_EIF4B.pdf", "Melting_Curves/meltCurve_F8VP89_EIF4B.pdf")</f>
        <v>Melting_Curves/meltCurve_F8VP89_EIF4B.pdf</v>
      </c>
    </row>
    <row r="699" spans="1:28" x14ac:dyDescent="0.25">
      <c r="A699" t="s">
        <v>703</v>
      </c>
      <c r="B699">
        <v>0.99193492352474899</v>
      </c>
      <c r="C699">
        <v>0.75213432663209101</v>
      </c>
      <c r="D699">
        <v>0.70623643056629504</v>
      </c>
      <c r="E699">
        <v>0.33341357386854797</v>
      </c>
      <c r="F699">
        <v>0.15787480521250499</v>
      </c>
      <c r="G699">
        <v>9.3793722696522003E-2</v>
      </c>
      <c r="H699">
        <v>5.72027348711098E-2</v>
      </c>
      <c r="I699">
        <v>7.1835331620474299E-2</v>
      </c>
      <c r="J699">
        <v>9.7192614975722805E-2</v>
      </c>
      <c r="K699">
        <v>0.105387037278736</v>
      </c>
      <c r="L699">
        <v>807.92071018147703</v>
      </c>
      <c r="M699">
        <v>17.1409445001043</v>
      </c>
      <c r="N699">
        <v>47.5229897245977</v>
      </c>
      <c r="O699">
        <v>46.506459695674003</v>
      </c>
      <c r="P699">
        <v>-8.6116510671547006E-2</v>
      </c>
      <c r="Q699">
        <v>6.5457528608983795E-2</v>
      </c>
      <c r="R699">
        <v>0.98040967999117701</v>
      </c>
      <c r="S699" t="s">
        <v>7369</v>
      </c>
      <c r="T699" t="s">
        <v>13338</v>
      </c>
      <c r="U699" t="s">
        <v>13338</v>
      </c>
      <c r="V699" t="s">
        <v>13338</v>
      </c>
      <c r="W699" t="s">
        <v>14028</v>
      </c>
      <c r="X699">
        <v>49</v>
      </c>
      <c r="Y699" t="s">
        <v>20633</v>
      </c>
      <c r="Z699" t="s">
        <v>27114</v>
      </c>
      <c r="AA699">
        <v>0.30672561492745398</v>
      </c>
      <c r="AB699" t="str">
        <f>HYPERLINK("Melting_Curves/meltCurve_F8VPD4_CAD.pdf", "Melting_Curves/meltCurve_F8VPD4_CAD.pdf")</f>
        <v>Melting_Curves/meltCurve_F8VPD4_CAD.pdf</v>
      </c>
    </row>
    <row r="700" spans="1:28" x14ac:dyDescent="0.25">
      <c r="A700" t="s">
        <v>704</v>
      </c>
      <c r="B700">
        <v>0.99193492352474899</v>
      </c>
      <c r="C700">
        <v>0.82886399866982496</v>
      </c>
      <c r="D700">
        <v>1.1233886588678701</v>
      </c>
      <c r="E700">
        <v>0.87661369327989702</v>
      </c>
      <c r="F700">
        <v>0.82711099650282904</v>
      </c>
      <c r="G700">
        <v>0.61253664193671997</v>
      </c>
      <c r="H700">
        <v>0.50894925430855897</v>
      </c>
      <c r="I700">
        <v>0.67209859457347398</v>
      </c>
      <c r="J700">
        <v>1.0655084718335199</v>
      </c>
      <c r="K700">
        <v>1.0970997089857599</v>
      </c>
      <c r="L700">
        <v>12349.979393310499</v>
      </c>
      <c r="M700">
        <v>249.43238677290401</v>
      </c>
      <c r="O700">
        <v>49.509155830584497</v>
      </c>
      <c r="P700">
        <v>-0.25541025561959202</v>
      </c>
      <c r="Q700">
        <v>0.797217276662879</v>
      </c>
      <c r="R700">
        <v>0.16472056714070901</v>
      </c>
      <c r="S700" t="s">
        <v>7370</v>
      </c>
      <c r="T700" t="s">
        <v>13338</v>
      </c>
      <c r="U700" t="s">
        <v>13338</v>
      </c>
      <c r="V700" t="s">
        <v>13338</v>
      </c>
      <c r="W700" t="s">
        <v>14029</v>
      </c>
      <c r="X700">
        <v>2</v>
      </c>
      <c r="Y700" t="s">
        <v>20634</v>
      </c>
      <c r="Z700" t="s">
        <v>27115</v>
      </c>
      <c r="AA700">
        <v>0.86153287043360616</v>
      </c>
      <c r="AB700" t="str">
        <f>HYPERLINK("Melting_Curves/meltCurve_F8VQD4_C12orf75.pdf", "Melting_Curves/meltCurve_F8VQD4_C12orf75.pdf")</f>
        <v>Melting_Curves/meltCurve_F8VQD4_C12orf75.pdf</v>
      </c>
    </row>
    <row r="701" spans="1:28" x14ac:dyDescent="0.25">
      <c r="A701" t="s">
        <v>705</v>
      </c>
      <c r="B701">
        <v>0.99193492352474899</v>
      </c>
      <c r="C701">
        <v>0.879401842207853</v>
      </c>
      <c r="D701">
        <v>0.99505573505446199</v>
      </c>
      <c r="E701">
        <v>0.87386172303854603</v>
      </c>
      <c r="F701">
        <v>0.78718073186563398</v>
      </c>
      <c r="G701">
        <v>0.66742444357314001</v>
      </c>
      <c r="H701">
        <v>0.54217562388760698</v>
      </c>
      <c r="I701">
        <v>0.43359510228852799</v>
      </c>
      <c r="J701">
        <v>0.39266575117980601</v>
      </c>
      <c r="K701">
        <v>0.12872530425414899</v>
      </c>
      <c r="L701">
        <v>553.44977921858504</v>
      </c>
      <c r="M701">
        <v>9.0175918646371507</v>
      </c>
      <c r="N701">
        <v>61.3744456479006</v>
      </c>
      <c r="O701">
        <v>58.5817036183659</v>
      </c>
      <c r="P701">
        <v>-3.8510712969012303E-2</v>
      </c>
      <c r="Q701">
        <v>0</v>
      </c>
      <c r="R701">
        <v>0.95540043293725896</v>
      </c>
      <c r="S701" t="s">
        <v>7371</v>
      </c>
      <c r="T701" t="s">
        <v>13338</v>
      </c>
      <c r="U701" t="s">
        <v>13338</v>
      </c>
      <c r="V701" t="s">
        <v>13338</v>
      </c>
      <c r="W701" t="s">
        <v>14030</v>
      </c>
      <c r="X701">
        <v>2</v>
      </c>
      <c r="Y701" t="s">
        <v>20635</v>
      </c>
      <c r="Z701" t="s">
        <v>27116</v>
      </c>
      <c r="AA701">
        <v>0.69091130776215892</v>
      </c>
      <c r="AB701" t="str">
        <f>HYPERLINK("Melting_Curves/meltCurve_F8VQX6_METTL7A.pdf", "Melting_Curves/meltCurve_F8VQX6_METTL7A.pdf")</f>
        <v>Melting_Curves/meltCurve_F8VQX6_METTL7A.pdf</v>
      </c>
    </row>
    <row r="702" spans="1:28" x14ac:dyDescent="0.25">
      <c r="A702" t="s">
        <v>706</v>
      </c>
      <c r="B702">
        <v>0.99193492352474899</v>
      </c>
      <c r="C702">
        <v>0.62012919675869005</v>
      </c>
      <c r="D702">
        <v>0.77315277426947904</v>
      </c>
      <c r="E702">
        <v>0.52515193322530995</v>
      </c>
      <c r="F702">
        <v>0.43247071570645801</v>
      </c>
      <c r="G702">
        <v>0.23498978768210399</v>
      </c>
      <c r="H702">
        <v>0.20227152015512101</v>
      </c>
      <c r="I702">
        <v>0.29676860959953699</v>
      </c>
      <c r="J702">
        <v>0.38790984548247998</v>
      </c>
      <c r="K702">
        <v>0.479936860448543</v>
      </c>
      <c r="L702">
        <v>607.48858642264099</v>
      </c>
      <c r="M702">
        <v>13.265895959245899</v>
      </c>
      <c r="N702">
        <v>49.494713191859802</v>
      </c>
      <c r="O702">
        <v>44.790198808175603</v>
      </c>
      <c r="P702">
        <v>-5.0758557825209299E-2</v>
      </c>
      <c r="Q702">
        <v>0.314599047984363</v>
      </c>
      <c r="R702">
        <v>0.77794689331280498</v>
      </c>
      <c r="S702" t="s">
        <v>7372</v>
      </c>
      <c r="T702" t="s">
        <v>13338</v>
      </c>
      <c r="U702" t="s">
        <v>13338</v>
      </c>
      <c r="V702" t="s">
        <v>13338</v>
      </c>
      <c r="W702" t="s">
        <v>14031</v>
      </c>
      <c r="X702">
        <v>10</v>
      </c>
      <c r="Y702" t="s">
        <v>20636</v>
      </c>
      <c r="Z702" t="s">
        <v>27117</v>
      </c>
      <c r="AA702">
        <v>0.47314881341773612</v>
      </c>
      <c r="AB702" t="str">
        <f>HYPERLINK("Melting_Curves/meltCurve_F8VQY2_UIMC1.pdf", "Melting_Curves/meltCurve_F8VQY2_UIMC1.pdf")</f>
        <v>Melting_Curves/meltCurve_F8VQY2_UIMC1.pdf</v>
      </c>
    </row>
    <row r="703" spans="1:28" x14ac:dyDescent="0.25">
      <c r="A703" t="s">
        <v>707</v>
      </c>
      <c r="B703">
        <v>0.99193492352474899</v>
      </c>
      <c r="C703">
        <v>0.79683309722280105</v>
      </c>
      <c r="D703">
        <v>0.93903088419784198</v>
      </c>
      <c r="E703">
        <v>0.777212444851753</v>
      </c>
      <c r="F703">
        <v>0.60668855388142795</v>
      </c>
      <c r="G703">
        <v>0.37913494310011198</v>
      </c>
      <c r="H703">
        <v>0.27007834638213202</v>
      </c>
      <c r="I703">
        <v>0.28139647627421599</v>
      </c>
      <c r="J703">
        <v>0.25106224913171798</v>
      </c>
      <c r="K703">
        <v>9.1608507844003498E-2</v>
      </c>
      <c r="L703">
        <v>544.72163740158305</v>
      </c>
      <c r="M703">
        <v>9.9931629295193503</v>
      </c>
      <c r="N703">
        <v>55.204499652551199</v>
      </c>
      <c r="O703">
        <v>52.4614670169289</v>
      </c>
      <c r="P703">
        <v>-4.4828198763203E-2</v>
      </c>
      <c r="Q703">
        <v>5.9113999208972701E-2</v>
      </c>
      <c r="R703">
        <v>0.95542090318133299</v>
      </c>
      <c r="S703" t="s">
        <v>7373</v>
      </c>
      <c r="T703" t="s">
        <v>13338</v>
      </c>
      <c r="U703" t="s">
        <v>13338</v>
      </c>
      <c r="V703" t="s">
        <v>13338</v>
      </c>
      <c r="W703" t="s">
        <v>14032</v>
      </c>
      <c r="X703">
        <v>14</v>
      </c>
      <c r="Y703" t="s">
        <v>20637</v>
      </c>
      <c r="Z703" t="s">
        <v>27118</v>
      </c>
      <c r="AA703">
        <v>0.54057188601984896</v>
      </c>
      <c r="AB703" t="str">
        <f>HYPERLINK("Melting_Curves/meltCurve_F8VQZ7_METAP2.pdf", "Melting_Curves/meltCurve_F8VQZ7_METAP2.pdf")</f>
        <v>Melting_Curves/meltCurve_F8VQZ7_METAP2.pdf</v>
      </c>
    </row>
    <row r="704" spans="1:28" x14ac:dyDescent="0.25">
      <c r="A704" t="s">
        <v>708</v>
      </c>
      <c r="B704">
        <v>0.99193492352474899</v>
      </c>
      <c r="C704">
        <v>0.61699356545506001</v>
      </c>
      <c r="D704">
        <v>0.73132011331740598</v>
      </c>
      <c r="E704">
        <v>0.45710111659570701</v>
      </c>
      <c r="F704">
        <v>0.3267417777353</v>
      </c>
      <c r="G704">
        <v>0.25281372120706702</v>
      </c>
      <c r="H704">
        <v>0.24565278420753101</v>
      </c>
      <c r="I704">
        <v>0.35811309217927501</v>
      </c>
      <c r="J704">
        <v>0.33805642374251299</v>
      </c>
      <c r="K704">
        <v>0.54389148168839396</v>
      </c>
      <c r="L704">
        <v>718.85305363489294</v>
      </c>
      <c r="M704">
        <v>16.1019414889671</v>
      </c>
      <c r="N704">
        <v>48.032213911116699</v>
      </c>
      <c r="O704">
        <v>43.9723155125536</v>
      </c>
      <c r="P704">
        <v>-6.0477066136588403E-2</v>
      </c>
      <c r="Q704">
        <v>0.33943034705916902</v>
      </c>
      <c r="R704">
        <v>0.77189165184481301</v>
      </c>
      <c r="S704" t="s">
        <v>7374</v>
      </c>
      <c r="T704" t="s">
        <v>13338</v>
      </c>
      <c r="U704" t="s">
        <v>13338</v>
      </c>
      <c r="V704" t="s">
        <v>13338</v>
      </c>
      <c r="W704" t="s">
        <v>14033</v>
      </c>
      <c r="X704">
        <v>1</v>
      </c>
      <c r="Y704" t="s">
        <v>20638</v>
      </c>
      <c r="Z704" t="s">
        <v>27119</v>
      </c>
      <c r="AA704">
        <v>0.46069104415884299</v>
      </c>
      <c r="AB704" t="str">
        <f>HYPERLINK("Melting_Curves/meltCurve_F8VR27_RBFOX1.pdf", "Melting_Curves/meltCurve_F8VR27_RBFOX1.pdf")</f>
        <v>Melting_Curves/meltCurve_F8VR27_RBFOX1.pdf</v>
      </c>
    </row>
    <row r="705" spans="1:28" x14ac:dyDescent="0.25">
      <c r="A705" t="s">
        <v>709</v>
      </c>
      <c r="B705">
        <v>0.99193492352474899</v>
      </c>
      <c r="C705">
        <v>1.90421833768851</v>
      </c>
      <c r="D705">
        <v>1.40687234249397</v>
      </c>
      <c r="E705">
        <v>1.7760667818787199</v>
      </c>
      <c r="F705">
        <v>0.93807363220306905</v>
      </c>
      <c r="G705">
        <v>1.3883022759642201</v>
      </c>
      <c r="H705">
        <v>0.81054585994342099</v>
      </c>
      <c r="I705">
        <v>0.62358765829192797</v>
      </c>
      <c r="J705">
        <v>0.17581580396678501</v>
      </c>
      <c r="K705">
        <v>0.13691449084155999</v>
      </c>
      <c r="L705">
        <v>2566.1660206042302</v>
      </c>
      <c r="M705">
        <v>39.935848900421497</v>
      </c>
      <c r="N705">
        <v>64.531834260720103</v>
      </c>
      <c r="O705">
        <v>64.096715648678895</v>
      </c>
      <c r="P705">
        <v>-0.143591171036101</v>
      </c>
      <c r="Q705">
        <v>7.8151231557859094E-2</v>
      </c>
      <c r="R705">
        <v>0.473128589042909</v>
      </c>
      <c r="S705" t="s">
        <v>7375</v>
      </c>
      <c r="T705" t="s">
        <v>13338</v>
      </c>
      <c r="U705" t="s">
        <v>13338</v>
      </c>
      <c r="V705" t="s">
        <v>13338</v>
      </c>
      <c r="W705" t="s">
        <v>14034</v>
      </c>
      <c r="X705">
        <v>1</v>
      </c>
      <c r="Y705" t="s">
        <v>20639</v>
      </c>
      <c r="Z705" t="s">
        <v>27120</v>
      </c>
      <c r="AA705">
        <v>0.82533671904387018</v>
      </c>
      <c r="AB705" t="str">
        <f>HYPERLINK("Melting_Curves/meltCurve_F8VRE8_TMEM19.pdf", "Melting_Curves/meltCurve_F8VRE8_TMEM19.pdf")</f>
        <v>Melting_Curves/meltCurve_F8VRE8_TMEM19.pdf</v>
      </c>
    </row>
    <row r="706" spans="1:28" x14ac:dyDescent="0.25">
      <c r="A706" t="s">
        <v>710</v>
      </c>
      <c r="B706">
        <v>0.99193492352474899</v>
      </c>
      <c r="C706">
        <v>0.45598045800549197</v>
      </c>
      <c r="D706">
        <v>0.84507114748756895</v>
      </c>
      <c r="E706">
        <v>0.47062538848826402</v>
      </c>
      <c r="F706">
        <v>0.48598824612186498</v>
      </c>
      <c r="G706">
        <v>0.23561464994578801</v>
      </c>
      <c r="H706">
        <v>0.138793214850463</v>
      </c>
      <c r="I706">
        <v>0.13151246251330201</v>
      </c>
      <c r="J706">
        <v>0.108666999518374</v>
      </c>
      <c r="K706">
        <v>0.23935523555824401</v>
      </c>
      <c r="L706">
        <v>375.81121450137499</v>
      </c>
      <c r="M706">
        <v>7.6263012898996099</v>
      </c>
      <c r="N706">
        <v>49.706031262552798</v>
      </c>
      <c r="O706">
        <v>46.232681229707701</v>
      </c>
      <c r="P706">
        <v>-3.9982960010970701E-2</v>
      </c>
      <c r="Q706">
        <v>3.1758942518099E-2</v>
      </c>
      <c r="R706">
        <v>0.77370301036783695</v>
      </c>
      <c r="S706" t="s">
        <v>7376</v>
      </c>
      <c r="T706" t="s">
        <v>13338</v>
      </c>
      <c r="U706" t="s">
        <v>13338</v>
      </c>
      <c r="V706" t="s">
        <v>13338</v>
      </c>
      <c r="W706" t="s">
        <v>14035</v>
      </c>
      <c r="X706">
        <v>2</v>
      </c>
      <c r="Y706" t="s">
        <v>20640</v>
      </c>
      <c r="Z706" t="s">
        <v>27121</v>
      </c>
      <c r="AA706">
        <v>0.39694706684484221</v>
      </c>
      <c r="AB706" t="str">
        <f>HYPERLINK("Melting_Curves/meltCurve_F8VSL3_NFYB.pdf", "Melting_Curves/meltCurve_F8VSL3_NFYB.pdf")</f>
        <v>Melting_Curves/meltCurve_F8VSL3_NFYB.pdf</v>
      </c>
    </row>
    <row r="707" spans="1:28" x14ac:dyDescent="0.25">
      <c r="A707" t="s">
        <v>711</v>
      </c>
      <c r="B707">
        <v>0.99193492352474899</v>
      </c>
      <c r="C707">
        <v>1.0629473299701</v>
      </c>
      <c r="D707">
        <v>0.955819188228199</v>
      </c>
      <c r="E707">
        <v>0.78521247182939802</v>
      </c>
      <c r="F707">
        <v>0.46557769528102499</v>
      </c>
      <c r="G707">
        <v>0.21580354716816899</v>
      </c>
      <c r="H707">
        <v>0.108806712333321</v>
      </c>
      <c r="I707">
        <v>0.12587062740604699</v>
      </c>
      <c r="J707">
        <v>0.142882816865817</v>
      </c>
      <c r="K707">
        <v>0.16159829121946201</v>
      </c>
      <c r="L707">
        <v>1290.3944606804801</v>
      </c>
      <c r="M707">
        <v>24.803155753653002</v>
      </c>
      <c r="N707">
        <v>52.6440189228544</v>
      </c>
      <c r="O707">
        <v>51.6907664905602</v>
      </c>
      <c r="P707">
        <v>-0.104796468883239</v>
      </c>
      <c r="Q707">
        <v>0.12641202622516201</v>
      </c>
      <c r="R707">
        <v>0.99422995747592302</v>
      </c>
      <c r="S707" t="s">
        <v>7377</v>
      </c>
      <c r="T707" t="s">
        <v>13338</v>
      </c>
      <c r="U707" t="s">
        <v>13338</v>
      </c>
      <c r="V707" t="s">
        <v>13338</v>
      </c>
      <c r="W707" t="s">
        <v>14036</v>
      </c>
      <c r="X707">
        <v>13</v>
      </c>
      <c r="Y707" t="s">
        <v>20641</v>
      </c>
      <c r="Z707" t="s">
        <v>27122</v>
      </c>
      <c r="AA707">
        <v>0.48468635946153099</v>
      </c>
      <c r="AB707" t="str">
        <f>HYPERLINK("Melting_Curves/meltCurve_F8VSZ4_PLXNA1.pdf", "Melting_Curves/meltCurve_F8VSZ4_PLXNA1.pdf")</f>
        <v>Melting_Curves/meltCurve_F8VSZ4_PLXNA1.pdf</v>
      </c>
    </row>
    <row r="708" spans="1:28" x14ac:dyDescent="0.25">
      <c r="A708" t="s">
        <v>712</v>
      </c>
      <c r="B708">
        <v>0.99193492352474899</v>
      </c>
      <c r="C708">
        <v>1.0613775105004299</v>
      </c>
      <c r="D708">
        <v>1.0697017750684501</v>
      </c>
      <c r="E708">
        <v>0.88304264816425704</v>
      </c>
      <c r="F708">
        <v>0.74592571739733204</v>
      </c>
      <c r="G708">
        <v>0.71220251621505504</v>
      </c>
      <c r="H708">
        <v>0.74470701883564205</v>
      </c>
      <c r="I708">
        <v>0.89283700243114605</v>
      </c>
      <c r="J708">
        <v>1.0007324445381101</v>
      </c>
      <c r="K708">
        <v>1.56573283127615</v>
      </c>
      <c r="L708">
        <v>15000</v>
      </c>
      <c r="M708">
        <v>219.835823422065</v>
      </c>
      <c r="O708">
        <v>68.227090924953899</v>
      </c>
      <c r="P708">
        <v>0.40276490957750199</v>
      </c>
      <c r="Q708">
        <v>1.5</v>
      </c>
      <c r="R708">
        <v>0.54791250210326403</v>
      </c>
      <c r="S708" t="s">
        <v>7378</v>
      </c>
      <c r="T708" t="s">
        <v>13338</v>
      </c>
      <c r="U708" t="s">
        <v>13338</v>
      </c>
      <c r="V708" t="s">
        <v>13338</v>
      </c>
      <c r="W708" t="s">
        <v>14037</v>
      </c>
      <c r="X708">
        <v>3</v>
      </c>
      <c r="Y708" t="s">
        <v>20642</v>
      </c>
      <c r="Z708" t="s">
        <v>27123</v>
      </c>
      <c r="AA708">
        <v>1.0293982625417191</v>
      </c>
      <c r="AB708" t="str">
        <f>HYPERLINK("Melting_Curves/meltCurve_F8VTS6_RFPL4AL1.pdf", "Melting_Curves/meltCurve_F8VTS6_RFPL4AL1.pdf")</f>
        <v>Melting_Curves/meltCurve_F8VTS6_RFPL4AL1.pdf</v>
      </c>
    </row>
    <row r="709" spans="1:28" x14ac:dyDescent="0.25">
      <c r="A709" t="s">
        <v>713</v>
      </c>
      <c r="B709">
        <v>0.99193492352474899</v>
      </c>
      <c r="C709">
        <v>0.87936379741144</v>
      </c>
      <c r="D709">
        <v>0.96179563143078906</v>
      </c>
      <c r="E709">
        <v>0.85665024982876903</v>
      </c>
      <c r="F709">
        <v>0.61265313591085901</v>
      </c>
      <c r="G709">
        <v>0.36872716275686601</v>
      </c>
      <c r="H709">
        <v>0.23890275325919799</v>
      </c>
      <c r="I709">
        <v>0.180693028874305</v>
      </c>
      <c r="J709">
        <v>0.18754403933017899</v>
      </c>
      <c r="K709">
        <v>0.200225265554729</v>
      </c>
      <c r="L709">
        <v>1027.7050143643501</v>
      </c>
      <c r="M709">
        <v>19.214458866344899</v>
      </c>
      <c r="N709">
        <v>54.6560065492489</v>
      </c>
      <c r="O709">
        <v>52.916768046428899</v>
      </c>
      <c r="P709">
        <v>-7.5474024497740003E-2</v>
      </c>
      <c r="Q709">
        <v>0.168607207663724</v>
      </c>
      <c r="R709">
        <v>0.98709930907877297</v>
      </c>
      <c r="S709" t="s">
        <v>7379</v>
      </c>
      <c r="T709" t="s">
        <v>13338</v>
      </c>
      <c r="U709" t="s">
        <v>13338</v>
      </c>
      <c r="V709" t="s">
        <v>13338</v>
      </c>
      <c r="W709" t="s">
        <v>14038</v>
      </c>
      <c r="X709">
        <v>6</v>
      </c>
      <c r="Y709" t="s">
        <v>20643</v>
      </c>
      <c r="Z709" t="s">
        <v>27124</v>
      </c>
      <c r="AA709">
        <v>0.55449889703462651</v>
      </c>
      <c r="AB709" t="str">
        <f>HYPERLINK("Melting_Curves/meltCurve_F8VU90_FKBP11.pdf", "Melting_Curves/meltCurve_F8VU90_FKBP11.pdf")</f>
        <v>Melting_Curves/meltCurve_F8VU90_FKBP11.pdf</v>
      </c>
    </row>
    <row r="710" spans="1:28" x14ac:dyDescent="0.25">
      <c r="A710" t="s">
        <v>714</v>
      </c>
      <c r="B710">
        <v>0.99193492352474899</v>
      </c>
      <c r="C710">
        <v>1.01675583086138</v>
      </c>
      <c r="D710">
        <v>0.86226471362113599</v>
      </c>
      <c r="E710">
        <v>0.704156117016002</v>
      </c>
      <c r="F710">
        <v>0.31076990495707202</v>
      </c>
      <c r="G710">
        <v>0.142244047753846</v>
      </c>
      <c r="H710">
        <v>8.6272563644319206E-2</v>
      </c>
      <c r="I710">
        <v>8.4904145347294194E-2</v>
      </c>
      <c r="J710">
        <v>9.5041293328455997E-2</v>
      </c>
      <c r="K710">
        <v>9.7989518258561004E-2</v>
      </c>
      <c r="L710">
        <v>1177.9792765427501</v>
      </c>
      <c r="M710">
        <v>23.167298248025599</v>
      </c>
      <c r="N710">
        <v>51.230760299754202</v>
      </c>
      <c r="O710">
        <v>50.472339587642303</v>
      </c>
      <c r="P710">
        <v>-0.105605200261498</v>
      </c>
      <c r="Q710">
        <v>7.9729618203921798E-2</v>
      </c>
      <c r="R710">
        <v>0.99522948608333095</v>
      </c>
      <c r="S710" t="s">
        <v>7380</v>
      </c>
      <c r="T710" t="s">
        <v>13338</v>
      </c>
      <c r="U710" t="s">
        <v>13338</v>
      </c>
      <c r="V710" t="s">
        <v>13338</v>
      </c>
      <c r="W710" t="s">
        <v>14039</v>
      </c>
      <c r="X710">
        <v>10</v>
      </c>
      <c r="Y710" t="s">
        <v>20644</v>
      </c>
      <c r="Z710" t="s">
        <v>27125</v>
      </c>
      <c r="AA710">
        <v>0.42209517340872998</v>
      </c>
      <c r="AB710" t="str">
        <f>HYPERLINK("Melting_Curves/meltCurve_F8VV59_NAP1L1.pdf", "Melting_Curves/meltCurve_F8VV59_NAP1L1.pdf")</f>
        <v>Melting_Curves/meltCurve_F8VV59_NAP1L1.pdf</v>
      </c>
    </row>
    <row r="711" spans="1:28" x14ac:dyDescent="0.25">
      <c r="A711" t="s">
        <v>715</v>
      </c>
      <c r="B711">
        <v>0.99193492352474899</v>
      </c>
      <c r="C711">
        <v>0.86905289366582195</v>
      </c>
      <c r="D711">
        <v>0.76910847855911602</v>
      </c>
      <c r="E711">
        <v>0.66941432054222205</v>
      </c>
      <c r="F711">
        <v>0.39716134862769797</v>
      </c>
      <c r="G711">
        <v>0.18132259589251701</v>
      </c>
      <c r="H711">
        <v>6.15787613955118E-2</v>
      </c>
      <c r="I711">
        <v>4.8866043394720199E-2</v>
      </c>
      <c r="J711">
        <v>4.5946345166344799E-2</v>
      </c>
      <c r="K711">
        <v>3.6232111805789197E-2</v>
      </c>
      <c r="L711">
        <v>686.144558503177</v>
      </c>
      <c r="M711">
        <v>13.4067666405032</v>
      </c>
      <c r="N711">
        <v>51.178973837098802</v>
      </c>
      <c r="O711">
        <v>50.0805605774028</v>
      </c>
      <c r="P711">
        <v>-6.6936509219007401E-2</v>
      </c>
      <c r="Q711">
        <v>0</v>
      </c>
      <c r="R711">
        <v>0.98920828220707002</v>
      </c>
      <c r="S711" t="s">
        <v>7381</v>
      </c>
      <c r="T711" t="s">
        <v>13338</v>
      </c>
      <c r="U711" t="s">
        <v>13338</v>
      </c>
      <c r="V711" t="s">
        <v>13338</v>
      </c>
      <c r="W711" t="s">
        <v>14040</v>
      </c>
      <c r="X711">
        <v>6</v>
      </c>
      <c r="Y711" t="s">
        <v>20645</v>
      </c>
      <c r="Z711" t="s">
        <v>27126</v>
      </c>
      <c r="AA711">
        <v>0.40005846281575053</v>
      </c>
      <c r="AB711" t="str">
        <f>HYPERLINK("Melting_Curves/meltCurve_F8VVA7_COPZ1.pdf", "Melting_Curves/meltCurve_F8VVA7_COPZ1.pdf")</f>
        <v>Melting_Curves/meltCurve_F8VVA7_COPZ1.pdf</v>
      </c>
    </row>
    <row r="712" spans="1:28" x14ac:dyDescent="0.25">
      <c r="A712" t="s">
        <v>716</v>
      </c>
      <c r="B712">
        <v>0.99193492352474899</v>
      </c>
      <c r="C712">
        <v>1.0319503358222499</v>
      </c>
      <c r="D712">
        <v>0.94269921053509298</v>
      </c>
      <c r="E712">
        <v>0.65271864973497096</v>
      </c>
      <c r="F712">
        <v>0.56402500634553698</v>
      </c>
      <c r="G712">
        <v>0.39596608157228103</v>
      </c>
      <c r="H712">
        <v>0.18550103828858699</v>
      </c>
      <c r="I712">
        <v>0.260074727633199</v>
      </c>
      <c r="J712">
        <v>0.53343314262604102</v>
      </c>
      <c r="K712">
        <v>0.29336275573638398</v>
      </c>
      <c r="L712">
        <v>1049.26771603572</v>
      </c>
      <c r="M712">
        <v>20.840233976937899</v>
      </c>
      <c r="N712">
        <v>52.989881210212602</v>
      </c>
      <c r="O712">
        <v>49.891465896315601</v>
      </c>
      <c r="P712">
        <v>-7.0690373332443102E-2</v>
      </c>
      <c r="Q712">
        <v>0.32308844177794199</v>
      </c>
      <c r="R712">
        <v>0.90341195064042101</v>
      </c>
      <c r="S712" t="s">
        <v>7382</v>
      </c>
      <c r="T712" t="s">
        <v>13338</v>
      </c>
      <c r="U712" t="s">
        <v>13338</v>
      </c>
      <c r="V712" t="s">
        <v>13338</v>
      </c>
      <c r="W712" t="s">
        <v>14041</v>
      </c>
      <c r="X712">
        <v>2</v>
      </c>
      <c r="Y712" t="s">
        <v>20646</v>
      </c>
      <c r="Z712" t="s">
        <v>27127</v>
      </c>
      <c r="AA712">
        <v>0.56527469025162191</v>
      </c>
      <c r="AB712" t="str">
        <f>HYPERLINK("Melting_Curves/meltCurve_F8VVN7_TMEM106C.pdf", "Melting_Curves/meltCurve_F8VVN7_TMEM106C.pdf")</f>
        <v>Melting_Curves/meltCurve_F8VVN7_TMEM106C.pdf</v>
      </c>
    </row>
    <row r="713" spans="1:28" x14ac:dyDescent="0.25">
      <c r="A713" t="s">
        <v>717</v>
      </c>
      <c r="B713">
        <v>0.99193492352474899</v>
      </c>
      <c r="C713">
        <v>0.990888913684558</v>
      </c>
      <c r="D713">
        <v>0.90332882951791404</v>
      </c>
      <c r="E713">
        <v>0.68646159946338403</v>
      </c>
      <c r="F713">
        <v>0.50975462137662997</v>
      </c>
      <c r="G713">
        <v>0.345946531145297</v>
      </c>
      <c r="H713">
        <v>0.28780289279096899</v>
      </c>
      <c r="I713">
        <v>0.37400512444787098</v>
      </c>
      <c r="J713">
        <v>0.45924612569488399</v>
      </c>
      <c r="K713">
        <v>0.53543140188591798</v>
      </c>
      <c r="L713">
        <v>1302.8449410701701</v>
      </c>
      <c r="M713">
        <v>26.407932121490699</v>
      </c>
      <c r="N713">
        <v>52.577400158732502</v>
      </c>
      <c r="O713">
        <v>49.055070474685301</v>
      </c>
      <c r="P713">
        <v>-8.0498380035686296E-2</v>
      </c>
      <c r="Q713">
        <v>0.40187509998808302</v>
      </c>
      <c r="R713">
        <v>0.93425884469597598</v>
      </c>
      <c r="S713" t="s">
        <v>7383</v>
      </c>
      <c r="T713" t="s">
        <v>13338</v>
      </c>
      <c r="U713" t="s">
        <v>13338</v>
      </c>
      <c r="V713" t="s">
        <v>13338</v>
      </c>
      <c r="W713" t="s">
        <v>14042</v>
      </c>
      <c r="X713">
        <v>5</v>
      </c>
      <c r="Y713" t="s">
        <v>20647</v>
      </c>
      <c r="Z713" t="s">
        <v>27128</v>
      </c>
      <c r="AA713">
        <v>0.59274928970561236</v>
      </c>
      <c r="AB713" t="str">
        <f>HYPERLINK("Melting_Curves/meltCurve_F8VW96_CSRP2.pdf", "Melting_Curves/meltCurve_F8VW96_CSRP2.pdf")</f>
        <v>Melting_Curves/meltCurve_F8VW96_CSRP2.pdf</v>
      </c>
    </row>
    <row r="714" spans="1:28" x14ac:dyDescent="0.25">
      <c r="A714" t="s">
        <v>718</v>
      </c>
      <c r="B714">
        <v>0.99193492352474899</v>
      </c>
      <c r="C714">
        <v>1.0555243336353199</v>
      </c>
      <c r="D714">
        <v>1.0386157660899</v>
      </c>
      <c r="E714">
        <v>0.44690818367007901</v>
      </c>
      <c r="F714">
        <v>0.210722929919297</v>
      </c>
      <c r="G714">
        <v>0.119446150724519</v>
      </c>
      <c r="H714">
        <v>6.7315955700630606E-2</v>
      </c>
      <c r="I714">
        <v>9.4003761250925799E-2</v>
      </c>
      <c r="J714">
        <v>8.8818137339157804E-2</v>
      </c>
      <c r="K714">
        <v>2.6140176747971099E-2</v>
      </c>
      <c r="L714">
        <v>2470.9780118868998</v>
      </c>
      <c r="M714">
        <v>50.1961781595029</v>
      </c>
      <c r="N714">
        <v>49.435721219544</v>
      </c>
      <c r="O714">
        <v>49.148483578018698</v>
      </c>
      <c r="P714">
        <v>-0.23088711527627401</v>
      </c>
      <c r="Q714">
        <v>9.5728745186293596E-2</v>
      </c>
      <c r="R714">
        <v>0.98695695777073</v>
      </c>
      <c r="S714" t="s">
        <v>7384</v>
      </c>
      <c r="T714" t="s">
        <v>13338</v>
      </c>
      <c r="U714" t="s">
        <v>13338</v>
      </c>
      <c r="V714" t="s">
        <v>13338</v>
      </c>
      <c r="W714" t="s">
        <v>14043</v>
      </c>
      <c r="X714">
        <v>3</v>
      </c>
      <c r="Y714" t="s">
        <v>20648</v>
      </c>
      <c r="Z714" t="s">
        <v>27129</v>
      </c>
      <c r="AA714">
        <v>0.37578316223316249</v>
      </c>
      <c r="AB714" t="str">
        <f>HYPERLINK("Melting_Curves/meltCurve_F8VWA6_MON2.pdf", "Melting_Curves/meltCurve_F8VWA6_MON2.pdf")</f>
        <v>Melting_Curves/meltCurve_F8VWA6_MON2.pdf</v>
      </c>
    </row>
    <row r="715" spans="1:28" x14ac:dyDescent="0.25">
      <c r="A715" t="s">
        <v>719</v>
      </c>
      <c r="B715">
        <v>0.99193492352474899</v>
      </c>
      <c r="C715">
        <v>0.95214755611498603</v>
      </c>
      <c r="D715">
        <v>0.82985287759488002</v>
      </c>
      <c r="E715">
        <v>0.60652968534454599</v>
      </c>
      <c r="F715">
        <v>0.30025216170853702</v>
      </c>
      <c r="G715">
        <v>0.14712623067372199</v>
      </c>
      <c r="H715">
        <v>9.7794239396663193E-2</v>
      </c>
      <c r="I715">
        <v>8.9042255090617903E-2</v>
      </c>
      <c r="J715">
        <v>8.1522475218786195E-2</v>
      </c>
      <c r="K715">
        <v>0</v>
      </c>
      <c r="L715">
        <v>868.80408508157404</v>
      </c>
      <c r="M715">
        <v>17.245086625388598</v>
      </c>
      <c r="N715">
        <v>50.625967276323202</v>
      </c>
      <c r="O715">
        <v>49.717005046125799</v>
      </c>
      <c r="P715">
        <v>-8.3233697286921204E-2</v>
      </c>
      <c r="Q715">
        <v>4.0216485576746001E-2</v>
      </c>
      <c r="R715">
        <v>0.996519629194203</v>
      </c>
      <c r="S715" t="s">
        <v>7385</v>
      </c>
      <c r="T715" t="s">
        <v>13338</v>
      </c>
      <c r="U715" t="s">
        <v>13338</v>
      </c>
      <c r="V715" t="s">
        <v>13338</v>
      </c>
      <c r="W715" t="s">
        <v>14044</v>
      </c>
      <c r="X715">
        <v>1</v>
      </c>
      <c r="Y715" t="s">
        <v>20649</v>
      </c>
      <c r="Z715" t="s">
        <v>27130</v>
      </c>
      <c r="AA715">
        <v>0.38992835414839327</v>
      </c>
      <c r="AB715" t="str">
        <f>HYPERLINK("Melting_Curves/meltCurve_F8VWA9_ALG10B.pdf", "Melting_Curves/meltCurve_F8VWA9_ALG10B.pdf")</f>
        <v>Melting_Curves/meltCurve_F8VWA9_ALG10B.pdf</v>
      </c>
    </row>
    <row r="716" spans="1:28" x14ac:dyDescent="0.25">
      <c r="A716" t="s">
        <v>720</v>
      </c>
      <c r="B716">
        <v>0.99193492352474899</v>
      </c>
      <c r="C716">
        <v>0.45527790710619498</v>
      </c>
      <c r="D716">
        <v>0.20421512733040401</v>
      </c>
      <c r="E716">
        <v>7.7123405750238697E-2</v>
      </c>
      <c r="F716">
        <v>6.4734721558350805E-2</v>
      </c>
      <c r="G716">
        <v>3.42095027294535E-2</v>
      </c>
      <c r="H716">
        <v>1.5737043825882001E-2</v>
      </c>
      <c r="I716">
        <v>3.2870750679464003E-2</v>
      </c>
      <c r="J716">
        <v>4.9051143018214102E-2</v>
      </c>
      <c r="K716">
        <v>3.6164707467274897E-2</v>
      </c>
      <c r="L716">
        <v>1464.1638868048401</v>
      </c>
      <c r="M716">
        <v>34.228283359207403</v>
      </c>
      <c r="N716">
        <v>42.908697894656001</v>
      </c>
      <c r="O716">
        <v>42.631211659726198</v>
      </c>
      <c r="P716">
        <v>-0.19067445643874001</v>
      </c>
      <c r="Q716">
        <v>5.0066089239808799E-2</v>
      </c>
      <c r="R716">
        <v>0.98204418747984101</v>
      </c>
      <c r="S716" t="s">
        <v>7386</v>
      </c>
      <c r="T716" t="s">
        <v>13338</v>
      </c>
      <c r="U716" t="s">
        <v>13338</v>
      </c>
      <c r="V716" t="s">
        <v>13338</v>
      </c>
      <c r="W716" t="s">
        <v>14045</v>
      </c>
      <c r="X716">
        <v>1</v>
      </c>
      <c r="Y716" t="s">
        <v>20650</v>
      </c>
      <c r="Z716" t="s">
        <v>27131</v>
      </c>
      <c r="AA716">
        <v>0.14474596725787639</v>
      </c>
      <c r="AB716" t="str">
        <f>HYPERLINK("Melting_Curves/meltCurve_F8VWL0_TFCP2.pdf", "Melting_Curves/meltCurve_F8VWL0_TFCP2.pdf")</f>
        <v>Melting_Curves/meltCurve_F8VWL0_TFCP2.pdf</v>
      </c>
    </row>
    <row r="717" spans="1:28" x14ac:dyDescent="0.25">
      <c r="A717" t="s">
        <v>721</v>
      </c>
      <c r="B717">
        <v>0.99193492352474899</v>
      </c>
      <c r="C717">
        <v>1.0347686401431599</v>
      </c>
      <c r="D717">
        <v>0.892309406809213</v>
      </c>
      <c r="E717">
        <v>0.72105910644500804</v>
      </c>
      <c r="F717">
        <v>0.52287548149702401</v>
      </c>
      <c r="G717">
        <v>0.49692285498208499</v>
      </c>
      <c r="H717">
        <v>0.34220144493043397</v>
      </c>
      <c r="I717">
        <v>0.28282441587963603</v>
      </c>
      <c r="J717">
        <v>0.23171408105605701</v>
      </c>
      <c r="K717">
        <v>0.32349882943762698</v>
      </c>
      <c r="L717">
        <v>741.92025517412696</v>
      </c>
      <c r="M717">
        <v>14.337225986093101</v>
      </c>
      <c r="N717">
        <v>54.571878212410397</v>
      </c>
      <c r="O717">
        <v>50.772325991448497</v>
      </c>
      <c r="P717">
        <v>-5.2112554243258703E-2</v>
      </c>
      <c r="Q717">
        <v>0.26190556201724102</v>
      </c>
      <c r="R717">
        <v>0.97833197131801097</v>
      </c>
      <c r="S717" t="s">
        <v>7387</v>
      </c>
      <c r="T717" t="s">
        <v>13338</v>
      </c>
      <c r="U717" t="s">
        <v>13338</v>
      </c>
      <c r="V717" t="s">
        <v>13338</v>
      </c>
      <c r="W717" t="s">
        <v>14046</v>
      </c>
      <c r="X717">
        <v>2</v>
      </c>
      <c r="Y717" t="s">
        <v>20651</v>
      </c>
      <c r="Z717" t="s">
        <v>27132</v>
      </c>
      <c r="AA717">
        <v>0.56878115346859837</v>
      </c>
      <c r="AB717" t="str">
        <f>HYPERLINK("Melting_Curves/meltCurve_F8VX04_SLC38A1.pdf", "Melting_Curves/meltCurve_F8VX04_SLC38A1.pdf")</f>
        <v>Melting_Curves/meltCurve_F8VX04_SLC38A1.pdf</v>
      </c>
    </row>
    <row r="718" spans="1:28" x14ac:dyDescent="0.25">
      <c r="A718" t="s">
        <v>722</v>
      </c>
      <c r="B718">
        <v>0.99193492352474899</v>
      </c>
      <c r="C718">
        <v>0.51748287339461996</v>
      </c>
      <c r="D718">
        <v>0.40233310560001401</v>
      </c>
      <c r="E718">
        <v>0.23879369842343401</v>
      </c>
      <c r="F718">
        <v>0.15870816104513</v>
      </c>
      <c r="G718">
        <v>0.136190989802005</v>
      </c>
      <c r="H718">
        <v>8.7631080383932497E-2</v>
      </c>
      <c r="I718">
        <v>0.137174433308932</v>
      </c>
      <c r="J718">
        <v>0.126425612232926</v>
      </c>
      <c r="K718">
        <v>0.187263005416172</v>
      </c>
      <c r="L718">
        <v>922.04472044076101</v>
      </c>
      <c r="M718">
        <v>21.2412539198743</v>
      </c>
      <c r="N718">
        <v>44.1087964511892</v>
      </c>
      <c r="O718">
        <v>43.028964738204202</v>
      </c>
      <c r="P718">
        <v>-0.105744874396783</v>
      </c>
      <c r="Q718">
        <v>0.14318132962716401</v>
      </c>
      <c r="R718">
        <v>0.94988255106920205</v>
      </c>
      <c r="S718" t="s">
        <v>7388</v>
      </c>
      <c r="T718" t="s">
        <v>13338</v>
      </c>
      <c r="U718" t="s">
        <v>13338</v>
      </c>
      <c r="V718" t="s">
        <v>13338</v>
      </c>
      <c r="W718" t="s">
        <v>14047</v>
      </c>
      <c r="X718">
        <v>1</v>
      </c>
      <c r="Y718" t="s">
        <v>20652</v>
      </c>
      <c r="Z718" t="s">
        <v>27133</v>
      </c>
      <c r="AA718">
        <v>0.25671592292577761</v>
      </c>
      <c r="AB718" t="str">
        <f>HYPERLINK("Melting_Curves/meltCurve_F8VXG3_TGIF1.pdf", "Melting_Curves/meltCurve_F8VXG3_TGIF1.pdf")</f>
        <v>Melting_Curves/meltCurve_F8VXG3_TGIF1.pdf</v>
      </c>
    </row>
    <row r="719" spans="1:28" x14ac:dyDescent="0.25">
      <c r="A719" t="s">
        <v>723</v>
      </c>
      <c r="B719">
        <v>0.99193492352474899</v>
      </c>
      <c r="C719">
        <v>0.53158707575028497</v>
      </c>
      <c r="D719">
        <v>0.78177114012709403</v>
      </c>
      <c r="E719">
        <v>0.46554446633851698</v>
      </c>
      <c r="F719">
        <v>0.47574077314609098</v>
      </c>
      <c r="G719">
        <v>0.38740022062735202</v>
      </c>
      <c r="H719">
        <v>0.45181116459602</v>
      </c>
      <c r="I719">
        <v>0.57524970631894001</v>
      </c>
      <c r="J719">
        <v>0.76334035990425697</v>
      </c>
      <c r="K719">
        <v>0.99512188860682405</v>
      </c>
      <c r="L719">
        <v>10154.9995502236</v>
      </c>
      <c r="M719">
        <v>250</v>
      </c>
      <c r="O719">
        <v>40.6173990390254</v>
      </c>
      <c r="P719">
        <v>-0.61078670023515003</v>
      </c>
      <c r="Q719">
        <v>0.60306292879551804</v>
      </c>
      <c r="R719">
        <v>0.29727195688998898</v>
      </c>
      <c r="S719" t="s">
        <v>7389</v>
      </c>
      <c r="T719" t="s">
        <v>13338</v>
      </c>
      <c r="U719" t="s">
        <v>13338</v>
      </c>
      <c r="V719" t="s">
        <v>13338</v>
      </c>
      <c r="W719" t="s">
        <v>14048</v>
      </c>
      <c r="X719">
        <v>22</v>
      </c>
      <c r="Y719" t="s">
        <v>20653</v>
      </c>
      <c r="Z719" t="s">
        <v>27134</v>
      </c>
      <c r="AA719">
        <v>0.61133705649676928</v>
      </c>
      <c r="AB719" t="str">
        <f>HYPERLINK("Melting_Curves/meltCurve_F8VXG7_SCAF11.pdf", "Melting_Curves/meltCurve_F8VXG7_SCAF11.pdf")</f>
        <v>Melting_Curves/meltCurve_F8VXG7_SCAF11.pdf</v>
      </c>
    </row>
    <row r="720" spans="1:28" x14ac:dyDescent="0.25">
      <c r="A720" t="s">
        <v>724</v>
      </c>
      <c r="B720">
        <v>0.99193492352474899</v>
      </c>
      <c r="C720">
        <v>1.2022669465528999</v>
      </c>
      <c r="D720">
        <v>0.853016506214615</v>
      </c>
      <c r="E720">
        <v>0.56597501698772801</v>
      </c>
      <c r="F720">
        <v>0.33602857362184502</v>
      </c>
      <c r="G720">
        <v>0.252912080836249</v>
      </c>
      <c r="H720">
        <v>0.134359589190857</v>
      </c>
      <c r="I720">
        <v>0.34807411532926202</v>
      </c>
      <c r="J720">
        <v>0.130391180882309</v>
      </c>
      <c r="K720">
        <v>0.11491319219767</v>
      </c>
      <c r="L720">
        <v>1235.9027389241901</v>
      </c>
      <c r="M720">
        <v>24.977748168115799</v>
      </c>
      <c r="N720">
        <v>50.444375945765799</v>
      </c>
      <c r="O720">
        <v>49.166261851338703</v>
      </c>
      <c r="P720">
        <v>-0.10290014220333001</v>
      </c>
      <c r="Q720">
        <v>0.18981534667831201</v>
      </c>
      <c r="R720">
        <v>0.93588251108624398</v>
      </c>
      <c r="S720" t="s">
        <v>7390</v>
      </c>
      <c r="T720" t="s">
        <v>13338</v>
      </c>
      <c r="U720" t="s">
        <v>13338</v>
      </c>
      <c r="V720" t="s">
        <v>13338</v>
      </c>
      <c r="W720" t="s">
        <v>14049</v>
      </c>
      <c r="X720">
        <v>4</v>
      </c>
      <c r="Y720" t="s">
        <v>20654</v>
      </c>
      <c r="Z720" t="s">
        <v>27135</v>
      </c>
      <c r="AA720">
        <v>0.45305650950281318</v>
      </c>
      <c r="AB720" t="str">
        <f>HYPERLINK("Melting_Curves/meltCurve_F8VXK3_CHST11.pdf", "Melting_Curves/meltCurve_F8VXK3_CHST11.pdf")</f>
        <v>Melting_Curves/meltCurve_F8VXK3_CHST11.pdf</v>
      </c>
    </row>
    <row r="721" spans="1:28" x14ac:dyDescent="0.25">
      <c r="A721" t="s">
        <v>725</v>
      </c>
      <c r="B721">
        <v>0.99193492352474899</v>
      </c>
      <c r="C721">
        <v>0.77894404751352897</v>
      </c>
      <c r="D721">
        <v>0.92749767108659698</v>
      </c>
      <c r="E721">
        <v>0.63573362151860702</v>
      </c>
      <c r="F721">
        <v>0.49741674419867699</v>
      </c>
      <c r="G721">
        <v>0.35313412932312499</v>
      </c>
      <c r="H721">
        <v>0.27501909138397101</v>
      </c>
      <c r="I721">
        <v>0.40379342469676499</v>
      </c>
      <c r="J721">
        <v>0.46389644411507402</v>
      </c>
      <c r="K721">
        <v>0.563921909529708</v>
      </c>
      <c r="L721">
        <v>1013.61642945893</v>
      </c>
      <c r="M721">
        <v>20.929803554653802</v>
      </c>
      <c r="N721">
        <v>52.705519753980298</v>
      </c>
      <c r="O721">
        <v>47.993722633059797</v>
      </c>
      <c r="P721">
        <v>-6.4490838460678601E-2</v>
      </c>
      <c r="Q721">
        <v>0.40848531151050699</v>
      </c>
      <c r="R721">
        <v>0.82409582386837898</v>
      </c>
      <c r="S721" t="s">
        <v>7391</v>
      </c>
      <c r="T721" t="s">
        <v>13338</v>
      </c>
      <c r="U721" t="s">
        <v>13338</v>
      </c>
      <c r="V721" t="s">
        <v>13338</v>
      </c>
      <c r="W721" t="s">
        <v>14050</v>
      </c>
      <c r="X721">
        <v>2</v>
      </c>
      <c r="Y721" t="s">
        <v>20655</v>
      </c>
      <c r="Z721" t="s">
        <v>27136</v>
      </c>
      <c r="AA721">
        <v>0.58227563279047545</v>
      </c>
      <c r="AB721" t="str">
        <f>HYPERLINK("Melting_Curves/meltCurve_F8VYK6_TARBP2.pdf", "Melting_Curves/meltCurve_F8VYK6_TARBP2.pdf")</f>
        <v>Melting_Curves/meltCurve_F8VYK6_TARBP2.pdf</v>
      </c>
    </row>
    <row r="722" spans="1:28" x14ac:dyDescent="0.25">
      <c r="A722" t="s">
        <v>726</v>
      </c>
      <c r="B722">
        <v>0.99193492352474899</v>
      </c>
      <c r="C722">
        <v>0.95711215275128503</v>
      </c>
      <c r="D722">
        <v>1.0689688042638701</v>
      </c>
      <c r="E722">
        <v>0.81565921485083304</v>
      </c>
      <c r="F722">
        <v>0.486785256447065</v>
      </c>
      <c r="G722">
        <v>0.27524143979890398</v>
      </c>
      <c r="H722">
        <v>0.19846822371383099</v>
      </c>
      <c r="I722">
        <v>0.15493206739444501</v>
      </c>
      <c r="J722">
        <v>0.16195857562746399</v>
      </c>
      <c r="K722">
        <v>0.133789748652936</v>
      </c>
      <c r="L722">
        <v>1327.38066674281</v>
      </c>
      <c r="M722">
        <v>25.3502985702644</v>
      </c>
      <c r="N722">
        <v>53.1412271163017</v>
      </c>
      <c r="O722">
        <v>52.038971732634401</v>
      </c>
      <c r="P722">
        <v>-0.102873012391684</v>
      </c>
      <c r="Q722">
        <v>0.155301953154035</v>
      </c>
      <c r="R722">
        <v>0.99122622590930198</v>
      </c>
      <c r="S722" t="s">
        <v>7392</v>
      </c>
      <c r="T722" t="s">
        <v>13338</v>
      </c>
      <c r="U722" t="s">
        <v>13338</v>
      </c>
      <c r="V722" t="s">
        <v>13338</v>
      </c>
      <c r="W722" t="s">
        <v>14051</v>
      </c>
      <c r="X722">
        <v>4</v>
      </c>
      <c r="Y722" t="s">
        <v>20656</v>
      </c>
      <c r="Z722" t="s">
        <v>27137</v>
      </c>
      <c r="AA722">
        <v>0.51089521002898097</v>
      </c>
      <c r="AB722" t="str">
        <f>HYPERLINK("Melting_Curves/meltCurve_F8VYN9_ARL1.pdf", "Melting_Curves/meltCurve_F8VYN9_ARL1.pdf")</f>
        <v>Melting_Curves/meltCurve_F8VYN9_ARL1.pdf</v>
      </c>
    </row>
    <row r="723" spans="1:28" x14ac:dyDescent="0.25">
      <c r="A723" t="s">
        <v>727</v>
      </c>
      <c r="B723">
        <v>0.99193492352474899</v>
      </c>
      <c r="C723">
        <v>0.80911469971343997</v>
      </c>
      <c r="D723">
        <v>1.02603739483927</v>
      </c>
      <c r="E723">
        <v>0.74084252227449698</v>
      </c>
      <c r="F723">
        <v>0.85175565473835102</v>
      </c>
      <c r="G723">
        <v>0.547409932538933</v>
      </c>
      <c r="H723">
        <v>0.55572644062747201</v>
      </c>
      <c r="I723">
        <v>0.53636451997120105</v>
      </c>
      <c r="J723">
        <v>0.73780338760328601</v>
      </c>
      <c r="K723">
        <v>0.86095253301290497</v>
      </c>
      <c r="L723">
        <v>914.43267091370399</v>
      </c>
      <c r="M723">
        <v>18.723074076357602</v>
      </c>
      <c r="O723">
        <v>48.292963963065198</v>
      </c>
      <c r="P723">
        <v>-3.3026780314292799E-2</v>
      </c>
      <c r="Q723">
        <v>0.659266708958404</v>
      </c>
      <c r="R723">
        <v>0.455923754724815</v>
      </c>
      <c r="S723" t="s">
        <v>7393</v>
      </c>
      <c r="T723" t="s">
        <v>13338</v>
      </c>
      <c r="U723" t="s">
        <v>13338</v>
      </c>
      <c r="V723" t="s">
        <v>13338</v>
      </c>
      <c r="W723" t="s">
        <v>14052</v>
      </c>
      <c r="X723">
        <v>7</v>
      </c>
      <c r="Y723" t="s">
        <v>20657</v>
      </c>
      <c r="Z723" t="s">
        <v>27138</v>
      </c>
      <c r="AA723">
        <v>0.76513613031654715</v>
      </c>
      <c r="AB723" t="str">
        <f>HYPERLINK("Melting_Curves/meltCurve_F8VZJ2_NACA.pdf", "Melting_Curves/meltCurve_F8VZJ2_NACA.pdf")</f>
        <v>Melting_Curves/meltCurve_F8VZJ2_NACA.pdf</v>
      </c>
    </row>
    <row r="724" spans="1:28" x14ac:dyDescent="0.25">
      <c r="A724" t="s">
        <v>728</v>
      </c>
      <c r="B724">
        <v>0.99193492352474899</v>
      </c>
      <c r="C724">
        <v>0.83879485381417496</v>
      </c>
      <c r="D724">
        <v>0.82707537123975505</v>
      </c>
      <c r="E724">
        <v>0.70912377832722995</v>
      </c>
      <c r="F724">
        <v>0.47174425369200002</v>
      </c>
      <c r="G724">
        <v>0.30442086509079602</v>
      </c>
      <c r="H724">
        <v>0.194931120618275</v>
      </c>
      <c r="I724">
        <v>0.20682125898807999</v>
      </c>
      <c r="J724">
        <v>0.235147449162387</v>
      </c>
      <c r="K724">
        <v>0.25722755537400399</v>
      </c>
      <c r="L724">
        <v>687.01976329807496</v>
      </c>
      <c r="M724">
        <v>13.566338157085699</v>
      </c>
      <c r="N724">
        <v>52.390331878980298</v>
      </c>
      <c r="O724">
        <v>49.579143606408103</v>
      </c>
      <c r="P724">
        <v>-5.5959285007423101E-2</v>
      </c>
      <c r="Q724">
        <v>0.18209360728939</v>
      </c>
      <c r="R724">
        <v>0.97375003438072105</v>
      </c>
      <c r="S724" t="s">
        <v>7394</v>
      </c>
      <c r="T724" t="s">
        <v>13338</v>
      </c>
      <c r="U724" t="s">
        <v>13338</v>
      </c>
      <c r="V724" t="s">
        <v>13338</v>
      </c>
      <c r="W724" t="s">
        <v>14053</v>
      </c>
      <c r="X724">
        <v>5</v>
      </c>
      <c r="Y724" t="s">
        <v>20658</v>
      </c>
      <c r="Z724" t="s">
        <v>27139</v>
      </c>
      <c r="AA724">
        <v>0.49477798791581151</v>
      </c>
      <c r="AB724" t="str">
        <f>HYPERLINK("Melting_Curves/meltCurve_F8W038_C17orf49.pdf", "Melting_Curves/meltCurve_F8W038_C17orf49.pdf")</f>
        <v>Melting_Curves/meltCurve_F8W038_C17orf49.pdf</v>
      </c>
    </row>
    <row r="725" spans="1:28" x14ac:dyDescent="0.25">
      <c r="A725" t="s">
        <v>729</v>
      </c>
      <c r="B725">
        <v>0.99193492352474899</v>
      </c>
      <c r="C725">
        <v>0.68955756272431301</v>
      </c>
      <c r="D725">
        <v>0.57212822958470799</v>
      </c>
      <c r="E725">
        <v>0.31985725642785701</v>
      </c>
      <c r="F725">
        <v>0.25691789618963201</v>
      </c>
      <c r="G725">
        <v>0.16115963964727001</v>
      </c>
      <c r="H725">
        <v>0</v>
      </c>
      <c r="I725">
        <v>0.28780160125416099</v>
      </c>
      <c r="J725">
        <v>0.29699865263552999</v>
      </c>
      <c r="K725">
        <v>0.107620371511612</v>
      </c>
      <c r="L725">
        <v>768.03619990253503</v>
      </c>
      <c r="M725">
        <v>16.9552855261838</v>
      </c>
      <c r="N725">
        <v>46.416476382777098</v>
      </c>
      <c r="O725">
        <v>44.681711654110998</v>
      </c>
      <c r="P725">
        <v>-7.8960022759593199E-2</v>
      </c>
      <c r="Q725">
        <v>0.167728866194778</v>
      </c>
      <c r="R725">
        <v>0.90149853971963501</v>
      </c>
      <c r="S725" t="s">
        <v>7395</v>
      </c>
      <c r="T725" t="s">
        <v>13338</v>
      </c>
      <c r="U725" t="s">
        <v>13338</v>
      </c>
      <c r="V725" t="s">
        <v>13338</v>
      </c>
      <c r="W725" t="s">
        <v>14054</v>
      </c>
      <c r="X725">
        <v>1</v>
      </c>
      <c r="Y725" t="s">
        <v>20659</v>
      </c>
      <c r="Z725" t="s">
        <v>27140</v>
      </c>
      <c r="AA725">
        <v>0.33458154015110808</v>
      </c>
      <c r="AB725" t="str">
        <f>HYPERLINK("Melting_Curves/meltCurve_F8W052_TROAP.pdf", "Melting_Curves/meltCurve_F8W052_TROAP.pdf")</f>
        <v>Melting_Curves/meltCurve_F8W052_TROAP.pdf</v>
      </c>
    </row>
    <row r="726" spans="1:28" x14ac:dyDescent="0.25">
      <c r="A726" t="s">
        <v>730</v>
      </c>
      <c r="B726">
        <v>0.99193492352474899</v>
      </c>
      <c r="C726">
        <v>0.94864080367821102</v>
      </c>
      <c r="D726">
        <v>0.83066666710102199</v>
      </c>
      <c r="E726">
        <v>0.73948455902292398</v>
      </c>
      <c r="F726">
        <v>0.29916386916798898</v>
      </c>
      <c r="G726">
        <v>7.0837069311372194E-2</v>
      </c>
      <c r="H726">
        <v>3.5177674464908902E-2</v>
      </c>
      <c r="I726">
        <v>2.9839197610211698E-2</v>
      </c>
      <c r="J726">
        <v>3.5883335514463099E-2</v>
      </c>
      <c r="K726">
        <v>8.45241543600566E-3</v>
      </c>
      <c r="L726">
        <v>1134.0206631337701</v>
      </c>
      <c r="M726">
        <v>22.126122199929899</v>
      </c>
      <c r="N726">
        <v>51.284650818715598</v>
      </c>
      <c r="O726">
        <v>50.839427813443002</v>
      </c>
      <c r="P726">
        <v>-0.108058571068694</v>
      </c>
      <c r="Q726">
        <v>6.87236253017542E-3</v>
      </c>
      <c r="R726">
        <v>0.98970699195967504</v>
      </c>
      <c r="S726" t="s">
        <v>7396</v>
      </c>
      <c r="T726" t="s">
        <v>13338</v>
      </c>
      <c r="U726" t="s">
        <v>13338</v>
      </c>
      <c r="V726" t="s">
        <v>13338</v>
      </c>
      <c r="W726" t="s">
        <v>14039</v>
      </c>
      <c r="X726">
        <v>10</v>
      </c>
      <c r="Y726" t="s">
        <v>20644</v>
      </c>
      <c r="Z726" t="s">
        <v>27141</v>
      </c>
      <c r="AA726">
        <v>0.39077333370869571</v>
      </c>
      <c r="AB726" t="str">
        <f>HYPERLINK("Melting_Curves/meltCurve_F8W0J6_NAP1L1.pdf", "Melting_Curves/meltCurve_F8W0J6_NAP1L1.pdf")</f>
        <v>Melting_Curves/meltCurve_F8W0J6_NAP1L1.pdf</v>
      </c>
    </row>
    <row r="727" spans="1:28" x14ac:dyDescent="0.25">
      <c r="A727" t="s">
        <v>731</v>
      </c>
      <c r="B727">
        <v>0.99193492352474899</v>
      </c>
      <c r="C727">
        <v>0.63168595734918598</v>
      </c>
      <c r="D727">
        <v>0.79394624639968103</v>
      </c>
      <c r="E727">
        <v>0.49419018826186201</v>
      </c>
      <c r="F727">
        <v>0.51675859542177305</v>
      </c>
      <c r="G727">
        <v>0.36263750258806099</v>
      </c>
      <c r="H727">
        <v>0.37265911661413997</v>
      </c>
      <c r="I727">
        <v>0.50719117020938698</v>
      </c>
      <c r="J727">
        <v>0.74576570760599803</v>
      </c>
      <c r="K727">
        <v>0.95375226006042302</v>
      </c>
      <c r="L727">
        <v>3375.39051635021</v>
      </c>
      <c r="M727">
        <v>80.869514288876701</v>
      </c>
      <c r="O727">
        <v>41.713243981182501</v>
      </c>
      <c r="P727">
        <v>-0.19723063926411499</v>
      </c>
      <c r="Q727">
        <v>0.59306669363359699</v>
      </c>
      <c r="R727">
        <v>0.30743002945710901</v>
      </c>
      <c r="S727" t="s">
        <v>7397</v>
      </c>
      <c r="T727" t="s">
        <v>13338</v>
      </c>
      <c r="U727" t="s">
        <v>13338</v>
      </c>
      <c r="V727" t="s">
        <v>13338</v>
      </c>
      <c r="W727" t="s">
        <v>14055</v>
      </c>
      <c r="X727">
        <v>11</v>
      </c>
      <c r="Y727" t="s">
        <v>20660</v>
      </c>
      <c r="Z727" t="s">
        <v>27142</v>
      </c>
      <c r="AA727">
        <v>0.61712104952255509</v>
      </c>
      <c r="AB727" t="str">
        <f>HYPERLINK("Melting_Curves/meltCurve_F8W0Q9_PPHLN1.pdf", "Melting_Curves/meltCurve_F8W0Q9_PPHLN1.pdf")</f>
        <v>Melting_Curves/meltCurve_F8W0Q9_PPHLN1.pdf</v>
      </c>
    </row>
    <row r="728" spans="1:28" x14ac:dyDescent="0.25">
      <c r="A728" t="s">
        <v>732</v>
      </c>
      <c r="B728">
        <v>0.99193492352474899</v>
      </c>
      <c r="C728">
        <v>0.94881603048185403</v>
      </c>
      <c r="D728">
        <v>0.74588952229203798</v>
      </c>
      <c r="E728">
        <v>0.73523602806492205</v>
      </c>
      <c r="F728">
        <v>0.53701850760638603</v>
      </c>
      <c r="G728">
        <v>0.29795201763609402</v>
      </c>
      <c r="H728">
        <v>0.150963689728668</v>
      </c>
      <c r="I728">
        <v>0.196917236915368</v>
      </c>
      <c r="J728">
        <v>0.237937437515157</v>
      </c>
      <c r="K728">
        <v>0.26992443079670603</v>
      </c>
      <c r="L728">
        <v>703.97715630648497</v>
      </c>
      <c r="M728">
        <v>13.784880813827099</v>
      </c>
      <c r="N728">
        <v>52.712960483358799</v>
      </c>
      <c r="O728">
        <v>50.0300395722141</v>
      </c>
      <c r="P728">
        <v>-5.68548732329223E-2</v>
      </c>
      <c r="Q728">
        <v>0.17473302825907799</v>
      </c>
      <c r="R728">
        <v>0.957644553590418</v>
      </c>
      <c r="S728" t="s">
        <v>7398</v>
      </c>
      <c r="T728" t="s">
        <v>13338</v>
      </c>
      <c r="U728" t="s">
        <v>13338</v>
      </c>
      <c r="V728" t="s">
        <v>13338</v>
      </c>
      <c r="W728" t="s">
        <v>14056</v>
      </c>
      <c r="X728">
        <v>2</v>
      </c>
      <c r="Y728" t="s">
        <v>20661</v>
      </c>
      <c r="Z728" t="s">
        <v>27143</v>
      </c>
      <c r="AA728">
        <v>0.50101246393782617</v>
      </c>
      <c r="AB728" t="str">
        <f>HYPERLINK("Melting_Curves/meltCurve_F8W0R1_ERGIC2.pdf", "Melting_Curves/meltCurve_F8W0R1_ERGIC2.pdf")</f>
        <v>Melting_Curves/meltCurve_F8W0R1_ERGIC2.pdf</v>
      </c>
    </row>
    <row r="729" spans="1:28" x14ac:dyDescent="0.25">
      <c r="A729" t="s">
        <v>733</v>
      </c>
      <c r="B729">
        <v>0.99193492352474899</v>
      </c>
      <c r="C729">
        <v>0.91174468799536901</v>
      </c>
      <c r="D729">
        <v>1.1498893596758499</v>
      </c>
      <c r="E729">
        <v>1.5347395262686701</v>
      </c>
      <c r="F729">
        <v>1.8787368584923301</v>
      </c>
      <c r="G729">
        <v>0.84862764836411897</v>
      </c>
      <c r="H729">
        <v>0.26180995754673098</v>
      </c>
      <c r="I729">
        <v>0.26009974134662101</v>
      </c>
      <c r="J729">
        <v>0.342933706610834</v>
      </c>
      <c r="K729">
        <v>0.33600487751602798</v>
      </c>
      <c r="L729">
        <v>14273.1181177732</v>
      </c>
      <c r="M729">
        <v>250</v>
      </c>
      <c r="N729">
        <v>57.3027412453946</v>
      </c>
      <c r="O729">
        <v>57.088796553937797</v>
      </c>
      <c r="P729">
        <v>-0.76611757211303</v>
      </c>
      <c r="Q729">
        <v>0.30021204146424901</v>
      </c>
      <c r="R729">
        <v>0.61676323348804496</v>
      </c>
      <c r="S729" t="s">
        <v>7399</v>
      </c>
      <c r="T729" t="s">
        <v>13338</v>
      </c>
      <c r="U729" t="s">
        <v>13338</v>
      </c>
      <c r="V729" t="s">
        <v>13338</v>
      </c>
      <c r="W729" t="s">
        <v>14057</v>
      </c>
      <c r="X729">
        <v>9</v>
      </c>
      <c r="Y729" t="s">
        <v>20662</v>
      </c>
      <c r="Z729" t="s">
        <v>27144</v>
      </c>
      <c r="AA729">
        <v>0.69898570492805112</v>
      </c>
      <c r="AB729" t="str">
        <f>HYPERLINK("Melting_Curves/meltCurve_F8W181_RPL6.pdf", "Melting_Curves/meltCurve_F8W181_RPL6.pdf")</f>
        <v>Melting_Curves/meltCurve_F8W181_RPL6.pdf</v>
      </c>
    </row>
    <row r="730" spans="1:28" x14ac:dyDescent="0.25">
      <c r="A730" t="s">
        <v>734</v>
      </c>
      <c r="B730">
        <v>0.99193492352474899</v>
      </c>
      <c r="C730">
        <v>0.55882052235479196</v>
      </c>
      <c r="D730">
        <v>0.70556866896263803</v>
      </c>
      <c r="E730">
        <v>0.39134180797898999</v>
      </c>
      <c r="F730">
        <v>0.234365621581513</v>
      </c>
      <c r="G730">
        <v>0.120776562774726</v>
      </c>
      <c r="H730">
        <v>8.1078673635923096E-2</v>
      </c>
      <c r="I730">
        <v>0.141675926447801</v>
      </c>
      <c r="J730">
        <v>0.177773044599189</v>
      </c>
      <c r="K730">
        <v>0.209917009133018</v>
      </c>
      <c r="L730">
        <v>596.96723715013104</v>
      </c>
      <c r="M730">
        <v>12.947598887610299</v>
      </c>
      <c r="N730">
        <v>47.114184829583998</v>
      </c>
      <c r="O730">
        <v>45.048140128545</v>
      </c>
      <c r="P730">
        <v>-6.3174529545276095E-2</v>
      </c>
      <c r="Q730">
        <v>0.120954253870873</v>
      </c>
      <c r="R730">
        <v>0.89162793290827003</v>
      </c>
      <c r="S730" t="s">
        <v>7400</v>
      </c>
      <c r="T730" t="s">
        <v>13338</v>
      </c>
      <c r="U730" t="s">
        <v>13338</v>
      </c>
      <c r="V730" t="s">
        <v>13338</v>
      </c>
      <c r="W730" t="s">
        <v>14058</v>
      </c>
      <c r="X730">
        <v>16</v>
      </c>
      <c r="Y730" t="s">
        <v>20663</v>
      </c>
      <c r="Z730" t="s">
        <v>27145</v>
      </c>
      <c r="AA730">
        <v>0.33417581958791248</v>
      </c>
      <c r="AB730" t="str">
        <f>HYPERLINK("Melting_Curves/meltCurve_F8W689_RFX5.pdf", "Melting_Curves/meltCurve_F8W689_RFX5.pdf")</f>
        <v>Melting_Curves/meltCurve_F8W689_RFX5.pdf</v>
      </c>
    </row>
    <row r="731" spans="1:28" x14ac:dyDescent="0.25">
      <c r="A731" t="s">
        <v>735</v>
      </c>
      <c r="B731">
        <v>0.99193492352474899</v>
      </c>
      <c r="C731">
        <v>0.36972989461061501</v>
      </c>
      <c r="D731">
        <v>0.70753475326151605</v>
      </c>
      <c r="E731">
        <v>0.37105318247723201</v>
      </c>
      <c r="F731">
        <v>0.23050965033930099</v>
      </c>
      <c r="G731">
        <v>0.116061241334167</v>
      </c>
      <c r="H731">
        <v>9.30484015341837E-2</v>
      </c>
      <c r="I731">
        <v>0.105850170435284</v>
      </c>
      <c r="J731">
        <v>0.145188646809641</v>
      </c>
      <c r="K731">
        <v>0.14975388811462001</v>
      </c>
      <c r="L731">
        <v>481.73822548314502</v>
      </c>
      <c r="M731">
        <v>10.600913523286801</v>
      </c>
      <c r="N731">
        <v>46.211029284554598</v>
      </c>
      <c r="O731">
        <v>43.9154379562844</v>
      </c>
      <c r="P731">
        <v>-5.5496192957029102E-2</v>
      </c>
      <c r="Q731">
        <v>8.0761402754610995E-2</v>
      </c>
      <c r="R731">
        <v>0.78621869985819204</v>
      </c>
      <c r="S731" t="s">
        <v>7401</v>
      </c>
      <c r="T731" t="s">
        <v>13338</v>
      </c>
      <c r="U731" t="s">
        <v>13338</v>
      </c>
      <c r="V731" t="s">
        <v>13338</v>
      </c>
      <c r="W731" t="s">
        <v>14059</v>
      </c>
      <c r="X731">
        <v>23</v>
      </c>
      <c r="Y731" t="s">
        <v>20664</v>
      </c>
      <c r="Z731" t="s">
        <v>27146</v>
      </c>
      <c r="AA731">
        <v>0.30240878559237527</v>
      </c>
      <c r="AB731" t="str">
        <f>HYPERLINK("Melting_Curves/meltCurve_F8W6I7_HNRNPA1.pdf", "Melting_Curves/meltCurve_F8W6I7_HNRNPA1.pdf")</f>
        <v>Melting_Curves/meltCurve_F8W6I7_HNRNPA1.pdf</v>
      </c>
    </row>
    <row r="732" spans="1:28" x14ac:dyDescent="0.25">
      <c r="A732" t="s">
        <v>736</v>
      </c>
      <c r="B732">
        <v>0.99193492352474899</v>
      </c>
      <c r="C732">
        <v>0.36908673703057898</v>
      </c>
      <c r="D732">
        <v>0.78309548675573004</v>
      </c>
      <c r="E732">
        <v>0.297247626230627</v>
      </c>
      <c r="F732">
        <v>0.429536693003779</v>
      </c>
      <c r="G732">
        <v>0.13743816099908601</v>
      </c>
      <c r="H732">
        <v>0.123965670938046</v>
      </c>
      <c r="I732">
        <v>7.9914142584373501E-2</v>
      </c>
      <c r="J732">
        <v>7.6055709773447999E-2</v>
      </c>
      <c r="K732">
        <v>0</v>
      </c>
      <c r="L732">
        <v>399.80513220919198</v>
      </c>
      <c r="M732">
        <v>8.4569105214601201</v>
      </c>
      <c r="N732">
        <v>47.275555043626902</v>
      </c>
      <c r="O732">
        <v>44.854183261576402</v>
      </c>
      <c r="P732">
        <v>-4.7178848321136599E-2</v>
      </c>
      <c r="Q732">
        <v>0</v>
      </c>
      <c r="R732">
        <v>0.76199917059980404</v>
      </c>
      <c r="S732" t="s">
        <v>7402</v>
      </c>
      <c r="T732" t="s">
        <v>13338</v>
      </c>
      <c r="U732" t="s">
        <v>13338</v>
      </c>
      <c r="V732" t="s">
        <v>13338</v>
      </c>
      <c r="W732" t="s">
        <v>14060</v>
      </c>
      <c r="X732">
        <v>2</v>
      </c>
      <c r="Y732" t="s">
        <v>20665</v>
      </c>
      <c r="Z732" t="s">
        <v>27147</v>
      </c>
      <c r="AA732">
        <v>0.31458320962627329</v>
      </c>
      <c r="AB732" t="str">
        <f>HYPERLINK("Melting_Curves/meltCurve_F8W6N3_BAP1.pdf", "Melting_Curves/meltCurve_F8W6N3_BAP1.pdf")</f>
        <v>Melting_Curves/meltCurve_F8W6N3_BAP1.pdf</v>
      </c>
    </row>
    <row r="733" spans="1:28" x14ac:dyDescent="0.25">
      <c r="A733" t="s">
        <v>737</v>
      </c>
      <c r="B733">
        <v>0.99193492352474899</v>
      </c>
      <c r="C733">
        <v>0.72306979594022602</v>
      </c>
      <c r="D733">
        <v>0.65410949707836896</v>
      </c>
      <c r="E733">
        <v>0.29495440945074902</v>
      </c>
      <c r="F733">
        <v>0.103286603513425</v>
      </c>
      <c r="G733">
        <v>8.0624017406519602E-2</v>
      </c>
      <c r="H733">
        <v>8.7683827016278706E-2</v>
      </c>
      <c r="I733">
        <v>0.119699461119835</v>
      </c>
      <c r="J733">
        <v>0.17161147198805499</v>
      </c>
      <c r="K733">
        <v>0.19272035455914299</v>
      </c>
      <c r="L733">
        <v>888.00284572516102</v>
      </c>
      <c r="M733">
        <v>19.254299972734501</v>
      </c>
      <c r="N733">
        <v>46.746303082898997</v>
      </c>
      <c r="O733">
        <v>45.630870531794301</v>
      </c>
      <c r="P733">
        <v>-9.34953226271001E-2</v>
      </c>
      <c r="Q733">
        <v>0.113733220000693</v>
      </c>
      <c r="R733">
        <v>0.95894675792637196</v>
      </c>
      <c r="S733" t="s">
        <v>7403</v>
      </c>
      <c r="T733" t="s">
        <v>13338</v>
      </c>
      <c r="U733" t="s">
        <v>13338</v>
      </c>
      <c r="V733" t="s">
        <v>13338</v>
      </c>
      <c r="W733" t="s">
        <v>14061</v>
      </c>
      <c r="X733">
        <v>1</v>
      </c>
      <c r="Y733" t="s">
        <v>20666</v>
      </c>
      <c r="Z733" t="s">
        <v>27148</v>
      </c>
      <c r="AA733">
        <v>0.30933921742881348</v>
      </c>
      <c r="AB733" t="str">
        <f>HYPERLINK("Melting_Curves/meltCurve_F8W6Q3_ZNF384.pdf", "Melting_Curves/meltCurve_F8W6Q3_ZNF384.pdf")</f>
        <v>Melting_Curves/meltCurve_F8W6Q3_ZNF384.pdf</v>
      </c>
    </row>
    <row r="734" spans="1:28" x14ac:dyDescent="0.25">
      <c r="A734" t="s">
        <v>738</v>
      </c>
      <c r="B734">
        <v>0.99193492352474899</v>
      </c>
      <c r="C734">
        <v>1.1452936867521499</v>
      </c>
      <c r="D734">
        <v>1.0043203416336299</v>
      </c>
      <c r="E734">
        <v>0.89339496232468396</v>
      </c>
      <c r="F734">
        <v>0.55107953260022002</v>
      </c>
      <c r="G734">
        <v>0.28084334148622098</v>
      </c>
      <c r="H734">
        <v>0.26408726939492699</v>
      </c>
      <c r="I734">
        <v>0.29520176681087801</v>
      </c>
      <c r="J734">
        <v>0.31514216014626101</v>
      </c>
      <c r="K734">
        <v>0.26960279636163997</v>
      </c>
      <c r="L734">
        <v>1894.57567047374</v>
      </c>
      <c r="M734">
        <v>36.211851883528396</v>
      </c>
      <c r="N734">
        <v>53.520067548658901</v>
      </c>
      <c r="O734">
        <v>52.160423398041203</v>
      </c>
      <c r="P734">
        <v>-0.12528887557350599</v>
      </c>
      <c r="Q734">
        <v>0.27812572469139801</v>
      </c>
      <c r="R734">
        <v>0.97887267714722903</v>
      </c>
      <c r="S734" t="s">
        <v>7404</v>
      </c>
      <c r="T734" t="s">
        <v>13338</v>
      </c>
      <c r="U734" t="s">
        <v>13338</v>
      </c>
      <c r="V734" t="s">
        <v>13338</v>
      </c>
      <c r="W734" t="s">
        <v>14062</v>
      </c>
      <c r="X734">
        <v>9</v>
      </c>
      <c r="Y734" t="s">
        <v>20667</v>
      </c>
      <c r="Z734" t="s">
        <v>27149</v>
      </c>
      <c r="AA734">
        <v>0.57774222807118136</v>
      </c>
      <c r="AB734" t="str">
        <f>HYPERLINK("Melting_Curves/meltCurve_F8W6T6_TLE4.pdf", "Melting_Curves/meltCurve_F8W6T6_TLE4.pdf")</f>
        <v>Melting_Curves/meltCurve_F8W6T6_TLE4.pdf</v>
      </c>
    </row>
    <row r="735" spans="1:28" x14ac:dyDescent="0.25">
      <c r="A735" t="s">
        <v>739</v>
      </c>
      <c r="B735">
        <v>0.99193492352474899</v>
      </c>
      <c r="C735">
        <v>0.86220741523515798</v>
      </c>
      <c r="D735">
        <v>0.90735329378835605</v>
      </c>
      <c r="E735">
        <v>0.875510795259138</v>
      </c>
      <c r="F735">
        <v>0.88067361930155597</v>
      </c>
      <c r="G735">
        <v>0.31152698565499098</v>
      </c>
      <c r="H735">
        <v>0</v>
      </c>
      <c r="I735">
        <v>0</v>
      </c>
      <c r="J735">
        <v>0</v>
      </c>
      <c r="K735">
        <v>0</v>
      </c>
      <c r="L735">
        <v>2307.5179641838499</v>
      </c>
      <c r="M735">
        <v>41.437706142737099</v>
      </c>
      <c r="N735">
        <v>55.686433153548897</v>
      </c>
      <c r="O735">
        <v>55.557215739997801</v>
      </c>
      <c r="P735">
        <v>-0.186464463081708</v>
      </c>
      <c r="Q735">
        <v>0</v>
      </c>
      <c r="R735">
        <v>0.977080940375052</v>
      </c>
      <c r="S735" t="s">
        <v>7405</v>
      </c>
      <c r="T735" t="s">
        <v>13338</v>
      </c>
      <c r="U735" t="s">
        <v>13338</v>
      </c>
      <c r="V735" t="s">
        <v>13338</v>
      </c>
      <c r="W735" t="s">
        <v>14063</v>
      </c>
      <c r="X735">
        <v>1</v>
      </c>
      <c r="Y735" t="s">
        <v>20668</v>
      </c>
      <c r="Z735" t="s">
        <v>27150</v>
      </c>
      <c r="AA735">
        <v>0.52645084724623303</v>
      </c>
      <c r="AB735" t="str">
        <f>HYPERLINK("Melting_Curves/meltCurve_F8W7D0_PBLD.pdf", "Melting_Curves/meltCurve_F8W7D0_PBLD.pdf")</f>
        <v>Melting_Curves/meltCurve_F8W7D0_PBLD.pdf</v>
      </c>
    </row>
    <row r="736" spans="1:28" x14ac:dyDescent="0.25">
      <c r="A736" t="s">
        <v>740</v>
      </c>
      <c r="B736">
        <v>0.99193492352474899</v>
      </c>
      <c r="C736">
        <v>0.87669154246821002</v>
      </c>
      <c r="D736">
        <v>0.96137679648194796</v>
      </c>
      <c r="E736">
        <v>0.77234969794003205</v>
      </c>
      <c r="F736">
        <v>0.65675159774334402</v>
      </c>
      <c r="G736">
        <v>0.45799933605194398</v>
      </c>
      <c r="H736">
        <v>0.46035888444329798</v>
      </c>
      <c r="I736">
        <v>0.51014901604382101</v>
      </c>
      <c r="J736">
        <v>0.70236023570931505</v>
      </c>
      <c r="K736">
        <v>0.86470931647251104</v>
      </c>
      <c r="L736">
        <v>1601.6787959170099</v>
      </c>
      <c r="M736">
        <v>32.643571759765599</v>
      </c>
      <c r="O736">
        <v>48.882636654750002</v>
      </c>
      <c r="P736">
        <v>-6.62227869640446E-2</v>
      </c>
      <c r="Q736">
        <v>0.603336378529302</v>
      </c>
      <c r="R736">
        <v>0.60235422656733995</v>
      </c>
      <c r="S736" t="s">
        <v>7406</v>
      </c>
      <c r="T736" t="s">
        <v>13338</v>
      </c>
      <c r="U736" t="s">
        <v>13338</v>
      </c>
      <c r="V736" t="s">
        <v>13338</v>
      </c>
      <c r="W736" t="s">
        <v>14064</v>
      </c>
      <c r="X736">
        <v>7</v>
      </c>
      <c r="Y736" t="s">
        <v>20669</v>
      </c>
      <c r="Z736" t="s">
        <v>27151</v>
      </c>
      <c r="AA736">
        <v>0.72523862451600252</v>
      </c>
      <c r="AB736" t="str">
        <f>HYPERLINK("Melting_Curves/meltCurve_F8W7Q4_FAM162A.pdf", "Melting_Curves/meltCurve_F8W7Q4_FAM162A.pdf")</f>
        <v>Melting_Curves/meltCurve_F8W7Q4_FAM162A.pdf</v>
      </c>
    </row>
    <row r="737" spans="1:28" x14ac:dyDescent="0.25">
      <c r="A737" t="s">
        <v>741</v>
      </c>
      <c r="B737">
        <v>0.99193492352474899</v>
      </c>
      <c r="C737">
        <v>0.48894299142249498</v>
      </c>
      <c r="D737">
        <v>0.293755091021628</v>
      </c>
      <c r="E737">
        <v>0.20963200121152201</v>
      </c>
      <c r="F737">
        <v>0.11707399225665301</v>
      </c>
      <c r="G737">
        <v>0.11485382826229</v>
      </c>
      <c r="H737">
        <v>9.6877576581196501E-2</v>
      </c>
      <c r="I737">
        <v>9.6779866303584899E-2</v>
      </c>
      <c r="J737">
        <v>9.8942300080639603E-2</v>
      </c>
      <c r="K737">
        <v>8.1529538455621206E-2</v>
      </c>
      <c r="L737">
        <v>1209.7337291239401</v>
      </c>
      <c r="M737">
        <v>28.1905833521235</v>
      </c>
      <c r="N737">
        <v>43.321747576196103</v>
      </c>
      <c r="O737">
        <v>42.698504584245498</v>
      </c>
      <c r="P737">
        <v>-0.14577026760974801</v>
      </c>
      <c r="Q737">
        <v>0.116851396275428</v>
      </c>
      <c r="R737">
        <v>0.96617647063975098</v>
      </c>
      <c r="S737" t="s">
        <v>7407</v>
      </c>
      <c r="T737" t="s">
        <v>13338</v>
      </c>
      <c r="U737" t="s">
        <v>13338</v>
      </c>
      <c r="V737" t="s">
        <v>13338</v>
      </c>
      <c r="W737" t="s">
        <v>14065</v>
      </c>
      <c r="X737">
        <v>6</v>
      </c>
      <c r="Y737" t="s">
        <v>20670</v>
      </c>
      <c r="Z737" t="s">
        <v>27152</v>
      </c>
      <c r="AA737">
        <v>0.21232864498580109</v>
      </c>
      <c r="AB737" t="str">
        <f>HYPERLINK("Melting_Curves/meltCurve_F8W840_YTHDF1.pdf", "Melting_Curves/meltCurve_F8W840_YTHDF1.pdf")</f>
        <v>Melting_Curves/meltCurve_F8W840_YTHDF1.pdf</v>
      </c>
    </row>
    <row r="738" spans="1:28" x14ac:dyDescent="0.25">
      <c r="A738" t="s">
        <v>742</v>
      </c>
      <c r="B738">
        <v>0.99193492352474899</v>
      </c>
      <c r="C738">
        <v>0.69498912016282199</v>
      </c>
      <c r="D738">
        <v>0.588104128912456</v>
      </c>
      <c r="E738">
        <v>0.347389257600414</v>
      </c>
      <c r="F738">
        <v>0.215184057035539</v>
      </c>
      <c r="G738">
        <v>0.13625637423790099</v>
      </c>
      <c r="H738">
        <v>0.10282073517061199</v>
      </c>
      <c r="I738">
        <v>0.15654868187377299</v>
      </c>
      <c r="J738">
        <v>0.14810476098960801</v>
      </c>
      <c r="K738">
        <v>0.30643032948524002</v>
      </c>
      <c r="L738">
        <v>773.31950526196795</v>
      </c>
      <c r="M738">
        <v>16.9989783834782</v>
      </c>
      <c r="N738">
        <v>46.572012979607301</v>
      </c>
      <c r="O738">
        <v>44.876567151345398</v>
      </c>
      <c r="P738">
        <v>-7.9279045075925397E-2</v>
      </c>
      <c r="Q738">
        <v>0.16287916998451099</v>
      </c>
      <c r="R738">
        <v>0.94598006073639895</v>
      </c>
      <c r="S738" t="s">
        <v>7408</v>
      </c>
      <c r="T738" t="s">
        <v>13338</v>
      </c>
      <c r="U738" t="s">
        <v>13338</v>
      </c>
      <c r="V738" t="s">
        <v>13338</v>
      </c>
      <c r="W738" t="s">
        <v>14066</v>
      </c>
      <c r="X738">
        <v>7</v>
      </c>
      <c r="Y738" t="s">
        <v>20671</v>
      </c>
      <c r="Z738" t="s">
        <v>27153</v>
      </c>
      <c r="AA738">
        <v>0.33563860886745739</v>
      </c>
      <c r="AB738" t="str">
        <f>HYPERLINK("Melting_Curves/meltCurve_F8W8D3_SLBP.pdf", "Melting_Curves/meltCurve_F8W8D3_SLBP.pdf")</f>
        <v>Melting_Curves/meltCurve_F8W8D3_SLBP.pdf</v>
      </c>
    </row>
    <row r="739" spans="1:28" x14ac:dyDescent="0.25">
      <c r="A739" t="s">
        <v>743</v>
      </c>
      <c r="B739">
        <v>0.99193492352474899</v>
      </c>
      <c r="C739">
        <v>0.81285923593213505</v>
      </c>
      <c r="D739">
        <v>0.61013060020308096</v>
      </c>
      <c r="E739">
        <v>0.51570272885004198</v>
      </c>
      <c r="F739">
        <v>0.26798221654503801</v>
      </c>
      <c r="G739">
        <v>0.20972438856308201</v>
      </c>
      <c r="H739">
        <v>0.113761759071258</v>
      </c>
      <c r="I739">
        <v>0.217288899976737</v>
      </c>
      <c r="J739">
        <v>0.14651690164679701</v>
      </c>
      <c r="K739">
        <v>0.24052742594176901</v>
      </c>
      <c r="L739">
        <v>686.75811817926797</v>
      </c>
      <c r="M739">
        <v>14.5803629833784</v>
      </c>
      <c r="N739">
        <v>48.409697978682203</v>
      </c>
      <c r="O739">
        <v>46.242152405709298</v>
      </c>
      <c r="P739">
        <v>-6.5999240658794506E-2</v>
      </c>
      <c r="Q739">
        <v>0.162818581545495</v>
      </c>
      <c r="R739">
        <v>0.96871359194683804</v>
      </c>
      <c r="S739" t="s">
        <v>7409</v>
      </c>
      <c r="T739" t="s">
        <v>13338</v>
      </c>
      <c r="U739" t="s">
        <v>13338</v>
      </c>
      <c r="V739" t="s">
        <v>13338</v>
      </c>
      <c r="W739" t="s">
        <v>14067</v>
      </c>
      <c r="X739">
        <v>2</v>
      </c>
      <c r="Y739" t="s">
        <v>20672</v>
      </c>
      <c r="Z739" t="s">
        <v>27154</v>
      </c>
      <c r="AA739">
        <v>0.38494612503145209</v>
      </c>
      <c r="AB739" t="str">
        <f>HYPERLINK("Melting_Curves/meltCurve_F8W8G5_MYB.pdf", "Melting_Curves/meltCurve_F8W8G5_MYB.pdf")</f>
        <v>Melting_Curves/meltCurve_F8W8G5_MYB.pdf</v>
      </c>
    </row>
    <row r="740" spans="1:28" x14ac:dyDescent="0.25">
      <c r="A740" t="s">
        <v>744</v>
      </c>
      <c r="B740">
        <v>0.99193492352474899</v>
      </c>
      <c r="C740">
        <v>0.67322761685212695</v>
      </c>
      <c r="D740">
        <v>1.0107626690113201</v>
      </c>
      <c r="E740">
        <v>0.69880721064073703</v>
      </c>
      <c r="F740">
        <v>0.45369485929860398</v>
      </c>
      <c r="G740">
        <v>0.18217235973142201</v>
      </c>
      <c r="H740">
        <v>0.118161654362497</v>
      </c>
      <c r="I740">
        <v>0.17150468286537601</v>
      </c>
      <c r="J740">
        <v>0.20024991074715701</v>
      </c>
      <c r="K740">
        <v>0.194222585257806</v>
      </c>
      <c r="L740">
        <v>1117.1185832362701</v>
      </c>
      <c r="M740">
        <v>21.840835003652501</v>
      </c>
      <c r="N740">
        <v>52.027190953856802</v>
      </c>
      <c r="O740">
        <v>50.725155811931998</v>
      </c>
      <c r="P740">
        <v>-9.1036479656462305E-2</v>
      </c>
      <c r="Q740">
        <v>0.154293417224419</v>
      </c>
      <c r="R740">
        <v>0.89338192800503402</v>
      </c>
      <c r="S740" t="s">
        <v>7410</v>
      </c>
      <c r="T740" t="s">
        <v>13338</v>
      </c>
      <c r="U740" t="s">
        <v>13338</v>
      </c>
      <c r="V740" t="s">
        <v>13338</v>
      </c>
      <c r="W740" t="s">
        <v>14068</v>
      </c>
      <c r="X740">
        <v>9</v>
      </c>
      <c r="Y740" t="s">
        <v>20673</v>
      </c>
      <c r="Z740" t="s">
        <v>27155</v>
      </c>
      <c r="AA740">
        <v>0.47850330464525082</v>
      </c>
      <c r="AB740" t="str">
        <f>HYPERLINK("Melting_Curves/meltCurve_F8W8I6_TIA1.pdf", "Melting_Curves/meltCurve_F8W8I6_TIA1.pdf")</f>
        <v>Melting_Curves/meltCurve_F8W8I6_TIA1.pdf</v>
      </c>
    </row>
    <row r="741" spans="1:28" x14ac:dyDescent="0.25">
      <c r="A741" t="s">
        <v>745</v>
      </c>
      <c r="B741">
        <v>0.99193492352474899</v>
      </c>
      <c r="C741">
        <v>1.3416442047255801</v>
      </c>
      <c r="D741">
        <v>0.75973036795599203</v>
      </c>
      <c r="E741">
        <v>0.853117779910885</v>
      </c>
      <c r="F741">
        <v>0.61494969521562504</v>
      </c>
      <c r="G741">
        <v>0.72608486472832801</v>
      </c>
      <c r="H741">
        <v>0.49748793616316</v>
      </c>
      <c r="I741">
        <v>0.77149432117917405</v>
      </c>
      <c r="J741">
        <v>0.73317545728962796</v>
      </c>
      <c r="K741">
        <v>1.27882958059144</v>
      </c>
      <c r="L741">
        <v>11163.8302554366</v>
      </c>
      <c r="M741">
        <v>250</v>
      </c>
      <c r="O741">
        <v>44.652465880098902</v>
      </c>
      <c r="P741">
        <v>-0.30885270495239597</v>
      </c>
      <c r="Q741">
        <v>0.77934345469755095</v>
      </c>
      <c r="R741">
        <v>0.27616959993705797</v>
      </c>
      <c r="S741" t="s">
        <v>7411</v>
      </c>
      <c r="T741" t="s">
        <v>13338</v>
      </c>
      <c r="U741" t="s">
        <v>13338</v>
      </c>
      <c r="V741" t="s">
        <v>13338</v>
      </c>
      <c r="W741" t="s">
        <v>14069</v>
      </c>
      <c r="X741">
        <v>4</v>
      </c>
      <c r="Y741" t="s">
        <v>20674</v>
      </c>
      <c r="Z741" t="s">
        <v>27156</v>
      </c>
      <c r="AA741">
        <v>0.81360164921490441</v>
      </c>
      <c r="AB741" t="str">
        <f>HYPERLINK("Melting_Curves/meltCurve_F8W8T8_ACACB.pdf", "Melting_Curves/meltCurve_F8W8T8_ACACB.pdf")</f>
        <v>Melting_Curves/meltCurve_F8W8T8_ACACB.pdf</v>
      </c>
    </row>
    <row r="742" spans="1:28" x14ac:dyDescent="0.25">
      <c r="A742" t="s">
        <v>746</v>
      </c>
      <c r="B742">
        <v>0.99193492352474899</v>
      </c>
      <c r="C742">
        <v>0.87849896189203103</v>
      </c>
      <c r="D742">
        <v>0.89255115005204499</v>
      </c>
      <c r="E742">
        <v>0.71808543004899605</v>
      </c>
      <c r="F742">
        <v>0.69289481857160495</v>
      </c>
      <c r="G742">
        <v>0.38366763723478098</v>
      </c>
      <c r="H742">
        <v>0.33574648321265599</v>
      </c>
      <c r="I742">
        <v>0.24575094584101401</v>
      </c>
      <c r="J742">
        <v>0.28967880953688802</v>
      </c>
      <c r="K742">
        <v>0.221337648629155</v>
      </c>
      <c r="L742">
        <v>572.817211715844</v>
      </c>
      <c r="M742">
        <v>10.6959437931115</v>
      </c>
      <c r="N742">
        <v>55.5047035749703</v>
      </c>
      <c r="O742">
        <v>51.7844144314831</v>
      </c>
      <c r="P742">
        <v>-4.35655824385527E-2</v>
      </c>
      <c r="Q742">
        <v>0.15662583534796601</v>
      </c>
      <c r="R742">
        <v>0.97040259385261896</v>
      </c>
      <c r="S742" t="s">
        <v>7412</v>
      </c>
      <c r="T742" t="s">
        <v>13338</v>
      </c>
      <c r="U742" t="s">
        <v>13338</v>
      </c>
      <c r="V742" t="s">
        <v>13338</v>
      </c>
      <c r="W742" t="s">
        <v>14070</v>
      </c>
      <c r="X742">
        <v>8</v>
      </c>
      <c r="Y742" t="s">
        <v>20675</v>
      </c>
      <c r="Z742" t="s">
        <v>27157</v>
      </c>
      <c r="AA742">
        <v>0.563234978516995</v>
      </c>
      <c r="AB742" t="str">
        <f>HYPERLINK("Melting_Curves/meltCurve_F8W914_RTN4.pdf", "Melting_Curves/meltCurve_F8W914_RTN4.pdf")</f>
        <v>Melting_Curves/meltCurve_F8W914_RTN4.pdf</v>
      </c>
    </row>
    <row r="743" spans="1:28" x14ac:dyDescent="0.25">
      <c r="A743" t="s">
        <v>747</v>
      </c>
      <c r="B743">
        <v>0.99193492352474899</v>
      </c>
      <c r="C743">
        <v>0.78564844506784903</v>
      </c>
      <c r="D743">
        <v>0.52255777513994905</v>
      </c>
      <c r="E743">
        <v>0.227405701774267</v>
      </c>
      <c r="F743">
        <v>0.173556563214639</v>
      </c>
      <c r="G743">
        <v>0.122427921498535</v>
      </c>
      <c r="H743">
        <v>9.6450449360790905E-2</v>
      </c>
      <c r="I743">
        <v>8.8839499525055501E-2</v>
      </c>
      <c r="J743">
        <v>0.11942656110779699</v>
      </c>
      <c r="K743">
        <v>0.108961410181004</v>
      </c>
      <c r="L743">
        <v>955.22027150115696</v>
      </c>
      <c r="M743">
        <v>20.9594080453328</v>
      </c>
      <c r="N743">
        <v>46.0968702439271</v>
      </c>
      <c r="O743">
        <v>45.165985576798697</v>
      </c>
      <c r="P743">
        <v>-0.10375839186385501</v>
      </c>
      <c r="Q743">
        <v>0.1056573593785</v>
      </c>
      <c r="R743">
        <v>0.99606364238810496</v>
      </c>
      <c r="S743" t="s">
        <v>7413</v>
      </c>
      <c r="T743" t="s">
        <v>13338</v>
      </c>
      <c r="U743" t="s">
        <v>13338</v>
      </c>
      <c r="V743" t="s">
        <v>13338</v>
      </c>
      <c r="W743" t="s">
        <v>14071</v>
      </c>
      <c r="X743">
        <v>4</v>
      </c>
      <c r="Y743" t="s">
        <v>20676</v>
      </c>
      <c r="Z743" t="s">
        <v>27158</v>
      </c>
      <c r="AA743">
        <v>0.28467103309184699</v>
      </c>
      <c r="AB743" t="str">
        <f>HYPERLINK("Melting_Curves/meltCurve_F8W946_FSD1L.pdf", "Melting_Curves/meltCurve_F8W946_FSD1L.pdf")</f>
        <v>Melting_Curves/meltCurve_F8W946_FSD1L.pdf</v>
      </c>
    </row>
    <row r="744" spans="1:28" x14ac:dyDescent="0.25">
      <c r="A744" t="s">
        <v>748</v>
      </c>
      <c r="B744">
        <v>0.99193492352474899</v>
      </c>
      <c r="C744">
        <v>0.83176099335708797</v>
      </c>
      <c r="D744">
        <v>0.96786797500371002</v>
      </c>
      <c r="E744">
        <v>0.77398566504589605</v>
      </c>
      <c r="F744">
        <v>0.42381756331447101</v>
      </c>
      <c r="G744">
        <v>0.16729963261337</v>
      </c>
      <c r="H744">
        <v>0.126162952655723</v>
      </c>
      <c r="I744">
        <v>0.113545895328465</v>
      </c>
      <c r="J744">
        <v>0.13048086417652899</v>
      </c>
      <c r="K744">
        <v>0.189714559473355</v>
      </c>
      <c r="L744">
        <v>1352.01776362496</v>
      </c>
      <c r="M744">
        <v>26.191193422188402</v>
      </c>
      <c r="N744">
        <v>52.216082184323803</v>
      </c>
      <c r="O744">
        <v>51.322975322822799</v>
      </c>
      <c r="P744">
        <v>-0.111121704747844</v>
      </c>
      <c r="Q744">
        <v>0.12901532235640301</v>
      </c>
      <c r="R744">
        <v>0.97414523297200795</v>
      </c>
      <c r="S744" t="s">
        <v>7414</v>
      </c>
      <c r="T744" t="s">
        <v>13338</v>
      </c>
      <c r="U744" t="s">
        <v>13338</v>
      </c>
      <c r="V744" t="s">
        <v>13338</v>
      </c>
      <c r="W744" t="s">
        <v>14072</v>
      </c>
      <c r="X744">
        <v>2</v>
      </c>
      <c r="Y744" t="s">
        <v>20677</v>
      </c>
      <c r="Z744" t="s">
        <v>27159</v>
      </c>
      <c r="AA744">
        <v>0.47364189390311201</v>
      </c>
      <c r="AB744" t="str">
        <f>HYPERLINK("Melting_Curves/meltCurve_F8W966_MEF2A.pdf", "Melting_Curves/meltCurve_F8W966_MEF2A.pdf")</f>
        <v>Melting_Curves/meltCurve_F8W966_MEF2A.pdf</v>
      </c>
    </row>
    <row r="745" spans="1:28" x14ac:dyDescent="0.25">
      <c r="A745" t="s">
        <v>749</v>
      </c>
      <c r="B745">
        <v>0.99193492352474899</v>
      </c>
      <c r="C745">
        <v>0.88402815808803004</v>
      </c>
      <c r="D745">
        <v>0.88206504962117505</v>
      </c>
      <c r="E745">
        <v>0.702464658658982</v>
      </c>
      <c r="F745">
        <v>0.55287474005342696</v>
      </c>
      <c r="G745">
        <v>0.174079061002194</v>
      </c>
      <c r="H745">
        <v>6.4616701102522697E-2</v>
      </c>
      <c r="I745">
        <v>7.0311162918019005E-2</v>
      </c>
      <c r="J745">
        <v>6.4370387982670293E-2</v>
      </c>
      <c r="K745">
        <v>6.3236140438181807E-2</v>
      </c>
      <c r="L745">
        <v>816.56811138701505</v>
      </c>
      <c r="M745">
        <v>15.5423618755128</v>
      </c>
      <c r="N745">
        <v>52.6042413740036</v>
      </c>
      <c r="O745">
        <v>51.6915322078044</v>
      </c>
      <c r="P745">
        <v>-7.4449560221665601E-2</v>
      </c>
      <c r="Q745">
        <v>9.6553834991279907E-3</v>
      </c>
      <c r="R745">
        <v>0.98109724768705597</v>
      </c>
      <c r="S745" t="s">
        <v>7415</v>
      </c>
      <c r="T745" t="s">
        <v>13338</v>
      </c>
      <c r="U745" t="s">
        <v>13338</v>
      </c>
      <c r="V745" t="s">
        <v>13338</v>
      </c>
      <c r="W745" t="s">
        <v>14073</v>
      </c>
      <c r="X745">
        <v>15</v>
      </c>
      <c r="Y745" t="s">
        <v>20678</v>
      </c>
      <c r="Z745" t="s">
        <v>27160</v>
      </c>
      <c r="AA745">
        <v>0.44416167124361861</v>
      </c>
      <c r="AB745" t="str">
        <f>HYPERLINK("Melting_Curves/meltCurve_F8W9R9_MED24.pdf", "Melting_Curves/meltCurve_F8W9R9_MED24.pdf")</f>
        <v>Melting_Curves/meltCurve_F8W9R9_MED24.pdf</v>
      </c>
    </row>
    <row r="746" spans="1:28" x14ac:dyDescent="0.25">
      <c r="A746" t="s">
        <v>750</v>
      </c>
      <c r="B746">
        <v>0.99193492352474899</v>
      </c>
      <c r="C746">
        <v>0.84352237439995104</v>
      </c>
      <c r="D746">
        <v>0.95376136310482496</v>
      </c>
      <c r="E746">
        <v>0.52255264249607403</v>
      </c>
      <c r="F746">
        <v>0.17518947845291999</v>
      </c>
      <c r="G746">
        <v>0.10950765845656001</v>
      </c>
      <c r="H746">
        <v>7.0053142682078101E-2</v>
      </c>
      <c r="I746">
        <v>6.9193125189563595E-2</v>
      </c>
      <c r="J746">
        <v>7.3757113161359703E-2</v>
      </c>
      <c r="K746">
        <v>5.6021551919199303E-2</v>
      </c>
      <c r="L746">
        <v>1464.2205598493499</v>
      </c>
      <c r="M746">
        <v>29.540490345311401</v>
      </c>
      <c r="N746">
        <v>49.818287432736703</v>
      </c>
      <c r="O746">
        <v>49.341080537104503</v>
      </c>
      <c r="P746">
        <v>-0.13929932951579499</v>
      </c>
      <c r="Q746">
        <v>6.9327322958301296E-2</v>
      </c>
      <c r="R746">
        <v>0.98347007152029697</v>
      </c>
      <c r="S746" t="s">
        <v>7416</v>
      </c>
      <c r="T746" t="s">
        <v>13338</v>
      </c>
      <c r="U746" t="s">
        <v>13338</v>
      </c>
      <c r="V746" t="s">
        <v>13338</v>
      </c>
      <c r="W746" t="s">
        <v>14074</v>
      </c>
      <c r="X746">
        <v>9</v>
      </c>
      <c r="Y746" t="s">
        <v>20679</v>
      </c>
      <c r="Z746" t="s">
        <v>27161</v>
      </c>
      <c r="AA746">
        <v>0.37200434270035371</v>
      </c>
      <c r="AB746" t="str">
        <f>HYPERLINK("Melting_Curves/meltCurve_F8W9X7_CCDC93.pdf", "Melting_Curves/meltCurve_F8W9X7_CCDC93.pdf")</f>
        <v>Melting_Curves/meltCurve_F8W9X7_CCDC93.pdf</v>
      </c>
    </row>
    <row r="747" spans="1:28" x14ac:dyDescent="0.25">
      <c r="A747" t="s">
        <v>751</v>
      </c>
      <c r="B747">
        <v>0.99193492352474899</v>
      </c>
      <c r="C747">
        <v>0.63486782526096897</v>
      </c>
      <c r="D747">
        <v>0.60396453625878599</v>
      </c>
      <c r="E747">
        <v>0.18573552835203799</v>
      </c>
      <c r="F747">
        <v>0.14632558806798901</v>
      </c>
      <c r="G747">
        <v>9.6022600834129695E-2</v>
      </c>
      <c r="H747">
        <v>4.9868208075188103E-2</v>
      </c>
      <c r="I747">
        <v>5.3001063003036301E-2</v>
      </c>
      <c r="J747">
        <v>6.0433274266964002E-2</v>
      </c>
      <c r="K747">
        <v>5.0872295469994798E-2</v>
      </c>
      <c r="L747">
        <v>738.13995989146201</v>
      </c>
      <c r="M747">
        <v>16.152258750178699</v>
      </c>
      <c r="N747">
        <v>45.968343743935797</v>
      </c>
      <c r="O747">
        <v>45.015620569869199</v>
      </c>
      <c r="P747">
        <v>-8.5658075163010605E-2</v>
      </c>
      <c r="Q747">
        <v>4.5171412025402598E-2</v>
      </c>
      <c r="R747">
        <v>0.96326388343306801</v>
      </c>
      <c r="S747" t="s">
        <v>7417</v>
      </c>
      <c r="T747" t="s">
        <v>13338</v>
      </c>
      <c r="U747" t="s">
        <v>13338</v>
      </c>
      <c r="V747" t="s">
        <v>13338</v>
      </c>
      <c r="W747" t="s">
        <v>14075</v>
      </c>
      <c r="X747">
        <v>19</v>
      </c>
      <c r="Y747" t="s">
        <v>20680</v>
      </c>
      <c r="Z747" t="s">
        <v>27162</v>
      </c>
      <c r="AA747">
        <v>0.2509780596439129</v>
      </c>
      <c r="AB747" t="str">
        <f>HYPERLINK("Melting_Curves/meltCurve_F8WA11_CLASP1.pdf", "Melting_Curves/meltCurve_F8WA11_CLASP1.pdf")</f>
        <v>Melting_Curves/meltCurve_F8WA11_CLASP1.pdf</v>
      </c>
    </row>
    <row r="748" spans="1:28" x14ac:dyDescent="0.25">
      <c r="A748" t="s">
        <v>752</v>
      </c>
      <c r="B748">
        <v>0.99193492352474899</v>
      </c>
      <c r="C748">
        <v>0.75349871836274196</v>
      </c>
      <c r="D748">
        <v>0.76811601883992497</v>
      </c>
      <c r="E748">
        <v>0.37861383620489503</v>
      </c>
      <c r="F748">
        <v>0.20984786225087601</v>
      </c>
      <c r="G748">
        <v>0.15554551816982901</v>
      </c>
      <c r="H748">
        <v>0.102312665081225</v>
      </c>
      <c r="I748">
        <v>0.10187413205569</v>
      </c>
      <c r="J748">
        <v>0.112052573751638</v>
      </c>
      <c r="K748">
        <v>0.119434019005315</v>
      </c>
      <c r="L748">
        <v>773.60641126870701</v>
      </c>
      <c r="M748">
        <v>16.241938003904899</v>
      </c>
      <c r="N748">
        <v>48.233521553287403</v>
      </c>
      <c r="O748">
        <v>46.925703939707098</v>
      </c>
      <c r="P748">
        <v>-7.8581258442933205E-2</v>
      </c>
      <c r="Q748">
        <v>9.1929074181627907E-2</v>
      </c>
      <c r="R748">
        <v>0.97522993991358098</v>
      </c>
      <c r="S748" t="s">
        <v>7418</v>
      </c>
      <c r="T748" t="s">
        <v>13338</v>
      </c>
      <c r="U748" t="s">
        <v>13338</v>
      </c>
      <c r="V748" t="s">
        <v>13338</v>
      </c>
      <c r="W748" t="s">
        <v>14076</v>
      </c>
      <c r="X748">
        <v>3</v>
      </c>
      <c r="Y748" t="s">
        <v>20681</v>
      </c>
      <c r="Z748" t="s">
        <v>27163</v>
      </c>
      <c r="AA748">
        <v>0.34312121735039608</v>
      </c>
      <c r="AB748" t="str">
        <f>HYPERLINK("Melting_Curves/meltCurve_F8WA39_MTMR1.pdf", "Melting_Curves/meltCurve_F8WA39_MTMR1.pdf")</f>
        <v>Melting_Curves/meltCurve_F8WA39_MTMR1.pdf</v>
      </c>
    </row>
    <row r="749" spans="1:28" x14ac:dyDescent="0.25">
      <c r="A749" t="s">
        <v>753</v>
      </c>
      <c r="B749">
        <v>0.99193492352474899</v>
      </c>
      <c r="C749">
        <v>0.94511516525197803</v>
      </c>
      <c r="D749">
        <v>0.88930143192714395</v>
      </c>
      <c r="E749">
        <v>0.72421732420810603</v>
      </c>
      <c r="F749">
        <v>0.48460691841296299</v>
      </c>
      <c r="G749">
        <v>0.40115917698460102</v>
      </c>
      <c r="H749">
        <v>0.27250162063324401</v>
      </c>
      <c r="I749">
        <v>0.218409708749702</v>
      </c>
      <c r="J749">
        <v>0.25805132231816502</v>
      </c>
      <c r="K749">
        <v>0.17984532241513099</v>
      </c>
      <c r="L749">
        <v>722.38825376776197</v>
      </c>
      <c r="M749">
        <v>13.9525572776927</v>
      </c>
      <c r="N749">
        <v>53.554726392961499</v>
      </c>
      <c r="O749">
        <v>50.745841359904198</v>
      </c>
      <c r="P749">
        <v>-5.5990973691746999E-2</v>
      </c>
      <c r="Q749">
        <v>0.18554624878727599</v>
      </c>
      <c r="R749">
        <v>0.99437560805168601</v>
      </c>
      <c r="S749" t="s">
        <v>7419</v>
      </c>
      <c r="T749" t="s">
        <v>13338</v>
      </c>
      <c r="U749" t="s">
        <v>13338</v>
      </c>
      <c r="V749" t="s">
        <v>13338</v>
      </c>
      <c r="W749" t="s">
        <v>14077</v>
      </c>
      <c r="X749">
        <v>1</v>
      </c>
      <c r="Y749" t="s">
        <v>20682</v>
      </c>
      <c r="Z749" t="s">
        <v>27164</v>
      </c>
      <c r="AA749">
        <v>0.52569274498118945</v>
      </c>
      <c r="AB749" t="str">
        <f>HYPERLINK("Melting_Curves/meltCurve_F8WAD8_ADAM22.pdf", "Melting_Curves/meltCurve_F8WAD8_ADAM22.pdf")</f>
        <v>Melting_Curves/meltCurve_F8WAD8_ADAM22.pdf</v>
      </c>
    </row>
    <row r="750" spans="1:28" x14ac:dyDescent="0.25">
      <c r="A750" t="s">
        <v>754</v>
      </c>
      <c r="B750">
        <v>0.99193492352474899</v>
      </c>
      <c r="C750">
        <v>0.84708388870221896</v>
      </c>
      <c r="D750">
        <v>0.80083735448142801</v>
      </c>
      <c r="E750">
        <v>0.62166381609374899</v>
      </c>
      <c r="F750">
        <v>0.44680184677083401</v>
      </c>
      <c r="G750">
        <v>0.144325245272173</v>
      </c>
      <c r="H750">
        <v>7.9725607503481205E-2</v>
      </c>
      <c r="I750">
        <v>8.4746865406020999E-2</v>
      </c>
      <c r="J750">
        <v>8.4960253207484807E-2</v>
      </c>
      <c r="K750">
        <v>0.105741765245056</v>
      </c>
      <c r="L750">
        <v>679.873550676592</v>
      </c>
      <c r="M750">
        <v>13.3691967996026</v>
      </c>
      <c r="N750">
        <v>51.102636100755298</v>
      </c>
      <c r="O750">
        <v>49.756342007759798</v>
      </c>
      <c r="P750">
        <v>-6.5066239203806303E-2</v>
      </c>
      <c r="Q750">
        <v>3.1521063693030302E-2</v>
      </c>
      <c r="R750">
        <v>0.98067043023794098</v>
      </c>
      <c r="S750" t="s">
        <v>7420</v>
      </c>
      <c r="T750" t="s">
        <v>13338</v>
      </c>
      <c r="U750" t="s">
        <v>13338</v>
      </c>
      <c r="V750" t="s">
        <v>13338</v>
      </c>
      <c r="W750" t="s">
        <v>14078</v>
      </c>
      <c r="X750">
        <v>25</v>
      </c>
      <c r="Y750" t="s">
        <v>20683</v>
      </c>
      <c r="Z750" t="s">
        <v>27165</v>
      </c>
      <c r="AA750">
        <v>0.4089878036532556</v>
      </c>
      <c r="AB750" t="str">
        <f>HYPERLINK("Melting_Curves/meltCurve_F8WAK8_STAG2.pdf", "Melting_Curves/meltCurve_F8WAK8_STAG2.pdf")</f>
        <v>Melting_Curves/meltCurve_F8WAK8_STAG2.pdf</v>
      </c>
    </row>
    <row r="751" spans="1:28" x14ac:dyDescent="0.25">
      <c r="A751" t="s">
        <v>755</v>
      </c>
      <c r="B751">
        <v>0.99193492352474899</v>
      </c>
      <c r="C751">
        <v>0.53484767856957405</v>
      </c>
      <c r="D751">
        <v>0.784475489725589</v>
      </c>
      <c r="E751">
        <v>0.52023850170330799</v>
      </c>
      <c r="F751">
        <v>0.29179356661126199</v>
      </c>
      <c r="G751">
        <v>0.16289220134260901</v>
      </c>
      <c r="H751">
        <v>7.0490078724638805E-2</v>
      </c>
      <c r="I751">
        <v>7.8183821146812493E-2</v>
      </c>
      <c r="J751">
        <v>0.108834202738625</v>
      </c>
      <c r="K751">
        <v>0.17408925675335299</v>
      </c>
      <c r="L751">
        <v>486.78128240800999</v>
      </c>
      <c r="M751">
        <v>10.080523832173901</v>
      </c>
      <c r="N751">
        <v>48.677722518974299</v>
      </c>
      <c r="O751">
        <v>46.504447242071201</v>
      </c>
      <c r="P751">
        <v>-5.2121561936726603E-2</v>
      </c>
      <c r="Q751">
        <v>3.8644853561489799E-2</v>
      </c>
      <c r="R751">
        <v>0.87344087064846998</v>
      </c>
      <c r="S751" t="s">
        <v>7421</v>
      </c>
      <c r="T751" t="s">
        <v>13338</v>
      </c>
      <c r="U751" t="s">
        <v>13338</v>
      </c>
      <c r="V751" t="s">
        <v>13338</v>
      </c>
      <c r="W751" t="s">
        <v>14079</v>
      </c>
      <c r="X751">
        <v>4</v>
      </c>
      <c r="Y751" t="s">
        <v>20684</v>
      </c>
      <c r="Z751" t="s">
        <v>27166</v>
      </c>
      <c r="AA751">
        <v>0.35343308489010561</v>
      </c>
      <c r="AB751" t="str">
        <f>HYPERLINK("Melting_Curves/meltCurve_F8WBK5_MRPL40.pdf", "Melting_Curves/meltCurve_F8WBK5_MRPL40.pdf")</f>
        <v>Melting_Curves/meltCurve_F8WBK5_MRPL40.pdf</v>
      </c>
    </row>
    <row r="752" spans="1:28" x14ac:dyDescent="0.25">
      <c r="A752" t="s">
        <v>756</v>
      </c>
      <c r="B752">
        <v>0.99193492352474899</v>
      </c>
      <c r="C752">
        <v>0.63902376898788804</v>
      </c>
      <c r="D752">
        <v>0.81515198082294904</v>
      </c>
      <c r="E752">
        <v>1.3125207265057801</v>
      </c>
      <c r="F752">
        <v>1.32021221054229</v>
      </c>
      <c r="G752">
        <v>1.6342567642276999</v>
      </c>
      <c r="H752">
        <v>0.97074635897802197</v>
      </c>
      <c r="I752">
        <v>1.69924534460275</v>
      </c>
      <c r="J752">
        <v>2.3629650732949998</v>
      </c>
      <c r="K752">
        <v>3.6379158054313399</v>
      </c>
      <c r="L752">
        <v>5580.5782420141704</v>
      </c>
      <c r="M752">
        <v>113.01905555011</v>
      </c>
      <c r="O752">
        <v>49.361865940136603</v>
      </c>
      <c r="P752">
        <v>0.28620032606672002</v>
      </c>
      <c r="Q752">
        <v>1.5</v>
      </c>
      <c r="R752">
        <v>0.18458754016972401</v>
      </c>
      <c r="S752" t="s">
        <v>7422</v>
      </c>
      <c r="T752" t="s">
        <v>13338</v>
      </c>
      <c r="U752" t="s">
        <v>13338</v>
      </c>
      <c r="V752" t="s">
        <v>13338</v>
      </c>
      <c r="W752" t="s">
        <v>14080</v>
      </c>
      <c r="X752">
        <v>2</v>
      </c>
      <c r="Y752" t="s">
        <v>20685</v>
      </c>
      <c r="Z752" t="s">
        <v>27167</v>
      </c>
      <c r="AA752">
        <v>1.3434991196284669</v>
      </c>
      <c r="AB752" t="str">
        <f>HYPERLINK("Melting_Curves/meltCurve_F8WC47_POLR2F.pdf", "Melting_Curves/meltCurve_F8WC47_POLR2F.pdf")</f>
        <v>Melting_Curves/meltCurve_F8WC47_POLR2F.pdf</v>
      </c>
    </row>
    <row r="753" spans="1:28" x14ac:dyDescent="0.25">
      <c r="A753" t="s">
        <v>757</v>
      </c>
      <c r="B753">
        <v>0.99193492352474899</v>
      </c>
      <c r="C753">
        <v>1.01532788378991</v>
      </c>
      <c r="D753">
        <v>0.76180146298636897</v>
      </c>
      <c r="E753">
        <v>0.760177171159924</v>
      </c>
      <c r="F753">
        <v>0.40349077710398801</v>
      </c>
      <c r="G753">
        <v>0.22967135453686199</v>
      </c>
      <c r="H753">
        <v>0.123535452903749</v>
      </c>
      <c r="I753">
        <v>0.20077352703262499</v>
      </c>
      <c r="J753">
        <v>0.32400087296317198</v>
      </c>
      <c r="K753">
        <v>0.231859657761883</v>
      </c>
      <c r="L753">
        <v>1012.92428157397</v>
      </c>
      <c r="M753">
        <v>20.080920978789901</v>
      </c>
      <c r="N753">
        <v>51.781269117892997</v>
      </c>
      <c r="O753">
        <v>49.949876544890003</v>
      </c>
      <c r="P753">
        <v>-8.0151680900704902E-2</v>
      </c>
      <c r="Q753">
        <v>0.20253890217576501</v>
      </c>
      <c r="R753">
        <v>0.94667848295108203</v>
      </c>
      <c r="S753" t="s">
        <v>7423</v>
      </c>
      <c r="T753" t="s">
        <v>13338</v>
      </c>
      <c r="U753" t="s">
        <v>13338</v>
      </c>
      <c r="V753" t="s">
        <v>13338</v>
      </c>
      <c r="W753" t="s">
        <v>14081</v>
      </c>
      <c r="X753">
        <v>2</v>
      </c>
      <c r="Y753" t="s">
        <v>20686</v>
      </c>
      <c r="Z753" t="s">
        <v>27168</v>
      </c>
      <c r="AA753">
        <v>0.49111205706501321</v>
      </c>
      <c r="AB753" t="str">
        <f>HYPERLINK("Melting_Curves/meltCurve_F8WC68_DOM3Z.pdf", "Melting_Curves/meltCurve_F8WC68_DOM3Z.pdf")</f>
        <v>Melting_Curves/meltCurve_F8WC68_DOM3Z.pdf</v>
      </c>
    </row>
    <row r="754" spans="1:28" x14ac:dyDescent="0.25">
      <c r="A754" t="s">
        <v>758</v>
      </c>
      <c r="B754">
        <v>0.99193492352474899</v>
      </c>
      <c r="C754">
        <v>0.76719286049430901</v>
      </c>
      <c r="D754">
        <v>0.78699932117204097</v>
      </c>
      <c r="E754">
        <v>0.38229577215834698</v>
      </c>
      <c r="F754">
        <v>0.17360971432691999</v>
      </c>
      <c r="G754">
        <v>0.117326798467191</v>
      </c>
      <c r="H754">
        <v>8.8109813987619301E-2</v>
      </c>
      <c r="I754">
        <v>8.9228708186329303E-2</v>
      </c>
      <c r="J754">
        <v>7.4178698028270998E-2</v>
      </c>
      <c r="K754">
        <v>0.114927319471198</v>
      </c>
      <c r="L754">
        <v>853.95010801905596</v>
      </c>
      <c r="M754">
        <v>17.8459639734372</v>
      </c>
      <c r="N754">
        <v>48.286281179839499</v>
      </c>
      <c r="O754">
        <v>47.262445834519497</v>
      </c>
      <c r="P754">
        <v>-8.7391198947508297E-2</v>
      </c>
      <c r="Q754">
        <v>7.4275547258152594E-2</v>
      </c>
      <c r="R754">
        <v>0.97541376882533404</v>
      </c>
      <c r="S754" t="s">
        <v>7424</v>
      </c>
      <c r="T754" t="s">
        <v>13338</v>
      </c>
      <c r="U754" t="s">
        <v>13338</v>
      </c>
      <c r="V754" t="s">
        <v>13338</v>
      </c>
      <c r="W754" t="s">
        <v>14082</v>
      </c>
      <c r="X754">
        <v>4</v>
      </c>
      <c r="Y754" t="s">
        <v>20687</v>
      </c>
      <c r="Z754" t="s">
        <v>27169</v>
      </c>
      <c r="AA754">
        <v>0.33334505482588761</v>
      </c>
      <c r="AB754" t="str">
        <f>HYPERLINK("Melting_Curves/meltCurve_F8WC89_SAC3D1.pdf", "Melting_Curves/meltCurve_F8WC89_SAC3D1.pdf")</f>
        <v>Melting_Curves/meltCurve_F8WC89_SAC3D1.pdf</v>
      </c>
    </row>
    <row r="755" spans="1:28" x14ac:dyDescent="0.25">
      <c r="A755" t="s">
        <v>759</v>
      </c>
      <c r="B755">
        <v>0.99193492352474899</v>
      </c>
      <c r="C755">
        <v>0.84107775394794404</v>
      </c>
      <c r="D755">
        <v>0.90064140144627003</v>
      </c>
      <c r="E755">
        <v>0.75706227936077297</v>
      </c>
      <c r="F755">
        <v>0.56043647919309802</v>
      </c>
      <c r="G755">
        <v>0.30079636860303</v>
      </c>
      <c r="H755">
        <v>0.13708215991259501</v>
      </c>
      <c r="I755">
        <v>0.166062157138578</v>
      </c>
      <c r="J755">
        <v>0.14223497800103199</v>
      </c>
      <c r="K755">
        <v>0.15341339090402401</v>
      </c>
      <c r="L755">
        <v>776.35859909350495</v>
      </c>
      <c r="M755">
        <v>14.738671786106799</v>
      </c>
      <c r="N755">
        <v>53.435813687957399</v>
      </c>
      <c r="O755">
        <v>51.733744231656097</v>
      </c>
      <c r="P755">
        <v>-6.4489115025355204E-2</v>
      </c>
      <c r="Q755">
        <v>9.4653199032276106E-2</v>
      </c>
      <c r="R755">
        <v>0.97704650676398597</v>
      </c>
      <c r="S755" t="s">
        <v>7425</v>
      </c>
      <c r="T755" t="s">
        <v>13338</v>
      </c>
      <c r="U755" t="s">
        <v>13338</v>
      </c>
      <c r="V755" t="s">
        <v>13338</v>
      </c>
      <c r="W755" t="s">
        <v>14083</v>
      </c>
      <c r="X755">
        <v>5</v>
      </c>
      <c r="Y755" t="s">
        <v>20688</v>
      </c>
      <c r="Z755" t="s">
        <v>27170</v>
      </c>
      <c r="AA755">
        <v>0.49740340977393588</v>
      </c>
      <c r="AB755" t="str">
        <f>HYPERLINK("Melting_Curves/meltCurve_F8WCD0_RNF149.pdf", "Melting_Curves/meltCurve_F8WCD0_RNF149.pdf")</f>
        <v>Melting_Curves/meltCurve_F8WCD0_RNF149.pdf</v>
      </c>
    </row>
    <row r="756" spans="1:28" x14ac:dyDescent="0.25">
      <c r="A756" t="s">
        <v>760</v>
      </c>
      <c r="B756">
        <v>0.99193492352474899</v>
      </c>
      <c r="C756">
        <v>1.1197420679666801</v>
      </c>
      <c r="D756">
        <v>0.92339605030420902</v>
      </c>
      <c r="E756">
        <v>0.85235087145701105</v>
      </c>
      <c r="F756">
        <v>0.75342351120502105</v>
      </c>
      <c r="G756">
        <v>0.56794880763100197</v>
      </c>
      <c r="H756">
        <v>0.280593096576637</v>
      </c>
      <c r="I756">
        <v>0.15457127228123901</v>
      </c>
      <c r="J756">
        <v>0.117011315731365</v>
      </c>
      <c r="K756">
        <v>0.105866331890727</v>
      </c>
      <c r="L756">
        <v>825.99433374978798</v>
      </c>
      <c r="M756">
        <v>14.4728850198613</v>
      </c>
      <c r="N756">
        <v>57.200280574600797</v>
      </c>
      <c r="O756">
        <v>56.015451686351298</v>
      </c>
      <c r="P756">
        <v>-6.3568032343913797E-2</v>
      </c>
      <c r="Q756">
        <v>1.5986581837125799E-2</v>
      </c>
      <c r="R756">
        <v>0.98205139972123001</v>
      </c>
      <c r="S756" t="s">
        <v>7426</v>
      </c>
      <c r="T756" t="s">
        <v>13338</v>
      </c>
      <c r="U756" t="s">
        <v>13338</v>
      </c>
      <c r="V756" t="s">
        <v>13338</v>
      </c>
      <c r="W756" t="s">
        <v>14084</v>
      </c>
      <c r="X756">
        <v>8</v>
      </c>
      <c r="Y756" t="s">
        <v>20689</v>
      </c>
      <c r="Z756" t="s">
        <v>27171</v>
      </c>
      <c r="AA756">
        <v>0.59164429717668532</v>
      </c>
      <c r="AB756" t="str">
        <f>HYPERLINK("Melting_Curves/meltCurve_F8WCF6_ARPC4.pdf", "Melting_Curves/meltCurve_F8WCF6_ARPC4.pdf")</f>
        <v>Melting_Curves/meltCurve_F8WCF6_ARPC4.pdf</v>
      </c>
    </row>
    <row r="757" spans="1:28" x14ac:dyDescent="0.25">
      <c r="A757" t="s">
        <v>761</v>
      </c>
      <c r="B757">
        <v>0.99193492352474899</v>
      </c>
      <c r="C757">
        <v>0.97995183428160304</v>
      </c>
      <c r="D757">
        <v>1.04595589701053</v>
      </c>
      <c r="E757">
        <v>1.67541042141176</v>
      </c>
      <c r="F757">
        <v>1.93483473703813</v>
      </c>
      <c r="G757">
        <v>1.5857586505576799</v>
      </c>
      <c r="H757">
        <v>2.11504844664272</v>
      </c>
      <c r="I757">
        <v>3.95494009921548</v>
      </c>
      <c r="J757">
        <v>5.2556208941301197</v>
      </c>
      <c r="K757">
        <v>6.2213462909615798</v>
      </c>
      <c r="L757">
        <v>11605.363323011199</v>
      </c>
      <c r="M757">
        <v>250</v>
      </c>
      <c r="O757">
        <v>46.418471581638897</v>
      </c>
      <c r="P757">
        <v>0.67322321283283104</v>
      </c>
      <c r="Q757">
        <v>1.5</v>
      </c>
      <c r="R757">
        <v>-0.33698307943419498</v>
      </c>
      <c r="S757" t="s">
        <v>7427</v>
      </c>
      <c r="T757" t="s">
        <v>13338</v>
      </c>
      <c r="U757" t="s">
        <v>13338</v>
      </c>
      <c r="V757" t="s">
        <v>13338</v>
      </c>
      <c r="W757" t="s">
        <v>14085</v>
      </c>
      <c r="X757">
        <v>1</v>
      </c>
      <c r="Y757" t="s">
        <v>20690</v>
      </c>
      <c r="Z757" t="s">
        <v>27172</v>
      </c>
      <c r="AA757">
        <v>1.3929350440018951</v>
      </c>
      <c r="AB757" t="str">
        <f>HYPERLINK("Melting_Curves/meltCurve_F8WCP0_NEB.pdf", "Melting_Curves/meltCurve_F8WCP0_NEB.pdf")</f>
        <v>Melting_Curves/meltCurve_F8WCP0_NEB.pdf</v>
      </c>
    </row>
    <row r="758" spans="1:28" x14ac:dyDescent="0.25">
      <c r="A758" t="s">
        <v>762</v>
      </c>
      <c r="B758">
        <v>0.99193492352474899</v>
      </c>
      <c r="C758">
        <v>0.68306684211429003</v>
      </c>
      <c r="D758">
        <v>0.84532762738270095</v>
      </c>
      <c r="E758">
        <v>0.42518865105257098</v>
      </c>
      <c r="F758">
        <v>0.22753350446290499</v>
      </c>
      <c r="G758">
        <v>0.133607569004666</v>
      </c>
      <c r="H758">
        <v>8.7071168074044206E-2</v>
      </c>
      <c r="I758">
        <v>0.154135371524315</v>
      </c>
      <c r="J758">
        <v>0.16136143988209001</v>
      </c>
      <c r="K758">
        <v>0.24346114346499301</v>
      </c>
      <c r="L758">
        <v>809.44730390409302</v>
      </c>
      <c r="M758">
        <v>16.962456467786399</v>
      </c>
      <c r="N758">
        <v>48.622768302850297</v>
      </c>
      <c r="O758">
        <v>47.0714961822774</v>
      </c>
      <c r="P758">
        <v>-7.7923422509266899E-2</v>
      </c>
      <c r="Q758">
        <v>0.135091444867243</v>
      </c>
      <c r="R758">
        <v>0.91308897130061795</v>
      </c>
      <c r="S758" t="s">
        <v>7428</v>
      </c>
      <c r="T758" t="s">
        <v>13338</v>
      </c>
      <c r="U758" t="s">
        <v>13338</v>
      </c>
      <c r="V758" t="s">
        <v>13338</v>
      </c>
      <c r="W758" t="s">
        <v>14086</v>
      </c>
      <c r="X758">
        <v>2</v>
      </c>
      <c r="Y758" t="s">
        <v>20691</v>
      </c>
      <c r="Z758" t="s">
        <v>27173</v>
      </c>
      <c r="AA758">
        <v>0.37520235282997311</v>
      </c>
      <c r="AB758" t="str">
        <f>HYPERLINK("Melting_Curves/meltCurve_F8WD19_DONSON.pdf", "Melting_Curves/meltCurve_F8WD19_DONSON.pdf")</f>
        <v>Melting_Curves/meltCurve_F8WD19_DONSON.pdf</v>
      </c>
    </row>
    <row r="759" spans="1:28" x14ac:dyDescent="0.25">
      <c r="A759" t="s">
        <v>763</v>
      </c>
      <c r="B759">
        <v>0.99193492352474899</v>
      </c>
      <c r="C759">
        <v>0.28879547432853497</v>
      </c>
      <c r="D759">
        <v>0.209180467706958</v>
      </c>
      <c r="E759">
        <v>7.5035121606841004E-2</v>
      </c>
      <c r="F759">
        <v>5.5695952253117798E-2</v>
      </c>
      <c r="G759">
        <v>3.6835441657079603E-2</v>
      </c>
      <c r="H759">
        <v>1.9661870496681701E-2</v>
      </c>
      <c r="I759">
        <v>2.1851940944077199E-2</v>
      </c>
      <c r="J759">
        <v>4.0462423053344299E-2</v>
      </c>
      <c r="K759">
        <v>5.4040298285703003E-2</v>
      </c>
      <c r="L759">
        <v>2690.8032679725902</v>
      </c>
      <c r="M759">
        <v>63.828891255570703</v>
      </c>
      <c r="N759">
        <v>42.245421002565699</v>
      </c>
      <c r="O759">
        <v>42.115187946558102</v>
      </c>
      <c r="P759">
        <v>-0.35507708610224498</v>
      </c>
      <c r="Q759">
        <v>6.2861155709086097E-2</v>
      </c>
      <c r="R759">
        <v>0.96818968469310596</v>
      </c>
      <c r="S759" t="s">
        <v>7429</v>
      </c>
      <c r="T759" t="s">
        <v>13338</v>
      </c>
      <c r="U759" t="s">
        <v>13338</v>
      </c>
      <c r="V759" t="s">
        <v>13338</v>
      </c>
      <c r="W759" t="s">
        <v>14087</v>
      </c>
      <c r="X759">
        <v>1</v>
      </c>
      <c r="Y759" t="s">
        <v>20692</v>
      </c>
      <c r="Z759" t="s">
        <v>27174</v>
      </c>
      <c r="AA759">
        <v>0.13186189093239001</v>
      </c>
      <c r="AB759" t="str">
        <f>HYPERLINK("Melting_Curves/meltCurve_F8WDT5_SAMD1.pdf", "Melting_Curves/meltCurve_F8WDT5_SAMD1.pdf")</f>
        <v>Melting_Curves/meltCurve_F8WDT5_SAMD1.pdf</v>
      </c>
    </row>
    <row r="760" spans="1:28" x14ac:dyDescent="0.25">
      <c r="A760" t="s">
        <v>764</v>
      </c>
      <c r="B760">
        <v>0.99193492352474899</v>
      </c>
      <c r="C760">
        <v>0.72397737934819395</v>
      </c>
      <c r="D760">
        <v>0.76950172076437096</v>
      </c>
      <c r="E760">
        <v>0.54881479223635898</v>
      </c>
      <c r="F760">
        <v>0.44765886257061299</v>
      </c>
      <c r="G760">
        <v>0.42109236646799397</v>
      </c>
      <c r="H760">
        <v>0.281098077501513</v>
      </c>
      <c r="I760">
        <v>0.27706999829059198</v>
      </c>
      <c r="J760">
        <v>0.30009629850165798</v>
      </c>
      <c r="K760">
        <v>0.34894962193954698</v>
      </c>
      <c r="L760">
        <v>522.40667279429397</v>
      </c>
      <c r="M760">
        <v>10.9631291938346</v>
      </c>
      <c r="N760">
        <v>51.361031663500398</v>
      </c>
      <c r="O760">
        <v>46.148080369136402</v>
      </c>
      <c r="P760">
        <v>-4.3162328339763002E-2</v>
      </c>
      <c r="Q760">
        <v>0.27350013453612199</v>
      </c>
      <c r="R760">
        <v>0.943605247006435</v>
      </c>
      <c r="S760" t="s">
        <v>7430</v>
      </c>
      <c r="T760" t="s">
        <v>13338</v>
      </c>
      <c r="U760" t="s">
        <v>13338</v>
      </c>
      <c r="V760" t="s">
        <v>13338</v>
      </c>
      <c r="W760" t="s">
        <v>14088</v>
      </c>
      <c r="X760">
        <v>3</v>
      </c>
      <c r="Y760" t="s">
        <v>20693</v>
      </c>
      <c r="Z760" t="s">
        <v>27175</v>
      </c>
      <c r="AA760">
        <v>0.49284930443021002</v>
      </c>
      <c r="AB760" t="str">
        <f>HYPERLINK("Melting_Curves/meltCurve_F8WE74_SLC25A17.pdf", "Melting_Curves/meltCurve_F8WE74_SLC25A17.pdf")</f>
        <v>Melting_Curves/meltCurve_F8WE74_SLC25A17.pdf</v>
      </c>
    </row>
    <row r="761" spans="1:28" x14ac:dyDescent="0.25">
      <c r="A761" t="s">
        <v>765</v>
      </c>
      <c r="B761">
        <v>0.99193492352474899</v>
      </c>
      <c r="C761">
        <v>0.687136211111678</v>
      </c>
      <c r="D761">
        <v>1.3077693279179099</v>
      </c>
      <c r="E761">
        <v>0.72688378294753897</v>
      </c>
      <c r="F761">
        <v>1.18856110474197</v>
      </c>
      <c r="G761">
        <v>0.78445688617853204</v>
      </c>
      <c r="H761">
        <v>0.66572772894013299</v>
      </c>
      <c r="I761">
        <v>0.66452432700851305</v>
      </c>
      <c r="J761">
        <v>0.57017526633482996</v>
      </c>
      <c r="K761">
        <v>0.299582022960039</v>
      </c>
      <c r="L761">
        <v>742.45853019989397</v>
      </c>
      <c r="M761">
        <v>11.129288542858401</v>
      </c>
      <c r="N761">
        <v>66.712125306426998</v>
      </c>
      <c r="O761">
        <v>64.666915332319505</v>
      </c>
      <c r="P761">
        <v>-4.3039304851035701E-2</v>
      </c>
      <c r="Q761">
        <v>0</v>
      </c>
      <c r="R761">
        <v>0.56551477213091705</v>
      </c>
      <c r="S761" t="s">
        <v>7431</v>
      </c>
      <c r="T761" t="s">
        <v>13338</v>
      </c>
      <c r="U761" t="s">
        <v>13338</v>
      </c>
      <c r="V761" t="s">
        <v>13338</v>
      </c>
      <c r="W761" t="s">
        <v>14089</v>
      </c>
      <c r="X761">
        <v>1</v>
      </c>
      <c r="Y761" t="s">
        <v>20694</v>
      </c>
      <c r="Z761" t="s">
        <v>27176</v>
      </c>
      <c r="AA761">
        <v>0.82264953918645778</v>
      </c>
      <c r="AB761" t="str">
        <f>HYPERLINK("Melting_Curves/meltCurve_F8WE88_MYO5A.pdf", "Melting_Curves/meltCurve_F8WE88_MYO5A.pdf")</f>
        <v>Melting_Curves/meltCurve_F8WE88_MYO5A.pdf</v>
      </c>
    </row>
    <row r="762" spans="1:28" x14ac:dyDescent="0.25">
      <c r="A762" t="s">
        <v>766</v>
      </c>
      <c r="B762">
        <v>0.99193492352474899</v>
      </c>
      <c r="C762">
        <v>0.64905414236207104</v>
      </c>
      <c r="D762">
        <v>0.562216759418394</v>
      </c>
      <c r="E762">
        <v>0.29977699911763001</v>
      </c>
      <c r="F762">
        <v>0.166260587975219</v>
      </c>
      <c r="G762">
        <v>0.140676023566148</v>
      </c>
      <c r="H762">
        <v>0.110516515467106</v>
      </c>
      <c r="I762">
        <v>0.14104575932541999</v>
      </c>
      <c r="J762">
        <v>0.20007056763390199</v>
      </c>
      <c r="K762">
        <v>0.14909721545013099</v>
      </c>
      <c r="L762">
        <v>763.02437753628601</v>
      </c>
      <c r="M762">
        <v>16.902745919428199</v>
      </c>
      <c r="N762">
        <v>46.013372344379299</v>
      </c>
      <c r="O762">
        <v>44.524385117670903</v>
      </c>
      <c r="P762">
        <v>-8.1914438519809299E-2</v>
      </c>
      <c r="Q762">
        <v>0.13695455253186101</v>
      </c>
      <c r="R762">
        <v>0.96635629679851198</v>
      </c>
      <c r="S762" t="s">
        <v>7432</v>
      </c>
      <c r="T762" t="s">
        <v>13338</v>
      </c>
      <c r="U762" t="s">
        <v>13338</v>
      </c>
      <c r="V762" t="s">
        <v>13338</v>
      </c>
      <c r="W762" t="s">
        <v>14090</v>
      </c>
      <c r="X762">
        <v>1</v>
      </c>
      <c r="Y762" t="s">
        <v>20695</v>
      </c>
      <c r="Z762" t="s">
        <v>27177</v>
      </c>
      <c r="AA762">
        <v>0.30597833181754941</v>
      </c>
      <c r="AB762" t="str">
        <f>HYPERLINK("Melting_Curves/meltCurve_F8WEC0_MMADHC.pdf", "Melting_Curves/meltCurve_F8WEC0_MMADHC.pdf")</f>
        <v>Melting_Curves/meltCurve_F8WEC0_MMADHC.pdf</v>
      </c>
    </row>
    <row r="763" spans="1:28" x14ac:dyDescent="0.25">
      <c r="A763" t="s">
        <v>767</v>
      </c>
      <c r="B763">
        <v>0.99193492352474899</v>
      </c>
      <c r="C763">
        <v>1.04177569388637</v>
      </c>
      <c r="D763">
        <v>1.21521099726759</v>
      </c>
      <c r="E763">
        <v>0.87128399294948999</v>
      </c>
      <c r="F763">
        <v>0.30599549004063398</v>
      </c>
      <c r="G763">
        <v>0.12844668724964001</v>
      </c>
      <c r="H763">
        <v>5.97320042394026E-2</v>
      </c>
      <c r="I763">
        <v>7.45885923906527E-2</v>
      </c>
      <c r="J763">
        <v>0.108543723726629</v>
      </c>
      <c r="K763">
        <v>0.104036072458459</v>
      </c>
      <c r="L763">
        <v>2291.69889634321</v>
      </c>
      <c r="M763">
        <v>44.264775657668402</v>
      </c>
      <c r="N763">
        <v>52.009496793976702</v>
      </c>
      <c r="O763">
        <v>51.667184797164602</v>
      </c>
      <c r="P763">
        <v>-0.19462230937859101</v>
      </c>
      <c r="Q763">
        <v>9.1325087484064302E-2</v>
      </c>
      <c r="R763">
        <v>0.97453257603642796</v>
      </c>
      <c r="S763" t="s">
        <v>7433</v>
      </c>
      <c r="T763" t="s">
        <v>13338</v>
      </c>
      <c r="U763" t="s">
        <v>13338</v>
      </c>
      <c r="V763" t="s">
        <v>13338</v>
      </c>
      <c r="W763" t="s">
        <v>14091</v>
      </c>
      <c r="X763">
        <v>1</v>
      </c>
      <c r="Y763" t="s">
        <v>20696</v>
      </c>
      <c r="Z763" t="s">
        <v>27178</v>
      </c>
      <c r="AA763">
        <v>0.45055603539849559</v>
      </c>
      <c r="AB763" t="str">
        <f>HYPERLINK("Melting_Curves/meltCurve_F8WF93_ALG3.pdf", "Melting_Curves/meltCurve_F8WF93_ALG3.pdf")</f>
        <v>Melting_Curves/meltCurve_F8WF93_ALG3.pdf</v>
      </c>
    </row>
    <row r="764" spans="1:28" x14ac:dyDescent="0.25">
      <c r="A764" t="s">
        <v>768</v>
      </c>
      <c r="B764">
        <v>0.99193492352474899</v>
      </c>
      <c r="C764">
        <v>0.86510443828888794</v>
      </c>
      <c r="D764">
        <v>0.84702543768959004</v>
      </c>
      <c r="E764">
        <v>0.75768889069762702</v>
      </c>
      <c r="F764">
        <v>0.498747812764814</v>
      </c>
      <c r="G764">
        <v>0.26218217969489299</v>
      </c>
      <c r="H764">
        <v>0.16828490647334099</v>
      </c>
      <c r="I764">
        <v>0.184753892376749</v>
      </c>
      <c r="J764">
        <v>0.16676036088665999</v>
      </c>
      <c r="K764">
        <v>0.17931857460870501</v>
      </c>
      <c r="L764">
        <v>774.06612592975296</v>
      </c>
      <c r="M764">
        <v>14.960723675530399</v>
      </c>
      <c r="N764">
        <v>52.783724788679301</v>
      </c>
      <c r="O764">
        <v>50.841861229599203</v>
      </c>
      <c r="P764">
        <v>-6.41513209614549E-2</v>
      </c>
      <c r="Q764">
        <v>0.128053003574642</v>
      </c>
      <c r="R764">
        <v>0.98063896998359001</v>
      </c>
      <c r="S764" t="s">
        <v>7434</v>
      </c>
      <c r="T764" t="s">
        <v>13338</v>
      </c>
      <c r="U764" t="s">
        <v>13338</v>
      </c>
      <c r="V764" t="s">
        <v>13338</v>
      </c>
      <c r="W764" t="s">
        <v>14092</v>
      </c>
      <c r="X764">
        <v>16</v>
      </c>
      <c r="Y764" t="s">
        <v>20697</v>
      </c>
      <c r="Z764" t="s">
        <v>27179</v>
      </c>
      <c r="AA764">
        <v>0.48902046683294148</v>
      </c>
      <c r="AB764" t="str">
        <f>HYPERLINK("Melting_Curves/meltCurve_F8WJN3_CPSF6.pdf", "Melting_Curves/meltCurve_F8WJN3_CPSF6.pdf")</f>
        <v>Melting_Curves/meltCurve_F8WJN3_CPSF6.pdf</v>
      </c>
    </row>
    <row r="765" spans="1:28" x14ac:dyDescent="0.25">
      <c r="A765" t="s">
        <v>769</v>
      </c>
      <c r="B765">
        <v>0.99193492352474899</v>
      </c>
      <c r="C765">
        <v>0.874359690112545</v>
      </c>
      <c r="D765">
        <v>0.87744375387948204</v>
      </c>
      <c r="E765">
        <v>0.63160740803987203</v>
      </c>
      <c r="F765">
        <v>0.25362986266996301</v>
      </c>
      <c r="G765">
        <v>0.13582823292822799</v>
      </c>
      <c r="H765">
        <v>8.9900846737785006E-2</v>
      </c>
      <c r="I765">
        <v>8.5249258362001007E-2</v>
      </c>
      <c r="J765">
        <v>8.9683310386617102E-2</v>
      </c>
      <c r="K765">
        <v>9.3027845793741806E-2</v>
      </c>
      <c r="L765">
        <v>1076.4137662394101</v>
      </c>
      <c r="M765">
        <v>21.461349480626399</v>
      </c>
      <c r="N765">
        <v>50.542125343085502</v>
      </c>
      <c r="O765">
        <v>49.726542698200497</v>
      </c>
      <c r="P765">
        <v>-9.9739609836275195E-2</v>
      </c>
      <c r="Q765">
        <v>7.5624976601480196E-2</v>
      </c>
      <c r="R765">
        <v>0.989985583698058</v>
      </c>
      <c r="S765" t="s">
        <v>7435</v>
      </c>
      <c r="T765" t="s">
        <v>13338</v>
      </c>
      <c r="U765" t="s">
        <v>13338</v>
      </c>
      <c r="V765" t="s">
        <v>13338</v>
      </c>
      <c r="W765" t="s">
        <v>14093</v>
      </c>
      <c r="X765">
        <v>2</v>
      </c>
      <c r="Y765" t="s">
        <v>20698</v>
      </c>
      <c r="Z765" t="s">
        <v>27180</v>
      </c>
      <c r="AA765">
        <v>0.39976112363056959</v>
      </c>
      <c r="AB765" t="str">
        <f>HYPERLINK("Melting_Curves/meltCurve_G1K394_TRAPPC2.pdf", "Melting_Curves/meltCurve_G1K394_TRAPPC2.pdf")</f>
        <v>Melting_Curves/meltCurve_G1K394_TRAPPC2.pdf</v>
      </c>
    </row>
    <row r="766" spans="1:28" x14ac:dyDescent="0.25">
      <c r="A766" t="s">
        <v>770</v>
      </c>
      <c r="B766">
        <v>0.99193492352474899</v>
      </c>
      <c r="C766">
        <v>0.81985329106238103</v>
      </c>
      <c r="D766">
        <v>0.89677006600326403</v>
      </c>
      <c r="E766">
        <v>0.723969427647429</v>
      </c>
      <c r="F766">
        <v>0.259244433769801</v>
      </c>
      <c r="G766">
        <v>9.5621046924897202E-2</v>
      </c>
      <c r="H766">
        <v>5.32140013985569E-2</v>
      </c>
      <c r="I766">
        <v>6.0409326876382202E-2</v>
      </c>
      <c r="J766">
        <v>7.3969728727831696E-2</v>
      </c>
      <c r="K766">
        <v>6.9031506115107097E-2</v>
      </c>
      <c r="L766">
        <v>1347.9020477537199</v>
      </c>
      <c r="M766">
        <v>26.486364825457201</v>
      </c>
      <c r="N766">
        <v>51.111199982036702</v>
      </c>
      <c r="O766">
        <v>50.6029718143689</v>
      </c>
      <c r="P766">
        <v>-0.123781796837616</v>
      </c>
      <c r="Q766">
        <v>5.4055197067659801E-2</v>
      </c>
      <c r="R766">
        <v>0.97527708975032101</v>
      </c>
      <c r="S766" t="s">
        <v>7436</v>
      </c>
      <c r="T766" t="s">
        <v>13338</v>
      </c>
      <c r="U766" t="s">
        <v>13338</v>
      </c>
      <c r="V766" t="s">
        <v>13338</v>
      </c>
      <c r="W766" t="s">
        <v>14094</v>
      </c>
      <c r="X766">
        <v>21</v>
      </c>
      <c r="Y766" t="s">
        <v>20699</v>
      </c>
      <c r="Z766" t="s">
        <v>27181</v>
      </c>
      <c r="AA766">
        <v>0.40505954895903318</v>
      </c>
      <c r="AB766" t="str">
        <f>HYPERLINK("Melting_Curves/meltCurve_G3V0I5_NDUFV1.pdf", "Melting_Curves/meltCurve_G3V0I5_NDUFV1.pdf")</f>
        <v>Melting_Curves/meltCurve_G3V0I5_NDUFV1.pdf</v>
      </c>
    </row>
    <row r="767" spans="1:28" x14ac:dyDescent="0.25">
      <c r="A767" t="s">
        <v>771</v>
      </c>
      <c r="B767">
        <v>0.99193492352474899</v>
      </c>
      <c r="C767">
        <v>0.62600669559794597</v>
      </c>
      <c r="D767">
        <v>0.82261197549916798</v>
      </c>
      <c r="E767">
        <v>0.39469935517703603</v>
      </c>
      <c r="F767">
        <v>0.23077854980017601</v>
      </c>
      <c r="G767">
        <v>0.128594675271159</v>
      </c>
      <c r="H767">
        <v>8.3129772291866494E-2</v>
      </c>
      <c r="I767">
        <v>7.4718301873431703E-2</v>
      </c>
      <c r="J767">
        <v>0.12042293265744</v>
      </c>
      <c r="K767">
        <v>0.13439004975048499</v>
      </c>
      <c r="L767">
        <v>644.94714917605404</v>
      </c>
      <c r="M767">
        <v>13.510095354009501</v>
      </c>
      <c r="N767">
        <v>48.257945660614801</v>
      </c>
      <c r="O767">
        <v>46.728651549843804</v>
      </c>
      <c r="P767">
        <v>-6.7395518065408902E-2</v>
      </c>
      <c r="Q767">
        <v>6.77126222286107E-2</v>
      </c>
      <c r="R767">
        <v>0.91802793931753901</v>
      </c>
      <c r="S767" t="s">
        <v>7437</v>
      </c>
      <c r="T767" t="s">
        <v>13338</v>
      </c>
      <c r="U767" t="s">
        <v>13338</v>
      </c>
      <c r="V767" t="s">
        <v>13338</v>
      </c>
      <c r="W767" t="s">
        <v>14095</v>
      </c>
      <c r="X767">
        <v>4</v>
      </c>
      <c r="Y767" t="s">
        <v>20700</v>
      </c>
      <c r="Z767" t="s">
        <v>27182</v>
      </c>
      <c r="AA767">
        <v>0.33800756467558329</v>
      </c>
      <c r="AB767" t="str">
        <f>HYPERLINK("Melting_Curves/meltCurve_G3V0I6_OTUD4.pdf", "Melting_Curves/meltCurve_G3V0I6_OTUD4.pdf")</f>
        <v>Melting_Curves/meltCurve_G3V0I6_OTUD4.pdf</v>
      </c>
    </row>
    <row r="768" spans="1:28" x14ac:dyDescent="0.25">
      <c r="A768" t="s">
        <v>772</v>
      </c>
      <c r="B768">
        <v>0.99193492352474899</v>
      </c>
      <c r="C768">
        <v>0.53902969093082698</v>
      </c>
      <c r="D768">
        <v>0.63638531984569902</v>
      </c>
      <c r="E768">
        <v>0.236073794924964</v>
      </c>
      <c r="F768">
        <v>0.16331688623631699</v>
      </c>
      <c r="G768">
        <v>0.10547189977910799</v>
      </c>
      <c r="H768">
        <v>6.9241902242669295E-2</v>
      </c>
      <c r="I768">
        <v>5.0965196471365201E-2</v>
      </c>
      <c r="J768">
        <v>4.9060656682691897E-2</v>
      </c>
      <c r="K768">
        <v>3.8826794051669403E-2</v>
      </c>
      <c r="L768">
        <v>603.21840556881398</v>
      </c>
      <c r="M768">
        <v>13.172073432716299</v>
      </c>
      <c r="N768">
        <v>46.015641826063302</v>
      </c>
      <c r="O768">
        <v>44.778332924464898</v>
      </c>
      <c r="P768">
        <v>-7.1304338720294194E-2</v>
      </c>
      <c r="Q768">
        <v>3.0569297725407198E-2</v>
      </c>
      <c r="R768">
        <v>0.93003064181478701</v>
      </c>
      <c r="S768" t="s">
        <v>7438</v>
      </c>
      <c r="T768" t="s">
        <v>13338</v>
      </c>
      <c r="U768" t="s">
        <v>13338</v>
      </c>
      <c r="V768" t="s">
        <v>13338</v>
      </c>
      <c r="W768" t="s">
        <v>14096</v>
      </c>
      <c r="X768">
        <v>3</v>
      </c>
      <c r="Y768" t="s">
        <v>20701</v>
      </c>
      <c r="Z768" t="s">
        <v>27183</v>
      </c>
      <c r="AA768">
        <v>0.2554028141699734</v>
      </c>
      <c r="AB768" t="str">
        <f>HYPERLINK("Melting_Curves/meltCurve_G3V130_MTERFD1.pdf", "Melting_Curves/meltCurve_G3V130_MTERFD1.pdf")</f>
        <v>Melting_Curves/meltCurve_G3V130_MTERFD1.pdf</v>
      </c>
    </row>
    <row r="769" spans="1:28" x14ac:dyDescent="0.25">
      <c r="A769" t="s">
        <v>773</v>
      </c>
      <c r="B769">
        <v>0.99193492352474899</v>
      </c>
      <c r="C769">
        <v>0.305767136012221</v>
      </c>
      <c r="D769">
        <v>0.236263897233562</v>
      </c>
      <c r="E769">
        <v>7.4628555771635199E-2</v>
      </c>
      <c r="F769">
        <v>4.9541527854894199E-2</v>
      </c>
      <c r="G769">
        <v>4.5963115175398299E-2</v>
      </c>
      <c r="H769">
        <v>1.0857848060524899E-2</v>
      </c>
      <c r="I769">
        <v>2.5557687067145701E-2</v>
      </c>
      <c r="J769">
        <v>2.7369182067117699E-2</v>
      </c>
      <c r="K769">
        <v>3.5648556476652001E-2</v>
      </c>
      <c r="L769">
        <v>2410.0787593505302</v>
      </c>
      <c r="M769">
        <v>57.146675603834801</v>
      </c>
      <c r="N769">
        <v>42.269706361904497</v>
      </c>
      <c r="O769">
        <v>42.122009437744502</v>
      </c>
      <c r="P769">
        <v>-0.31850073196232898</v>
      </c>
      <c r="Q769">
        <v>6.0950855762889902E-2</v>
      </c>
      <c r="R769">
        <v>0.95702470030725695</v>
      </c>
      <c r="S769" t="s">
        <v>7439</v>
      </c>
      <c r="T769" t="s">
        <v>13338</v>
      </c>
      <c r="U769" t="s">
        <v>13338</v>
      </c>
      <c r="V769" t="s">
        <v>13338</v>
      </c>
      <c r="W769" t="s">
        <v>14097</v>
      </c>
      <c r="X769">
        <v>2</v>
      </c>
      <c r="Y769" t="s">
        <v>20702</v>
      </c>
      <c r="Z769" t="s">
        <v>27184</v>
      </c>
      <c r="AA769">
        <v>0.1312041900956214</v>
      </c>
      <c r="AB769" t="str">
        <f>HYPERLINK("Melting_Curves/meltCurve_G3V167_PARP2.pdf", "Melting_Curves/meltCurve_G3V167_PARP2.pdf")</f>
        <v>Melting_Curves/meltCurve_G3V167_PARP2.pdf</v>
      </c>
    </row>
    <row r="770" spans="1:28" x14ac:dyDescent="0.25">
      <c r="A770" t="s">
        <v>774</v>
      </c>
      <c r="B770">
        <v>0.99193492352474899</v>
      </c>
      <c r="C770">
        <v>0.88638273419514702</v>
      </c>
      <c r="D770">
        <v>0.55700208510159199</v>
      </c>
      <c r="E770">
        <v>0.300661952627024</v>
      </c>
      <c r="F770">
        <v>0.20093050944437299</v>
      </c>
      <c r="G770">
        <v>0.147343486765245</v>
      </c>
      <c r="H770">
        <v>9.1114878571456503E-2</v>
      </c>
      <c r="I770">
        <v>0.11105782480797299</v>
      </c>
      <c r="J770">
        <v>0.13023377538535799</v>
      </c>
      <c r="K770">
        <v>9.8259792321251899E-2</v>
      </c>
      <c r="L770">
        <v>977.36278346229199</v>
      </c>
      <c r="M770">
        <v>21.109332096913601</v>
      </c>
      <c r="N770">
        <v>46.8847493859965</v>
      </c>
      <c r="O770">
        <v>45.8905281246684</v>
      </c>
      <c r="P770">
        <v>-0.101692673257349</v>
      </c>
      <c r="Q770">
        <v>0.115726072292804</v>
      </c>
      <c r="R770">
        <v>0.99525808728795195</v>
      </c>
      <c r="S770" t="s">
        <v>7440</v>
      </c>
      <c r="T770" t="s">
        <v>13338</v>
      </c>
      <c r="U770" t="s">
        <v>13338</v>
      </c>
      <c r="V770" t="s">
        <v>13338</v>
      </c>
      <c r="W770" t="s">
        <v>14098</v>
      </c>
      <c r="X770">
        <v>4</v>
      </c>
      <c r="Y770" t="s">
        <v>20703</v>
      </c>
      <c r="Z770" t="s">
        <v>27185</v>
      </c>
      <c r="AA770">
        <v>0.31327988185250077</v>
      </c>
      <c r="AB770" t="str">
        <f>HYPERLINK("Melting_Curves/meltCurve_G3V1A6_GSDMD.pdf", "Melting_Curves/meltCurve_G3V1A6_GSDMD.pdf")</f>
        <v>Melting_Curves/meltCurve_G3V1A6_GSDMD.pdf</v>
      </c>
    </row>
    <row r="771" spans="1:28" x14ac:dyDescent="0.25">
      <c r="A771" t="s">
        <v>775</v>
      </c>
      <c r="B771">
        <v>0.99193492352474899</v>
      </c>
      <c r="C771">
        <v>0.97419796839177697</v>
      </c>
      <c r="D771">
        <v>0.97356949010409199</v>
      </c>
      <c r="E771">
        <v>0.83912506150558297</v>
      </c>
      <c r="F771">
        <v>0.48279992588024301</v>
      </c>
      <c r="G771">
        <v>0.12532296461869399</v>
      </c>
      <c r="H771">
        <v>6.8115964434179804E-2</v>
      </c>
      <c r="I771">
        <v>7.1218628702531803E-2</v>
      </c>
      <c r="J771">
        <v>8.5155482928148493E-2</v>
      </c>
      <c r="K771">
        <v>7.4124444456169003E-2</v>
      </c>
      <c r="L771">
        <v>1520.6649814970699</v>
      </c>
      <c r="M771">
        <v>28.910805329283502</v>
      </c>
      <c r="N771">
        <v>52.844683548152801</v>
      </c>
      <c r="O771">
        <v>52.348792196991099</v>
      </c>
      <c r="P771">
        <v>-0.12936982453944201</v>
      </c>
      <c r="Q771">
        <v>6.3007726291089597E-2</v>
      </c>
      <c r="R771">
        <v>0.99755516014440904</v>
      </c>
      <c r="S771" t="s">
        <v>7441</v>
      </c>
      <c r="T771" t="s">
        <v>13338</v>
      </c>
      <c r="U771" t="s">
        <v>13338</v>
      </c>
      <c r="V771" t="s">
        <v>13338</v>
      </c>
      <c r="W771" t="s">
        <v>14099</v>
      </c>
      <c r="X771">
        <v>32</v>
      </c>
      <c r="Y771" t="s">
        <v>20704</v>
      </c>
      <c r="Z771" t="s">
        <v>27186</v>
      </c>
      <c r="AA771">
        <v>0.4629941357440443</v>
      </c>
      <c r="AB771" t="str">
        <f>HYPERLINK("Melting_Curves/meltCurve_G3V1D3_DPP3.pdf", "Melting_Curves/meltCurve_G3V1D3_DPP3.pdf")</f>
        <v>Melting_Curves/meltCurve_G3V1D3_DPP3.pdf</v>
      </c>
    </row>
    <row r="772" spans="1:28" x14ac:dyDescent="0.25">
      <c r="A772" t="s">
        <v>776</v>
      </c>
      <c r="B772">
        <v>0.99193492352474899</v>
      </c>
      <c r="C772">
        <v>0.75586518090066401</v>
      </c>
      <c r="D772">
        <v>0.987232704734893</v>
      </c>
      <c r="E772">
        <v>0.74657444295647901</v>
      </c>
      <c r="F772">
        <v>0.81564370881395998</v>
      </c>
      <c r="G772">
        <v>0.48507152223788302</v>
      </c>
      <c r="H772">
        <v>0.24199414482106599</v>
      </c>
      <c r="I772">
        <v>0.16609453715185801</v>
      </c>
      <c r="J772">
        <v>0.17717543811521599</v>
      </c>
      <c r="K772">
        <v>0.180512021183072</v>
      </c>
      <c r="L772">
        <v>710.06136458378705</v>
      </c>
      <c r="M772">
        <v>12.691684554781499</v>
      </c>
      <c r="N772">
        <v>56.507453545820901</v>
      </c>
      <c r="O772">
        <v>54.612560320831797</v>
      </c>
      <c r="P772">
        <v>-5.4673290271568198E-2</v>
      </c>
      <c r="Q772">
        <v>5.9141647106342503E-2</v>
      </c>
      <c r="R772">
        <v>0.91384544749792496</v>
      </c>
      <c r="S772" t="s">
        <v>7442</v>
      </c>
      <c r="T772" t="s">
        <v>13338</v>
      </c>
      <c r="U772" t="s">
        <v>13338</v>
      </c>
      <c r="V772" t="s">
        <v>13338</v>
      </c>
      <c r="W772" t="s">
        <v>14100</v>
      </c>
      <c r="X772">
        <v>8</v>
      </c>
      <c r="Y772" t="s">
        <v>20705</v>
      </c>
      <c r="Z772" t="s">
        <v>27187</v>
      </c>
      <c r="AA772">
        <v>0.57811350993530686</v>
      </c>
      <c r="AB772" t="str">
        <f>HYPERLINK("Melting_Curves/meltCurve_G3V1P3_LOH12CR1.pdf", "Melting_Curves/meltCurve_G3V1P3_LOH12CR1.pdf")</f>
        <v>Melting_Curves/meltCurve_G3V1P3_LOH12CR1.pdf</v>
      </c>
    </row>
    <row r="773" spans="1:28" x14ac:dyDescent="0.25">
      <c r="A773" t="s">
        <v>777</v>
      </c>
      <c r="B773">
        <v>0.99193492352474899</v>
      </c>
      <c r="C773">
        <v>0.66297432957880198</v>
      </c>
      <c r="D773">
        <v>0.94636475299364398</v>
      </c>
      <c r="E773">
        <v>0.55208583351204898</v>
      </c>
      <c r="F773">
        <v>0.44607830197714998</v>
      </c>
      <c r="G773">
        <v>0.410443191791242</v>
      </c>
      <c r="H773">
        <v>0.13470243994114001</v>
      </c>
      <c r="I773">
        <v>0.42537549905947297</v>
      </c>
      <c r="J773">
        <v>0.47966044295595001</v>
      </c>
      <c r="K773">
        <v>0.318356763500585</v>
      </c>
      <c r="L773">
        <v>648.88966896375302</v>
      </c>
      <c r="M773">
        <v>13.5524631033904</v>
      </c>
      <c r="N773">
        <v>51.891332124741297</v>
      </c>
      <c r="O773">
        <v>46.873426144162899</v>
      </c>
      <c r="P773">
        <v>-4.8824929831977899E-2</v>
      </c>
      <c r="Q773">
        <v>0.32462520576783599</v>
      </c>
      <c r="R773">
        <v>0.74020861611316602</v>
      </c>
      <c r="S773" t="s">
        <v>7443</v>
      </c>
      <c r="T773" t="s">
        <v>13338</v>
      </c>
      <c r="U773" t="s">
        <v>13338</v>
      </c>
      <c r="V773" t="s">
        <v>13338</v>
      </c>
      <c r="W773" t="s">
        <v>14101</v>
      </c>
      <c r="X773">
        <v>34</v>
      </c>
      <c r="Y773" t="s">
        <v>20706</v>
      </c>
      <c r="Z773" t="s">
        <v>27188</v>
      </c>
      <c r="AA773">
        <v>0.52331860344465919</v>
      </c>
      <c r="AB773" t="str">
        <f>HYPERLINK("Melting_Curves/meltCurve_G3V1Q4_SEPT7.pdf", "Melting_Curves/meltCurve_G3V1Q4_SEPT7.pdf")</f>
        <v>Melting_Curves/meltCurve_G3V1Q4_SEPT7.pdf</v>
      </c>
    </row>
    <row r="774" spans="1:28" x14ac:dyDescent="0.25">
      <c r="A774" t="s">
        <v>778</v>
      </c>
      <c r="B774">
        <v>0.99193492352474899</v>
      </c>
      <c r="C774">
        <v>1.18558351314961</v>
      </c>
      <c r="D774">
        <v>1.2136934513256401</v>
      </c>
      <c r="E774">
        <v>0.48262250894736197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12396.550917209701</v>
      </c>
      <c r="M774">
        <v>250</v>
      </c>
      <c r="N774">
        <v>49.586208330985798</v>
      </c>
      <c r="O774">
        <v>49.5830236385071</v>
      </c>
      <c r="P774">
        <v>-1.2605119019284901</v>
      </c>
      <c r="Q774">
        <v>0</v>
      </c>
      <c r="R774">
        <v>0.96910385380358699</v>
      </c>
      <c r="S774" t="s">
        <v>7444</v>
      </c>
      <c r="T774" t="s">
        <v>13338</v>
      </c>
      <c r="U774" t="s">
        <v>13338</v>
      </c>
      <c r="V774" t="s">
        <v>13338</v>
      </c>
      <c r="W774" t="s">
        <v>14102</v>
      </c>
      <c r="X774">
        <v>3</v>
      </c>
      <c r="Y774" t="s">
        <v>20707</v>
      </c>
      <c r="Z774" t="s">
        <v>27189</v>
      </c>
      <c r="AA774">
        <v>0.31962714531033382</v>
      </c>
      <c r="AB774" t="str">
        <f>HYPERLINK("Melting_Curves/meltCurve_G3V1S9_ACSL6.pdf", "Melting_Curves/meltCurve_G3V1S9_ACSL6.pdf")</f>
        <v>Melting_Curves/meltCurve_G3V1S9_ACSL6.pdf</v>
      </c>
    </row>
    <row r="775" spans="1:28" x14ac:dyDescent="0.25">
      <c r="A775" t="s">
        <v>779</v>
      </c>
      <c r="B775">
        <v>0.99193492352474899</v>
      </c>
      <c r="C775">
        <v>1.1001914545795499</v>
      </c>
      <c r="D775">
        <v>0.93591595046431098</v>
      </c>
      <c r="E775">
        <v>0.93875693412622396</v>
      </c>
      <c r="F775">
        <v>0.68655832043647802</v>
      </c>
      <c r="G775">
        <v>0.62444895277489199</v>
      </c>
      <c r="H775">
        <v>0.59784586100563797</v>
      </c>
      <c r="I775">
        <v>0.64471347373796795</v>
      </c>
      <c r="J775">
        <v>0.72883023188551399</v>
      </c>
      <c r="K775">
        <v>1.0003743904347899</v>
      </c>
      <c r="L775">
        <v>12464.5335286256</v>
      </c>
      <c r="M775">
        <v>250</v>
      </c>
      <c r="O775">
        <v>49.854937101764001</v>
      </c>
      <c r="P775">
        <v>-0.35879691744214798</v>
      </c>
      <c r="Q775">
        <v>0.713795199366835</v>
      </c>
      <c r="R775">
        <v>0.60457462772099102</v>
      </c>
      <c r="S775" t="s">
        <v>7445</v>
      </c>
      <c r="T775" t="s">
        <v>13338</v>
      </c>
      <c r="U775" t="s">
        <v>13338</v>
      </c>
      <c r="V775" t="s">
        <v>13338</v>
      </c>
      <c r="W775" t="s">
        <v>14103</v>
      </c>
      <c r="X775">
        <v>2</v>
      </c>
      <c r="Y775" t="s">
        <v>20708</v>
      </c>
      <c r="Z775" t="s">
        <v>27190</v>
      </c>
      <c r="AA775">
        <v>0.80786841932014386</v>
      </c>
      <c r="AB775" t="str">
        <f>HYPERLINK("Melting_Curves/meltCurve_G3V1U5_GOLT1B.pdf", "Melting_Curves/meltCurve_G3V1U5_GOLT1B.pdf")</f>
        <v>Melting_Curves/meltCurve_G3V1U5_GOLT1B.pdf</v>
      </c>
    </row>
    <row r="776" spans="1:28" x14ac:dyDescent="0.25">
      <c r="A776" t="s">
        <v>780</v>
      </c>
      <c r="B776">
        <v>0.99193492352474899</v>
      </c>
      <c r="C776">
        <v>0</v>
      </c>
      <c r="D776">
        <v>0</v>
      </c>
      <c r="E776">
        <v>0.99547594898161695</v>
      </c>
      <c r="F776">
        <v>0.66580156799384704</v>
      </c>
      <c r="G776">
        <v>0</v>
      </c>
      <c r="H776">
        <v>0</v>
      </c>
      <c r="I776">
        <v>1.53555476981539</v>
      </c>
      <c r="J776">
        <v>1.4582881991150001</v>
      </c>
      <c r="K776">
        <v>4.0232535677119898</v>
      </c>
      <c r="L776">
        <v>15000</v>
      </c>
      <c r="M776">
        <v>238.93211537910901</v>
      </c>
      <c r="O776">
        <v>62.774955703506997</v>
      </c>
      <c r="P776">
        <v>0.47577129677368801</v>
      </c>
      <c r="Q776">
        <v>1.5</v>
      </c>
      <c r="R776">
        <v>0.23696727479704599</v>
      </c>
      <c r="S776" t="s">
        <v>7446</v>
      </c>
      <c r="T776" t="s">
        <v>13338</v>
      </c>
      <c r="U776" t="s">
        <v>13338</v>
      </c>
      <c r="V776" t="s">
        <v>13338</v>
      </c>
      <c r="W776" t="s">
        <v>14104</v>
      </c>
      <c r="X776">
        <v>1</v>
      </c>
      <c r="Y776" t="s">
        <v>20709</v>
      </c>
      <c r="Z776" t="s">
        <v>27191</v>
      </c>
      <c r="AA776">
        <v>1.120284057297827</v>
      </c>
      <c r="AB776" t="str">
        <f>HYPERLINK("Melting_Curves/meltCurve_G3V1X5_YAF2.pdf", "Melting_Curves/meltCurve_G3V1X5_YAF2.pdf")</f>
        <v>Melting_Curves/meltCurve_G3V1X5_YAF2.pdf</v>
      </c>
    </row>
    <row r="777" spans="1:28" x14ac:dyDescent="0.25">
      <c r="A777" t="s">
        <v>781</v>
      </c>
      <c r="B777">
        <v>0.99193492352474899</v>
      </c>
      <c r="C777">
        <v>0.81728644324802502</v>
      </c>
      <c r="D777">
        <v>0.77562673979126395</v>
      </c>
      <c r="E777">
        <v>1.0143582147196399</v>
      </c>
      <c r="F777">
        <v>0.95627170826568397</v>
      </c>
      <c r="G777">
        <v>0.49810027185233602</v>
      </c>
      <c r="H777">
        <v>0.13128434074186099</v>
      </c>
      <c r="I777">
        <v>0.101888046383155</v>
      </c>
      <c r="J777">
        <v>0.147115243295699</v>
      </c>
      <c r="K777">
        <v>0.13801838108790099</v>
      </c>
      <c r="L777">
        <v>2967.7174371543201</v>
      </c>
      <c r="M777">
        <v>52.557245457110902</v>
      </c>
      <c r="N777">
        <v>56.775515934361003</v>
      </c>
      <c r="O777">
        <v>56.384809533779098</v>
      </c>
      <c r="P777">
        <v>-0.20403344329643899</v>
      </c>
      <c r="Q777">
        <v>0.12443061344657699</v>
      </c>
      <c r="R777">
        <v>0.93924278659984595</v>
      </c>
      <c r="S777" t="s">
        <v>7447</v>
      </c>
      <c r="T777" t="s">
        <v>13338</v>
      </c>
      <c r="U777" t="s">
        <v>13338</v>
      </c>
      <c r="V777" t="s">
        <v>13338</v>
      </c>
      <c r="W777" t="s">
        <v>14105</v>
      </c>
      <c r="X777">
        <v>5</v>
      </c>
      <c r="Y777" t="s">
        <v>20710</v>
      </c>
      <c r="Z777" t="s">
        <v>27192</v>
      </c>
      <c r="AA777">
        <v>0.60698333802674054</v>
      </c>
      <c r="AB777" t="str">
        <f>HYPERLINK("Melting_Curves/meltCurve_G3V203_RPL18.pdf", "Melting_Curves/meltCurve_G3V203_RPL18.pdf")</f>
        <v>Melting_Curves/meltCurve_G3V203_RPL18.pdf</v>
      </c>
    </row>
    <row r="778" spans="1:28" x14ac:dyDescent="0.25">
      <c r="A778" t="s">
        <v>782</v>
      </c>
      <c r="B778">
        <v>0.99193492352474899</v>
      </c>
      <c r="C778">
        <v>0.76485841739054805</v>
      </c>
      <c r="D778">
        <v>0.95495243146086495</v>
      </c>
      <c r="E778">
        <v>0.66039457816640601</v>
      </c>
      <c r="F778">
        <v>0.45999784486702699</v>
      </c>
      <c r="G778">
        <v>0.173055652399115</v>
      </c>
      <c r="H778">
        <v>7.0942249581416705E-2</v>
      </c>
      <c r="I778">
        <v>6.9668598336003904E-2</v>
      </c>
      <c r="J778">
        <v>9.13495803838036E-2</v>
      </c>
      <c r="K778">
        <v>8.4753618669856007E-2</v>
      </c>
      <c r="L778">
        <v>832.306518129501</v>
      </c>
      <c r="M778">
        <v>16.113428261744801</v>
      </c>
      <c r="N778">
        <v>51.9113030964076</v>
      </c>
      <c r="O778">
        <v>50.877082999109703</v>
      </c>
      <c r="P778">
        <v>-7.6133520021659601E-2</v>
      </c>
      <c r="Q778">
        <v>3.8527456560372902E-2</v>
      </c>
      <c r="R778">
        <v>0.95861527943287395</v>
      </c>
      <c r="S778" t="s">
        <v>7448</v>
      </c>
      <c r="T778" t="s">
        <v>13338</v>
      </c>
      <c r="U778" t="s">
        <v>13338</v>
      </c>
      <c r="V778" t="s">
        <v>13338</v>
      </c>
      <c r="W778" t="s">
        <v>14106</v>
      </c>
      <c r="X778">
        <v>13</v>
      </c>
      <c r="Y778" t="s">
        <v>19965</v>
      </c>
      <c r="Z778" t="s">
        <v>27193</v>
      </c>
      <c r="AA778">
        <v>0.43138020300939578</v>
      </c>
      <c r="AB778" t="str">
        <f>HYPERLINK("Melting_Curves/meltCurve_G3V2F7_TMEM189.pdf", "Melting_Curves/meltCurve_G3V2F7_TMEM189.pdf")</f>
        <v>Melting_Curves/meltCurve_G3V2F7_TMEM189.pdf</v>
      </c>
    </row>
    <row r="779" spans="1:28" x14ac:dyDescent="0.25">
      <c r="A779" t="s">
        <v>783</v>
      </c>
      <c r="B779">
        <v>0.99193492352474899</v>
      </c>
      <c r="C779">
        <v>0.75921141220975896</v>
      </c>
      <c r="D779">
        <v>0.952548514152457</v>
      </c>
      <c r="E779">
        <v>0.86672225491190402</v>
      </c>
      <c r="F779">
        <v>0.69603166906452896</v>
      </c>
      <c r="G779">
        <v>0.23716951063238201</v>
      </c>
      <c r="H779">
        <v>0.126226877207501</v>
      </c>
      <c r="I779">
        <v>0.107538768676866</v>
      </c>
      <c r="J779">
        <v>0.141404278214289</v>
      </c>
      <c r="K779">
        <v>0.155606320004955</v>
      </c>
      <c r="L779">
        <v>1680.4727594922499</v>
      </c>
      <c r="M779">
        <v>31.159434592334701</v>
      </c>
      <c r="N779">
        <v>54.411393417524501</v>
      </c>
      <c r="O779">
        <v>53.710751329748597</v>
      </c>
      <c r="P779">
        <v>-0.12760688651037699</v>
      </c>
      <c r="Q779">
        <v>0.120160757631745</v>
      </c>
      <c r="R779">
        <v>0.94497506168221701</v>
      </c>
      <c r="S779" t="s">
        <v>7449</v>
      </c>
      <c r="T779" t="s">
        <v>13338</v>
      </c>
      <c r="U779" t="s">
        <v>13338</v>
      </c>
      <c r="V779" t="s">
        <v>13338</v>
      </c>
      <c r="W779" t="s">
        <v>14107</v>
      </c>
      <c r="X779">
        <v>9</v>
      </c>
      <c r="Y779" t="s">
        <v>20711</v>
      </c>
      <c r="Z779" t="s">
        <v>27194</v>
      </c>
      <c r="AA779">
        <v>0.53410684037410616</v>
      </c>
      <c r="AB779" t="str">
        <f>HYPERLINK("Melting_Curves/meltCurve_G3V2U7_ACYP1.pdf", "Melting_Curves/meltCurve_G3V2U7_ACYP1.pdf")</f>
        <v>Melting_Curves/meltCurve_G3V2U7_ACYP1.pdf</v>
      </c>
    </row>
    <row r="780" spans="1:28" x14ac:dyDescent="0.25">
      <c r="A780" t="s">
        <v>784</v>
      </c>
      <c r="B780">
        <v>0.99193492352474899</v>
      </c>
      <c r="C780">
        <v>0.768675818356649</v>
      </c>
      <c r="D780">
        <v>0.88157733717723596</v>
      </c>
      <c r="E780">
        <v>0.61561622538548899</v>
      </c>
      <c r="F780">
        <v>0.60323916112723497</v>
      </c>
      <c r="G780">
        <v>0.36790220204714003</v>
      </c>
      <c r="H780">
        <v>0.30104270814697298</v>
      </c>
      <c r="I780">
        <v>0.199838616805495</v>
      </c>
      <c r="J780">
        <v>0.27907762991625201</v>
      </c>
      <c r="K780">
        <v>0.15629344428460001</v>
      </c>
      <c r="L780">
        <v>439.26414867086299</v>
      </c>
      <c r="M780">
        <v>8.2655022988610707</v>
      </c>
      <c r="N780">
        <v>54.032708076559899</v>
      </c>
      <c r="O780">
        <v>50.305868186522098</v>
      </c>
      <c r="P780">
        <v>-3.8504855600506503E-2</v>
      </c>
      <c r="Q780">
        <v>6.3537461877147303E-2</v>
      </c>
      <c r="R780">
        <v>0.94807144633688201</v>
      </c>
      <c r="S780" t="s">
        <v>7450</v>
      </c>
      <c r="T780" t="s">
        <v>13338</v>
      </c>
      <c r="U780" t="s">
        <v>13338</v>
      </c>
      <c r="V780" t="s">
        <v>13338</v>
      </c>
      <c r="W780" t="s">
        <v>14108</v>
      </c>
      <c r="X780">
        <v>6</v>
      </c>
      <c r="Y780" t="s">
        <v>20712</v>
      </c>
      <c r="Z780" t="s">
        <v>27195</v>
      </c>
      <c r="AA780">
        <v>0.51031092280186585</v>
      </c>
      <c r="AB780" t="str">
        <f>HYPERLINK("Melting_Curves/meltCurve_G3V325_ATP5J2_PTCD1.pdf", "Melting_Curves/meltCurve_G3V325_ATP5J2_PTCD1.pdf")</f>
        <v>Melting_Curves/meltCurve_G3V325_ATP5J2_PTCD1.pdf</v>
      </c>
    </row>
    <row r="781" spans="1:28" x14ac:dyDescent="0.25">
      <c r="A781" t="s">
        <v>785</v>
      </c>
      <c r="B781">
        <v>0.99193492352474899</v>
      </c>
      <c r="C781">
        <v>0.90516953304316305</v>
      </c>
      <c r="D781">
        <v>0.881643533122909</v>
      </c>
      <c r="E781">
        <v>0.57450852281639697</v>
      </c>
      <c r="F781">
        <v>0.276206832549516</v>
      </c>
      <c r="G781">
        <v>0.15493419675418399</v>
      </c>
      <c r="H781">
        <v>0.105120040325538</v>
      </c>
      <c r="I781">
        <v>0.111853916752907</v>
      </c>
      <c r="J781">
        <v>0.112206437588838</v>
      </c>
      <c r="K781">
        <v>0.116115477798858</v>
      </c>
      <c r="L781">
        <v>1056.8769365364001</v>
      </c>
      <c r="M781">
        <v>21.235303550520101</v>
      </c>
      <c r="N781">
        <v>50.305792799656203</v>
      </c>
      <c r="O781">
        <v>49.334739091973702</v>
      </c>
      <c r="P781">
        <v>-9.6716351915549295E-2</v>
      </c>
      <c r="Q781">
        <v>0.101241180133901</v>
      </c>
      <c r="R781">
        <v>0.99591499950026896</v>
      </c>
      <c r="S781" t="s">
        <v>7451</v>
      </c>
      <c r="T781" t="s">
        <v>13338</v>
      </c>
      <c r="U781" t="s">
        <v>13338</v>
      </c>
      <c r="V781" t="s">
        <v>13338</v>
      </c>
      <c r="W781" t="s">
        <v>14109</v>
      </c>
      <c r="X781">
        <v>4</v>
      </c>
      <c r="Y781" t="s">
        <v>20713</v>
      </c>
      <c r="Z781" t="s">
        <v>27196</v>
      </c>
      <c r="AA781">
        <v>0.40505405145225992</v>
      </c>
      <c r="AB781" t="str">
        <f>HYPERLINK("Melting_Curves/meltCurve_G3V3C1_PTGR2.pdf", "Melting_Curves/meltCurve_G3V3C1_PTGR2.pdf")</f>
        <v>Melting_Curves/meltCurve_G3V3C1_PTGR2.pdf</v>
      </c>
    </row>
    <row r="782" spans="1:28" x14ac:dyDescent="0.25">
      <c r="A782" t="s">
        <v>786</v>
      </c>
      <c r="B782">
        <v>0.99193492352474899</v>
      </c>
      <c r="C782">
        <v>0.859215702229992</v>
      </c>
      <c r="D782">
        <v>0.99119596991419801</v>
      </c>
      <c r="E782">
        <v>0.75181139909603101</v>
      </c>
      <c r="F782">
        <v>0.58293429808527397</v>
      </c>
      <c r="G782">
        <v>0.29118486685342398</v>
      </c>
      <c r="H782">
        <v>0.17501985981871199</v>
      </c>
      <c r="I782">
        <v>0.21682426094952101</v>
      </c>
      <c r="J782">
        <v>0.25852115873065701</v>
      </c>
      <c r="K782">
        <v>0.35687590130022001</v>
      </c>
      <c r="L782">
        <v>1162.3026102628601</v>
      </c>
      <c r="M782">
        <v>22.428499153226401</v>
      </c>
      <c r="N782">
        <v>53.384643952362701</v>
      </c>
      <c r="O782">
        <v>51.415859283475598</v>
      </c>
      <c r="P782">
        <v>-8.2816391070883899E-2</v>
      </c>
      <c r="Q782">
        <v>0.24061090355567699</v>
      </c>
      <c r="R782">
        <v>0.94772980701306997</v>
      </c>
      <c r="S782" t="s">
        <v>7452</v>
      </c>
      <c r="T782" t="s">
        <v>13338</v>
      </c>
      <c r="U782" t="s">
        <v>13338</v>
      </c>
      <c r="V782" t="s">
        <v>13338</v>
      </c>
      <c r="W782" t="s">
        <v>14110</v>
      </c>
      <c r="X782">
        <v>13</v>
      </c>
      <c r="Y782" t="s">
        <v>20714</v>
      </c>
      <c r="Z782" t="s">
        <v>27197</v>
      </c>
      <c r="AA782">
        <v>0.54838775953610031</v>
      </c>
      <c r="AB782" t="str">
        <f>HYPERLINK("Melting_Curves/meltCurve_G3V3G9_DCAF8.pdf", "Melting_Curves/meltCurve_G3V3G9_DCAF8.pdf")</f>
        <v>Melting_Curves/meltCurve_G3V3G9_DCAF8.pdf</v>
      </c>
    </row>
    <row r="783" spans="1:28" x14ac:dyDescent="0.25">
      <c r="A783" t="s">
        <v>787</v>
      </c>
      <c r="B783">
        <v>0.99193492352474899</v>
      </c>
      <c r="C783">
        <v>6.5580698866823903</v>
      </c>
      <c r="D783">
        <v>5.55866321617009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3.7467299843470401</v>
      </c>
      <c r="L783">
        <v>11984.574458913599</v>
      </c>
      <c r="M783">
        <v>250</v>
      </c>
      <c r="O783">
        <v>47.9352300837024</v>
      </c>
      <c r="P783">
        <v>-0.60593901311450704</v>
      </c>
      <c r="Q783">
        <v>0.53526678419653095</v>
      </c>
      <c r="R783">
        <v>-5.2676609016850902E-2</v>
      </c>
      <c r="S783" t="s">
        <v>7453</v>
      </c>
      <c r="T783" t="s">
        <v>13338</v>
      </c>
      <c r="U783" t="s">
        <v>13338</v>
      </c>
      <c r="V783" t="s">
        <v>13338</v>
      </c>
      <c r="W783" t="s">
        <v>14111</v>
      </c>
      <c r="X783">
        <v>2</v>
      </c>
      <c r="Y783" t="s">
        <v>20715</v>
      </c>
      <c r="Z783" t="s">
        <v>27198</v>
      </c>
      <c r="AA783">
        <v>0.65827890535680111</v>
      </c>
      <c r="AB783" t="str">
        <f>HYPERLINK("Melting_Curves/meltCurve_G3V3I4_NFKBIA.pdf", "Melting_Curves/meltCurve_G3V3I4_NFKBIA.pdf")</f>
        <v>Melting_Curves/meltCurve_G3V3I4_NFKBIA.pdf</v>
      </c>
    </row>
    <row r="784" spans="1:28" x14ac:dyDescent="0.25">
      <c r="A784" t="s">
        <v>788</v>
      </c>
      <c r="B784">
        <v>0.99193492352474899</v>
      </c>
      <c r="C784">
        <v>0.92015410573096801</v>
      </c>
      <c r="D784">
        <v>1.01051823024332</v>
      </c>
      <c r="E784">
        <v>0.80081306259428198</v>
      </c>
      <c r="F784">
        <v>0.69130663362899503</v>
      </c>
      <c r="G784">
        <v>0.45653495918931902</v>
      </c>
      <c r="H784">
        <v>0.33933941089346098</v>
      </c>
      <c r="I784">
        <v>0.29877686873293602</v>
      </c>
      <c r="J784">
        <v>0.46167718511133898</v>
      </c>
      <c r="K784">
        <v>0.43265968369160801</v>
      </c>
      <c r="L784">
        <v>1131.3841238262801</v>
      </c>
      <c r="M784">
        <v>21.611062994689998</v>
      </c>
      <c r="N784">
        <v>55.9210398549261</v>
      </c>
      <c r="O784">
        <v>51.9100110550648</v>
      </c>
      <c r="P784">
        <v>-6.5143238931586397E-2</v>
      </c>
      <c r="Q784">
        <v>0.37411598943130903</v>
      </c>
      <c r="R784">
        <v>0.94820855445409102</v>
      </c>
      <c r="S784" t="s">
        <v>7454</v>
      </c>
      <c r="T784" t="s">
        <v>13338</v>
      </c>
      <c r="U784" t="s">
        <v>13338</v>
      </c>
      <c r="V784" t="s">
        <v>13338</v>
      </c>
      <c r="W784" t="s">
        <v>13694</v>
      </c>
      <c r="X784">
        <v>9</v>
      </c>
      <c r="Y784" t="s">
        <v>20716</v>
      </c>
      <c r="Z784" t="s">
        <v>27199</v>
      </c>
      <c r="AA784">
        <v>0.63934038373222712</v>
      </c>
      <c r="AB784" t="str">
        <f>HYPERLINK("Melting_Curves/meltCurve_G3V3J9_GNG2.pdf", "Melting_Curves/meltCurve_G3V3J9_GNG2.pdf")</f>
        <v>Melting_Curves/meltCurve_G3V3J9_GNG2.pdf</v>
      </c>
    </row>
    <row r="785" spans="1:28" x14ac:dyDescent="0.25">
      <c r="A785" t="s">
        <v>789</v>
      </c>
      <c r="B785">
        <v>0.99193492352474899</v>
      </c>
      <c r="C785">
        <v>0.77537653279433705</v>
      </c>
      <c r="D785">
        <v>0.65251062189374798</v>
      </c>
      <c r="E785">
        <v>0.20197173549439601</v>
      </c>
      <c r="F785">
        <v>0.13156226313727301</v>
      </c>
      <c r="G785">
        <v>7.5200998804120095E-2</v>
      </c>
      <c r="H785">
        <v>4.6719759143162197E-2</v>
      </c>
      <c r="I785">
        <v>5.6196892255530803E-2</v>
      </c>
      <c r="J785">
        <v>7.0305800056495005E-2</v>
      </c>
      <c r="K785">
        <v>6.8222396211653893E-2</v>
      </c>
      <c r="L785">
        <v>951.067402214563</v>
      </c>
      <c r="M785">
        <v>20.459691854624399</v>
      </c>
      <c r="N785">
        <v>46.744578180582998</v>
      </c>
      <c r="O785">
        <v>46.047683805624601</v>
      </c>
      <c r="P785">
        <v>-0.10511564581258501</v>
      </c>
      <c r="Q785">
        <v>5.3712418209919101E-2</v>
      </c>
      <c r="R785">
        <v>0.98557707212481305</v>
      </c>
      <c r="S785" t="s">
        <v>7455</v>
      </c>
      <c r="T785" t="s">
        <v>13338</v>
      </c>
      <c r="U785" t="s">
        <v>13338</v>
      </c>
      <c r="V785" t="s">
        <v>13338</v>
      </c>
      <c r="W785" t="s">
        <v>14112</v>
      </c>
      <c r="X785">
        <v>10</v>
      </c>
      <c r="Y785" t="s">
        <v>20717</v>
      </c>
      <c r="Z785" t="s">
        <v>27200</v>
      </c>
      <c r="AA785">
        <v>0.27174982112722151</v>
      </c>
      <c r="AB785" t="str">
        <f>HYPERLINK("Melting_Curves/meltCurve_G3V3R7_ATXN3.pdf", "Melting_Curves/meltCurve_G3V3R7_ATXN3.pdf")</f>
        <v>Melting_Curves/meltCurve_G3V3R7_ATXN3.pdf</v>
      </c>
    </row>
    <row r="786" spans="1:28" x14ac:dyDescent="0.25">
      <c r="A786" t="s">
        <v>790</v>
      </c>
      <c r="B786">
        <v>0.99193492352474899</v>
      </c>
      <c r="C786">
        <v>1.2673886733651201</v>
      </c>
      <c r="D786">
        <v>0.72919312015511695</v>
      </c>
      <c r="E786">
        <v>0.93662526507543298</v>
      </c>
      <c r="F786">
        <v>0.50019844953292902</v>
      </c>
      <c r="G786">
        <v>0.43520275725315599</v>
      </c>
      <c r="H786">
        <v>0.200401439992313</v>
      </c>
      <c r="I786">
        <v>0.20208980468630899</v>
      </c>
      <c r="J786">
        <v>0.27316099449304498</v>
      </c>
      <c r="K786">
        <v>0.193509432705641</v>
      </c>
      <c r="L786">
        <v>1038.6702540516401</v>
      </c>
      <c r="M786">
        <v>19.6601899022555</v>
      </c>
      <c r="N786">
        <v>54.256698001132698</v>
      </c>
      <c r="O786">
        <v>52.293656261332998</v>
      </c>
      <c r="P786">
        <v>-7.5032933235679194E-2</v>
      </c>
      <c r="Q786">
        <v>0.20171480282498699</v>
      </c>
      <c r="R786">
        <v>0.88184338903695902</v>
      </c>
      <c r="S786" t="s">
        <v>7456</v>
      </c>
      <c r="T786" t="s">
        <v>13338</v>
      </c>
      <c r="U786" t="s">
        <v>13338</v>
      </c>
      <c r="V786" t="s">
        <v>13338</v>
      </c>
      <c r="W786" t="s">
        <v>14113</v>
      </c>
      <c r="X786">
        <v>1</v>
      </c>
      <c r="Y786" t="s">
        <v>20718</v>
      </c>
      <c r="Z786" t="s">
        <v>27201</v>
      </c>
      <c r="AA786">
        <v>0.55446732293931877</v>
      </c>
      <c r="AB786" t="str">
        <f>HYPERLINK("Melting_Curves/meltCurve_G3V3U6_MRPL52.pdf", "Melting_Curves/meltCurve_G3V3U6_MRPL52.pdf")</f>
        <v>Melting_Curves/meltCurve_G3V3U6_MRPL52.pdf</v>
      </c>
    </row>
    <row r="787" spans="1:28" x14ac:dyDescent="0.25">
      <c r="A787" t="s">
        <v>791</v>
      </c>
      <c r="B787">
        <v>0.99193492352474899</v>
      </c>
      <c r="C787">
        <v>0.770720359573696</v>
      </c>
      <c r="D787">
        <v>0.37104415777387201</v>
      </c>
      <c r="E787">
        <v>0.16617826305008301</v>
      </c>
      <c r="F787">
        <v>0.16383994354627299</v>
      </c>
      <c r="G787">
        <v>6.0053415400653502E-2</v>
      </c>
      <c r="H787">
        <v>4.6243204413775302E-2</v>
      </c>
      <c r="I787">
        <v>6.3968464053155302E-2</v>
      </c>
      <c r="J787">
        <v>9.4995897968256401E-2</v>
      </c>
      <c r="K787">
        <v>8.9900466973090801E-2</v>
      </c>
      <c r="L787">
        <v>1162.3334377343299</v>
      </c>
      <c r="M787">
        <v>25.9864180874402</v>
      </c>
      <c r="N787">
        <v>45.048178971476801</v>
      </c>
      <c r="O787">
        <v>44.466141267973398</v>
      </c>
      <c r="P787">
        <v>-0.13380157352778099</v>
      </c>
      <c r="Q787">
        <v>8.4202978057200506E-2</v>
      </c>
      <c r="R787">
        <v>0.99142105649166501</v>
      </c>
      <c r="S787" t="s">
        <v>7457</v>
      </c>
      <c r="T787" t="s">
        <v>13338</v>
      </c>
      <c r="U787" t="s">
        <v>13338</v>
      </c>
      <c r="V787" t="s">
        <v>13338</v>
      </c>
      <c r="W787" t="s">
        <v>14114</v>
      </c>
      <c r="X787">
        <v>2</v>
      </c>
      <c r="Y787" t="s">
        <v>20719</v>
      </c>
      <c r="Z787" t="s">
        <v>27202</v>
      </c>
      <c r="AA787">
        <v>0.237113081066818</v>
      </c>
      <c r="AB787" t="str">
        <f>HYPERLINK("Melting_Curves/meltCurve_G3V439_SIVA1.pdf", "Melting_Curves/meltCurve_G3V439_SIVA1.pdf")</f>
        <v>Melting_Curves/meltCurve_G3V439_SIVA1.pdf</v>
      </c>
    </row>
    <row r="788" spans="1:28" x14ac:dyDescent="0.25">
      <c r="A788" t="s">
        <v>792</v>
      </c>
      <c r="B788">
        <v>0.99193492352474899</v>
      </c>
      <c r="C788">
        <v>0.77109787106643801</v>
      </c>
      <c r="D788">
        <v>0.90237432446738697</v>
      </c>
      <c r="E788">
        <v>0.35971809111332498</v>
      </c>
      <c r="F788">
        <v>0.18197744552600101</v>
      </c>
      <c r="G788">
        <v>0.130268398904584</v>
      </c>
      <c r="H788">
        <v>0.102550238359797</v>
      </c>
      <c r="I788">
        <v>0.235637814406086</v>
      </c>
      <c r="J788">
        <v>0.24326502426202501</v>
      </c>
      <c r="K788">
        <v>0.68871227786269296</v>
      </c>
      <c r="L788">
        <v>2315.3686617476801</v>
      </c>
      <c r="M788">
        <v>48.587820249691703</v>
      </c>
      <c r="N788">
        <v>48.398162610689603</v>
      </c>
      <c r="O788">
        <v>47.572758655767103</v>
      </c>
      <c r="P788">
        <v>-0.18810528120138501</v>
      </c>
      <c r="Q788">
        <v>0.263298616880766</v>
      </c>
      <c r="R788">
        <v>0.72902783650251402</v>
      </c>
      <c r="S788" t="s">
        <v>7458</v>
      </c>
      <c r="T788" t="s">
        <v>13338</v>
      </c>
      <c r="U788" t="s">
        <v>13338</v>
      </c>
      <c r="V788" t="s">
        <v>13338</v>
      </c>
      <c r="W788" t="s">
        <v>14115</v>
      </c>
      <c r="X788">
        <v>3</v>
      </c>
      <c r="Y788" t="s">
        <v>20720</v>
      </c>
      <c r="Z788" t="s">
        <v>27203</v>
      </c>
      <c r="AA788">
        <v>0.45287975989273138</v>
      </c>
      <c r="AB788" t="str">
        <f>HYPERLINK("Melting_Curves/meltCurve_G3V4A5_MED6.pdf", "Melting_Curves/meltCurve_G3V4A5_MED6.pdf")</f>
        <v>Melting_Curves/meltCurve_G3V4A5_MED6.pdf</v>
      </c>
    </row>
    <row r="789" spans="1:28" x14ac:dyDescent="0.25">
      <c r="A789" t="s">
        <v>793</v>
      </c>
      <c r="B789">
        <v>0.99193492352474899</v>
      </c>
      <c r="C789">
        <v>0.96582128729599304</v>
      </c>
      <c r="D789">
        <v>0.81196987402784604</v>
      </c>
      <c r="E789">
        <v>0.37033678231102402</v>
      </c>
      <c r="F789">
        <v>0.235866840882791</v>
      </c>
      <c r="G789">
        <v>0.125172686909506</v>
      </c>
      <c r="H789">
        <v>9.5465029343288293E-2</v>
      </c>
      <c r="I789">
        <v>0.107242792875686</v>
      </c>
      <c r="J789">
        <v>0.13829741394509501</v>
      </c>
      <c r="K789">
        <v>0.141946384753558</v>
      </c>
      <c r="L789">
        <v>1280.2195965317301</v>
      </c>
      <c r="M789">
        <v>26.6179297300685</v>
      </c>
      <c r="N789">
        <v>48.616835875631899</v>
      </c>
      <c r="O789">
        <v>47.827132403144198</v>
      </c>
      <c r="P789">
        <v>-0.121881176180154</v>
      </c>
      <c r="Q789">
        <v>0.124024131488381</v>
      </c>
      <c r="R789">
        <v>0.99591041976384198</v>
      </c>
      <c r="S789" t="s">
        <v>7459</v>
      </c>
      <c r="T789" t="s">
        <v>13338</v>
      </c>
      <c r="U789" t="s">
        <v>13338</v>
      </c>
      <c r="V789" t="s">
        <v>13338</v>
      </c>
      <c r="W789" t="s">
        <v>14116</v>
      </c>
      <c r="X789">
        <v>7</v>
      </c>
      <c r="Y789" t="s">
        <v>20721</v>
      </c>
      <c r="Z789" t="s">
        <v>27204</v>
      </c>
      <c r="AA789">
        <v>0.36720546804107201</v>
      </c>
      <c r="AB789" t="str">
        <f>HYPERLINK("Melting_Curves/meltCurve_G3V4K3_VIPAS39.pdf", "Melting_Curves/meltCurve_G3V4K3_VIPAS39.pdf")</f>
        <v>Melting_Curves/meltCurve_G3V4K3_VIPAS39.pdf</v>
      </c>
    </row>
    <row r="790" spans="1:28" x14ac:dyDescent="0.25">
      <c r="A790" t="s">
        <v>794</v>
      </c>
      <c r="B790">
        <v>0.99193492352474899</v>
      </c>
      <c r="C790">
        <v>0.61432886958000998</v>
      </c>
      <c r="D790">
        <v>0.69283868689761197</v>
      </c>
      <c r="E790">
        <v>0.96938812791263296</v>
      </c>
      <c r="F790">
        <v>0.30043402749551301</v>
      </c>
      <c r="G790">
        <v>0.18213252539289601</v>
      </c>
      <c r="H790">
        <v>0.107131048081529</v>
      </c>
      <c r="I790">
        <v>0.18111389957936999</v>
      </c>
      <c r="J790">
        <v>0.21055546987182899</v>
      </c>
      <c r="K790">
        <v>0</v>
      </c>
      <c r="L790">
        <v>492.88826566322899</v>
      </c>
      <c r="M790">
        <v>9.5734673243038699</v>
      </c>
      <c r="N790">
        <v>51.484811134687398</v>
      </c>
      <c r="O790">
        <v>49.388708064424698</v>
      </c>
      <c r="P790">
        <v>-4.8487635277749103E-2</v>
      </c>
      <c r="Q790">
        <v>0</v>
      </c>
      <c r="R790">
        <v>0.77179448453882804</v>
      </c>
      <c r="S790" t="s">
        <v>7460</v>
      </c>
      <c r="T790" t="s">
        <v>13338</v>
      </c>
      <c r="U790" t="s">
        <v>13338</v>
      </c>
      <c r="V790" t="s">
        <v>13338</v>
      </c>
      <c r="W790" t="s">
        <v>14117</v>
      </c>
      <c r="X790">
        <v>1</v>
      </c>
      <c r="Y790" t="s">
        <v>20722</v>
      </c>
      <c r="Z790" t="s">
        <v>27205</v>
      </c>
      <c r="AA790">
        <v>0.42470351596777511</v>
      </c>
      <c r="AB790" t="str">
        <f>HYPERLINK("Melting_Curves/meltCurve_G3V4P7_AP4S1.pdf", "Melting_Curves/meltCurve_G3V4P7_AP4S1.pdf")</f>
        <v>Melting_Curves/meltCurve_G3V4P7_AP4S1.pdf</v>
      </c>
    </row>
    <row r="791" spans="1:28" x14ac:dyDescent="0.25">
      <c r="A791" t="s">
        <v>795</v>
      </c>
      <c r="B791">
        <v>0.99193492352474899</v>
      </c>
      <c r="C791">
        <v>0.57062739539397</v>
      </c>
      <c r="D791">
        <v>0.69887050811084395</v>
      </c>
      <c r="E791">
        <v>0.423746196336305</v>
      </c>
      <c r="F791">
        <v>0.27032683549567799</v>
      </c>
      <c r="G791">
        <v>0.16689109633131699</v>
      </c>
      <c r="H791">
        <v>0.133590852222011</v>
      </c>
      <c r="I791">
        <v>0.13857688198127699</v>
      </c>
      <c r="J791">
        <v>0.35545833653317899</v>
      </c>
      <c r="K791">
        <v>0.236831848326298</v>
      </c>
      <c r="L791">
        <v>612.31641923847906</v>
      </c>
      <c r="M791">
        <v>13.4213760691245</v>
      </c>
      <c r="N791">
        <v>47.298593133479997</v>
      </c>
      <c r="O791">
        <v>44.645363321273003</v>
      </c>
      <c r="P791">
        <v>-6.0941988395150803E-2</v>
      </c>
      <c r="Q791">
        <v>0.189247805198302</v>
      </c>
      <c r="R791">
        <v>0.85171856449987604</v>
      </c>
      <c r="S791" t="s">
        <v>7461</v>
      </c>
      <c r="T791" t="s">
        <v>13338</v>
      </c>
      <c r="U791" t="s">
        <v>13338</v>
      </c>
      <c r="V791" t="s">
        <v>13338</v>
      </c>
      <c r="W791" t="s">
        <v>14118</v>
      </c>
      <c r="X791">
        <v>7</v>
      </c>
      <c r="Y791" t="s">
        <v>20723</v>
      </c>
      <c r="Z791" t="s">
        <v>27206</v>
      </c>
      <c r="AA791">
        <v>0.37194140499302158</v>
      </c>
      <c r="AB791" t="str">
        <f>HYPERLINK("Melting_Curves/meltCurve_G3V4W0_HNRNPC.pdf", "Melting_Curves/meltCurve_G3V4W0_HNRNPC.pdf")</f>
        <v>Melting_Curves/meltCurve_G3V4W0_HNRNPC.pdf</v>
      </c>
    </row>
    <row r="792" spans="1:28" x14ac:dyDescent="0.25">
      <c r="A792" t="s">
        <v>796</v>
      </c>
      <c r="B792">
        <v>0.99193492352474899</v>
      </c>
      <c r="C792">
        <v>0.80870435862823298</v>
      </c>
      <c r="D792">
        <v>0.84934329390566099</v>
      </c>
      <c r="E792">
        <v>0.68293188887277101</v>
      </c>
      <c r="F792">
        <v>0.35466628199070899</v>
      </c>
      <c r="G792">
        <v>0.30246649799070802</v>
      </c>
      <c r="H792">
        <v>0.186671141290355</v>
      </c>
      <c r="I792">
        <v>0.25187080306781101</v>
      </c>
      <c r="J792">
        <v>0.324193688361747</v>
      </c>
      <c r="K792">
        <v>0.37177242429329299</v>
      </c>
      <c r="L792">
        <v>903.34295422136097</v>
      </c>
      <c r="M792">
        <v>18.377188811379099</v>
      </c>
      <c r="N792">
        <v>51.285510549300902</v>
      </c>
      <c r="O792">
        <v>48.584699533214803</v>
      </c>
      <c r="P792">
        <v>-6.9325769293782494E-2</v>
      </c>
      <c r="Q792">
        <v>0.266913224560966</v>
      </c>
      <c r="R792">
        <v>0.92746745198001701</v>
      </c>
      <c r="S792" t="s">
        <v>7462</v>
      </c>
      <c r="T792" t="s">
        <v>13338</v>
      </c>
      <c r="U792" t="s">
        <v>13338</v>
      </c>
      <c r="V792" t="s">
        <v>13338</v>
      </c>
      <c r="W792" t="s">
        <v>14119</v>
      </c>
      <c r="X792">
        <v>6</v>
      </c>
      <c r="Y792" t="s">
        <v>20724</v>
      </c>
      <c r="Z792" t="s">
        <v>27207</v>
      </c>
      <c r="AA792">
        <v>0.50279445507849119</v>
      </c>
      <c r="AB792" t="str">
        <f>HYPERLINK("Melting_Curves/meltCurve_G3V529_DDX24.pdf", "Melting_Curves/meltCurve_G3V529_DDX24.pdf")</f>
        <v>Melting_Curves/meltCurve_G3V529_DDX24.pdf</v>
      </c>
    </row>
    <row r="793" spans="1:28" x14ac:dyDescent="0.25">
      <c r="A793" t="s">
        <v>797</v>
      </c>
      <c r="B793">
        <v>0.99193492352474899</v>
      </c>
      <c r="C793">
        <v>0.94110958259861299</v>
      </c>
      <c r="D793">
        <v>0.97597431496877696</v>
      </c>
      <c r="E793">
        <v>0.77676691578921198</v>
      </c>
      <c r="F793">
        <v>0.58809737565902098</v>
      </c>
      <c r="G793">
        <v>0.426634960513956</v>
      </c>
      <c r="H793">
        <v>0.29478381294605199</v>
      </c>
      <c r="I793">
        <v>0.26477248783260998</v>
      </c>
      <c r="J793">
        <v>0.34146924968245301</v>
      </c>
      <c r="K793">
        <v>0.39927168624885101</v>
      </c>
      <c r="L793">
        <v>1061.45845086179</v>
      </c>
      <c r="M793">
        <v>20.516239400189001</v>
      </c>
      <c r="N793">
        <v>54.4157645437353</v>
      </c>
      <c r="O793">
        <v>51.253458687252802</v>
      </c>
      <c r="P793">
        <v>-6.82662348001499E-2</v>
      </c>
      <c r="Q793">
        <v>0.31785204713196402</v>
      </c>
      <c r="R793">
        <v>0.97701155904452697</v>
      </c>
      <c r="S793" t="s">
        <v>7463</v>
      </c>
      <c r="T793" t="s">
        <v>13338</v>
      </c>
      <c r="U793" t="s">
        <v>13338</v>
      </c>
      <c r="V793" t="s">
        <v>13338</v>
      </c>
      <c r="W793" t="s">
        <v>14120</v>
      </c>
      <c r="X793">
        <v>5</v>
      </c>
      <c r="Y793" t="s">
        <v>20725</v>
      </c>
      <c r="Z793" t="s">
        <v>27208</v>
      </c>
      <c r="AA793">
        <v>0.59376262252890366</v>
      </c>
      <c r="AB793" t="str">
        <f>HYPERLINK("Melting_Curves/meltCurve_G3V583_FAM177A1.pdf", "Melting_Curves/meltCurve_G3V583_FAM177A1.pdf")</f>
        <v>Melting_Curves/meltCurve_G3V583_FAM177A1.pdf</v>
      </c>
    </row>
    <row r="794" spans="1:28" x14ac:dyDescent="0.25">
      <c r="A794" t="s">
        <v>798</v>
      </c>
      <c r="B794">
        <v>0.99193492352474899</v>
      </c>
      <c r="C794">
        <v>0.85860913683669604</v>
      </c>
      <c r="D794">
        <v>0.80405396870072998</v>
      </c>
      <c r="E794">
        <v>0.214538228228806</v>
      </c>
      <c r="F794">
        <v>0.16007600084064799</v>
      </c>
      <c r="G794">
        <v>0.10276553449159399</v>
      </c>
      <c r="H794">
        <v>7.1631986481112395E-2</v>
      </c>
      <c r="I794">
        <v>0.119774725532463</v>
      </c>
      <c r="J794">
        <v>0.160297940011664</v>
      </c>
      <c r="K794">
        <v>0.24642050448039199</v>
      </c>
      <c r="L794">
        <v>2031.0953565391001</v>
      </c>
      <c r="M794">
        <v>43.053145259831901</v>
      </c>
      <c r="N794">
        <v>47.539068916447597</v>
      </c>
      <c r="O794">
        <v>47.075027072226</v>
      </c>
      <c r="P794">
        <v>-0.196641515991611</v>
      </c>
      <c r="Q794">
        <v>0.13995688140441101</v>
      </c>
      <c r="R794">
        <v>0.96903653190152705</v>
      </c>
      <c r="S794" t="s">
        <v>7464</v>
      </c>
      <c r="T794" t="s">
        <v>13338</v>
      </c>
      <c r="U794" t="s">
        <v>13338</v>
      </c>
      <c r="V794" t="s">
        <v>13338</v>
      </c>
      <c r="W794" t="s">
        <v>14121</v>
      </c>
      <c r="X794">
        <v>16</v>
      </c>
      <c r="Y794" t="s">
        <v>20726</v>
      </c>
      <c r="Z794" t="s">
        <v>27209</v>
      </c>
      <c r="AA794">
        <v>0.34812083575696118</v>
      </c>
      <c r="AB794" t="str">
        <f>HYPERLINK("Melting_Curves/meltCurve_G3V599_CTAGE5.pdf", "Melting_Curves/meltCurve_G3V599_CTAGE5.pdf")</f>
        <v>Melting_Curves/meltCurve_G3V599_CTAGE5.pdf</v>
      </c>
    </row>
    <row r="795" spans="1:28" x14ac:dyDescent="0.25">
      <c r="A795" t="s">
        <v>799</v>
      </c>
      <c r="B795">
        <v>0.99193492352474899</v>
      </c>
      <c r="C795">
        <v>0.86288614848812595</v>
      </c>
      <c r="D795">
        <v>0.89430751167780298</v>
      </c>
      <c r="E795">
        <v>0.65581224424171503</v>
      </c>
      <c r="F795">
        <v>0.51502686615382298</v>
      </c>
      <c r="G795">
        <v>0.129875839971137</v>
      </c>
      <c r="H795">
        <v>6.7873123307878994E-2</v>
      </c>
      <c r="I795">
        <v>6.4197871575733798E-2</v>
      </c>
      <c r="J795">
        <v>7.1059515776733306E-2</v>
      </c>
      <c r="K795">
        <v>9.6089570959824802E-2</v>
      </c>
      <c r="L795">
        <v>832.82731013506998</v>
      </c>
      <c r="M795">
        <v>16.081747741906799</v>
      </c>
      <c r="N795">
        <v>51.984099464155697</v>
      </c>
      <c r="O795">
        <v>51.006220501692702</v>
      </c>
      <c r="P795">
        <v>-7.6498425506549006E-2</v>
      </c>
      <c r="Q795">
        <v>2.9559713622119298E-2</v>
      </c>
      <c r="R795">
        <v>0.97471571176418503</v>
      </c>
      <c r="S795" t="s">
        <v>7465</v>
      </c>
      <c r="T795" t="s">
        <v>13338</v>
      </c>
      <c r="U795" t="s">
        <v>13338</v>
      </c>
      <c r="V795" t="s">
        <v>13338</v>
      </c>
      <c r="W795" t="s">
        <v>14122</v>
      </c>
      <c r="X795">
        <v>6</v>
      </c>
      <c r="Y795" t="s">
        <v>20727</v>
      </c>
      <c r="Z795" t="s">
        <v>27210</v>
      </c>
      <c r="AA795">
        <v>0.43041319233282799</v>
      </c>
      <c r="AB795" t="str">
        <f>HYPERLINK("Melting_Curves/meltCurve_G3V5T0_GSTZ1.pdf", "Melting_Curves/meltCurve_G3V5T0_GSTZ1.pdf")</f>
        <v>Melting_Curves/meltCurve_G3V5T0_GSTZ1.pdf</v>
      </c>
    </row>
    <row r="796" spans="1:28" x14ac:dyDescent="0.25">
      <c r="A796" t="s">
        <v>800</v>
      </c>
      <c r="B796">
        <v>0.99193492352474899</v>
      </c>
      <c r="C796">
        <v>0.854390823656763</v>
      </c>
      <c r="D796">
        <v>0.98745700994741004</v>
      </c>
      <c r="E796">
        <v>0.78343500778467201</v>
      </c>
      <c r="F796">
        <v>0.64562314606284399</v>
      </c>
      <c r="G796">
        <v>0.32635788487137402</v>
      </c>
      <c r="H796">
        <v>0.20050116687403199</v>
      </c>
      <c r="I796">
        <v>0.13054458862348001</v>
      </c>
      <c r="J796">
        <v>0.10992772279110199</v>
      </c>
      <c r="K796">
        <v>8.3787952342757196E-2</v>
      </c>
      <c r="L796">
        <v>832.00533714792402</v>
      </c>
      <c r="M796">
        <v>15.356594358739301</v>
      </c>
      <c r="N796">
        <v>54.570661666759399</v>
      </c>
      <c r="O796">
        <v>53.285217921128897</v>
      </c>
      <c r="P796">
        <v>-6.8296096529970707E-2</v>
      </c>
      <c r="Q796">
        <v>5.2176017243480602E-2</v>
      </c>
      <c r="R796">
        <v>0.98118886558992102</v>
      </c>
      <c r="S796" t="s">
        <v>7466</v>
      </c>
      <c r="T796" t="s">
        <v>13338</v>
      </c>
      <c r="U796" t="s">
        <v>13338</v>
      </c>
      <c r="V796" t="s">
        <v>13338</v>
      </c>
      <c r="W796" t="s">
        <v>14123</v>
      </c>
      <c r="X796">
        <v>14</v>
      </c>
      <c r="Y796" t="s">
        <v>20728</v>
      </c>
      <c r="Z796" t="s">
        <v>27211</v>
      </c>
      <c r="AA796">
        <v>0.51885859567574788</v>
      </c>
      <c r="AB796" t="str">
        <f>HYPERLINK("Melting_Curves/meltCurve_G3V5T9_CDK2.pdf", "Melting_Curves/meltCurve_G3V5T9_CDK2.pdf")</f>
        <v>Melting_Curves/meltCurve_G3V5T9_CDK2.pdf</v>
      </c>
    </row>
    <row r="797" spans="1:28" x14ac:dyDescent="0.25">
      <c r="A797" t="s">
        <v>801</v>
      </c>
      <c r="B797">
        <v>0.99193492352474899</v>
      </c>
      <c r="C797">
        <v>0.82317855515930205</v>
      </c>
      <c r="D797">
        <v>0.53171429560118599</v>
      </c>
      <c r="E797">
        <v>0.280706652761608</v>
      </c>
      <c r="F797">
        <v>0.17806210129537101</v>
      </c>
      <c r="G797">
        <v>0.108201938751342</v>
      </c>
      <c r="H797">
        <v>6.3303299482790898E-2</v>
      </c>
      <c r="I797">
        <v>8.0579474971529993E-2</v>
      </c>
      <c r="J797">
        <v>0.110256819710041</v>
      </c>
      <c r="K797">
        <v>0.116075812308383</v>
      </c>
      <c r="L797">
        <v>907.66047259195602</v>
      </c>
      <c r="M797">
        <v>19.725514962943599</v>
      </c>
      <c r="N797">
        <v>46.5052230499563</v>
      </c>
      <c r="O797">
        <v>45.549446421960297</v>
      </c>
      <c r="P797">
        <v>-9.8096642761469593E-2</v>
      </c>
      <c r="Q797">
        <v>9.3946255442603793E-2</v>
      </c>
      <c r="R797">
        <v>0.99532220540613603</v>
      </c>
      <c r="S797" t="s">
        <v>7467</v>
      </c>
      <c r="T797" t="s">
        <v>13338</v>
      </c>
      <c r="U797" t="s">
        <v>13338</v>
      </c>
      <c r="V797" t="s">
        <v>13338</v>
      </c>
      <c r="W797" t="s">
        <v>14124</v>
      </c>
      <c r="X797">
        <v>10</v>
      </c>
      <c r="Y797" t="s">
        <v>20729</v>
      </c>
      <c r="Z797" t="s">
        <v>27212</v>
      </c>
      <c r="AA797">
        <v>0.29003754495186379</v>
      </c>
      <c r="AB797" t="str">
        <f>HYPERLINK("Melting_Curves/meltCurve_G3XAA0_ARID1B.pdf", "Melting_Curves/meltCurve_G3XAA0_ARID1B.pdf")</f>
        <v>Melting_Curves/meltCurve_G3XAA0_ARID1B.pdf</v>
      </c>
    </row>
    <row r="798" spans="1:28" x14ac:dyDescent="0.25">
      <c r="A798" t="s">
        <v>802</v>
      </c>
      <c r="B798">
        <v>0.99193492352474899</v>
      </c>
      <c r="C798">
        <v>0.80171730894780202</v>
      </c>
      <c r="D798">
        <v>0.92970023255932199</v>
      </c>
      <c r="E798">
        <v>0.72855592409366499</v>
      </c>
      <c r="F798">
        <v>0.78755891971215897</v>
      </c>
      <c r="G798">
        <v>0.52320218106775496</v>
      </c>
      <c r="H798">
        <v>0.32008452589481401</v>
      </c>
      <c r="I798">
        <v>0.150616990937885</v>
      </c>
      <c r="J798">
        <v>0.20501556935531001</v>
      </c>
      <c r="K798">
        <v>0.13213535425228701</v>
      </c>
      <c r="L798">
        <v>571.84144589671496</v>
      </c>
      <c r="M798">
        <v>10.071343040905701</v>
      </c>
      <c r="N798">
        <v>56.779066884186598</v>
      </c>
      <c r="O798">
        <v>54.676820932215101</v>
      </c>
      <c r="P798">
        <v>-4.6071214533776501E-2</v>
      </c>
      <c r="Q798">
        <v>0</v>
      </c>
      <c r="R798">
        <v>0.94087045783756196</v>
      </c>
      <c r="S798" t="s">
        <v>7468</v>
      </c>
      <c r="T798" t="s">
        <v>13338</v>
      </c>
      <c r="U798" t="s">
        <v>13338</v>
      </c>
      <c r="V798" t="s">
        <v>13338</v>
      </c>
      <c r="W798" t="s">
        <v>14125</v>
      </c>
      <c r="X798">
        <v>2</v>
      </c>
      <c r="Y798" t="s">
        <v>20730</v>
      </c>
      <c r="Z798" t="s">
        <v>27213</v>
      </c>
      <c r="AA798">
        <v>0.57638600070885304</v>
      </c>
      <c r="AB798" t="str">
        <f>HYPERLINK("Melting_Curves/meltCurve_G3XAC1_SLC26A6.pdf", "Melting_Curves/meltCurve_G3XAC1_SLC26A6.pdf")</f>
        <v>Melting_Curves/meltCurve_G3XAC1_SLC26A6.pdf</v>
      </c>
    </row>
    <row r="799" spans="1:28" x14ac:dyDescent="0.25">
      <c r="A799" t="s">
        <v>803</v>
      </c>
      <c r="B799">
        <v>0.99193492352474899</v>
      </c>
      <c r="C799">
        <v>1.39739291201381</v>
      </c>
      <c r="D799">
        <v>0.84999372455783995</v>
      </c>
      <c r="E799">
        <v>0.59411084442281703</v>
      </c>
      <c r="F799">
        <v>0.70157719583962397</v>
      </c>
      <c r="G799">
        <v>1.20828214657188</v>
      </c>
      <c r="H799">
        <v>2.1960842946025898</v>
      </c>
      <c r="I799">
        <v>6.3217856326139001</v>
      </c>
      <c r="J799">
        <v>8.2184617229023207</v>
      </c>
      <c r="K799">
        <v>14.2874668220626</v>
      </c>
      <c r="L799">
        <v>14219.135443539601</v>
      </c>
      <c r="M799">
        <v>250</v>
      </c>
      <c r="O799">
        <v>56.872899673904598</v>
      </c>
      <c r="P799">
        <v>0.54947081840115297</v>
      </c>
      <c r="Q799">
        <v>1.5</v>
      </c>
      <c r="R799">
        <v>-0.24342730473823401</v>
      </c>
      <c r="S799" t="s">
        <v>7469</v>
      </c>
      <c r="T799" t="s">
        <v>13338</v>
      </c>
      <c r="U799" t="s">
        <v>13338</v>
      </c>
      <c r="V799" t="s">
        <v>13338</v>
      </c>
      <c r="W799" t="s">
        <v>14126</v>
      </c>
      <c r="X799">
        <v>1</v>
      </c>
      <c r="Y799" t="s">
        <v>20731</v>
      </c>
      <c r="Z799" t="s">
        <v>27214</v>
      </c>
      <c r="AA799">
        <v>1.2186743950412171</v>
      </c>
      <c r="AB799" t="str">
        <f>HYPERLINK("Melting_Curves/meltCurve_G3XAE9_FAM179B.pdf", "Melting_Curves/meltCurve_G3XAE9_FAM179B.pdf")</f>
        <v>Melting_Curves/meltCurve_G3XAE9_FAM179B.pdf</v>
      </c>
    </row>
    <row r="800" spans="1:28" x14ac:dyDescent="0.25">
      <c r="A800" t="s">
        <v>804</v>
      </c>
      <c r="B800">
        <v>0.99193492352474899</v>
      </c>
      <c r="C800">
        <v>0.77768552909633004</v>
      </c>
      <c r="D800">
        <v>0.92086556907908201</v>
      </c>
      <c r="E800">
        <v>0.65019039832337</v>
      </c>
      <c r="F800">
        <v>0.66310045099384396</v>
      </c>
      <c r="G800">
        <v>0.42883675740971999</v>
      </c>
      <c r="H800">
        <v>0.44966794032457902</v>
      </c>
      <c r="I800">
        <v>0.56471462663888805</v>
      </c>
      <c r="J800">
        <v>0.77506454022758098</v>
      </c>
      <c r="K800">
        <v>1.0565864185156999</v>
      </c>
      <c r="L800">
        <v>843.03461484002798</v>
      </c>
      <c r="M800">
        <v>18.904272605648</v>
      </c>
      <c r="O800">
        <v>44.104906161077302</v>
      </c>
      <c r="P800">
        <v>-3.6934029855416703E-2</v>
      </c>
      <c r="Q800">
        <v>0.65533604492798003</v>
      </c>
      <c r="R800">
        <v>0.25303554870839201</v>
      </c>
      <c r="S800" t="s">
        <v>7470</v>
      </c>
      <c r="T800" t="s">
        <v>13338</v>
      </c>
      <c r="U800" t="s">
        <v>13338</v>
      </c>
      <c r="V800" t="s">
        <v>13338</v>
      </c>
      <c r="W800" t="s">
        <v>14127</v>
      </c>
      <c r="X800">
        <v>3</v>
      </c>
      <c r="Y800" t="s">
        <v>20732</v>
      </c>
      <c r="Z800" t="s">
        <v>27215</v>
      </c>
      <c r="AA800">
        <v>0.71511065764772708</v>
      </c>
      <c r="AB800" t="str">
        <f>HYPERLINK("Melting_Curves/meltCurve_G3XAI9_FAM133B.pdf", "Melting_Curves/meltCurve_G3XAI9_FAM133B.pdf")</f>
        <v>Melting_Curves/meltCurve_G3XAI9_FAM133B.pdf</v>
      </c>
    </row>
    <row r="801" spans="1:28" x14ac:dyDescent="0.25">
      <c r="A801" t="s">
        <v>805</v>
      </c>
      <c r="B801">
        <v>0.99193492352474899</v>
      </c>
      <c r="C801">
        <v>0.90859037973780599</v>
      </c>
      <c r="D801">
        <v>0.83962415350825503</v>
      </c>
      <c r="E801">
        <v>0.60155067609988599</v>
      </c>
      <c r="F801">
        <v>0.220848783222549</v>
      </c>
      <c r="G801">
        <v>0.20525091578017299</v>
      </c>
      <c r="H801">
        <v>0.118800052955133</v>
      </c>
      <c r="I801">
        <v>0.177376922654084</v>
      </c>
      <c r="J801">
        <v>0.152015631739916</v>
      </c>
      <c r="K801">
        <v>0.18018208259859</v>
      </c>
      <c r="L801">
        <v>1120.6910487012999</v>
      </c>
      <c r="M801">
        <v>22.718774798355501</v>
      </c>
      <c r="N801">
        <v>50.105317181939199</v>
      </c>
      <c r="O801">
        <v>48.951448263492701</v>
      </c>
      <c r="P801">
        <v>-9.8812860017897297E-2</v>
      </c>
      <c r="Q801">
        <v>0.14838092375550499</v>
      </c>
      <c r="R801">
        <v>0.98666380073967497</v>
      </c>
      <c r="S801" t="s">
        <v>7471</v>
      </c>
      <c r="T801" t="s">
        <v>13338</v>
      </c>
      <c r="U801" t="s">
        <v>13338</v>
      </c>
      <c r="V801" t="s">
        <v>13338</v>
      </c>
      <c r="W801" t="s">
        <v>14128</v>
      </c>
      <c r="X801">
        <v>2</v>
      </c>
      <c r="Y801" t="s">
        <v>20733</v>
      </c>
      <c r="Z801" t="s">
        <v>27216</v>
      </c>
      <c r="AA801">
        <v>0.42239658864930513</v>
      </c>
      <c r="AB801" t="str">
        <f>HYPERLINK("Melting_Curves/meltCurve_G3XAN4_TRAM1.pdf", "Melting_Curves/meltCurve_G3XAN4_TRAM1.pdf")</f>
        <v>Melting_Curves/meltCurve_G3XAN4_TRAM1.pdf</v>
      </c>
    </row>
    <row r="802" spans="1:28" x14ac:dyDescent="0.25">
      <c r="A802" t="s">
        <v>806</v>
      </c>
      <c r="B802">
        <v>0.99193492352474899</v>
      </c>
      <c r="C802">
        <v>0.91898060207170196</v>
      </c>
      <c r="D802">
        <v>0.89300086403368595</v>
      </c>
      <c r="E802">
        <v>0.86378527728930499</v>
      </c>
      <c r="F802">
        <v>0.68146275985568805</v>
      </c>
      <c r="G802">
        <v>0.57008368483661298</v>
      </c>
      <c r="H802">
        <v>0.44625076946116399</v>
      </c>
      <c r="I802">
        <v>0.58103641268669204</v>
      </c>
      <c r="J802">
        <v>0.54697857987299503</v>
      </c>
      <c r="K802">
        <v>0.68211550559719303</v>
      </c>
      <c r="L802">
        <v>1012.41041119021</v>
      </c>
      <c r="M802">
        <v>20.0672819235721</v>
      </c>
      <c r="O802">
        <v>49.957809711884302</v>
      </c>
      <c r="P802">
        <v>-4.4529745138902198E-2</v>
      </c>
      <c r="Q802">
        <v>0.55658427669431498</v>
      </c>
      <c r="R802">
        <v>0.86648982572472699</v>
      </c>
      <c r="S802" t="s">
        <v>7472</v>
      </c>
      <c r="T802" t="s">
        <v>13338</v>
      </c>
      <c r="U802" t="s">
        <v>13338</v>
      </c>
      <c r="V802" t="s">
        <v>13338</v>
      </c>
      <c r="W802" t="s">
        <v>14129</v>
      </c>
      <c r="X802">
        <v>4</v>
      </c>
      <c r="Y802" t="s">
        <v>20734</v>
      </c>
      <c r="Z802" t="s">
        <v>27217</v>
      </c>
      <c r="AA802">
        <v>0.71717693039774888</v>
      </c>
      <c r="AB802" t="str">
        <f>HYPERLINK("Melting_Curves/meltCurve_G3XAN8_TIMM8B.pdf", "Melting_Curves/meltCurve_G3XAN8_TIMM8B.pdf")</f>
        <v>Melting_Curves/meltCurve_G3XAN8_TIMM8B.pdf</v>
      </c>
    </row>
    <row r="803" spans="1:28" x14ac:dyDescent="0.25">
      <c r="A803" t="s">
        <v>807</v>
      </c>
      <c r="B803">
        <v>0.99193492352474899</v>
      </c>
      <c r="C803">
        <v>0.90614779089715802</v>
      </c>
      <c r="D803">
        <v>0.89597947801229805</v>
      </c>
      <c r="E803">
        <v>0.619548433686399</v>
      </c>
      <c r="F803">
        <v>0.295249789709565</v>
      </c>
      <c r="G803">
        <v>0.14476046747072399</v>
      </c>
      <c r="H803">
        <v>8.31911618975162E-2</v>
      </c>
      <c r="I803">
        <v>0.104588817624845</v>
      </c>
      <c r="J803">
        <v>0.123691920657648</v>
      </c>
      <c r="K803">
        <v>0.13308321766662501</v>
      </c>
      <c r="L803">
        <v>1122.2824797410401</v>
      </c>
      <c r="M803">
        <v>22.377689980801101</v>
      </c>
      <c r="N803">
        <v>50.662035420550801</v>
      </c>
      <c r="O803">
        <v>49.756494077315701</v>
      </c>
      <c r="P803">
        <v>-0.101095380921062</v>
      </c>
      <c r="Q803">
        <v>0.100881850024039</v>
      </c>
      <c r="R803">
        <v>0.993454085368211</v>
      </c>
      <c r="S803" t="s">
        <v>7473</v>
      </c>
      <c r="T803" t="s">
        <v>13338</v>
      </c>
      <c r="U803" t="s">
        <v>13338</v>
      </c>
      <c r="V803" t="s">
        <v>13338</v>
      </c>
      <c r="W803" t="s">
        <v>14130</v>
      </c>
      <c r="X803">
        <v>9</v>
      </c>
      <c r="Y803" t="s">
        <v>20735</v>
      </c>
      <c r="Z803" t="s">
        <v>27218</v>
      </c>
      <c r="AA803">
        <v>0.41517629017463997</v>
      </c>
      <c r="AB803" t="str">
        <f>HYPERLINK("Melting_Curves/meltCurve_G3XAP3_ABCB8.pdf", "Melting_Curves/meltCurve_G3XAP3_ABCB8.pdf")</f>
        <v>Melting_Curves/meltCurve_G3XAP3_ABCB8.pdf</v>
      </c>
    </row>
    <row r="804" spans="1:28" x14ac:dyDescent="0.25">
      <c r="A804" t="s">
        <v>808</v>
      </c>
      <c r="B804">
        <v>0.99193492352474899</v>
      </c>
      <c r="C804">
        <v>0.753667427464769</v>
      </c>
      <c r="D804">
        <v>0.74531003854344902</v>
      </c>
      <c r="E804">
        <v>0.47511237175500398</v>
      </c>
      <c r="F804">
        <v>0.39427550650101301</v>
      </c>
      <c r="G804">
        <v>0.208454946364834</v>
      </c>
      <c r="H804">
        <v>0.14369201173059801</v>
      </c>
      <c r="I804">
        <v>0.145404312933097</v>
      </c>
      <c r="J804">
        <v>0.170114373826596</v>
      </c>
      <c r="K804">
        <v>0.19480527446361801</v>
      </c>
      <c r="L804">
        <v>593.80999234524097</v>
      </c>
      <c r="M804">
        <v>12.293163968412999</v>
      </c>
      <c r="N804">
        <v>49.484502801851299</v>
      </c>
      <c r="O804">
        <v>47.079217557884498</v>
      </c>
      <c r="P804">
        <v>-5.6995943365980899E-2</v>
      </c>
      <c r="Q804">
        <v>0.12708053770803901</v>
      </c>
      <c r="R804">
        <v>0.97129816193138896</v>
      </c>
      <c r="S804" t="s">
        <v>7474</v>
      </c>
      <c r="T804" t="s">
        <v>13338</v>
      </c>
      <c r="U804" t="s">
        <v>13338</v>
      </c>
      <c r="V804" t="s">
        <v>13338</v>
      </c>
      <c r="W804" t="s">
        <v>14131</v>
      </c>
      <c r="X804">
        <v>4</v>
      </c>
      <c r="Y804" t="s">
        <v>20736</v>
      </c>
      <c r="Z804" t="s">
        <v>27219</v>
      </c>
      <c r="AA804">
        <v>0.40080903438205778</v>
      </c>
      <c r="AB804" t="str">
        <f>HYPERLINK("Melting_Curves/meltCurve_G5E933_SBF1.pdf", "Melting_Curves/meltCurve_G5E933_SBF1.pdf")</f>
        <v>Melting_Curves/meltCurve_G5E933_SBF1.pdf</v>
      </c>
    </row>
    <row r="805" spans="1:28" x14ac:dyDescent="0.25">
      <c r="A805" t="s">
        <v>809</v>
      </c>
      <c r="B805">
        <v>0.99193492352474899</v>
      </c>
      <c r="C805">
        <v>1.0039555803318001</v>
      </c>
      <c r="D805">
        <v>1.0682204602113601</v>
      </c>
      <c r="E805">
        <v>0.66490233720095304</v>
      </c>
      <c r="F805">
        <v>0.267099812806399</v>
      </c>
      <c r="G805">
        <v>0.112490370885391</v>
      </c>
      <c r="H805">
        <v>7.4815431608604599E-2</v>
      </c>
      <c r="I805">
        <v>7.2315616012755601E-2</v>
      </c>
      <c r="J805">
        <v>7.9785049473426697E-2</v>
      </c>
      <c r="K805">
        <v>0.10732264673019599</v>
      </c>
      <c r="L805">
        <v>1688.7276290822799</v>
      </c>
      <c r="M805">
        <v>33.348849300287597</v>
      </c>
      <c r="N805">
        <v>50.929475019302998</v>
      </c>
      <c r="O805">
        <v>50.457215186704602</v>
      </c>
      <c r="P805">
        <v>-0.15089075874041499</v>
      </c>
      <c r="Q805">
        <v>8.6805702745209795E-2</v>
      </c>
      <c r="R805">
        <v>0.99266062249090004</v>
      </c>
      <c r="S805" t="s">
        <v>7475</v>
      </c>
      <c r="T805" t="s">
        <v>13338</v>
      </c>
      <c r="U805" t="s">
        <v>13338</v>
      </c>
      <c r="V805" t="s">
        <v>13338</v>
      </c>
      <c r="W805" t="s">
        <v>13751</v>
      </c>
      <c r="X805">
        <v>24</v>
      </c>
      <c r="Y805" t="s">
        <v>20356</v>
      </c>
      <c r="Z805" t="s">
        <v>27220</v>
      </c>
      <c r="AA805">
        <v>0.41524462497214037</v>
      </c>
      <c r="AB805" t="str">
        <f>HYPERLINK("Melting_Curves/meltCurve_G5E948_MAP4K4.pdf", "Melting_Curves/meltCurve_G5E948_MAP4K4.pdf")</f>
        <v>Melting_Curves/meltCurve_G5E948_MAP4K4.pdf</v>
      </c>
    </row>
    <row r="806" spans="1:28" x14ac:dyDescent="0.25">
      <c r="A806" t="s">
        <v>810</v>
      </c>
      <c r="B806">
        <v>0.99193492352474899</v>
      </c>
      <c r="C806">
        <v>1.0379094124719099</v>
      </c>
      <c r="D806">
        <v>0.91070899589790899</v>
      </c>
      <c r="E806">
        <v>0.82481762032819395</v>
      </c>
      <c r="F806">
        <v>0.54587743881692097</v>
      </c>
      <c r="G806">
        <v>0.547518674911046</v>
      </c>
      <c r="H806">
        <v>0.35544532821879199</v>
      </c>
      <c r="I806">
        <v>0.35038274184298801</v>
      </c>
      <c r="J806">
        <v>0.339945560367997</v>
      </c>
      <c r="K806">
        <v>0.34408213497118401</v>
      </c>
      <c r="L806">
        <v>856.75835041033804</v>
      </c>
      <c r="M806">
        <v>16.428785937623399</v>
      </c>
      <c r="N806">
        <v>55.765980257935297</v>
      </c>
      <c r="O806">
        <v>51.395528550038897</v>
      </c>
      <c r="P806">
        <v>-5.37302497185028E-2</v>
      </c>
      <c r="Q806">
        <v>0.327692414464757</v>
      </c>
      <c r="R806">
        <v>0.97833132769088804</v>
      </c>
      <c r="S806" t="s">
        <v>7476</v>
      </c>
      <c r="T806" t="s">
        <v>13338</v>
      </c>
      <c r="U806" t="s">
        <v>13338</v>
      </c>
      <c r="V806" t="s">
        <v>13338</v>
      </c>
      <c r="W806" t="s">
        <v>14132</v>
      </c>
      <c r="X806">
        <v>3</v>
      </c>
      <c r="Y806" t="s">
        <v>20737</v>
      </c>
      <c r="Z806" t="s">
        <v>27221</v>
      </c>
      <c r="AA806">
        <v>0.61295031707117897</v>
      </c>
      <c r="AB806" t="str">
        <f>HYPERLINK("Melting_Curves/meltCurve_G5E994_GPR107.pdf", "Melting_Curves/meltCurve_G5E994_GPR107.pdf")</f>
        <v>Melting_Curves/meltCurve_G5E994_GPR107.pdf</v>
      </c>
    </row>
    <row r="807" spans="1:28" x14ac:dyDescent="0.25">
      <c r="A807" t="s">
        <v>811</v>
      </c>
      <c r="B807">
        <v>0.99193492352474899</v>
      </c>
      <c r="C807">
        <v>0.59012335714638298</v>
      </c>
      <c r="D807">
        <v>0.323840231852913</v>
      </c>
      <c r="E807">
        <v>0.21469117608164501</v>
      </c>
      <c r="F807">
        <v>0.16323886520779299</v>
      </c>
      <c r="G807">
        <v>0.103298768359065</v>
      </c>
      <c r="H807">
        <v>6.4078537523313397E-2</v>
      </c>
      <c r="I807">
        <v>5.62850259752634E-2</v>
      </c>
      <c r="J807">
        <v>6.9831866205724805E-2</v>
      </c>
      <c r="K807">
        <v>6.3932665836858193E-2</v>
      </c>
      <c r="L807">
        <v>947.20979479545804</v>
      </c>
      <c r="M807">
        <v>21.6165477969591</v>
      </c>
      <c r="N807">
        <v>44.215032591515303</v>
      </c>
      <c r="O807">
        <v>43.448900813859701</v>
      </c>
      <c r="P807">
        <v>-0.113428170735922</v>
      </c>
      <c r="Q807">
        <v>8.8066895502158002E-2</v>
      </c>
      <c r="R807">
        <v>0.97424440301605997</v>
      </c>
      <c r="S807" t="s">
        <v>7477</v>
      </c>
      <c r="T807" t="s">
        <v>13338</v>
      </c>
      <c r="U807" t="s">
        <v>13338</v>
      </c>
      <c r="V807" t="s">
        <v>13338</v>
      </c>
      <c r="W807" t="s">
        <v>13566</v>
      </c>
      <c r="X807">
        <v>17</v>
      </c>
      <c r="Y807" t="s">
        <v>20738</v>
      </c>
      <c r="Z807" t="s">
        <v>27222</v>
      </c>
      <c r="AA807">
        <v>0.21942972981542749</v>
      </c>
      <c r="AB807" t="str">
        <f>HYPERLINK("Melting_Curves/meltCurve_G5E9A6_USP11.pdf", "Melting_Curves/meltCurve_G5E9A6_USP11.pdf")</f>
        <v>Melting_Curves/meltCurve_G5E9A6_USP11.pdf</v>
      </c>
    </row>
    <row r="808" spans="1:28" x14ac:dyDescent="0.25">
      <c r="A808" t="s">
        <v>812</v>
      </c>
      <c r="B808">
        <v>0.99193492352474899</v>
      </c>
      <c r="C808">
        <v>0.67120485723794598</v>
      </c>
      <c r="D808">
        <v>0.59153251573806098</v>
      </c>
      <c r="E808">
        <v>0.35247828260859898</v>
      </c>
      <c r="F808">
        <v>0.18945578907237501</v>
      </c>
      <c r="G808">
        <v>0.112834695070149</v>
      </c>
      <c r="H808">
        <v>8.5133793760585497E-2</v>
      </c>
      <c r="I808">
        <v>9.4580544721392504E-2</v>
      </c>
      <c r="J808">
        <v>9.5481452162317695E-2</v>
      </c>
      <c r="K808">
        <v>9.9101369827233499E-2</v>
      </c>
      <c r="L808">
        <v>651.54006702723802</v>
      </c>
      <c r="M808">
        <v>14.088637395531601</v>
      </c>
      <c r="N808">
        <v>46.771591881946001</v>
      </c>
      <c r="O808">
        <v>45.343984419210699</v>
      </c>
      <c r="P808">
        <v>-7.1996772308076398E-2</v>
      </c>
      <c r="Q808">
        <v>7.3239571230910697E-2</v>
      </c>
      <c r="R808">
        <v>0.97824422234405395</v>
      </c>
      <c r="S808" t="s">
        <v>7478</v>
      </c>
      <c r="T808" t="s">
        <v>13338</v>
      </c>
      <c r="U808" t="s">
        <v>13338</v>
      </c>
      <c r="V808" t="s">
        <v>13338</v>
      </c>
      <c r="W808" t="s">
        <v>14133</v>
      </c>
      <c r="X808">
        <v>3</v>
      </c>
      <c r="Y808" t="s">
        <v>20739</v>
      </c>
      <c r="Z808" t="s">
        <v>27223</v>
      </c>
      <c r="AA808">
        <v>0.29639252685714901</v>
      </c>
      <c r="AB808" t="str">
        <f>HYPERLINK("Melting_Curves/meltCurve_G5E9F3_CABIN1.pdf", "Melting_Curves/meltCurve_G5E9F3_CABIN1.pdf")</f>
        <v>Melting_Curves/meltCurve_G5E9F3_CABIN1.pdf</v>
      </c>
    </row>
    <row r="809" spans="1:28" x14ac:dyDescent="0.25">
      <c r="A809" t="s">
        <v>813</v>
      </c>
      <c r="B809">
        <v>0.99193492352474899</v>
      </c>
      <c r="C809">
        <v>0.579063205467098</v>
      </c>
      <c r="D809">
        <v>0.67721120546564695</v>
      </c>
      <c r="E809">
        <v>0.29462512071861102</v>
      </c>
      <c r="F809">
        <v>0.192174659855782</v>
      </c>
      <c r="G809">
        <v>0.160049924309207</v>
      </c>
      <c r="H809">
        <v>0.10563325158628099</v>
      </c>
      <c r="I809">
        <v>0.16445286540993201</v>
      </c>
      <c r="J809">
        <v>9.6383176901159107E-2</v>
      </c>
      <c r="K809">
        <v>9.2145269880372097E-2</v>
      </c>
      <c r="L809">
        <v>619.54492694049702</v>
      </c>
      <c r="M809">
        <v>13.489964050058999</v>
      </c>
      <c r="N809">
        <v>46.6344384941264</v>
      </c>
      <c r="O809">
        <v>44.952376249452499</v>
      </c>
      <c r="P809">
        <v>-6.8086460409756397E-2</v>
      </c>
      <c r="Q809">
        <v>9.2605719644067302E-2</v>
      </c>
      <c r="R809">
        <v>0.92730000587913497</v>
      </c>
      <c r="S809" t="s">
        <v>7479</v>
      </c>
      <c r="T809" t="s">
        <v>13338</v>
      </c>
      <c r="U809" t="s">
        <v>13338</v>
      </c>
      <c r="V809" t="s">
        <v>13338</v>
      </c>
      <c r="W809" t="s">
        <v>14134</v>
      </c>
      <c r="X809">
        <v>6</v>
      </c>
      <c r="Y809" t="s">
        <v>20740</v>
      </c>
      <c r="Z809" t="s">
        <v>27224</v>
      </c>
      <c r="AA809">
        <v>0.30500898905103568</v>
      </c>
      <c r="AB809" t="str">
        <f>HYPERLINK("Melting_Curves/meltCurve_G5E9L8_ECT2.pdf", "Melting_Curves/meltCurve_G5E9L8_ECT2.pdf")</f>
        <v>Melting_Curves/meltCurve_G5E9L8_ECT2.pdf</v>
      </c>
    </row>
    <row r="810" spans="1:28" x14ac:dyDescent="0.25">
      <c r="A810" t="s">
        <v>814</v>
      </c>
      <c r="B810">
        <v>0.99193492352474899</v>
      </c>
      <c r="C810">
        <v>0.71114386479585301</v>
      </c>
      <c r="D810">
        <v>0.86278883184333899</v>
      </c>
      <c r="E810">
        <v>0.47560209142542598</v>
      </c>
      <c r="F810">
        <v>0.335709633138011</v>
      </c>
      <c r="G810">
        <v>0.197337996009255</v>
      </c>
      <c r="H810">
        <v>0.14320803480871799</v>
      </c>
      <c r="I810">
        <v>0.13534367743598</v>
      </c>
      <c r="J810">
        <v>0.20747275046813399</v>
      </c>
      <c r="K810">
        <v>0.176285512241494</v>
      </c>
      <c r="L810">
        <v>688.315135127502</v>
      </c>
      <c r="M810">
        <v>14.1817251846368</v>
      </c>
      <c r="N810">
        <v>49.639373201741499</v>
      </c>
      <c r="O810">
        <v>47.600887753704903</v>
      </c>
      <c r="P810">
        <v>-6.4416399078297201E-2</v>
      </c>
      <c r="Q810">
        <v>0.13525555676649001</v>
      </c>
      <c r="R810">
        <v>0.93858802838439404</v>
      </c>
      <c r="S810" t="s">
        <v>7480</v>
      </c>
      <c r="T810" t="s">
        <v>13338</v>
      </c>
      <c r="U810" t="s">
        <v>13338</v>
      </c>
      <c r="V810" t="s">
        <v>13338</v>
      </c>
      <c r="W810" t="s">
        <v>14135</v>
      </c>
      <c r="X810">
        <v>1</v>
      </c>
      <c r="Y810" t="s">
        <v>20741</v>
      </c>
      <c r="Z810" t="s">
        <v>27225</v>
      </c>
      <c r="AA810">
        <v>0.40547228754411829</v>
      </c>
      <c r="AB810" t="str">
        <f>HYPERLINK("Melting_Curves/meltCurve_G5E9W7_MRPS22.pdf", "Melting_Curves/meltCurve_G5E9W7_MRPS22.pdf")</f>
        <v>Melting_Curves/meltCurve_G5E9W7_MRPS22.pdf</v>
      </c>
    </row>
    <row r="811" spans="1:28" x14ac:dyDescent="0.25">
      <c r="A811" t="s">
        <v>815</v>
      </c>
      <c r="B811">
        <v>0.99193492352474899</v>
      </c>
      <c r="C811">
        <v>1.1341284104074001</v>
      </c>
      <c r="D811">
        <v>0.774074892859967</v>
      </c>
      <c r="E811">
        <v>0.77568709354055498</v>
      </c>
      <c r="F811">
        <v>0.29008889623452699</v>
      </c>
      <c r="G811">
        <v>0.14206196164054799</v>
      </c>
      <c r="H811">
        <v>0.10058544067149799</v>
      </c>
      <c r="I811">
        <v>0.10633365935274799</v>
      </c>
      <c r="J811">
        <v>8.9879239149019102E-2</v>
      </c>
      <c r="K811">
        <v>0.10134242441927301</v>
      </c>
      <c r="L811">
        <v>1281.3502099985101</v>
      </c>
      <c r="M811">
        <v>25.116272365779501</v>
      </c>
      <c r="N811">
        <v>51.411592843261701</v>
      </c>
      <c r="O811">
        <v>50.696622068083997</v>
      </c>
      <c r="P811">
        <v>-0.11299283323840301</v>
      </c>
      <c r="Q811">
        <v>8.7718241870059596E-2</v>
      </c>
      <c r="R811">
        <v>0.96417901680370999</v>
      </c>
      <c r="S811" t="s">
        <v>7481</v>
      </c>
      <c r="T811" t="s">
        <v>13338</v>
      </c>
      <c r="U811" t="s">
        <v>13338</v>
      </c>
      <c r="V811" t="s">
        <v>13338</v>
      </c>
      <c r="W811" t="s">
        <v>14136</v>
      </c>
      <c r="X811">
        <v>16</v>
      </c>
      <c r="Y811" t="s">
        <v>20742</v>
      </c>
      <c r="Z811" t="s">
        <v>27226</v>
      </c>
      <c r="AA811">
        <v>0.43089855936196692</v>
      </c>
      <c r="AB811" t="str">
        <f>HYPERLINK("Melting_Curves/meltCurve_G5E9W9_GIMAP4.pdf", "Melting_Curves/meltCurve_G5E9W9_GIMAP4.pdf")</f>
        <v>Melting_Curves/meltCurve_G5E9W9_GIMAP4.pdf</v>
      </c>
    </row>
    <row r="812" spans="1:28" x14ac:dyDescent="0.25">
      <c r="A812" t="s">
        <v>816</v>
      </c>
      <c r="B812">
        <v>0.99193492352474899</v>
      </c>
      <c r="C812">
        <v>0.54181947584621604</v>
      </c>
      <c r="D812">
        <v>0.87477541078154697</v>
      </c>
      <c r="E812">
        <v>0.37096598334370701</v>
      </c>
      <c r="F812">
        <v>0.36418073331105699</v>
      </c>
      <c r="G812">
        <v>0.23471517722889201</v>
      </c>
      <c r="H812">
        <v>0.193380580200261</v>
      </c>
      <c r="I812">
        <v>0.269041968975476</v>
      </c>
      <c r="J812">
        <v>0.38033377556215398</v>
      </c>
      <c r="K812">
        <v>0.36792265894391102</v>
      </c>
      <c r="L812">
        <v>628.76348914797404</v>
      </c>
      <c r="M812">
        <v>13.772474232620199</v>
      </c>
      <c r="N812">
        <v>48.434895084842701</v>
      </c>
      <c r="O812">
        <v>44.723412973483498</v>
      </c>
      <c r="P812">
        <v>-5.5956613090394298E-2</v>
      </c>
      <c r="Q812">
        <v>0.27326996506552498</v>
      </c>
      <c r="R812">
        <v>0.730264756354436</v>
      </c>
      <c r="S812" t="s">
        <v>7482</v>
      </c>
      <c r="T812" t="s">
        <v>13338</v>
      </c>
      <c r="U812" t="s">
        <v>13338</v>
      </c>
      <c r="V812" t="s">
        <v>13338</v>
      </c>
      <c r="W812" t="s">
        <v>14137</v>
      </c>
      <c r="X812">
        <v>1</v>
      </c>
      <c r="Y812" t="s">
        <v>20743</v>
      </c>
      <c r="Z812" t="s">
        <v>27227</v>
      </c>
      <c r="AA812">
        <v>0.43631840085776807</v>
      </c>
      <c r="AB812" t="str">
        <f>HYPERLINK("Melting_Curves/meltCurve_G5EA25_FAT3.pdf", "Melting_Curves/meltCurve_G5EA25_FAT3.pdf")</f>
        <v>Melting_Curves/meltCurve_G5EA25_FAT3.pdf</v>
      </c>
    </row>
    <row r="813" spans="1:28" x14ac:dyDescent="0.25">
      <c r="A813" t="s">
        <v>817</v>
      </c>
      <c r="B813">
        <v>0.99193492352474899</v>
      </c>
      <c r="C813">
        <v>0.69169952765402998</v>
      </c>
      <c r="D813">
        <v>0.58348852666902595</v>
      </c>
      <c r="E813">
        <v>0.225295309670003</v>
      </c>
      <c r="F813">
        <v>0.172408588806922</v>
      </c>
      <c r="G813">
        <v>8.9828450998995904E-2</v>
      </c>
      <c r="H813">
        <v>5.5336453344429701E-2</v>
      </c>
      <c r="I813">
        <v>5.0747443357410299E-2</v>
      </c>
      <c r="J813">
        <v>5.7623684730574699E-2</v>
      </c>
      <c r="K813">
        <v>5.8550564132382799E-2</v>
      </c>
      <c r="L813">
        <v>746.42036308279603</v>
      </c>
      <c r="M813">
        <v>16.236710828209802</v>
      </c>
      <c r="N813">
        <v>46.262575350819098</v>
      </c>
      <c r="O813">
        <v>45.290787810656603</v>
      </c>
      <c r="P813">
        <v>-8.5274336169078299E-2</v>
      </c>
      <c r="Q813">
        <v>4.8611263827706398E-2</v>
      </c>
      <c r="R813">
        <v>0.98187189691100196</v>
      </c>
      <c r="S813" t="s">
        <v>7483</v>
      </c>
      <c r="T813" t="s">
        <v>13338</v>
      </c>
      <c r="U813" t="s">
        <v>13338</v>
      </c>
      <c r="V813" t="s">
        <v>13338</v>
      </c>
      <c r="W813" t="s">
        <v>14138</v>
      </c>
      <c r="X813">
        <v>8</v>
      </c>
      <c r="Y813" t="s">
        <v>20744</v>
      </c>
      <c r="Z813" t="s">
        <v>27228</v>
      </c>
      <c r="AA813">
        <v>0.26148428240196608</v>
      </c>
      <c r="AB813" t="str">
        <f>HYPERLINK("Melting_Curves/meltCurve_G5EA30_CELF1.pdf", "Melting_Curves/meltCurve_G5EA30_CELF1.pdf")</f>
        <v>Melting_Curves/meltCurve_G5EA30_CELF1.pdf</v>
      </c>
    </row>
    <row r="814" spans="1:28" x14ac:dyDescent="0.25">
      <c r="A814" t="s">
        <v>818</v>
      </c>
      <c r="B814">
        <v>0.99193492352474899</v>
      </c>
      <c r="C814">
        <v>0.59589884015163397</v>
      </c>
      <c r="D814">
        <v>0.86080408042969403</v>
      </c>
      <c r="E814">
        <v>0.45851752774083898</v>
      </c>
      <c r="F814">
        <v>0.38437864434319002</v>
      </c>
      <c r="G814">
        <v>9.3028883790340494E-2</v>
      </c>
      <c r="H814">
        <v>5.6135355181501097E-2</v>
      </c>
      <c r="I814">
        <v>5.5024774593433003E-2</v>
      </c>
      <c r="J814">
        <v>6.1526903232914099E-2</v>
      </c>
      <c r="K814">
        <v>5.3228028584226497E-2</v>
      </c>
      <c r="L814">
        <v>554.45564857464001</v>
      </c>
      <c r="M814">
        <v>11.248263279725199</v>
      </c>
      <c r="N814">
        <v>49.292570287911197</v>
      </c>
      <c r="O814">
        <v>47.811618636816497</v>
      </c>
      <c r="P814">
        <v>-5.8833741265843002E-2</v>
      </c>
      <c r="Q814">
        <v>0</v>
      </c>
      <c r="R814">
        <v>0.90329162826132703</v>
      </c>
      <c r="S814" t="s">
        <v>7484</v>
      </c>
      <c r="T814" t="s">
        <v>13338</v>
      </c>
      <c r="U814" t="s">
        <v>13338</v>
      </c>
      <c r="V814" t="s">
        <v>13338</v>
      </c>
      <c r="W814" t="s">
        <v>14139</v>
      </c>
      <c r="X814">
        <v>10</v>
      </c>
      <c r="Y814" t="s">
        <v>20745</v>
      </c>
      <c r="Z814" t="s">
        <v>27229</v>
      </c>
      <c r="AA814">
        <v>0.34980686430575753</v>
      </c>
      <c r="AB814" t="str">
        <f>HYPERLINK("Melting_Curves/meltCurve_G5EA36_CDC27.pdf", "Melting_Curves/meltCurve_G5EA36_CDC27.pdf")</f>
        <v>Melting_Curves/meltCurve_G5EA36_CDC27.pdf</v>
      </c>
    </row>
    <row r="815" spans="1:28" x14ac:dyDescent="0.25">
      <c r="A815" t="s">
        <v>819</v>
      </c>
      <c r="B815">
        <v>0.99193492352474899</v>
      </c>
      <c r="C815">
        <v>1.0461463868724299</v>
      </c>
      <c r="D815">
        <v>0.86375282845879198</v>
      </c>
      <c r="E815">
        <v>0.50513517955653298</v>
      </c>
      <c r="F815">
        <v>0.26075676992305702</v>
      </c>
      <c r="G815">
        <v>0.13878924397230599</v>
      </c>
      <c r="H815">
        <v>7.78347673072841E-2</v>
      </c>
      <c r="I815">
        <v>9.7467725602406005E-2</v>
      </c>
      <c r="J815">
        <v>9.6866889549101595E-2</v>
      </c>
      <c r="K815">
        <v>0.100869300581414</v>
      </c>
      <c r="L815">
        <v>1184.8502939641301</v>
      </c>
      <c r="M815">
        <v>23.98899190265</v>
      </c>
      <c r="N815">
        <v>49.826898396291199</v>
      </c>
      <c r="O815">
        <v>49.052042717711103</v>
      </c>
      <c r="P815">
        <v>-0.110702389648102</v>
      </c>
      <c r="Q815">
        <v>9.4569539312824594E-2</v>
      </c>
      <c r="R815">
        <v>0.99530043330499596</v>
      </c>
      <c r="S815" t="s">
        <v>7485</v>
      </c>
      <c r="T815" t="s">
        <v>13338</v>
      </c>
      <c r="U815" t="s">
        <v>13338</v>
      </c>
      <c r="V815" t="s">
        <v>13338</v>
      </c>
      <c r="W815" t="s">
        <v>14140</v>
      </c>
      <c r="X815">
        <v>39</v>
      </c>
      <c r="Y815" t="s">
        <v>20746</v>
      </c>
      <c r="Z815" t="s">
        <v>27230</v>
      </c>
      <c r="AA815">
        <v>0.38676521410091769</v>
      </c>
      <c r="AB815" t="str">
        <f>HYPERLINK("Melting_Curves/meltCurve_G5EA52_PDIA3.pdf", "Melting_Curves/meltCurve_G5EA52_PDIA3.pdf")</f>
        <v>Melting_Curves/meltCurve_G5EA52_PDIA3.pdf</v>
      </c>
    </row>
    <row r="816" spans="1:28" x14ac:dyDescent="0.25">
      <c r="A816" t="s">
        <v>820</v>
      </c>
      <c r="B816">
        <v>0.99193492352474899</v>
      </c>
      <c r="C816">
        <v>0.49162363327099001</v>
      </c>
      <c r="D816">
        <v>0.25968465565002302</v>
      </c>
      <c r="E816">
        <v>0.28728475922182001</v>
      </c>
      <c r="F816">
        <v>0.104718164207711</v>
      </c>
      <c r="G816">
        <v>8.7160727688527298E-2</v>
      </c>
      <c r="H816">
        <v>5.7599282501907101E-2</v>
      </c>
      <c r="I816">
        <v>8.2763335688866402E-2</v>
      </c>
      <c r="J816">
        <v>7.2413490991578705E-2</v>
      </c>
      <c r="K816">
        <v>0.11366658052850701</v>
      </c>
      <c r="L816">
        <v>1222.31737089342</v>
      </c>
      <c r="M816">
        <v>28.4937179157914</v>
      </c>
      <c r="N816">
        <v>43.284728328837502</v>
      </c>
      <c r="O816">
        <v>42.688170936793298</v>
      </c>
      <c r="P816">
        <v>-0.14811065530853301</v>
      </c>
      <c r="Q816">
        <v>0.11243309365806101</v>
      </c>
      <c r="R816">
        <v>0.94241633828278804</v>
      </c>
      <c r="S816" t="s">
        <v>7486</v>
      </c>
      <c r="T816" t="s">
        <v>13338</v>
      </c>
      <c r="U816" t="s">
        <v>13338</v>
      </c>
      <c r="V816" t="s">
        <v>13338</v>
      </c>
      <c r="W816" t="s">
        <v>14141</v>
      </c>
      <c r="X816">
        <v>1</v>
      </c>
      <c r="Y816" t="s">
        <v>20747</v>
      </c>
      <c r="Z816" t="s">
        <v>27231</v>
      </c>
      <c r="AA816">
        <v>0.20774029370181321</v>
      </c>
      <c r="AB816" t="str">
        <f>HYPERLINK("Melting_Curves/meltCurve_G8JL98_TDG.pdf", "Melting_Curves/meltCurve_G8JL98_TDG.pdf")</f>
        <v>Melting_Curves/meltCurve_G8JL98_TDG.pdf</v>
      </c>
    </row>
    <row r="817" spans="1:28" x14ac:dyDescent="0.25">
      <c r="A817" t="s">
        <v>821</v>
      </c>
      <c r="B817">
        <v>0.99193492352474899</v>
      </c>
      <c r="C817">
        <v>1.01477536742936</v>
      </c>
      <c r="D817">
        <v>0.74232814516652001</v>
      </c>
      <c r="E817">
        <v>0.55245732894487798</v>
      </c>
      <c r="F817">
        <v>0.227501582991186</v>
      </c>
      <c r="G817">
        <v>0.12898085977144799</v>
      </c>
      <c r="H817">
        <v>8.9849817045509095E-2</v>
      </c>
      <c r="I817">
        <v>0.117562181972704</v>
      </c>
      <c r="J817">
        <v>0.13256240657143201</v>
      </c>
      <c r="K817">
        <v>0.17835954158543699</v>
      </c>
      <c r="L817">
        <v>1028.86211631167</v>
      </c>
      <c r="M817">
        <v>21.039409001105</v>
      </c>
      <c r="N817">
        <v>49.523390053788503</v>
      </c>
      <c r="O817">
        <v>48.466321309285902</v>
      </c>
      <c r="P817">
        <v>-9.5932547313788502E-2</v>
      </c>
      <c r="Q817">
        <v>0.116063940735275</v>
      </c>
      <c r="R817">
        <v>0.98464174921816805</v>
      </c>
      <c r="S817" t="s">
        <v>7487</v>
      </c>
      <c r="T817" t="s">
        <v>13338</v>
      </c>
      <c r="U817" t="s">
        <v>13338</v>
      </c>
      <c r="V817" t="s">
        <v>13338</v>
      </c>
      <c r="W817" t="s">
        <v>14142</v>
      </c>
      <c r="X817">
        <v>13</v>
      </c>
      <c r="Y817" t="s">
        <v>20748</v>
      </c>
      <c r="Z817" t="s">
        <v>27232</v>
      </c>
      <c r="AA817">
        <v>0.38951995028444469</v>
      </c>
      <c r="AB817" t="str">
        <f>HYPERLINK("Melting_Curves/meltCurve_G8JLA2_MYL6.pdf", "Melting_Curves/meltCurve_G8JLA2_MYL6.pdf")</f>
        <v>Melting_Curves/meltCurve_G8JLA2_MYL6.pdf</v>
      </c>
    </row>
    <row r="818" spans="1:28" x14ac:dyDescent="0.25">
      <c r="A818" t="s">
        <v>822</v>
      </c>
      <c r="B818">
        <v>0.99193492352474899</v>
      </c>
      <c r="C818">
        <v>0.757607001908566</v>
      </c>
      <c r="D818">
        <v>0.30083992600040299</v>
      </c>
      <c r="E818">
        <v>0.200791520817132</v>
      </c>
      <c r="F818">
        <v>0.13359983401787101</v>
      </c>
      <c r="G818">
        <v>8.1639024076054695E-2</v>
      </c>
      <c r="H818">
        <v>6.5799717162400004E-2</v>
      </c>
      <c r="I818">
        <v>7.9718713863971905E-2</v>
      </c>
      <c r="J818">
        <v>8.7088949238591298E-2</v>
      </c>
      <c r="K818">
        <v>9.5169913417153806E-2</v>
      </c>
      <c r="L818">
        <v>1314.6403410918099</v>
      </c>
      <c r="M818">
        <v>29.664112523091202</v>
      </c>
      <c r="N818">
        <v>44.642634967614697</v>
      </c>
      <c r="O818">
        <v>44.117586347910901</v>
      </c>
      <c r="P818">
        <v>-0.15176871758737501</v>
      </c>
      <c r="Q818">
        <v>9.7141337020430804E-2</v>
      </c>
      <c r="R818">
        <v>0.99122090336790403</v>
      </c>
      <c r="S818" t="s">
        <v>7488</v>
      </c>
      <c r="T818" t="s">
        <v>13338</v>
      </c>
      <c r="U818" t="s">
        <v>13338</v>
      </c>
      <c r="V818" t="s">
        <v>13338</v>
      </c>
      <c r="W818" t="s">
        <v>14143</v>
      </c>
      <c r="X818">
        <v>10</v>
      </c>
      <c r="Y818" t="s">
        <v>20749</v>
      </c>
      <c r="Z818" t="s">
        <v>27233</v>
      </c>
      <c r="AA818">
        <v>0.23352240026699089</v>
      </c>
      <c r="AB818" t="str">
        <f>HYPERLINK("Melting_Curves/meltCurve_G8JLB3_PUS1.pdf", "Melting_Curves/meltCurve_G8JLB3_PUS1.pdf")</f>
        <v>Melting_Curves/meltCurve_G8JLB3_PUS1.pdf</v>
      </c>
    </row>
    <row r="819" spans="1:28" x14ac:dyDescent="0.25">
      <c r="A819" t="s">
        <v>823</v>
      </c>
      <c r="B819">
        <v>0.99193492352474899</v>
      </c>
      <c r="C819">
        <v>0.64330420374407704</v>
      </c>
      <c r="D819">
        <v>0.57929991967116501</v>
      </c>
      <c r="E819">
        <v>0.22878633943305099</v>
      </c>
      <c r="F819">
        <v>0.17795096744248101</v>
      </c>
      <c r="G819">
        <v>9.5596548891505706E-2</v>
      </c>
      <c r="H819">
        <v>5.8880040656570397E-2</v>
      </c>
      <c r="I819">
        <v>6.9615140007985202E-2</v>
      </c>
      <c r="J819">
        <v>8.9511596926092299E-2</v>
      </c>
      <c r="K819">
        <v>7.3087548202758798E-2</v>
      </c>
      <c r="L819">
        <v>718.25367844043899</v>
      </c>
      <c r="M819">
        <v>15.739369183258701</v>
      </c>
      <c r="N819">
        <v>46.032573483791197</v>
      </c>
      <c r="O819">
        <v>44.916619074597001</v>
      </c>
      <c r="P819">
        <v>-8.2032510131845093E-2</v>
      </c>
      <c r="Q819">
        <v>6.3669409588002795E-2</v>
      </c>
      <c r="R819">
        <v>0.97091918405571398</v>
      </c>
      <c r="S819" t="s">
        <v>7489</v>
      </c>
      <c r="T819" t="s">
        <v>13338</v>
      </c>
      <c r="U819" t="s">
        <v>13338</v>
      </c>
      <c r="V819" t="s">
        <v>13338</v>
      </c>
      <c r="W819" t="s">
        <v>14144</v>
      </c>
      <c r="X819">
        <v>14</v>
      </c>
      <c r="Y819" t="s">
        <v>20750</v>
      </c>
      <c r="Z819" t="s">
        <v>27234</v>
      </c>
      <c r="AA819">
        <v>0.26500004285908008</v>
      </c>
      <c r="AB819" t="str">
        <f>HYPERLINK("Melting_Curves/meltCurve_G8JLB6_HNRNPH1.pdf", "Melting_Curves/meltCurve_G8JLB6_HNRNPH1.pdf")</f>
        <v>Melting_Curves/meltCurve_G8JLB6_HNRNPH1.pdf</v>
      </c>
    </row>
    <row r="820" spans="1:28" x14ac:dyDescent="0.25">
      <c r="A820" t="s">
        <v>824</v>
      </c>
      <c r="B820">
        <v>0.99193492352474899</v>
      </c>
      <c r="C820">
        <v>0.87287769768745804</v>
      </c>
      <c r="D820">
        <v>0.63118394617866702</v>
      </c>
      <c r="E820">
        <v>0.22537596388308001</v>
      </c>
      <c r="F820">
        <v>0.16064893908095301</v>
      </c>
      <c r="G820">
        <v>9.7561418620621898E-2</v>
      </c>
      <c r="H820">
        <v>5.9757670507710602E-2</v>
      </c>
      <c r="I820">
        <v>8.0480811612097497E-2</v>
      </c>
      <c r="J820">
        <v>9.2579056053741393E-2</v>
      </c>
      <c r="K820">
        <v>9.0892971221317106E-2</v>
      </c>
      <c r="L820">
        <v>1119.42716738423</v>
      </c>
      <c r="M820">
        <v>24.0370392338729</v>
      </c>
      <c r="N820">
        <v>46.928276500540903</v>
      </c>
      <c r="O820">
        <v>46.252200469368198</v>
      </c>
      <c r="P820">
        <v>-0.119060091372032</v>
      </c>
      <c r="Q820">
        <v>8.3630452843564296E-2</v>
      </c>
      <c r="R820">
        <v>0.99659241872932602</v>
      </c>
      <c r="S820" t="s">
        <v>7490</v>
      </c>
      <c r="T820" t="s">
        <v>13338</v>
      </c>
      <c r="U820" t="s">
        <v>13338</v>
      </c>
      <c r="V820" t="s">
        <v>13338</v>
      </c>
      <c r="W820" t="s">
        <v>14145</v>
      </c>
      <c r="X820">
        <v>7</v>
      </c>
      <c r="Y820" t="s">
        <v>20751</v>
      </c>
      <c r="Z820" t="s">
        <v>27235</v>
      </c>
      <c r="AA820">
        <v>0.29337892948300021</v>
      </c>
      <c r="AB820" t="str">
        <f>HYPERLINK("Melting_Curves/meltCurve_G8JLD3_ERC1.pdf", "Melting_Curves/meltCurve_G8JLD3_ERC1.pdf")</f>
        <v>Melting_Curves/meltCurve_G8JLD3_ERC1.pdf</v>
      </c>
    </row>
    <row r="821" spans="1:28" x14ac:dyDescent="0.25">
      <c r="A821" t="s">
        <v>825</v>
      </c>
      <c r="B821">
        <v>0.99193492352474899</v>
      </c>
      <c r="C821">
        <v>0.77390269314853299</v>
      </c>
      <c r="D821">
        <v>0.68329175094768302</v>
      </c>
      <c r="E821">
        <v>0.49493122716155202</v>
      </c>
      <c r="F821">
        <v>0.39820965076072901</v>
      </c>
      <c r="G821">
        <v>0.243461877954322</v>
      </c>
      <c r="H821">
        <v>0.15963802656902501</v>
      </c>
      <c r="I821">
        <v>0.13195977352115101</v>
      </c>
      <c r="J821">
        <v>0.18420106719482601</v>
      </c>
      <c r="K821">
        <v>0.140266032199165</v>
      </c>
      <c r="L821">
        <v>534.78791087142395</v>
      </c>
      <c r="M821">
        <v>11.016208384436499</v>
      </c>
      <c r="N821">
        <v>49.603652514252097</v>
      </c>
      <c r="O821">
        <v>47.028148382972098</v>
      </c>
      <c r="P821">
        <v>-5.2447376578711E-2</v>
      </c>
      <c r="Q821">
        <v>0.10470981708864099</v>
      </c>
      <c r="R821">
        <v>0.98354330881728302</v>
      </c>
      <c r="S821" t="s">
        <v>7491</v>
      </c>
      <c r="T821" t="s">
        <v>13338</v>
      </c>
      <c r="U821" t="s">
        <v>13338</v>
      </c>
      <c r="V821" t="s">
        <v>13338</v>
      </c>
      <c r="W821" t="s">
        <v>14146</v>
      </c>
      <c r="X821">
        <v>2</v>
      </c>
      <c r="Y821" t="s">
        <v>20752</v>
      </c>
      <c r="Z821" t="s">
        <v>27236</v>
      </c>
      <c r="AA821">
        <v>0.39875996459597568</v>
      </c>
      <c r="AB821" t="str">
        <f>HYPERLINK("Melting_Curves/meltCurve_G8JLH2_CDC25B.pdf", "Melting_Curves/meltCurve_G8JLH2_CDC25B.pdf")</f>
        <v>Melting_Curves/meltCurve_G8JLH2_CDC25B.pdf</v>
      </c>
    </row>
    <row r="822" spans="1:28" x14ac:dyDescent="0.25">
      <c r="A822" t="s">
        <v>826</v>
      </c>
      <c r="B822">
        <v>0.99193492352474899</v>
      </c>
      <c r="C822">
        <v>0.94123633614462499</v>
      </c>
      <c r="D822">
        <v>1.0349028293995299</v>
      </c>
      <c r="E822">
        <v>0.64449926276472003</v>
      </c>
      <c r="F822">
        <v>0.61212764132791098</v>
      </c>
      <c r="G822">
        <v>0.37600220117835997</v>
      </c>
      <c r="H822">
        <v>0.13405549089843499</v>
      </c>
      <c r="I822">
        <v>0.101073117830224</v>
      </c>
      <c r="J822">
        <v>0.12741102991898101</v>
      </c>
      <c r="K822">
        <v>6.5483549941885502E-2</v>
      </c>
      <c r="L822">
        <v>748.79073776020005</v>
      </c>
      <c r="M822">
        <v>13.9171438176335</v>
      </c>
      <c r="N822">
        <v>54.028620391869801</v>
      </c>
      <c r="O822">
        <v>52.729117076440097</v>
      </c>
      <c r="P822">
        <v>-6.4133930241802403E-2</v>
      </c>
      <c r="Q822">
        <v>2.81718394352088E-2</v>
      </c>
      <c r="R822">
        <v>0.97033205223956598</v>
      </c>
      <c r="S822" t="s">
        <v>7492</v>
      </c>
      <c r="T822" t="s">
        <v>13338</v>
      </c>
      <c r="U822" t="s">
        <v>13338</v>
      </c>
      <c r="V822" t="s">
        <v>13338</v>
      </c>
      <c r="W822" t="s">
        <v>14147</v>
      </c>
      <c r="X822">
        <v>2</v>
      </c>
      <c r="Y822" t="s">
        <v>20753</v>
      </c>
      <c r="Z822" t="s">
        <v>27237</v>
      </c>
      <c r="AA822">
        <v>0.49740010569439308</v>
      </c>
      <c r="AB822" t="str">
        <f>HYPERLINK("Melting_Curves/meltCurve_G8JLI5_WDR45.pdf", "Melting_Curves/meltCurve_G8JLI5_WDR45.pdf")</f>
        <v>Melting_Curves/meltCurve_G8JLI5_WDR45.pdf</v>
      </c>
    </row>
    <row r="823" spans="1:28" x14ac:dyDescent="0.25">
      <c r="A823" t="s">
        <v>827</v>
      </c>
      <c r="B823">
        <v>0.99193492352474899</v>
      </c>
      <c r="C823">
        <v>0.69511149680386397</v>
      </c>
      <c r="D823">
        <v>0.66469629717661705</v>
      </c>
      <c r="E823">
        <v>0.42487439045279202</v>
      </c>
      <c r="F823">
        <v>0.35054198544930798</v>
      </c>
      <c r="G823">
        <v>0.18790595461491999</v>
      </c>
      <c r="H823">
        <v>7.0300446255109894E-2</v>
      </c>
      <c r="I823">
        <v>6.0729025613086199E-2</v>
      </c>
      <c r="J823">
        <v>5.5201572335439202E-2</v>
      </c>
      <c r="K823">
        <v>3.2146929827628103E-2</v>
      </c>
      <c r="L823">
        <v>500.7364705096</v>
      </c>
      <c r="M823">
        <v>10.3112599694845</v>
      </c>
      <c r="N823">
        <v>48.562103311551802</v>
      </c>
      <c r="O823">
        <v>46.841995445640897</v>
      </c>
      <c r="P823">
        <v>-5.5055937807532103E-2</v>
      </c>
      <c r="Q823">
        <v>0</v>
      </c>
      <c r="R823">
        <v>0.97496090210652897</v>
      </c>
      <c r="S823" t="s">
        <v>7493</v>
      </c>
      <c r="T823" t="s">
        <v>13338</v>
      </c>
      <c r="U823" t="s">
        <v>13338</v>
      </c>
      <c r="V823" t="s">
        <v>13338</v>
      </c>
      <c r="W823" t="s">
        <v>14148</v>
      </c>
      <c r="X823">
        <v>1</v>
      </c>
      <c r="Y823" t="s">
        <v>20754</v>
      </c>
      <c r="Z823" t="s">
        <v>27238</v>
      </c>
      <c r="AA823">
        <v>0.33374984376843841</v>
      </c>
      <c r="AB823" t="str">
        <f>HYPERLINK("Melting_Curves/meltCurve_G8JLI6_LEPREL2.pdf", "Melting_Curves/meltCurve_G8JLI6_LEPREL2.pdf")</f>
        <v>Melting_Curves/meltCurve_G8JLI6_LEPREL2.pdf</v>
      </c>
    </row>
    <row r="824" spans="1:28" x14ac:dyDescent="0.25">
      <c r="A824" t="s">
        <v>828</v>
      </c>
      <c r="B824">
        <v>0.99193492352474899</v>
      </c>
      <c r="C824">
        <v>1.0639987221773399</v>
      </c>
      <c r="D824">
        <v>0.85020360983897103</v>
      </c>
      <c r="E824">
        <v>0.67285561021959095</v>
      </c>
      <c r="F824">
        <v>0.28494411694084898</v>
      </c>
      <c r="G824">
        <v>0.15926922891151499</v>
      </c>
      <c r="H824">
        <v>8.8520455756176605E-2</v>
      </c>
      <c r="I824">
        <v>0.11237030418748301</v>
      </c>
      <c r="J824">
        <v>0.121395314269095</v>
      </c>
      <c r="K824">
        <v>0.13749093318014399</v>
      </c>
      <c r="L824">
        <v>1225.8410832167899</v>
      </c>
      <c r="M824">
        <v>24.326020876729402</v>
      </c>
      <c r="N824">
        <v>50.900750499597301</v>
      </c>
      <c r="O824">
        <v>50.055336041848001</v>
      </c>
      <c r="P824">
        <v>-0.10838988678313299</v>
      </c>
      <c r="Q824">
        <v>0.10788357543564001</v>
      </c>
      <c r="R824">
        <v>0.99011798694349795</v>
      </c>
      <c r="S824" t="s">
        <v>7494</v>
      </c>
      <c r="T824" t="s">
        <v>13338</v>
      </c>
      <c r="U824" t="s">
        <v>13338</v>
      </c>
      <c r="V824" t="s">
        <v>13338</v>
      </c>
      <c r="W824" t="s">
        <v>14149</v>
      </c>
      <c r="X824">
        <v>29</v>
      </c>
      <c r="Y824" t="s">
        <v>20755</v>
      </c>
      <c r="Z824" t="s">
        <v>27239</v>
      </c>
      <c r="AA824">
        <v>0.42537175848102482</v>
      </c>
      <c r="AB824" t="str">
        <f>HYPERLINK("Melting_Curves/meltCurve_G8JLK4_TACC1.pdf", "Melting_Curves/meltCurve_G8JLK4_TACC1.pdf")</f>
        <v>Melting_Curves/meltCurve_G8JLK4_TACC1.pdf</v>
      </c>
    </row>
    <row r="825" spans="1:28" x14ac:dyDescent="0.25">
      <c r="A825" t="s">
        <v>829</v>
      </c>
      <c r="B825">
        <v>0.99193492352474899</v>
      </c>
      <c r="C825">
        <v>1.7591301620242801</v>
      </c>
      <c r="D825">
        <v>1.7290974478068499</v>
      </c>
      <c r="E825">
        <v>2.4930299340230402</v>
      </c>
      <c r="F825">
        <v>1.55919477405669</v>
      </c>
      <c r="G825">
        <v>1.24914815289959</v>
      </c>
      <c r="H825">
        <v>0.86898283250990305</v>
      </c>
      <c r="I825">
        <v>0.77378336403373005</v>
      </c>
      <c r="J825">
        <v>1.02647739468312</v>
      </c>
      <c r="K825">
        <v>0.99612585042844304</v>
      </c>
      <c r="L825">
        <v>10273.4423776531</v>
      </c>
      <c r="M825">
        <v>250</v>
      </c>
      <c r="O825">
        <v>41.091138445072602</v>
      </c>
      <c r="P825">
        <v>0.58389193424811703</v>
      </c>
      <c r="Q825">
        <v>1.38388456096018</v>
      </c>
      <c r="R825">
        <v>5.3295391770118702E-2</v>
      </c>
      <c r="S825" t="s">
        <v>7495</v>
      </c>
      <c r="T825" t="s">
        <v>13338</v>
      </c>
      <c r="U825" t="s">
        <v>13338</v>
      </c>
      <c r="V825" t="s">
        <v>13338</v>
      </c>
      <c r="W825" t="s">
        <v>14150</v>
      </c>
      <c r="X825">
        <v>1</v>
      </c>
      <c r="Y825" t="s">
        <v>20756</v>
      </c>
      <c r="Z825" t="s">
        <v>27240</v>
      </c>
      <c r="AA825">
        <v>1.3698587112786409</v>
      </c>
      <c r="AB825" t="str">
        <f>HYPERLINK("Melting_Curves/meltCurve_G8JLL1_CAPN14.pdf", "Melting_Curves/meltCurve_G8JLL1_CAPN14.pdf")</f>
        <v>Melting_Curves/meltCurve_G8JLL1_CAPN14.pdf</v>
      </c>
    </row>
    <row r="826" spans="1:28" x14ac:dyDescent="0.25">
      <c r="A826" t="s">
        <v>830</v>
      </c>
      <c r="B826">
        <v>0.99193492352474899</v>
      </c>
      <c r="C826">
        <v>0.79999116094042799</v>
      </c>
      <c r="D826">
        <v>1.0255368406504399</v>
      </c>
      <c r="E826">
        <v>0.80298983440233096</v>
      </c>
      <c r="F826">
        <v>0.85711375558867797</v>
      </c>
      <c r="G826">
        <v>0.44961636538011102</v>
      </c>
      <c r="H826">
        <v>0.157306504050825</v>
      </c>
      <c r="I826">
        <v>0.100248538013625</v>
      </c>
      <c r="J826">
        <v>0.126110686709344</v>
      </c>
      <c r="K826">
        <v>0.12155451647384199</v>
      </c>
      <c r="L826">
        <v>1450.5253618075401</v>
      </c>
      <c r="M826">
        <v>25.975847124869901</v>
      </c>
      <c r="N826">
        <v>56.284470701249603</v>
      </c>
      <c r="O826">
        <v>55.513509063456603</v>
      </c>
      <c r="P826">
        <v>-0.10616272104234201</v>
      </c>
      <c r="Q826">
        <v>9.2480486269914799E-2</v>
      </c>
      <c r="R826">
        <v>0.94668908360237103</v>
      </c>
      <c r="S826" t="s">
        <v>7496</v>
      </c>
      <c r="T826" t="s">
        <v>13338</v>
      </c>
      <c r="U826" t="s">
        <v>13338</v>
      </c>
      <c r="V826" t="s">
        <v>13338</v>
      </c>
      <c r="W826" t="s">
        <v>14151</v>
      </c>
      <c r="X826">
        <v>2</v>
      </c>
      <c r="Y826" t="s">
        <v>20757</v>
      </c>
      <c r="Z826" t="s">
        <v>27241</v>
      </c>
      <c r="AA826">
        <v>0.57951144810706701</v>
      </c>
      <c r="AB826" t="str">
        <f>HYPERLINK("Melting_Curves/meltCurve_G8JLL2_PPT2.pdf", "Melting_Curves/meltCurve_G8JLL2_PPT2.pdf")</f>
        <v>Melting_Curves/meltCurve_G8JLL2_PPT2.pdf</v>
      </c>
    </row>
    <row r="827" spans="1:28" x14ac:dyDescent="0.25">
      <c r="A827" t="s">
        <v>831</v>
      </c>
      <c r="B827">
        <v>0.99193492352474899</v>
      </c>
      <c r="C827">
        <v>0.96382067613689304</v>
      </c>
      <c r="D827">
        <v>1.0363063050842301</v>
      </c>
      <c r="E827">
        <v>0.59362406508237897</v>
      </c>
      <c r="F827">
        <v>0.35221506276197101</v>
      </c>
      <c r="G827">
        <v>0.269378173758548</v>
      </c>
      <c r="H827">
        <v>0.138986611436032</v>
      </c>
      <c r="I827">
        <v>0.10080323359191901</v>
      </c>
      <c r="J827">
        <v>0.15108439676933799</v>
      </c>
      <c r="K827">
        <v>0.12903352355463099</v>
      </c>
      <c r="L827">
        <v>1211.03725643139</v>
      </c>
      <c r="M827">
        <v>23.996941844340501</v>
      </c>
      <c r="N827">
        <v>51.171617380091703</v>
      </c>
      <c r="O827">
        <v>50.119772427972102</v>
      </c>
      <c r="P827">
        <v>-0.10284517158117901</v>
      </c>
      <c r="Q827">
        <v>0.14080802827525599</v>
      </c>
      <c r="R827">
        <v>0.98118879194132302</v>
      </c>
      <c r="S827" t="s">
        <v>7497</v>
      </c>
      <c r="T827" t="s">
        <v>13338</v>
      </c>
      <c r="U827" t="s">
        <v>13338</v>
      </c>
      <c r="V827" t="s">
        <v>13338</v>
      </c>
      <c r="W827" t="s">
        <v>14152</v>
      </c>
      <c r="X827">
        <v>3</v>
      </c>
      <c r="Y827" t="s">
        <v>20758</v>
      </c>
      <c r="Z827" t="s">
        <v>27242</v>
      </c>
      <c r="AA827">
        <v>0.44893112855125572</v>
      </c>
      <c r="AB827" t="str">
        <f>HYPERLINK("Melting_Curves/meltCurve_G8JLL7_MVB12B.pdf", "Melting_Curves/meltCurve_G8JLL7_MVB12B.pdf")</f>
        <v>Melting_Curves/meltCurve_G8JLL7_MVB12B.pdf</v>
      </c>
    </row>
    <row r="828" spans="1:28" x14ac:dyDescent="0.25">
      <c r="A828" t="s">
        <v>832</v>
      </c>
      <c r="B828">
        <v>0.99193492352474899</v>
      </c>
      <c r="C828">
        <v>0.74325950344020797</v>
      </c>
      <c r="D828">
        <v>0.71213448530936296</v>
      </c>
      <c r="E828">
        <v>0.278163406184884</v>
      </c>
      <c r="F828">
        <v>0.140886383460678</v>
      </c>
      <c r="G828">
        <v>7.7356975960459706E-2</v>
      </c>
      <c r="H828">
        <v>4.7100078848100697E-2</v>
      </c>
      <c r="I828">
        <v>5.2351938478615002E-2</v>
      </c>
      <c r="J828">
        <v>7.6424739035131195E-2</v>
      </c>
      <c r="K828">
        <v>6.0903612850575599E-2</v>
      </c>
      <c r="L828">
        <v>834.76447894393903</v>
      </c>
      <c r="M828">
        <v>17.7449387724537</v>
      </c>
      <c r="N828">
        <v>47.290165083255999</v>
      </c>
      <c r="O828">
        <v>46.4571636242068</v>
      </c>
      <c r="P828">
        <v>-9.1256894562073601E-2</v>
      </c>
      <c r="Q828">
        <v>4.4388878913695903E-2</v>
      </c>
      <c r="R828">
        <v>0.97797970997688999</v>
      </c>
      <c r="S828" t="s">
        <v>7498</v>
      </c>
      <c r="T828" t="s">
        <v>13338</v>
      </c>
      <c r="U828" t="s">
        <v>13338</v>
      </c>
      <c r="V828" t="s">
        <v>13338</v>
      </c>
      <c r="W828" t="s">
        <v>14153</v>
      </c>
      <c r="X828">
        <v>8</v>
      </c>
      <c r="Y828" t="s">
        <v>20759</v>
      </c>
      <c r="Z828" t="s">
        <v>27243</v>
      </c>
      <c r="AA828">
        <v>0.28686283483540398</v>
      </c>
      <c r="AB828" t="str">
        <f>HYPERLINK("Melting_Curves/meltCurve_H0UI80_TH1L.pdf", "Melting_Curves/meltCurve_H0UI80_TH1L.pdf")</f>
        <v>Melting_Curves/meltCurve_H0UI80_TH1L.pdf</v>
      </c>
    </row>
    <row r="829" spans="1:28" x14ac:dyDescent="0.25">
      <c r="A829" t="s">
        <v>833</v>
      </c>
      <c r="B829">
        <v>0.99193492352474899</v>
      </c>
      <c r="C829">
        <v>0.80126605328973799</v>
      </c>
      <c r="D829">
        <v>0.90119701693312204</v>
      </c>
      <c r="E829">
        <v>0.592672847820642</v>
      </c>
      <c r="F829">
        <v>0.54060778620384597</v>
      </c>
      <c r="G829">
        <v>0.25985325089816602</v>
      </c>
      <c r="H829">
        <v>0.121389496034042</v>
      </c>
      <c r="I829">
        <v>0.106473573607601</v>
      </c>
      <c r="J829">
        <v>0.12865091978110599</v>
      </c>
      <c r="K829">
        <v>8.5776330324493194E-2</v>
      </c>
      <c r="L829">
        <v>591.34319458251798</v>
      </c>
      <c r="M829">
        <v>11.346145758110399</v>
      </c>
      <c r="N829">
        <v>52.278160366760901</v>
      </c>
      <c r="O829">
        <v>50.578177485416802</v>
      </c>
      <c r="P829">
        <v>-5.5143171375217098E-2</v>
      </c>
      <c r="Q829">
        <v>1.70384193108623E-2</v>
      </c>
      <c r="R829">
        <v>0.96642046122816105</v>
      </c>
      <c r="S829" t="s">
        <v>7499</v>
      </c>
      <c r="T829" t="s">
        <v>13338</v>
      </c>
      <c r="U829" t="s">
        <v>13338</v>
      </c>
      <c r="V829" t="s">
        <v>13338</v>
      </c>
      <c r="W829" t="s">
        <v>14154</v>
      </c>
      <c r="X829">
        <v>5</v>
      </c>
      <c r="Y829" t="s">
        <v>20760</v>
      </c>
      <c r="Z829" t="s">
        <v>27244</v>
      </c>
      <c r="AA829">
        <v>0.44608033801129238</v>
      </c>
      <c r="AB829" t="str">
        <f>HYPERLINK("Melting_Curves/meltCurve_H0Y2P9_PIGX.pdf", "Melting_Curves/meltCurve_H0Y2P9_PIGX.pdf")</f>
        <v>Melting_Curves/meltCurve_H0Y2P9_PIGX.pdf</v>
      </c>
    </row>
    <row r="830" spans="1:28" x14ac:dyDescent="0.25">
      <c r="A830" t="s">
        <v>834</v>
      </c>
      <c r="B830">
        <v>0.99193492352474899</v>
      </c>
      <c r="C830">
        <v>0.74458094858781898</v>
      </c>
      <c r="D830">
        <v>0.47542514090951599</v>
      </c>
      <c r="E830">
        <v>0.345807138937681</v>
      </c>
      <c r="F830">
        <v>0.189240787930224</v>
      </c>
      <c r="G830">
        <v>0.15273733803136</v>
      </c>
      <c r="H830">
        <v>0.146244857195441</v>
      </c>
      <c r="I830">
        <v>0.22633208742296801</v>
      </c>
      <c r="J830">
        <v>0.34996454292804202</v>
      </c>
      <c r="K830">
        <v>0.266747922175811</v>
      </c>
      <c r="L830">
        <v>1029.8398840581201</v>
      </c>
      <c r="M830">
        <v>23.136173092865398</v>
      </c>
      <c r="N830">
        <v>45.697058840284399</v>
      </c>
      <c r="O830">
        <v>44.183569994426598</v>
      </c>
      <c r="P830">
        <v>-0.101381276485609</v>
      </c>
      <c r="Q830">
        <v>0.22557551646656501</v>
      </c>
      <c r="R830">
        <v>0.94510272098563597</v>
      </c>
      <c r="S830" t="s">
        <v>7500</v>
      </c>
      <c r="T830" t="s">
        <v>13338</v>
      </c>
      <c r="U830" t="s">
        <v>13338</v>
      </c>
      <c r="V830" t="s">
        <v>13338</v>
      </c>
      <c r="W830" t="s">
        <v>14155</v>
      </c>
      <c r="X830">
        <v>2</v>
      </c>
      <c r="Y830" t="s">
        <v>20761</v>
      </c>
      <c r="Z830" t="s">
        <v>27245</v>
      </c>
      <c r="AA830">
        <v>0.35192066466717209</v>
      </c>
      <c r="AB830" t="str">
        <f>HYPERLINK("Melting_Curves/meltCurve_H0Y322_LIN9.pdf", "Melting_Curves/meltCurve_H0Y322_LIN9.pdf")</f>
        <v>Melting_Curves/meltCurve_H0Y322_LIN9.pdf</v>
      </c>
    </row>
    <row r="831" spans="1:28" x14ac:dyDescent="0.25">
      <c r="A831" t="s">
        <v>835</v>
      </c>
      <c r="B831">
        <v>0.99193492352474899</v>
      </c>
      <c r="C831">
        <v>1.05642402784124</v>
      </c>
      <c r="D831">
        <v>0.81477772164399898</v>
      </c>
      <c r="E831">
        <v>0.55333709637015505</v>
      </c>
      <c r="F831">
        <v>0.32032334932319001</v>
      </c>
      <c r="G831">
        <v>8.9940510796474596E-2</v>
      </c>
      <c r="H831">
        <v>3.2521540913308597E-2</v>
      </c>
      <c r="I831">
        <v>6.0071970079447298E-2</v>
      </c>
      <c r="J831">
        <v>7.7793329929284297E-2</v>
      </c>
      <c r="K831">
        <v>8.1068108645939801E-2</v>
      </c>
      <c r="L831">
        <v>997.13952027664095</v>
      </c>
      <c r="M831">
        <v>19.941056057803799</v>
      </c>
      <c r="N831">
        <v>50.268443896610997</v>
      </c>
      <c r="O831">
        <v>49.509618157809001</v>
      </c>
      <c r="P831">
        <v>-9.5688374804108897E-2</v>
      </c>
      <c r="Q831">
        <v>4.97315957093609E-2</v>
      </c>
      <c r="R831">
        <v>0.988660562027602</v>
      </c>
      <c r="S831" t="s">
        <v>7501</v>
      </c>
      <c r="T831" t="s">
        <v>13338</v>
      </c>
      <c r="U831" t="s">
        <v>13338</v>
      </c>
      <c r="V831" t="s">
        <v>13338</v>
      </c>
      <c r="W831" t="s">
        <v>14156</v>
      </c>
      <c r="X831">
        <v>10</v>
      </c>
      <c r="Y831" t="s">
        <v>20762</v>
      </c>
      <c r="Z831" t="s">
        <v>27246</v>
      </c>
      <c r="AA831">
        <v>0.37993059171297339</v>
      </c>
      <c r="AB831" t="str">
        <f>HYPERLINK("Melting_Curves/meltCurve_H0Y327_MTHFD1L.pdf", "Melting_Curves/meltCurve_H0Y327_MTHFD1L.pdf")</f>
        <v>Melting_Curves/meltCurve_H0Y327_MTHFD1L.pdf</v>
      </c>
    </row>
    <row r="832" spans="1:28" x14ac:dyDescent="0.25">
      <c r="A832" t="s">
        <v>836</v>
      </c>
      <c r="B832">
        <v>0.99193492352474899</v>
      </c>
      <c r="C832">
        <v>0.51952883741435696</v>
      </c>
      <c r="D832">
        <v>0.54605350524245999</v>
      </c>
      <c r="E832">
        <v>0.24643280673311299</v>
      </c>
      <c r="F832">
        <v>0.16904040569134501</v>
      </c>
      <c r="G832">
        <v>8.6708825515320803E-2</v>
      </c>
      <c r="H832">
        <v>7.5366870053962406E-2</v>
      </c>
      <c r="I832">
        <v>4.1285363069284702E-2</v>
      </c>
      <c r="J832">
        <v>0.141390301505494</v>
      </c>
      <c r="K832">
        <v>0.10133053175854501</v>
      </c>
      <c r="L832">
        <v>663.52192560608796</v>
      </c>
      <c r="M832">
        <v>14.820498022154901</v>
      </c>
      <c r="N832">
        <v>45.292571930814702</v>
      </c>
      <c r="O832">
        <v>43.979146173541999</v>
      </c>
      <c r="P832">
        <v>-7.7641225614036594E-2</v>
      </c>
      <c r="Q832">
        <v>7.8510455076144001E-2</v>
      </c>
      <c r="R832">
        <v>0.92876175991133703</v>
      </c>
      <c r="S832" t="s">
        <v>7502</v>
      </c>
      <c r="T832" t="s">
        <v>13338</v>
      </c>
      <c r="U832" t="s">
        <v>13338</v>
      </c>
      <c r="V832" t="s">
        <v>13338</v>
      </c>
      <c r="W832" t="s">
        <v>14157</v>
      </c>
      <c r="X832">
        <v>2</v>
      </c>
      <c r="Y832" t="s">
        <v>20763</v>
      </c>
      <c r="Z832" t="s">
        <v>27247</v>
      </c>
      <c r="AA832">
        <v>0.25618006042403818</v>
      </c>
      <c r="AB832" t="str">
        <f>HYPERLINK("Melting_Curves/meltCurve_H0Y384_ODF2.pdf", "Melting_Curves/meltCurve_H0Y384_ODF2.pdf")</f>
        <v>Melting_Curves/meltCurve_H0Y384_ODF2.pdf</v>
      </c>
    </row>
    <row r="833" spans="1:28" x14ac:dyDescent="0.25">
      <c r="A833" t="s">
        <v>837</v>
      </c>
      <c r="B833">
        <v>0.99193492352474899</v>
      </c>
      <c r="C833">
        <v>1.03787495064583</v>
      </c>
      <c r="D833">
        <v>1.3559426816404401</v>
      </c>
      <c r="E833">
        <v>1.6757934551017899</v>
      </c>
      <c r="F833">
        <v>1.1259381518040801</v>
      </c>
      <c r="G833">
        <v>0.81383654829517804</v>
      </c>
      <c r="H833">
        <v>0.31854777325620998</v>
      </c>
      <c r="I833">
        <v>0.64189628885592898</v>
      </c>
      <c r="J833">
        <v>0.74616846957067795</v>
      </c>
      <c r="K833">
        <v>0.95870784575769497</v>
      </c>
      <c r="L833">
        <v>14186.779587422299</v>
      </c>
      <c r="M833">
        <v>250</v>
      </c>
      <c r="O833">
        <v>56.743486936626503</v>
      </c>
      <c r="P833">
        <v>-0.36752004094940999</v>
      </c>
      <c r="Q833">
        <v>0.66633010226369804</v>
      </c>
      <c r="R833">
        <v>0.365447616105603</v>
      </c>
      <c r="S833" t="s">
        <v>7503</v>
      </c>
      <c r="T833" t="s">
        <v>13338</v>
      </c>
      <c r="U833" t="s">
        <v>13338</v>
      </c>
      <c r="V833" t="s">
        <v>13338</v>
      </c>
      <c r="W833" t="s">
        <v>14158</v>
      </c>
      <c r="X833">
        <v>1</v>
      </c>
      <c r="Y833" t="s">
        <v>20764</v>
      </c>
      <c r="Z833" t="s">
        <v>27248</v>
      </c>
      <c r="AA833">
        <v>0.85263030812271035</v>
      </c>
      <c r="AB833" t="str">
        <f>HYPERLINK("Melting_Curves/meltCurve_H0Y3A3_DAB2IP.pdf", "Melting_Curves/meltCurve_H0Y3A3_DAB2IP.pdf")</f>
        <v>Melting_Curves/meltCurve_H0Y3A3_DAB2IP.pdf</v>
      </c>
    </row>
    <row r="834" spans="1:28" x14ac:dyDescent="0.25">
      <c r="A834" t="s">
        <v>838</v>
      </c>
      <c r="B834">
        <v>0.99193492352474899</v>
      </c>
      <c r="C834">
        <v>0.65642781857399102</v>
      </c>
      <c r="D834">
        <v>0.92532125095833195</v>
      </c>
      <c r="E834">
        <v>0.67123137232929397</v>
      </c>
      <c r="F834">
        <v>0.55225055386612298</v>
      </c>
      <c r="G834">
        <v>0.388348324088028</v>
      </c>
      <c r="H834">
        <v>0.37424432699986498</v>
      </c>
      <c r="I834">
        <v>0.53937987526055997</v>
      </c>
      <c r="J834">
        <v>0.728214629893284</v>
      </c>
      <c r="K834">
        <v>0.91059811519732103</v>
      </c>
      <c r="L834">
        <v>684.43911466899499</v>
      </c>
      <c r="M834">
        <v>15.529114610613499</v>
      </c>
      <c r="O834">
        <v>43.3630990646976</v>
      </c>
      <c r="P834">
        <v>-3.6740899573194E-2</v>
      </c>
      <c r="Q834">
        <v>0.58965882707406403</v>
      </c>
      <c r="R834">
        <v>0.30493442393530101</v>
      </c>
      <c r="S834" t="s">
        <v>7504</v>
      </c>
      <c r="T834" t="s">
        <v>13338</v>
      </c>
      <c r="U834" t="s">
        <v>13338</v>
      </c>
      <c r="V834" t="s">
        <v>13338</v>
      </c>
      <c r="W834" t="s">
        <v>14159</v>
      </c>
      <c r="X834">
        <v>5</v>
      </c>
      <c r="Y834" t="s">
        <v>20765</v>
      </c>
      <c r="Z834" t="s">
        <v>27249</v>
      </c>
      <c r="AA834">
        <v>0.65911312352884011</v>
      </c>
      <c r="AB834" t="str">
        <f>HYPERLINK("Melting_Curves/meltCurve_H0Y412_PRRC2B.pdf", "Melting_Curves/meltCurve_H0Y412_PRRC2B.pdf")</f>
        <v>Melting_Curves/meltCurve_H0Y412_PRRC2B.pdf</v>
      </c>
    </row>
    <row r="835" spans="1:28" x14ac:dyDescent="0.25">
      <c r="A835" t="s">
        <v>839</v>
      </c>
      <c r="B835">
        <v>0.99193492352474899</v>
      </c>
      <c r="C835">
        <v>0.91549588596168197</v>
      </c>
      <c r="D835">
        <v>0.84839841027804397</v>
      </c>
      <c r="E835">
        <v>0.61747901280004502</v>
      </c>
      <c r="F835">
        <v>0.416965674560975</v>
      </c>
      <c r="G835">
        <v>0.25085131731961302</v>
      </c>
      <c r="H835">
        <v>0.20445857234213699</v>
      </c>
      <c r="I835">
        <v>0.154416051069032</v>
      </c>
      <c r="J835">
        <v>0.17871435566280799</v>
      </c>
      <c r="K835">
        <v>0.20341130740376001</v>
      </c>
      <c r="L835">
        <v>804.46033924968299</v>
      </c>
      <c r="M835">
        <v>16.039554381373399</v>
      </c>
      <c r="N835">
        <v>51.389318777773497</v>
      </c>
      <c r="O835">
        <v>49.394595946890099</v>
      </c>
      <c r="P835">
        <v>-6.8206586259132604E-2</v>
      </c>
      <c r="Q835">
        <v>0.15988312051828099</v>
      </c>
      <c r="R835">
        <v>0.99599614984350104</v>
      </c>
      <c r="S835" t="s">
        <v>7505</v>
      </c>
      <c r="T835" t="s">
        <v>13338</v>
      </c>
      <c r="U835" t="s">
        <v>13338</v>
      </c>
      <c r="V835" t="s">
        <v>13338</v>
      </c>
      <c r="W835" t="s">
        <v>14160</v>
      </c>
      <c r="X835">
        <v>4</v>
      </c>
      <c r="Y835" t="s">
        <v>20766</v>
      </c>
      <c r="Z835" t="s">
        <v>27250</v>
      </c>
      <c r="AA835">
        <v>0.46194901630601681</v>
      </c>
      <c r="AB835" t="str">
        <f>HYPERLINK("Melting_Curves/meltCurve_H0Y494_SIK3.pdf", "Melting_Curves/meltCurve_H0Y494_SIK3.pdf")</f>
        <v>Melting_Curves/meltCurve_H0Y494_SIK3.pdf</v>
      </c>
    </row>
    <row r="836" spans="1:28" x14ac:dyDescent="0.25">
      <c r="A836" t="s">
        <v>840</v>
      </c>
      <c r="B836">
        <v>0.99193492352474899</v>
      </c>
      <c r="C836">
        <v>0.82930275883575799</v>
      </c>
      <c r="D836">
        <v>0.29023682465845002</v>
      </c>
      <c r="E836">
        <v>8.6665206928833297E-2</v>
      </c>
      <c r="F836">
        <v>0.118796446159116</v>
      </c>
      <c r="G836">
        <v>4.0135360813732097E-2</v>
      </c>
      <c r="H836">
        <v>3.1738827004122901E-2</v>
      </c>
      <c r="I836">
        <v>2.6767455926084101E-2</v>
      </c>
      <c r="J836">
        <v>3.3924549972488699E-2</v>
      </c>
      <c r="K836">
        <v>1.6653605093944399E-2</v>
      </c>
      <c r="L836">
        <v>1606.50441867825</v>
      </c>
      <c r="M836">
        <v>35.952844377541503</v>
      </c>
      <c r="N836">
        <v>44.8031758471109</v>
      </c>
      <c r="O836">
        <v>44.546105641354004</v>
      </c>
      <c r="P836">
        <v>-0.19254776096495199</v>
      </c>
      <c r="Q836">
        <v>4.5725327649774897E-2</v>
      </c>
      <c r="R836">
        <v>0.99420912086362001</v>
      </c>
      <c r="S836" t="s">
        <v>7506</v>
      </c>
      <c r="T836" t="s">
        <v>13338</v>
      </c>
      <c r="U836" t="s">
        <v>13338</v>
      </c>
      <c r="V836" t="s">
        <v>13338</v>
      </c>
      <c r="W836" t="s">
        <v>14161</v>
      </c>
      <c r="X836">
        <v>4</v>
      </c>
      <c r="Y836" t="s">
        <v>20767</v>
      </c>
      <c r="Z836" t="s">
        <v>27251</v>
      </c>
      <c r="AA836">
        <v>0.19881055496923211</v>
      </c>
      <c r="AB836" t="str">
        <f>HYPERLINK("Melting_Curves/meltCurve_H0Y4G9_MYD88.pdf", "Melting_Curves/meltCurve_H0Y4G9_MYD88.pdf")</f>
        <v>Melting_Curves/meltCurve_H0Y4G9_MYD88.pdf</v>
      </c>
    </row>
    <row r="837" spans="1:28" x14ac:dyDescent="0.25">
      <c r="A837" t="s">
        <v>841</v>
      </c>
      <c r="B837">
        <v>0.99193492352474899</v>
      </c>
      <c r="C837">
        <v>1.09545297827724</v>
      </c>
      <c r="D837">
        <v>1.0008147693160201</v>
      </c>
      <c r="E837">
        <v>1.0901374096551599</v>
      </c>
      <c r="F837">
        <v>0.967734967923634</v>
      </c>
      <c r="G837">
        <v>0.62486863665326597</v>
      </c>
      <c r="H837">
        <v>0.62870560541272802</v>
      </c>
      <c r="I837">
        <v>0.65388242138916097</v>
      </c>
      <c r="J837">
        <v>0.63569147231606704</v>
      </c>
      <c r="K837">
        <v>1.02897575494059</v>
      </c>
      <c r="L837">
        <v>13409.6241533014</v>
      </c>
      <c r="M837">
        <v>250</v>
      </c>
      <c r="O837">
        <v>53.635064205669401</v>
      </c>
      <c r="P837">
        <v>-0.33277582179452703</v>
      </c>
      <c r="Q837">
        <v>0.71442475978096798</v>
      </c>
      <c r="R837">
        <v>0.63346362116002297</v>
      </c>
      <c r="S837" t="s">
        <v>7507</v>
      </c>
      <c r="T837" t="s">
        <v>13338</v>
      </c>
      <c r="U837" t="s">
        <v>13338</v>
      </c>
      <c r="V837" t="s">
        <v>13338</v>
      </c>
      <c r="W837" t="s">
        <v>14162</v>
      </c>
      <c r="X837">
        <v>1</v>
      </c>
      <c r="Y837" t="s">
        <v>20768</v>
      </c>
      <c r="Z837" t="s">
        <v>27252</v>
      </c>
      <c r="AA837">
        <v>0.84427887387959577</v>
      </c>
      <c r="AB837" t="str">
        <f>HYPERLINK("Melting_Curves/meltCurve_H0Y530_PAEP.pdf", "Melting_Curves/meltCurve_H0Y530_PAEP.pdf")</f>
        <v>Melting_Curves/meltCurve_H0Y530_PAEP.pdf</v>
      </c>
    </row>
    <row r="838" spans="1:28" x14ac:dyDescent="0.25">
      <c r="A838" t="s">
        <v>842</v>
      </c>
      <c r="B838">
        <v>0.99193492352474899</v>
      </c>
      <c r="C838">
        <v>1.1727458528169501</v>
      </c>
      <c r="D838">
        <v>1.18997793184205</v>
      </c>
      <c r="E838">
        <v>1.2030670182668199</v>
      </c>
      <c r="F838">
        <v>0.83430405211839298</v>
      </c>
      <c r="G838">
        <v>0.575731464570997</v>
      </c>
      <c r="H838">
        <v>9.6544154221261003E-2</v>
      </c>
      <c r="I838">
        <v>8.53172075482867E-2</v>
      </c>
      <c r="J838">
        <v>0.114694646916759</v>
      </c>
      <c r="K838">
        <v>0.107861388118066</v>
      </c>
      <c r="L838">
        <v>2072.0671092298899</v>
      </c>
      <c r="M838">
        <v>36.5091280854964</v>
      </c>
      <c r="N838">
        <v>57.037366738317203</v>
      </c>
      <c r="O838">
        <v>56.5853012704683</v>
      </c>
      <c r="P838">
        <v>-0.14795612319165299</v>
      </c>
      <c r="Q838">
        <v>8.2737191229687895E-2</v>
      </c>
      <c r="R838">
        <v>0.94414639904506203</v>
      </c>
      <c r="S838" t="s">
        <v>7508</v>
      </c>
      <c r="T838" t="s">
        <v>13338</v>
      </c>
      <c r="U838" t="s">
        <v>13338</v>
      </c>
      <c r="V838" t="s">
        <v>13338</v>
      </c>
      <c r="W838" t="s">
        <v>14163</v>
      </c>
      <c r="X838">
        <v>6</v>
      </c>
      <c r="Y838" t="s">
        <v>20769</v>
      </c>
      <c r="Z838" t="s">
        <v>27253</v>
      </c>
      <c r="AA838">
        <v>0.59927220771931755</v>
      </c>
      <c r="AB838" t="str">
        <f>HYPERLINK("Melting_Curves/meltCurve_H0Y547_ATP11A.pdf", "Melting_Curves/meltCurve_H0Y547_ATP11A.pdf")</f>
        <v>Melting_Curves/meltCurve_H0Y547_ATP11A.pdf</v>
      </c>
    </row>
    <row r="839" spans="1:28" x14ac:dyDescent="0.25">
      <c r="A839" t="s">
        <v>843</v>
      </c>
      <c r="B839">
        <v>0.99193492352474899</v>
      </c>
      <c r="C839">
        <v>1.0617800906658399</v>
      </c>
      <c r="D839">
        <v>0.84881369140276797</v>
      </c>
      <c r="E839">
        <v>0.59922127628632205</v>
      </c>
      <c r="F839">
        <v>0.109367163170737</v>
      </c>
      <c r="G839">
        <v>5.1703477624648699E-2</v>
      </c>
      <c r="H839">
        <v>6.1091202427844202E-2</v>
      </c>
      <c r="I839">
        <v>5.9210043563787597E-2</v>
      </c>
      <c r="J839">
        <v>6.5265346960157303E-2</v>
      </c>
      <c r="K839">
        <v>5.7880293892783603E-2</v>
      </c>
      <c r="L839">
        <v>1595.72911560649</v>
      </c>
      <c r="M839">
        <v>32.031423782988099</v>
      </c>
      <c r="N839">
        <v>49.977538719528198</v>
      </c>
      <c r="O839">
        <v>49.624648573649097</v>
      </c>
      <c r="P839">
        <v>-0.15350901876553499</v>
      </c>
      <c r="Q839">
        <v>4.8710053183046199E-2</v>
      </c>
      <c r="R839">
        <v>0.98974512898110201</v>
      </c>
      <c r="S839" t="s">
        <v>7509</v>
      </c>
      <c r="T839" t="s">
        <v>13338</v>
      </c>
      <c r="U839" t="s">
        <v>13338</v>
      </c>
      <c r="V839" t="s">
        <v>13338</v>
      </c>
      <c r="W839" t="s">
        <v>14164</v>
      </c>
      <c r="X839">
        <v>1</v>
      </c>
      <c r="Y839" t="s">
        <v>20770</v>
      </c>
      <c r="Z839" t="s">
        <v>27254</v>
      </c>
      <c r="AA839">
        <v>0.36516018323060812</v>
      </c>
      <c r="AB839" t="str">
        <f>HYPERLINK("Melting_Curves/meltCurve_H0Y5Y0_PREP.pdf", "Melting_Curves/meltCurve_H0Y5Y0_PREP.pdf")</f>
        <v>Melting_Curves/meltCurve_H0Y5Y0_PREP.pdf</v>
      </c>
    </row>
    <row r="840" spans="1:28" x14ac:dyDescent="0.25">
      <c r="A840" t="s">
        <v>844</v>
      </c>
      <c r="B840">
        <v>0.99193492352474899</v>
      </c>
      <c r="C840">
        <v>0.83522451589306801</v>
      </c>
      <c r="D840">
        <v>0.91658705525166195</v>
      </c>
      <c r="E840">
        <v>0.86395690358599198</v>
      </c>
      <c r="F840">
        <v>0.62563256317582205</v>
      </c>
      <c r="G840">
        <v>0.39894239904325202</v>
      </c>
      <c r="H840">
        <v>0.16690149152880601</v>
      </c>
      <c r="I840">
        <v>7.5587588250905793E-2</v>
      </c>
      <c r="J840">
        <v>7.6618960339192896E-2</v>
      </c>
      <c r="K840">
        <v>6.8696543955845998E-2</v>
      </c>
      <c r="L840">
        <v>812.28313280438601</v>
      </c>
      <c r="M840">
        <v>14.7794480459388</v>
      </c>
      <c r="N840">
        <v>54.960297068100097</v>
      </c>
      <c r="O840">
        <v>53.983541089179603</v>
      </c>
      <c r="P840">
        <v>-6.8451559960491307E-2</v>
      </c>
      <c r="Q840">
        <v>0</v>
      </c>
      <c r="R840">
        <v>0.97950415063443697</v>
      </c>
      <c r="S840" t="s">
        <v>7510</v>
      </c>
      <c r="T840" t="s">
        <v>13338</v>
      </c>
      <c r="U840" t="s">
        <v>13338</v>
      </c>
      <c r="V840" t="s">
        <v>13338</v>
      </c>
      <c r="W840" t="s">
        <v>14165</v>
      </c>
      <c r="X840">
        <v>3</v>
      </c>
      <c r="Y840" t="s">
        <v>20771</v>
      </c>
      <c r="Z840" t="s">
        <v>27255</v>
      </c>
      <c r="AA840">
        <v>0.51831970620652912</v>
      </c>
      <c r="AB840" t="str">
        <f>HYPERLINK("Melting_Curves/meltCurve_H0Y614_UFM1.pdf", "Melting_Curves/meltCurve_H0Y614_UFM1.pdf")</f>
        <v>Melting_Curves/meltCurve_H0Y614_UFM1.pdf</v>
      </c>
    </row>
    <row r="841" spans="1:28" x14ac:dyDescent="0.25">
      <c r="A841" t="s">
        <v>845</v>
      </c>
      <c r="B841">
        <v>0.99193492352474899</v>
      </c>
      <c r="C841">
        <v>0.79682730258984302</v>
      </c>
      <c r="D841">
        <v>0.87750843905174403</v>
      </c>
      <c r="E841">
        <v>0.54587785928254196</v>
      </c>
      <c r="F841">
        <v>0.27855373541418599</v>
      </c>
      <c r="G841">
        <v>0.18513906761812199</v>
      </c>
      <c r="H841">
        <v>0.15204357150310599</v>
      </c>
      <c r="I841">
        <v>0.213797827758758</v>
      </c>
      <c r="J841">
        <v>0.271687066383343</v>
      </c>
      <c r="K841">
        <v>0.30159467663050799</v>
      </c>
      <c r="L841">
        <v>1124.5947058675799</v>
      </c>
      <c r="M841">
        <v>23.1209079833293</v>
      </c>
      <c r="N841">
        <v>49.8525426435491</v>
      </c>
      <c r="O841">
        <v>48.280260216792797</v>
      </c>
      <c r="P841">
        <v>-9.3971276675128598E-2</v>
      </c>
      <c r="Q841">
        <v>0.21510453633979601</v>
      </c>
      <c r="R841">
        <v>0.94381828071088303</v>
      </c>
      <c r="S841" t="s">
        <v>7511</v>
      </c>
      <c r="T841" t="s">
        <v>13338</v>
      </c>
      <c r="U841" t="s">
        <v>13338</v>
      </c>
      <c r="V841" t="s">
        <v>13338</v>
      </c>
      <c r="W841" t="s">
        <v>14166</v>
      </c>
      <c r="X841">
        <v>14</v>
      </c>
      <c r="Y841" t="s">
        <v>20270</v>
      </c>
      <c r="Z841" t="s">
        <v>27256</v>
      </c>
      <c r="AA841">
        <v>0.44931625738147718</v>
      </c>
      <c r="AB841" t="str">
        <f>HYPERLINK("Melting_Curves/meltCurve_H0Y6A0_ARFGAP3.pdf", "Melting_Curves/meltCurve_H0Y6A0_ARFGAP3.pdf")</f>
        <v>Melting_Curves/meltCurve_H0Y6A0_ARFGAP3.pdf</v>
      </c>
    </row>
    <row r="842" spans="1:28" x14ac:dyDescent="0.25">
      <c r="A842" t="s">
        <v>846</v>
      </c>
      <c r="B842">
        <v>0.99193492352474899</v>
      </c>
      <c r="C842">
        <v>0.97706047653420303</v>
      </c>
      <c r="D842">
        <v>0.99814360916900802</v>
      </c>
      <c r="E842">
        <v>0.74784830072074104</v>
      </c>
      <c r="F842">
        <v>0.50233864933250205</v>
      </c>
      <c r="G842">
        <v>0.33066235725434401</v>
      </c>
      <c r="H842">
        <v>0.31211440102795801</v>
      </c>
      <c r="I842">
        <v>0.23964901628817301</v>
      </c>
      <c r="J842">
        <v>0.28521263575608502</v>
      </c>
      <c r="K842">
        <v>0.31081117542768499</v>
      </c>
      <c r="L842">
        <v>1247.7679736847799</v>
      </c>
      <c r="M842">
        <v>24.387188001343599</v>
      </c>
      <c r="N842">
        <v>52.957319380339797</v>
      </c>
      <c r="O842">
        <v>50.824577608323899</v>
      </c>
      <c r="P842">
        <v>-8.6253824098353998E-2</v>
      </c>
      <c r="Q842">
        <v>0.28097492578685201</v>
      </c>
      <c r="R842">
        <v>0.99324953628948998</v>
      </c>
      <c r="S842" t="s">
        <v>7512</v>
      </c>
      <c r="T842" t="s">
        <v>13338</v>
      </c>
      <c r="U842" t="s">
        <v>13338</v>
      </c>
      <c r="V842" t="s">
        <v>13338</v>
      </c>
      <c r="W842" t="s">
        <v>14167</v>
      </c>
      <c r="X842">
        <v>7</v>
      </c>
      <c r="Y842" t="s">
        <v>20772</v>
      </c>
      <c r="Z842" t="s">
        <v>27257</v>
      </c>
      <c r="AA842">
        <v>0.55540071286287152</v>
      </c>
      <c r="AB842" t="str">
        <f>HYPERLINK("Melting_Curves/meltCurve_H0Y6C3_PYCRL.pdf", "Melting_Curves/meltCurve_H0Y6C3_PYCRL.pdf")</f>
        <v>Melting_Curves/meltCurve_H0Y6C3_PYCRL.pdf</v>
      </c>
    </row>
    <row r="843" spans="1:28" x14ac:dyDescent="0.25">
      <c r="A843" t="s">
        <v>847</v>
      </c>
      <c r="B843">
        <v>0.99193492352474899</v>
      </c>
      <c r="C843">
        <v>0.82644443929428102</v>
      </c>
      <c r="D843">
        <v>0.52719776372733695</v>
      </c>
      <c r="E843">
        <v>0.15217214930158901</v>
      </c>
      <c r="F843">
        <v>0.112587592626752</v>
      </c>
      <c r="G843">
        <v>7.5858526850857796E-2</v>
      </c>
      <c r="H843">
        <v>4.5987186495883098E-2</v>
      </c>
      <c r="I843">
        <v>5.2592668800641201E-2</v>
      </c>
      <c r="J843">
        <v>5.57228988541087E-2</v>
      </c>
      <c r="K843">
        <v>7.7858327832986296E-2</v>
      </c>
      <c r="L843">
        <v>1128.8488042837701</v>
      </c>
      <c r="M843">
        <v>24.64797547929</v>
      </c>
      <c r="N843">
        <v>46.0377329105727</v>
      </c>
      <c r="O843">
        <v>45.500556770701301</v>
      </c>
      <c r="P843">
        <v>-0.127298615920273</v>
      </c>
      <c r="Q843">
        <v>6.0032026252794697E-2</v>
      </c>
      <c r="R843">
        <v>0.99683584806692405</v>
      </c>
      <c r="S843" t="s">
        <v>7513</v>
      </c>
      <c r="T843" t="s">
        <v>13338</v>
      </c>
      <c r="U843" t="s">
        <v>13338</v>
      </c>
      <c r="V843" t="s">
        <v>13338</v>
      </c>
      <c r="W843" t="s">
        <v>14168</v>
      </c>
      <c r="X843">
        <v>10</v>
      </c>
      <c r="Y843" t="s">
        <v>20773</v>
      </c>
      <c r="Z843" t="s">
        <v>27258</v>
      </c>
      <c r="AA843">
        <v>0.25079892250042579</v>
      </c>
      <c r="AB843" t="str">
        <f>HYPERLINK("Melting_Curves/meltCurve_H0Y6K2_BRD2.pdf", "Melting_Curves/meltCurve_H0Y6K2_BRD2.pdf")</f>
        <v>Melting_Curves/meltCurve_H0Y6K2_BRD2.pdf</v>
      </c>
    </row>
    <row r="844" spans="1:28" x14ac:dyDescent="0.25">
      <c r="A844" t="s">
        <v>848</v>
      </c>
      <c r="B844">
        <v>0.99193492352474899</v>
      </c>
      <c r="C844">
        <v>0.97966826045199296</v>
      </c>
      <c r="D844">
        <v>0.88829823306556499</v>
      </c>
      <c r="E844">
        <v>0.68742213040884503</v>
      </c>
      <c r="F844">
        <v>0.55750193279091098</v>
      </c>
      <c r="G844">
        <v>0.44466354940935399</v>
      </c>
      <c r="H844">
        <v>0.35175490245572499</v>
      </c>
      <c r="I844">
        <v>0.41771457216741997</v>
      </c>
      <c r="J844">
        <v>0.33203293826336999</v>
      </c>
      <c r="K844">
        <v>0.30106666449777297</v>
      </c>
      <c r="L844">
        <v>757.61839796231197</v>
      </c>
      <c r="M844">
        <v>14.9636094184558</v>
      </c>
      <c r="N844">
        <v>54.4639143064393</v>
      </c>
      <c r="O844">
        <v>49.752279273660797</v>
      </c>
      <c r="P844">
        <v>-5.0715193993873801E-2</v>
      </c>
      <c r="Q844">
        <v>0.32558005352008201</v>
      </c>
      <c r="R844">
        <v>0.98866307410531895</v>
      </c>
      <c r="S844" t="s">
        <v>7514</v>
      </c>
      <c r="T844" t="s">
        <v>13338</v>
      </c>
      <c r="U844" t="s">
        <v>13338</v>
      </c>
      <c r="V844" t="s">
        <v>13338</v>
      </c>
      <c r="W844" t="s">
        <v>14169</v>
      </c>
      <c r="X844">
        <v>3</v>
      </c>
      <c r="Y844" t="s">
        <v>20774</v>
      </c>
      <c r="Z844" t="s">
        <v>27259</v>
      </c>
      <c r="AA844">
        <v>0.58039521841969288</v>
      </c>
      <c r="AB844" t="str">
        <f>HYPERLINK("Melting_Curves/meltCurve_H0Y6Y6_CD1C.pdf", "Melting_Curves/meltCurve_H0Y6Y6_CD1C.pdf")</f>
        <v>Melting_Curves/meltCurve_H0Y6Y6_CD1C.pdf</v>
      </c>
    </row>
    <row r="845" spans="1:28" x14ac:dyDescent="0.25">
      <c r="A845" t="s">
        <v>849</v>
      </c>
      <c r="B845">
        <v>0.99193492352474899</v>
      </c>
      <c r="C845">
        <v>0.86839346832898701</v>
      </c>
      <c r="D845">
        <v>0.83300101148796801</v>
      </c>
      <c r="E845">
        <v>0.71063590921930198</v>
      </c>
      <c r="F845">
        <v>0.62139275548570005</v>
      </c>
      <c r="G845">
        <v>0.48484549477815603</v>
      </c>
      <c r="H845">
        <v>0.47066431435478101</v>
      </c>
      <c r="I845">
        <v>0.56047855930381996</v>
      </c>
      <c r="J845">
        <v>0.56343636172734102</v>
      </c>
      <c r="K845">
        <v>0.93020649539508204</v>
      </c>
      <c r="L845">
        <v>898.21992420180197</v>
      </c>
      <c r="M845">
        <v>19.5284848989035</v>
      </c>
      <c r="O845">
        <v>45.521206057294002</v>
      </c>
      <c r="P845">
        <v>-4.2486654810453002E-2</v>
      </c>
      <c r="Q845">
        <v>0.60386592169994402</v>
      </c>
      <c r="R845">
        <v>0.54179749308318903</v>
      </c>
      <c r="S845" t="s">
        <v>7515</v>
      </c>
      <c r="T845" t="s">
        <v>13338</v>
      </c>
      <c r="U845" t="s">
        <v>13338</v>
      </c>
      <c r="V845" t="s">
        <v>13338</v>
      </c>
      <c r="W845" t="s">
        <v>14170</v>
      </c>
      <c r="X845">
        <v>12</v>
      </c>
      <c r="Y845" t="s">
        <v>20775</v>
      </c>
      <c r="Z845" t="s">
        <v>27260</v>
      </c>
      <c r="AA845">
        <v>0.68950080249486545</v>
      </c>
      <c r="AB845" t="str">
        <f>HYPERLINK("Melting_Curves/meltCurve_H0Y7A7_CALM2.pdf", "Melting_Curves/meltCurve_H0Y7A7_CALM2.pdf")</f>
        <v>Melting_Curves/meltCurve_H0Y7A7_CALM2.pdf</v>
      </c>
    </row>
    <row r="846" spans="1:28" x14ac:dyDescent="0.25">
      <c r="A846" t="s">
        <v>850</v>
      </c>
      <c r="B846">
        <v>0.99193492352474899</v>
      </c>
      <c r="C846">
        <v>0.89596820298899504</v>
      </c>
      <c r="D846">
        <v>1.1255569359712401</v>
      </c>
      <c r="E846">
        <v>0.89502974357214804</v>
      </c>
      <c r="F846">
        <v>0.42924596764164202</v>
      </c>
      <c r="G846">
        <v>0.219574862840345</v>
      </c>
      <c r="H846">
        <v>0.17177871355600099</v>
      </c>
      <c r="I846">
        <v>0.19202292999704099</v>
      </c>
      <c r="J846">
        <v>0.29901035002557902</v>
      </c>
      <c r="K846">
        <v>0.35368383582115798</v>
      </c>
      <c r="L846">
        <v>2362.4265737677001</v>
      </c>
      <c r="M846">
        <v>45.625380134963201</v>
      </c>
      <c r="N846">
        <v>52.558940401920999</v>
      </c>
      <c r="O846">
        <v>51.679605117711702</v>
      </c>
      <c r="P846">
        <v>-0.16641941474869801</v>
      </c>
      <c r="Q846">
        <v>0.24599168953320599</v>
      </c>
      <c r="R846">
        <v>0.95865035854466996</v>
      </c>
      <c r="S846" t="s">
        <v>7516</v>
      </c>
      <c r="T846" t="s">
        <v>13338</v>
      </c>
      <c r="U846" t="s">
        <v>13338</v>
      </c>
      <c r="V846" t="s">
        <v>13338</v>
      </c>
      <c r="W846" t="s">
        <v>14171</v>
      </c>
      <c r="X846">
        <v>4</v>
      </c>
      <c r="Y846" t="s">
        <v>20776</v>
      </c>
      <c r="Z846" t="s">
        <v>27261</v>
      </c>
      <c r="AA846">
        <v>0.54410519203946539</v>
      </c>
      <c r="AB846" t="str">
        <f>HYPERLINK("Melting_Curves/meltCurve_H0Y7P7_PISD.pdf", "Melting_Curves/meltCurve_H0Y7P7_PISD.pdf")</f>
        <v>Melting_Curves/meltCurve_H0Y7P7_PISD.pdf</v>
      </c>
    </row>
    <row r="847" spans="1:28" x14ac:dyDescent="0.25">
      <c r="A847" t="s">
        <v>851</v>
      </c>
      <c r="B847">
        <v>0.99193492352474899</v>
      </c>
      <c r="C847">
        <v>0.91635791241820397</v>
      </c>
      <c r="D847">
        <v>1.04026184924775</v>
      </c>
      <c r="E847">
        <v>0.87264381505077404</v>
      </c>
      <c r="F847">
        <v>0.58947871551439901</v>
      </c>
      <c r="G847">
        <v>0.39045215609359402</v>
      </c>
      <c r="H847">
        <v>0.22960235406243501</v>
      </c>
      <c r="I847">
        <v>0.105708292157286</v>
      </c>
      <c r="J847">
        <v>8.9085721650694796E-2</v>
      </c>
      <c r="K847">
        <v>7.2111536936328602E-2</v>
      </c>
      <c r="L847">
        <v>931.12291284902199</v>
      </c>
      <c r="M847">
        <v>17.0527991859582</v>
      </c>
      <c r="N847">
        <v>54.974782665503199</v>
      </c>
      <c r="O847">
        <v>53.868057363617403</v>
      </c>
      <c r="P847">
        <v>-7.4828826215632901E-2</v>
      </c>
      <c r="Q847">
        <v>5.4551130918449098E-2</v>
      </c>
      <c r="R847">
        <v>0.98924121773306395</v>
      </c>
      <c r="S847" t="s">
        <v>7517</v>
      </c>
      <c r="T847" t="s">
        <v>13338</v>
      </c>
      <c r="U847" t="s">
        <v>13338</v>
      </c>
      <c r="V847" t="s">
        <v>13338</v>
      </c>
      <c r="W847" t="s">
        <v>14172</v>
      </c>
      <c r="X847">
        <v>3</v>
      </c>
      <c r="Y847" t="s">
        <v>20777</v>
      </c>
      <c r="Z847" t="s">
        <v>27262</v>
      </c>
      <c r="AA847">
        <v>0.53072862715708591</v>
      </c>
      <c r="AB847" t="str">
        <f>HYPERLINK("Melting_Curves/meltCurve_H0Y870_TMEM222.pdf", "Melting_Curves/meltCurve_H0Y870_TMEM222.pdf")</f>
        <v>Melting_Curves/meltCurve_H0Y870_TMEM222.pdf</v>
      </c>
    </row>
    <row r="848" spans="1:28" x14ac:dyDescent="0.25">
      <c r="A848" t="s">
        <v>852</v>
      </c>
      <c r="B848">
        <v>0.99193492352474899</v>
      </c>
      <c r="C848">
        <v>0.95178583494084101</v>
      </c>
      <c r="D848">
        <v>0.89535451198387905</v>
      </c>
      <c r="E848">
        <v>0.65032556153593402</v>
      </c>
      <c r="F848">
        <v>0.63519598210702499</v>
      </c>
      <c r="G848">
        <v>0.36164978659521702</v>
      </c>
      <c r="H848">
        <v>0.124515928398737</v>
      </c>
      <c r="I848">
        <v>0.121575680986943</v>
      </c>
      <c r="J848">
        <v>0.181347796461543</v>
      </c>
      <c r="K848">
        <v>0.13699878720136399</v>
      </c>
      <c r="L848">
        <v>684.20049123316801</v>
      </c>
      <c r="M848">
        <v>12.8799264454421</v>
      </c>
      <c r="N848">
        <v>53.729612655883997</v>
      </c>
      <c r="O848">
        <v>51.889797897781101</v>
      </c>
      <c r="P848">
        <v>-5.7855800710823302E-2</v>
      </c>
      <c r="Q848">
        <v>6.7828208708090795E-2</v>
      </c>
      <c r="R848">
        <v>0.97203143272948</v>
      </c>
      <c r="S848" t="s">
        <v>7518</v>
      </c>
      <c r="T848" t="s">
        <v>13338</v>
      </c>
      <c r="U848" t="s">
        <v>13338</v>
      </c>
      <c r="V848" t="s">
        <v>13338</v>
      </c>
      <c r="W848" t="s">
        <v>14173</v>
      </c>
      <c r="X848">
        <v>1</v>
      </c>
      <c r="Y848" t="s">
        <v>20778</v>
      </c>
      <c r="Z848" t="s">
        <v>27263</v>
      </c>
      <c r="AA848">
        <v>0.49979370830517161</v>
      </c>
      <c r="AB848" t="str">
        <f>HYPERLINK("Melting_Curves/meltCurve_H0Y8H1_CHIC2.pdf", "Melting_Curves/meltCurve_H0Y8H1_CHIC2.pdf")</f>
        <v>Melting_Curves/meltCurve_H0Y8H1_CHIC2.pdf</v>
      </c>
    </row>
    <row r="849" spans="1:28" x14ac:dyDescent="0.25">
      <c r="A849" t="s">
        <v>853</v>
      </c>
      <c r="B849">
        <v>0.99193492352474899</v>
      </c>
      <c r="C849">
        <v>0.62788331672661601</v>
      </c>
      <c r="D849">
        <v>0.44908218658260102</v>
      </c>
      <c r="E849">
        <v>0.17675924128541601</v>
      </c>
      <c r="F849">
        <v>0.11290638124181</v>
      </c>
      <c r="G849">
        <v>5.57601574398311E-2</v>
      </c>
      <c r="H849">
        <v>3.6406987668761701E-2</v>
      </c>
      <c r="I849">
        <v>4.7095162474010001E-2</v>
      </c>
      <c r="J849">
        <v>6.0450878595879602E-2</v>
      </c>
      <c r="K849">
        <v>4.2897265635819498E-2</v>
      </c>
      <c r="L849">
        <v>819.22144162340703</v>
      </c>
      <c r="M849">
        <v>18.287135235920999</v>
      </c>
      <c r="N849">
        <v>45.031659547468102</v>
      </c>
      <c r="O849">
        <v>44.272307160805397</v>
      </c>
      <c r="P849">
        <v>-9.8589501367700796E-2</v>
      </c>
      <c r="Q849">
        <v>4.5321794925188202E-2</v>
      </c>
      <c r="R849">
        <v>0.98316956955179902</v>
      </c>
      <c r="S849" t="s">
        <v>7519</v>
      </c>
      <c r="T849" t="s">
        <v>13338</v>
      </c>
      <c r="U849" t="s">
        <v>13338</v>
      </c>
      <c r="V849" t="s">
        <v>13338</v>
      </c>
      <c r="W849" t="s">
        <v>14174</v>
      </c>
      <c r="X849">
        <v>10</v>
      </c>
      <c r="Y849" t="s">
        <v>20779</v>
      </c>
      <c r="Z849" t="s">
        <v>27264</v>
      </c>
      <c r="AA849">
        <v>0.21833631063549819</v>
      </c>
      <c r="AB849" t="str">
        <f>HYPERLINK("Melting_Curves/meltCurve_H0Y8W3_RGS14.pdf", "Melting_Curves/meltCurve_H0Y8W3_RGS14.pdf")</f>
        <v>Melting_Curves/meltCurve_H0Y8W3_RGS14.pdf</v>
      </c>
    </row>
    <row r="850" spans="1:28" x14ac:dyDescent="0.25">
      <c r="A850" t="s">
        <v>854</v>
      </c>
      <c r="B850">
        <v>0.99193492352474899</v>
      </c>
      <c r="C850">
        <v>1.19825465012472</v>
      </c>
      <c r="D850">
        <v>0.97399034262543605</v>
      </c>
      <c r="E850">
        <v>1.2125132260381699</v>
      </c>
      <c r="F850">
        <v>0.69749524122060402</v>
      </c>
      <c r="G850">
        <v>0.36552329910376402</v>
      </c>
      <c r="H850">
        <v>8.5813201472644707E-2</v>
      </c>
      <c r="I850">
        <v>3.1715262522797098E-2</v>
      </c>
      <c r="J850">
        <v>2.2762151536014099E-2</v>
      </c>
      <c r="K850">
        <v>1.5139472882771199E-2</v>
      </c>
      <c r="L850">
        <v>1681.2018293491501</v>
      </c>
      <c r="M850">
        <v>30.3684074932881</v>
      </c>
      <c r="N850">
        <v>55.438779180272199</v>
      </c>
      <c r="O850">
        <v>55.1218128361879</v>
      </c>
      <c r="P850">
        <v>-0.134833433263919</v>
      </c>
      <c r="Q850">
        <v>2.1058990529576299E-2</v>
      </c>
      <c r="R850">
        <v>0.95473277153161795</v>
      </c>
      <c r="S850" t="s">
        <v>7520</v>
      </c>
      <c r="T850" t="s">
        <v>13338</v>
      </c>
      <c r="U850" t="s">
        <v>13338</v>
      </c>
      <c r="V850" t="s">
        <v>13338</v>
      </c>
      <c r="W850" t="s">
        <v>14175</v>
      </c>
      <c r="X850">
        <v>1</v>
      </c>
      <c r="Y850" t="s">
        <v>20780</v>
      </c>
      <c r="Z850" t="s">
        <v>27265</v>
      </c>
      <c r="AA850">
        <v>0.52864687741820471</v>
      </c>
      <c r="AB850" t="str">
        <f>HYPERLINK("Melting_Curves/meltCurve_H0Y912_DACH2.pdf", "Melting_Curves/meltCurve_H0Y912_DACH2.pdf")</f>
        <v>Melting_Curves/meltCurve_H0Y912_DACH2.pdf</v>
      </c>
    </row>
    <row r="851" spans="1:28" x14ac:dyDescent="0.25">
      <c r="A851" t="s">
        <v>855</v>
      </c>
      <c r="B851">
        <v>0.99193492352474899</v>
      </c>
      <c r="C851">
        <v>1.12417799304473</v>
      </c>
      <c r="D851">
        <v>1.4724075118500199</v>
      </c>
      <c r="E851">
        <v>0.88158789354776401</v>
      </c>
      <c r="F851">
        <v>0.85204490444857905</v>
      </c>
      <c r="G851">
        <v>1.0227293817948</v>
      </c>
      <c r="H851">
        <v>0.40487741565017199</v>
      </c>
      <c r="I851">
        <v>0.17547703250124699</v>
      </c>
      <c r="J851">
        <v>0.405302540694361</v>
      </c>
      <c r="K851">
        <v>0.34437278635936502</v>
      </c>
      <c r="L851">
        <v>15000</v>
      </c>
      <c r="M851">
        <v>248.52983017213799</v>
      </c>
      <c r="N851">
        <v>60.588766760538498</v>
      </c>
      <c r="O851">
        <v>60.351019807806701</v>
      </c>
      <c r="P851">
        <v>-0.71203086820462302</v>
      </c>
      <c r="Q851">
        <v>0.30838420531501598</v>
      </c>
      <c r="R851">
        <v>0.80448744051790899</v>
      </c>
      <c r="S851" t="s">
        <v>7521</v>
      </c>
      <c r="T851" t="s">
        <v>13338</v>
      </c>
      <c r="U851" t="s">
        <v>13338</v>
      </c>
      <c r="V851" t="s">
        <v>13338</v>
      </c>
      <c r="W851" t="s">
        <v>14176</v>
      </c>
      <c r="X851">
        <v>1</v>
      </c>
      <c r="Z851" t="s">
        <v>27266</v>
      </c>
      <c r="AA851">
        <v>0.77771798834465034</v>
      </c>
      <c r="AB851" t="str">
        <f>HYPERLINK("Melting_Curves/meltCurve_H0Y9B8_.pdf", "Melting_Curves/meltCurve_H0Y9B8_.pdf")</f>
        <v>Melting_Curves/meltCurve_H0Y9B8_.pdf</v>
      </c>
    </row>
    <row r="852" spans="1:28" x14ac:dyDescent="0.25">
      <c r="A852" t="s">
        <v>856</v>
      </c>
      <c r="B852">
        <v>0.99193492352474899</v>
      </c>
      <c r="C852">
        <v>1.0882392057240999</v>
      </c>
      <c r="D852">
        <v>0.88550415017568895</v>
      </c>
      <c r="E852">
        <v>0.98237628598289595</v>
      </c>
      <c r="F852">
        <v>0.888272289391003</v>
      </c>
      <c r="G852">
        <v>0.480549980909176</v>
      </c>
      <c r="H852">
        <v>0.36778758345433399</v>
      </c>
      <c r="I852">
        <v>0.33576028813587</v>
      </c>
      <c r="J852">
        <v>0.27085238833969499</v>
      </c>
      <c r="K852">
        <v>0.29813517957100899</v>
      </c>
      <c r="L852">
        <v>2141.2537782067702</v>
      </c>
      <c r="M852">
        <v>38.712146815598601</v>
      </c>
      <c r="N852">
        <v>56.727541710444498</v>
      </c>
      <c r="O852">
        <v>55.165213641868199</v>
      </c>
      <c r="P852">
        <v>-0.12110973730373201</v>
      </c>
      <c r="Q852">
        <v>0.30967106707332398</v>
      </c>
      <c r="R852">
        <v>0.97523050557263002</v>
      </c>
      <c r="S852" t="s">
        <v>7522</v>
      </c>
      <c r="T852" t="s">
        <v>13338</v>
      </c>
      <c r="U852" t="s">
        <v>13338</v>
      </c>
      <c r="V852" t="s">
        <v>13338</v>
      </c>
      <c r="W852" t="s">
        <v>14177</v>
      </c>
      <c r="X852">
        <v>2</v>
      </c>
      <c r="Y852" t="s">
        <v>20781</v>
      </c>
      <c r="Z852" t="s">
        <v>27267</v>
      </c>
      <c r="AA852">
        <v>0.66482307366888294</v>
      </c>
      <c r="AB852" t="str">
        <f>HYPERLINK("Melting_Curves/meltCurve_H0Y9N0_ADH4.pdf", "Melting_Curves/meltCurve_H0Y9N0_ADH4.pdf")</f>
        <v>Melting_Curves/meltCurve_H0Y9N0_ADH4.pdf</v>
      </c>
    </row>
    <row r="853" spans="1:28" x14ac:dyDescent="0.25">
      <c r="A853" t="s">
        <v>857</v>
      </c>
      <c r="B853">
        <v>0.99193492352474899</v>
      </c>
      <c r="C853">
        <v>0.96247015084702403</v>
      </c>
      <c r="D853">
        <v>0.93624161478532097</v>
      </c>
      <c r="E853">
        <v>0.86756562819164695</v>
      </c>
      <c r="F853">
        <v>0.50223368249369704</v>
      </c>
      <c r="G853">
        <v>0.166601244906081</v>
      </c>
      <c r="H853">
        <v>6.1124978616633699E-2</v>
      </c>
      <c r="I853">
        <v>0.10119222475952799</v>
      </c>
      <c r="J853">
        <v>9.93980458044737E-2</v>
      </c>
      <c r="K853">
        <v>0.11596379384151601</v>
      </c>
      <c r="L853">
        <v>1554.65416671564</v>
      </c>
      <c r="M853">
        <v>29.4804506398063</v>
      </c>
      <c r="N853">
        <v>53.0756145272371</v>
      </c>
      <c r="O853">
        <v>52.4942234411374</v>
      </c>
      <c r="P853">
        <v>-0.12830189235529499</v>
      </c>
      <c r="Q853">
        <v>8.6165808857354795E-2</v>
      </c>
      <c r="R853">
        <v>0.99499721242713501</v>
      </c>
      <c r="S853" t="s">
        <v>7523</v>
      </c>
      <c r="T853" t="s">
        <v>13338</v>
      </c>
      <c r="U853" t="s">
        <v>13338</v>
      </c>
      <c r="V853" t="s">
        <v>13338</v>
      </c>
      <c r="W853" t="s">
        <v>14178</v>
      </c>
      <c r="X853">
        <v>8</v>
      </c>
      <c r="Y853" t="s">
        <v>20782</v>
      </c>
      <c r="Z853" t="s">
        <v>27268</v>
      </c>
      <c r="AA853">
        <v>0.48020100270652311</v>
      </c>
      <c r="AB853" t="str">
        <f>HYPERLINK("Melting_Curves/meltCurve_H0Y9S9_PPIP5K2.pdf", "Melting_Curves/meltCurve_H0Y9S9_PPIP5K2.pdf")</f>
        <v>Melting_Curves/meltCurve_H0Y9S9_PPIP5K2.pdf</v>
      </c>
    </row>
    <row r="854" spans="1:28" x14ac:dyDescent="0.25">
      <c r="A854" t="s">
        <v>858</v>
      </c>
      <c r="B854">
        <v>0.99193492352474899</v>
      </c>
      <c r="C854">
        <v>0.74278660836890897</v>
      </c>
      <c r="D854">
        <v>0.62994926199678203</v>
      </c>
      <c r="E854">
        <v>0.40315111016947702</v>
      </c>
      <c r="F854">
        <v>0.23370584771172401</v>
      </c>
      <c r="G854">
        <v>0.19567801948423999</v>
      </c>
      <c r="H854">
        <v>0.154083609884482</v>
      </c>
      <c r="I854">
        <v>0.174389706234613</v>
      </c>
      <c r="J854">
        <v>0.13691901768654099</v>
      </c>
      <c r="K854">
        <v>0.20771523704292499</v>
      </c>
      <c r="L854">
        <v>711.35993263967703</v>
      </c>
      <c r="M854">
        <v>15.3399814778315</v>
      </c>
      <c r="N854">
        <v>47.516826221204099</v>
      </c>
      <c r="O854">
        <v>45.606291252824697</v>
      </c>
      <c r="P854">
        <v>-7.1113547001177196E-2</v>
      </c>
      <c r="Q854">
        <v>0.154386187578889</v>
      </c>
      <c r="R854">
        <v>0.98335697514584697</v>
      </c>
      <c r="S854" t="s">
        <v>7524</v>
      </c>
      <c r="T854" t="s">
        <v>13338</v>
      </c>
      <c r="U854" t="s">
        <v>13338</v>
      </c>
      <c r="V854" t="s">
        <v>13338</v>
      </c>
      <c r="W854" t="s">
        <v>14179</v>
      </c>
      <c r="X854">
        <v>3</v>
      </c>
      <c r="Y854" t="s">
        <v>20783</v>
      </c>
      <c r="Z854" t="s">
        <v>27269</v>
      </c>
      <c r="AA854">
        <v>0.35689905275343048</v>
      </c>
      <c r="AB854" t="str">
        <f>HYPERLINK("Melting_Curves/meltCurve_H0Y9T5_DCP2.pdf", "Melting_Curves/meltCurve_H0Y9T5_DCP2.pdf")</f>
        <v>Melting_Curves/meltCurve_H0Y9T5_DCP2.pdf</v>
      </c>
    </row>
    <row r="855" spans="1:28" x14ac:dyDescent="0.25">
      <c r="A855" t="s">
        <v>859</v>
      </c>
      <c r="B855">
        <v>0.99193492352474899</v>
      </c>
      <c r="C855">
        <v>0.56165573106973299</v>
      </c>
      <c r="D855">
        <v>0.62678278410590005</v>
      </c>
      <c r="E855">
        <v>0.36354627471865603</v>
      </c>
      <c r="F855">
        <v>0.22203984503458299</v>
      </c>
      <c r="G855">
        <v>0.12976378464590099</v>
      </c>
      <c r="H855">
        <v>0.138264542033362</v>
      </c>
      <c r="I855">
        <v>0.26441625515469602</v>
      </c>
      <c r="J855">
        <v>0.27000327013852499</v>
      </c>
      <c r="K855">
        <v>0.46128996648411502</v>
      </c>
      <c r="L855">
        <v>765.93755178004596</v>
      </c>
      <c r="M855">
        <v>17.345427454787199</v>
      </c>
      <c r="N855">
        <v>45.965903845395999</v>
      </c>
      <c r="O855">
        <v>43.583496627305401</v>
      </c>
      <c r="P855">
        <v>-7.4898109675442304E-2</v>
      </c>
      <c r="Q855">
        <v>0.24726322526123001</v>
      </c>
      <c r="R855">
        <v>0.79463058908065898</v>
      </c>
      <c r="S855" t="s">
        <v>7525</v>
      </c>
      <c r="T855" t="s">
        <v>13338</v>
      </c>
      <c r="U855" t="s">
        <v>13338</v>
      </c>
      <c r="V855" t="s">
        <v>13338</v>
      </c>
      <c r="W855" t="s">
        <v>14180</v>
      </c>
      <c r="X855">
        <v>9</v>
      </c>
      <c r="Y855" t="s">
        <v>20784</v>
      </c>
      <c r="Z855" t="s">
        <v>27270</v>
      </c>
      <c r="AA855">
        <v>0.37124209364270422</v>
      </c>
      <c r="AB855" t="str">
        <f>HYPERLINK("Melting_Curves/meltCurve_H0Y9X1_TMA16.pdf", "Melting_Curves/meltCurve_H0Y9X1_TMA16.pdf")</f>
        <v>Melting_Curves/meltCurve_H0Y9X1_TMA16.pdf</v>
      </c>
    </row>
    <row r="856" spans="1:28" x14ac:dyDescent="0.25">
      <c r="A856" t="s">
        <v>860</v>
      </c>
      <c r="B856">
        <v>0.99193492352474899</v>
      </c>
      <c r="C856">
        <v>0.70818371121274504</v>
      </c>
      <c r="D856">
        <v>0.95288982357167495</v>
      </c>
      <c r="E856">
        <v>0.62880088644857901</v>
      </c>
      <c r="F856">
        <v>0.51684334291785405</v>
      </c>
      <c r="G856">
        <v>0.32343342203577202</v>
      </c>
      <c r="H856">
        <v>0.278811980823788</v>
      </c>
      <c r="I856">
        <v>0.37894483004567397</v>
      </c>
      <c r="J856">
        <v>0.71138345801344205</v>
      </c>
      <c r="K856">
        <v>0.84282033392935796</v>
      </c>
      <c r="L856">
        <v>951.15566322537995</v>
      </c>
      <c r="M856">
        <v>20.2471460426009</v>
      </c>
      <c r="O856">
        <v>46.526213907390499</v>
      </c>
      <c r="P856">
        <v>-5.3952695744256401E-2</v>
      </c>
      <c r="Q856">
        <v>0.50410061245925497</v>
      </c>
      <c r="R856">
        <v>0.42126144739786497</v>
      </c>
      <c r="S856" t="s">
        <v>7526</v>
      </c>
      <c r="T856" t="s">
        <v>13338</v>
      </c>
      <c r="U856" t="s">
        <v>13338</v>
      </c>
      <c r="V856" t="s">
        <v>13338</v>
      </c>
      <c r="W856" t="s">
        <v>14181</v>
      </c>
      <c r="X856">
        <v>1</v>
      </c>
      <c r="Y856" t="s">
        <v>20785</v>
      </c>
      <c r="Z856" t="s">
        <v>27271</v>
      </c>
      <c r="AA856">
        <v>0.62650623068720657</v>
      </c>
      <c r="AB856" t="str">
        <f>HYPERLINK("Melting_Curves/meltCurve_H0Y9Z5_CNOT6L.pdf", "Melting_Curves/meltCurve_H0Y9Z5_CNOT6L.pdf")</f>
        <v>Melting_Curves/meltCurve_H0Y9Z5_CNOT6L.pdf</v>
      </c>
    </row>
    <row r="857" spans="1:28" x14ac:dyDescent="0.25">
      <c r="A857" t="s">
        <v>861</v>
      </c>
      <c r="B857">
        <v>0.99193492352474899</v>
      </c>
      <c r="C857">
        <v>0.72494692402801697</v>
      </c>
      <c r="D857">
        <v>0.71398699506690599</v>
      </c>
      <c r="E857">
        <v>0.67409327438539002</v>
      </c>
      <c r="F857">
        <v>0.494030512988964</v>
      </c>
      <c r="G857">
        <v>0.384641592374456</v>
      </c>
      <c r="H857">
        <v>0.32540584358824898</v>
      </c>
      <c r="I857">
        <v>0.32361031759941999</v>
      </c>
      <c r="J857">
        <v>0.319177641443389</v>
      </c>
      <c r="K857">
        <v>0.53604255054139904</v>
      </c>
      <c r="L857">
        <v>528.62300765189298</v>
      </c>
      <c r="M857">
        <v>11.2610454676727</v>
      </c>
      <c r="N857">
        <v>52.587501545378203</v>
      </c>
      <c r="O857">
        <v>45.535322162399297</v>
      </c>
      <c r="P857">
        <v>-4.0154636126272701E-2</v>
      </c>
      <c r="Q857">
        <v>0.35072062809021798</v>
      </c>
      <c r="R857">
        <v>0.85000286880966802</v>
      </c>
      <c r="S857" t="s">
        <v>7527</v>
      </c>
      <c r="T857" t="s">
        <v>13338</v>
      </c>
      <c r="U857" t="s">
        <v>13338</v>
      </c>
      <c r="V857" t="s">
        <v>13338</v>
      </c>
      <c r="W857" t="s">
        <v>14182</v>
      </c>
      <c r="X857">
        <v>5</v>
      </c>
      <c r="Y857" t="s">
        <v>20786</v>
      </c>
      <c r="Z857" t="s">
        <v>27272</v>
      </c>
      <c r="AA857">
        <v>0.53166248271596883</v>
      </c>
      <c r="AB857" t="str">
        <f>HYPERLINK("Melting_Curves/meltCurve_H0YA52_PCBD2.pdf", "Melting_Curves/meltCurve_H0YA52_PCBD2.pdf")</f>
        <v>Melting_Curves/meltCurve_H0YA52_PCBD2.pdf</v>
      </c>
    </row>
    <row r="858" spans="1:28" x14ac:dyDescent="0.25">
      <c r="A858" t="s">
        <v>862</v>
      </c>
      <c r="B858">
        <v>0.99193492352474899</v>
      </c>
      <c r="C858">
        <v>0.90405968107491397</v>
      </c>
      <c r="D858">
        <v>1.0565087264848601</v>
      </c>
      <c r="E858">
        <v>0.82127077699578999</v>
      </c>
      <c r="F858">
        <v>0.69496615846689203</v>
      </c>
      <c r="G858">
        <v>0.41967916591184201</v>
      </c>
      <c r="H858">
        <v>0.115496942308013</v>
      </c>
      <c r="I858">
        <v>9.8120987998023698E-2</v>
      </c>
      <c r="J858">
        <v>0.10678837661767</v>
      </c>
      <c r="K858">
        <v>8.8384227473245702E-2</v>
      </c>
      <c r="L858">
        <v>1057.81416081372</v>
      </c>
      <c r="M858">
        <v>19.2476307492982</v>
      </c>
      <c r="N858">
        <v>55.279741676984301</v>
      </c>
      <c r="O858">
        <v>54.375231609406299</v>
      </c>
      <c r="P858">
        <v>-8.3810443796477799E-2</v>
      </c>
      <c r="Q858">
        <v>5.2966230464479902E-2</v>
      </c>
      <c r="R858">
        <v>0.98152269367221101</v>
      </c>
      <c r="S858" t="s">
        <v>7528</v>
      </c>
      <c r="T858" t="s">
        <v>13338</v>
      </c>
      <c r="U858" t="s">
        <v>13338</v>
      </c>
      <c r="V858" t="s">
        <v>13338</v>
      </c>
      <c r="W858" t="s">
        <v>14183</v>
      </c>
      <c r="X858">
        <v>5</v>
      </c>
      <c r="Y858" t="s">
        <v>20787</v>
      </c>
      <c r="Z858" t="s">
        <v>27273</v>
      </c>
      <c r="AA858">
        <v>0.53852023704436058</v>
      </c>
      <c r="AB858" t="str">
        <f>HYPERLINK("Melting_Curves/meltCurve_H0YA68_MAN2B2.pdf", "Melting_Curves/meltCurve_H0YA68_MAN2B2.pdf")</f>
        <v>Melting_Curves/meltCurve_H0YA68_MAN2B2.pdf</v>
      </c>
    </row>
    <row r="859" spans="1:28" x14ac:dyDescent="0.25">
      <c r="A859" t="s">
        <v>863</v>
      </c>
      <c r="B859">
        <v>0.99193492352474899</v>
      </c>
      <c r="C859">
        <v>1.1855561385379401</v>
      </c>
      <c r="D859">
        <v>0.82192524919784304</v>
      </c>
      <c r="E859">
        <v>0.51554515868207895</v>
      </c>
      <c r="F859">
        <v>0.16814196680756399</v>
      </c>
      <c r="G859">
        <v>0.11464652813672201</v>
      </c>
      <c r="H859">
        <v>7.5452285226763005E-2</v>
      </c>
      <c r="I859">
        <v>5.4783052516474501E-2</v>
      </c>
      <c r="J859">
        <v>0.110537417944467</v>
      </c>
      <c r="K859">
        <v>5.5797824285036997E-2</v>
      </c>
      <c r="L859">
        <v>1361.7509186857801</v>
      </c>
      <c r="M859">
        <v>27.633368881518201</v>
      </c>
      <c r="N859">
        <v>49.570056020749</v>
      </c>
      <c r="O859">
        <v>49.023324728924798</v>
      </c>
      <c r="P859">
        <v>-0.13037531451746001</v>
      </c>
      <c r="Q859">
        <v>7.4832734273707499E-2</v>
      </c>
      <c r="R859">
        <v>0.97245730429265997</v>
      </c>
      <c r="S859" t="s">
        <v>7529</v>
      </c>
      <c r="T859" t="s">
        <v>13338</v>
      </c>
      <c r="U859" t="s">
        <v>13338</v>
      </c>
      <c r="V859" t="s">
        <v>13338</v>
      </c>
      <c r="W859" t="s">
        <v>14184</v>
      </c>
      <c r="X859">
        <v>21</v>
      </c>
      <c r="Y859" t="s">
        <v>20788</v>
      </c>
      <c r="Z859" t="s">
        <v>27274</v>
      </c>
      <c r="AA859">
        <v>0.36768640388956192</v>
      </c>
      <c r="AB859" t="str">
        <f>HYPERLINK("Melting_Curves/meltCurve_H0YAR2_PABPC1.pdf", "Melting_Curves/meltCurve_H0YAR2_PABPC1.pdf")</f>
        <v>Melting_Curves/meltCurve_H0YAR2_PABPC1.pdf</v>
      </c>
    </row>
    <row r="860" spans="1:28" x14ac:dyDescent="0.25">
      <c r="A860" t="s">
        <v>864</v>
      </c>
      <c r="B860">
        <v>0.99193492352474899</v>
      </c>
      <c r="C860">
        <v>0.94705676784496495</v>
      </c>
      <c r="D860">
        <v>0.94937405232698802</v>
      </c>
      <c r="E860">
        <v>0.71706173332780498</v>
      </c>
      <c r="F860">
        <v>0.66540401893254297</v>
      </c>
      <c r="G860">
        <v>0.59472548727538999</v>
      </c>
      <c r="H860">
        <v>0.41074909867360099</v>
      </c>
      <c r="I860">
        <v>0.57407911511106402</v>
      </c>
      <c r="J860">
        <v>0.546063833742783</v>
      </c>
      <c r="K860">
        <v>0.68425529011131103</v>
      </c>
      <c r="L860">
        <v>1133.04164124459</v>
      </c>
      <c r="M860">
        <v>23.151286447575998</v>
      </c>
      <c r="O860">
        <v>48.5800028587513</v>
      </c>
      <c r="P860">
        <v>-5.2171088687564898E-2</v>
      </c>
      <c r="Q860">
        <v>0.56211067337184895</v>
      </c>
      <c r="R860">
        <v>0.86912979666558798</v>
      </c>
      <c r="S860" t="s">
        <v>7530</v>
      </c>
      <c r="T860" t="s">
        <v>13338</v>
      </c>
      <c r="U860" t="s">
        <v>13338</v>
      </c>
      <c r="V860" t="s">
        <v>13338</v>
      </c>
      <c r="W860" t="s">
        <v>14185</v>
      </c>
      <c r="X860">
        <v>9</v>
      </c>
      <c r="Y860" t="s">
        <v>20789</v>
      </c>
      <c r="Z860" t="s">
        <v>27275</v>
      </c>
      <c r="AA860">
        <v>0.69715804138454573</v>
      </c>
      <c r="AB860" t="str">
        <f>HYPERLINK("Melting_Curves/meltCurve_H0YAV1_RRM2B.pdf", "Melting_Curves/meltCurve_H0YAV1_RRM2B.pdf")</f>
        <v>Melting_Curves/meltCurve_H0YAV1_RRM2B.pdf</v>
      </c>
    </row>
    <row r="861" spans="1:28" x14ac:dyDescent="0.25">
      <c r="A861" t="s">
        <v>865</v>
      </c>
      <c r="B861">
        <v>0.99193492352474899</v>
      </c>
      <c r="C861">
        <v>0.809970423096673</v>
      </c>
      <c r="D861">
        <v>0.86246947948965003</v>
      </c>
      <c r="E861">
        <v>0.67482179109630203</v>
      </c>
      <c r="F861">
        <v>0.55449875085812905</v>
      </c>
      <c r="G861">
        <v>0.42836615657748001</v>
      </c>
      <c r="H861">
        <v>0.29303169152456099</v>
      </c>
      <c r="I861">
        <v>0.27327719141010398</v>
      </c>
      <c r="J861">
        <v>0.26631453545419898</v>
      </c>
      <c r="K861">
        <v>0.199087073812171</v>
      </c>
      <c r="L861">
        <v>467.85964728241299</v>
      </c>
      <c r="M861">
        <v>8.8691520794989103</v>
      </c>
      <c r="N861">
        <v>54.4385529952227</v>
      </c>
      <c r="O861">
        <v>50.2761389259962</v>
      </c>
      <c r="P861">
        <v>-3.8832264698942402E-2</v>
      </c>
      <c r="Q861">
        <v>0.12016896174106199</v>
      </c>
      <c r="R861">
        <v>0.98021165652937403</v>
      </c>
      <c r="S861" t="s">
        <v>7531</v>
      </c>
      <c r="T861" t="s">
        <v>13338</v>
      </c>
      <c r="U861" t="s">
        <v>13338</v>
      </c>
      <c r="V861" t="s">
        <v>13338</v>
      </c>
      <c r="W861" t="s">
        <v>14186</v>
      </c>
      <c r="X861">
        <v>5</v>
      </c>
      <c r="Y861" t="s">
        <v>20790</v>
      </c>
      <c r="Z861" t="s">
        <v>27276</v>
      </c>
      <c r="AA861">
        <v>0.5285354797129227</v>
      </c>
      <c r="AB861" t="str">
        <f>HYPERLINK("Melting_Curves/meltCurve_H0YBI6_TXNRD3.pdf", "Melting_Curves/meltCurve_H0YBI6_TXNRD3.pdf")</f>
        <v>Melting_Curves/meltCurve_H0YBI6_TXNRD3.pdf</v>
      </c>
    </row>
    <row r="862" spans="1:28" x14ac:dyDescent="0.25">
      <c r="A862" t="s">
        <v>866</v>
      </c>
      <c r="B862">
        <v>0.99193492352474899</v>
      </c>
      <c r="C862">
        <v>0.91478306892866901</v>
      </c>
      <c r="D862">
        <v>0.93540978049878298</v>
      </c>
      <c r="E862">
        <v>0.80448255510802003</v>
      </c>
      <c r="F862">
        <v>0.571067480021342</v>
      </c>
      <c r="G862">
        <v>0.240981939806824</v>
      </c>
      <c r="H862">
        <v>0.14964281880449801</v>
      </c>
      <c r="I862">
        <v>0.153286593962875</v>
      </c>
      <c r="J862">
        <v>0.169527762972217</v>
      </c>
      <c r="K862">
        <v>0.215237184543314</v>
      </c>
      <c r="L862">
        <v>1193.3024526357401</v>
      </c>
      <c r="M862">
        <v>22.704354707660102</v>
      </c>
      <c r="N862">
        <v>53.422662831790099</v>
      </c>
      <c r="O862">
        <v>52.155670505072003</v>
      </c>
      <c r="P862">
        <v>-9.2102776482598098E-2</v>
      </c>
      <c r="Q862">
        <v>0.15371522306490301</v>
      </c>
      <c r="R862">
        <v>0.98492305145327097</v>
      </c>
      <c r="S862" t="s">
        <v>7532</v>
      </c>
      <c r="T862" t="s">
        <v>13338</v>
      </c>
      <c r="U862" t="s">
        <v>13338</v>
      </c>
      <c r="V862" t="s">
        <v>13338</v>
      </c>
      <c r="W862" t="s">
        <v>14187</v>
      </c>
      <c r="X862">
        <v>6</v>
      </c>
      <c r="Y862" t="s">
        <v>20791</v>
      </c>
      <c r="Z862" t="s">
        <v>27277</v>
      </c>
      <c r="AA862">
        <v>0.51727806527357278</v>
      </c>
      <c r="AB862" t="str">
        <f>HYPERLINK("Melting_Curves/meltCurve_H0YBP1_PTK2.pdf", "Melting_Curves/meltCurve_H0YBP1_PTK2.pdf")</f>
        <v>Melting_Curves/meltCurve_H0YBP1_PTK2.pdf</v>
      </c>
    </row>
    <row r="863" spans="1:28" x14ac:dyDescent="0.25">
      <c r="A863" t="s">
        <v>867</v>
      </c>
      <c r="B863">
        <v>0.99193492352474899</v>
      </c>
      <c r="C863">
        <v>0.78014602954515599</v>
      </c>
      <c r="D863">
        <v>0.86044817502670101</v>
      </c>
      <c r="E863">
        <v>0.54308021577797505</v>
      </c>
      <c r="F863">
        <v>0.24335023214211399</v>
      </c>
      <c r="G863">
        <v>0.15352256797196401</v>
      </c>
      <c r="H863">
        <v>8.9322425065036098E-2</v>
      </c>
      <c r="I863">
        <v>0.121684393810593</v>
      </c>
      <c r="J863">
        <v>0.21116287683842999</v>
      </c>
      <c r="K863">
        <v>0.25154209581768999</v>
      </c>
      <c r="L863">
        <v>1009.97247700714</v>
      </c>
      <c r="M863">
        <v>20.6879958530476</v>
      </c>
      <c r="N863">
        <v>49.677770477795697</v>
      </c>
      <c r="O863">
        <v>48.369971676079999</v>
      </c>
      <c r="P863">
        <v>-9.0857766608997595E-2</v>
      </c>
      <c r="Q863">
        <v>0.15029711325877201</v>
      </c>
      <c r="R863">
        <v>0.94519188442326396</v>
      </c>
      <c r="S863" t="s">
        <v>7533</v>
      </c>
      <c r="T863" t="s">
        <v>13338</v>
      </c>
      <c r="U863" t="s">
        <v>13338</v>
      </c>
      <c r="V863" t="s">
        <v>13338</v>
      </c>
      <c r="W863" t="s">
        <v>14188</v>
      </c>
      <c r="X863">
        <v>2</v>
      </c>
      <c r="Y863" t="s">
        <v>20792</v>
      </c>
      <c r="Z863" t="s">
        <v>27278</v>
      </c>
      <c r="AA863">
        <v>0.41121307468096752</v>
      </c>
      <c r="AB863" t="str">
        <f>HYPERLINK("Melting_Curves/meltCurve_H0YBZ4_MTFR1.pdf", "Melting_Curves/meltCurve_H0YBZ4_MTFR1.pdf")</f>
        <v>Melting_Curves/meltCurve_H0YBZ4_MTFR1.pdf</v>
      </c>
    </row>
    <row r="864" spans="1:28" x14ac:dyDescent="0.25">
      <c r="A864" t="s">
        <v>868</v>
      </c>
      <c r="B864">
        <v>0.99193492352474899</v>
      </c>
      <c r="C864">
        <v>0.91722487019013899</v>
      </c>
      <c r="D864">
        <v>0.91638413008368602</v>
      </c>
      <c r="E864">
        <v>0.63704229322221995</v>
      </c>
      <c r="F864">
        <v>0.67257763523688996</v>
      </c>
      <c r="G864">
        <v>0.447185214790012</v>
      </c>
      <c r="H864">
        <v>0.51310321069331399</v>
      </c>
      <c r="I864">
        <v>0.66411798448165704</v>
      </c>
      <c r="J864">
        <v>0.690068505180501</v>
      </c>
      <c r="K864">
        <v>0.77612254473831999</v>
      </c>
      <c r="L864">
        <v>2458.41398729307</v>
      </c>
      <c r="M864">
        <v>52.287780947734497</v>
      </c>
      <c r="O864">
        <v>46.948344370840701</v>
      </c>
      <c r="P864">
        <v>-0.104302134544113</v>
      </c>
      <c r="Q864">
        <v>0.62539535185976702</v>
      </c>
      <c r="R864">
        <v>0.713514143148408</v>
      </c>
      <c r="S864" t="s">
        <v>7534</v>
      </c>
      <c r="T864" t="s">
        <v>13338</v>
      </c>
      <c r="U864" t="s">
        <v>13338</v>
      </c>
      <c r="V864" t="s">
        <v>13338</v>
      </c>
      <c r="W864" t="s">
        <v>14189</v>
      </c>
      <c r="X864">
        <v>1</v>
      </c>
      <c r="Y864" t="s">
        <v>20793</v>
      </c>
      <c r="Z864" t="s">
        <v>27279</v>
      </c>
      <c r="AA864">
        <v>0.71372611774417305</v>
      </c>
      <c r="AB864" t="str">
        <f>HYPERLINK("Melting_Curves/meltCurve_H0YC40_CD47.pdf", "Melting_Curves/meltCurve_H0YC40_CD47.pdf")</f>
        <v>Melting_Curves/meltCurve_H0YC40_CD47.pdf</v>
      </c>
    </row>
    <row r="865" spans="1:28" x14ac:dyDescent="0.25">
      <c r="A865" t="s">
        <v>869</v>
      </c>
      <c r="B865">
        <v>0.99193492352474899</v>
      </c>
      <c r="C865">
        <v>0.64896962921401202</v>
      </c>
      <c r="D865">
        <v>1.0024892375137799</v>
      </c>
      <c r="E865">
        <v>0.70047763121601803</v>
      </c>
      <c r="F865">
        <v>0.61191974568187901</v>
      </c>
      <c r="G865">
        <v>0.22855241238115101</v>
      </c>
      <c r="H865">
        <v>7.4278738557058493E-2</v>
      </c>
      <c r="I865">
        <v>8.4983545855131001E-2</v>
      </c>
      <c r="J865">
        <v>9.8888457462273802E-2</v>
      </c>
      <c r="K865">
        <v>0.105526370322751</v>
      </c>
      <c r="L865">
        <v>774.11632440855999</v>
      </c>
      <c r="M865">
        <v>14.6090605000655</v>
      </c>
      <c r="N865">
        <v>53.1795041717576</v>
      </c>
      <c r="O865">
        <v>52.025614203586997</v>
      </c>
      <c r="P865">
        <v>-6.84174461657438E-2</v>
      </c>
      <c r="Q865">
        <v>2.5519562795221499E-2</v>
      </c>
      <c r="R865">
        <v>0.89096318446179901</v>
      </c>
      <c r="S865" t="s">
        <v>7535</v>
      </c>
      <c r="T865" t="s">
        <v>13338</v>
      </c>
      <c r="U865" t="s">
        <v>13338</v>
      </c>
      <c r="V865" t="s">
        <v>13338</v>
      </c>
      <c r="W865" t="s">
        <v>14190</v>
      </c>
      <c r="X865">
        <v>4</v>
      </c>
      <c r="Y865" t="s">
        <v>20794</v>
      </c>
      <c r="Z865" t="s">
        <v>27280</v>
      </c>
      <c r="AA865">
        <v>0.46918672189975458</v>
      </c>
      <c r="AB865" t="str">
        <f>HYPERLINK("Melting_Curves/meltCurve_H0YCP7_TSTA3.pdf", "Melting_Curves/meltCurve_H0YCP7_TSTA3.pdf")</f>
        <v>Melting_Curves/meltCurve_H0YCP7_TSTA3.pdf</v>
      </c>
    </row>
    <row r="866" spans="1:28" x14ac:dyDescent="0.25">
      <c r="A866" t="s">
        <v>870</v>
      </c>
      <c r="B866">
        <v>0.99193492352474899</v>
      </c>
      <c r="C866">
        <v>1.2400304696714299</v>
      </c>
      <c r="D866">
        <v>1.29154139734621</v>
      </c>
      <c r="E866">
        <v>0.940772746437334</v>
      </c>
      <c r="F866">
        <v>0.65972994228475801</v>
      </c>
      <c r="G866">
        <v>0.54976371563597803</v>
      </c>
      <c r="H866">
        <v>0.24718364959123601</v>
      </c>
      <c r="I866">
        <v>0</v>
      </c>
      <c r="J866">
        <v>0</v>
      </c>
      <c r="K866">
        <v>0</v>
      </c>
      <c r="L866">
        <v>1135.81867157432</v>
      </c>
      <c r="M866">
        <v>20.090530165193499</v>
      </c>
      <c r="N866">
        <v>56.535027203811801</v>
      </c>
      <c r="O866">
        <v>55.983853135499203</v>
      </c>
      <c r="P866">
        <v>-8.9718621885488098E-2</v>
      </c>
      <c r="Q866">
        <v>0</v>
      </c>
      <c r="R866">
        <v>0.92343464025675104</v>
      </c>
      <c r="S866" t="s">
        <v>7536</v>
      </c>
      <c r="T866" t="s">
        <v>13338</v>
      </c>
      <c r="U866" t="s">
        <v>13338</v>
      </c>
      <c r="V866" t="s">
        <v>13338</v>
      </c>
      <c r="W866" t="s">
        <v>14191</v>
      </c>
      <c r="X866">
        <v>1</v>
      </c>
      <c r="Y866" t="s">
        <v>20795</v>
      </c>
      <c r="Z866" t="s">
        <v>27281</v>
      </c>
      <c r="AA866">
        <v>0.56366372813184451</v>
      </c>
      <c r="AB866" t="str">
        <f>HYPERLINK("Melting_Curves/meltCurve_H0YCY4_GLB1L2.pdf", "Melting_Curves/meltCurve_H0YCY4_GLB1L2.pdf")</f>
        <v>Melting_Curves/meltCurve_H0YCY4_GLB1L2.pdf</v>
      </c>
    </row>
    <row r="867" spans="1:28" x14ac:dyDescent="0.25">
      <c r="A867" t="s">
        <v>871</v>
      </c>
      <c r="B867">
        <v>0.99193492352474899</v>
      </c>
      <c r="C867">
        <v>0.92787012602679397</v>
      </c>
      <c r="D867">
        <v>1.57239569703384</v>
      </c>
      <c r="E867">
        <v>0.85056375358446901</v>
      </c>
      <c r="F867">
        <v>0.72971777092261003</v>
      </c>
      <c r="G867">
        <v>0.28461927906724299</v>
      </c>
      <c r="H867">
        <v>0.136723732331785</v>
      </c>
      <c r="I867">
        <v>0.13460240361852699</v>
      </c>
      <c r="J867">
        <v>0.167888207154995</v>
      </c>
      <c r="K867">
        <v>0.20690358770879799</v>
      </c>
      <c r="L867">
        <v>1939.1724986002801</v>
      </c>
      <c r="M867">
        <v>35.808179295883001</v>
      </c>
      <c r="N867">
        <v>54.7271295376609</v>
      </c>
      <c r="O867">
        <v>53.986394105321402</v>
      </c>
      <c r="P867">
        <v>-0.139910918683744</v>
      </c>
      <c r="Q867">
        <v>0.15625296889066501</v>
      </c>
      <c r="R867">
        <v>0.83606736303326101</v>
      </c>
      <c r="S867" t="s">
        <v>7537</v>
      </c>
      <c r="T867" t="s">
        <v>13338</v>
      </c>
      <c r="U867" t="s">
        <v>13338</v>
      </c>
      <c r="V867" t="s">
        <v>13338</v>
      </c>
      <c r="W867" t="s">
        <v>14192</v>
      </c>
      <c r="X867">
        <v>1</v>
      </c>
      <c r="Y867" t="s">
        <v>20796</v>
      </c>
      <c r="Z867" t="s">
        <v>27282</v>
      </c>
      <c r="AA867">
        <v>0.55827359186312775</v>
      </c>
      <c r="AB867" t="str">
        <f>HYPERLINK("Melting_Curves/meltCurve_H0YDD3_ALG8.pdf", "Melting_Curves/meltCurve_H0YDD3_ALG8.pdf")</f>
        <v>Melting_Curves/meltCurve_H0YDD3_ALG8.pdf</v>
      </c>
    </row>
    <row r="868" spans="1:28" x14ac:dyDescent="0.25">
      <c r="A868" t="s">
        <v>872</v>
      </c>
      <c r="B868">
        <v>0.99193492352474899</v>
      </c>
      <c r="C868">
        <v>1.0180843233974901</v>
      </c>
      <c r="D868">
        <v>1.0857206463274001</v>
      </c>
      <c r="E868">
        <v>1.0481373344673</v>
      </c>
      <c r="F868">
        <v>0.92285109556718004</v>
      </c>
      <c r="G868">
        <v>0.56633720961308898</v>
      </c>
      <c r="H868">
        <v>0.365475031101542</v>
      </c>
      <c r="I868">
        <v>0.31178233159170898</v>
      </c>
      <c r="J868">
        <v>0.38498506566651303</v>
      </c>
      <c r="K868">
        <v>0.469951562105343</v>
      </c>
      <c r="L868">
        <v>2573.7739764735202</v>
      </c>
      <c r="M868">
        <v>46.2277164293859</v>
      </c>
      <c r="N868">
        <v>57.459232764023099</v>
      </c>
      <c r="O868">
        <v>55.572102807583803</v>
      </c>
      <c r="P868">
        <v>-0.128749238814381</v>
      </c>
      <c r="Q868">
        <v>0.38090321834018798</v>
      </c>
      <c r="R868">
        <v>0.97414440176830597</v>
      </c>
      <c r="S868" t="s">
        <v>7538</v>
      </c>
      <c r="T868" t="s">
        <v>13338</v>
      </c>
      <c r="U868" t="s">
        <v>13338</v>
      </c>
      <c r="V868" t="s">
        <v>13338</v>
      </c>
      <c r="W868" t="s">
        <v>14193</v>
      </c>
      <c r="X868">
        <v>4</v>
      </c>
      <c r="Y868" t="s">
        <v>20797</v>
      </c>
      <c r="Z868" t="s">
        <v>27283</v>
      </c>
      <c r="AA868">
        <v>0.70617892617251732</v>
      </c>
      <c r="AB868" t="str">
        <f>HYPERLINK("Melting_Curves/meltCurve_H0YDS0_UBQLN1.pdf", "Melting_Curves/meltCurve_H0YDS0_UBQLN1.pdf")</f>
        <v>Melting_Curves/meltCurve_H0YDS0_UBQLN1.pdf</v>
      </c>
    </row>
    <row r="869" spans="1:28" x14ac:dyDescent="0.25">
      <c r="A869" t="s">
        <v>873</v>
      </c>
      <c r="B869">
        <v>0.99193492352474899</v>
      </c>
      <c r="C869">
        <v>0.86915468658268902</v>
      </c>
      <c r="D869">
        <v>0.88138996131621195</v>
      </c>
      <c r="E869">
        <v>0.68233270672312696</v>
      </c>
      <c r="F869">
        <v>0.280353655782073</v>
      </c>
      <c r="G869">
        <v>0.11013874484844</v>
      </c>
      <c r="H869">
        <v>7.1158982615160404E-2</v>
      </c>
      <c r="I869">
        <v>7.8537739216127306E-2</v>
      </c>
      <c r="J869">
        <v>8.5234406412702399E-2</v>
      </c>
      <c r="K869">
        <v>9.06504560935079E-2</v>
      </c>
      <c r="L869">
        <v>1151.12619377029</v>
      </c>
      <c r="M869">
        <v>22.7437730799418</v>
      </c>
      <c r="N869">
        <v>50.930380164944403</v>
      </c>
      <c r="O869">
        <v>50.226400182004298</v>
      </c>
      <c r="P869">
        <v>-0.105724251285678</v>
      </c>
      <c r="Q869">
        <v>6.6110162629894095E-2</v>
      </c>
      <c r="R869">
        <v>0.986742877609189</v>
      </c>
      <c r="S869" t="s">
        <v>7539</v>
      </c>
      <c r="T869" t="s">
        <v>13338</v>
      </c>
      <c r="U869" t="s">
        <v>13338</v>
      </c>
      <c r="V869" t="s">
        <v>13338</v>
      </c>
      <c r="W869" t="s">
        <v>14194</v>
      </c>
      <c r="X869">
        <v>21</v>
      </c>
      <c r="Y869" t="s">
        <v>20798</v>
      </c>
      <c r="Z869" t="s">
        <v>27284</v>
      </c>
      <c r="AA869">
        <v>0.40660638669658439</v>
      </c>
      <c r="AB869" t="str">
        <f>HYPERLINK("Melting_Curves/meltCurve_H0YDU8_PPP5C.pdf", "Melting_Curves/meltCurve_H0YDU8_PPP5C.pdf")</f>
        <v>Melting_Curves/meltCurve_H0YDU8_PPP5C.pdf</v>
      </c>
    </row>
    <row r="870" spans="1:28" x14ac:dyDescent="0.25">
      <c r="A870" t="s">
        <v>874</v>
      </c>
      <c r="B870">
        <v>0.99193492352474899</v>
      </c>
      <c r="C870">
        <v>1.01509984115431</v>
      </c>
      <c r="D870">
        <v>0.99262403637399099</v>
      </c>
      <c r="E870">
        <v>0.73901299606455595</v>
      </c>
      <c r="F870">
        <v>0.75265127196847303</v>
      </c>
      <c r="G870">
        <v>0.44452436588739702</v>
      </c>
      <c r="H870">
        <v>0.27610364329160397</v>
      </c>
      <c r="I870">
        <v>0.30857877940790901</v>
      </c>
      <c r="J870">
        <v>0.33920551943487698</v>
      </c>
      <c r="K870">
        <v>0.48530242134683399</v>
      </c>
      <c r="L870">
        <v>1031.6576813904401</v>
      </c>
      <c r="M870">
        <v>19.590748128153098</v>
      </c>
      <c r="N870">
        <v>55.909697176706104</v>
      </c>
      <c r="O870">
        <v>52.120964385834903</v>
      </c>
      <c r="P870">
        <v>-6.2034408241014201E-2</v>
      </c>
      <c r="Q870">
        <v>0.33985594650318501</v>
      </c>
      <c r="R870">
        <v>0.92386411733429197</v>
      </c>
      <c r="S870" t="s">
        <v>7540</v>
      </c>
      <c r="T870" t="s">
        <v>13338</v>
      </c>
      <c r="U870" t="s">
        <v>13338</v>
      </c>
      <c r="V870" t="s">
        <v>13338</v>
      </c>
      <c r="W870" t="s">
        <v>14195</v>
      </c>
      <c r="X870">
        <v>1</v>
      </c>
      <c r="Y870" t="s">
        <v>20799</v>
      </c>
      <c r="Z870" t="s">
        <v>27285</v>
      </c>
      <c r="AA870">
        <v>0.62788084492622398</v>
      </c>
      <c r="AB870" t="str">
        <f>HYPERLINK("Melting_Curves/meltCurve_H0YDX6_CD44.pdf", "Melting_Curves/meltCurve_H0YDX6_CD44.pdf")</f>
        <v>Melting_Curves/meltCurve_H0YDX6_CD44.pdf</v>
      </c>
    </row>
    <row r="871" spans="1:28" x14ac:dyDescent="0.25">
      <c r="A871" t="s">
        <v>875</v>
      </c>
      <c r="B871">
        <v>0.99193492352474899</v>
      </c>
      <c r="C871">
        <v>0.408810828775026</v>
      </c>
      <c r="D871">
        <v>0.70706147900189398</v>
      </c>
      <c r="E871">
        <v>0.25278803909355302</v>
      </c>
      <c r="F871">
        <v>4.9584343169262297</v>
      </c>
      <c r="G871">
        <v>0.28801201846571001</v>
      </c>
      <c r="H871">
        <v>0.31353961063922797</v>
      </c>
      <c r="I871">
        <v>0.318252951055288</v>
      </c>
      <c r="J871">
        <v>0.97591562467263404</v>
      </c>
      <c r="K871">
        <v>0.659002202025876</v>
      </c>
      <c r="L871">
        <v>3954.4921402875698</v>
      </c>
      <c r="M871">
        <v>70.498451087405499</v>
      </c>
      <c r="O871">
        <v>56.048229185644097</v>
      </c>
      <c r="P871">
        <v>-0.14396411944683801</v>
      </c>
      <c r="Q871">
        <v>0.542178139044175</v>
      </c>
      <c r="R871">
        <v>5.6269388342036902E-2</v>
      </c>
      <c r="S871" t="s">
        <v>7541</v>
      </c>
      <c r="T871" t="s">
        <v>13338</v>
      </c>
      <c r="U871" t="s">
        <v>13338</v>
      </c>
      <c r="V871" t="s">
        <v>13338</v>
      </c>
      <c r="W871" t="s">
        <v>13673</v>
      </c>
      <c r="X871">
        <v>4</v>
      </c>
      <c r="Y871" t="s">
        <v>20277</v>
      </c>
      <c r="Z871" t="s">
        <v>27286</v>
      </c>
      <c r="AA871">
        <v>0.78834212882246313</v>
      </c>
      <c r="AB871" t="str">
        <f>HYPERLINK("Melting_Curves/meltCurve_H0YE22_EIF4G2.pdf", "Melting_Curves/meltCurve_H0YE22_EIF4G2.pdf")</f>
        <v>Melting_Curves/meltCurve_H0YE22_EIF4G2.pdf</v>
      </c>
    </row>
    <row r="872" spans="1:28" x14ac:dyDescent="0.25">
      <c r="A872" t="s">
        <v>876</v>
      </c>
      <c r="B872">
        <v>0.99193492352474899</v>
      </c>
      <c r="C872">
        <v>0.81889315692766096</v>
      </c>
      <c r="D872">
        <v>0.59647032738012595</v>
      </c>
      <c r="E872">
        <v>0.353550161548775</v>
      </c>
      <c r="F872">
        <v>0.20366402041814299</v>
      </c>
      <c r="G872">
        <v>0.113956501999683</v>
      </c>
      <c r="H872">
        <v>7.2512308884544796E-2</v>
      </c>
      <c r="I872">
        <v>0.12889867698652799</v>
      </c>
      <c r="J872">
        <v>8.6885075174815807E-2</v>
      </c>
      <c r="K872">
        <v>0.147902031033458</v>
      </c>
      <c r="L872">
        <v>812.49372933841596</v>
      </c>
      <c r="M872">
        <v>17.419181745753001</v>
      </c>
      <c r="N872">
        <v>47.248897119730799</v>
      </c>
      <c r="O872">
        <v>46.041911721438701</v>
      </c>
      <c r="P872">
        <v>-8.5129654293926604E-2</v>
      </c>
      <c r="Q872">
        <v>0.10000093810082999</v>
      </c>
      <c r="R872">
        <v>0.99242170130472596</v>
      </c>
      <c r="S872" t="s">
        <v>7542</v>
      </c>
      <c r="T872" t="s">
        <v>13338</v>
      </c>
      <c r="U872" t="s">
        <v>13338</v>
      </c>
      <c r="V872" t="s">
        <v>13338</v>
      </c>
      <c r="W872" t="s">
        <v>14196</v>
      </c>
      <c r="X872">
        <v>2</v>
      </c>
      <c r="Y872" t="s">
        <v>20800</v>
      </c>
      <c r="Z872" t="s">
        <v>27287</v>
      </c>
      <c r="AA872">
        <v>0.31749656512135632</v>
      </c>
      <c r="AB872" t="str">
        <f>HYPERLINK("Melting_Curves/meltCurve_H0YE91_CHI3L2.pdf", "Melting_Curves/meltCurve_H0YE91_CHI3L2.pdf")</f>
        <v>Melting_Curves/meltCurve_H0YE91_CHI3L2.pdf</v>
      </c>
    </row>
    <row r="873" spans="1:28" x14ac:dyDescent="0.25">
      <c r="A873" t="s">
        <v>877</v>
      </c>
      <c r="B873">
        <v>0.99193492352474899</v>
      </c>
      <c r="C873">
        <v>1.22223003925125</v>
      </c>
      <c r="D873">
        <v>1.2112591426405499</v>
      </c>
      <c r="E873">
        <v>1.22733002884186</v>
      </c>
      <c r="F873">
        <v>1.44642641732154</v>
      </c>
      <c r="G873">
        <v>1.16245096697035</v>
      </c>
      <c r="H873">
        <v>0.74693667940586095</v>
      </c>
      <c r="I873">
        <v>1.0395989565106301</v>
      </c>
      <c r="J873">
        <v>1.27041512768744</v>
      </c>
      <c r="K873">
        <v>1.3121209304972099</v>
      </c>
      <c r="L873">
        <v>5697.1695380805304</v>
      </c>
      <c r="M873">
        <v>86.896076521990594</v>
      </c>
      <c r="O873">
        <v>65.528324558351898</v>
      </c>
      <c r="P873">
        <v>0.103093895093587</v>
      </c>
      <c r="Q873">
        <v>1.3109723585092801</v>
      </c>
      <c r="R873">
        <v>-0.275219242599335</v>
      </c>
      <c r="S873" t="s">
        <v>7543</v>
      </c>
      <c r="T873" t="s">
        <v>13338</v>
      </c>
      <c r="U873" t="s">
        <v>13338</v>
      </c>
      <c r="V873" t="s">
        <v>13338</v>
      </c>
      <c r="W873" t="s">
        <v>14197</v>
      </c>
      <c r="X873">
        <v>9</v>
      </c>
      <c r="Y873" t="s">
        <v>20801</v>
      </c>
      <c r="Z873" t="s">
        <v>27288</v>
      </c>
      <c r="AA873">
        <v>1.0457329164271401</v>
      </c>
      <c r="AB873" t="str">
        <f>HYPERLINK("Melting_Curves/meltCurve_H0YEB6_SSSCA1.pdf", "Melting_Curves/meltCurve_H0YEB6_SSSCA1.pdf")</f>
        <v>Melting_Curves/meltCurve_H0YEB6_SSSCA1.pdf</v>
      </c>
    </row>
    <row r="874" spans="1:28" x14ac:dyDescent="0.25">
      <c r="A874" t="s">
        <v>878</v>
      </c>
      <c r="B874">
        <v>0.99193492352474899</v>
      </c>
      <c r="C874">
        <v>1.20207996238449</v>
      </c>
      <c r="D874">
        <v>0.94814461574753695</v>
      </c>
      <c r="E874">
        <v>0.800699737947001</v>
      </c>
      <c r="F874">
        <v>0.49911135349970798</v>
      </c>
      <c r="G874">
        <v>0.34945034232591798</v>
      </c>
      <c r="H874">
        <v>0.25199957423874098</v>
      </c>
      <c r="I874">
        <v>0.20387684293932901</v>
      </c>
      <c r="J874">
        <v>0.21981051020173001</v>
      </c>
      <c r="K874">
        <v>0.178400088794023</v>
      </c>
      <c r="L874">
        <v>1141.2362326984501</v>
      </c>
      <c r="M874">
        <v>21.875983073606999</v>
      </c>
      <c r="N874">
        <v>53.441522722892401</v>
      </c>
      <c r="O874">
        <v>51.738391417146403</v>
      </c>
      <c r="P874">
        <v>-8.4240733269615106E-2</v>
      </c>
      <c r="Q874">
        <v>0.20307487321919601</v>
      </c>
      <c r="R874">
        <v>0.96520609951773595</v>
      </c>
      <c r="S874" t="s">
        <v>7544</v>
      </c>
      <c r="T874" t="s">
        <v>13338</v>
      </c>
      <c r="U874" t="s">
        <v>13338</v>
      </c>
      <c r="V874" t="s">
        <v>13338</v>
      </c>
      <c r="W874" t="s">
        <v>14198</v>
      </c>
      <c r="X874">
        <v>8</v>
      </c>
      <c r="Y874" t="s">
        <v>20802</v>
      </c>
      <c r="Z874" t="s">
        <v>27289</v>
      </c>
      <c r="AA874">
        <v>0.53568797208856955</v>
      </c>
      <c r="AB874" t="str">
        <f>HYPERLINK("Melting_Curves/meltCurve_H0YEF3_RNASEH2C.pdf", "Melting_Curves/meltCurve_H0YEF3_RNASEH2C.pdf")</f>
        <v>Melting_Curves/meltCurve_H0YEF3_RNASEH2C.pdf</v>
      </c>
    </row>
    <row r="875" spans="1:28" x14ac:dyDescent="0.25">
      <c r="A875" t="s">
        <v>879</v>
      </c>
      <c r="B875">
        <v>0.99193492352474899</v>
      </c>
      <c r="C875">
        <v>0.84403658174157203</v>
      </c>
      <c r="D875">
        <v>0.82532887059848903</v>
      </c>
      <c r="E875">
        <v>0.73618051814781005</v>
      </c>
      <c r="F875">
        <v>0.56055982600529097</v>
      </c>
      <c r="G875">
        <v>0.32562629827897399</v>
      </c>
      <c r="H875">
        <v>0.15179982019931801</v>
      </c>
      <c r="I875">
        <v>0.16522291884625701</v>
      </c>
      <c r="J875">
        <v>0.19652663870991</v>
      </c>
      <c r="K875">
        <v>0.144119005966344</v>
      </c>
      <c r="L875">
        <v>603.51662295120798</v>
      </c>
      <c r="M875">
        <v>11.471865602993701</v>
      </c>
      <c r="N875">
        <v>53.343739947561801</v>
      </c>
      <c r="O875">
        <v>51.085966936517899</v>
      </c>
      <c r="P875">
        <v>-5.20492258502517E-2</v>
      </c>
      <c r="Q875">
        <v>7.3133378232433793E-2</v>
      </c>
      <c r="R875">
        <v>0.97501575182659905</v>
      </c>
      <c r="S875" t="s">
        <v>7545</v>
      </c>
      <c r="T875" t="s">
        <v>13338</v>
      </c>
      <c r="U875" t="s">
        <v>13338</v>
      </c>
      <c r="V875" t="s">
        <v>13338</v>
      </c>
      <c r="W875" t="s">
        <v>14199</v>
      </c>
      <c r="X875">
        <v>5</v>
      </c>
      <c r="Y875" t="s">
        <v>20803</v>
      </c>
      <c r="Z875" t="s">
        <v>27290</v>
      </c>
      <c r="AA875">
        <v>0.49131420854970698</v>
      </c>
      <c r="AB875" t="str">
        <f>HYPERLINK("Melting_Curves/meltCurve_H0YF29_C8orf82.pdf", "Melting_Curves/meltCurve_H0YF29_C8orf82.pdf")</f>
        <v>Melting_Curves/meltCurve_H0YF29_C8orf82.pdf</v>
      </c>
    </row>
    <row r="876" spans="1:28" x14ac:dyDescent="0.25">
      <c r="A876" t="s">
        <v>880</v>
      </c>
      <c r="B876">
        <v>0.99193492352474899</v>
      </c>
      <c r="C876">
        <v>0.95591887707426804</v>
      </c>
      <c r="D876">
        <v>0.805404838302198</v>
      </c>
      <c r="E876">
        <v>0.76785788606977001</v>
      </c>
      <c r="F876">
        <v>0.59059672530342</v>
      </c>
      <c r="G876">
        <v>0.51562348668375801</v>
      </c>
      <c r="H876">
        <v>0.50401521511361902</v>
      </c>
      <c r="I876">
        <v>0.62018432929216605</v>
      </c>
      <c r="J876">
        <v>0.60561067811299096</v>
      </c>
      <c r="K876">
        <v>0.72332392359527897</v>
      </c>
      <c r="L876">
        <v>969.28495999836002</v>
      </c>
      <c r="M876">
        <v>20.6166124680711</v>
      </c>
      <c r="O876">
        <v>46.579125087400797</v>
      </c>
      <c r="P876">
        <v>-4.5122679682200899E-2</v>
      </c>
      <c r="Q876">
        <v>0.59222898043324701</v>
      </c>
      <c r="R876">
        <v>0.842492745366204</v>
      </c>
      <c r="S876" t="s">
        <v>7546</v>
      </c>
      <c r="T876" t="s">
        <v>13338</v>
      </c>
      <c r="U876" t="s">
        <v>13338</v>
      </c>
      <c r="V876" t="s">
        <v>13338</v>
      </c>
      <c r="W876" t="s">
        <v>14200</v>
      </c>
      <c r="X876">
        <v>10</v>
      </c>
      <c r="Y876" t="s">
        <v>20804</v>
      </c>
      <c r="Z876" t="s">
        <v>27291</v>
      </c>
      <c r="AA876">
        <v>0.69315453867965071</v>
      </c>
      <c r="AB876" t="str">
        <f>HYPERLINK("Melting_Curves/meltCurve_H0YGR4_REXO2.pdf", "Melting_Curves/meltCurve_H0YGR4_REXO2.pdf")</f>
        <v>Melting_Curves/meltCurve_H0YGR4_REXO2.pdf</v>
      </c>
    </row>
    <row r="877" spans="1:28" x14ac:dyDescent="0.25">
      <c r="A877" t="s">
        <v>881</v>
      </c>
      <c r="B877">
        <v>0.99193492352474899</v>
      </c>
      <c r="C877">
        <v>0.64656055574013904</v>
      </c>
      <c r="D877">
        <v>0.75930857611538705</v>
      </c>
      <c r="E877">
        <v>0.53697678223688305</v>
      </c>
      <c r="F877">
        <v>0.26152062961599698</v>
      </c>
      <c r="G877">
        <v>0.102788885666785</v>
      </c>
      <c r="H877">
        <v>6.5509866038668194E-2</v>
      </c>
      <c r="I877">
        <v>7.9067077609904599E-2</v>
      </c>
      <c r="J877">
        <v>0.11142273994990699</v>
      </c>
      <c r="K877">
        <v>0.13203003903289101</v>
      </c>
      <c r="L877">
        <v>584.41071399461896</v>
      </c>
      <c r="M877">
        <v>12.0531317415911</v>
      </c>
      <c r="N877">
        <v>48.844222601628402</v>
      </c>
      <c r="O877">
        <v>47.209428185565798</v>
      </c>
      <c r="P877">
        <v>-6.1144020230089399E-2</v>
      </c>
      <c r="Q877">
        <v>4.2277225997927603E-2</v>
      </c>
      <c r="R877">
        <v>0.93271007037446496</v>
      </c>
      <c r="S877" t="s">
        <v>7547</v>
      </c>
      <c r="T877" t="s">
        <v>13338</v>
      </c>
      <c r="U877" t="s">
        <v>13338</v>
      </c>
      <c r="V877" t="s">
        <v>13338</v>
      </c>
      <c r="W877" t="s">
        <v>14201</v>
      </c>
      <c r="X877">
        <v>5</v>
      </c>
      <c r="Y877" t="s">
        <v>20805</v>
      </c>
      <c r="Z877" t="s">
        <v>27292</v>
      </c>
      <c r="AA877">
        <v>0.34923601947303762</v>
      </c>
      <c r="AB877" t="str">
        <f>HYPERLINK("Melting_Curves/meltCurve_H0YH87_ATXN2.pdf", "Melting_Curves/meltCurve_H0YH87_ATXN2.pdf")</f>
        <v>Melting_Curves/meltCurve_H0YH87_ATXN2.pdf</v>
      </c>
    </row>
    <row r="878" spans="1:28" x14ac:dyDescent="0.25">
      <c r="A878" t="s">
        <v>882</v>
      </c>
      <c r="B878">
        <v>0.99193492352474899</v>
      </c>
      <c r="C878">
        <v>0.81841984187148598</v>
      </c>
      <c r="D878">
        <v>0.946291403976387</v>
      </c>
      <c r="E878">
        <v>0.77637107181610998</v>
      </c>
      <c r="F878">
        <v>0.68465377505768699</v>
      </c>
      <c r="G878">
        <v>0.48824537705361398</v>
      </c>
      <c r="H878">
        <v>0.48276535021459899</v>
      </c>
      <c r="I878">
        <v>0.58197478687390303</v>
      </c>
      <c r="J878">
        <v>0.72227640274315796</v>
      </c>
      <c r="K878">
        <v>0.90940570856911596</v>
      </c>
      <c r="L878">
        <v>998.17196404764695</v>
      </c>
      <c r="M878">
        <v>20.927336081252498</v>
      </c>
      <c r="O878">
        <v>47.267923079638301</v>
      </c>
      <c r="P878">
        <v>-3.9804620820953901E-2</v>
      </c>
      <c r="Q878">
        <v>0.64038796904240503</v>
      </c>
      <c r="R878">
        <v>0.45967796159664998</v>
      </c>
      <c r="S878" t="s">
        <v>7548</v>
      </c>
      <c r="T878" t="s">
        <v>13338</v>
      </c>
      <c r="U878" t="s">
        <v>13338</v>
      </c>
      <c r="V878" t="s">
        <v>13338</v>
      </c>
      <c r="W878" t="s">
        <v>14176</v>
      </c>
      <c r="X878">
        <v>13</v>
      </c>
      <c r="Z878" t="s">
        <v>27293</v>
      </c>
      <c r="AA878">
        <v>0.73732119064665769</v>
      </c>
      <c r="AB878" t="str">
        <f>HYPERLINK("Melting_Curves/meltCurve_H0YHG0_.pdf", "Melting_Curves/meltCurve_H0YHG0_.pdf")</f>
        <v>Melting_Curves/meltCurve_H0YHG0_.pdf</v>
      </c>
    </row>
    <row r="879" spans="1:28" x14ac:dyDescent="0.25">
      <c r="A879" t="s">
        <v>883</v>
      </c>
      <c r="B879">
        <v>0.99193492352474899</v>
      </c>
      <c r="C879">
        <v>0.489484972964431</v>
      </c>
      <c r="D879">
        <v>0.40715584618835399</v>
      </c>
      <c r="E879">
        <v>0.42191203182109499</v>
      </c>
      <c r="F879">
        <v>0.37868679298278501</v>
      </c>
      <c r="G879">
        <v>0.83107974530546602</v>
      </c>
      <c r="H879">
        <v>1.3424138483035699</v>
      </c>
      <c r="I879">
        <v>4.9666025383620296</v>
      </c>
      <c r="J879">
        <v>4.2009790801335898</v>
      </c>
      <c r="K879">
        <v>3.2207306130914501</v>
      </c>
      <c r="L879">
        <v>15000</v>
      </c>
      <c r="M879">
        <v>247.48687448264701</v>
      </c>
      <c r="O879">
        <v>60.605328457956603</v>
      </c>
      <c r="P879">
        <v>0.51044794101070801</v>
      </c>
      <c r="Q879">
        <v>1.5</v>
      </c>
      <c r="R879">
        <v>0.12891930460829801</v>
      </c>
      <c r="S879" t="s">
        <v>7549</v>
      </c>
      <c r="T879" t="s">
        <v>13338</v>
      </c>
      <c r="U879" t="s">
        <v>13338</v>
      </c>
      <c r="V879" t="s">
        <v>13338</v>
      </c>
      <c r="W879" t="s">
        <v>14202</v>
      </c>
      <c r="X879">
        <v>2</v>
      </c>
      <c r="Y879" t="s">
        <v>20806</v>
      </c>
      <c r="Z879" t="s">
        <v>27294</v>
      </c>
      <c r="AA879">
        <v>1.156457815628454</v>
      </c>
      <c r="AB879" t="str">
        <f>HYPERLINK("Melting_Curves/meltCurve_H0YIQ8_KANSL2.pdf", "Melting_Curves/meltCurve_H0YIQ8_KANSL2.pdf")</f>
        <v>Melting_Curves/meltCurve_H0YIQ8_KANSL2.pdf</v>
      </c>
    </row>
    <row r="880" spans="1:28" x14ac:dyDescent="0.25">
      <c r="A880" t="s">
        <v>884</v>
      </c>
      <c r="B880">
        <v>0.99193492352474899</v>
      </c>
      <c r="C880">
        <v>0.96723917679833005</v>
      </c>
      <c r="D880">
        <v>0.79339954223530595</v>
      </c>
      <c r="E880">
        <v>0.62884198775494504</v>
      </c>
      <c r="F880">
        <v>0.38455861423045501</v>
      </c>
      <c r="G880">
        <v>0.27659707766071201</v>
      </c>
      <c r="H880">
        <v>0.17442970423354001</v>
      </c>
      <c r="I880">
        <v>0.19716303008095701</v>
      </c>
      <c r="J880">
        <v>0.24785053402548499</v>
      </c>
      <c r="K880">
        <v>0.315983852216428</v>
      </c>
      <c r="L880">
        <v>910.992209902985</v>
      </c>
      <c r="M880">
        <v>18.473833876096801</v>
      </c>
      <c r="N880">
        <v>50.954098444714703</v>
      </c>
      <c r="O880">
        <v>48.745643454258001</v>
      </c>
      <c r="P880">
        <v>-7.3501796570315803E-2</v>
      </c>
      <c r="Q880">
        <v>0.22425786987773599</v>
      </c>
      <c r="R880">
        <v>0.97986647875653099</v>
      </c>
      <c r="S880" t="s">
        <v>7550</v>
      </c>
      <c r="T880" t="s">
        <v>13338</v>
      </c>
      <c r="U880" t="s">
        <v>13338</v>
      </c>
      <c r="V880" t="s">
        <v>13338</v>
      </c>
      <c r="W880" t="s">
        <v>14176</v>
      </c>
      <c r="X880">
        <v>8</v>
      </c>
      <c r="Z880" t="s">
        <v>27295</v>
      </c>
      <c r="AA880">
        <v>0.47775865392558148</v>
      </c>
      <c r="AB880" t="str">
        <f>HYPERLINK("Melting_Curves/meltCurve_H0YIV9_.pdf", "Melting_Curves/meltCurve_H0YIV9_.pdf")</f>
        <v>Melting_Curves/meltCurve_H0YIV9_.pdf</v>
      </c>
    </row>
    <row r="881" spans="1:28" x14ac:dyDescent="0.25">
      <c r="A881" t="s">
        <v>885</v>
      </c>
      <c r="B881">
        <v>0.99193492352474899</v>
      </c>
      <c r="C881">
        <v>0.71191723469188595</v>
      </c>
      <c r="D881">
        <v>0.89776357183337596</v>
      </c>
      <c r="E881">
        <v>0.50991565735205402</v>
      </c>
      <c r="F881">
        <v>0.47304687805025097</v>
      </c>
      <c r="G881">
        <v>0.19174939867385599</v>
      </c>
      <c r="H881">
        <v>7.8939200548943697E-2</v>
      </c>
      <c r="I881">
        <v>0.121001762747865</v>
      </c>
      <c r="J881">
        <v>0.12412723078419199</v>
      </c>
      <c r="K881">
        <v>0.118628940299909</v>
      </c>
      <c r="L881">
        <v>586.87663744824704</v>
      </c>
      <c r="M881">
        <v>11.641008912856099</v>
      </c>
      <c r="N881">
        <v>50.8207901144457</v>
      </c>
      <c r="O881">
        <v>48.9957725343316</v>
      </c>
      <c r="P881">
        <v>-5.6774727967741898E-2</v>
      </c>
      <c r="Q881">
        <v>4.44238617935655E-2</v>
      </c>
      <c r="R881">
        <v>0.93141054464105499</v>
      </c>
      <c r="S881" t="s">
        <v>7551</v>
      </c>
      <c r="T881" t="s">
        <v>13338</v>
      </c>
      <c r="U881" t="s">
        <v>13338</v>
      </c>
      <c r="V881" t="s">
        <v>13338</v>
      </c>
      <c r="W881" t="s">
        <v>14203</v>
      </c>
      <c r="X881">
        <v>1</v>
      </c>
      <c r="Y881" t="s">
        <v>20807</v>
      </c>
      <c r="Z881" t="s">
        <v>27296</v>
      </c>
      <c r="AA881">
        <v>0.40993171109511711</v>
      </c>
      <c r="AB881" t="str">
        <f>HYPERLINK("Melting_Curves/meltCurve_H0YJT2_STRN3.pdf", "Melting_Curves/meltCurve_H0YJT2_STRN3.pdf")</f>
        <v>Melting_Curves/meltCurve_H0YJT2_STRN3.pdf</v>
      </c>
    </row>
    <row r="882" spans="1:28" x14ac:dyDescent="0.25">
      <c r="A882" t="s">
        <v>886</v>
      </c>
      <c r="B882">
        <v>0.99193492352474899</v>
      </c>
      <c r="C882">
        <v>0.89577452369923605</v>
      </c>
      <c r="D882">
        <v>0.82583848608240196</v>
      </c>
      <c r="E882">
        <v>0.69468609429730899</v>
      </c>
      <c r="F882">
        <v>0.52126980888981</v>
      </c>
      <c r="G882">
        <v>0.43050569063461502</v>
      </c>
      <c r="H882">
        <v>0.38366837367162698</v>
      </c>
      <c r="I882">
        <v>0.49370908639747502</v>
      </c>
      <c r="J882">
        <v>0.61899574795376999</v>
      </c>
      <c r="K882">
        <v>0.74023500843613599</v>
      </c>
      <c r="L882">
        <v>1021.49272264082</v>
      </c>
      <c r="M882">
        <v>21.7475219977926</v>
      </c>
      <c r="O882">
        <v>46.578792248678297</v>
      </c>
      <c r="P882">
        <v>-5.4843451868098497E-2</v>
      </c>
      <c r="Q882">
        <v>0.53015666499553105</v>
      </c>
      <c r="R882">
        <v>0.74896498237039</v>
      </c>
      <c r="S882" t="s">
        <v>7552</v>
      </c>
      <c r="T882" t="s">
        <v>13338</v>
      </c>
      <c r="U882" t="s">
        <v>13338</v>
      </c>
      <c r="V882" t="s">
        <v>13338</v>
      </c>
      <c r="W882" t="s">
        <v>14204</v>
      </c>
      <c r="X882">
        <v>25</v>
      </c>
      <c r="Y882" t="s">
        <v>20808</v>
      </c>
      <c r="Z882" t="s">
        <v>27297</v>
      </c>
      <c r="AA882">
        <v>0.6450435572885842</v>
      </c>
      <c r="AB882" t="str">
        <f>HYPERLINK("Melting_Curves/meltCurve_H0YK48_TPM1.pdf", "Melting_Curves/meltCurve_H0YK48_TPM1.pdf")</f>
        <v>Melting_Curves/meltCurve_H0YK48_TPM1.pdf</v>
      </c>
    </row>
    <row r="883" spans="1:28" x14ac:dyDescent="0.25">
      <c r="A883" t="s">
        <v>887</v>
      </c>
      <c r="B883">
        <v>0.99193492352474899</v>
      </c>
      <c r="C883">
        <v>0.81528029290292803</v>
      </c>
      <c r="D883">
        <v>1.12737540635989</v>
      </c>
      <c r="E883">
        <v>0.88217605122269604</v>
      </c>
      <c r="F883">
        <v>0.74427537322132198</v>
      </c>
      <c r="G883">
        <v>0.25233123380243999</v>
      </c>
      <c r="H883">
        <v>0.14116200261523801</v>
      </c>
      <c r="I883">
        <v>0.104213920445765</v>
      </c>
      <c r="J883">
        <v>0.151626712579644</v>
      </c>
      <c r="K883">
        <v>0.20449475319666499</v>
      </c>
      <c r="L883">
        <v>2125.1966952599601</v>
      </c>
      <c r="M883">
        <v>39.204923189686603</v>
      </c>
      <c r="N883">
        <v>54.683724299206503</v>
      </c>
      <c r="O883">
        <v>54.066935287080703</v>
      </c>
      <c r="P883">
        <v>-0.15505782598736301</v>
      </c>
      <c r="Q883">
        <v>0.14465007454284301</v>
      </c>
      <c r="R883">
        <v>0.95530932876003305</v>
      </c>
      <c r="S883" t="s">
        <v>7553</v>
      </c>
      <c r="T883" t="s">
        <v>13338</v>
      </c>
      <c r="U883" t="s">
        <v>13338</v>
      </c>
      <c r="V883" t="s">
        <v>13338</v>
      </c>
      <c r="W883" t="s">
        <v>14205</v>
      </c>
      <c r="X883">
        <v>5</v>
      </c>
      <c r="Y883" t="s">
        <v>20809</v>
      </c>
      <c r="Z883" t="s">
        <v>27298</v>
      </c>
      <c r="AA883">
        <v>0.55305481972319537</v>
      </c>
      <c r="AB883" t="str">
        <f>HYPERLINK("Melting_Curves/meltCurve_H0YK61_EMC4.pdf", "Melting_Curves/meltCurve_H0YK61_EMC4.pdf")</f>
        <v>Melting_Curves/meltCurve_H0YK61_EMC4.pdf</v>
      </c>
    </row>
    <row r="884" spans="1:28" x14ac:dyDescent="0.25">
      <c r="A884" t="s">
        <v>888</v>
      </c>
      <c r="B884">
        <v>0.99193492352474899</v>
      </c>
      <c r="C884">
        <v>0.74465844802091996</v>
      </c>
      <c r="D884">
        <v>0.66876186585665398</v>
      </c>
      <c r="E884">
        <v>0.476732502292809</v>
      </c>
      <c r="F884">
        <v>0.31109083318832698</v>
      </c>
      <c r="G884">
        <v>0.216527864810897</v>
      </c>
      <c r="H884">
        <v>0.12699816093087199</v>
      </c>
      <c r="I884">
        <v>9.76642021964155E-2</v>
      </c>
      <c r="J884">
        <v>0.121157583712453</v>
      </c>
      <c r="K884">
        <v>0.180560546034644</v>
      </c>
      <c r="L884">
        <v>579.22501377000901</v>
      </c>
      <c r="M884">
        <v>12.107665906381101</v>
      </c>
      <c r="N884">
        <v>48.725613977893403</v>
      </c>
      <c r="O884">
        <v>46.590597834092897</v>
      </c>
      <c r="P884">
        <v>-5.8562200651985898E-2</v>
      </c>
      <c r="Q884">
        <v>9.8814675968500507E-2</v>
      </c>
      <c r="R884">
        <v>0.97935134922799405</v>
      </c>
      <c r="S884" t="s">
        <v>7554</v>
      </c>
      <c r="T884" t="s">
        <v>13338</v>
      </c>
      <c r="U884" t="s">
        <v>13338</v>
      </c>
      <c r="V884" t="s">
        <v>13338</v>
      </c>
      <c r="W884" t="s">
        <v>14206</v>
      </c>
      <c r="X884">
        <v>1</v>
      </c>
      <c r="Y884" t="s">
        <v>20810</v>
      </c>
      <c r="Z884" t="s">
        <v>27299</v>
      </c>
      <c r="AA884">
        <v>0.36939239108509209</v>
      </c>
      <c r="AB884" t="str">
        <f>HYPERLINK("Melting_Curves/meltCurve_H0YKG9_EID1.pdf", "Melting_Curves/meltCurve_H0YKG9_EID1.pdf")</f>
        <v>Melting_Curves/meltCurve_H0YKG9_EID1.pdf</v>
      </c>
    </row>
    <row r="885" spans="1:28" x14ac:dyDescent="0.25">
      <c r="A885" t="s">
        <v>889</v>
      </c>
      <c r="B885">
        <v>0.99193492352474899</v>
      </c>
      <c r="C885">
        <v>1.25267957475076</v>
      </c>
      <c r="D885">
        <v>0.74792022704264705</v>
      </c>
      <c r="E885">
        <v>0.93547046140072299</v>
      </c>
      <c r="F885">
        <v>0.59023103582861902</v>
      </c>
      <c r="G885">
        <v>0.330634212661224</v>
      </c>
      <c r="H885">
        <v>0.214281283517608</v>
      </c>
      <c r="I885">
        <v>0.19694221196807701</v>
      </c>
      <c r="J885">
        <v>0.26311400779865701</v>
      </c>
      <c r="K885">
        <v>0.25655505770540599</v>
      </c>
      <c r="L885">
        <v>1447.6748334152501</v>
      </c>
      <c r="M885">
        <v>27.324094329235699</v>
      </c>
      <c r="N885">
        <v>54.166942145045603</v>
      </c>
      <c r="O885">
        <v>52.700277528896997</v>
      </c>
      <c r="P885">
        <v>-0.100453494726451</v>
      </c>
      <c r="Q885">
        <v>0.225024334731043</v>
      </c>
      <c r="R885">
        <v>0.90316852301781103</v>
      </c>
      <c r="S885" t="s">
        <v>7555</v>
      </c>
      <c r="T885" t="s">
        <v>13338</v>
      </c>
      <c r="U885" t="s">
        <v>13338</v>
      </c>
      <c r="V885" t="s">
        <v>13338</v>
      </c>
      <c r="W885" t="s">
        <v>14207</v>
      </c>
      <c r="X885">
        <v>2</v>
      </c>
      <c r="Y885" t="s">
        <v>20811</v>
      </c>
      <c r="Z885" t="s">
        <v>27300</v>
      </c>
      <c r="AA885">
        <v>0.56639683537368291</v>
      </c>
      <c r="AB885" t="str">
        <f>HYPERLINK("Melting_Curves/meltCurve_H0YKJ9_TSPAN3.pdf", "Melting_Curves/meltCurve_H0YKJ9_TSPAN3.pdf")</f>
        <v>Melting_Curves/meltCurve_H0YKJ9_TSPAN3.pdf</v>
      </c>
    </row>
    <row r="886" spans="1:28" x14ac:dyDescent="0.25">
      <c r="A886" t="s">
        <v>890</v>
      </c>
      <c r="B886">
        <v>0.99193492352474899</v>
      </c>
      <c r="C886">
        <v>1.3235753830830099</v>
      </c>
      <c r="D886">
        <v>1.06271808872924</v>
      </c>
      <c r="E886">
        <v>1.0434439977020999</v>
      </c>
      <c r="F886">
        <v>0.68062783334319998</v>
      </c>
      <c r="G886">
        <v>0.52765199599958101</v>
      </c>
      <c r="H886">
        <v>0.43989358146395702</v>
      </c>
      <c r="I886">
        <v>0.45223038398906701</v>
      </c>
      <c r="J886">
        <v>0.34770942043950898</v>
      </c>
      <c r="K886">
        <v>0.29153692733368097</v>
      </c>
      <c r="L886">
        <v>1579.4106986895199</v>
      </c>
      <c r="M886">
        <v>29.356901562911599</v>
      </c>
      <c r="N886">
        <v>56.534339606347302</v>
      </c>
      <c r="O886">
        <v>53.552533562919898</v>
      </c>
      <c r="P886">
        <v>-8.5092144667568398E-2</v>
      </c>
      <c r="Q886">
        <v>0.37910785859394303</v>
      </c>
      <c r="R886">
        <v>0.88213087404400503</v>
      </c>
      <c r="S886" t="s">
        <v>7556</v>
      </c>
      <c r="T886" t="s">
        <v>13338</v>
      </c>
      <c r="U886" t="s">
        <v>13338</v>
      </c>
      <c r="V886" t="s">
        <v>13338</v>
      </c>
      <c r="W886" t="s">
        <v>14208</v>
      </c>
      <c r="X886">
        <v>16</v>
      </c>
      <c r="Y886" t="s">
        <v>20812</v>
      </c>
      <c r="Z886" t="s">
        <v>27301</v>
      </c>
      <c r="AA886">
        <v>0.66896760762617891</v>
      </c>
      <c r="AB886" t="str">
        <f>HYPERLINK("Melting_Curves/meltCurve_H0YL70_TLE3.pdf", "Melting_Curves/meltCurve_H0YL70_TLE3.pdf")</f>
        <v>Melting_Curves/meltCurve_H0YL70_TLE3.pdf</v>
      </c>
    </row>
    <row r="887" spans="1:28" x14ac:dyDescent="0.25">
      <c r="A887" t="s">
        <v>891</v>
      </c>
      <c r="B887">
        <v>0.99193492352474899</v>
      </c>
      <c r="C887">
        <v>1.53169369082532</v>
      </c>
      <c r="D887">
        <v>0.70872240685794996</v>
      </c>
      <c r="E887">
        <v>1.0656157856836199</v>
      </c>
      <c r="F887">
        <v>0.63184605736275401</v>
      </c>
      <c r="G887">
        <v>0.78413212429878598</v>
      </c>
      <c r="H887">
        <v>0.57528340494544306</v>
      </c>
      <c r="I887">
        <v>1.05788051574248</v>
      </c>
      <c r="J887">
        <v>2.4708251915156101</v>
      </c>
      <c r="K887">
        <v>3.5025665288471899</v>
      </c>
      <c r="L887">
        <v>15000</v>
      </c>
      <c r="M887">
        <v>232.36827742821001</v>
      </c>
      <c r="O887">
        <v>64.547919878410895</v>
      </c>
      <c r="P887">
        <v>0.449991802134872</v>
      </c>
      <c r="Q887">
        <v>1.5</v>
      </c>
      <c r="R887">
        <v>0.29449367139716598</v>
      </c>
      <c r="S887" t="s">
        <v>7557</v>
      </c>
      <c r="T887" t="s">
        <v>13338</v>
      </c>
      <c r="U887" t="s">
        <v>13338</v>
      </c>
      <c r="V887" t="s">
        <v>13338</v>
      </c>
      <c r="W887" t="s">
        <v>14209</v>
      </c>
      <c r="X887">
        <v>25</v>
      </c>
      <c r="Y887" t="s">
        <v>20813</v>
      </c>
      <c r="Z887" t="s">
        <v>27302</v>
      </c>
      <c r="AA887">
        <v>1.090722742968496</v>
      </c>
      <c r="AB887" t="str">
        <f>HYPERLINK("Melting_Curves/meltCurve_H0YLA4_SORD.pdf", "Melting_Curves/meltCurve_H0YLA4_SORD.pdf")</f>
        <v>Melting_Curves/meltCurve_H0YLA4_SORD.pdf</v>
      </c>
    </row>
    <row r="888" spans="1:28" x14ac:dyDescent="0.25">
      <c r="A888" t="s">
        <v>892</v>
      </c>
      <c r="B888">
        <v>0.99193492352474899</v>
      </c>
      <c r="C888">
        <v>0.70970271333402801</v>
      </c>
      <c r="D888">
        <v>0.57506764427484502</v>
      </c>
      <c r="E888">
        <v>0.23264051337717001</v>
      </c>
      <c r="F888">
        <v>0.13223434843958701</v>
      </c>
      <c r="G888">
        <v>9.2880845697704398E-2</v>
      </c>
      <c r="H888">
        <v>7.6356915575703802E-2</v>
      </c>
      <c r="I888">
        <v>6.6110985483186099E-2</v>
      </c>
      <c r="J888">
        <v>6.9469544815485298E-2</v>
      </c>
      <c r="K888">
        <v>9.1161307831001903E-2</v>
      </c>
      <c r="L888">
        <v>812.71823709801401</v>
      </c>
      <c r="M888">
        <v>17.737220499876099</v>
      </c>
      <c r="N888">
        <v>46.191911694343403</v>
      </c>
      <c r="O888">
        <v>45.2494195229052</v>
      </c>
      <c r="P888">
        <v>-9.1479823376987804E-2</v>
      </c>
      <c r="Q888">
        <v>6.6552173237464804E-2</v>
      </c>
      <c r="R888">
        <v>0.98632441302268903</v>
      </c>
      <c r="S888" t="s">
        <v>7558</v>
      </c>
      <c r="T888" t="s">
        <v>13338</v>
      </c>
      <c r="U888" t="s">
        <v>13338</v>
      </c>
      <c r="V888" t="s">
        <v>13338</v>
      </c>
      <c r="W888" t="s">
        <v>14210</v>
      </c>
      <c r="X888">
        <v>4</v>
      </c>
      <c r="Y888" t="s">
        <v>20814</v>
      </c>
      <c r="Z888" t="s">
        <v>27303</v>
      </c>
      <c r="AA888">
        <v>0.26685323307808451</v>
      </c>
      <c r="AB888" t="str">
        <f>HYPERLINK("Melting_Curves/meltCurve_H0YLB5_POU2F1.pdf", "Melting_Curves/meltCurve_H0YLB5_POU2F1.pdf")</f>
        <v>Melting_Curves/meltCurve_H0YLB5_POU2F1.pdf</v>
      </c>
    </row>
    <row r="889" spans="1:28" x14ac:dyDescent="0.25">
      <c r="A889" t="s">
        <v>893</v>
      </c>
      <c r="B889">
        <v>0.99193492352474899</v>
      </c>
      <c r="C889">
        <v>0.540066092358507</v>
      </c>
      <c r="D889">
        <v>0.50503978022969997</v>
      </c>
      <c r="E889">
        <v>0.22400612322779601</v>
      </c>
      <c r="F889">
        <v>0.119243458550031</v>
      </c>
      <c r="G889">
        <v>9.1546778912584406E-2</v>
      </c>
      <c r="H889">
        <v>7.7389227061701593E-2</v>
      </c>
      <c r="I889">
        <v>8.2044426442027599E-2</v>
      </c>
      <c r="J889">
        <v>9.6256452300927095E-2</v>
      </c>
      <c r="K889">
        <v>0.12780185107379999</v>
      </c>
      <c r="L889">
        <v>744.11634852407406</v>
      </c>
      <c r="M889">
        <v>16.737248715854498</v>
      </c>
      <c r="N889">
        <v>44.969447741942602</v>
      </c>
      <c r="O889">
        <v>43.838589346538598</v>
      </c>
      <c r="P889">
        <v>-8.7191724172559201E-2</v>
      </c>
      <c r="Q889">
        <v>8.6561681653469599E-2</v>
      </c>
      <c r="R889">
        <v>0.948587371340609</v>
      </c>
      <c r="S889" t="s">
        <v>7559</v>
      </c>
      <c r="T889" t="s">
        <v>13338</v>
      </c>
      <c r="U889" t="s">
        <v>13338</v>
      </c>
      <c r="V889" t="s">
        <v>13338</v>
      </c>
      <c r="W889" t="s">
        <v>14211</v>
      </c>
      <c r="X889">
        <v>1</v>
      </c>
      <c r="Y889" t="s">
        <v>20815</v>
      </c>
      <c r="Z889" t="s">
        <v>27304</v>
      </c>
      <c r="AA889">
        <v>0.2470592459096175</v>
      </c>
      <c r="AB889" t="str">
        <f>HYPERLINK("Melting_Curves/meltCurve_H0YLF2_HMBOX1.pdf", "Melting_Curves/meltCurve_H0YLF2_HMBOX1.pdf")</f>
        <v>Melting_Curves/meltCurve_H0YLF2_HMBOX1.pdf</v>
      </c>
    </row>
    <row r="890" spans="1:28" x14ac:dyDescent="0.25">
      <c r="A890" t="s">
        <v>894</v>
      </c>
      <c r="B890">
        <v>0.99193492352474899</v>
      </c>
      <c r="C890">
        <v>0.81258084304225298</v>
      </c>
      <c r="D890">
        <v>0.70303904695740804</v>
      </c>
      <c r="E890">
        <v>0.25943745472976798</v>
      </c>
      <c r="F890">
        <v>0.12710506117541201</v>
      </c>
      <c r="G890">
        <v>0.108917999067999</v>
      </c>
      <c r="H890">
        <v>7.6970737707044698E-2</v>
      </c>
      <c r="I890">
        <v>0.15328272320147701</v>
      </c>
      <c r="J890">
        <v>0.16162503189914301</v>
      </c>
      <c r="K890">
        <v>0.17162222330698901</v>
      </c>
      <c r="L890">
        <v>1145.65980541052</v>
      </c>
      <c r="M890">
        <v>24.548289741711201</v>
      </c>
      <c r="N890">
        <v>47.211867558210599</v>
      </c>
      <c r="O890">
        <v>46.3632434438749</v>
      </c>
      <c r="P890">
        <v>-0.116110284990594</v>
      </c>
      <c r="Q890">
        <v>0.122843727605431</v>
      </c>
      <c r="R890">
        <v>0.97765995573575903</v>
      </c>
      <c r="S890" t="s">
        <v>7560</v>
      </c>
      <c r="T890" t="s">
        <v>13338</v>
      </c>
      <c r="U890" t="s">
        <v>13338</v>
      </c>
      <c r="V890" t="s">
        <v>13338</v>
      </c>
      <c r="W890" t="s">
        <v>14212</v>
      </c>
      <c r="X890">
        <v>1</v>
      </c>
      <c r="Y890" t="s">
        <v>20816</v>
      </c>
      <c r="Z890" t="s">
        <v>27305</v>
      </c>
      <c r="AA890">
        <v>0.3260767638700795</v>
      </c>
      <c r="AB890" t="str">
        <f>HYPERLINK("Melting_Curves/meltCurve_H0YLR1_FAM63B.pdf", "Melting_Curves/meltCurve_H0YLR1_FAM63B.pdf")</f>
        <v>Melting_Curves/meltCurve_H0YLR1_FAM63B.pdf</v>
      </c>
    </row>
    <row r="891" spans="1:28" x14ac:dyDescent="0.25">
      <c r="A891" t="s">
        <v>895</v>
      </c>
      <c r="B891">
        <v>0.99193492352474899</v>
      </c>
      <c r="C891">
        <v>0.76106544149059097</v>
      </c>
      <c r="D891">
        <v>0.90448431083465997</v>
      </c>
      <c r="E891">
        <v>0.63042445011935999</v>
      </c>
      <c r="F891">
        <v>0.58668355585062704</v>
      </c>
      <c r="G891">
        <v>0.35846576248574802</v>
      </c>
      <c r="H891">
        <v>0.29921888706152799</v>
      </c>
      <c r="I891">
        <v>0.45307883737886701</v>
      </c>
      <c r="J891">
        <v>0.579202331414299</v>
      </c>
      <c r="K891">
        <v>0.67442536358549099</v>
      </c>
      <c r="L891">
        <v>803.55567212084702</v>
      </c>
      <c r="M891">
        <v>17.030668327368801</v>
      </c>
      <c r="N891">
        <v>57.404258506282801</v>
      </c>
      <c r="O891">
        <v>46.546723155853599</v>
      </c>
      <c r="P891">
        <v>-4.79426071569585E-2</v>
      </c>
      <c r="Q891">
        <v>0.47590199826351398</v>
      </c>
      <c r="R891">
        <v>0.67313039767558702</v>
      </c>
      <c r="S891" t="s">
        <v>7561</v>
      </c>
      <c r="T891" t="s">
        <v>13338</v>
      </c>
      <c r="U891" t="s">
        <v>13338</v>
      </c>
      <c r="V891" t="s">
        <v>13338</v>
      </c>
      <c r="W891" t="s">
        <v>14213</v>
      </c>
      <c r="X891">
        <v>2</v>
      </c>
      <c r="Y891" t="s">
        <v>20817</v>
      </c>
      <c r="Z891" t="s">
        <v>27306</v>
      </c>
      <c r="AA891">
        <v>0.61218296034250108</v>
      </c>
      <c r="AB891" t="str">
        <f>HYPERLINK("Melting_Curves/meltCurve_H0YLW6_SHF.pdf", "Melting_Curves/meltCurve_H0YLW6_SHF.pdf")</f>
        <v>Melting_Curves/meltCurve_H0YLW6_SHF.pdf</v>
      </c>
    </row>
    <row r="892" spans="1:28" x14ac:dyDescent="0.25">
      <c r="A892" t="s">
        <v>896</v>
      </c>
      <c r="B892">
        <v>0.99193492352474899</v>
      </c>
      <c r="C892">
        <v>0.70094827077043698</v>
      </c>
      <c r="D892">
        <v>0.46362525823939299</v>
      </c>
      <c r="E892">
        <v>0.22085161342843099</v>
      </c>
      <c r="F892">
        <v>0.11166637028618701</v>
      </c>
      <c r="G892">
        <v>6.8206126251749197E-2</v>
      </c>
      <c r="H892">
        <v>5.0395478598348302E-2</v>
      </c>
      <c r="I892">
        <v>9.5733361634226397E-2</v>
      </c>
      <c r="J892">
        <v>0.12089700190939601</v>
      </c>
      <c r="K892">
        <v>0.12898838407690999</v>
      </c>
      <c r="L892">
        <v>913.64410347372802</v>
      </c>
      <c r="M892">
        <v>20.324017938172702</v>
      </c>
      <c r="N892">
        <v>45.392534086986998</v>
      </c>
      <c r="O892">
        <v>44.525491262547902</v>
      </c>
      <c r="P892">
        <v>-0.103944419319023</v>
      </c>
      <c r="Q892">
        <v>8.9149636780861394E-2</v>
      </c>
      <c r="R892">
        <v>0.98657150494229695</v>
      </c>
      <c r="S892" t="s">
        <v>7562</v>
      </c>
      <c r="T892" t="s">
        <v>13338</v>
      </c>
      <c r="U892" t="s">
        <v>13338</v>
      </c>
      <c r="V892" t="s">
        <v>13338</v>
      </c>
      <c r="W892" t="s">
        <v>14214</v>
      </c>
      <c r="X892">
        <v>3</v>
      </c>
      <c r="Y892" t="s">
        <v>20818</v>
      </c>
      <c r="Z892" t="s">
        <v>27307</v>
      </c>
      <c r="AA892">
        <v>0.25448847661255031</v>
      </c>
      <c r="AB892" t="str">
        <f>HYPERLINK("Melting_Curves/meltCurve_H0YLX2_RFX7.pdf", "Melting_Curves/meltCurve_H0YLX2_RFX7.pdf")</f>
        <v>Melting_Curves/meltCurve_H0YLX2_RFX7.pdf</v>
      </c>
    </row>
    <row r="893" spans="1:28" x14ac:dyDescent="0.25">
      <c r="A893" t="s">
        <v>897</v>
      </c>
      <c r="B893">
        <v>0.99193492352474899</v>
      </c>
      <c r="C893">
        <v>0.97787154943271404</v>
      </c>
      <c r="D893">
        <v>0.96306770597563196</v>
      </c>
      <c r="E893">
        <v>0.798955926394328</v>
      </c>
      <c r="F893">
        <v>0.75456890953326305</v>
      </c>
      <c r="G893">
        <v>0.73159534551482097</v>
      </c>
      <c r="H893">
        <v>0.487231249821934</v>
      </c>
      <c r="I893">
        <v>0.515698453646387</v>
      </c>
      <c r="J893">
        <v>0.56280437000099404</v>
      </c>
      <c r="K893">
        <v>0.67138934719795995</v>
      </c>
      <c r="L893">
        <v>786.78181718009102</v>
      </c>
      <c r="M893">
        <v>15.2329123004585</v>
      </c>
      <c r="O893">
        <v>50.784532523152002</v>
      </c>
      <c r="P893">
        <v>-3.3118503426841001E-2</v>
      </c>
      <c r="Q893">
        <v>0.55839105010919798</v>
      </c>
      <c r="R893">
        <v>0.88182291080533304</v>
      </c>
      <c r="S893" t="s">
        <v>7563</v>
      </c>
      <c r="T893" t="s">
        <v>13338</v>
      </c>
      <c r="U893" t="s">
        <v>13338</v>
      </c>
      <c r="V893" t="s">
        <v>13338</v>
      </c>
      <c r="W893" t="s">
        <v>14215</v>
      </c>
      <c r="X893">
        <v>10</v>
      </c>
      <c r="Y893" t="s">
        <v>20819</v>
      </c>
      <c r="Z893" t="s">
        <v>27308</v>
      </c>
      <c r="AA893">
        <v>0.73963517176894167</v>
      </c>
      <c r="AB893" t="str">
        <f>HYPERLINK("Melting_Curves/meltCurve_H0YMB3_GMPR2.pdf", "Melting_Curves/meltCurve_H0YMB3_GMPR2.pdf")</f>
        <v>Melting_Curves/meltCurve_H0YMB3_GMPR2.pdf</v>
      </c>
    </row>
    <row r="894" spans="1:28" x14ac:dyDescent="0.25">
      <c r="A894" t="s">
        <v>898</v>
      </c>
      <c r="B894">
        <v>0.99193492352474899</v>
      </c>
      <c r="C894">
        <v>0.73243135291528405</v>
      </c>
      <c r="D894">
        <v>0.78235067623786003</v>
      </c>
      <c r="E894">
        <v>0.47890889691469202</v>
      </c>
      <c r="F894">
        <v>0.21364887845782399</v>
      </c>
      <c r="G894">
        <v>0.10135976798124501</v>
      </c>
      <c r="H894">
        <v>6.3959344748371505E-2</v>
      </c>
      <c r="I894">
        <v>7.2677033688552398E-2</v>
      </c>
      <c r="J894">
        <v>6.9892979967216301E-2</v>
      </c>
      <c r="K894">
        <v>6.6766070753185802E-2</v>
      </c>
      <c r="L894">
        <v>696.39845503542404</v>
      </c>
      <c r="M894">
        <v>14.3239814689375</v>
      </c>
      <c r="N894">
        <v>48.836116799441498</v>
      </c>
      <c r="O894">
        <v>47.6995173720438</v>
      </c>
      <c r="P894">
        <v>-7.2753135299771496E-2</v>
      </c>
      <c r="Q894">
        <v>3.1031917851490499E-2</v>
      </c>
      <c r="R894">
        <v>0.97144415537893003</v>
      </c>
      <c r="S894" t="s">
        <v>7564</v>
      </c>
      <c r="T894" t="s">
        <v>13338</v>
      </c>
      <c r="U894" t="s">
        <v>13338</v>
      </c>
      <c r="V894" t="s">
        <v>13338</v>
      </c>
      <c r="W894" t="s">
        <v>14216</v>
      </c>
      <c r="X894">
        <v>10</v>
      </c>
      <c r="Y894" t="s">
        <v>20820</v>
      </c>
      <c r="Z894" t="s">
        <v>27309</v>
      </c>
      <c r="AA894">
        <v>0.3358699684975287</v>
      </c>
      <c r="AB894" t="str">
        <f>HYPERLINK("Melting_Curves/meltCurve_H0YMJ0_MORF4L1.pdf", "Melting_Curves/meltCurve_H0YMJ0_MORF4L1.pdf")</f>
        <v>Melting_Curves/meltCurve_H0YMJ0_MORF4L1.pdf</v>
      </c>
    </row>
    <row r="895" spans="1:28" x14ac:dyDescent="0.25">
      <c r="A895" t="s">
        <v>899</v>
      </c>
      <c r="B895">
        <v>0.99193492352474899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0.37287236769439103</v>
      </c>
      <c r="J895">
        <v>0</v>
      </c>
      <c r="K895">
        <v>0</v>
      </c>
      <c r="L895">
        <v>10190.6880079108</v>
      </c>
      <c r="M895">
        <v>250</v>
      </c>
      <c r="N895">
        <v>40.776860797283398</v>
      </c>
      <c r="O895">
        <v>40.760143725937397</v>
      </c>
      <c r="P895">
        <v>-1.4698336973500701</v>
      </c>
      <c r="Q895">
        <v>4.1429882653008503E-2</v>
      </c>
      <c r="R895">
        <v>0.86806227124524504</v>
      </c>
      <c r="S895" t="s">
        <v>7565</v>
      </c>
      <c r="T895" t="s">
        <v>13338</v>
      </c>
      <c r="U895" t="s">
        <v>13338</v>
      </c>
      <c r="V895" t="s">
        <v>13338</v>
      </c>
      <c r="W895" t="s">
        <v>14217</v>
      </c>
      <c r="X895">
        <v>4</v>
      </c>
      <c r="Y895" t="s">
        <v>20821</v>
      </c>
      <c r="Z895" t="s">
        <v>27310</v>
      </c>
      <c r="AA895">
        <v>6.5912319173986739E-2</v>
      </c>
      <c r="AB895" t="str">
        <f>HYPERLINK("Melting_Curves/meltCurve_H0YMV8_RPS27L.pdf", "Melting_Curves/meltCurve_H0YMV8_RPS27L.pdf")</f>
        <v>Melting_Curves/meltCurve_H0YMV8_RPS27L.pdf</v>
      </c>
    </row>
    <row r="896" spans="1:28" x14ac:dyDescent="0.25">
      <c r="A896" t="s">
        <v>900</v>
      </c>
      <c r="B896">
        <v>0.99193492352474899</v>
      </c>
      <c r="C896">
        <v>0.57528388392690999</v>
      </c>
      <c r="D896">
        <v>0.79381061711848699</v>
      </c>
      <c r="E896">
        <v>0.62686296001719999</v>
      </c>
      <c r="F896">
        <v>0.76307336621178701</v>
      </c>
      <c r="G896">
        <v>0.50563487993402301</v>
      </c>
      <c r="H896">
        <v>0.156060152195239</v>
      </c>
      <c r="I896">
        <v>0.161047846554223</v>
      </c>
      <c r="J896">
        <v>0.164913190626267</v>
      </c>
      <c r="K896">
        <v>0.20932946511293499</v>
      </c>
      <c r="L896">
        <v>370.60649679930202</v>
      </c>
      <c r="M896">
        <v>6.8701022950738704</v>
      </c>
      <c r="N896">
        <v>53.944829381801298</v>
      </c>
      <c r="O896">
        <v>49.9292509046142</v>
      </c>
      <c r="P896">
        <v>-3.4467496967781799E-2</v>
      </c>
      <c r="Q896">
        <v>0</v>
      </c>
      <c r="R896">
        <v>0.779420460027202</v>
      </c>
      <c r="S896" t="s">
        <v>7566</v>
      </c>
      <c r="T896" t="s">
        <v>13338</v>
      </c>
      <c r="U896" t="s">
        <v>13338</v>
      </c>
      <c r="V896" t="s">
        <v>13338</v>
      </c>
      <c r="W896" t="s">
        <v>14218</v>
      </c>
      <c r="X896">
        <v>3</v>
      </c>
      <c r="Y896" t="s">
        <v>20822</v>
      </c>
      <c r="Z896" t="s">
        <v>27311</v>
      </c>
      <c r="AA896">
        <v>0.50124799175314316</v>
      </c>
      <c r="AB896" t="str">
        <f>HYPERLINK("Melting_Curves/meltCurve_H0YN33_CINP.pdf", "Melting_Curves/meltCurve_H0YN33_CINP.pdf")</f>
        <v>Melting_Curves/meltCurve_H0YN33_CINP.pdf</v>
      </c>
    </row>
    <row r="897" spans="1:28" x14ac:dyDescent="0.25">
      <c r="A897" t="s">
        <v>901</v>
      </c>
      <c r="B897">
        <v>0.99193492352474899</v>
      </c>
      <c r="C897">
        <v>1.28943246050781</v>
      </c>
      <c r="D897">
        <v>2.2963047792604598</v>
      </c>
      <c r="E897">
        <v>1.87107589708873</v>
      </c>
      <c r="F897">
        <v>2.0110831604780799</v>
      </c>
      <c r="G897">
        <v>1.84835133415965</v>
      </c>
      <c r="H897">
        <v>0.73560408229141505</v>
      </c>
      <c r="I897">
        <v>1.3409957446657299</v>
      </c>
      <c r="J897">
        <v>1.97037575892661</v>
      </c>
      <c r="K897">
        <v>0.39891085070223697</v>
      </c>
      <c r="L897">
        <v>15000</v>
      </c>
      <c r="M897">
        <v>214.69331046185701</v>
      </c>
      <c r="N897">
        <v>69.867104488366095</v>
      </c>
      <c r="O897">
        <v>69.861042155141405</v>
      </c>
      <c r="P897">
        <v>-0.76828695735609098</v>
      </c>
      <c r="Q897">
        <v>0</v>
      </c>
      <c r="R897">
        <v>-0.54352668854675401</v>
      </c>
      <c r="S897" t="s">
        <v>7567</v>
      </c>
      <c r="T897" t="s">
        <v>13338</v>
      </c>
      <c r="U897" t="s">
        <v>13338</v>
      </c>
      <c r="V897" t="s">
        <v>13338</v>
      </c>
      <c r="W897" t="s">
        <v>14219</v>
      </c>
      <c r="X897">
        <v>2</v>
      </c>
      <c r="Y897" t="s">
        <v>20823</v>
      </c>
      <c r="Z897" t="s">
        <v>27312</v>
      </c>
      <c r="AA897">
        <v>0.99012367559585734</v>
      </c>
      <c r="AB897" t="str">
        <f>HYPERLINK("Melting_Curves/meltCurve_H0YN65_CHST14.pdf", "Melting_Curves/meltCurve_H0YN65_CHST14.pdf")</f>
        <v>Melting_Curves/meltCurve_H0YN65_CHST14.pdf</v>
      </c>
    </row>
    <row r="898" spans="1:28" x14ac:dyDescent="0.25">
      <c r="A898" t="s">
        <v>902</v>
      </c>
      <c r="B898">
        <v>0.99193492352474899</v>
      </c>
      <c r="C898">
        <v>0.75576880209466801</v>
      </c>
      <c r="D898">
        <v>1.0690243388565699</v>
      </c>
      <c r="E898">
        <v>0.72137859804012505</v>
      </c>
      <c r="F898">
        <v>0.54271953103360304</v>
      </c>
      <c r="G898">
        <v>0.31346137713163602</v>
      </c>
      <c r="H898">
        <v>0.22589594979244301</v>
      </c>
      <c r="I898">
        <v>0.35425812422937603</v>
      </c>
      <c r="J898">
        <v>0.59839507212716203</v>
      </c>
      <c r="K898">
        <v>0.83534176623946899</v>
      </c>
      <c r="L898">
        <v>3071.8854413116301</v>
      </c>
      <c r="M898">
        <v>62.0217593029531</v>
      </c>
      <c r="N898">
        <v>52.102504152887597</v>
      </c>
      <c r="O898">
        <v>49.4777477286829</v>
      </c>
      <c r="P898">
        <v>-0.164013889376872</v>
      </c>
      <c r="Q898">
        <v>0.47663309031822698</v>
      </c>
      <c r="R898">
        <v>0.57041034600710205</v>
      </c>
      <c r="S898" t="s">
        <v>7568</v>
      </c>
      <c r="T898" t="s">
        <v>13338</v>
      </c>
      <c r="U898" t="s">
        <v>13338</v>
      </c>
      <c r="V898" t="s">
        <v>13338</v>
      </c>
      <c r="W898" t="s">
        <v>14220</v>
      </c>
      <c r="X898">
        <v>2</v>
      </c>
      <c r="Y898" t="s">
        <v>20824</v>
      </c>
      <c r="Z898" t="s">
        <v>27313</v>
      </c>
      <c r="AA898">
        <v>0.64361626723023968</v>
      </c>
      <c r="AB898" t="str">
        <f>HYPERLINK("Melting_Curves/meltCurve_H0YN78_C15orf57.pdf", "Melting_Curves/meltCurve_H0YN78_C15orf57.pdf")</f>
        <v>Melting_Curves/meltCurve_H0YN78_C15orf57.pdf</v>
      </c>
    </row>
    <row r="899" spans="1:28" x14ac:dyDescent="0.25">
      <c r="A899" t="s">
        <v>903</v>
      </c>
      <c r="B899">
        <v>0.99193492352474899</v>
      </c>
      <c r="C899">
        <v>1.18950151041295</v>
      </c>
      <c r="D899">
        <v>1.1083312405549599</v>
      </c>
      <c r="E899">
        <v>1.06811314869388</v>
      </c>
      <c r="F899">
        <v>0.48800211737268301</v>
      </c>
      <c r="G899">
        <v>0.18550909526753201</v>
      </c>
      <c r="H899">
        <v>0.102490657956991</v>
      </c>
      <c r="I899">
        <v>9.2492147455808901E-2</v>
      </c>
      <c r="J899">
        <v>0.122391300262779</v>
      </c>
      <c r="K899">
        <v>0.105049833874947</v>
      </c>
      <c r="L899">
        <v>5165.6863517950196</v>
      </c>
      <c r="M899">
        <v>97.429501333018095</v>
      </c>
      <c r="N899">
        <v>53.171275609589202</v>
      </c>
      <c r="O899">
        <v>52.997409074101903</v>
      </c>
      <c r="P899">
        <v>-0.40387894385301798</v>
      </c>
      <c r="Q899">
        <v>0.121229769626085</v>
      </c>
      <c r="R899">
        <v>0.97257710656458396</v>
      </c>
      <c r="S899" t="s">
        <v>7569</v>
      </c>
      <c r="T899" t="s">
        <v>13338</v>
      </c>
      <c r="U899" t="s">
        <v>13338</v>
      </c>
      <c r="V899" t="s">
        <v>13338</v>
      </c>
      <c r="W899" t="s">
        <v>14221</v>
      </c>
      <c r="X899">
        <v>9</v>
      </c>
      <c r="Y899" t="s">
        <v>20825</v>
      </c>
      <c r="Z899" t="s">
        <v>27314</v>
      </c>
      <c r="AA899">
        <v>0.50314733256585875</v>
      </c>
      <c r="AB899" t="str">
        <f>HYPERLINK("Melting_Curves/meltCurve_H0YNG3_SEC11A.pdf", "Melting_Curves/meltCurve_H0YNG3_SEC11A.pdf")</f>
        <v>Melting_Curves/meltCurve_H0YNG3_SEC11A.pdf</v>
      </c>
    </row>
    <row r="900" spans="1:28" x14ac:dyDescent="0.25">
      <c r="A900" t="s">
        <v>904</v>
      </c>
      <c r="B900">
        <v>0.99193492352474899</v>
      </c>
      <c r="C900">
        <v>1.36881605138762</v>
      </c>
      <c r="D900">
        <v>1.5154026142225201</v>
      </c>
      <c r="E900">
        <v>1.2803119443603901</v>
      </c>
      <c r="F900">
        <v>1.2318485198939999</v>
      </c>
      <c r="G900">
        <v>0.23375251405595701</v>
      </c>
      <c r="H900">
        <v>0</v>
      </c>
      <c r="I900">
        <v>0</v>
      </c>
      <c r="J900">
        <v>0</v>
      </c>
      <c r="K900">
        <v>0</v>
      </c>
      <c r="L900">
        <v>14132.564708350001</v>
      </c>
      <c r="M900">
        <v>250</v>
      </c>
      <c r="N900">
        <v>56.530258897562902</v>
      </c>
      <c r="O900">
        <v>56.526642731560898</v>
      </c>
      <c r="P900">
        <v>-1.1056733367918301</v>
      </c>
      <c r="Q900">
        <v>0</v>
      </c>
      <c r="R900">
        <v>0.86581945118859405</v>
      </c>
      <c r="S900" t="s">
        <v>7570</v>
      </c>
      <c r="T900" t="s">
        <v>13338</v>
      </c>
      <c r="U900" t="s">
        <v>13338</v>
      </c>
      <c r="V900" t="s">
        <v>13338</v>
      </c>
      <c r="W900" t="s">
        <v>14222</v>
      </c>
      <c r="X900">
        <v>1</v>
      </c>
      <c r="Y900" t="s">
        <v>20826</v>
      </c>
      <c r="Z900" t="s">
        <v>27315</v>
      </c>
      <c r="AA900">
        <v>0.55110783750444758</v>
      </c>
      <c r="AB900" t="str">
        <f>HYPERLINK("Melting_Curves/meltCurve_H0YNH6_EMC9.pdf", "Melting_Curves/meltCurve_H0YNH6_EMC9.pdf")</f>
        <v>Melting_Curves/meltCurve_H0YNH6_EMC9.pdf</v>
      </c>
    </row>
    <row r="901" spans="1:28" x14ac:dyDescent="0.25">
      <c r="A901" t="s">
        <v>905</v>
      </c>
      <c r="B901">
        <v>0.99193492352474899</v>
      </c>
      <c r="C901">
        <v>0.67254854388664898</v>
      </c>
      <c r="D901">
        <v>0.400481137252165</v>
      </c>
      <c r="E901">
        <v>0.35682286690684201</v>
      </c>
      <c r="F901">
        <v>0.236032663154079</v>
      </c>
      <c r="G901">
        <v>0.166132202465444</v>
      </c>
      <c r="H901">
        <v>0.124609160633397</v>
      </c>
      <c r="I901">
        <v>0.177536968120691</v>
      </c>
      <c r="J901">
        <v>0.19543600620228299</v>
      </c>
      <c r="K901">
        <v>0.24444718820796099</v>
      </c>
      <c r="L901">
        <v>925.54953729402996</v>
      </c>
      <c r="M901">
        <v>21.004662453134301</v>
      </c>
      <c r="N901">
        <v>45.124369353119697</v>
      </c>
      <c r="O901">
        <v>43.670441306921802</v>
      </c>
      <c r="P901">
        <v>-9.6826250051677207E-2</v>
      </c>
      <c r="Q901">
        <v>0.19478225766978899</v>
      </c>
      <c r="R901">
        <v>0.96137459989056195</v>
      </c>
      <c r="S901" t="s">
        <v>7571</v>
      </c>
      <c r="T901" t="s">
        <v>13338</v>
      </c>
      <c r="U901" t="s">
        <v>13338</v>
      </c>
      <c r="V901" t="s">
        <v>13338</v>
      </c>
      <c r="W901" t="s">
        <v>14223</v>
      </c>
      <c r="X901">
        <v>3</v>
      </c>
      <c r="Y901" t="s">
        <v>20827</v>
      </c>
      <c r="Z901" t="s">
        <v>27316</v>
      </c>
      <c r="AA901">
        <v>0.31769008046358982</v>
      </c>
      <c r="AB901" t="str">
        <f>HYPERLINK("Melting_Curves/meltCurve_H0YNH8_UACA.pdf", "Melting_Curves/meltCurve_H0YNH8_UACA.pdf")</f>
        <v>Melting_Curves/meltCurve_H0YNH8_UACA.pdf</v>
      </c>
    </row>
    <row r="902" spans="1:28" x14ac:dyDescent="0.25">
      <c r="A902" t="s">
        <v>906</v>
      </c>
      <c r="B902">
        <v>0.99193492352474899</v>
      </c>
      <c r="C902">
        <v>0.74927249464131296</v>
      </c>
      <c r="D902">
        <v>0.97240808512663501</v>
      </c>
      <c r="E902">
        <v>0.71375722768213801</v>
      </c>
      <c r="F902">
        <v>0.38574421576657703</v>
      </c>
      <c r="G902">
        <v>0.17392048508980301</v>
      </c>
      <c r="H902">
        <v>0.13208072168843801</v>
      </c>
      <c r="I902">
        <v>0.167817421510394</v>
      </c>
      <c r="J902">
        <v>0.19704863381341001</v>
      </c>
      <c r="K902">
        <v>0.19765373347843701</v>
      </c>
      <c r="L902">
        <v>1287.4888591817901</v>
      </c>
      <c r="M902">
        <v>25.3163042020261</v>
      </c>
      <c r="N902">
        <v>51.6544227816972</v>
      </c>
      <c r="O902">
        <v>50.541996819580703</v>
      </c>
      <c r="P902">
        <v>-0.104952041566533</v>
      </c>
      <c r="Q902">
        <v>0.16189723772252401</v>
      </c>
      <c r="R902">
        <v>0.94040217426968797</v>
      </c>
      <c r="S902" t="s">
        <v>7572</v>
      </c>
      <c r="T902" t="s">
        <v>13338</v>
      </c>
      <c r="U902" t="s">
        <v>13338</v>
      </c>
      <c r="V902" t="s">
        <v>13338</v>
      </c>
      <c r="W902" t="s">
        <v>14224</v>
      </c>
      <c r="X902">
        <v>4</v>
      </c>
      <c r="Y902" t="s">
        <v>20828</v>
      </c>
      <c r="Z902" t="s">
        <v>27317</v>
      </c>
      <c r="AA902">
        <v>0.47255595677038531</v>
      </c>
      <c r="AB902" t="str">
        <f>HYPERLINK("Melting_Curves/meltCurve_H0YNU5_BLM.pdf", "Melting_Curves/meltCurve_H0YNU5_BLM.pdf")</f>
        <v>Melting_Curves/meltCurve_H0YNU5_BLM.pdf</v>
      </c>
    </row>
    <row r="903" spans="1:28" x14ac:dyDescent="0.25">
      <c r="A903" t="s">
        <v>907</v>
      </c>
      <c r="B903">
        <v>0.99193492352474899</v>
      </c>
      <c r="C903">
        <v>1.3006117275359701</v>
      </c>
      <c r="D903">
        <v>0.77261978872595205</v>
      </c>
      <c r="E903">
        <v>0.73719047651730996</v>
      </c>
      <c r="F903">
        <v>0.44410090096199101</v>
      </c>
      <c r="G903">
        <v>0.36675496453685302</v>
      </c>
      <c r="H903">
        <v>0.27663172405293102</v>
      </c>
      <c r="I903">
        <v>0.39685391886268001</v>
      </c>
      <c r="J903">
        <v>0.39428138004823599</v>
      </c>
      <c r="K903">
        <v>0.50016303134904105</v>
      </c>
      <c r="L903">
        <v>1298.8839206477301</v>
      </c>
      <c r="M903">
        <v>26.279370983397399</v>
      </c>
      <c r="N903">
        <v>52.300597348433499</v>
      </c>
      <c r="O903">
        <v>49.1424472887362</v>
      </c>
      <c r="P903">
        <v>-8.2613708677415298E-2</v>
      </c>
      <c r="Q903">
        <v>0.38205598727753798</v>
      </c>
      <c r="R903">
        <v>0.84317304876077304</v>
      </c>
      <c r="S903" t="s">
        <v>7573</v>
      </c>
      <c r="T903" t="s">
        <v>13338</v>
      </c>
      <c r="U903" t="s">
        <v>13338</v>
      </c>
      <c r="V903" t="s">
        <v>13338</v>
      </c>
      <c r="W903" t="s">
        <v>14225</v>
      </c>
      <c r="X903">
        <v>5</v>
      </c>
      <c r="Y903" t="s">
        <v>20829</v>
      </c>
      <c r="Z903" t="s">
        <v>27318</v>
      </c>
      <c r="AA903">
        <v>0.58117556810748217</v>
      </c>
      <c r="AB903" t="str">
        <f>HYPERLINK("Melting_Curves/meltCurve_H3BLU2_LSAMP.pdf", "Melting_Curves/meltCurve_H3BLU2_LSAMP.pdf")</f>
        <v>Melting_Curves/meltCurve_H3BLU2_LSAMP.pdf</v>
      </c>
    </row>
    <row r="904" spans="1:28" x14ac:dyDescent="0.25">
      <c r="A904" t="s">
        <v>908</v>
      </c>
      <c r="B904">
        <v>0.99193492352474899</v>
      </c>
      <c r="C904">
        <v>0.93993228681813101</v>
      </c>
      <c r="D904">
        <v>1.02818593444324</v>
      </c>
      <c r="E904">
        <v>0.78011851258495601</v>
      </c>
      <c r="F904">
        <v>0.59895813414217602</v>
      </c>
      <c r="G904">
        <v>0.434462915583469</v>
      </c>
      <c r="H904">
        <v>0.34001683936195798</v>
      </c>
      <c r="I904">
        <v>0.30363825343909601</v>
      </c>
      <c r="J904">
        <v>0.413566046183586</v>
      </c>
      <c r="K904">
        <v>0.36270637650054499</v>
      </c>
      <c r="L904">
        <v>1157.84148072523</v>
      </c>
      <c r="M904">
        <v>22.393270858794001</v>
      </c>
      <c r="N904">
        <v>54.640177812021001</v>
      </c>
      <c r="O904">
        <v>51.297849171657603</v>
      </c>
      <c r="P904">
        <v>-7.0954718535921404E-2</v>
      </c>
      <c r="Q904">
        <v>0.34984956627164399</v>
      </c>
      <c r="R904">
        <v>0.97730711025198103</v>
      </c>
      <c r="S904" t="s">
        <v>7574</v>
      </c>
      <c r="T904" t="s">
        <v>13338</v>
      </c>
      <c r="U904" t="s">
        <v>13338</v>
      </c>
      <c r="V904" t="s">
        <v>13338</v>
      </c>
      <c r="W904" t="s">
        <v>14226</v>
      </c>
      <c r="X904">
        <v>3</v>
      </c>
      <c r="Y904" t="s">
        <v>20830</v>
      </c>
      <c r="Z904" t="s">
        <v>27319</v>
      </c>
      <c r="AA904">
        <v>0.61081965048332088</v>
      </c>
      <c r="AB904" t="str">
        <f>HYPERLINK("Melting_Curves/meltCurve_H3BLV0_CD55.pdf", "Melting_Curves/meltCurve_H3BLV0_CD55.pdf")</f>
        <v>Melting_Curves/meltCurve_H3BLV0_CD55.pdf</v>
      </c>
    </row>
    <row r="905" spans="1:28" x14ac:dyDescent="0.25">
      <c r="A905" t="s">
        <v>909</v>
      </c>
      <c r="B905">
        <v>0.99193492352474899</v>
      </c>
      <c r="C905">
        <v>1.1028638223931899</v>
      </c>
      <c r="D905">
        <v>1.0696620403157699</v>
      </c>
      <c r="E905">
        <v>0.90779887746792198</v>
      </c>
      <c r="F905">
        <v>0.74820218963923601</v>
      </c>
      <c r="G905">
        <v>0.56121163465277901</v>
      </c>
      <c r="H905">
        <v>0.25304385755609499</v>
      </c>
      <c r="I905">
        <v>0.306564366743724</v>
      </c>
      <c r="J905">
        <v>0.26284518247376099</v>
      </c>
      <c r="K905">
        <v>0.25318937463047297</v>
      </c>
      <c r="L905">
        <v>1203.7193096083499</v>
      </c>
      <c r="M905">
        <v>21.798447591569602</v>
      </c>
      <c r="N905">
        <v>56.9273708700293</v>
      </c>
      <c r="O905">
        <v>54.761992930309901</v>
      </c>
      <c r="P905">
        <v>-7.5640643304390104E-2</v>
      </c>
      <c r="Q905">
        <v>0.23992091248377101</v>
      </c>
      <c r="R905">
        <v>0.97550364928637601</v>
      </c>
      <c r="S905" t="s">
        <v>7575</v>
      </c>
      <c r="T905" t="s">
        <v>13338</v>
      </c>
      <c r="U905" t="s">
        <v>13338</v>
      </c>
      <c r="V905" t="s">
        <v>13338</v>
      </c>
      <c r="W905" t="s">
        <v>14227</v>
      </c>
      <c r="X905">
        <v>2</v>
      </c>
      <c r="Y905" t="s">
        <v>20831</v>
      </c>
      <c r="Z905" t="s">
        <v>27320</v>
      </c>
      <c r="AA905">
        <v>0.6343650625236591</v>
      </c>
      <c r="AB905" t="str">
        <f>HYPERLINK("Melting_Curves/meltCurve_H3BLW6_TMEM63B.pdf", "Melting_Curves/meltCurve_H3BLW6_TMEM63B.pdf")</f>
        <v>Melting_Curves/meltCurve_H3BLW6_TMEM63B.pdf</v>
      </c>
    </row>
    <row r="906" spans="1:28" x14ac:dyDescent="0.25">
      <c r="A906" t="s">
        <v>910</v>
      </c>
      <c r="B906">
        <v>0.99193492352474899</v>
      </c>
      <c r="C906">
        <v>1.0156281282930699</v>
      </c>
      <c r="D906">
        <v>0.90756762166711002</v>
      </c>
      <c r="E906">
        <v>0.78395740928157998</v>
      </c>
      <c r="F906">
        <v>0.90258030911415998</v>
      </c>
      <c r="G906">
        <v>0.58711855406837998</v>
      </c>
      <c r="H906">
        <v>0.32816844775078802</v>
      </c>
      <c r="I906">
        <v>0.321088341435533</v>
      </c>
      <c r="J906">
        <v>0.25845625632682501</v>
      </c>
      <c r="K906">
        <v>0.266224450268918</v>
      </c>
      <c r="L906">
        <v>876.37598958938304</v>
      </c>
      <c r="M906">
        <v>15.502738818076301</v>
      </c>
      <c r="N906">
        <v>58.428781255791797</v>
      </c>
      <c r="O906">
        <v>55.614826162044899</v>
      </c>
      <c r="P906">
        <v>-5.5905015084908298E-2</v>
      </c>
      <c r="Q906">
        <v>0.197852223375725</v>
      </c>
      <c r="R906">
        <v>0.95123675358261095</v>
      </c>
      <c r="S906" t="s">
        <v>7576</v>
      </c>
      <c r="T906" t="s">
        <v>13338</v>
      </c>
      <c r="U906" t="s">
        <v>13338</v>
      </c>
      <c r="V906" t="s">
        <v>13338</v>
      </c>
      <c r="W906" t="s">
        <v>14228</v>
      </c>
      <c r="X906">
        <v>1</v>
      </c>
      <c r="Y906" t="s">
        <v>20832</v>
      </c>
      <c r="Z906" t="s">
        <v>27321</v>
      </c>
      <c r="AA906">
        <v>0.65297540556255385</v>
      </c>
      <c r="AB906" t="str">
        <f>HYPERLINK("Melting_Curves/meltCurve_H3BLZ2_DBNDD1.pdf", "Melting_Curves/meltCurve_H3BLZ2_DBNDD1.pdf")</f>
        <v>Melting_Curves/meltCurve_H3BLZ2_DBNDD1.pdf</v>
      </c>
    </row>
    <row r="907" spans="1:28" x14ac:dyDescent="0.25">
      <c r="A907" t="s">
        <v>911</v>
      </c>
      <c r="B907">
        <v>0.99193492352474899</v>
      </c>
      <c r="C907">
        <v>0.454174149013855</v>
      </c>
      <c r="D907">
        <v>0.81618158485118197</v>
      </c>
      <c r="E907">
        <v>0.430617261759209</v>
      </c>
      <c r="F907">
        <v>0.13561689282627101</v>
      </c>
      <c r="G907">
        <v>7.3668236540919696E-2</v>
      </c>
      <c r="H907">
        <v>4.4507963648828301E-2</v>
      </c>
      <c r="I907">
        <v>5.0700872118936001E-2</v>
      </c>
      <c r="J907">
        <v>5.9262452354881E-2</v>
      </c>
      <c r="K907">
        <v>5.9042604536807597E-2</v>
      </c>
      <c r="L907">
        <v>534.97898504436</v>
      </c>
      <c r="M907">
        <v>11.2897487446716</v>
      </c>
      <c r="N907">
        <v>47.3862630773747</v>
      </c>
      <c r="O907">
        <v>45.972532907778799</v>
      </c>
      <c r="P907">
        <v>-6.1412733803110103E-2</v>
      </c>
      <c r="Q907">
        <v>0</v>
      </c>
      <c r="R907">
        <v>0.83887551624725198</v>
      </c>
      <c r="S907" t="s">
        <v>7577</v>
      </c>
      <c r="T907" t="s">
        <v>13338</v>
      </c>
      <c r="U907" t="s">
        <v>13338</v>
      </c>
      <c r="V907" t="s">
        <v>13338</v>
      </c>
      <c r="W907" t="s">
        <v>14229</v>
      </c>
      <c r="X907">
        <v>45</v>
      </c>
      <c r="Y907" t="s">
        <v>20833</v>
      </c>
      <c r="Z907" t="s">
        <v>27322</v>
      </c>
      <c r="AA907">
        <v>0.29168757533699191</v>
      </c>
      <c r="AB907" t="str">
        <f>HYPERLINK("Melting_Curves/meltCurve_H3BLZ8_DDX17.pdf", "Melting_Curves/meltCurve_H3BLZ8_DDX17.pdf")</f>
        <v>Melting_Curves/meltCurve_H3BLZ8_DDX17.pdf</v>
      </c>
    </row>
    <row r="908" spans="1:28" x14ac:dyDescent="0.25">
      <c r="A908" t="s">
        <v>912</v>
      </c>
      <c r="B908">
        <v>0.99193492352474899</v>
      </c>
      <c r="C908">
        <v>0.68162699505566304</v>
      </c>
      <c r="D908">
        <v>0.416086597581453</v>
      </c>
      <c r="E908">
        <v>0.20819692562296699</v>
      </c>
      <c r="F908">
        <v>0.159189685194984</v>
      </c>
      <c r="G908">
        <v>9.0520271678927205E-2</v>
      </c>
      <c r="H908">
        <v>5.3932491534650601E-2</v>
      </c>
      <c r="I908">
        <v>7.27253729114134E-2</v>
      </c>
      <c r="J908">
        <v>6.8495379186371497E-2</v>
      </c>
      <c r="K908">
        <v>7.6554910899420806E-2</v>
      </c>
      <c r="L908">
        <v>875.22591711135306</v>
      </c>
      <c r="M908">
        <v>19.558756870120899</v>
      </c>
      <c r="N908">
        <v>45.132690414863099</v>
      </c>
      <c r="O908">
        <v>44.2886356403666</v>
      </c>
      <c r="P908">
        <v>-0.101942719644472</v>
      </c>
      <c r="Q908">
        <v>7.6680898141128606E-2</v>
      </c>
      <c r="R908">
        <v>0.98903961947181196</v>
      </c>
      <c r="S908" t="s">
        <v>7578</v>
      </c>
      <c r="T908" t="s">
        <v>13338</v>
      </c>
      <c r="U908" t="s">
        <v>13338</v>
      </c>
      <c r="V908" t="s">
        <v>13338</v>
      </c>
      <c r="W908" t="s">
        <v>14230</v>
      </c>
      <c r="X908">
        <v>11</v>
      </c>
      <c r="Y908" t="s">
        <v>20834</v>
      </c>
      <c r="Z908" t="s">
        <v>27323</v>
      </c>
      <c r="AA908">
        <v>0.23979104404044199</v>
      </c>
      <c r="AB908" t="str">
        <f>HYPERLINK("Melting_Curves/meltCurve_H3BM14_NUB1.pdf", "Melting_Curves/meltCurve_H3BM14_NUB1.pdf")</f>
        <v>Melting_Curves/meltCurve_H3BM14_NUB1.pdf</v>
      </c>
    </row>
    <row r="909" spans="1:28" x14ac:dyDescent="0.25">
      <c r="A909" t="s">
        <v>913</v>
      </c>
      <c r="B909">
        <v>0.99193492352474899</v>
      </c>
      <c r="C909">
        <v>0.90653220189850403</v>
      </c>
      <c r="D909">
        <v>0.75963803058052803</v>
      </c>
      <c r="E909">
        <v>0.46674363483011999</v>
      </c>
      <c r="F909">
        <v>0.23210316588774901</v>
      </c>
      <c r="G909">
        <v>0.131536869964613</v>
      </c>
      <c r="H909">
        <v>7.8577865818414097E-2</v>
      </c>
      <c r="I909">
        <v>9.8992756188693895E-2</v>
      </c>
      <c r="J909">
        <v>0.107811213975596</v>
      </c>
      <c r="K909">
        <v>0.13408675939047701</v>
      </c>
      <c r="L909">
        <v>918.82278561375995</v>
      </c>
      <c r="M909">
        <v>18.950392565919699</v>
      </c>
      <c r="N909">
        <v>49.021390989057998</v>
      </c>
      <c r="O909">
        <v>47.955448143185002</v>
      </c>
      <c r="P909">
        <v>-8.95556190503628E-2</v>
      </c>
      <c r="Q909">
        <v>9.3526561104083E-2</v>
      </c>
      <c r="R909">
        <v>0.99685066676071399</v>
      </c>
      <c r="S909" t="s">
        <v>7579</v>
      </c>
      <c r="T909" t="s">
        <v>13338</v>
      </c>
      <c r="U909" t="s">
        <v>13338</v>
      </c>
      <c r="V909" t="s">
        <v>13338</v>
      </c>
      <c r="W909" t="s">
        <v>13598</v>
      </c>
      <c r="X909">
        <v>4</v>
      </c>
      <c r="Z909" t="s">
        <v>27324</v>
      </c>
      <c r="AA909">
        <v>0.36421052425860551</v>
      </c>
      <c r="AB909" t="str">
        <f>HYPERLINK("Melting_Curves/meltCurve_H3BMM5_.pdf", "Melting_Curves/meltCurve_H3BMM5_.pdf")</f>
        <v>Melting_Curves/meltCurve_H3BMM5_.pdf</v>
      </c>
    </row>
    <row r="910" spans="1:28" x14ac:dyDescent="0.25">
      <c r="A910" t="s">
        <v>914</v>
      </c>
      <c r="B910">
        <v>0.99193492352474899</v>
      </c>
      <c r="C910">
        <v>0.80882920886844101</v>
      </c>
      <c r="D910">
        <v>0.738919808387274</v>
      </c>
      <c r="E910">
        <v>0.30358250723226499</v>
      </c>
      <c r="F910">
        <v>0.16953654845888</v>
      </c>
      <c r="G910">
        <v>0.11643666365255299</v>
      </c>
      <c r="H910">
        <v>7.7548426823065397E-2</v>
      </c>
      <c r="I910">
        <v>9.3480962440168597E-2</v>
      </c>
      <c r="J910">
        <v>6.9966088615691605E-2</v>
      </c>
      <c r="K910">
        <v>0.10427727039088</v>
      </c>
      <c r="L910">
        <v>945.00164774610505</v>
      </c>
      <c r="M910">
        <v>19.969702794378001</v>
      </c>
      <c r="N910">
        <v>47.735449397556103</v>
      </c>
      <c r="O910">
        <v>46.854898782588997</v>
      </c>
      <c r="P910">
        <v>-9.8088123011758496E-2</v>
      </c>
      <c r="Q910">
        <v>7.9453785016855599E-2</v>
      </c>
      <c r="R910">
        <v>0.98665046111551502</v>
      </c>
      <c r="S910" t="s">
        <v>7580</v>
      </c>
      <c r="T910" t="s">
        <v>13338</v>
      </c>
      <c r="U910" t="s">
        <v>13338</v>
      </c>
      <c r="V910" t="s">
        <v>13338</v>
      </c>
      <c r="W910" t="s">
        <v>14231</v>
      </c>
      <c r="X910">
        <v>5</v>
      </c>
      <c r="Y910" t="s">
        <v>20835</v>
      </c>
      <c r="Z910" t="s">
        <v>27325</v>
      </c>
      <c r="AA910">
        <v>0.31748438340104029</v>
      </c>
      <c r="AB910" t="str">
        <f>HYPERLINK("Melting_Curves/meltCurve_H3BMQ0_TSC2.pdf", "Melting_Curves/meltCurve_H3BMQ0_TSC2.pdf")</f>
        <v>Melting_Curves/meltCurve_H3BMQ0_TSC2.pdf</v>
      </c>
    </row>
    <row r="911" spans="1:28" x14ac:dyDescent="0.25">
      <c r="A911" t="s">
        <v>915</v>
      </c>
      <c r="B911">
        <v>0.99193492352474899</v>
      </c>
      <c r="C911">
        <v>0.77968941889383503</v>
      </c>
      <c r="D911">
        <v>0.83497416039171501</v>
      </c>
      <c r="E911">
        <v>0.774911882823207</v>
      </c>
      <c r="F911">
        <v>0.69042392387847396</v>
      </c>
      <c r="G911">
        <v>0.37828392965532798</v>
      </c>
      <c r="H911">
        <v>0.24552935064074799</v>
      </c>
      <c r="I911">
        <v>0.25650386062289199</v>
      </c>
      <c r="J911">
        <v>0.24510870799614601</v>
      </c>
      <c r="K911">
        <v>0.27198744998990299</v>
      </c>
      <c r="L911">
        <v>516.15169635709697</v>
      </c>
      <c r="M911">
        <v>9.6464671769006998</v>
      </c>
      <c r="N911">
        <v>55.173557849017399</v>
      </c>
      <c r="O911">
        <v>51.359066106684999</v>
      </c>
      <c r="P911">
        <v>-4.1043797049309098E-2</v>
      </c>
      <c r="Q911">
        <v>0.12639708125127799</v>
      </c>
      <c r="R911">
        <v>0.92882957390879395</v>
      </c>
      <c r="S911" t="s">
        <v>7581</v>
      </c>
      <c r="T911" t="s">
        <v>13338</v>
      </c>
      <c r="U911" t="s">
        <v>13338</v>
      </c>
      <c r="V911" t="s">
        <v>13338</v>
      </c>
      <c r="W911" t="s">
        <v>14176</v>
      </c>
      <c r="X911">
        <v>5</v>
      </c>
      <c r="Z911" t="s">
        <v>27326</v>
      </c>
      <c r="AA911">
        <v>0.54865727413546417</v>
      </c>
      <c r="AB911" t="str">
        <f>HYPERLINK("Melting_Curves/meltCurve_H3BN98_.pdf", "Melting_Curves/meltCurve_H3BN98_.pdf")</f>
        <v>Melting_Curves/meltCurve_H3BN98_.pdf</v>
      </c>
    </row>
    <row r="912" spans="1:28" x14ac:dyDescent="0.25">
      <c r="A912" t="s">
        <v>916</v>
      </c>
      <c r="B912">
        <v>0.99193492352474899</v>
      </c>
      <c r="C912">
        <v>0.92434728798348398</v>
      </c>
      <c r="D912">
        <v>0.77414060613815505</v>
      </c>
      <c r="E912">
        <v>0.59910152485069501</v>
      </c>
      <c r="F912">
        <v>0.38948800279003398</v>
      </c>
      <c r="G912">
        <v>0.233926351615317</v>
      </c>
      <c r="H912">
        <v>9.9869570240324695E-2</v>
      </c>
      <c r="I912">
        <v>9.8137219352062599E-2</v>
      </c>
      <c r="J912">
        <v>7.8778476436487693E-2</v>
      </c>
      <c r="K912">
        <v>0.110472285338183</v>
      </c>
      <c r="L912">
        <v>679.44646089585603</v>
      </c>
      <c r="M912">
        <v>13.437004939909301</v>
      </c>
      <c r="N912">
        <v>50.980777223729099</v>
      </c>
      <c r="O912">
        <v>49.484768312015198</v>
      </c>
      <c r="P912">
        <v>-6.4374068222363898E-2</v>
      </c>
      <c r="Q912">
        <v>5.1859784314926799E-2</v>
      </c>
      <c r="R912">
        <v>0.99607072057443702</v>
      </c>
      <c r="S912" t="s">
        <v>7582</v>
      </c>
      <c r="T912" t="s">
        <v>13338</v>
      </c>
      <c r="U912" t="s">
        <v>13338</v>
      </c>
      <c r="V912" t="s">
        <v>13338</v>
      </c>
      <c r="W912" t="s">
        <v>14232</v>
      </c>
      <c r="X912">
        <v>1</v>
      </c>
      <c r="Y912" t="s">
        <v>20836</v>
      </c>
      <c r="Z912" t="s">
        <v>27327</v>
      </c>
      <c r="AA912">
        <v>0.41241925853858757</v>
      </c>
      <c r="AB912" t="str">
        <f>HYPERLINK("Melting_Curves/meltCurve_H3BNE3_BLOC1S6.pdf", "Melting_Curves/meltCurve_H3BNE3_BLOC1S6.pdf")</f>
        <v>Melting_Curves/meltCurve_H3BNE3_BLOC1S6.pdf</v>
      </c>
    </row>
    <row r="913" spans="1:28" x14ac:dyDescent="0.25">
      <c r="A913" t="s">
        <v>917</v>
      </c>
      <c r="B913">
        <v>0.99193492352474899</v>
      </c>
      <c r="C913">
        <v>0.75202048627873397</v>
      </c>
      <c r="D913">
        <v>0.92966247773476995</v>
      </c>
      <c r="E913">
        <v>0.57512387729160896</v>
      </c>
      <c r="F913">
        <v>0.43978169498446001</v>
      </c>
      <c r="G913">
        <v>0.13970674112617501</v>
      </c>
      <c r="H913">
        <v>9.5011609955237594E-2</v>
      </c>
      <c r="I913">
        <v>8.8939814220662897E-2</v>
      </c>
      <c r="J913">
        <v>0.106111187282015</v>
      </c>
      <c r="K913">
        <v>0.130788726472018</v>
      </c>
      <c r="L913">
        <v>758.59355242450704</v>
      </c>
      <c r="M913">
        <v>14.985679492752199</v>
      </c>
      <c r="N913">
        <v>51.083517383983597</v>
      </c>
      <c r="O913">
        <v>49.745461477288401</v>
      </c>
      <c r="P913">
        <v>-7.0543394384904104E-2</v>
      </c>
      <c r="Q913">
        <v>6.3410402973670593E-2</v>
      </c>
      <c r="R913">
        <v>0.94791096499336802</v>
      </c>
      <c r="S913" t="s">
        <v>7583</v>
      </c>
      <c r="T913" t="s">
        <v>13338</v>
      </c>
      <c r="U913" t="s">
        <v>13338</v>
      </c>
      <c r="V913" t="s">
        <v>13338</v>
      </c>
      <c r="W913" t="s">
        <v>14233</v>
      </c>
      <c r="X913">
        <v>3</v>
      </c>
      <c r="Y913" t="s">
        <v>20837</v>
      </c>
      <c r="Z913" t="s">
        <v>27328</v>
      </c>
      <c r="AA913">
        <v>0.41693603830821663</v>
      </c>
      <c r="AB913" t="str">
        <f>HYPERLINK("Melting_Curves/meltCurve_H3BNK2_LYRM1.pdf", "Melting_Curves/meltCurve_H3BNK2_LYRM1.pdf")</f>
        <v>Melting_Curves/meltCurve_H3BNK2_LYRM1.pdf</v>
      </c>
    </row>
    <row r="914" spans="1:28" x14ac:dyDescent="0.25">
      <c r="A914" t="s">
        <v>918</v>
      </c>
      <c r="B914">
        <v>0.99193492352474899</v>
      </c>
      <c r="C914">
        <v>0.56869933973057396</v>
      </c>
      <c r="D914">
        <v>0.61735434609449302</v>
      </c>
      <c r="E914">
        <v>0.342876923393301</v>
      </c>
      <c r="F914">
        <v>0.23088469565438599</v>
      </c>
      <c r="G914">
        <v>0.13946903912004399</v>
      </c>
      <c r="H914">
        <v>0.13058429210132499</v>
      </c>
      <c r="I914">
        <v>0.19670329937087799</v>
      </c>
      <c r="J914">
        <v>0.215299344875065</v>
      </c>
      <c r="K914">
        <v>0.31717137247912502</v>
      </c>
      <c r="L914">
        <v>703.56019524639896</v>
      </c>
      <c r="M914">
        <v>15.7463997243227</v>
      </c>
      <c r="N914">
        <v>46.109862732241702</v>
      </c>
      <c r="O914">
        <v>43.978692693458598</v>
      </c>
      <c r="P914">
        <v>-7.2233741972269797E-2</v>
      </c>
      <c r="Q914">
        <v>0.19309032108424301</v>
      </c>
      <c r="R914">
        <v>0.88956400785652201</v>
      </c>
      <c r="S914" t="s">
        <v>7584</v>
      </c>
      <c r="T914" t="s">
        <v>13338</v>
      </c>
      <c r="U914" t="s">
        <v>13338</v>
      </c>
      <c r="V914" t="s">
        <v>13338</v>
      </c>
      <c r="W914" t="s">
        <v>14234</v>
      </c>
      <c r="X914">
        <v>4</v>
      </c>
      <c r="Y914" t="s">
        <v>20838</v>
      </c>
      <c r="Z914" t="s">
        <v>27329</v>
      </c>
      <c r="AA914">
        <v>0.34323604702242683</v>
      </c>
      <c r="AB914" t="str">
        <f>HYPERLINK("Melting_Curves/meltCurve_H3BNT4_MPHOSPH6.pdf", "Melting_Curves/meltCurve_H3BNT4_MPHOSPH6.pdf")</f>
        <v>Melting_Curves/meltCurve_H3BNT4_MPHOSPH6.pdf</v>
      </c>
    </row>
    <row r="915" spans="1:28" x14ac:dyDescent="0.25">
      <c r="A915" t="s">
        <v>919</v>
      </c>
      <c r="B915">
        <v>0.99193492352474899</v>
      </c>
      <c r="C915">
        <v>0.67510183937694201</v>
      </c>
      <c r="D915">
        <v>0.79893388351533901</v>
      </c>
      <c r="E915">
        <v>0.388297683194469</v>
      </c>
      <c r="F915">
        <v>0.19506543599703699</v>
      </c>
      <c r="G915">
        <v>0.110543865540357</v>
      </c>
      <c r="H915">
        <v>6.6724778855946895E-2</v>
      </c>
      <c r="I915">
        <v>7.3158537960184206E-2</v>
      </c>
      <c r="J915">
        <v>0.14944384725929599</v>
      </c>
      <c r="K915">
        <v>0.101202864169987</v>
      </c>
      <c r="L915">
        <v>721.600092808559</v>
      </c>
      <c r="M915">
        <v>15.1389921334327</v>
      </c>
      <c r="N915">
        <v>48.139327197525603</v>
      </c>
      <c r="O915">
        <v>46.856528509004796</v>
      </c>
      <c r="P915">
        <v>-7.5183862624105494E-2</v>
      </c>
      <c r="Q915">
        <v>6.9287710797231297E-2</v>
      </c>
      <c r="R915">
        <v>0.94104842966865598</v>
      </c>
      <c r="S915" t="s">
        <v>7585</v>
      </c>
      <c r="T915" t="s">
        <v>13338</v>
      </c>
      <c r="U915" t="s">
        <v>13338</v>
      </c>
      <c r="V915" t="s">
        <v>13338</v>
      </c>
      <c r="W915" t="s">
        <v>14235</v>
      </c>
      <c r="X915">
        <v>4</v>
      </c>
      <c r="Y915" t="s">
        <v>20839</v>
      </c>
      <c r="Z915" t="s">
        <v>27330</v>
      </c>
      <c r="AA915">
        <v>0.33098669201857489</v>
      </c>
      <c r="AB915" t="str">
        <f>HYPERLINK("Melting_Curves/meltCurve_H3BP13_TRAPPC2L.pdf", "Melting_Curves/meltCurve_H3BP13_TRAPPC2L.pdf")</f>
        <v>Melting_Curves/meltCurve_H3BP13_TRAPPC2L.pdf</v>
      </c>
    </row>
    <row r="916" spans="1:28" x14ac:dyDescent="0.25">
      <c r="A916" t="s">
        <v>920</v>
      </c>
      <c r="B916">
        <v>0.99193492352474899</v>
      </c>
      <c r="C916">
        <v>0.83114272744952</v>
      </c>
      <c r="D916">
        <v>0.92873924009768205</v>
      </c>
      <c r="E916">
        <v>0.73728532558537496</v>
      </c>
      <c r="F916">
        <v>0.67003925392930797</v>
      </c>
      <c r="G916">
        <v>0.40054732553285899</v>
      </c>
      <c r="H916">
        <v>0.10679913279683</v>
      </c>
      <c r="I916">
        <v>0.114651333723519</v>
      </c>
      <c r="J916">
        <v>0.119229449944371</v>
      </c>
      <c r="K916">
        <v>0.119158105278449</v>
      </c>
      <c r="L916">
        <v>707.69872518878196</v>
      </c>
      <c r="M916">
        <v>13.0074669722843</v>
      </c>
      <c r="N916">
        <v>54.5562149363668</v>
      </c>
      <c r="O916">
        <v>53.169336450977397</v>
      </c>
      <c r="P916">
        <v>-6.0103144445008902E-2</v>
      </c>
      <c r="Q916">
        <v>1.7462474461704298E-2</v>
      </c>
      <c r="R916">
        <v>0.96226328680752005</v>
      </c>
      <c r="S916" t="s">
        <v>7586</v>
      </c>
      <c r="T916" t="s">
        <v>13338</v>
      </c>
      <c r="U916" t="s">
        <v>13338</v>
      </c>
      <c r="V916" t="s">
        <v>13338</v>
      </c>
      <c r="W916" t="s">
        <v>14236</v>
      </c>
      <c r="X916">
        <v>16</v>
      </c>
      <c r="Y916" t="s">
        <v>20840</v>
      </c>
      <c r="Z916" t="s">
        <v>27331</v>
      </c>
      <c r="AA916">
        <v>0.51223542881292328</v>
      </c>
      <c r="AB916" t="str">
        <f>HYPERLINK("Melting_Curves/meltCurve_H3BP20_HEXA.pdf", "Melting_Curves/meltCurve_H3BP20_HEXA.pdf")</f>
        <v>Melting_Curves/meltCurve_H3BP20_HEXA.pdf</v>
      </c>
    </row>
    <row r="917" spans="1:28" x14ac:dyDescent="0.25">
      <c r="A917" t="s">
        <v>921</v>
      </c>
      <c r="B917">
        <v>0.99193492352474899</v>
      </c>
      <c r="C917">
        <v>0.78162123290458896</v>
      </c>
      <c r="D917">
        <v>0.76706728740684504</v>
      </c>
      <c r="E917">
        <v>0.70590329209269997</v>
      </c>
      <c r="F917">
        <v>0.49646074073894497</v>
      </c>
      <c r="G917">
        <v>0.35745251349094098</v>
      </c>
      <c r="H917">
        <v>0.15230742885698401</v>
      </c>
      <c r="I917">
        <v>0.12932704413712501</v>
      </c>
      <c r="J917">
        <v>9.0167910629622205E-2</v>
      </c>
      <c r="K917">
        <v>0.114005450252602</v>
      </c>
      <c r="L917">
        <v>498.65431821607501</v>
      </c>
      <c r="M917">
        <v>9.4861855260020107</v>
      </c>
      <c r="N917">
        <v>52.566365277386197</v>
      </c>
      <c r="O917">
        <v>50.389329497495801</v>
      </c>
      <c r="P917">
        <v>-4.7092449258653399E-2</v>
      </c>
      <c r="Q917">
        <v>0</v>
      </c>
      <c r="R917">
        <v>0.97314217289264504</v>
      </c>
      <c r="S917" t="s">
        <v>7587</v>
      </c>
      <c r="T917" t="s">
        <v>13338</v>
      </c>
      <c r="U917" t="s">
        <v>13338</v>
      </c>
      <c r="V917" t="s">
        <v>13338</v>
      </c>
      <c r="W917" t="s">
        <v>14237</v>
      </c>
      <c r="X917">
        <v>3</v>
      </c>
      <c r="Y917" t="s">
        <v>20841</v>
      </c>
      <c r="Z917" t="s">
        <v>27332</v>
      </c>
      <c r="AA917">
        <v>0.45659373095377032</v>
      </c>
      <c r="AB917" t="str">
        <f>HYPERLINK("Melting_Curves/meltCurve_H3BP28_COQ7.pdf", "Melting_Curves/meltCurve_H3BP28_COQ7.pdf")</f>
        <v>Melting_Curves/meltCurve_H3BP28_COQ7.pdf</v>
      </c>
    </row>
    <row r="918" spans="1:28" x14ac:dyDescent="0.25">
      <c r="A918" t="s">
        <v>922</v>
      </c>
      <c r="B918">
        <v>0.99193492352474899</v>
      </c>
      <c r="C918">
        <v>0.85104883835507605</v>
      </c>
      <c r="D918">
        <v>0.81649945153755599</v>
      </c>
      <c r="E918">
        <v>0.52555014541948597</v>
      </c>
      <c r="F918">
        <v>0.177847767069192</v>
      </c>
      <c r="G918">
        <v>0.11114888729375</v>
      </c>
      <c r="H918">
        <v>7.2446027570362101E-2</v>
      </c>
      <c r="I918">
        <v>6.1908000428326899E-2</v>
      </c>
      <c r="J918">
        <v>7.3191500955554295E-2</v>
      </c>
      <c r="K918">
        <v>6.2043598022651199E-2</v>
      </c>
      <c r="L918">
        <v>940.45297031037398</v>
      </c>
      <c r="M918">
        <v>19.1326355523254</v>
      </c>
      <c r="N918">
        <v>49.425502198624102</v>
      </c>
      <c r="O918">
        <v>48.626849727745402</v>
      </c>
      <c r="P918">
        <v>-9.3468195237346494E-2</v>
      </c>
      <c r="Q918">
        <v>4.9814686711366497E-2</v>
      </c>
      <c r="R918">
        <v>0.9893361527515</v>
      </c>
      <c r="S918" t="s">
        <v>7588</v>
      </c>
      <c r="T918" t="s">
        <v>13338</v>
      </c>
      <c r="U918" t="s">
        <v>13338</v>
      </c>
      <c r="V918" t="s">
        <v>13338</v>
      </c>
      <c r="W918" t="s">
        <v>14238</v>
      </c>
      <c r="X918">
        <v>9</v>
      </c>
      <c r="Y918" t="s">
        <v>20842</v>
      </c>
      <c r="Z918" t="s">
        <v>27333</v>
      </c>
      <c r="AA918">
        <v>0.35429278889883908</v>
      </c>
      <c r="AB918" t="str">
        <f>HYPERLINK("Melting_Curves/meltCurve_H3BPB8_MPI.pdf", "Melting_Curves/meltCurve_H3BPB8_MPI.pdf")</f>
        <v>Melting_Curves/meltCurve_H3BPB8_MPI.pdf</v>
      </c>
    </row>
    <row r="919" spans="1:28" x14ac:dyDescent="0.25">
      <c r="A919" t="s">
        <v>923</v>
      </c>
      <c r="B919">
        <v>0.99193492352474899</v>
      </c>
      <c r="C919">
        <v>0.75422254723097204</v>
      </c>
      <c r="D919">
        <v>0.88465687927659598</v>
      </c>
      <c r="E919">
        <v>0.64260169883238905</v>
      </c>
      <c r="F919">
        <v>0.25320945568523701</v>
      </c>
      <c r="G919">
        <v>9.6490617104867393E-2</v>
      </c>
      <c r="H919">
        <v>6.0850384991527701E-2</v>
      </c>
      <c r="I919">
        <v>6.0309426685498997E-2</v>
      </c>
      <c r="J919">
        <v>7.5970546958780499E-2</v>
      </c>
      <c r="K919">
        <v>7.0088197471446401E-2</v>
      </c>
      <c r="L919">
        <v>958.44324173971302</v>
      </c>
      <c r="M919">
        <v>19.068233797279401</v>
      </c>
      <c r="N919">
        <v>50.491072183271697</v>
      </c>
      <c r="O919">
        <v>49.720842428022102</v>
      </c>
      <c r="P919">
        <v>-9.1938325568921106E-2</v>
      </c>
      <c r="Q919">
        <v>4.1112871496723401E-2</v>
      </c>
      <c r="R919">
        <v>0.95983339713059002</v>
      </c>
      <c r="S919" t="s">
        <v>7589</v>
      </c>
      <c r="T919" t="s">
        <v>13338</v>
      </c>
      <c r="U919" t="s">
        <v>13338</v>
      </c>
      <c r="V919" t="s">
        <v>13338</v>
      </c>
      <c r="W919" t="s">
        <v>14239</v>
      </c>
      <c r="X919">
        <v>9</v>
      </c>
      <c r="Y919" t="s">
        <v>20843</v>
      </c>
      <c r="Z919" t="s">
        <v>27334</v>
      </c>
      <c r="AA919">
        <v>0.38379093608135312</v>
      </c>
      <c r="AB919" t="str">
        <f>HYPERLINK("Melting_Curves/meltCurve_H3BPC4_UBE2I.pdf", "Melting_Curves/meltCurve_H3BPC4_UBE2I.pdf")</f>
        <v>Melting_Curves/meltCurve_H3BPC4_UBE2I.pdf</v>
      </c>
    </row>
    <row r="920" spans="1:28" x14ac:dyDescent="0.25">
      <c r="A920" t="s">
        <v>924</v>
      </c>
      <c r="B920">
        <v>0.99193492352474899</v>
      </c>
      <c r="C920">
        <v>0.69609346867298705</v>
      </c>
      <c r="D920">
        <v>0.78216327346233006</v>
      </c>
      <c r="E920">
        <v>0.25842134215879298</v>
      </c>
      <c r="F920">
        <v>0.166429731426983</v>
      </c>
      <c r="G920">
        <v>9.4990888056260298E-2</v>
      </c>
      <c r="H920">
        <v>7.7868330275143005E-2</v>
      </c>
      <c r="I920">
        <v>8.5702692999213001E-2</v>
      </c>
      <c r="J920">
        <v>0.100520162812282</v>
      </c>
      <c r="K920">
        <v>0.118003549692617</v>
      </c>
      <c r="L920">
        <v>856.90291464691597</v>
      </c>
      <c r="M920">
        <v>18.232277427078699</v>
      </c>
      <c r="N920">
        <v>47.437100038258897</v>
      </c>
      <c r="O920">
        <v>46.444764534818901</v>
      </c>
      <c r="P920">
        <v>-9.0543106983276195E-2</v>
      </c>
      <c r="Q920">
        <v>7.7447993174451807E-2</v>
      </c>
      <c r="R920">
        <v>0.94448227684247898</v>
      </c>
      <c r="S920" t="s">
        <v>7590</v>
      </c>
      <c r="T920" t="s">
        <v>13338</v>
      </c>
      <c r="U920" t="s">
        <v>13338</v>
      </c>
      <c r="V920" t="s">
        <v>13338</v>
      </c>
      <c r="W920" t="s">
        <v>14240</v>
      </c>
      <c r="X920">
        <v>86</v>
      </c>
      <c r="Y920" t="s">
        <v>20844</v>
      </c>
      <c r="Z920" t="s">
        <v>27335</v>
      </c>
      <c r="AA920">
        <v>0.30923858467407778</v>
      </c>
      <c r="AB920" t="str">
        <f>HYPERLINK("Melting_Curves/meltCurve_H3BPE1_MACF1.pdf", "Melting_Curves/meltCurve_H3BPE1_MACF1.pdf")</f>
        <v>Melting_Curves/meltCurve_H3BPE1_MACF1.pdf</v>
      </c>
    </row>
    <row r="921" spans="1:28" x14ac:dyDescent="0.25">
      <c r="A921" t="s">
        <v>925</v>
      </c>
      <c r="B921">
        <v>0.99193492352474899</v>
      </c>
      <c r="C921">
        <v>0.92847352921792503</v>
      </c>
      <c r="D921">
        <v>0.90103284350258905</v>
      </c>
      <c r="E921">
        <v>0.48067442561049001</v>
      </c>
      <c r="F921">
        <v>0.32960339374346598</v>
      </c>
      <c r="G921">
        <v>0.239964960993166</v>
      </c>
      <c r="H921">
        <v>8.3514530392345396E-2</v>
      </c>
      <c r="I921">
        <v>0.110436898951951</v>
      </c>
      <c r="J921">
        <v>0.111673820192847</v>
      </c>
      <c r="K921">
        <v>0.12308989341443601</v>
      </c>
      <c r="L921">
        <v>945.50599211840904</v>
      </c>
      <c r="M921">
        <v>19.088890457209999</v>
      </c>
      <c r="N921">
        <v>50.184598334977601</v>
      </c>
      <c r="O921">
        <v>48.997744330717303</v>
      </c>
      <c r="P921">
        <v>-8.6691561793389202E-2</v>
      </c>
      <c r="Q921">
        <v>0.109948110396829</v>
      </c>
      <c r="R921">
        <v>0.98609954838621405</v>
      </c>
      <c r="S921" t="s">
        <v>7591</v>
      </c>
      <c r="T921" t="s">
        <v>13338</v>
      </c>
      <c r="U921" t="s">
        <v>13338</v>
      </c>
      <c r="V921" t="s">
        <v>13338</v>
      </c>
      <c r="W921" t="s">
        <v>14241</v>
      </c>
      <c r="X921">
        <v>3</v>
      </c>
      <c r="Y921" t="s">
        <v>20845</v>
      </c>
      <c r="Z921" t="s">
        <v>27336</v>
      </c>
      <c r="AA921">
        <v>0.40635884195579808</v>
      </c>
      <c r="AB921" t="str">
        <f>HYPERLINK("Melting_Curves/meltCurve_H3BPZ0_FBXL19.pdf", "Melting_Curves/meltCurve_H3BPZ0_FBXL19.pdf")</f>
        <v>Melting_Curves/meltCurve_H3BPZ0_FBXL19.pdf</v>
      </c>
    </row>
    <row r="922" spans="1:28" x14ac:dyDescent="0.25">
      <c r="A922" t="s">
        <v>926</v>
      </c>
      <c r="B922">
        <v>0.99193492352474899</v>
      </c>
      <c r="C922">
        <v>0.92010859308791804</v>
      </c>
      <c r="D922">
        <v>0.789326749626998</v>
      </c>
      <c r="E922">
        <v>0.74449334871579398</v>
      </c>
      <c r="F922">
        <v>0.62639507759887803</v>
      </c>
      <c r="G922">
        <v>0.42787542260559702</v>
      </c>
      <c r="H922">
        <v>0.48148806036062602</v>
      </c>
      <c r="I922">
        <v>0.42539704396303701</v>
      </c>
      <c r="J922">
        <v>0.58088504113628803</v>
      </c>
      <c r="K922">
        <v>0.551720865935028</v>
      </c>
      <c r="L922">
        <v>733.73164202621103</v>
      </c>
      <c r="M922">
        <v>15.2400255516351</v>
      </c>
      <c r="N922">
        <v>63.908398170614198</v>
      </c>
      <c r="O922">
        <v>47.338919084268902</v>
      </c>
      <c r="P922">
        <v>-4.1183592141549402E-2</v>
      </c>
      <c r="Q922">
        <v>0.48834690341166298</v>
      </c>
      <c r="R922">
        <v>0.90216947081938104</v>
      </c>
      <c r="S922" t="s">
        <v>7592</v>
      </c>
      <c r="T922" t="s">
        <v>13338</v>
      </c>
      <c r="U922" t="s">
        <v>13338</v>
      </c>
      <c r="V922" t="s">
        <v>13338</v>
      </c>
      <c r="W922" t="s">
        <v>14242</v>
      </c>
      <c r="X922">
        <v>2</v>
      </c>
      <c r="Y922" t="s">
        <v>20846</v>
      </c>
      <c r="Z922" t="s">
        <v>27337</v>
      </c>
      <c r="AA922">
        <v>0.63993686874713707</v>
      </c>
      <c r="AB922" t="str">
        <f>HYPERLINK("Melting_Curves/meltCurve_H3BQA0_SNAPC5.pdf", "Melting_Curves/meltCurve_H3BQA0_SNAPC5.pdf")</f>
        <v>Melting_Curves/meltCurve_H3BQA0_SNAPC5.pdf</v>
      </c>
    </row>
    <row r="923" spans="1:28" x14ac:dyDescent="0.25">
      <c r="A923" t="s">
        <v>927</v>
      </c>
      <c r="B923">
        <v>0.99193492352474899</v>
      </c>
      <c r="C923">
        <v>0.76178843918688199</v>
      </c>
      <c r="D923">
        <v>0.844944879034498</v>
      </c>
      <c r="E923">
        <v>0.27093886969073899</v>
      </c>
      <c r="F923">
        <v>0.165841427512599</v>
      </c>
      <c r="G923">
        <v>0.108612683458597</v>
      </c>
      <c r="H923">
        <v>6.2771991829405099E-2</v>
      </c>
      <c r="I923">
        <v>0.129639112745561</v>
      </c>
      <c r="J923">
        <v>8.0155042086707304E-2</v>
      </c>
      <c r="K923">
        <v>8.8169254589314003E-2</v>
      </c>
      <c r="L923">
        <v>1251.1609938310201</v>
      </c>
      <c r="M923">
        <v>26.2439975689595</v>
      </c>
      <c r="N923">
        <v>48.032433445696597</v>
      </c>
      <c r="O923">
        <v>47.399953939873598</v>
      </c>
      <c r="P923">
        <v>-0.12611541339627999</v>
      </c>
      <c r="Q923">
        <v>8.8889048641834195E-2</v>
      </c>
      <c r="R923">
        <v>0.95583383346239403</v>
      </c>
      <c r="S923" t="s">
        <v>7593</v>
      </c>
      <c r="T923" t="s">
        <v>13338</v>
      </c>
      <c r="U923" t="s">
        <v>13338</v>
      </c>
      <c r="V923" t="s">
        <v>13338</v>
      </c>
      <c r="W923" t="s">
        <v>14176</v>
      </c>
      <c r="X923">
        <v>2</v>
      </c>
      <c r="Z923" t="s">
        <v>27338</v>
      </c>
      <c r="AA923">
        <v>0.32922399278844949</v>
      </c>
      <c r="AB923" t="str">
        <f>HYPERLINK("Melting_Curves/meltCurve_H3BQF6_.pdf", "Melting_Curves/meltCurve_H3BQF6_.pdf")</f>
        <v>Melting_Curves/meltCurve_H3BQF6_.pdf</v>
      </c>
    </row>
    <row r="924" spans="1:28" x14ac:dyDescent="0.25">
      <c r="A924" t="s">
        <v>928</v>
      </c>
      <c r="B924">
        <v>0.99193492352474899</v>
      </c>
      <c r="C924">
        <v>0.46883889123364803</v>
      </c>
      <c r="D924">
        <v>0.387690120559608</v>
      </c>
      <c r="E924">
        <v>0.22915118864692399</v>
      </c>
      <c r="F924">
        <v>0.119711386478298</v>
      </c>
      <c r="G924">
        <v>4.6909033215457203E-2</v>
      </c>
      <c r="H924">
        <v>5.1117053109597299E-2</v>
      </c>
      <c r="I924">
        <v>4.2580994411995803E-2</v>
      </c>
      <c r="J924">
        <v>1.66855671497021E-2</v>
      </c>
      <c r="K924">
        <v>0</v>
      </c>
      <c r="L924">
        <v>699.32739887242997</v>
      </c>
      <c r="M924">
        <v>15.874752933016699</v>
      </c>
      <c r="N924">
        <v>44.242372969812997</v>
      </c>
      <c r="O924">
        <v>43.371539829247901</v>
      </c>
      <c r="P924">
        <v>-8.8503062736310104E-2</v>
      </c>
      <c r="Q924">
        <v>3.2878794758923101E-2</v>
      </c>
      <c r="R924">
        <v>0.94008692070814603</v>
      </c>
      <c r="S924" t="s">
        <v>7594</v>
      </c>
      <c r="T924" t="s">
        <v>13338</v>
      </c>
      <c r="U924" t="s">
        <v>13338</v>
      </c>
      <c r="V924" t="s">
        <v>13338</v>
      </c>
      <c r="W924" t="s">
        <v>14243</v>
      </c>
      <c r="X924">
        <v>2</v>
      </c>
      <c r="Y924" t="s">
        <v>20847</v>
      </c>
      <c r="Z924" t="s">
        <v>27339</v>
      </c>
      <c r="AA924">
        <v>0.19451445286886521</v>
      </c>
      <c r="AB924" t="str">
        <f>HYPERLINK("Melting_Curves/meltCurve_H3BQM0_PAPD5.pdf", "Melting_Curves/meltCurve_H3BQM0_PAPD5.pdf")</f>
        <v>Melting_Curves/meltCurve_H3BQM0_PAPD5.pdf</v>
      </c>
    </row>
    <row r="925" spans="1:28" x14ac:dyDescent="0.25">
      <c r="A925" t="s">
        <v>929</v>
      </c>
      <c r="B925">
        <v>0.99193492352474899</v>
      </c>
      <c r="C925">
        <v>0.57546096455741702</v>
      </c>
      <c r="D925">
        <v>0.30687963861344902</v>
      </c>
      <c r="E925">
        <v>0.65335843119386705</v>
      </c>
      <c r="F925">
        <v>0.61018339992518</v>
      </c>
      <c r="G925">
        <v>0.10493255665760599</v>
      </c>
      <c r="H925">
        <v>0.14700680639955399</v>
      </c>
      <c r="I925">
        <v>0.80980020812449804</v>
      </c>
      <c r="J925">
        <v>1.1657469655353601</v>
      </c>
      <c r="K925">
        <v>0</v>
      </c>
      <c r="L925">
        <v>10663.282544891799</v>
      </c>
      <c r="M925">
        <v>250</v>
      </c>
      <c r="N925">
        <v>43.168619565382798</v>
      </c>
      <c r="O925">
        <v>42.650418106872301</v>
      </c>
      <c r="P925">
        <v>-0.76971946512119405</v>
      </c>
      <c r="Q925">
        <v>0.47473850188580902</v>
      </c>
      <c r="R925">
        <v>0.17382578185012901</v>
      </c>
      <c r="S925" t="s">
        <v>7595</v>
      </c>
      <c r="T925" t="s">
        <v>13338</v>
      </c>
      <c r="U925" t="s">
        <v>13338</v>
      </c>
      <c r="V925" t="s">
        <v>13338</v>
      </c>
      <c r="W925" t="s">
        <v>14244</v>
      </c>
      <c r="X925">
        <v>1</v>
      </c>
      <c r="Y925" t="s">
        <v>20848</v>
      </c>
      <c r="Z925" t="s">
        <v>27340</v>
      </c>
      <c r="AA925">
        <v>0.52123072523072345</v>
      </c>
      <c r="AB925" t="str">
        <f>HYPERLINK("Melting_Curves/meltCurve_H3BQV3_COG8.pdf", "Melting_Curves/meltCurve_H3BQV3_COG8.pdf")</f>
        <v>Melting_Curves/meltCurve_H3BQV3_COG8.pdf</v>
      </c>
    </row>
    <row r="926" spans="1:28" x14ac:dyDescent="0.25">
      <c r="A926" t="s">
        <v>930</v>
      </c>
      <c r="B926">
        <v>0.99193492352474899</v>
      </c>
      <c r="C926">
        <v>0.89911833233654803</v>
      </c>
      <c r="D926">
        <v>0.85302485569530195</v>
      </c>
      <c r="E926">
        <v>0.59780133007665304</v>
      </c>
      <c r="F926">
        <v>0.51586147985040698</v>
      </c>
      <c r="G926">
        <v>0.34684249594288502</v>
      </c>
      <c r="H926">
        <v>0.210731556443437</v>
      </c>
      <c r="I926">
        <v>0.18339635599988299</v>
      </c>
      <c r="J926">
        <v>0.136039749659885</v>
      </c>
      <c r="K926">
        <v>0.108771593046044</v>
      </c>
      <c r="L926">
        <v>550.28489606056803</v>
      </c>
      <c r="M926">
        <v>10.527310792777101</v>
      </c>
      <c r="N926">
        <v>52.823406313425899</v>
      </c>
      <c r="O926">
        <v>50.491643102145197</v>
      </c>
      <c r="P926">
        <v>-4.9432226885807597E-2</v>
      </c>
      <c r="Q926">
        <v>5.2021187286866097E-2</v>
      </c>
      <c r="R926">
        <v>0.99281375201284705</v>
      </c>
      <c r="S926" t="s">
        <v>7596</v>
      </c>
      <c r="T926" t="s">
        <v>13338</v>
      </c>
      <c r="U926" t="s">
        <v>13338</v>
      </c>
      <c r="V926" t="s">
        <v>13338</v>
      </c>
      <c r="W926" t="s">
        <v>14245</v>
      </c>
      <c r="X926">
        <v>2</v>
      </c>
      <c r="Y926" t="s">
        <v>20849</v>
      </c>
      <c r="Z926" t="s">
        <v>27341</v>
      </c>
      <c r="AA926">
        <v>0.47298585227755707</v>
      </c>
      <c r="AB926" t="str">
        <f>HYPERLINK("Melting_Curves/meltCurve_H3BR82_SPNS1.pdf", "Melting_Curves/meltCurve_H3BR82_SPNS1.pdf")</f>
        <v>Melting_Curves/meltCurve_H3BR82_SPNS1.pdf</v>
      </c>
    </row>
    <row r="927" spans="1:28" x14ac:dyDescent="0.25">
      <c r="A927" t="s">
        <v>931</v>
      </c>
      <c r="B927">
        <v>0.99193492352474899</v>
      </c>
      <c r="C927">
        <v>1.0593579008005101</v>
      </c>
      <c r="D927">
        <v>1.0785356997404001</v>
      </c>
      <c r="E927">
        <v>0.89842738783721099</v>
      </c>
      <c r="F927">
        <v>0.76723956026881901</v>
      </c>
      <c r="G927">
        <v>0.44181537948972499</v>
      </c>
      <c r="H927">
        <v>0.41321811598047098</v>
      </c>
      <c r="I927">
        <v>0.42384387403950702</v>
      </c>
      <c r="J927">
        <v>0.48911064033787599</v>
      </c>
      <c r="K927">
        <v>0.65800113560968698</v>
      </c>
      <c r="L927">
        <v>13310.2167981198</v>
      </c>
      <c r="M927">
        <v>250</v>
      </c>
      <c r="N927">
        <v>54.001163051241797</v>
      </c>
      <c r="O927">
        <v>53.237460144440398</v>
      </c>
      <c r="P927">
        <v>-0.60437023842269</v>
      </c>
      <c r="Q927">
        <v>0.48519781705369602</v>
      </c>
      <c r="R927">
        <v>0.90902276167509699</v>
      </c>
      <c r="S927" t="s">
        <v>7597</v>
      </c>
      <c r="T927" t="s">
        <v>13338</v>
      </c>
      <c r="U927" t="s">
        <v>13338</v>
      </c>
      <c r="V927" t="s">
        <v>13338</v>
      </c>
      <c r="W927" t="s">
        <v>14246</v>
      </c>
      <c r="X927">
        <v>6</v>
      </c>
      <c r="Y927" t="s">
        <v>20850</v>
      </c>
      <c r="Z927" t="s">
        <v>27342</v>
      </c>
      <c r="AA927">
        <v>0.71246016306335369</v>
      </c>
      <c r="AB927" t="str">
        <f>HYPERLINK("Melting_Curves/meltCurve_H3BRF9_ZFYVE19.pdf", "Melting_Curves/meltCurve_H3BRF9_ZFYVE19.pdf")</f>
        <v>Melting_Curves/meltCurve_H3BRF9_ZFYVE19.pdf</v>
      </c>
    </row>
    <row r="928" spans="1:28" x14ac:dyDescent="0.25">
      <c r="A928" t="s">
        <v>932</v>
      </c>
      <c r="B928">
        <v>0.99193492352474899</v>
      </c>
      <c r="C928">
        <v>0.70209478858919405</v>
      </c>
      <c r="D928">
        <v>1.01613736869464</v>
      </c>
      <c r="E928">
        <v>0.60579849598485702</v>
      </c>
      <c r="F928">
        <v>0.28493919365370701</v>
      </c>
      <c r="G928">
        <v>0.117164305590538</v>
      </c>
      <c r="H928">
        <v>7.6341994925584397E-2</v>
      </c>
      <c r="I928">
        <v>8.0653855419155998E-2</v>
      </c>
      <c r="J928">
        <v>0.11218037206265299</v>
      </c>
      <c r="K928">
        <v>0.12508444083176201</v>
      </c>
      <c r="L928">
        <v>1314.7503290831701</v>
      </c>
      <c r="M928">
        <v>26.148713227189699</v>
      </c>
      <c r="N928">
        <v>50.677987497490101</v>
      </c>
      <c r="O928">
        <v>49.988434391279498</v>
      </c>
      <c r="P928">
        <v>-0.11862957249862099</v>
      </c>
      <c r="Q928">
        <v>9.2874759500992998E-2</v>
      </c>
      <c r="R928">
        <v>0.92860959702608503</v>
      </c>
      <c r="S928" t="s">
        <v>7598</v>
      </c>
      <c r="T928" t="s">
        <v>13338</v>
      </c>
      <c r="U928" t="s">
        <v>13338</v>
      </c>
      <c r="V928" t="s">
        <v>13338</v>
      </c>
      <c r="W928" t="s">
        <v>14247</v>
      </c>
      <c r="X928">
        <v>9</v>
      </c>
      <c r="Y928" t="s">
        <v>20851</v>
      </c>
      <c r="Z928" t="s">
        <v>27343</v>
      </c>
      <c r="AA928">
        <v>0.41114007429460048</v>
      </c>
      <c r="AB928" t="str">
        <f>HYPERLINK("Melting_Curves/meltCurve_H3BRL3_UBFD1.pdf", "Melting_Curves/meltCurve_H3BRL3_UBFD1.pdf")</f>
        <v>Melting_Curves/meltCurve_H3BRL3_UBFD1.pdf</v>
      </c>
    </row>
    <row r="929" spans="1:28" x14ac:dyDescent="0.25">
      <c r="A929" t="s">
        <v>933</v>
      </c>
      <c r="B929">
        <v>0.99193492352474899</v>
      </c>
      <c r="C929">
        <v>0.92437248795956595</v>
      </c>
      <c r="D929">
        <v>0.93698087455470902</v>
      </c>
      <c r="E929">
        <v>0.82748223244685304</v>
      </c>
      <c r="F929">
        <v>0.68580026145030204</v>
      </c>
      <c r="G929">
        <v>0.55274564463718501</v>
      </c>
      <c r="H929">
        <v>0.28068449972555698</v>
      </c>
      <c r="I929">
        <v>0.14365529186141801</v>
      </c>
      <c r="J929">
        <v>0.122380328349444</v>
      </c>
      <c r="K929">
        <v>0.11764535576637</v>
      </c>
      <c r="L929">
        <v>693.10572652034296</v>
      </c>
      <c r="M929">
        <v>12.2408420971553</v>
      </c>
      <c r="N929">
        <v>56.6223890893787</v>
      </c>
      <c r="O929">
        <v>55.174812542754999</v>
      </c>
      <c r="P929">
        <v>-5.5476282958340999E-2</v>
      </c>
      <c r="Q929">
        <v>0</v>
      </c>
      <c r="R929">
        <v>0.990162557714651</v>
      </c>
      <c r="S929" t="s">
        <v>7599</v>
      </c>
      <c r="T929" t="s">
        <v>13338</v>
      </c>
      <c r="U929" t="s">
        <v>13338</v>
      </c>
      <c r="V929" t="s">
        <v>13338</v>
      </c>
      <c r="W929" t="s">
        <v>14248</v>
      </c>
      <c r="X929">
        <v>12</v>
      </c>
      <c r="Y929" t="s">
        <v>20852</v>
      </c>
      <c r="Z929" t="s">
        <v>27344</v>
      </c>
      <c r="AA929">
        <v>0.5722533789526606</v>
      </c>
      <c r="AB929" t="str">
        <f>HYPERLINK("Melting_Curves/meltCurve_H3BRN4_ABAT.pdf", "Melting_Curves/meltCurve_H3BRN4_ABAT.pdf")</f>
        <v>Melting_Curves/meltCurve_H3BRN4_ABAT.pdf</v>
      </c>
    </row>
    <row r="930" spans="1:28" x14ac:dyDescent="0.25">
      <c r="A930" t="s">
        <v>934</v>
      </c>
      <c r="B930">
        <v>0.99193492352474899</v>
      </c>
      <c r="C930">
        <v>0.78723807051780603</v>
      </c>
      <c r="D930">
        <v>0.79556533279144903</v>
      </c>
      <c r="E930">
        <v>0.27923726772441199</v>
      </c>
      <c r="F930">
        <v>0.17117002026536901</v>
      </c>
      <c r="G930">
        <v>0.11331968492720799</v>
      </c>
      <c r="H930">
        <v>7.3107311348729595E-2</v>
      </c>
      <c r="I930">
        <v>9.3350144138282007E-2</v>
      </c>
      <c r="J930">
        <v>9.7928539130565304E-2</v>
      </c>
      <c r="K930">
        <v>9.4613807095413505E-2</v>
      </c>
      <c r="L930">
        <v>1059.8392567735</v>
      </c>
      <c r="M930">
        <v>22.3285732426667</v>
      </c>
      <c r="N930">
        <v>47.865375866780496</v>
      </c>
      <c r="O930">
        <v>47.089782705548899</v>
      </c>
      <c r="P930">
        <v>-0.108460851146084</v>
      </c>
      <c r="Q930">
        <v>8.5066014788617195E-2</v>
      </c>
      <c r="R930">
        <v>0.97268661238870002</v>
      </c>
      <c r="S930" t="s">
        <v>7600</v>
      </c>
      <c r="T930" t="s">
        <v>13338</v>
      </c>
      <c r="U930" t="s">
        <v>13338</v>
      </c>
      <c r="V930" t="s">
        <v>13338</v>
      </c>
      <c r="W930" t="s">
        <v>14249</v>
      </c>
      <c r="X930">
        <v>33</v>
      </c>
      <c r="Y930" t="s">
        <v>20853</v>
      </c>
      <c r="Z930" t="s">
        <v>27345</v>
      </c>
      <c r="AA930">
        <v>0.32312142084011602</v>
      </c>
      <c r="AB930" t="str">
        <f>HYPERLINK("Melting_Curves/meltCurve_H3BRV0_EIF3C.pdf", "Melting_Curves/meltCurve_H3BRV0_EIF3C.pdf")</f>
        <v>Melting_Curves/meltCurve_H3BRV0_EIF3C.pdf</v>
      </c>
    </row>
    <row r="931" spans="1:28" x14ac:dyDescent="0.25">
      <c r="A931" t="s">
        <v>935</v>
      </c>
      <c r="B931">
        <v>0.99193492352474899</v>
      </c>
      <c r="C931">
        <v>0.73999193051136902</v>
      </c>
      <c r="D931">
        <v>0.86162775725609897</v>
      </c>
      <c r="E931">
        <v>0.49566628086893499</v>
      </c>
      <c r="F931">
        <v>0.232682055056007</v>
      </c>
      <c r="G931">
        <v>0.13792795808033301</v>
      </c>
      <c r="H931">
        <v>8.3109581365368002E-2</v>
      </c>
      <c r="I931">
        <v>8.04081433377591E-2</v>
      </c>
      <c r="J931">
        <v>7.9141317543622899E-2</v>
      </c>
      <c r="K931">
        <v>0.111683953151476</v>
      </c>
      <c r="L931">
        <v>793.70348389467802</v>
      </c>
      <c r="M931">
        <v>16.192967770528199</v>
      </c>
      <c r="N931">
        <v>49.422806262004499</v>
      </c>
      <c r="O931">
        <v>48.2860685193303</v>
      </c>
      <c r="P931">
        <v>-7.8605470605985606E-2</v>
      </c>
      <c r="Q931">
        <v>6.2490501639643398E-2</v>
      </c>
      <c r="R931">
        <v>0.96140285479296494</v>
      </c>
      <c r="S931" t="s">
        <v>7601</v>
      </c>
      <c r="T931" t="s">
        <v>13338</v>
      </c>
      <c r="U931" t="s">
        <v>13338</v>
      </c>
      <c r="V931" t="s">
        <v>13338</v>
      </c>
      <c r="W931" t="s">
        <v>14250</v>
      </c>
      <c r="X931">
        <v>6</v>
      </c>
      <c r="Y931" t="s">
        <v>20854</v>
      </c>
      <c r="Z931" t="s">
        <v>27346</v>
      </c>
      <c r="AA931">
        <v>0.36420647600524431</v>
      </c>
      <c r="AB931" t="str">
        <f>HYPERLINK("Melting_Curves/meltCurve_H3BRY6_VWA9.pdf", "Melting_Curves/meltCurve_H3BRY6_VWA9.pdf")</f>
        <v>Melting_Curves/meltCurve_H3BRY6_VWA9.pdf</v>
      </c>
    </row>
    <row r="932" spans="1:28" x14ac:dyDescent="0.25">
      <c r="A932" t="s">
        <v>936</v>
      </c>
      <c r="B932">
        <v>0.99193492352474899</v>
      </c>
      <c r="C932">
        <v>1.0087475452230199</v>
      </c>
      <c r="D932">
        <v>0.88924852318415104</v>
      </c>
      <c r="E932">
        <v>0.74002474156880504</v>
      </c>
      <c r="F932">
        <v>0.50485060172141005</v>
      </c>
      <c r="G932">
        <v>0.362417747943583</v>
      </c>
      <c r="H932">
        <v>0.24623436396721801</v>
      </c>
      <c r="I932">
        <v>0.42383395871896201</v>
      </c>
      <c r="J932">
        <v>0.361090647473574</v>
      </c>
      <c r="K932">
        <v>0.480005271863292</v>
      </c>
      <c r="L932">
        <v>1239.67920810898</v>
      </c>
      <c r="M932">
        <v>24.764034739986599</v>
      </c>
      <c r="N932">
        <v>52.939366063440403</v>
      </c>
      <c r="O932">
        <v>49.736650763783302</v>
      </c>
      <c r="P932">
        <v>-7.8420943964853704E-2</v>
      </c>
      <c r="Q932">
        <v>0.36999915938880601</v>
      </c>
      <c r="R932">
        <v>0.94870661893575603</v>
      </c>
      <c r="S932" t="s">
        <v>7602</v>
      </c>
      <c r="T932" t="s">
        <v>13338</v>
      </c>
      <c r="U932" t="s">
        <v>13338</v>
      </c>
      <c r="V932" t="s">
        <v>13338</v>
      </c>
      <c r="W932" t="s">
        <v>14251</v>
      </c>
      <c r="X932">
        <v>3</v>
      </c>
      <c r="Y932" t="s">
        <v>20855</v>
      </c>
      <c r="Z932" t="s">
        <v>27347</v>
      </c>
      <c r="AA932">
        <v>0.58699483782043227</v>
      </c>
      <c r="AB932" t="str">
        <f>HYPERLINK("Melting_Curves/meltCurve_H3BS01_C15orf41.pdf", "Melting_Curves/meltCurve_H3BS01_C15orf41.pdf")</f>
        <v>Melting_Curves/meltCurve_H3BS01_C15orf41.pdf</v>
      </c>
    </row>
    <row r="933" spans="1:28" x14ac:dyDescent="0.25">
      <c r="A933" t="s">
        <v>937</v>
      </c>
      <c r="B933">
        <v>0.99193492352474899</v>
      </c>
      <c r="C933">
        <v>0.77899988811271803</v>
      </c>
      <c r="D933">
        <v>1.0513222689914199</v>
      </c>
      <c r="E933">
        <v>0.51014092194720695</v>
      </c>
      <c r="F933">
        <v>0.69402664486050902</v>
      </c>
      <c r="G933">
        <v>0.37540418952204502</v>
      </c>
      <c r="H933">
        <v>0.26457303413906802</v>
      </c>
      <c r="I933">
        <v>0.23759985736508499</v>
      </c>
      <c r="J933">
        <v>0.48007523085873199</v>
      </c>
      <c r="K933">
        <v>0.58240191508379402</v>
      </c>
      <c r="L933">
        <v>972.45849845365296</v>
      </c>
      <c r="M933">
        <v>19.787953075361699</v>
      </c>
      <c r="N933">
        <v>53.367911404577697</v>
      </c>
      <c r="O933">
        <v>48.650322875582802</v>
      </c>
      <c r="P933">
        <v>-6.1462471695524601E-2</v>
      </c>
      <c r="Q933">
        <v>0.39557822035183499</v>
      </c>
      <c r="R933">
        <v>0.69228793443001702</v>
      </c>
      <c r="S933" t="s">
        <v>7603</v>
      </c>
      <c r="T933" t="s">
        <v>13338</v>
      </c>
      <c r="U933" t="s">
        <v>13338</v>
      </c>
      <c r="V933" t="s">
        <v>13338</v>
      </c>
      <c r="W933" t="s">
        <v>14252</v>
      </c>
      <c r="X933">
        <v>1</v>
      </c>
      <c r="Y933" t="s">
        <v>20856</v>
      </c>
      <c r="Z933" t="s">
        <v>27348</v>
      </c>
      <c r="AA933">
        <v>0.5884451290904148</v>
      </c>
      <c r="AB933" t="str">
        <f>HYPERLINK("Melting_Curves/meltCurve_H3BS66_SMIM1.pdf", "Melting_Curves/meltCurve_H3BS66_SMIM1.pdf")</f>
        <v>Melting_Curves/meltCurve_H3BS66_SMIM1.pdf</v>
      </c>
    </row>
    <row r="934" spans="1:28" x14ac:dyDescent="0.25">
      <c r="A934" t="s">
        <v>938</v>
      </c>
      <c r="B934">
        <v>0.99193492352474899</v>
      </c>
      <c r="C934">
        <v>0.90611996966042896</v>
      </c>
      <c r="D934">
        <v>0.94233834913822601</v>
      </c>
      <c r="E934">
        <v>0.71844611685267501</v>
      </c>
      <c r="F934">
        <v>0.54750853572028801</v>
      </c>
      <c r="G934">
        <v>0.22027771585122299</v>
      </c>
      <c r="H934">
        <v>0.113268028042266</v>
      </c>
      <c r="I934">
        <v>0.10949687215355799</v>
      </c>
      <c r="J934">
        <v>0.124102323359739</v>
      </c>
      <c r="K934">
        <v>0.12092986972896699</v>
      </c>
      <c r="L934">
        <v>936.00041237761502</v>
      </c>
      <c r="M934">
        <v>17.8700508831256</v>
      </c>
      <c r="N934">
        <v>52.912627784851502</v>
      </c>
      <c r="O934">
        <v>51.735453989603997</v>
      </c>
      <c r="P934">
        <v>-7.9226425915393597E-2</v>
      </c>
      <c r="Q934">
        <v>8.2575181043540002E-2</v>
      </c>
      <c r="R934">
        <v>0.98694809768299596</v>
      </c>
      <c r="S934" t="s">
        <v>7604</v>
      </c>
      <c r="T934" t="s">
        <v>13338</v>
      </c>
      <c r="U934" t="s">
        <v>13338</v>
      </c>
      <c r="V934" t="s">
        <v>13338</v>
      </c>
      <c r="W934" t="s">
        <v>14253</v>
      </c>
      <c r="X934">
        <v>8</v>
      </c>
      <c r="Y934" t="s">
        <v>20857</v>
      </c>
      <c r="Z934" t="s">
        <v>27349</v>
      </c>
      <c r="AA934">
        <v>0.4764766407946503</v>
      </c>
      <c r="AB934" t="str">
        <f>HYPERLINK("Melting_Curves/meltCurve_H3BSM7_C16orf58.pdf", "Melting_Curves/meltCurve_H3BSM7_C16orf58.pdf")</f>
        <v>Melting_Curves/meltCurve_H3BSM7_C16orf58.pdf</v>
      </c>
    </row>
    <row r="935" spans="1:28" x14ac:dyDescent="0.25">
      <c r="A935" t="s">
        <v>939</v>
      </c>
      <c r="B935">
        <v>0.99193492352474899</v>
      </c>
      <c r="C935">
        <v>0.99667621087563396</v>
      </c>
      <c r="D935">
        <v>0.86356424267342302</v>
      </c>
      <c r="E935">
        <v>0.65786494817365704</v>
      </c>
      <c r="F935">
        <v>0.28549389000452002</v>
      </c>
      <c r="G935">
        <v>0.14267402063548301</v>
      </c>
      <c r="H935">
        <v>7.3326808419049705E-2</v>
      </c>
      <c r="I935">
        <v>6.2639734370085895E-2</v>
      </c>
      <c r="J935">
        <v>8.57945631065722E-2</v>
      </c>
      <c r="K935">
        <v>5.73587642200791E-2</v>
      </c>
      <c r="L935">
        <v>1088.9268040463701</v>
      </c>
      <c r="M935">
        <v>21.518363849287201</v>
      </c>
      <c r="N935">
        <v>50.898232745951397</v>
      </c>
      <c r="O935">
        <v>50.173576411685097</v>
      </c>
      <c r="P935">
        <v>-0.100962166349663</v>
      </c>
      <c r="Q935">
        <v>5.8383891312055701E-2</v>
      </c>
      <c r="R935">
        <v>0.99767351802565996</v>
      </c>
      <c r="S935" t="s">
        <v>7605</v>
      </c>
      <c r="T935" t="s">
        <v>13338</v>
      </c>
      <c r="U935" t="s">
        <v>13338</v>
      </c>
      <c r="V935" t="s">
        <v>13338</v>
      </c>
      <c r="W935" t="s">
        <v>14254</v>
      </c>
      <c r="X935">
        <v>1</v>
      </c>
      <c r="Y935" t="s">
        <v>20858</v>
      </c>
      <c r="Z935" t="s">
        <v>27350</v>
      </c>
      <c r="AA935">
        <v>0.40259932781896879</v>
      </c>
      <c r="AB935" t="str">
        <f>HYPERLINK("Melting_Curves/meltCurve_H3BSW6_CTU2.pdf", "Melting_Curves/meltCurve_H3BSW6_CTU2.pdf")</f>
        <v>Melting_Curves/meltCurve_H3BSW6_CTU2.pdf</v>
      </c>
    </row>
    <row r="936" spans="1:28" x14ac:dyDescent="0.25">
      <c r="A936" t="s">
        <v>940</v>
      </c>
      <c r="B936">
        <v>0.99193492352474899</v>
      </c>
      <c r="C936">
        <v>0.90420181343612904</v>
      </c>
      <c r="D936">
        <v>0.67634419601899598</v>
      </c>
      <c r="E936">
        <v>0.45927437004975402</v>
      </c>
      <c r="F936">
        <v>0.209694445550514</v>
      </c>
      <c r="G936">
        <v>0.21428541597126999</v>
      </c>
      <c r="H936">
        <v>0.149004694068812</v>
      </c>
      <c r="I936">
        <v>0.15903233534212799</v>
      </c>
      <c r="J936">
        <v>9.9877599273038103E-2</v>
      </c>
      <c r="K936">
        <v>0.14266389109706401</v>
      </c>
      <c r="L936">
        <v>837.24770256639204</v>
      </c>
      <c r="M936">
        <v>17.546724658899901</v>
      </c>
      <c r="N936">
        <v>48.553535388952497</v>
      </c>
      <c r="O936">
        <v>47.108517800319298</v>
      </c>
      <c r="P936">
        <v>-8.09551759277361E-2</v>
      </c>
      <c r="Q936">
        <v>0.130670743249655</v>
      </c>
      <c r="R936">
        <v>0.99309334964178198</v>
      </c>
      <c r="S936" t="s">
        <v>7606</v>
      </c>
      <c r="T936" t="s">
        <v>13338</v>
      </c>
      <c r="U936" t="s">
        <v>13338</v>
      </c>
      <c r="V936" t="s">
        <v>13338</v>
      </c>
      <c r="W936" t="s">
        <v>14255</v>
      </c>
      <c r="X936">
        <v>1</v>
      </c>
      <c r="Y936" t="s">
        <v>20859</v>
      </c>
      <c r="Z936" t="s">
        <v>27351</v>
      </c>
      <c r="AA936">
        <v>0.37067080315730661</v>
      </c>
      <c r="AB936" t="str">
        <f>HYPERLINK("Melting_Curves/meltCurve_H3BT91_CCNDBP1.pdf", "Melting_Curves/meltCurve_H3BT91_CCNDBP1.pdf")</f>
        <v>Melting_Curves/meltCurve_H3BT91_CCNDBP1.pdf</v>
      </c>
    </row>
    <row r="937" spans="1:28" x14ac:dyDescent="0.25">
      <c r="A937" t="s">
        <v>941</v>
      </c>
      <c r="B937">
        <v>0.99193492352474899</v>
      </c>
      <c r="C937">
        <v>1.5064253694815399</v>
      </c>
      <c r="D937">
        <v>0.84364631908695698</v>
      </c>
      <c r="E937">
        <v>0.37178343314022899</v>
      </c>
      <c r="F937">
        <v>0.21213425298896699</v>
      </c>
      <c r="G937">
        <v>0.15159278584210101</v>
      </c>
      <c r="H937">
        <v>8.1023563793197695E-2</v>
      </c>
      <c r="I937">
        <v>7.7573677706566604E-2</v>
      </c>
      <c r="J937">
        <v>0.114393253612333</v>
      </c>
      <c r="K937">
        <v>0.10054234647567301</v>
      </c>
      <c r="L937">
        <v>1842.13355978205</v>
      </c>
      <c r="M937">
        <v>38.028099890110802</v>
      </c>
      <c r="N937">
        <v>48.781512939733901</v>
      </c>
      <c r="O937">
        <v>48.308006403991897</v>
      </c>
      <c r="P937">
        <v>-0.173881940427045</v>
      </c>
      <c r="Q937">
        <v>0.11645670304214301</v>
      </c>
      <c r="R937">
        <v>0.87668301123536596</v>
      </c>
      <c r="S937" t="s">
        <v>7607</v>
      </c>
      <c r="T937" t="s">
        <v>13338</v>
      </c>
      <c r="U937" t="s">
        <v>13338</v>
      </c>
      <c r="V937" t="s">
        <v>13338</v>
      </c>
      <c r="W937" t="s">
        <v>14256</v>
      </c>
      <c r="X937">
        <v>5</v>
      </c>
      <c r="Y937" t="s">
        <v>20860</v>
      </c>
      <c r="Z937" t="s">
        <v>27352</v>
      </c>
      <c r="AA937">
        <v>0.36835208182403789</v>
      </c>
      <c r="AB937" t="str">
        <f>HYPERLINK("Melting_Curves/meltCurve_H3BTB7_EARS2.pdf", "Melting_Curves/meltCurve_H3BTB7_EARS2.pdf")</f>
        <v>Melting_Curves/meltCurve_H3BTB7_EARS2.pdf</v>
      </c>
    </row>
    <row r="938" spans="1:28" x14ac:dyDescent="0.25">
      <c r="A938" t="s">
        <v>942</v>
      </c>
      <c r="B938">
        <v>0.99193492352474899</v>
      </c>
      <c r="C938">
        <v>0.48546921941134002</v>
      </c>
      <c r="D938">
        <v>1.1057504545822301</v>
      </c>
      <c r="E938">
        <v>0.63226270557834996</v>
      </c>
      <c r="F938">
        <v>0.57894213168564801</v>
      </c>
      <c r="G938">
        <v>0.18526840626706301</v>
      </c>
      <c r="H938">
        <v>0.12305895065760999</v>
      </c>
      <c r="I938">
        <v>9.2894389928634302E-2</v>
      </c>
      <c r="J938">
        <v>0.122131362126972</v>
      </c>
      <c r="K938">
        <v>0.13229065773512499</v>
      </c>
      <c r="L938">
        <v>644.31663078317604</v>
      </c>
      <c r="M938">
        <v>12.3181741246642</v>
      </c>
      <c r="N938">
        <v>52.563361273403501</v>
      </c>
      <c r="O938">
        <v>50.984991205454499</v>
      </c>
      <c r="P938">
        <v>-5.8647328663347702E-2</v>
      </c>
      <c r="Q938">
        <v>2.9244961591420499E-2</v>
      </c>
      <c r="R938">
        <v>0.76138038266772501</v>
      </c>
      <c r="S938" t="s">
        <v>7608</v>
      </c>
      <c r="T938" t="s">
        <v>13338</v>
      </c>
      <c r="U938" t="s">
        <v>13338</v>
      </c>
      <c r="V938" t="s">
        <v>13338</v>
      </c>
      <c r="W938" t="s">
        <v>14257</v>
      </c>
      <c r="X938">
        <v>3</v>
      </c>
      <c r="Y938" t="s">
        <v>20861</v>
      </c>
      <c r="Z938" t="s">
        <v>27353</v>
      </c>
      <c r="AA938">
        <v>0.45561015011168821</v>
      </c>
      <c r="AB938" t="str">
        <f>HYPERLINK("Melting_Curves/meltCurve_H3BTL1_MAP1LC3B.pdf", "Melting_Curves/meltCurve_H3BTL1_MAP1LC3B.pdf")</f>
        <v>Melting_Curves/meltCurve_H3BTL1_MAP1LC3B.pdf</v>
      </c>
    </row>
    <row r="939" spans="1:28" x14ac:dyDescent="0.25">
      <c r="A939" t="s">
        <v>943</v>
      </c>
      <c r="B939">
        <v>0.99193492352474899</v>
      </c>
      <c r="C939">
        <v>0.88130198402318904</v>
      </c>
      <c r="D939">
        <v>1.0385851855927399</v>
      </c>
      <c r="E939">
        <v>0.71320875188711796</v>
      </c>
      <c r="F939">
        <v>0.50541896805831099</v>
      </c>
      <c r="G939">
        <v>1.3796581630875999</v>
      </c>
      <c r="H939">
        <v>0.33053925914424098</v>
      </c>
      <c r="I939">
        <v>0.149842971923282</v>
      </c>
      <c r="J939">
        <v>0.13076433564532999</v>
      </c>
      <c r="K939">
        <v>0.14253121003602701</v>
      </c>
      <c r="L939">
        <v>15000</v>
      </c>
      <c r="M939">
        <v>247.97264214329601</v>
      </c>
      <c r="N939">
        <v>60.571472734851</v>
      </c>
      <c r="O939">
        <v>60.486609389116602</v>
      </c>
      <c r="P939">
        <v>-0.88034838134095295</v>
      </c>
      <c r="Q939">
        <v>0.14104575194944</v>
      </c>
      <c r="R939">
        <v>0.72220624730326</v>
      </c>
      <c r="S939" t="s">
        <v>7609</v>
      </c>
      <c r="T939" t="s">
        <v>13338</v>
      </c>
      <c r="U939" t="s">
        <v>13338</v>
      </c>
      <c r="V939" t="s">
        <v>13338</v>
      </c>
      <c r="W939" t="s">
        <v>14258</v>
      </c>
      <c r="X939">
        <v>50</v>
      </c>
      <c r="Y939" t="s">
        <v>20862</v>
      </c>
      <c r="Z939" t="s">
        <v>27354</v>
      </c>
      <c r="AA939">
        <v>0.72781976073696064</v>
      </c>
      <c r="AB939" t="str">
        <f>HYPERLINK("Melting_Curves/meltCurve_H3BTN5_PKM.pdf", "Melting_Curves/meltCurve_H3BTN5_PKM.pdf")</f>
        <v>Melting_Curves/meltCurve_H3BTN5_PKM.pdf</v>
      </c>
    </row>
    <row r="940" spans="1:28" x14ac:dyDescent="0.25">
      <c r="A940" t="s">
        <v>944</v>
      </c>
      <c r="B940">
        <v>0.99193492352474899</v>
      </c>
      <c r="C940">
        <v>0.60286731450430198</v>
      </c>
      <c r="D940">
        <v>0.74298151142712099</v>
      </c>
      <c r="E940">
        <v>0.502001593858592</v>
      </c>
      <c r="F940">
        <v>0.53060224536395895</v>
      </c>
      <c r="G940">
        <v>0.40555060618900002</v>
      </c>
      <c r="H940">
        <v>0.17894365707964499</v>
      </c>
      <c r="I940">
        <v>0.20928784317679799</v>
      </c>
      <c r="J940">
        <v>0.19933030009046601</v>
      </c>
      <c r="K940">
        <v>0.181183627297136</v>
      </c>
      <c r="L940">
        <v>327.67076921876998</v>
      </c>
      <c r="M940">
        <v>6.3754814543173701</v>
      </c>
      <c r="N940">
        <v>51.458743670769898</v>
      </c>
      <c r="O940">
        <v>47.036684592931799</v>
      </c>
      <c r="P940">
        <v>-3.38412649065679E-2</v>
      </c>
      <c r="Q940">
        <v>3.90531214467913E-3</v>
      </c>
      <c r="R940">
        <v>0.88932715218997105</v>
      </c>
      <c r="S940" t="s">
        <v>7610</v>
      </c>
      <c r="T940" t="s">
        <v>13338</v>
      </c>
      <c r="U940" t="s">
        <v>13338</v>
      </c>
      <c r="V940" t="s">
        <v>13338</v>
      </c>
      <c r="W940" t="s">
        <v>14259</v>
      </c>
      <c r="X940">
        <v>2</v>
      </c>
      <c r="Y940" t="s">
        <v>20863</v>
      </c>
      <c r="Z940" t="s">
        <v>27355</v>
      </c>
      <c r="AA940">
        <v>0.44370742067082841</v>
      </c>
      <c r="AB940" t="str">
        <f>HYPERLINK("Melting_Curves/meltCurve_H3BTR4_CENPT.pdf", "Melting_Curves/meltCurve_H3BTR4_CENPT.pdf")</f>
        <v>Melting_Curves/meltCurve_H3BTR4_CENPT.pdf</v>
      </c>
    </row>
    <row r="941" spans="1:28" x14ac:dyDescent="0.25">
      <c r="A941" t="s">
        <v>945</v>
      </c>
      <c r="B941">
        <v>0.99193492352474899</v>
      </c>
      <c r="C941">
        <v>0.98844953637167698</v>
      </c>
      <c r="D941">
        <v>0.87055924953331998</v>
      </c>
      <c r="E941">
        <v>0.80241358348141101</v>
      </c>
      <c r="F941">
        <v>0.61652170463530298</v>
      </c>
      <c r="G941">
        <v>0.54339543043213301</v>
      </c>
      <c r="H941">
        <v>0.43388054060817599</v>
      </c>
      <c r="I941">
        <v>0.52899824409602003</v>
      </c>
      <c r="J941">
        <v>0.54627424293061</v>
      </c>
      <c r="K941">
        <v>0.85663316429799696</v>
      </c>
      <c r="L941">
        <v>1154.70396121669</v>
      </c>
      <c r="M941">
        <v>23.652254695127802</v>
      </c>
      <c r="O941">
        <v>48.4750900852627</v>
      </c>
      <c r="P941">
        <v>-5.1267754549785702E-2</v>
      </c>
      <c r="Q941">
        <v>0.57971594313409103</v>
      </c>
      <c r="R941">
        <v>0.71185808795071703</v>
      </c>
      <c r="S941" t="s">
        <v>7611</v>
      </c>
      <c r="T941" t="s">
        <v>13338</v>
      </c>
      <c r="U941" t="s">
        <v>13338</v>
      </c>
      <c r="V941" t="s">
        <v>13338</v>
      </c>
      <c r="W941" t="s">
        <v>14176</v>
      </c>
      <c r="X941">
        <v>3</v>
      </c>
      <c r="Z941" t="s">
        <v>27356</v>
      </c>
      <c r="AA941">
        <v>0.70745284297798294</v>
      </c>
      <c r="AB941" t="str">
        <f>HYPERLINK("Melting_Curves/meltCurve_H3BTX0_.pdf", "Melting_Curves/meltCurve_H3BTX0_.pdf")</f>
        <v>Melting_Curves/meltCurve_H3BTX0_.pdf</v>
      </c>
    </row>
    <row r="942" spans="1:28" x14ac:dyDescent="0.25">
      <c r="A942" t="s">
        <v>946</v>
      </c>
      <c r="B942">
        <v>0.99193492352474899</v>
      </c>
      <c r="C942">
        <v>0.98250841207250195</v>
      </c>
      <c r="D942">
        <v>0.93980796275572498</v>
      </c>
      <c r="E942">
        <v>0.84313170532475101</v>
      </c>
      <c r="F942">
        <v>0.73526783757094005</v>
      </c>
      <c r="G942">
        <v>0.56140629075069404</v>
      </c>
      <c r="H942">
        <v>0.46243573943577099</v>
      </c>
      <c r="I942">
        <v>0.49270877338720898</v>
      </c>
      <c r="J942">
        <v>0.54204422039727995</v>
      </c>
      <c r="K942">
        <v>0.68818036892481504</v>
      </c>
      <c r="L942">
        <v>1144.44487986485</v>
      </c>
      <c r="M942">
        <v>22.287938050175502</v>
      </c>
      <c r="O942">
        <v>50.940179222623698</v>
      </c>
      <c r="P942">
        <v>-5.0123655675834003E-2</v>
      </c>
      <c r="Q942">
        <v>0.541769511584415</v>
      </c>
      <c r="R942">
        <v>0.90278992246712397</v>
      </c>
      <c r="S942" t="s">
        <v>7612</v>
      </c>
      <c r="T942" t="s">
        <v>13338</v>
      </c>
      <c r="U942" t="s">
        <v>13338</v>
      </c>
      <c r="V942" t="s">
        <v>13338</v>
      </c>
      <c r="W942" t="s">
        <v>14260</v>
      </c>
      <c r="X942">
        <v>1</v>
      </c>
      <c r="Y942" t="s">
        <v>20864</v>
      </c>
      <c r="Z942" t="s">
        <v>27357</v>
      </c>
      <c r="AA942">
        <v>0.72029197158494551</v>
      </c>
      <c r="AB942" t="str">
        <f>HYPERLINK("Melting_Curves/meltCurve_H3BTX7_RNF166.pdf", "Melting_Curves/meltCurve_H3BTX7_RNF166.pdf")</f>
        <v>Melting_Curves/meltCurve_H3BTX7_RNF166.pdf</v>
      </c>
    </row>
    <row r="943" spans="1:28" x14ac:dyDescent="0.25">
      <c r="A943" t="s">
        <v>947</v>
      </c>
      <c r="B943">
        <v>0.99193492352474899</v>
      </c>
      <c r="C943">
        <v>0.72191766567909099</v>
      </c>
      <c r="D943">
        <v>0.33875769656097998</v>
      </c>
      <c r="E943">
        <v>0.26343273083368501</v>
      </c>
      <c r="F943">
        <v>0.120684497033044</v>
      </c>
      <c r="G943">
        <v>0.101854559691296</v>
      </c>
      <c r="H943">
        <v>7.6290891020090706E-2</v>
      </c>
      <c r="I943">
        <v>6.0254539330562802E-2</v>
      </c>
      <c r="J943">
        <v>8.2848866317407593E-2</v>
      </c>
      <c r="K943">
        <v>0.17905438801368501</v>
      </c>
      <c r="L943">
        <v>1066.3656057959699</v>
      </c>
      <c r="M943">
        <v>24.033758164005999</v>
      </c>
      <c r="N943">
        <v>44.829733875889701</v>
      </c>
      <c r="O943">
        <v>44.065731598704197</v>
      </c>
      <c r="P943">
        <v>-0.12144647434938401</v>
      </c>
      <c r="Q943">
        <v>0.109328831736733</v>
      </c>
      <c r="R943">
        <v>0.97627856920557698</v>
      </c>
      <c r="S943" t="s">
        <v>7613</v>
      </c>
      <c r="T943" t="s">
        <v>13338</v>
      </c>
      <c r="U943" t="s">
        <v>13338</v>
      </c>
      <c r="V943" t="s">
        <v>13338</v>
      </c>
      <c r="W943" t="s">
        <v>14261</v>
      </c>
      <c r="X943">
        <v>1</v>
      </c>
      <c r="Y943" t="s">
        <v>20865</v>
      </c>
      <c r="Z943" t="s">
        <v>27358</v>
      </c>
      <c r="AA943">
        <v>0.24962382323730681</v>
      </c>
      <c r="AB943" t="str">
        <f>HYPERLINK("Melting_Curves/meltCurve_H3BU23_CDR2.pdf", "Melting_Curves/meltCurve_H3BU23_CDR2.pdf")</f>
        <v>Melting_Curves/meltCurve_H3BU23_CDR2.pdf</v>
      </c>
    </row>
    <row r="944" spans="1:28" x14ac:dyDescent="0.25">
      <c r="A944" t="s">
        <v>948</v>
      </c>
      <c r="B944">
        <v>0.99193492352474899</v>
      </c>
      <c r="C944">
        <v>0.87678645572463998</v>
      </c>
      <c r="D944">
        <v>0.65298112535453401</v>
      </c>
      <c r="E944">
        <v>0.243205590493518</v>
      </c>
      <c r="F944">
        <v>8.1909959011761305E-2</v>
      </c>
      <c r="G944">
        <v>4.5050609433458497E-2</v>
      </c>
      <c r="H944">
        <v>3.8107841201776599E-2</v>
      </c>
      <c r="I944">
        <v>4.1017838329746703E-2</v>
      </c>
      <c r="J944">
        <v>6.30373933843036E-2</v>
      </c>
      <c r="K944">
        <v>5.9254311611258E-2</v>
      </c>
      <c r="L944">
        <v>1129.9002003563901</v>
      </c>
      <c r="M944">
        <v>24.0807971026031</v>
      </c>
      <c r="N944">
        <v>47.0959001397202</v>
      </c>
      <c r="O944">
        <v>46.6012326383239</v>
      </c>
      <c r="P944">
        <v>-0.12366808400682699</v>
      </c>
      <c r="Q944">
        <v>4.2723643107531302E-2</v>
      </c>
      <c r="R944">
        <v>0.99806489126245801</v>
      </c>
      <c r="S944" t="s">
        <v>7614</v>
      </c>
      <c r="T944" t="s">
        <v>13338</v>
      </c>
      <c r="U944" t="s">
        <v>13338</v>
      </c>
      <c r="V944" t="s">
        <v>13338</v>
      </c>
      <c r="W944" t="s">
        <v>14262</v>
      </c>
      <c r="X944">
        <v>1</v>
      </c>
      <c r="Y944" t="s">
        <v>20866</v>
      </c>
      <c r="Z944" t="s">
        <v>27359</v>
      </c>
      <c r="AA944">
        <v>0.27287622025813979</v>
      </c>
      <c r="AB944" t="str">
        <f>HYPERLINK("Melting_Curves/meltCurve_H3BU49_ARL2BP.pdf", "Melting_Curves/meltCurve_H3BU49_ARL2BP.pdf")</f>
        <v>Melting_Curves/meltCurve_H3BU49_ARL2BP.pdf</v>
      </c>
    </row>
    <row r="945" spans="1:28" x14ac:dyDescent="0.25">
      <c r="A945" t="s">
        <v>949</v>
      </c>
      <c r="B945">
        <v>0.99193492352474899</v>
      </c>
      <c r="C945">
        <v>0.59576284474145502</v>
      </c>
      <c r="D945">
        <v>0.821032034790109</v>
      </c>
      <c r="E945">
        <v>0.52150014526433097</v>
      </c>
      <c r="F945">
        <v>0.32302654818141302</v>
      </c>
      <c r="G945">
        <v>0.20111502462358</v>
      </c>
      <c r="H945">
        <v>0.24112611117388799</v>
      </c>
      <c r="I945">
        <v>0.456505700205519</v>
      </c>
      <c r="J945">
        <v>0.71244031055721901</v>
      </c>
      <c r="K945">
        <v>0.97487228775601897</v>
      </c>
      <c r="L945">
        <v>854.29990405526701</v>
      </c>
      <c r="M945">
        <v>19.833450530709399</v>
      </c>
      <c r="N945">
        <v>60.076072330349199</v>
      </c>
      <c r="O945">
        <v>42.642970758731799</v>
      </c>
      <c r="P945">
        <v>-5.8352243236380698E-2</v>
      </c>
      <c r="Q945">
        <v>0.49817521950724297</v>
      </c>
      <c r="R945">
        <v>0.267434177836116</v>
      </c>
      <c r="S945" t="s">
        <v>7615</v>
      </c>
      <c r="T945" t="s">
        <v>13338</v>
      </c>
      <c r="U945" t="s">
        <v>13338</v>
      </c>
      <c r="V945" t="s">
        <v>13338</v>
      </c>
      <c r="W945" t="s">
        <v>14263</v>
      </c>
      <c r="X945">
        <v>4</v>
      </c>
      <c r="Y945" t="s">
        <v>20867</v>
      </c>
      <c r="Z945" t="s">
        <v>27360</v>
      </c>
      <c r="AA945">
        <v>0.56143135009354761</v>
      </c>
      <c r="AB945" t="str">
        <f>HYPERLINK("Melting_Curves/meltCurve_H3BV80_RNPS1.pdf", "Melting_Curves/meltCurve_H3BV80_RNPS1.pdf")</f>
        <v>Melting_Curves/meltCurve_H3BV80_RNPS1.pdf</v>
      </c>
    </row>
    <row r="946" spans="1:28" x14ac:dyDescent="0.25">
      <c r="A946" t="s">
        <v>950</v>
      </c>
      <c r="B946">
        <v>0.99193492352474899</v>
      </c>
      <c r="C946">
        <v>1.79981394970287</v>
      </c>
      <c r="D946">
        <v>0.70404024931752895</v>
      </c>
      <c r="E946">
        <v>0.89737071331599005</v>
      </c>
      <c r="F946">
        <v>0.32049171753293698</v>
      </c>
      <c r="G946">
        <v>0.22242915500379901</v>
      </c>
      <c r="H946">
        <v>0.104491143768134</v>
      </c>
      <c r="I946">
        <v>0.10463124109633901</v>
      </c>
      <c r="J946">
        <v>0.135089540652783</v>
      </c>
      <c r="K946">
        <v>0.13259171244981299</v>
      </c>
      <c r="L946">
        <v>1971.8457538206801</v>
      </c>
      <c r="M946">
        <v>38.147042424411801</v>
      </c>
      <c r="N946">
        <v>52.101338984831003</v>
      </c>
      <c r="O946">
        <v>51.549220639415303</v>
      </c>
      <c r="P946">
        <v>-0.16098158976594301</v>
      </c>
      <c r="Q946">
        <v>0.12984554532798201</v>
      </c>
      <c r="R946">
        <v>0.73900508955127198</v>
      </c>
      <c r="S946" t="s">
        <v>7616</v>
      </c>
      <c r="T946" t="s">
        <v>13338</v>
      </c>
      <c r="U946" t="s">
        <v>13338</v>
      </c>
      <c r="V946" t="s">
        <v>13338</v>
      </c>
      <c r="W946" t="s">
        <v>14264</v>
      </c>
      <c r="X946">
        <v>7</v>
      </c>
      <c r="Y946" t="s">
        <v>20868</v>
      </c>
      <c r="Z946" t="s">
        <v>27361</v>
      </c>
      <c r="AA946">
        <v>0.4723540207319753</v>
      </c>
      <c r="AB946" t="str">
        <f>HYPERLINK("Melting_Curves/meltCurve_H6UMI1_GABARAP.pdf", "Melting_Curves/meltCurve_H6UMI1_GABARAP.pdf")</f>
        <v>Melting_Curves/meltCurve_H6UMI1_GABARAP.pdf</v>
      </c>
    </row>
    <row r="947" spans="1:28" x14ac:dyDescent="0.25">
      <c r="A947" t="s">
        <v>951</v>
      </c>
      <c r="B947">
        <v>0.99193492352474899</v>
      </c>
      <c r="C947">
        <v>0.89254784342734494</v>
      </c>
      <c r="D947">
        <v>0.89510681568851103</v>
      </c>
      <c r="E947">
        <v>0.58516685792250001</v>
      </c>
      <c r="F947">
        <v>0.22593590974618299</v>
      </c>
      <c r="G947">
        <v>0.13003971524095601</v>
      </c>
      <c r="H947">
        <v>8.5115617650557404E-2</v>
      </c>
      <c r="I947">
        <v>8.1026730780031794E-2</v>
      </c>
      <c r="J947">
        <v>9.4304875844699196E-2</v>
      </c>
      <c r="K947">
        <v>6.2990205958758594E-2</v>
      </c>
      <c r="L947">
        <v>1155.2058184872501</v>
      </c>
      <c r="M947">
        <v>23.155924830215401</v>
      </c>
      <c r="N947">
        <v>50.230591824811</v>
      </c>
      <c r="O947">
        <v>49.520530654851498</v>
      </c>
      <c r="P947">
        <v>-0.108366515239899</v>
      </c>
      <c r="Q947">
        <v>7.3020048130179496E-2</v>
      </c>
      <c r="R947">
        <v>0.99346410465901602</v>
      </c>
      <c r="S947" t="s">
        <v>7617</v>
      </c>
      <c r="T947" t="s">
        <v>13338</v>
      </c>
      <c r="U947" t="s">
        <v>13338</v>
      </c>
      <c r="V947" t="s">
        <v>13338</v>
      </c>
      <c r="W947" t="s">
        <v>14265</v>
      </c>
      <c r="X947">
        <v>3</v>
      </c>
      <c r="Y947" t="s">
        <v>20869</v>
      </c>
      <c r="Z947" t="s">
        <v>27362</v>
      </c>
      <c r="AA947">
        <v>0.38821068520886659</v>
      </c>
      <c r="AB947" t="str">
        <f>HYPERLINK("Melting_Curves/meltCurve_H7BXD5_GCA.pdf", "Melting_Curves/meltCurve_H7BXD5_GCA.pdf")</f>
        <v>Melting_Curves/meltCurve_H7BXD5_GCA.pdf</v>
      </c>
    </row>
    <row r="948" spans="1:28" x14ac:dyDescent="0.25">
      <c r="A948" t="s">
        <v>952</v>
      </c>
      <c r="B948">
        <v>0.99193492352474899</v>
      </c>
      <c r="C948">
        <v>0.81662270709727303</v>
      </c>
      <c r="D948">
        <v>0.83421147240313398</v>
      </c>
      <c r="E948">
        <v>0.46634544002732198</v>
      </c>
      <c r="F948">
        <v>0.19629670302951299</v>
      </c>
      <c r="G948">
        <v>8.4677562968783093E-2</v>
      </c>
      <c r="H948">
        <v>4.7954873683079803E-2</v>
      </c>
      <c r="I948">
        <v>5.3990835176917502E-2</v>
      </c>
      <c r="J948">
        <v>6.9081475566700606E-2</v>
      </c>
      <c r="K948">
        <v>5.5167613794517699E-2</v>
      </c>
      <c r="L948">
        <v>919.85466854375204</v>
      </c>
      <c r="M948">
        <v>18.793088055147798</v>
      </c>
      <c r="N948">
        <v>49.159120045884798</v>
      </c>
      <c r="O948">
        <v>48.402333305553697</v>
      </c>
      <c r="P948">
        <v>-9.3280980695171406E-2</v>
      </c>
      <c r="Q948">
        <v>3.90448871143695E-2</v>
      </c>
      <c r="R948">
        <v>0.98531100914076997</v>
      </c>
      <c r="S948" t="s">
        <v>7618</v>
      </c>
      <c r="T948" t="s">
        <v>13338</v>
      </c>
      <c r="U948" t="s">
        <v>13338</v>
      </c>
      <c r="V948" t="s">
        <v>13338</v>
      </c>
      <c r="W948" t="s">
        <v>14266</v>
      </c>
      <c r="X948">
        <v>6</v>
      </c>
      <c r="Y948" t="s">
        <v>20870</v>
      </c>
      <c r="Z948" t="s">
        <v>27363</v>
      </c>
      <c r="AA948">
        <v>0.34089509869645668</v>
      </c>
      <c r="AB948" t="str">
        <f>HYPERLINK("Melting_Curves/meltCurve_H7BXF4_SMPD4.pdf", "Melting_Curves/meltCurve_H7BXF4_SMPD4.pdf")</f>
        <v>Melting_Curves/meltCurve_H7BXF4_SMPD4.pdf</v>
      </c>
    </row>
    <row r="949" spans="1:28" x14ac:dyDescent="0.25">
      <c r="A949" t="s">
        <v>953</v>
      </c>
      <c r="B949">
        <v>0.99193492352474899</v>
      </c>
      <c r="C949">
        <v>0.52579311253305006</v>
      </c>
      <c r="D949">
        <v>0.40457782138811998</v>
      </c>
      <c r="E949">
        <v>0.228362736821172</v>
      </c>
      <c r="F949">
        <v>0.139950728164869</v>
      </c>
      <c r="G949">
        <v>7.3039330159334101E-2</v>
      </c>
      <c r="H949">
        <v>9.2599444058532501E-2</v>
      </c>
      <c r="I949">
        <v>0.26459624413095501</v>
      </c>
      <c r="J949">
        <v>0.34310464772192101</v>
      </c>
      <c r="K949">
        <v>0.42559592178547101</v>
      </c>
      <c r="L949">
        <v>1353.3672179062301</v>
      </c>
      <c r="M949">
        <v>31.701084890011899</v>
      </c>
      <c r="N949">
        <v>43.547950060216799</v>
      </c>
      <c r="O949">
        <v>42.522689550613002</v>
      </c>
      <c r="P949">
        <v>-0.14314706138302</v>
      </c>
      <c r="Q949">
        <v>0.23195453523914999</v>
      </c>
      <c r="R949">
        <v>0.812495051665728</v>
      </c>
      <c r="S949" t="s">
        <v>7619</v>
      </c>
      <c r="T949" t="s">
        <v>13338</v>
      </c>
      <c r="U949" t="s">
        <v>13338</v>
      </c>
      <c r="V949" t="s">
        <v>13338</v>
      </c>
      <c r="W949" t="s">
        <v>14267</v>
      </c>
      <c r="X949">
        <v>5</v>
      </c>
      <c r="Y949" t="s">
        <v>20871</v>
      </c>
      <c r="Z949" t="s">
        <v>27364</v>
      </c>
      <c r="AA949">
        <v>0.30768900447959829</v>
      </c>
      <c r="AB949" t="str">
        <f>HYPERLINK("Melting_Curves/meltCurve_H7BXF5_SAP130.pdf", "Melting_Curves/meltCurve_H7BXF5_SAP130.pdf")</f>
        <v>Melting_Curves/meltCurve_H7BXF5_SAP130.pdf</v>
      </c>
    </row>
    <row r="950" spans="1:28" x14ac:dyDescent="0.25">
      <c r="A950" t="s">
        <v>954</v>
      </c>
      <c r="B950">
        <v>0.99193492352474899</v>
      </c>
      <c r="C950">
        <v>0.98462194113753498</v>
      </c>
      <c r="D950">
        <v>1.1382181435762799</v>
      </c>
      <c r="E950">
        <v>0.93709521967792098</v>
      </c>
      <c r="F950">
        <v>0.72671816464142402</v>
      </c>
      <c r="G950">
        <v>0.183945598790657</v>
      </c>
      <c r="H950">
        <v>9.6557293370379299E-2</v>
      </c>
      <c r="I950">
        <v>0.111448012093344</v>
      </c>
      <c r="J950">
        <v>0.12906881699771999</v>
      </c>
      <c r="K950">
        <v>0.22635065662428899</v>
      </c>
      <c r="L950">
        <v>2957.43824879559</v>
      </c>
      <c r="M950">
        <v>54.846587740924399</v>
      </c>
      <c r="N950">
        <v>54.244917026905803</v>
      </c>
      <c r="O950">
        <v>53.850467166975697</v>
      </c>
      <c r="P950">
        <v>-0.21916210622323701</v>
      </c>
      <c r="Q950">
        <v>0.139273719177645</v>
      </c>
      <c r="R950">
        <v>0.98085696544425105</v>
      </c>
      <c r="S950" t="s">
        <v>7620</v>
      </c>
      <c r="T950" t="s">
        <v>13338</v>
      </c>
      <c r="U950" t="s">
        <v>13338</v>
      </c>
      <c r="V950" t="s">
        <v>13338</v>
      </c>
      <c r="W950" t="s">
        <v>14268</v>
      </c>
      <c r="X950">
        <v>17</v>
      </c>
      <c r="Y950" t="s">
        <v>20872</v>
      </c>
      <c r="Z950" t="s">
        <v>27365</v>
      </c>
      <c r="AA950">
        <v>0.54040802157356649</v>
      </c>
      <c r="AB950" t="str">
        <f>HYPERLINK("Melting_Curves/meltCurve_H7BXH2_PPP6R3.pdf", "Melting_Curves/meltCurve_H7BXH2_PPP6R3.pdf")</f>
        <v>Melting_Curves/meltCurve_H7BXH2_PPP6R3.pdf</v>
      </c>
    </row>
    <row r="951" spans="1:28" x14ac:dyDescent="0.25">
      <c r="A951" t="s">
        <v>955</v>
      </c>
      <c r="B951">
        <v>0.99193492352474899</v>
      </c>
      <c r="C951">
        <v>0.96596412381372898</v>
      </c>
      <c r="D951">
        <v>0.91358190603419598</v>
      </c>
      <c r="E951">
        <v>0.88257768290304495</v>
      </c>
      <c r="F951">
        <v>0.76378841720094304</v>
      </c>
      <c r="G951">
        <v>0.43104422280749299</v>
      </c>
      <c r="H951">
        <v>0.108938820613093</v>
      </c>
      <c r="I951">
        <v>0.11613918407214099</v>
      </c>
      <c r="J951">
        <v>9.74632152934896E-2</v>
      </c>
      <c r="K951">
        <v>7.6982704968259902E-2</v>
      </c>
      <c r="L951">
        <v>1233.18450536471</v>
      </c>
      <c r="M951">
        <v>22.229067340315598</v>
      </c>
      <c r="N951">
        <v>55.782955703328902</v>
      </c>
      <c r="O951">
        <v>55.033096603124903</v>
      </c>
      <c r="P951">
        <v>-9.5172965916993105E-2</v>
      </c>
      <c r="Q951">
        <v>5.7531106153291899E-2</v>
      </c>
      <c r="R951">
        <v>0.98904507275727305</v>
      </c>
      <c r="S951" t="s">
        <v>7621</v>
      </c>
      <c r="T951" t="s">
        <v>13338</v>
      </c>
      <c r="U951" t="s">
        <v>13338</v>
      </c>
      <c r="V951" t="s">
        <v>13338</v>
      </c>
      <c r="W951" t="s">
        <v>14269</v>
      </c>
      <c r="X951">
        <v>2</v>
      </c>
      <c r="Y951" t="s">
        <v>20873</v>
      </c>
      <c r="Z951" t="s">
        <v>27366</v>
      </c>
      <c r="AA951">
        <v>0.55427886666312531</v>
      </c>
      <c r="AB951" t="str">
        <f>HYPERLINK("Melting_Curves/meltCurve_H7BXH9_METTL21A.pdf", "Melting_Curves/meltCurve_H7BXH9_METTL21A.pdf")</f>
        <v>Melting_Curves/meltCurve_H7BXH9_METTL21A.pdf</v>
      </c>
    </row>
    <row r="952" spans="1:28" x14ac:dyDescent="0.25">
      <c r="A952" t="s">
        <v>956</v>
      </c>
      <c r="B952">
        <v>0.99193492352474899</v>
      </c>
      <c r="C952">
        <v>1.07107638694712</v>
      </c>
      <c r="D952">
        <v>0.89744947543736098</v>
      </c>
      <c r="E952">
        <v>0.687959906705785</v>
      </c>
      <c r="F952">
        <v>0.304347104303341</v>
      </c>
      <c r="G952">
        <v>0.13966153974676099</v>
      </c>
      <c r="H952">
        <v>8.6093975525467298E-2</v>
      </c>
      <c r="I952">
        <v>8.1002168380157696E-2</v>
      </c>
      <c r="J952">
        <v>8.6015052375557094E-2</v>
      </c>
      <c r="K952">
        <v>8.0143438531318195E-2</v>
      </c>
      <c r="L952">
        <v>1257.46117384996</v>
      </c>
      <c r="M952">
        <v>24.733046597450102</v>
      </c>
      <c r="N952">
        <v>51.1859589943857</v>
      </c>
      <c r="O952">
        <v>50.512460110381902</v>
      </c>
      <c r="P952">
        <v>-0.113023607941242</v>
      </c>
      <c r="Q952">
        <v>7.6697421203869798E-2</v>
      </c>
      <c r="R952">
        <v>0.99480182409816897</v>
      </c>
      <c r="S952" t="s">
        <v>7622</v>
      </c>
      <c r="T952" t="s">
        <v>13338</v>
      </c>
      <c r="U952" t="s">
        <v>13338</v>
      </c>
      <c r="V952" t="s">
        <v>13338</v>
      </c>
      <c r="W952" t="s">
        <v>14270</v>
      </c>
      <c r="X952">
        <v>31</v>
      </c>
      <c r="Y952" t="s">
        <v>20874</v>
      </c>
      <c r="Z952" t="s">
        <v>27367</v>
      </c>
      <c r="AA952">
        <v>0.41886345461638153</v>
      </c>
      <c r="AB952" t="str">
        <f>HYPERLINK("Melting_Curves/meltCurve_H7BXI1_ESYT2.pdf", "Melting_Curves/meltCurve_H7BXI1_ESYT2.pdf")</f>
        <v>Melting_Curves/meltCurve_H7BXI1_ESYT2.pdf</v>
      </c>
    </row>
    <row r="953" spans="1:28" x14ac:dyDescent="0.25">
      <c r="A953" t="s">
        <v>957</v>
      </c>
      <c r="B953">
        <v>0.99193492352474899</v>
      </c>
      <c r="C953">
        <v>0.89579750343370401</v>
      </c>
      <c r="D953">
        <v>1.0070794983572799</v>
      </c>
      <c r="E953">
        <v>0.75147668060265305</v>
      </c>
      <c r="F953">
        <v>0.52258243788247905</v>
      </c>
      <c r="G953">
        <v>0.21901925912390299</v>
      </c>
      <c r="H953">
        <v>0.103160049554505</v>
      </c>
      <c r="I953">
        <v>9.06650804575138E-2</v>
      </c>
      <c r="J953">
        <v>0.11200601193654799</v>
      </c>
      <c r="K953">
        <v>8.4395253139960796E-2</v>
      </c>
      <c r="L953">
        <v>1076.9022423142601</v>
      </c>
      <c r="M953">
        <v>20.474411306929401</v>
      </c>
      <c r="N953">
        <v>53.008395452211502</v>
      </c>
      <c r="O953">
        <v>52.103432365426499</v>
      </c>
      <c r="P953">
        <v>-9.1032981350823897E-2</v>
      </c>
      <c r="Q953">
        <v>7.3382003934786194E-2</v>
      </c>
      <c r="R953">
        <v>0.98814689866601202</v>
      </c>
      <c r="S953" t="s">
        <v>7623</v>
      </c>
      <c r="T953" t="s">
        <v>13338</v>
      </c>
      <c r="U953" t="s">
        <v>13338</v>
      </c>
      <c r="V953" t="s">
        <v>13338</v>
      </c>
      <c r="W953" t="s">
        <v>14271</v>
      </c>
      <c r="X953">
        <v>9</v>
      </c>
      <c r="Y953" t="s">
        <v>20875</v>
      </c>
      <c r="Z953" t="s">
        <v>27368</v>
      </c>
      <c r="AA953">
        <v>0.47475205228859951</v>
      </c>
      <c r="AB953" t="str">
        <f>HYPERLINK("Melting_Curves/meltCurve_H7BXI5_ERGIC3.pdf", "Melting_Curves/meltCurve_H7BXI5_ERGIC3.pdf")</f>
        <v>Melting_Curves/meltCurve_H7BXI5_ERGIC3.pdf</v>
      </c>
    </row>
    <row r="954" spans="1:28" x14ac:dyDescent="0.25">
      <c r="A954" t="s">
        <v>958</v>
      </c>
      <c r="B954">
        <v>0.99193492352474899</v>
      </c>
      <c r="C954">
        <v>0.91389809252114196</v>
      </c>
      <c r="D954">
        <v>0.89237405929080105</v>
      </c>
      <c r="E954">
        <v>0.78413597115336298</v>
      </c>
      <c r="F954">
        <v>0.72092850688792098</v>
      </c>
      <c r="G954">
        <v>0.39068723962333002</v>
      </c>
      <c r="H954">
        <v>0.351941043763975</v>
      </c>
      <c r="I954">
        <v>0.32505038630666999</v>
      </c>
      <c r="J954">
        <v>0.39622104312217599</v>
      </c>
      <c r="K954">
        <v>0.23226034987892699</v>
      </c>
      <c r="L954">
        <v>690.42117196065794</v>
      </c>
      <c r="M954">
        <v>12.9822670273398</v>
      </c>
      <c r="N954">
        <v>56.220267389525198</v>
      </c>
      <c r="O954">
        <v>51.967438455688601</v>
      </c>
      <c r="P954">
        <v>-4.6716930226797397E-2</v>
      </c>
      <c r="Q954">
        <v>0.25210964310663297</v>
      </c>
      <c r="R954">
        <v>0.955619331153577</v>
      </c>
      <c r="S954" t="s">
        <v>7624</v>
      </c>
      <c r="T954" t="s">
        <v>13338</v>
      </c>
      <c r="U954" t="s">
        <v>13338</v>
      </c>
      <c r="V954" t="s">
        <v>13338</v>
      </c>
      <c r="W954" t="s">
        <v>14272</v>
      </c>
      <c r="X954">
        <v>3</v>
      </c>
      <c r="Y954" t="s">
        <v>20876</v>
      </c>
      <c r="Z954" t="s">
        <v>27369</v>
      </c>
      <c r="AA954">
        <v>0.59992614756205154</v>
      </c>
      <c r="AB954" t="str">
        <f>HYPERLINK("Melting_Curves/meltCurve_H7BXL1_TMEM41A.pdf", "Melting_Curves/meltCurve_H7BXL1_TMEM41A.pdf")</f>
        <v>Melting_Curves/meltCurve_H7BXL1_TMEM41A.pdf</v>
      </c>
    </row>
    <row r="955" spans="1:28" x14ac:dyDescent="0.25">
      <c r="A955" t="s">
        <v>959</v>
      </c>
      <c r="B955">
        <v>0.99193492352474899</v>
      </c>
      <c r="C955">
        <v>0.48022865278158</v>
      </c>
      <c r="D955">
        <v>0.448482091514878</v>
      </c>
      <c r="E955">
        <v>0.27416846683271401</v>
      </c>
      <c r="F955">
        <v>0.20696780654222799</v>
      </c>
      <c r="G955">
        <v>0.116932550325747</v>
      </c>
      <c r="H955">
        <v>8.4781752367038707E-2</v>
      </c>
      <c r="I955">
        <v>7.9537644674720895E-2</v>
      </c>
      <c r="J955">
        <v>0.12101100716238</v>
      </c>
      <c r="K955">
        <v>6.1095943848042497E-2</v>
      </c>
      <c r="L955">
        <v>658.86354979870805</v>
      </c>
      <c r="M955">
        <v>14.9398223383236</v>
      </c>
      <c r="N955">
        <v>44.716244538173903</v>
      </c>
      <c r="O955">
        <v>43.333637449270299</v>
      </c>
      <c r="P955">
        <v>-7.8193261409475703E-2</v>
      </c>
      <c r="Q955">
        <v>9.2880586783370994E-2</v>
      </c>
      <c r="R955">
        <v>0.92501253479315804</v>
      </c>
      <c r="S955" t="s">
        <v>7625</v>
      </c>
      <c r="T955" t="s">
        <v>13338</v>
      </c>
      <c r="U955" t="s">
        <v>13338</v>
      </c>
      <c r="V955" t="s">
        <v>13338</v>
      </c>
      <c r="W955" t="s">
        <v>14273</v>
      </c>
      <c r="X955">
        <v>2</v>
      </c>
      <c r="Y955" t="s">
        <v>20877</v>
      </c>
      <c r="Z955" t="s">
        <v>27370</v>
      </c>
      <c r="AA955">
        <v>0.2496181479081542</v>
      </c>
      <c r="AB955" t="str">
        <f>HYPERLINK("Melting_Curves/meltCurve_H7BXR8_ARHGAP19.pdf", "Melting_Curves/meltCurve_H7BXR8_ARHGAP19.pdf")</f>
        <v>Melting_Curves/meltCurve_H7BXR8_ARHGAP19.pdf</v>
      </c>
    </row>
    <row r="956" spans="1:28" x14ac:dyDescent="0.25">
      <c r="A956" t="s">
        <v>960</v>
      </c>
      <c r="B956">
        <v>0.99193492352474899</v>
      </c>
      <c r="C956">
        <v>1.23033148951996</v>
      </c>
      <c r="D956">
        <v>0.89068247079454699</v>
      </c>
      <c r="E956">
        <v>1.0051812123991199</v>
      </c>
      <c r="F956">
        <v>0.60261931409608205</v>
      </c>
      <c r="G956">
        <v>0.54446347556806496</v>
      </c>
      <c r="H956">
        <v>0.36607939043870202</v>
      </c>
      <c r="I956">
        <v>0.37850002010151201</v>
      </c>
      <c r="J956">
        <v>0.27165865660845601</v>
      </c>
      <c r="K956">
        <v>0.26460323840290501</v>
      </c>
      <c r="L956">
        <v>1059.11060114974</v>
      </c>
      <c r="M956">
        <v>19.574403912745101</v>
      </c>
      <c r="N956">
        <v>56.612492905092701</v>
      </c>
      <c r="O956">
        <v>53.551696520233001</v>
      </c>
      <c r="P956">
        <v>-6.4905167440835201E-2</v>
      </c>
      <c r="Q956">
        <v>0.28975438136243797</v>
      </c>
      <c r="R956">
        <v>0.91541148789973303</v>
      </c>
      <c r="S956" t="s">
        <v>7626</v>
      </c>
      <c r="T956" t="s">
        <v>13338</v>
      </c>
      <c r="U956" t="s">
        <v>13338</v>
      </c>
      <c r="V956" t="s">
        <v>13338</v>
      </c>
      <c r="W956" t="s">
        <v>14274</v>
      </c>
      <c r="X956">
        <v>2</v>
      </c>
      <c r="Y956" t="s">
        <v>20878</v>
      </c>
      <c r="Z956" t="s">
        <v>27371</v>
      </c>
      <c r="AA956">
        <v>0.63370464175218888</v>
      </c>
      <c r="AB956" t="str">
        <f>HYPERLINK("Melting_Curves/meltCurve_H7BXW7_MPC1.pdf", "Melting_Curves/meltCurve_H7BXW7_MPC1.pdf")</f>
        <v>Melting_Curves/meltCurve_H7BXW7_MPC1.pdf</v>
      </c>
    </row>
    <row r="957" spans="1:28" x14ac:dyDescent="0.25">
      <c r="A957" t="s">
        <v>961</v>
      </c>
      <c r="B957">
        <v>0.99193492352474899</v>
      </c>
      <c r="C957">
        <v>0.87596075337234902</v>
      </c>
      <c r="D957">
        <v>0.81744912411403903</v>
      </c>
      <c r="E957">
        <v>0.49766320400395497</v>
      </c>
      <c r="F957">
        <v>0.24107085206929199</v>
      </c>
      <c r="G957">
        <v>0.15335066683260601</v>
      </c>
      <c r="H957">
        <v>8.5867246654900198E-2</v>
      </c>
      <c r="I957">
        <v>7.8428802360298394E-2</v>
      </c>
      <c r="J957">
        <v>0.111482344513802</v>
      </c>
      <c r="K957">
        <v>0.344953540642853</v>
      </c>
      <c r="L957">
        <v>1057.71520836991</v>
      </c>
      <c r="M957">
        <v>21.784208574734802</v>
      </c>
      <c r="N957">
        <v>49.327305105067801</v>
      </c>
      <c r="O957">
        <v>48.150628137398797</v>
      </c>
      <c r="P957">
        <v>-9.6749801180626593E-2</v>
      </c>
      <c r="Q957">
        <v>0.144618178491419</v>
      </c>
      <c r="R957">
        <v>0.94837219826164398</v>
      </c>
      <c r="S957" t="s">
        <v>7627</v>
      </c>
      <c r="T957" t="s">
        <v>13338</v>
      </c>
      <c r="U957" t="s">
        <v>13338</v>
      </c>
      <c r="V957" t="s">
        <v>13338</v>
      </c>
      <c r="W957" t="s">
        <v>14275</v>
      </c>
      <c r="X957">
        <v>6</v>
      </c>
      <c r="Y957" t="s">
        <v>20879</v>
      </c>
      <c r="Z957" t="s">
        <v>27372</v>
      </c>
      <c r="AA957">
        <v>0.39860448311924868</v>
      </c>
      <c r="AB957" t="str">
        <f>HYPERLINK("Melting_Curves/meltCurve_H7BXY3_DHX30.pdf", "Melting_Curves/meltCurve_H7BXY3_DHX30.pdf")</f>
        <v>Melting_Curves/meltCurve_H7BXY3_DHX30.pdf</v>
      </c>
    </row>
    <row r="958" spans="1:28" x14ac:dyDescent="0.25">
      <c r="A958" t="s">
        <v>962</v>
      </c>
      <c r="B958">
        <v>0.99193492352474899</v>
      </c>
      <c r="C958">
        <v>0.69435027207008404</v>
      </c>
      <c r="D958">
        <v>0.90700348955651899</v>
      </c>
      <c r="E958">
        <v>0.55503531527962802</v>
      </c>
      <c r="F958">
        <v>0.69117399479054697</v>
      </c>
      <c r="G958">
        <v>0.29847094378544797</v>
      </c>
      <c r="H958">
        <v>0.22754625401207901</v>
      </c>
      <c r="I958">
        <v>0.20197330415332801</v>
      </c>
      <c r="J958">
        <v>0.26256813147007602</v>
      </c>
      <c r="K958">
        <v>0.17882472436342101</v>
      </c>
      <c r="L958">
        <v>431.54842521306603</v>
      </c>
      <c r="M958">
        <v>8.1914070993676695</v>
      </c>
      <c r="N958">
        <v>53.471870757314903</v>
      </c>
      <c r="O958">
        <v>49.822654246441601</v>
      </c>
      <c r="P958">
        <v>-3.8803728957434301E-2</v>
      </c>
      <c r="Q958">
        <v>5.6911528063434601E-2</v>
      </c>
      <c r="R958">
        <v>0.86811766820879099</v>
      </c>
      <c r="S958" t="s">
        <v>7628</v>
      </c>
      <c r="T958" t="s">
        <v>13338</v>
      </c>
      <c r="U958" t="s">
        <v>13338</v>
      </c>
      <c r="V958" t="s">
        <v>13338</v>
      </c>
      <c r="W958" t="s">
        <v>14276</v>
      </c>
      <c r="X958">
        <v>3</v>
      </c>
      <c r="Y958" t="s">
        <v>20880</v>
      </c>
      <c r="Z958" t="s">
        <v>27373</v>
      </c>
      <c r="AA958">
        <v>0.49524863546816811</v>
      </c>
      <c r="AB958" t="str">
        <f>HYPERLINK("Melting_Curves/meltCurve_H7BY22_ZBTB44.pdf", "Melting_Curves/meltCurve_H7BY22_ZBTB44.pdf")</f>
        <v>Melting_Curves/meltCurve_H7BY22_ZBTB44.pdf</v>
      </c>
    </row>
    <row r="959" spans="1:28" x14ac:dyDescent="0.25">
      <c r="A959" t="s">
        <v>963</v>
      </c>
      <c r="B959">
        <v>0.99193492352474899</v>
      </c>
      <c r="C959">
        <v>0.73917166389811095</v>
      </c>
      <c r="D959">
        <v>0.98479000316207799</v>
      </c>
      <c r="E959">
        <v>0.71109772701714102</v>
      </c>
      <c r="F959">
        <v>0.62883827640251999</v>
      </c>
      <c r="G959">
        <v>0.14230761120060101</v>
      </c>
      <c r="H959">
        <v>7.9306532056523493E-2</v>
      </c>
      <c r="I959">
        <v>9.0451508756968793E-2</v>
      </c>
      <c r="J959">
        <v>0.105113019616538</v>
      </c>
      <c r="K959">
        <v>0.132355006714307</v>
      </c>
      <c r="L959">
        <v>1020.5844328971</v>
      </c>
      <c r="M959">
        <v>19.3632669937403</v>
      </c>
      <c r="N959">
        <v>53.092537273540401</v>
      </c>
      <c r="O959">
        <v>52.154735306537397</v>
      </c>
      <c r="P959">
        <v>-8.6735837525955095E-2</v>
      </c>
      <c r="Q959">
        <v>6.55466742356485E-2</v>
      </c>
      <c r="R959">
        <v>0.92027847046407696</v>
      </c>
      <c r="S959" t="s">
        <v>7629</v>
      </c>
      <c r="T959" t="s">
        <v>13338</v>
      </c>
      <c r="U959" t="s">
        <v>13338</v>
      </c>
      <c r="V959" t="s">
        <v>13338</v>
      </c>
      <c r="W959" t="s">
        <v>14277</v>
      </c>
      <c r="X959">
        <v>11</v>
      </c>
      <c r="Y959" t="s">
        <v>20881</v>
      </c>
      <c r="Z959" t="s">
        <v>27374</v>
      </c>
      <c r="AA959">
        <v>0.47497546376962352</v>
      </c>
      <c r="AB959" t="str">
        <f>HYPERLINK("Melting_Curves/meltCurve_H7BY58_PCMT1.pdf", "Melting_Curves/meltCurve_H7BY58_PCMT1.pdf")</f>
        <v>Melting_Curves/meltCurve_H7BY58_PCMT1.pdf</v>
      </c>
    </row>
    <row r="960" spans="1:28" x14ac:dyDescent="0.25">
      <c r="A960" t="s">
        <v>964</v>
      </c>
      <c r="B960">
        <v>0.99193492352474899</v>
      </c>
      <c r="C960">
        <v>0.63998045633225897</v>
      </c>
      <c r="D960">
        <v>0.34604082048337398</v>
      </c>
      <c r="E960">
        <v>0.165204023169952</v>
      </c>
      <c r="F960">
        <v>0.13366383193225101</v>
      </c>
      <c r="G960">
        <v>6.22508595560929E-2</v>
      </c>
      <c r="H960">
        <v>4.2299048571228501E-2</v>
      </c>
      <c r="I960">
        <v>5.0965800312203602E-2</v>
      </c>
      <c r="J960">
        <v>5.6358036838512197E-2</v>
      </c>
      <c r="K960">
        <v>5.6817167432688699E-2</v>
      </c>
      <c r="L960">
        <v>971.68283779167598</v>
      </c>
      <c r="M960">
        <v>21.980441580523799</v>
      </c>
      <c r="N960">
        <v>44.483329914796101</v>
      </c>
      <c r="O960">
        <v>43.8456817291314</v>
      </c>
      <c r="P960">
        <v>-0.117325308056017</v>
      </c>
      <c r="Q960">
        <v>6.3878225186014104E-2</v>
      </c>
      <c r="R960">
        <v>0.98764533921015396</v>
      </c>
      <c r="S960" t="s">
        <v>7630</v>
      </c>
      <c r="T960" t="s">
        <v>13338</v>
      </c>
      <c r="U960" t="s">
        <v>13338</v>
      </c>
      <c r="V960" t="s">
        <v>13338</v>
      </c>
      <c r="W960" t="s">
        <v>14278</v>
      </c>
      <c r="X960">
        <v>11</v>
      </c>
      <c r="Y960" t="s">
        <v>20882</v>
      </c>
      <c r="Z960" t="s">
        <v>27375</v>
      </c>
      <c r="AA960">
        <v>0.20925903078067229</v>
      </c>
      <c r="AB960" t="str">
        <f>HYPERLINK("Melting_Curves/meltCurve_H7BY84_GTF3C5.pdf", "Melting_Curves/meltCurve_H7BY84_GTF3C5.pdf")</f>
        <v>Melting_Curves/meltCurve_H7BY84_GTF3C5.pdf</v>
      </c>
    </row>
    <row r="961" spans="1:28" x14ac:dyDescent="0.25">
      <c r="A961" t="s">
        <v>965</v>
      </c>
      <c r="B961">
        <v>0.99193492352474899</v>
      </c>
      <c r="C961">
        <v>1.24682816257129</v>
      </c>
      <c r="D961">
        <v>1.0119577869705201</v>
      </c>
      <c r="E961">
        <v>1.1594436246036399</v>
      </c>
      <c r="F961">
        <v>0.89908001526112802</v>
      </c>
      <c r="G961">
        <v>0.78529795007396996</v>
      </c>
      <c r="H961">
        <v>0.59499203302706705</v>
      </c>
      <c r="I961">
        <v>0.32830358489232803</v>
      </c>
      <c r="J961">
        <v>0.19076034425772501</v>
      </c>
      <c r="K961">
        <v>0.114207151341975</v>
      </c>
      <c r="L961">
        <v>1103.7181411465399</v>
      </c>
      <c r="M961">
        <v>17.924470198777598</v>
      </c>
      <c r="N961">
        <v>61.635968484275502</v>
      </c>
      <c r="O961">
        <v>60.824971982040502</v>
      </c>
      <c r="P961">
        <v>-7.3039737412224207E-2</v>
      </c>
      <c r="Q961">
        <v>8.6363335730020394E-3</v>
      </c>
      <c r="R961">
        <v>0.93534377479684205</v>
      </c>
      <c r="S961" t="s">
        <v>7631</v>
      </c>
      <c r="T961" t="s">
        <v>13338</v>
      </c>
      <c r="U961" t="s">
        <v>13338</v>
      </c>
      <c r="V961" t="s">
        <v>13338</v>
      </c>
      <c r="W961" t="s">
        <v>14279</v>
      </c>
      <c r="X961">
        <v>4</v>
      </c>
      <c r="Y961" t="s">
        <v>20883</v>
      </c>
      <c r="Z961" t="s">
        <v>27376</v>
      </c>
      <c r="AA961">
        <v>0.72475613593025678</v>
      </c>
      <c r="AB961" t="str">
        <f>HYPERLINK("Melting_Curves/meltCurve_H7BYE5_WRB.pdf", "Melting_Curves/meltCurve_H7BYE5_WRB.pdf")</f>
        <v>Melting_Curves/meltCurve_H7BYE5_WRB.pdf</v>
      </c>
    </row>
    <row r="962" spans="1:28" x14ac:dyDescent="0.25">
      <c r="A962" t="s">
        <v>966</v>
      </c>
      <c r="B962">
        <v>0.99193492352474899</v>
      </c>
      <c r="C962">
        <v>0.88882991826250801</v>
      </c>
      <c r="D962">
        <v>0.89291076052524099</v>
      </c>
      <c r="E962">
        <v>0.74808443671437996</v>
      </c>
      <c r="F962">
        <v>0.65211983698265197</v>
      </c>
      <c r="G962">
        <v>0.51435768296497697</v>
      </c>
      <c r="H962">
        <v>0.45974897666161202</v>
      </c>
      <c r="I962">
        <v>0.70615515317651201</v>
      </c>
      <c r="J962">
        <v>0.63566696317965099</v>
      </c>
      <c r="K962">
        <v>1.1254882523355001</v>
      </c>
      <c r="L962">
        <v>1120.62418548912</v>
      </c>
      <c r="M962">
        <v>24.2371006346218</v>
      </c>
      <c r="O962">
        <v>45.924596525427397</v>
      </c>
      <c r="P962">
        <v>-4.1752376009252003E-2</v>
      </c>
      <c r="Q962">
        <v>0.68355425130260705</v>
      </c>
      <c r="R962">
        <v>0.286470121656487</v>
      </c>
      <c r="S962" t="s">
        <v>7632</v>
      </c>
      <c r="T962" t="s">
        <v>13338</v>
      </c>
      <c r="U962" t="s">
        <v>13338</v>
      </c>
      <c r="V962" t="s">
        <v>13338</v>
      </c>
      <c r="W962" t="s">
        <v>14280</v>
      </c>
      <c r="X962">
        <v>29</v>
      </c>
      <c r="Y962" t="s">
        <v>20808</v>
      </c>
      <c r="Z962" t="s">
        <v>27377</v>
      </c>
      <c r="AA962">
        <v>0.75243509508984163</v>
      </c>
      <c r="AB962" t="str">
        <f>HYPERLINK("Melting_Curves/meltCurve_H7BYY1_TPM1.pdf", "Melting_Curves/meltCurve_H7BYY1_TPM1.pdf")</f>
        <v>Melting_Curves/meltCurve_H7BYY1_TPM1.pdf</v>
      </c>
    </row>
    <row r="963" spans="1:28" x14ac:dyDescent="0.25">
      <c r="A963" t="s">
        <v>967</v>
      </c>
      <c r="B963">
        <v>0.99193492352474899</v>
      </c>
      <c r="C963">
        <v>0.83848332667530101</v>
      </c>
      <c r="D963">
        <v>0.80016041025246298</v>
      </c>
      <c r="E963">
        <v>1.00114048192336</v>
      </c>
      <c r="F963">
        <v>0.80190347221382297</v>
      </c>
      <c r="G963">
        <v>0.44056610995955597</v>
      </c>
      <c r="H963">
        <v>0.17389968324032801</v>
      </c>
      <c r="I963">
        <v>0.16445356329211</v>
      </c>
      <c r="J963">
        <v>0.238159089779616</v>
      </c>
      <c r="K963">
        <v>0.19992499108345599</v>
      </c>
      <c r="L963">
        <v>1799.29567073107</v>
      </c>
      <c r="M963">
        <v>32.593680288123103</v>
      </c>
      <c r="N963">
        <v>55.9990879991581</v>
      </c>
      <c r="O963">
        <v>54.997259560425199</v>
      </c>
      <c r="P963">
        <v>-0.12071205383052901</v>
      </c>
      <c r="Q963">
        <v>0.185265242111331</v>
      </c>
      <c r="R963">
        <v>0.93540053498089604</v>
      </c>
      <c r="S963" t="s">
        <v>7633</v>
      </c>
      <c r="T963" t="s">
        <v>13338</v>
      </c>
      <c r="U963" t="s">
        <v>13338</v>
      </c>
      <c r="V963" t="s">
        <v>13338</v>
      </c>
      <c r="W963" t="s">
        <v>14176</v>
      </c>
      <c r="X963">
        <v>10</v>
      </c>
      <c r="Z963" t="s">
        <v>27378</v>
      </c>
      <c r="AA963">
        <v>0.60279109120677588</v>
      </c>
      <c r="AB963" t="str">
        <f>HYPERLINK("Melting_Curves/meltCurve_H7BZ11_.pdf", "Melting_Curves/meltCurve_H7BZ11_.pdf")</f>
        <v>Melting_Curves/meltCurve_H7BZ11_.pdf</v>
      </c>
    </row>
    <row r="964" spans="1:28" x14ac:dyDescent="0.25">
      <c r="A964" t="s">
        <v>968</v>
      </c>
      <c r="B964">
        <v>0.99193492352474899</v>
      </c>
      <c r="C964">
        <v>0.99648692056590205</v>
      </c>
      <c r="D964">
        <v>0.89465364091306898</v>
      </c>
      <c r="E964">
        <v>0.48355263655299902</v>
      </c>
      <c r="F964">
        <v>0.31086131879160001</v>
      </c>
      <c r="G964">
        <v>0.14960319307532099</v>
      </c>
      <c r="H964">
        <v>9.8263435155988996E-2</v>
      </c>
      <c r="I964">
        <v>0.11327964857023499</v>
      </c>
      <c r="J964">
        <v>0.117859000361261</v>
      </c>
      <c r="K964">
        <v>0.14198437774209799</v>
      </c>
      <c r="L964">
        <v>1166.8247892761699</v>
      </c>
      <c r="M964">
        <v>23.664329195709801</v>
      </c>
      <c r="N964">
        <v>49.884762979606201</v>
      </c>
      <c r="O964">
        <v>48.959272756445799</v>
      </c>
      <c r="P964">
        <v>-0.10636189818637599</v>
      </c>
      <c r="Q964">
        <v>0.11980374067682199</v>
      </c>
      <c r="R964">
        <v>0.99360826410199599</v>
      </c>
      <c r="S964" t="s">
        <v>7634</v>
      </c>
      <c r="T964" t="s">
        <v>13338</v>
      </c>
      <c r="U964" t="s">
        <v>13338</v>
      </c>
      <c r="V964" t="s">
        <v>13338</v>
      </c>
      <c r="W964" t="s">
        <v>14281</v>
      </c>
      <c r="X964">
        <v>10</v>
      </c>
      <c r="Y964" t="s">
        <v>20746</v>
      </c>
      <c r="Z964" t="s">
        <v>27379</v>
      </c>
      <c r="AA964">
        <v>0.4016244022251898</v>
      </c>
      <c r="AB964" t="str">
        <f>HYPERLINK("Melting_Curves/meltCurve_H7BZJ3_PDIA3.pdf", "Melting_Curves/meltCurve_H7BZJ3_PDIA3.pdf")</f>
        <v>Melting_Curves/meltCurve_H7BZJ3_PDIA3.pdf</v>
      </c>
    </row>
    <row r="965" spans="1:28" x14ac:dyDescent="0.25">
      <c r="A965" t="s">
        <v>969</v>
      </c>
      <c r="B965">
        <v>0.99193492352474899</v>
      </c>
      <c r="C965">
        <v>0.66842220906554395</v>
      </c>
      <c r="D965">
        <v>0.56019742678351003</v>
      </c>
      <c r="E965">
        <v>0.43088042590088699</v>
      </c>
      <c r="F965">
        <v>0.53046977570371401</v>
      </c>
      <c r="G965">
        <v>0.44076100456935802</v>
      </c>
      <c r="H965">
        <v>0.38574212215652198</v>
      </c>
      <c r="I965">
        <v>0.46619622919954401</v>
      </c>
      <c r="J965">
        <v>0.44727365254304302</v>
      </c>
      <c r="K965">
        <v>0.60269808578335404</v>
      </c>
      <c r="L965">
        <v>1766.6993557098201</v>
      </c>
      <c r="M965">
        <v>41.601474288459997</v>
      </c>
      <c r="N965">
        <v>45.968099610074901</v>
      </c>
      <c r="O965">
        <v>42.369455565438301</v>
      </c>
      <c r="P965">
        <v>-0.12789850203117401</v>
      </c>
      <c r="Q965">
        <v>0.47896268001012798</v>
      </c>
      <c r="R965">
        <v>0.87097990505378897</v>
      </c>
      <c r="S965" t="s">
        <v>7635</v>
      </c>
      <c r="T965" t="s">
        <v>13338</v>
      </c>
      <c r="U965" t="s">
        <v>13338</v>
      </c>
      <c r="V965" t="s">
        <v>13338</v>
      </c>
      <c r="W965" t="s">
        <v>13598</v>
      </c>
      <c r="X965">
        <v>3</v>
      </c>
      <c r="Z965" t="s">
        <v>27380</v>
      </c>
      <c r="AA965">
        <v>0.52434087826312126</v>
      </c>
      <c r="AB965" t="str">
        <f>HYPERLINK("Melting_Curves/meltCurve_H7BZT4_.pdf", "Melting_Curves/meltCurve_H7BZT4_.pdf")</f>
        <v>Melting_Curves/meltCurve_H7BZT4_.pdf</v>
      </c>
    </row>
    <row r="966" spans="1:28" x14ac:dyDescent="0.25">
      <c r="A966" t="s">
        <v>970</v>
      </c>
      <c r="B966">
        <v>0.99193492352474899</v>
      </c>
      <c r="C966">
        <v>0.77959741876311395</v>
      </c>
      <c r="D966">
        <v>0.97203579491525705</v>
      </c>
      <c r="E966">
        <v>0.49889246473292298</v>
      </c>
      <c r="F966">
        <v>0.40570735378251399</v>
      </c>
      <c r="G966">
        <v>0.16398140998948901</v>
      </c>
      <c r="H966">
        <v>6.3202091827358503E-2</v>
      </c>
      <c r="I966">
        <v>8.3315974801755205E-2</v>
      </c>
      <c r="J966">
        <v>8.0453142346397999E-2</v>
      </c>
      <c r="K966">
        <v>0.182312457611461</v>
      </c>
      <c r="L966">
        <v>868.43045575752296</v>
      </c>
      <c r="M966">
        <v>17.3393154638715</v>
      </c>
      <c r="N966">
        <v>50.633889102982302</v>
      </c>
      <c r="O966">
        <v>49.4325306017627</v>
      </c>
      <c r="P966">
        <v>-8.0176595147596605E-2</v>
      </c>
      <c r="Q966">
        <v>8.5752662825673898E-2</v>
      </c>
      <c r="R966">
        <v>0.94052107007361796</v>
      </c>
      <c r="S966" t="s">
        <v>7636</v>
      </c>
      <c r="T966" t="s">
        <v>13338</v>
      </c>
      <c r="U966" t="s">
        <v>13338</v>
      </c>
      <c r="V966" t="s">
        <v>13338</v>
      </c>
      <c r="W966" t="s">
        <v>14282</v>
      </c>
      <c r="X966">
        <v>1</v>
      </c>
      <c r="Y966" t="s">
        <v>20884</v>
      </c>
      <c r="Z966" t="s">
        <v>27381</v>
      </c>
      <c r="AA966">
        <v>0.40978425777084282</v>
      </c>
      <c r="AB966" t="str">
        <f>HYPERLINK("Melting_Curves/meltCurve_H7C096_BNIP2.pdf", "Melting_Curves/meltCurve_H7C096_BNIP2.pdf")</f>
        <v>Melting_Curves/meltCurve_H7C096_BNIP2.pdf</v>
      </c>
    </row>
    <row r="967" spans="1:28" x14ac:dyDescent="0.25">
      <c r="A967" t="s">
        <v>971</v>
      </c>
      <c r="B967">
        <v>0.99193492352474899</v>
      </c>
      <c r="C967">
        <v>0.62494948400735195</v>
      </c>
      <c r="D967">
        <v>0.88769111668199296</v>
      </c>
      <c r="E967">
        <v>0.493158836569978</v>
      </c>
      <c r="F967">
        <v>0.22885483231602599</v>
      </c>
      <c r="G967">
        <v>0.139259276662373</v>
      </c>
      <c r="H967">
        <v>0.11247511786671301</v>
      </c>
      <c r="I967">
        <v>9.5493374273959E-2</v>
      </c>
      <c r="J967">
        <v>0.12868702321675499</v>
      </c>
      <c r="K967">
        <v>0.102379709011045</v>
      </c>
      <c r="L967">
        <v>661.52023030848</v>
      </c>
      <c r="M967">
        <v>13.5838845701388</v>
      </c>
      <c r="N967">
        <v>49.199067560701401</v>
      </c>
      <c r="O967">
        <v>47.679843103089603</v>
      </c>
      <c r="P967">
        <v>-6.6640920862202496E-2</v>
      </c>
      <c r="Q967">
        <v>6.4492725801860204E-2</v>
      </c>
      <c r="R967">
        <v>0.905144435175402</v>
      </c>
      <c r="S967" t="s">
        <v>7637</v>
      </c>
      <c r="T967" t="s">
        <v>13338</v>
      </c>
      <c r="U967" t="s">
        <v>13338</v>
      </c>
      <c r="V967" t="s">
        <v>13338</v>
      </c>
      <c r="W967" t="s">
        <v>14176</v>
      </c>
      <c r="X967">
        <v>8</v>
      </c>
      <c r="Z967" t="s">
        <v>27382</v>
      </c>
      <c r="AA967">
        <v>0.36387555699636231</v>
      </c>
      <c r="AB967" t="str">
        <f>HYPERLINK("Melting_Curves/meltCurve_H7C0C1_.pdf", "Melting_Curves/meltCurve_H7C0C1_.pdf")</f>
        <v>Melting_Curves/meltCurve_H7C0C1_.pdf</v>
      </c>
    </row>
    <row r="968" spans="1:28" x14ac:dyDescent="0.25">
      <c r="A968" t="s">
        <v>972</v>
      </c>
      <c r="B968">
        <v>0.99193492352474899</v>
      </c>
      <c r="C968">
        <v>0.67190562387069896</v>
      </c>
      <c r="D968">
        <v>0.84617180951456805</v>
      </c>
      <c r="E968">
        <v>0.21067750463064</v>
      </c>
      <c r="F968">
        <v>7.7950595953375904E-2</v>
      </c>
      <c r="G968">
        <v>3.2587623887649998E-2</v>
      </c>
      <c r="H968">
        <v>1.7880576244509901E-2</v>
      </c>
      <c r="I968">
        <v>3.58938585961628E-2</v>
      </c>
      <c r="J968">
        <v>2.5236381513980301E-2</v>
      </c>
      <c r="K968">
        <v>1.26312070937249E-2</v>
      </c>
      <c r="L968">
        <v>1056.5225391511899</v>
      </c>
      <c r="M968">
        <v>22.224429268178099</v>
      </c>
      <c r="N968">
        <v>47.578471309282598</v>
      </c>
      <c r="O968">
        <v>47.158940966909697</v>
      </c>
      <c r="P968">
        <v>-0.116737512127064</v>
      </c>
      <c r="Q968">
        <v>9.18091484448544E-3</v>
      </c>
      <c r="R968">
        <v>0.92941373561049101</v>
      </c>
      <c r="S968" t="s">
        <v>7638</v>
      </c>
      <c r="T968" t="s">
        <v>13338</v>
      </c>
      <c r="U968" t="s">
        <v>13338</v>
      </c>
      <c r="V968" t="s">
        <v>13338</v>
      </c>
      <c r="W968" t="s">
        <v>14283</v>
      </c>
      <c r="X968">
        <v>2</v>
      </c>
      <c r="Y968" t="s">
        <v>20885</v>
      </c>
      <c r="Z968" t="s">
        <v>27383</v>
      </c>
      <c r="AA968">
        <v>0.26949647276261018</v>
      </c>
      <c r="AB968" t="str">
        <f>HYPERLINK("Melting_Curves/meltCurve_H7C0S3_CDKN3.pdf", "Melting_Curves/meltCurve_H7C0S3_CDKN3.pdf")</f>
        <v>Melting_Curves/meltCurve_H7C0S3_CDKN3.pdf</v>
      </c>
    </row>
    <row r="969" spans="1:28" x14ac:dyDescent="0.25">
      <c r="A969" t="s">
        <v>973</v>
      </c>
      <c r="B969">
        <v>0.99193492352474899</v>
      </c>
      <c r="C969">
        <v>0.58154583200822496</v>
      </c>
      <c r="D969">
        <v>0.64097037091331999</v>
      </c>
      <c r="E969">
        <v>0.50653297668560304</v>
      </c>
      <c r="F969">
        <v>0.47053827624294098</v>
      </c>
      <c r="G969">
        <v>0.277175174452156</v>
      </c>
      <c r="H969">
        <v>0.154201590846609</v>
      </c>
      <c r="I969">
        <v>0.163904137498567</v>
      </c>
      <c r="J969">
        <v>0.15666999072505</v>
      </c>
      <c r="K969">
        <v>0.14433401231675999</v>
      </c>
      <c r="L969">
        <v>359.31773222146398</v>
      </c>
      <c r="M969">
        <v>7.3000067356642804</v>
      </c>
      <c r="N969">
        <v>49.544864945310799</v>
      </c>
      <c r="O969">
        <v>45.931371624491398</v>
      </c>
      <c r="P969">
        <v>-3.8870697765256E-2</v>
      </c>
      <c r="Q969">
        <v>2.3259536176480699E-2</v>
      </c>
      <c r="R969">
        <v>0.91169069296383098</v>
      </c>
      <c r="S969" t="s">
        <v>7639</v>
      </c>
      <c r="T969" t="s">
        <v>13338</v>
      </c>
      <c r="U969" t="s">
        <v>13338</v>
      </c>
      <c r="V969" t="s">
        <v>13338</v>
      </c>
      <c r="W969" t="s">
        <v>14176</v>
      </c>
      <c r="X969">
        <v>3</v>
      </c>
      <c r="Z969" t="s">
        <v>27384</v>
      </c>
      <c r="AA969">
        <v>0.39353190056268877</v>
      </c>
      <c r="AB969" t="str">
        <f>HYPERLINK("Melting_Curves/meltCurve_H7C0S8_.pdf", "Melting_Curves/meltCurve_H7C0S8_.pdf")</f>
        <v>Melting_Curves/meltCurve_H7C0S8_.pdf</v>
      </c>
    </row>
    <row r="970" spans="1:28" x14ac:dyDescent="0.25">
      <c r="A970" t="s">
        <v>974</v>
      </c>
      <c r="B970">
        <v>0.99193492352474899</v>
      </c>
      <c r="C970">
        <v>0.89628279633362595</v>
      </c>
      <c r="D970">
        <v>0.98603650311645796</v>
      </c>
      <c r="E970">
        <v>0.76251145146249399</v>
      </c>
      <c r="F970">
        <v>0.74546925357146598</v>
      </c>
      <c r="G970">
        <v>0.50527795822900101</v>
      </c>
      <c r="H970">
        <v>0.45860388216834902</v>
      </c>
      <c r="I970">
        <v>0.53130480006875902</v>
      </c>
      <c r="J970">
        <v>0.36893753982793298</v>
      </c>
      <c r="K970">
        <v>0.39566408566196298</v>
      </c>
      <c r="L970">
        <v>648.23173877320005</v>
      </c>
      <c r="M970">
        <v>12.205116366519899</v>
      </c>
      <c r="N970">
        <v>59.6396547205741</v>
      </c>
      <c r="O970">
        <v>51.746033631277598</v>
      </c>
      <c r="P970">
        <v>-3.7242798694644599E-2</v>
      </c>
      <c r="Q970">
        <v>0.36854934871558898</v>
      </c>
      <c r="R970">
        <v>0.94066598937076096</v>
      </c>
      <c r="S970" t="s">
        <v>7640</v>
      </c>
      <c r="T970" t="s">
        <v>13338</v>
      </c>
      <c r="U970" t="s">
        <v>13338</v>
      </c>
      <c r="V970" t="s">
        <v>13338</v>
      </c>
      <c r="W970" t="s">
        <v>14284</v>
      </c>
      <c r="X970">
        <v>2</v>
      </c>
      <c r="Y970" t="s">
        <v>20886</v>
      </c>
      <c r="Z970" t="s">
        <v>27385</v>
      </c>
      <c r="AA970">
        <v>0.66201337946809979</v>
      </c>
      <c r="AB970" t="str">
        <f>HYPERLINK("Melting_Curves/meltCurve_H7C0V4_RTN4R.pdf", "Melting_Curves/meltCurve_H7C0V4_RTN4R.pdf")</f>
        <v>Melting_Curves/meltCurve_H7C0V4_RTN4R.pdf</v>
      </c>
    </row>
    <row r="971" spans="1:28" x14ac:dyDescent="0.25">
      <c r="A971" t="s">
        <v>975</v>
      </c>
      <c r="B971">
        <v>0.99193492352474899</v>
      </c>
      <c r="C971">
        <v>0.75590960141399499</v>
      </c>
      <c r="D971">
        <v>0.66764790997835899</v>
      </c>
      <c r="E971">
        <v>0.44300686870498002</v>
      </c>
      <c r="F971">
        <v>0.30912956905847899</v>
      </c>
      <c r="G971">
        <v>0.17035488604177201</v>
      </c>
      <c r="H971">
        <v>0.152854176582156</v>
      </c>
      <c r="I971">
        <v>0.242528079509787</v>
      </c>
      <c r="J971">
        <v>0.32538148092603802</v>
      </c>
      <c r="K971">
        <v>0.42386258512859398</v>
      </c>
      <c r="L971">
        <v>820.24587867283105</v>
      </c>
      <c r="M971">
        <v>17.874964841352899</v>
      </c>
      <c r="N971">
        <v>47.855593573968299</v>
      </c>
      <c r="O971">
        <v>45.325205633511203</v>
      </c>
      <c r="P971">
        <v>-7.2939388828982502E-2</v>
      </c>
      <c r="Q971">
        <v>0.2602334794376</v>
      </c>
      <c r="R971">
        <v>0.900108773388687</v>
      </c>
      <c r="S971" t="s">
        <v>7641</v>
      </c>
      <c r="T971" t="s">
        <v>13338</v>
      </c>
      <c r="U971" t="s">
        <v>13338</v>
      </c>
      <c r="V971" t="s">
        <v>13338</v>
      </c>
      <c r="W971" t="s">
        <v>14285</v>
      </c>
      <c r="X971">
        <v>7</v>
      </c>
      <c r="Y971" t="s">
        <v>20887</v>
      </c>
      <c r="Z971" t="s">
        <v>27386</v>
      </c>
      <c r="AA971">
        <v>0.42030687716104842</v>
      </c>
      <c r="AB971" t="str">
        <f>HYPERLINK("Melting_Curves/meltCurve_H7C128_BRD8.pdf", "Melting_Curves/meltCurve_H7C128_BRD8.pdf")</f>
        <v>Melting_Curves/meltCurve_H7C128_BRD8.pdf</v>
      </c>
    </row>
    <row r="972" spans="1:28" x14ac:dyDescent="0.25">
      <c r="A972" t="s">
        <v>976</v>
      </c>
      <c r="B972">
        <v>0.99193492352474899</v>
      </c>
      <c r="C972">
        <v>0.93189267044123802</v>
      </c>
      <c r="D972">
        <v>0.85696849022759602</v>
      </c>
      <c r="E972">
        <v>0.26656198781012502</v>
      </c>
      <c r="F972">
        <v>0.199444782921228</v>
      </c>
      <c r="G972">
        <v>0.124977153942742</v>
      </c>
      <c r="H972">
        <v>8.2964666933829506E-2</v>
      </c>
      <c r="I972">
        <v>0.123443280647923</v>
      </c>
      <c r="J972">
        <v>0.10977480158698801</v>
      </c>
      <c r="K972">
        <v>9.5128400376854702E-2</v>
      </c>
      <c r="L972">
        <v>1882.5728689233299</v>
      </c>
      <c r="M972">
        <v>39.407310903350101</v>
      </c>
      <c r="N972">
        <v>48.0988395705754</v>
      </c>
      <c r="O972">
        <v>47.649649295449102</v>
      </c>
      <c r="P972">
        <v>-0.182481304087797</v>
      </c>
      <c r="Q972">
        <v>0.1174073335473</v>
      </c>
      <c r="R972">
        <v>0.99225569885477705</v>
      </c>
      <c r="S972" t="s">
        <v>7642</v>
      </c>
      <c r="T972" t="s">
        <v>13338</v>
      </c>
      <c r="U972" t="s">
        <v>13338</v>
      </c>
      <c r="V972" t="s">
        <v>13338</v>
      </c>
      <c r="W972" t="s">
        <v>14286</v>
      </c>
      <c r="X972">
        <v>5</v>
      </c>
      <c r="Y972" t="s">
        <v>20888</v>
      </c>
      <c r="Z972" t="s">
        <v>27387</v>
      </c>
      <c r="AA972">
        <v>0.34907825581455432</v>
      </c>
      <c r="AB972" t="str">
        <f>HYPERLINK("Melting_Curves/meltCurve_H7C155_RAF1.pdf", "Melting_Curves/meltCurve_H7C155_RAF1.pdf")</f>
        <v>Melting_Curves/meltCurve_H7C155_RAF1.pdf</v>
      </c>
    </row>
    <row r="973" spans="1:28" x14ac:dyDescent="0.25">
      <c r="A973" t="s">
        <v>977</v>
      </c>
      <c r="B973">
        <v>0.99193492352474899</v>
      </c>
      <c r="C973">
        <v>1.64378674511571</v>
      </c>
      <c r="D973">
        <v>1.0628811893093899</v>
      </c>
      <c r="E973">
        <v>1.16352757807562</v>
      </c>
      <c r="F973">
        <v>0.69119984111368904</v>
      </c>
      <c r="G973">
        <v>0.462218171035776</v>
      </c>
      <c r="H973">
        <v>0.303674756351623</v>
      </c>
      <c r="I973">
        <v>0.33360469357504302</v>
      </c>
      <c r="J973">
        <v>0.55895872710818595</v>
      </c>
      <c r="K973">
        <v>0.434055938323888</v>
      </c>
      <c r="L973">
        <v>9823.9970446596799</v>
      </c>
      <c r="M973">
        <v>184.785909560677</v>
      </c>
      <c r="N973">
        <v>53.6913084590146</v>
      </c>
      <c r="O973">
        <v>53.157976477928699</v>
      </c>
      <c r="P973">
        <v>-0.50534628009552796</v>
      </c>
      <c r="Q973">
        <v>0.41850134645958897</v>
      </c>
      <c r="R973">
        <v>0.71646423277362203</v>
      </c>
      <c r="S973" t="s">
        <v>7643</v>
      </c>
      <c r="T973" t="s">
        <v>13338</v>
      </c>
      <c r="U973" t="s">
        <v>13338</v>
      </c>
      <c r="V973" t="s">
        <v>13338</v>
      </c>
      <c r="W973" t="s">
        <v>14287</v>
      </c>
      <c r="X973">
        <v>3</v>
      </c>
      <c r="Y973" t="s">
        <v>20889</v>
      </c>
      <c r="Z973" t="s">
        <v>27388</v>
      </c>
      <c r="AA973">
        <v>0.67376636732377826</v>
      </c>
      <c r="AB973" t="str">
        <f>HYPERLINK("Melting_Curves/meltCurve_H7C173_MZT2B.pdf", "Melting_Curves/meltCurve_H7C173_MZT2B.pdf")</f>
        <v>Melting_Curves/meltCurve_H7C173_MZT2B.pdf</v>
      </c>
    </row>
    <row r="974" spans="1:28" x14ac:dyDescent="0.25">
      <c r="A974" t="s">
        <v>978</v>
      </c>
      <c r="B974">
        <v>0.99193492352474899</v>
      </c>
      <c r="C974">
        <v>1.4282539030346799</v>
      </c>
      <c r="D974">
        <v>1.95369074726673</v>
      </c>
      <c r="E974">
        <v>1.67239311076951</v>
      </c>
      <c r="F974">
        <v>1.34894463414271</v>
      </c>
      <c r="G974">
        <v>2.9394983483013499</v>
      </c>
      <c r="H974">
        <v>2.2415224709590902</v>
      </c>
      <c r="I974">
        <v>4.0646661287562402</v>
      </c>
      <c r="J974">
        <v>0.914319486113506</v>
      </c>
      <c r="K974">
        <v>3.6860422465743699</v>
      </c>
      <c r="S974" t="s">
        <v>7644</v>
      </c>
      <c r="T974" t="s">
        <v>13338</v>
      </c>
      <c r="U974" t="s">
        <v>13339</v>
      </c>
      <c r="V974" t="s">
        <v>13338</v>
      </c>
      <c r="W974" t="s">
        <v>14288</v>
      </c>
      <c r="X974">
        <v>1</v>
      </c>
      <c r="Y974" t="s">
        <v>20890</v>
      </c>
      <c r="Z974" t="s">
        <v>27389</v>
      </c>
      <c r="AB974" t="str">
        <f>HYPERLINK("Melting_Curves/meltCurve_H7C1M3_MMP8.pdf", "Melting_Curves/meltCurve_H7C1M3_MMP8.pdf")</f>
        <v>Melting_Curves/meltCurve_H7C1M3_MMP8.pdf</v>
      </c>
    </row>
    <row r="975" spans="1:28" x14ac:dyDescent="0.25">
      <c r="A975" t="s">
        <v>979</v>
      </c>
      <c r="B975">
        <v>0.99193492352474899</v>
      </c>
      <c r="C975">
        <v>0.66909435249360305</v>
      </c>
      <c r="D975">
        <v>0.83754282696874305</v>
      </c>
      <c r="E975">
        <v>0.57338619537699897</v>
      </c>
      <c r="F975">
        <v>0.64564801152441098</v>
      </c>
      <c r="G975">
        <v>0.32184943328957</v>
      </c>
      <c r="H975">
        <v>0.16247580966561201</v>
      </c>
      <c r="I975">
        <v>0.186367612399084</v>
      </c>
      <c r="J975">
        <v>0.243030420207582</v>
      </c>
      <c r="K975">
        <v>0.345530619713314</v>
      </c>
      <c r="L975">
        <v>455.098346210486</v>
      </c>
      <c r="M975">
        <v>9.0323894975817094</v>
      </c>
      <c r="N975">
        <v>52.4966671263333</v>
      </c>
      <c r="O975">
        <v>48.099406348509703</v>
      </c>
      <c r="P975">
        <v>-3.9824528331358001E-2</v>
      </c>
      <c r="Q975">
        <v>0.152310774478117</v>
      </c>
      <c r="R975">
        <v>0.83708203781960999</v>
      </c>
      <c r="S975" t="s">
        <v>7645</v>
      </c>
      <c r="T975" t="s">
        <v>13338</v>
      </c>
      <c r="U975" t="s">
        <v>13338</v>
      </c>
      <c r="V975" t="s">
        <v>13338</v>
      </c>
      <c r="W975" t="s">
        <v>14176</v>
      </c>
      <c r="X975">
        <v>6</v>
      </c>
      <c r="Z975" t="s">
        <v>27390</v>
      </c>
      <c r="AA975">
        <v>0.48798225609806878</v>
      </c>
      <c r="AB975" t="str">
        <f>HYPERLINK("Melting_Curves/meltCurve_H7C1Q1_.pdf", "Melting_Curves/meltCurve_H7C1Q1_.pdf")</f>
        <v>Melting_Curves/meltCurve_H7C1Q1_.pdf</v>
      </c>
    </row>
    <row r="976" spans="1:28" x14ac:dyDescent="0.25">
      <c r="A976" t="s">
        <v>980</v>
      </c>
      <c r="B976">
        <v>0.99193492352474899</v>
      </c>
      <c r="C976">
        <v>0.71796621674486705</v>
      </c>
      <c r="D976">
        <v>0.78425190968999903</v>
      </c>
      <c r="E976">
        <v>0.372501755936331</v>
      </c>
      <c r="F976">
        <v>0.22648526454537701</v>
      </c>
      <c r="G976">
        <v>0.123074326537865</v>
      </c>
      <c r="H976">
        <v>6.2028622407445701E-2</v>
      </c>
      <c r="I976">
        <v>6.3099874130053593E-2</v>
      </c>
      <c r="J976">
        <v>7.8255171392207099E-2</v>
      </c>
      <c r="K976">
        <v>8.1172826575238402E-2</v>
      </c>
      <c r="L976">
        <v>703.690237186481</v>
      </c>
      <c r="M976">
        <v>14.6708468185464</v>
      </c>
      <c r="N976">
        <v>48.282661122668898</v>
      </c>
      <c r="O976">
        <v>47.100454592381602</v>
      </c>
      <c r="P976">
        <v>-7.4297861082503205E-2</v>
      </c>
      <c r="Q976">
        <v>4.5977872949210401E-2</v>
      </c>
      <c r="R976">
        <v>0.96623399306833602</v>
      </c>
      <c r="S976" t="s">
        <v>7646</v>
      </c>
      <c r="T976" t="s">
        <v>13338</v>
      </c>
      <c r="U976" t="s">
        <v>13338</v>
      </c>
      <c r="V976" t="s">
        <v>13338</v>
      </c>
      <c r="W976" t="s">
        <v>14289</v>
      </c>
      <c r="X976">
        <v>9</v>
      </c>
      <c r="Y976" t="s">
        <v>20891</v>
      </c>
      <c r="Z976" t="s">
        <v>27391</v>
      </c>
      <c r="AA976">
        <v>0.32496881893262419</v>
      </c>
      <c r="AB976" t="str">
        <f>HYPERLINK("Melting_Curves/meltCurve_H7C1U3_CC2D1B.pdf", "Melting_Curves/meltCurve_H7C1U3_CC2D1B.pdf")</f>
        <v>Melting_Curves/meltCurve_H7C1U3_CC2D1B.pdf</v>
      </c>
    </row>
    <row r="977" spans="1:28" x14ac:dyDescent="0.25">
      <c r="A977" t="s">
        <v>981</v>
      </c>
      <c r="B977">
        <v>0.99193492352474899</v>
      </c>
      <c r="C977">
        <v>0.79470822643008998</v>
      </c>
      <c r="D977">
        <v>0.97928299608615199</v>
      </c>
      <c r="E977">
        <v>0.75455091111805594</v>
      </c>
      <c r="F977">
        <v>0.65882581388225303</v>
      </c>
      <c r="G977">
        <v>0.48600402366029599</v>
      </c>
      <c r="H977">
        <v>0.43673897707624898</v>
      </c>
      <c r="I977">
        <v>0.49729842479036301</v>
      </c>
      <c r="J977">
        <v>0.59147808958216597</v>
      </c>
      <c r="K977">
        <v>0.47772454016573401</v>
      </c>
      <c r="L977">
        <v>824.30437733940698</v>
      </c>
      <c r="M977">
        <v>16.4854687816526</v>
      </c>
      <c r="N977">
        <v>62.764052544710097</v>
      </c>
      <c r="O977">
        <v>49.283492308140097</v>
      </c>
      <c r="P977">
        <v>-4.3279796106244599E-2</v>
      </c>
      <c r="Q977">
        <v>0.48249436351749903</v>
      </c>
      <c r="R977">
        <v>0.85182324392140396</v>
      </c>
      <c r="S977" t="s">
        <v>7647</v>
      </c>
      <c r="T977" t="s">
        <v>13338</v>
      </c>
      <c r="U977" t="s">
        <v>13338</v>
      </c>
      <c r="V977" t="s">
        <v>13338</v>
      </c>
      <c r="W977" t="s">
        <v>14290</v>
      </c>
      <c r="X977">
        <v>6</v>
      </c>
      <c r="Y977" t="s">
        <v>20892</v>
      </c>
      <c r="Z977" t="s">
        <v>27392</v>
      </c>
      <c r="AA977">
        <v>0.66543176755125111</v>
      </c>
      <c r="AB977" t="str">
        <f>HYPERLINK("Melting_Curves/meltCurve_H7C1U8_APOO.pdf", "Melting_Curves/meltCurve_H7C1U8_APOO.pdf")</f>
        <v>Melting_Curves/meltCurve_H7C1U8_APOO.pdf</v>
      </c>
    </row>
    <row r="978" spans="1:28" x14ac:dyDescent="0.25">
      <c r="A978" t="s">
        <v>982</v>
      </c>
      <c r="B978">
        <v>0.99193492352474899</v>
      </c>
      <c r="C978">
        <v>0.758274892807553</v>
      </c>
      <c r="D978">
        <v>0.86602497072852103</v>
      </c>
      <c r="E978">
        <v>0.58448614988252401</v>
      </c>
      <c r="F978">
        <v>0.303590255270416</v>
      </c>
      <c r="G978">
        <v>0.18754447411234099</v>
      </c>
      <c r="H978">
        <v>0.116775126681905</v>
      </c>
      <c r="I978">
        <v>0.136506791194974</v>
      </c>
      <c r="J978">
        <v>0.15416375353828901</v>
      </c>
      <c r="K978">
        <v>0.35999040899509899</v>
      </c>
      <c r="L978">
        <v>901.19571947814495</v>
      </c>
      <c r="M978">
        <v>18.388334386497</v>
      </c>
      <c r="N978">
        <v>50.159265350302803</v>
      </c>
      <c r="O978">
        <v>48.440517826720203</v>
      </c>
      <c r="P978">
        <v>-7.8580439397831797E-2</v>
      </c>
      <c r="Q978">
        <v>0.17201764437439901</v>
      </c>
      <c r="R978">
        <v>0.91251702825468906</v>
      </c>
      <c r="S978" t="s">
        <v>7648</v>
      </c>
      <c r="T978" t="s">
        <v>13338</v>
      </c>
      <c r="U978" t="s">
        <v>13338</v>
      </c>
      <c r="V978" t="s">
        <v>13338</v>
      </c>
      <c r="W978" t="s">
        <v>14291</v>
      </c>
      <c r="X978">
        <v>3</v>
      </c>
      <c r="Y978" t="s">
        <v>20893</v>
      </c>
      <c r="Z978" t="s">
        <v>27393</v>
      </c>
      <c r="AA978">
        <v>0.43440376161340488</v>
      </c>
      <c r="AB978" t="str">
        <f>HYPERLINK("Melting_Curves/meltCurve_H7C270_CTDSP1.pdf", "Melting_Curves/meltCurve_H7C270_CTDSP1.pdf")</f>
        <v>Melting_Curves/meltCurve_H7C270_CTDSP1.pdf</v>
      </c>
    </row>
    <row r="979" spans="1:28" x14ac:dyDescent="0.25">
      <c r="A979" t="s">
        <v>983</v>
      </c>
      <c r="B979">
        <v>0.99193492352474899</v>
      </c>
      <c r="C979">
        <v>0.81583844258036498</v>
      </c>
      <c r="D979">
        <v>0.92871443818483401</v>
      </c>
      <c r="E979">
        <v>0.756372848177159</v>
      </c>
      <c r="F979">
        <v>0.67629756851753398</v>
      </c>
      <c r="G979">
        <v>0.44201835601799999</v>
      </c>
      <c r="H979">
        <v>0.40741053650434</v>
      </c>
      <c r="I979">
        <v>0.35977629205762701</v>
      </c>
      <c r="J979">
        <v>0.54838019278606198</v>
      </c>
      <c r="K979">
        <v>0.44971493817500902</v>
      </c>
      <c r="L979">
        <v>715.39360958731402</v>
      </c>
      <c r="M979">
        <v>14.1404998889598</v>
      </c>
      <c r="N979">
        <v>57.691412430847102</v>
      </c>
      <c r="O979">
        <v>49.612269516587197</v>
      </c>
      <c r="P979">
        <v>-4.1885260150578502E-2</v>
      </c>
      <c r="Q979">
        <v>0.412253469797838</v>
      </c>
      <c r="R979">
        <v>0.87997386246409104</v>
      </c>
      <c r="S979" t="s">
        <v>7649</v>
      </c>
      <c r="T979" t="s">
        <v>13338</v>
      </c>
      <c r="U979" t="s">
        <v>13338</v>
      </c>
      <c r="V979" t="s">
        <v>13338</v>
      </c>
      <c r="W979" t="s">
        <v>14292</v>
      </c>
      <c r="X979">
        <v>3</v>
      </c>
      <c r="Y979" t="s">
        <v>20894</v>
      </c>
      <c r="Z979" t="s">
        <v>27394</v>
      </c>
      <c r="AA979">
        <v>0.63494872902219845</v>
      </c>
      <c r="AB979" t="str">
        <f>HYPERLINK("Melting_Curves/meltCurve_H7C285_TSPAN15.pdf", "Melting_Curves/meltCurve_H7C285_TSPAN15.pdf")</f>
        <v>Melting_Curves/meltCurve_H7C285_TSPAN15.pdf</v>
      </c>
    </row>
    <row r="980" spans="1:28" x14ac:dyDescent="0.25">
      <c r="A980" t="s">
        <v>984</v>
      </c>
      <c r="B980">
        <v>0.99193492352474899</v>
      </c>
      <c r="C980">
        <v>0.92296420023934</v>
      </c>
      <c r="D980">
        <v>0.85610639111725295</v>
      </c>
      <c r="E980">
        <v>0.831819584347811</v>
      </c>
      <c r="F980">
        <v>0.227197347439344</v>
      </c>
      <c r="G980">
        <v>0.185278470198213</v>
      </c>
      <c r="H980">
        <v>0.146752701378418</v>
      </c>
      <c r="I980">
        <v>0.204199236960634</v>
      </c>
      <c r="J980">
        <v>0.28789242403145798</v>
      </c>
      <c r="K980">
        <v>0.27018773818173403</v>
      </c>
      <c r="L980">
        <v>3855.17583437653</v>
      </c>
      <c r="M980">
        <v>76.438865334192599</v>
      </c>
      <c r="N980">
        <v>50.815156296239003</v>
      </c>
      <c r="O980">
        <v>50.400286462251103</v>
      </c>
      <c r="P980">
        <v>-0.29655510111963901</v>
      </c>
      <c r="Q980">
        <v>0.2178609439209</v>
      </c>
      <c r="R980">
        <v>0.96445676624433996</v>
      </c>
      <c r="S980" t="s">
        <v>7650</v>
      </c>
      <c r="T980" t="s">
        <v>13338</v>
      </c>
      <c r="U980" t="s">
        <v>13338</v>
      </c>
      <c r="V980" t="s">
        <v>13338</v>
      </c>
      <c r="W980" t="s">
        <v>14293</v>
      </c>
      <c r="X980">
        <v>1</v>
      </c>
      <c r="Y980" t="s">
        <v>20895</v>
      </c>
      <c r="Z980" t="s">
        <v>27395</v>
      </c>
      <c r="AA980">
        <v>0.49065084391860869</v>
      </c>
      <c r="AB980" t="str">
        <f>HYPERLINK("Melting_Curves/meltCurve_H7C2P7_MRPL23.pdf", "Melting_Curves/meltCurve_H7C2P7_MRPL23.pdf")</f>
        <v>Melting_Curves/meltCurve_H7C2P7_MRPL23.pdf</v>
      </c>
    </row>
    <row r="981" spans="1:28" x14ac:dyDescent="0.25">
      <c r="A981" t="s">
        <v>985</v>
      </c>
      <c r="B981">
        <v>0.99193492352474899</v>
      </c>
      <c r="C981">
        <v>0.81997021754477695</v>
      </c>
      <c r="D981">
        <v>0.86917532808661602</v>
      </c>
      <c r="E981">
        <v>0.41024964967385302</v>
      </c>
      <c r="F981">
        <v>0.25984594865224903</v>
      </c>
      <c r="G981">
        <v>0.31063739087551101</v>
      </c>
      <c r="H981">
        <v>0.47173208926493998</v>
      </c>
      <c r="I981">
        <v>0.79086868864172599</v>
      </c>
      <c r="J981">
        <v>1.12624931481019</v>
      </c>
      <c r="K981">
        <v>1.29417960975473</v>
      </c>
      <c r="L981">
        <v>1323.2448062065801</v>
      </c>
      <c r="M981">
        <v>30.516000570112599</v>
      </c>
      <c r="O981">
        <v>43.1774006558284</v>
      </c>
      <c r="P981">
        <v>-5.6412114704456402E-2</v>
      </c>
      <c r="Q981">
        <v>0.680729708663251</v>
      </c>
      <c r="R981">
        <v>8.3922476405366903E-2</v>
      </c>
      <c r="S981" t="s">
        <v>7651</v>
      </c>
      <c r="T981" t="s">
        <v>13338</v>
      </c>
      <c r="U981" t="s">
        <v>13338</v>
      </c>
      <c r="V981" t="s">
        <v>13338</v>
      </c>
      <c r="W981" t="s">
        <v>14294</v>
      </c>
      <c r="X981">
        <v>1</v>
      </c>
      <c r="Y981" t="s">
        <v>20896</v>
      </c>
      <c r="Z981" t="s">
        <v>27396</v>
      </c>
      <c r="AA981">
        <v>0.71906728773044637</v>
      </c>
      <c r="AB981" t="str">
        <f>HYPERLINK("Melting_Curves/meltCurve_H7C3A6_C1orf86.pdf", "Melting_Curves/meltCurve_H7C3A6_C1orf86.pdf")</f>
        <v>Melting_Curves/meltCurve_H7C3A6_C1orf86.pdf</v>
      </c>
    </row>
    <row r="982" spans="1:28" x14ac:dyDescent="0.25">
      <c r="A982" t="s">
        <v>986</v>
      </c>
      <c r="B982">
        <v>0.99193492352474899</v>
      </c>
      <c r="C982">
        <v>0.74482920955160503</v>
      </c>
      <c r="D982">
        <v>0.49012043151762102</v>
      </c>
      <c r="E982">
        <v>0.30590304245532302</v>
      </c>
      <c r="F982">
        <v>0.28227296054804901</v>
      </c>
      <c r="G982">
        <v>0.104844296699145</v>
      </c>
      <c r="H982">
        <v>5.1333620049694099E-2</v>
      </c>
      <c r="I982">
        <v>4.4179216113667E-2</v>
      </c>
      <c r="J982">
        <v>5.7549831595164601E-2</v>
      </c>
      <c r="K982">
        <v>3.81846128808647E-2</v>
      </c>
      <c r="L982">
        <v>631.42316008988496</v>
      </c>
      <c r="M982">
        <v>13.6222389186347</v>
      </c>
      <c r="N982">
        <v>46.637716743053403</v>
      </c>
      <c r="O982">
        <v>45.387690908888601</v>
      </c>
      <c r="P982">
        <v>-7.2043280087744896E-2</v>
      </c>
      <c r="Q982">
        <v>3.99825632960095E-2</v>
      </c>
      <c r="R982">
        <v>0.97718818560919696</v>
      </c>
      <c r="S982" t="s">
        <v>7652</v>
      </c>
      <c r="T982" t="s">
        <v>13338</v>
      </c>
      <c r="U982" t="s">
        <v>13338</v>
      </c>
      <c r="V982" t="s">
        <v>13338</v>
      </c>
      <c r="W982" t="s">
        <v>14295</v>
      </c>
      <c r="X982">
        <v>1</v>
      </c>
      <c r="Y982" t="s">
        <v>20897</v>
      </c>
      <c r="Z982" t="s">
        <v>27397</v>
      </c>
      <c r="AA982">
        <v>0.27647204201511888</v>
      </c>
      <c r="AB982" t="str">
        <f>HYPERLINK("Melting_Curves/meltCurve_H7C3C7_SNAP47.pdf", "Melting_Curves/meltCurve_H7C3C7_SNAP47.pdf")</f>
        <v>Melting_Curves/meltCurve_H7C3C7_SNAP47.pdf</v>
      </c>
    </row>
    <row r="983" spans="1:28" x14ac:dyDescent="0.25">
      <c r="A983" t="s">
        <v>987</v>
      </c>
      <c r="B983">
        <v>0.99193492352474899</v>
      </c>
      <c r="C983">
        <v>0.73081878225881503</v>
      </c>
      <c r="D983">
        <v>0.94892930343823401</v>
      </c>
      <c r="E983">
        <v>0.74580807895760004</v>
      </c>
      <c r="F983">
        <v>0.97442923811430204</v>
      </c>
      <c r="G983">
        <v>0.34087863580913402</v>
      </c>
      <c r="H983">
        <v>0.27568990066497201</v>
      </c>
      <c r="I983">
        <v>0.20059445374083401</v>
      </c>
      <c r="J983">
        <v>0.26309500647090101</v>
      </c>
      <c r="K983">
        <v>0.30865215815548003</v>
      </c>
      <c r="L983">
        <v>4521.1939731357597</v>
      </c>
      <c r="M983">
        <v>81.713492539005699</v>
      </c>
      <c r="N983">
        <v>55.8365300237055</v>
      </c>
      <c r="O983">
        <v>55.296723796380697</v>
      </c>
      <c r="P983">
        <v>-0.27271267271055699</v>
      </c>
      <c r="Q983">
        <v>0.26180539874844699</v>
      </c>
      <c r="R983">
        <v>0.85108533114547202</v>
      </c>
      <c r="S983" t="s">
        <v>7653</v>
      </c>
      <c r="T983" t="s">
        <v>13338</v>
      </c>
      <c r="U983" t="s">
        <v>13338</v>
      </c>
      <c r="V983" t="s">
        <v>13338</v>
      </c>
      <c r="W983" t="s">
        <v>14296</v>
      </c>
      <c r="X983">
        <v>2</v>
      </c>
      <c r="Y983" t="s">
        <v>20898</v>
      </c>
      <c r="Z983" t="s">
        <v>27398</v>
      </c>
      <c r="AA983">
        <v>0.63969095823300026</v>
      </c>
      <c r="AB983" t="str">
        <f>HYPERLINK("Melting_Curves/meltCurve_H7C3D5_FAM134A.pdf", "Melting_Curves/meltCurve_H7C3D5_FAM134A.pdf")</f>
        <v>Melting_Curves/meltCurve_H7C3D5_FAM134A.pdf</v>
      </c>
    </row>
    <row r="984" spans="1:28" x14ac:dyDescent="0.25">
      <c r="A984" t="s">
        <v>988</v>
      </c>
      <c r="B984">
        <v>0.99193492352474899</v>
      </c>
      <c r="C984">
        <v>0.68127114478600403</v>
      </c>
      <c r="D984">
        <v>0.850996352194207</v>
      </c>
      <c r="E984">
        <v>0.58960117278475999</v>
      </c>
      <c r="F984">
        <v>0.40300379211846299</v>
      </c>
      <c r="G984">
        <v>0.25105334138208701</v>
      </c>
      <c r="H984">
        <v>0.23897421679405201</v>
      </c>
      <c r="I984">
        <v>0.18683165835323001</v>
      </c>
      <c r="J984">
        <v>0.22534420698371299</v>
      </c>
      <c r="K984">
        <v>0.24177133903622799</v>
      </c>
      <c r="L984">
        <v>559.227684381779</v>
      </c>
      <c r="M984">
        <v>11.387660782028499</v>
      </c>
      <c r="N984">
        <v>50.899689737182101</v>
      </c>
      <c r="O984">
        <v>47.666984877610098</v>
      </c>
      <c r="P984">
        <v>-4.9878681273529103E-2</v>
      </c>
      <c r="Q984">
        <v>0.16510871860337301</v>
      </c>
      <c r="R984">
        <v>0.92433451049313498</v>
      </c>
      <c r="S984" t="s">
        <v>7654</v>
      </c>
      <c r="T984" t="s">
        <v>13338</v>
      </c>
      <c r="U984" t="s">
        <v>13338</v>
      </c>
      <c r="V984" t="s">
        <v>13338</v>
      </c>
      <c r="W984" t="s">
        <v>14297</v>
      </c>
      <c r="X984">
        <v>4</v>
      </c>
      <c r="Y984" t="s">
        <v>20899</v>
      </c>
      <c r="Z984" t="s">
        <v>27399</v>
      </c>
      <c r="AA984">
        <v>0.45178371005706403</v>
      </c>
      <c r="AB984" t="str">
        <f>HYPERLINK("Melting_Curves/meltCurve_H7C3D8_CMC1.pdf", "Melting_Curves/meltCurve_H7C3D8_CMC1.pdf")</f>
        <v>Melting_Curves/meltCurve_H7C3D8_CMC1.pdf</v>
      </c>
    </row>
    <row r="985" spans="1:28" x14ac:dyDescent="0.25">
      <c r="A985" t="s">
        <v>989</v>
      </c>
      <c r="B985">
        <v>0.99193492352474899</v>
      </c>
      <c r="C985">
        <v>0.83147012590189895</v>
      </c>
      <c r="D985">
        <v>0.96189658946303502</v>
      </c>
      <c r="E985">
        <v>0.72042216921473801</v>
      </c>
      <c r="F985">
        <v>0.64220577735397</v>
      </c>
      <c r="G985">
        <v>0.56070957299039603</v>
      </c>
      <c r="H985">
        <v>0.39561877995065298</v>
      </c>
      <c r="I985">
        <v>0.25906121675636401</v>
      </c>
      <c r="J985">
        <v>0.30233474804939298</v>
      </c>
      <c r="K985">
        <v>0.20161455455466201</v>
      </c>
      <c r="L985">
        <v>430.38383673710803</v>
      </c>
      <c r="M985">
        <v>7.4884573268417798</v>
      </c>
      <c r="N985">
        <v>57.485751062852401</v>
      </c>
      <c r="O985">
        <v>53.802484715411502</v>
      </c>
      <c r="P985">
        <v>-3.4817310446610503E-2</v>
      </c>
      <c r="Q985">
        <v>8.3371864170823299E-4</v>
      </c>
      <c r="R985">
        <v>0.96243681011489302</v>
      </c>
      <c r="S985" t="s">
        <v>7655</v>
      </c>
      <c r="T985" t="s">
        <v>13338</v>
      </c>
      <c r="U985" t="s">
        <v>13338</v>
      </c>
      <c r="V985" t="s">
        <v>13338</v>
      </c>
      <c r="W985" t="s">
        <v>14298</v>
      </c>
      <c r="X985">
        <v>8</v>
      </c>
      <c r="Y985" t="s">
        <v>20900</v>
      </c>
      <c r="Z985" t="s">
        <v>27400</v>
      </c>
      <c r="AA985">
        <v>0.58883308590823091</v>
      </c>
      <c r="AB985" t="str">
        <f>HYPERLINK("Melting_Curves/meltCurve_H7C3P4_GNS.pdf", "Melting_Curves/meltCurve_H7C3P4_GNS.pdf")</f>
        <v>Melting_Curves/meltCurve_H7C3P4_GNS.pdf</v>
      </c>
    </row>
    <row r="986" spans="1:28" x14ac:dyDescent="0.25">
      <c r="A986" t="s">
        <v>990</v>
      </c>
      <c r="B986">
        <v>0.99193492352474899</v>
      </c>
      <c r="C986">
        <v>0.59298967521717805</v>
      </c>
      <c r="D986">
        <v>0.71069673144939904</v>
      </c>
      <c r="E986">
        <v>0.54414962206205197</v>
      </c>
      <c r="F986">
        <v>0.33665126945006801</v>
      </c>
      <c r="G986">
        <v>9.3351267865601995E-2</v>
      </c>
      <c r="H986">
        <v>4.1761561563922203E-2</v>
      </c>
      <c r="I986">
        <v>0.108427802597127</v>
      </c>
      <c r="J986">
        <v>9.0428123833763197E-2</v>
      </c>
      <c r="K986">
        <v>0.479345890979889</v>
      </c>
      <c r="L986">
        <v>579.09061423845901</v>
      </c>
      <c r="M986">
        <v>12.3332588370802</v>
      </c>
      <c r="N986">
        <v>48.288871296119801</v>
      </c>
      <c r="O986">
        <v>45.770391250825398</v>
      </c>
      <c r="P986">
        <v>-5.7644114737979903E-2</v>
      </c>
      <c r="Q986">
        <v>0.14448548721850399</v>
      </c>
      <c r="R986">
        <v>0.75691026513901905</v>
      </c>
      <c r="S986" t="s">
        <v>7656</v>
      </c>
      <c r="T986" t="s">
        <v>13338</v>
      </c>
      <c r="U986" t="s">
        <v>13338</v>
      </c>
      <c r="V986" t="s">
        <v>13338</v>
      </c>
      <c r="W986" t="s">
        <v>14299</v>
      </c>
      <c r="X986">
        <v>1</v>
      </c>
      <c r="Y986" t="s">
        <v>20901</v>
      </c>
      <c r="Z986" t="s">
        <v>27401</v>
      </c>
      <c r="AA986">
        <v>0.37704390471815219</v>
      </c>
      <c r="AB986" t="str">
        <f>HYPERLINK("Melting_Curves/meltCurve_H7C484_ARV1.pdf", "Melting_Curves/meltCurve_H7C484_ARV1.pdf")</f>
        <v>Melting_Curves/meltCurve_H7C484_ARV1.pdf</v>
      </c>
    </row>
    <row r="987" spans="1:28" x14ac:dyDescent="0.25">
      <c r="A987" t="s">
        <v>991</v>
      </c>
      <c r="B987">
        <v>0.99193492352474899</v>
      </c>
      <c r="C987">
        <v>0.79229900890006999</v>
      </c>
      <c r="D987">
        <v>0.70973655221352405</v>
      </c>
      <c r="E987">
        <v>0.58546604377900702</v>
      </c>
      <c r="F987">
        <v>0.58190379255162905</v>
      </c>
      <c r="G987">
        <v>0.35181880432013102</v>
      </c>
      <c r="H987">
        <v>0.26934592058041101</v>
      </c>
      <c r="I987">
        <v>0.35770027751266698</v>
      </c>
      <c r="J987">
        <v>0.35711508045066198</v>
      </c>
      <c r="K987">
        <v>0.34718617934620599</v>
      </c>
      <c r="L987">
        <v>517.86770355166902</v>
      </c>
      <c r="M987">
        <v>10.802894849947901</v>
      </c>
      <c r="N987">
        <v>52.334784566950297</v>
      </c>
      <c r="O987">
        <v>46.3828751297387</v>
      </c>
      <c r="P987">
        <v>-4.0875075027291798E-2</v>
      </c>
      <c r="Q987">
        <v>0.29825551104402498</v>
      </c>
      <c r="R987">
        <v>0.93752366864706604</v>
      </c>
      <c r="S987" t="s">
        <v>7657</v>
      </c>
      <c r="T987" t="s">
        <v>13338</v>
      </c>
      <c r="U987" t="s">
        <v>13338</v>
      </c>
      <c r="V987" t="s">
        <v>13338</v>
      </c>
      <c r="W987" t="s">
        <v>14300</v>
      </c>
      <c r="X987">
        <v>1</v>
      </c>
      <c r="Y987" t="s">
        <v>20902</v>
      </c>
      <c r="Z987" t="s">
        <v>27402</v>
      </c>
      <c r="AA987">
        <v>0.51693936877474778</v>
      </c>
      <c r="AB987" t="str">
        <f>HYPERLINK("Melting_Curves/meltCurve_H7C5F7_NDFIP2.pdf", "Melting_Curves/meltCurve_H7C5F7_NDFIP2.pdf")</f>
        <v>Melting_Curves/meltCurve_H7C5F7_NDFIP2.pdf</v>
      </c>
    </row>
    <row r="988" spans="1:28" x14ac:dyDescent="0.25">
      <c r="A988" t="s">
        <v>992</v>
      </c>
      <c r="B988">
        <v>0.99193492352474899</v>
      </c>
      <c r="C988">
        <v>1.2122593384512801</v>
      </c>
      <c r="D988">
        <v>0.83194617261852999</v>
      </c>
      <c r="E988">
        <v>0.97671189165354499</v>
      </c>
      <c r="F988">
        <v>0.638268526413443</v>
      </c>
      <c r="G988">
        <v>0.60523816277632503</v>
      </c>
      <c r="H988">
        <v>0.42077266057546597</v>
      </c>
      <c r="I988">
        <v>0.37550782428192397</v>
      </c>
      <c r="J988">
        <v>0.275377729713564</v>
      </c>
      <c r="K988">
        <v>0.213644264643534</v>
      </c>
      <c r="L988">
        <v>697.34962603322003</v>
      </c>
      <c r="M988">
        <v>12.3256303437519</v>
      </c>
      <c r="N988">
        <v>58.600535936239403</v>
      </c>
      <c r="O988">
        <v>55.149784780091402</v>
      </c>
      <c r="P988">
        <v>-4.6200433096366698E-2</v>
      </c>
      <c r="Q988">
        <v>0.17330299463661999</v>
      </c>
      <c r="R988">
        <v>0.91174535359701103</v>
      </c>
      <c r="S988" t="s">
        <v>7658</v>
      </c>
      <c r="T988" t="s">
        <v>13338</v>
      </c>
      <c r="U988" t="s">
        <v>13338</v>
      </c>
      <c r="V988" t="s">
        <v>13338</v>
      </c>
      <c r="W988" t="s">
        <v>14301</v>
      </c>
      <c r="X988">
        <v>5</v>
      </c>
      <c r="Y988" t="s">
        <v>20903</v>
      </c>
      <c r="Z988" t="s">
        <v>27403</v>
      </c>
      <c r="AA988">
        <v>0.64524269863604977</v>
      </c>
      <c r="AB988" t="str">
        <f>HYPERLINK("Melting_Curves/meltCurve_H7C5G1_IAH1.pdf", "Melting_Curves/meltCurve_H7C5G1_IAH1.pdf")</f>
        <v>Melting_Curves/meltCurve_H7C5G1_IAH1.pdf</v>
      </c>
    </row>
    <row r="989" spans="1:28" x14ac:dyDescent="0.25">
      <c r="A989" t="s">
        <v>993</v>
      </c>
      <c r="B989">
        <v>0.99193492352474899</v>
      </c>
      <c r="C989">
        <v>0.41070335405214597</v>
      </c>
      <c r="D989">
        <v>0.204629444399065</v>
      </c>
      <c r="E989">
        <v>0.121570285645707</v>
      </c>
      <c r="F989">
        <v>8.4652181612823604E-2</v>
      </c>
      <c r="G989">
        <v>2.9287638855160201E-2</v>
      </c>
      <c r="H989">
        <v>2.9695860800394699E-2</v>
      </c>
      <c r="I989">
        <v>4.1518839502247398E-2</v>
      </c>
      <c r="J989">
        <v>4.3730302375577901E-2</v>
      </c>
      <c r="K989">
        <v>0</v>
      </c>
      <c r="L989">
        <v>1666.7784896563401</v>
      </c>
      <c r="M989">
        <v>39.198081295314303</v>
      </c>
      <c r="N989">
        <v>42.6617504576286</v>
      </c>
      <c r="O989">
        <v>42.411720290524599</v>
      </c>
      <c r="P989">
        <v>-0.217130441034766</v>
      </c>
      <c r="Q989">
        <v>6.0274949338593301E-2</v>
      </c>
      <c r="R989">
        <v>0.96959803198459704</v>
      </c>
      <c r="S989" t="s">
        <v>7659</v>
      </c>
      <c r="T989" t="s">
        <v>13338</v>
      </c>
      <c r="U989" t="s">
        <v>13338</v>
      </c>
      <c r="V989" t="s">
        <v>13338</v>
      </c>
      <c r="W989" t="s">
        <v>14302</v>
      </c>
      <c r="X989">
        <v>1</v>
      </c>
      <c r="Y989" t="s">
        <v>20904</v>
      </c>
      <c r="Z989" t="s">
        <v>27404</v>
      </c>
      <c r="AA989">
        <v>0.14447757266142491</v>
      </c>
      <c r="AB989" t="str">
        <f>HYPERLINK("Melting_Curves/meltCurve_H7C5R8_PARP14.pdf", "Melting_Curves/meltCurve_H7C5R8_PARP14.pdf")</f>
        <v>Melting_Curves/meltCurve_H7C5R8_PARP14.pdf</v>
      </c>
    </row>
    <row r="990" spans="1:28" x14ac:dyDescent="0.25">
      <c r="A990" t="s">
        <v>994</v>
      </c>
      <c r="B990">
        <v>0.99193492352474899</v>
      </c>
      <c r="C990">
        <v>0.32475906235837798</v>
      </c>
      <c r="D990">
        <v>0.54274557631592601</v>
      </c>
      <c r="E990">
        <v>0.142839813040048</v>
      </c>
      <c r="F990">
        <v>0.116231808597695</v>
      </c>
      <c r="G990">
        <v>8.1383773493841099E-2</v>
      </c>
      <c r="H990">
        <v>3.53291918965963E-2</v>
      </c>
      <c r="I990">
        <v>4.3401910502153099E-2</v>
      </c>
      <c r="J990">
        <v>7.0993488184211598E-2</v>
      </c>
      <c r="K990">
        <v>4.2458366481608001E-2</v>
      </c>
      <c r="L990">
        <v>656.06974391134395</v>
      </c>
      <c r="M990">
        <v>15.008216844085601</v>
      </c>
      <c r="N990">
        <v>44.004545283878599</v>
      </c>
      <c r="O990">
        <v>42.959970357361399</v>
      </c>
      <c r="P990">
        <v>-8.3227455320927193E-2</v>
      </c>
      <c r="Q990">
        <v>4.7165018832635699E-2</v>
      </c>
      <c r="R990">
        <v>0.83468869984906902</v>
      </c>
      <c r="S990" t="s">
        <v>7660</v>
      </c>
      <c r="T990" t="s">
        <v>13338</v>
      </c>
      <c r="U990" t="s">
        <v>13338</v>
      </c>
      <c r="V990" t="s">
        <v>13338</v>
      </c>
      <c r="W990" t="s">
        <v>14303</v>
      </c>
      <c r="X990">
        <v>1</v>
      </c>
      <c r="Y990" t="s">
        <v>20905</v>
      </c>
      <c r="Z990" t="s">
        <v>27405</v>
      </c>
      <c r="AA990">
        <v>0.2010530795237882</v>
      </c>
      <c r="AB990" t="str">
        <f>HYPERLINK("Melting_Curves/meltCurve_H9KV46_KIF18B.pdf", "Melting_Curves/meltCurve_H9KV46_KIF18B.pdf")</f>
        <v>Melting_Curves/meltCurve_H9KV46_KIF18B.pdf</v>
      </c>
    </row>
    <row r="991" spans="1:28" x14ac:dyDescent="0.25">
      <c r="A991" t="s">
        <v>995</v>
      </c>
      <c r="B991">
        <v>0.99193492352474899</v>
      </c>
      <c r="C991">
        <v>0.38462543340841399</v>
      </c>
      <c r="D991">
        <v>0.28233286570826399</v>
      </c>
      <c r="E991">
        <v>0.13299316574040901</v>
      </c>
      <c r="F991">
        <v>0.102590204299242</v>
      </c>
      <c r="G991">
        <v>5.5409543529896597E-2</v>
      </c>
      <c r="H991">
        <v>4.1652279150301001E-2</v>
      </c>
      <c r="I991">
        <v>4.0654945562197897E-2</v>
      </c>
      <c r="J991">
        <v>4.6640992426187203E-2</v>
      </c>
      <c r="K991">
        <v>4.7733128336932301E-2</v>
      </c>
      <c r="L991">
        <v>1471.01814848665</v>
      </c>
      <c r="M991">
        <v>34.653294536145701</v>
      </c>
      <c r="N991">
        <v>42.664518268012699</v>
      </c>
      <c r="O991">
        <v>42.308972069036102</v>
      </c>
      <c r="P991">
        <v>-0.18836412596958099</v>
      </c>
      <c r="Q991">
        <v>8.0091709109898906E-2</v>
      </c>
      <c r="R991">
        <v>0.94698057276694103</v>
      </c>
      <c r="S991" t="s">
        <v>7661</v>
      </c>
      <c r="T991" t="s">
        <v>13338</v>
      </c>
      <c r="U991" t="s">
        <v>13338</v>
      </c>
      <c r="V991" t="s">
        <v>13338</v>
      </c>
      <c r="W991" t="s">
        <v>14304</v>
      </c>
      <c r="X991">
        <v>10</v>
      </c>
      <c r="Y991" t="s">
        <v>20906</v>
      </c>
      <c r="Z991" t="s">
        <v>27406</v>
      </c>
      <c r="AA991">
        <v>0.16239075114208951</v>
      </c>
      <c r="AB991" t="str">
        <f>HYPERLINK("Melting_Curves/meltCurve_H9KV59_PRC1.pdf", "Melting_Curves/meltCurve_H9KV59_PRC1.pdf")</f>
        <v>Melting_Curves/meltCurve_H9KV59_PRC1.pdf</v>
      </c>
    </row>
    <row r="992" spans="1:28" x14ac:dyDescent="0.25">
      <c r="A992" t="s">
        <v>996</v>
      </c>
      <c r="B992">
        <v>0.99193492352474899</v>
      </c>
      <c r="C992">
        <v>1.1170751632624401</v>
      </c>
      <c r="D992">
        <v>1.21562392938853</v>
      </c>
      <c r="E992">
        <v>0.95662691414774303</v>
      </c>
      <c r="F992">
        <v>0.93422344987144501</v>
      </c>
      <c r="G992">
        <v>0.74053660260256904</v>
      </c>
      <c r="H992">
        <v>0.62050714654380001</v>
      </c>
      <c r="I992">
        <v>0.70781561966877904</v>
      </c>
      <c r="J992">
        <v>0.64311298483972701</v>
      </c>
      <c r="K992">
        <v>0.68243231253004399</v>
      </c>
      <c r="L992">
        <v>2298.9169951900599</v>
      </c>
      <c r="M992">
        <v>41.797121681889003</v>
      </c>
      <c r="O992">
        <v>54.876346137248902</v>
      </c>
      <c r="P992">
        <v>-6.4159462436659195E-2</v>
      </c>
      <c r="Q992">
        <v>0.66305519770195598</v>
      </c>
      <c r="R992">
        <v>0.83170281772536403</v>
      </c>
      <c r="S992" t="s">
        <v>7662</v>
      </c>
      <c r="T992" t="s">
        <v>13338</v>
      </c>
      <c r="U992" t="s">
        <v>13338</v>
      </c>
      <c r="V992" t="s">
        <v>13338</v>
      </c>
      <c r="W992" t="s">
        <v>14305</v>
      </c>
      <c r="X992">
        <v>1</v>
      </c>
      <c r="Y992" t="s">
        <v>20907</v>
      </c>
      <c r="Z992" t="s">
        <v>27407</v>
      </c>
      <c r="AA992">
        <v>0.83271723209975879</v>
      </c>
      <c r="AB992" t="str">
        <f>HYPERLINK("Melting_Curves/meltCurve_H9KVA1_SLC22A17.pdf", "Melting_Curves/meltCurve_H9KVA1_SLC22A17.pdf")</f>
        <v>Melting_Curves/meltCurve_H9KVA1_SLC22A17.pdf</v>
      </c>
    </row>
    <row r="993" spans="1:28" x14ac:dyDescent="0.25">
      <c r="A993" t="s">
        <v>997</v>
      </c>
      <c r="B993">
        <v>0.99193492352474899</v>
      </c>
      <c r="C993">
        <v>0.91560570085813098</v>
      </c>
      <c r="D993">
        <v>0.78910035705607695</v>
      </c>
      <c r="E993">
        <v>0.53475261439483601</v>
      </c>
      <c r="F993">
        <v>0.48569302284689098</v>
      </c>
      <c r="G993">
        <v>0.17712242448773299</v>
      </c>
      <c r="H993">
        <v>0.129615726806383</v>
      </c>
      <c r="I993">
        <v>8.4971734514201494E-2</v>
      </c>
      <c r="J993">
        <v>9.6531540991322398E-2</v>
      </c>
      <c r="K993">
        <v>9.3117949266896094E-2</v>
      </c>
      <c r="L993">
        <v>641.99615673567303</v>
      </c>
      <c r="M993">
        <v>12.664526585017001</v>
      </c>
      <c r="N993">
        <v>51.0396910817445</v>
      </c>
      <c r="O993">
        <v>49.478404653591198</v>
      </c>
      <c r="P993">
        <v>-6.1361024995133601E-2</v>
      </c>
      <c r="Q993">
        <v>4.1274377816078602E-2</v>
      </c>
      <c r="R993">
        <v>0.98397680983494296</v>
      </c>
      <c r="S993" t="s">
        <v>7663</v>
      </c>
      <c r="T993" t="s">
        <v>13338</v>
      </c>
      <c r="U993" t="s">
        <v>13338</v>
      </c>
      <c r="V993" t="s">
        <v>13338</v>
      </c>
      <c r="W993" t="s">
        <v>14306</v>
      </c>
      <c r="X993">
        <v>5</v>
      </c>
      <c r="Y993" t="s">
        <v>20908</v>
      </c>
      <c r="Z993" t="s">
        <v>27408</v>
      </c>
      <c r="AA993">
        <v>0.41235839613167452</v>
      </c>
      <c r="AB993" t="str">
        <f>HYPERLINK("Melting_Curves/meltCurve_H9KVB8_MICU1.pdf", "Melting_Curves/meltCurve_H9KVB8_MICU1.pdf")</f>
        <v>Melting_Curves/meltCurve_H9KVB8_MICU1.pdf</v>
      </c>
    </row>
    <row r="994" spans="1:28" x14ac:dyDescent="0.25">
      <c r="A994" t="s">
        <v>998</v>
      </c>
      <c r="B994">
        <v>0.99193492352474899</v>
      </c>
      <c r="C994">
        <v>0.94248776670263701</v>
      </c>
      <c r="D994">
        <v>0.64363068609624696</v>
      </c>
      <c r="E994">
        <v>0.38764378434710201</v>
      </c>
      <c r="F994">
        <v>0.28785655201305499</v>
      </c>
      <c r="G994">
        <v>0.250888532032709</v>
      </c>
      <c r="H994">
        <v>0.226208497823356</v>
      </c>
      <c r="I994">
        <v>0.20651684399456399</v>
      </c>
      <c r="J994">
        <v>0.29832158723107299</v>
      </c>
      <c r="K994">
        <v>0.14995662303122001</v>
      </c>
      <c r="L994">
        <v>1089.3078833828199</v>
      </c>
      <c r="M994">
        <v>23.385020784724901</v>
      </c>
      <c r="N994">
        <v>47.820113059988799</v>
      </c>
      <c r="O994">
        <v>46.244837180388203</v>
      </c>
      <c r="P994">
        <v>-9.77034539662162E-2</v>
      </c>
      <c r="Q994">
        <v>0.22716359355037299</v>
      </c>
      <c r="R994">
        <v>0.98367545342728402</v>
      </c>
      <c r="S994" t="s">
        <v>7664</v>
      </c>
      <c r="T994" t="s">
        <v>13338</v>
      </c>
      <c r="U994" t="s">
        <v>13338</v>
      </c>
      <c r="V994" t="s">
        <v>13338</v>
      </c>
      <c r="W994" t="s">
        <v>14307</v>
      </c>
      <c r="X994">
        <v>3</v>
      </c>
      <c r="Y994" t="s">
        <v>20909</v>
      </c>
      <c r="Z994" t="s">
        <v>27409</v>
      </c>
      <c r="AA994">
        <v>0.40481401759776298</v>
      </c>
      <c r="AB994" t="str">
        <f>HYPERLINK("Melting_Curves/meltCurve_H9ZYI9_GABPB1.pdf", "Melting_Curves/meltCurve_H9ZYI9_GABPB1.pdf")</f>
        <v>Melting_Curves/meltCurve_H9ZYI9_GABPB1.pdf</v>
      </c>
    </row>
    <row r="995" spans="1:28" x14ac:dyDescent="0.25">
      <c r="A995" t="s">
        <v>999</v>
      </c>
      <c r="B995">
        <v>0.99193492352474899</v>
      </c>
      <c r="C995">
        <v>0.79959238699481405</v>
      </c>
      <c r="D995">
        <v>0.78353799993491302</v>
      </c>
      <c r="E995">
        <v>0.49831664173090601</v>
      </c>
      <c r="F995">
        <v>0.31004407120768002</v>
      </c>
      <c r="G995">
        <v>0.14264722118269199</v>
      </c>
      <c r="H995">
        <v>0.14792826835350301</v>
      </c>
      <c r="I995">
        <v>0.21562682723072499</v>
      </c>
      <c r="J995">
        <v>0.27995999773884001</v>
      </c>
      <c r="K995">
        <v>0.32840894636377599</v>
      </c>
      <c r="L995">
        <v>883.99055464644198</v>
      </c>
      <c r="M995">
        <v>18.550871282160202</v>
      </c>
      <c r="N995">
        <v>49.143590875656599</v>
      </c>
      <c r="O995">
        <v>47.108859490759698</v>
      </c>
      <c r="P995">
        <v>-7.7260479078747502E-2</v>
      </c>
      <c r="Q995">
        <v>0.21524044575825399</v>
      </c>
      <c r="R995">
        <v>0.93914827684895796</v>
      </c>
      <c r="S995" t="s">
        <v>7665</v>
      </c>
      <c r="T995" t="s">
        <v>13338</v>
      </c>
      <c r="U995" t="s">
        <v>13338</v>
      </c>
      <c r="V995" t="s">
        <v>13338</v>
      </c>
      <c r="W995" t="s">
        <v>13598</v>
      </c>
      <c r="X995">
        <v>6</v>
      </c>
      <c r="Z995" t="s">
        <v>27410</v>
      </c>
      <c r="AA995">
        <v>0.42862301896536559</v>
      </c>
      <c r="AB995" t="str">
        <f>HYPERLINK("Melting_Curves/meltCurve_I3L097_.pdf", "Melting_Curves/meltCurve_I3L097_.pdf")</f>
        <v>Melting_Curves/meltCurve_I3L097_.pdf</v>
      </c>
    </row>
    <row r="996" spans="1:28" x14ac:dyDescent="0.25">
      <c r="A996" t="s">
        <v>1000</v>
      </c>
      <c r="B996">
        <v>0.99193492352474899</v>
      </c>
      <c r="C996">
        <v>1.1503934978880199</v>
      </c>
      <c r="D996">
        <v>0.61903365056522397</v>
      </c>
      <c r="E996">
        <v>0.44740943715081299</v>
      </c>
      <c r="F996">
        <v>0.19699952053355599</v>
      </c>
      <c r="G996">
        <v>0.116130570914614</v>
      </c>
      <c r="H996">
        <v>0.112432301914671</v>
      </c>
      <c r="I996">
        <v>0.14686687351889599</v>
      </c>
      <c r="J996">
        <v>0.119563724757819</v>
      </c>
      <c r="K996">
        <v>0.16306598603113401</v>
      </c>
      <c r="L996">
        <v>1149.8659863037799</v>
      </c>
      <c r="M996">
        <v>24.123806371742401</v>
      </c>
      <c r="N996">
        <v>48.279700260711301</v>
      </c>
      <c r="O996">
        <v>47.341279557652797</v>
      </c>
      <c r="P996">
        <v>-0.110553987470861</v>
      </c>
      <c r="Q996">
        <v>0.13219558735408299</v>
      </c>
      <c r="R996">
        <v>0.95147286961122302</v>
      </c>
      <c r="S996" t="s">
        <v>7666</v>
      </c>
      <c r="T996" t="s">
        <v>13338</v>
      </c>
      <c r="U996" t="s">
        <v>13338</v>
      </c>
      <c r="V996" t="s">
        <v>13338</v>
      </c>
      <c r="W996" t="s">
        <v>14308</v>
      </c>
      <c r="X996">
        <v>2</v>
      </c>
      <c r="Y996" t="s">
        <v>20910</v>
      </c>
      <c r="Z996" t="s">
        <v>27411</v>
      </c>
      <c r="AA996">
        <v>0.3622201096792606</v>
      </c>
      <c r="AB996" t="str">
        <f>HYPERLINK("Melting_Curves/meltCurve_I3L0C1_SMG1.pdf", "Melting_Curves/meltCurve_I3L0C1_SMG1.pdf")</f>
        <v>Melting_Curves/meltCurve_I3L0C1_SMG1.pdf</v>
      </c>
    </row>
    <row r="997" spans="1:28" x14ac:dyDescent="0.25">
      <c r="A997" t="s">
        <v>1001</v>
      </c>
      <c r="B997">
        <v>0.99193492352474899</v>
      </c>
      <c r="C997">
        <v>1.06534025965815</v>
      </c>
      <c r="D997">
        <v>0.877999061539668</v>
      </c>
      <c r="E997">
        <v>0.74578282364570003</v>
      </c>
      <c r="F997">
        <v>0.47138110402857603</v>
      </c>
      <c r="G997">
        <v>0.27963256665493902</v>
      </c>
      <c r="H997">
        <v>0.167237134681257</v>
      </c>
      <c r="I997">
        <v>0.15861235205848501</v>
      </c>
      <c r="J997">
        <v>0.16953735994154401</v>
      </c>
      <c r="K997">
        <v>0.19129148974103199</v>
      </c>
      <c r="L997">
        <v>1007.10931688295</v>
      </c>
      <c r="M997">
        <v>19.497557568868199</v>
      </c>
      <c r="N997">
        <v>52.6535904625988</v>
      </c>
      <c r="O997">
        <v>51.1189481659571</v>
      </c>
      <c r="P997">
        <v>-8.0596129872206504E-2</v>
      </c>
      <c r="Q997">
        <v>0.154798521988778</v>
      </c>
      <c r="R997">
        <v>0.99072630889990998</v>
      </c>
      <c r="S997" t="s">
        <v>7667</v>
      </c>
      <c r="T997" t="s">
        <v>13338</v>
      </c>
      <c r="U997" t="s">
        <v>13338</v>
      </c>
      <c r="V997" t="s">
        <v>13338</v>
      </c>
      <c r="W997" t="s">
        <v>14309</v>
      </c>
      <c r="X997">
        <v>5</v>
      </c>
      <c r="Y997" t="s">
        <v>20911</v>
      </c>
      <c r="Z997" t="s">
        <v>27412</v>
      </c>
      <c r="AA997">
        <v>0.49536968352430832</v>
      </c>
      <c r="AB997" t="str">
        <f>HYPERLINK("Melting_Curves/meltCurve_I3L0K1_GOSR2.pdf", "Melting_Curves/meltCurve_I3L0K1_GOSR2.pdf")</f>
        <v>Melting_Curves/meltCurve_I3L0K1_GOSR2.pdf</v>
      </c>
    </row>
    <row r="998" spans="1:28" x14ac:dyDescent="0.25">
      <c r="A998" t="s">
        <v>1002</v>
      </c>
      <c r="B998">
        <v>0.99193492352474899</v>
      </c>
      <c r="C998">
        <v>0.92538777457971599</v>
      </c>
      <c r="D998">
        <v>0.962396266033818</v>
      </c>
      <c r="E998">
        <v>0.73291069354776395</v>
      </c>
      <c r="F998">
        <v>0.637617932087992</v>
      </c>
      <c r="G998">
        <v>0.49438675605785898</v>
      </c>
      <c r="H998">
        <v>0.36577406031700299</v>
      </c>
      <c r="I998">
        <v>0.40857378870191102</v>
      </c>
      <c r="J998">
        <v>0.429906291892241</v>
      </c>
      <c r="K998">
        <v>0.55925910589385297</v>
      </c>
      <c r="L998">
        <v>987.43715930751898</v>
      </c>
      <c r="M998">
        <v>19.563757234815501</v>
      </c>
      <c r="N998">
        <v>56.535428679014203</v>
      </c>
      <c r="O998">
        <v>49.954296369675703</v>
      </c>
      <c r="P998">
        <v>-5.4963169696655899E-2</v>
      </c>
      <c r="Q998">
        <v>0.438645873047316</v>
      </c>
      <c r="R998">
        <v>0.937613592491637</v>
      </c>
      <c r="S998" t="s">
        <v>7668</v>
      </c>
      <c r="T998" t="s">
        <v>13338</v>
      </c>
      <c r="U998" t="s">
        <v>13338</v>
      </c>
      <c r="V998" t="s">
        <v>13338</v>
      </c>
      <c r="W998" t="s">
        <v>14310</v>
      </c>
      <c r="X998">
        <v>4</v>
      </c>
      <c r="Y998" t="s">
        <v>20912</v>
      </c>
      <c r="Z998" t="s">
        <v>27413</v>
      </c>
      <c r="AA998">
        <v>0.64274858873889451</v>
      </c>
      <c r="AB998" t="str">
        <f>HYPERLINK("Melting_Curves/meltCurve_I3L0L6_RNF167.pdf", "Melting_Curves/meltCurve_I3L0L6_RNF167.pdf")</f>
        <v>Melting_Curves/meltCurve_I3L0L6_RNF167.pdf</v>
      </c>
    </row>
    <row r="999" spans="1:28" x14ac:dyDescent="0.25">
      <c r="A999" t="s">
        <v>1003</v>
      </c>
      <c r="B999">
        <v>0.99193492352474899</v>
      </c>
      <c r="C999">
        <v>0.85250805194107104</v>
      </c>
      <c r="D999">
        <v>0.88864561687037802</v>
      </c>
      <c r="E999">
        <v>0.63399055858634001</v>
      </c>
      <c r="F999">
        <v>0.17160015716357799</v>
      </c>
      <c r="G999">
        <v>0.102109877398614</v>
      </c>
      <c r="H999">
        <v>6.1721587224341297E-2</v>
      </c>
      <c r="I999">
        <v>6.5214890614007301E-2</v>
      </c>
      <c r="J999">
        <v>8.07272175052407E-2</v>
      </c>
      <c r="K999">
        <v>8.1121935894365102E-2</v>
      </c>
      <c r="L999">
        <v>1381.86379625162</v>
      </c>
      <c r="M999">
        <v>27.602535777382499</v>
      </c>
      <c r="N999">
        <v>50.313768174804999</v>
      </c>
      <c r="O999">
        <v>49.802372888533</v>
      </c>
      <c r="P999">
        <v>-0.12965463718627701</v>
      </c>
      <c r="Q999">
        <v>6.4281599213414198E-2</v>
      </c>
      <c r="R999">
        <v>0.98238474548625798</v>
      </c>
      <c r="S999" t="s">
        <v>7669</v>
      </c>
      <c r="T999" t="s">
        <v>13338</v>
      </c>
      <c r="U999" t="s">
        <v>13338</v>
      </c>
      <c r="V999" t="s">
        <v>13338</v>
      </c>
      <c r="W999" t="s">
        <v>14311</v>
      </c>
      <c r="X999">
        <v>42</v>
      </c>
      <c r="Y999" t="s">
        <v>20913</v>
      </c>
      <c r="Z999" t="s">
        <v>27414</v>
      </c>
      <c r="AA999">
        <v>0.3850059429640949</v>
      </c>
      <c r="AB999" t="str">
        <f>HYPERLINK("Melting_Curves/meltCurve_I3L0N3_NSF.pdf", "Melting_Curves/meltCurve_I3L0N3_NSF.pdf")</f>
        <v>Melting_Curves/meltCurve_I3L0N3_NSF.pdf</v>
      </c>
    </row>
    <row r="1000" spans="1:28" x14ac:dyDescent="0.25">
      <c r="A1000" t="s">
        <v>1004</v>
      </c>
      <c r="B1000">
        <v>0.99193492352474899</v>
      </c>
      <c r="C1000">
        <v>1.08621657621084</v>
      </c>
      <c r="D1000">
        <v>0.75551582253707805</v>
      </c>
      <c r="E1000">
        <v>0.74390057874875604</v>
      </c>
      <c r="F1000">
        <v>0.64358653389731602</v>
      </c>
      <c r="G1000">
        <v>0.27591303819086399</v>
      </c>
      <c r="H1000">
        <v>0.21756672330809701</v>
      </c>
      <c r="I1000">
        <v>0.115825357294024</v>
      </c>
      <c r="J1000">
        <v>0.13205205522208599</v>
      </c>
      <c r="K1000">
        <v>8.6099112601873196E-2</v>
      </c>
      <c r="L1000">
        <v>678.17433668004196</v>
      </c>
      <c r="M1000">
        <v>12.6424028297055</v>
      </c>
      <c r="N1000">
        <v>53.928257064304098</v>
      </c>
      <c r="O1000">
        <v>52.3537790720289</v>
      </c>
      <c r="P1000">
        <v>-5.8427963703162701E-2</v>
      </c>
      <c r="Q1000">
        <v>3.2360383247055702E-2</v>
      </c>
      <c r="R1000">
        <v>0.95968058748772</v>
      </c>
      <c r="S1000" t="s">
        <v>7670</v>
      </c>
      <c r="T1000" t="s">
        <v>13338</v>
      </c>
      <c r="U1000" t="s">
        <v>13338</v>
      </c>
      <c r="V1000" t="s">
        <v>13338</v>
      </c>
      <c r="W1000" t="s">
        <v>14312</v>
      </c>
      <c r="X1000">
        <v>1</v>
      </c>
      <c r="Y1000" t="s">
        <v>20914</v>
      </c>
      <c r="Z1000" t="s">
        <v>27415</v>
      </c>
      <c r="AA1000">
        <v>0.49715418034745168</v>
      </c>
      <c r="AB1000" t="str">
        <f>HYPERLINK("Melting_Curves/meltCurve_I3L0W4_SAT2.pdf", "Melting_Curves/meltCurve_I3L0W4_SAT2.pdf")</f>
        <v>Melting_Curves/meltCurve_I3L0W4_SAT2.pdf</v>
      </c>
    </row>
    <row r="1001" spans="1:28" x14ac:dyDescent="0.25">
      <c r="A1001" t="s">
        <v>1005</v>
      </c>
      <c r="B1001">
        <v>0.99193492352474899</v>
      </c>
      <c r="C1001">
        <v>0.93998146473434596</v>
      </c>
      <c r="D1001">
        <v>1.04172760803055</v>
      </c>
      <c r="E1001">
        <v>0.81002694258234698</v>
      </c>
      <c r="F1001">
        <v>0.354847692079439</v>
      </c>
      <c r="G1001">
        <v>0.110770999213309</v>
      </c>
      <c r="H1001">
        <v>4.2484438134248001E-2</v>
      </c>
      <c r="I1001">
        <v>0.10094508037861601</v>
      </c>
      <c r="J1001">
        <v>0.14166034167955599</v>
      </c>
      <c r="K1001">
        <v>0.12749121496030399</v>
      </c>
      <c r="L1001">
        <v>1801.2316117149901</v>
      </c>
      <c r="M1001">
        <v>34.873151494756797</v>
      </c>
      <c r="N1001">
        <v>51.977178287645501</v>
      </c>
      <c r="O1001">
        <v>51.4819826665126</v>
      </c>
      <c r="P1001">
        <v>-0.15270213691575699</v>
      </c>
      <c r="Q1001">
        <v>9.8288242596577993E-2</v>
      </c>
      <c r="R1001">
        <v>0.99134703002591695</v>
      </c>
      <c r="S1001" t="s">
        <v>7671</v>
      </c>
      <c r="T1001" t="s">
        <v>13338</v>
      </c>
      <c r="U1001" t="s">
        <v>13338</v>
      </c>
      <c r="V1001" t="s">
        <v>13338</v>
      </c>
      <c r="W1001" t="s">
        <v>14313</v>
      </c>
      <c r="X1001">
        <v>3</v>
      </c>
      <c r="Y1001" t="s">
        <v>20915</v>
      </c>
      <c r="Z1001" t="s">
        <v>27416</v>
      </c>
      <c r="AA1001">
        <v>0.45272189240656341</v>
      </c>
      <c r="AB1001" t="str">
        <f>HYPERLINK("Melting_Curves/meltCurve_I3L112_DGKE.pdf", "Melting_Curves/meltCurve_I3L112_DGKE.pdf")</f>
        <v>Melting_Curves/meltCurve_I3L112_DGKE.pdf</v>
      </c>
    </row>
    <row r="1002" spans="1:28" x14ac:dyDescent="0.25">
      <c r="A1002" t="s">
        <v>1006</v>
      </c>
      <c r="B1002">
        <v>0.99193492352474899</v>
      </c>
      <c r="C1002">
        <v>0.94391568505913503</v>
      </c>
      <c r="D1002">
        <v>0.88724608729839005</v>
      </c>
      <c r="E1002">
        <v>0.760838826541131</v>
      </c>
      <c r="F1002">
        <v>0.50936656060112995</v>
      </c>
      <c r="G1002">
        <v>0.31860316653757598</v>
      </c>
      <c r="H1002">
        <v>0.25189954287727701</v>
      </c>
      <c r="I1002">
        <v>0.28662548408414901</v>
      </c>
      <c r="J1002">
        <v>0.231387057985141</v>
      </c>
      <c r="K1002">
        <v>0.32556590594707902</v>
      </c>
      <c r="L1002">
        <v>993.76764376475603</v>
      </c>
      <c r="M1002">
        <v>19.435623696211302</v>
      </c>
      <c r="N1002">
        <v>53.095889150881597</v>
      </c>
      <c r="O1002">
        <v>50.599171974056098</v>
      </c>
      <c r="P1002">
        <v>-7.1406889906568793E-2</v>
      </c>
      <c r="Q1002">
        <v>0.25641741731608703</v>
      </c>
      <c r="R1002">
        <v>0.98679437044365603</v>
      </c>
      <c r="S1002" t="s">
        <v>7672</v>
      </c>
      <c r="T1002" t="s">
        <v>13338</v>
      </c>
      <c r="U1002" t="s">
        <v>13338</v>
      </c>
      <c r="V1002" t="s">
        <v>13338</v>
      </c>
      <c r="W1002" t="s">
        <v>14314</v>
      </c>
      <c r="X1002">
        <v>1</v>
      </c>
      <c r="Y1002" t="s">
        <v>20916</v>
      </c>
      <c r="Z1002" t="s">
        <v>27417</v>
      </c>
      <c r="AA1002">
        <v>0.5431981481186251</v>
      </c>
      <c r="AB1002" t="str">
        <f>HYPERLINK("Melting_Curves/meltCurve_I3L1B5_RPGRIP1L.pdf", "Melting_Curves/meltCurve_I3L1B5_RPGRIP1L.pdf")</f>
        <v>Melting_Curves/meltCurve_I3L1B5_RPGRIP1L.pdf</v>
      </c>
    </row>
    <row r="1003" spans="1:28" x14ac:dyDescent="0.25">
      <c r="A1003" t="s">
        <v>1007</v>
      </c>
      <c r="B1003">
        <v>0.99193492352474899</v>
      </c>
      <c r="C1003">
        <v>1.0402571119858799</v>
      </c>
      <c r="D1003">
        <v>0.96096819413856505</v>
      </c>
      <c r="E1003">
        <v>0.86662979803965401</v>
      </c>
      <c r="F1003">
        <v>0.63553596837586401</v>
      </c>
      <c r="G1003">
        <v>0.467331381815074</v>
      </c>
      <c r="H1003">
        <v>0.28642014324007897</v>
      </c>
      <c r="I1003">
        <v>0.17588031489862799</v>
      </c>
      <c r="J1003">
        <v>0.32172901065014098</v>
      </c>
      <c r="K1003">
        <v>0.14747013531771599</v>
      </c>
      <c r="L1003">
        <v>933.702220088844</v>
      </c>
      <c r="M1003">
        <v>17.2323744374489</v>
      </c>
      <c r="N1003">
        <v>55.672163636847998</v>
      </c>
      <c r="O1003">
        <v>53.46915143743</v>
      </c>
      <c r="P1003">
        <v>-6.5697624733723106E-2</v>
      </c>
      <c r="Q1003">
        <v>0.18465317029138301</v>
      </c>
      <c r="R1003">
        <v>0.98013836459430004</v>
      </c>
      <c r="S1003" t="s">
        <v>7673</v>
      </c>
      <c r="T1003" t="s">
        <v>13338</v>
      </c>
      <c r="U1003" t="s">
        <v>13338</v>
      </c>
      <c r="V1003" t="s">
        <v>13338</v>
      </c>
      <c r="W1003" t="s">
        <v>14315</v>
      </c>
      <c r="X1003">
        <v>2</v>
      </c>
      <c r="Y1003" t="s">
        <v>20917</v>
      </c>
      <c r="Z1003" t="s">
        <v>27418</v>
      </c>
      <c r="AA1003">
        <v>0.58393579327559919</v>
      </c>
      <c r="AB1003" t="str">
        <f>HYPERLINK("Melting_Curves/meltCurve_I3L1H5_DPH1.pdf", "Melting_Curves/meltCurve_I3L1H5_DPH1.pdf")</f>
        <v>Melting_Curves/meltCurve_I3L1H5_DPH1.pdf</v>
      </c>
    </row>
    <row r="1004" spans="1:28" x14ac:dyDescent="0.25">
      <c r="A1004" t="s">
        <v>1008</v>
      </c>
      <c r="B1004">
        <v>0.99193492352474899</v>
      </c>
      <c r="C1004">
        <v>1.06769760735912</v>
      </c>
      <c r="D1004">
        <v>0.85355118984177603</v>
      </c>
      <c r="E1004">
        <v>0.93079133153397298</v>
      </c>
      <c r="F1004">
        <v>0.67610391763623501</v>
      </c>
      <c r="G1004">
        <v>0.620905633849136</v>
      </c>
      <c r="H1004">
        <v>0.51215665491515505</v>
      </c>
      <c r="I1004">
        <v>0.67565731089277203</v>
      </c>
      <c r="J1004">
        <v>0.31478964817014199</v>
      </c>
      <c r="K1004">
        <v>0.679742651481552</v>
      </c>
      <c r="L1004">
        <v>1055.6087994557599</v>
      </c>
      <c r="M1004">
        <v>20.373665702480501</v>
      </c>
      <c r="O1004">
        <v>51.320994477517701</v>
      </c>
      <c r="P1004">
        <v>-4.5881326320038801E-2</v>
      </c>
      <c r="Q1004">
        <v>0.53771616865721295</v>
      </c>
      <c r="R1004">
        <v>0.76192467826585197</v>
      </c>
      <c r="S1004" t="s">
        <v>7674</v>
      </c>
      <c r="T1004" t="s">
        <v>13338</v>
      </c>
      <c r="U1004" t="s">
        <v>13338</v>
      </c>
      <c r="V1004" t="s">
        <v>13338</v>
      </c>
      <c r="W1004" t="s">
        <v>14316</v>
      </c>
      <c r="X1004">
        <v>1</v>
      </c>
      <c r="Y1004" t="s">
        <v>20918</v>
      </c>
      <c r="Z1004" t="s">
        <v>27419</v>
      </c>
      <c r="AA1004">
        <v>0.72592982426921637</v>
      </c>
      <c r="AB1004" t="str">
        <f>HYPERLINK("Melting_Curves/meltCurve_I3L1K6_MYL4.pdf", "Melting_Curves/meltCurve_I3L1K6_MYL4.pdf")</f>
        <v>Melting_Curves/meltCurve_I3L1K6_MYL4.pdf</v>
      </c>
    </row>
    <row r="1005" spans="1:28" x14ac:dyDescent="0.25">
      <c r="A1005" t="s">
        <v>1009</v>
      </c>
      <c r="B1005">
        <v>0.99193492352474899</v>
      </c>
      <c r="C1005">
        <v>0.278963497080847</v>
      </c>
      <c r="D1005">
        <v>0.50850266993024196</v>
      </c>
      <c r="E1005">
        <v>0.16926639112043601</v>
      </c>
      <c r="F1005">
        <v>0.131548200215099</v>
      </c>
      <c r="G1005">
        <v>6.5401454590731697E-2</v>
      </c>
      <c r="H1005">
        <v>4.4186578515346901E-2</v>
      </c>
      <c r="I1005">
        <v>4.2944679171479198E-2</v>
      </c>
      <c r="J1005">
        <v>6.9424077478789897E-2</v>
      </c>
      <c r="K1005">
        <v>5.2054874492535999E-2</v>
      </c>
      <c r="L1005">
        <v>669.04290067692796</v>
      </c>
      <c r="M1005">
        <v>15.450115713878599</v>
      </c>
      <c r="N1005">
        <v>43.646857118146301</v>
      </c>
      <c r="O1005">
        <v>42.597421737686602</v>
      </c>
      <c r="P1005">
        <v>-8.5493201140747294E-2</v>
      </c>
      <c r="Q1005">
        <v>5.7233621570117202E-2</v>
      </c>
      <c r="R1005">
        <v>0.81399795863428503</v>
      </c>
      <c r="S1005" t="s">
        <v>7675</v>
      </c>
      <c r="T1005" t="s">
        <v>13338</v>
      </c>
      <c r="U1005" t="s">
        <v>13338</v>
      </c>
      <c r="V1005" t="s">
        <v>13338</v>
      </c>
      <c r="W1005" t="s">
        <v>14317</v>
      </c>
      <c r="X1005">
        <v>4</v>
      </c>
      <c r="Y1005" t="s">
        <v>20919</v>
      </c>
      <c r="Z1005" t="s">
        <v>27420</v>
      </c>
      <c r="AA1005">
        <v>0.19674041187065219</v>
      </c>
      <c r="AB1005" t="str">
        <f>HYPERLINK("Melting_Curves/meltCurve_I3L1L3_MYBBP1A.pdf", "Melting_Curves/meltCurve_I3L1L3_MYBBP1A.pdf")</f>
        <v>Melting_Curves/meltCurve_I3L1L3_MYBBP1A.pdf</v>
      </c>
    </row>
    <row r="1006" spans="1:28" x14ac:dyDescent="0.25">
      <c r="A1006" t="s">
        <v>1010</v>
      </c>
      <c r="B1006">
        <v>0.99193492352474899</v>
      </c>
      <c r="C1006">
        <v>1.18281351566884</v>
      </c>
      <c r="D1006">
        <v>1.08133588557942</v>
      </c>
      <c r="E1006">
        <v>0.97574691271916902</v>
      </c>
      <c r="F1006">
        <v>0.742717959889035</v>
      </c>
      <c r="G1006">
        <v>0.65301069710527804</v>
      </c>
      <c r="H1006">
        <v>0.45333021729313699</v>
      </c>
      <c r="I1006">
        <v>0.46219524048393001</v>
      </c>
      <c r="J1006">
        <v>0.43349062416900802</v>
      </c>
      <c r="K1006">
        <v>0.59439638472356104</v>
      </c>
      <c r="L1006">
        <v>1471.3463027054599</v>
      </c>
      <c r="M1006">
        <v>27.337167939301398</v>
      </c>
      <c r="N1006">
        <v>62.423318412986198</v>
      </c>
      <c r="O1006">
        <v>53.536646292940901</v>
      </c>
      <c r="P1006">
        <v>-6.5304994544721995E-2</v>
      </c>
      <c r="Q1006">
        <v>0.48843596270204998</v>
      </c>
      <c r="R1006">
        <v>0.90681930168963198</v>
      </c>
      <c r="S1006" t="s">
        <v>7676</v>
      </c>
      <c r="T1006" t="s">
        <v>13338</v>
      </c>
      <c r="U1006" t="s">
        <v>13338</v>
      </c>
      <c r="V1006" t="s">
        <v>13338</v>
      </c>
      <c r="W1006" t="s">
        <v>14318</v>
      </c>
      <c r="X1006">
        <v>10</v>
      </c>
      <c r="Y1006" t="s">
        <v>20920</v>
      </c>
      <c r="Z1006" t="s">
        <v>27421</v>
      </c>
      <c r="AA1006">
        <v>0.72813978448511918</v>
      </c>
      <c r="AB1006" t="str">
        <f>HYPERLINK("Melting_Curves/meltCurve_I3L1P8_SLC25A11.pdf", "Melting_Curves/meltCurve_I3L1P8_SLC25A11.pdf")</f>
        <v>Melting_Curves/meltCurve_I3L1P8_SLC25A11.pdf</v>
      </c>
    </row>
    <row r="1007" spans="1:28" x14ac:dyDescent="0.25">
      <c r="A1007" t="s">
        <v>1011</v>
      </c>
      <c r="B1007">
        <v>0.99193492352474899</v>
      </c>
      <c r="C1007">
        <v>0.762891810277045</v>
      </c>
      <c r="D1007">
        <v>0.76244534831000799</v>
      </c>
      <c r="E1007">
        <v>0.56848650715104398</v>
      </c>
      <c r="F1007">
        <v>0.42975240515091701</v>
      </c>
      <c r="G1007">
        <v>0.28430718638236602</v>
      </c>
      <c r="H1007">
        <v>0.19263328569437499</v>
      </c>
      <c r="I1007">
        <v>0.18141131930663701</v>
      </c>
      <c r="J1007">
        <v>0.209844155994834</v>
      </c>
      <c r="K1007">
        <v>0.25645810461339302</v>
      </c>
      <c r="L1007">
        <v>560.03836877214098</v>
      </c>
      <c r="M1007">
        <v>11.447120230373701</v>
      </c>
      <c r="N1007">
        <v>50.696010820189301</v>
      </c>
      <c r="O1007">
        <v>47.502298127095003</v>
      </c>
      <c r="P1007">
        <v>-5.0326235537648298E-2</v>
      </c>
      <c r="Q1007">
        <v>0.16488327528532801</v>
      </c>
      <c r="R1007">
        <v>0.96913069035717903</v>
      </c>
      <c r="S1007" t="s">
        <v>7677</v>
      </c>
      <c r="T1007" t="s">
        <v>13338</v>
      </c>
      <c r="U1007" t="s">
        <v>13338</v>
      </c>
      <c r="V1007" t="s">
        <v>13338</v>
      </c>
      <c r="W1007" t="s">
        <v>14319</v>
      </c>
      <c r="X1007">
        <v>3</v>
      </c>
      <c r="Y1007" t="s">
        <v>20921</v>
      </c>
      <c r="Z1007" t="s">
        <v>27422</v>
      </c>
      <c r="AA1007">
        <v>0.44662896916752209</v>
      </c>
      <c r="AB1007" t="str">
        <f>HYPERLINK("Melting_Curves/meltCurve_I3L1Q2_BCL7C.pdf", "Melting_Curves/meltCurve_I3L1Q2_BCL7C.pdf")</f>
        <v>Melting_Curves/meltCurve_I3L1Q2_BCL7C.pdf</v>
      </c>
    </row>
    <row r="1008" spans="1:28" x14ac:dyDescent="0.25">
      <c r="A1008" t="s">
        <v>1012</v>
      </c>
      <c r="B1008">
        <v>0.99193492352474899</v>
      </c>
      <c r="C1008">
        <v>0.78754241381426304</v>
      </c>
      <c r="D1008">
        <v>0.82293369784076398</v>
      </c>
      <c r="E1008">
        <v>0.75951789077979603</v>
      </c>
      <c r="F1008">
        <v>0.67823177976676696</v>
      </c>
      <c r="G1008">
        <v>0.36107456422171902</v>
      </c>
      <c r="H1008">
        <v>0.25075561660137502</v>
      </c>
      <c r="I1008">
        <v>0.23056924117894001</v>
      </c>
      <c r="J1008">
        <v>0.213532305522561</v>
      </c>
      <c r="K1008">
        <v>0.135746919005857</v>
      </c>
      <c r="L1008">
        <v>466.344031752592</v>
      </c>
      <c r="M1008">
        <v>8.4839077609046605</v>
      </c>
      <c r="N1008">
        <v>54.968069511752297</v>
      </c>
      <c r="O1008">
        <v>52.169147134090998</v>
      </c>
      <c r="P1008">
        <v>-4.0692680975007597E-2</v>
      </c>
      <c r="Q1008">
        <v>0</v>
      </c>
      <c r="R1008">
        <v>0.95401577517098102</v>
      </c>
      <c r="S1008" t="s">
        <v>7678</v>
      </c>
      <c r="T1008" t="s">
        <v>13338</v>
      </c>
      <c r="U1008" t="s">
        <v>13338</v>
      </c>
      <c r="V1008" t="s">
        <v>13338</v>
      </c>
      <c r="W1008" t="s">
        <v>14320</v>
      </c>
      <c r="X1008">
        <v>4</v>
      </c>
      <c r="Y1008" t="s">
        <v>20922</v>
      </c>
      <c r="Z1008" t="s">
        <v>27423</v>
      </c>
      <c r="AA1008">
        <v>0.5261500464815283</v>
      </c>
      <c r="AB1008" t="str">
        <f>HYPERLINK("Melting_Curves/meltCurve_I3L1Q3_ELP5.pdf", "Melting_Curves/meltCurve_I3L1Q3_ELP5.pdf")</f>
        <v>Melting_Curves/meltCurve_I3L1Q3_ELP5.pdf</v>
      </c>
    </row>
    <row r="1009" spans="1:28" x14ac:dyDescent="0.25">
      <c r="A1009" t="s">
        <v>1013</v>
      </c>
      <c r="B1009">
        <v>0.99193492352474899</v>
      </c>
      <c r="C1009">
        <v>0.95387237669943903</v>
      </c>
      <c r="D1009">
        <v>0.91251276375720103</v>
      </c>
      <c r="E1009">
        <v>0.68291345056388697</v>
      </c>
      <c r="F1009">
        <v>0.48066173315208199</v>
      </c>
      <c r="G1009">
        <v>0.23320360583925701</v>
      </c>
      <c r="H1009">
        <v>0.106434930368958</v>
      </c>
      <c r="I1009">
        <v>0.126712289347857</v>
      </c>
      <c r="J1009">
        <v>0.13853311367273399</v>
      </c>
      <c r="K1009">
        <v>0.20544281636801601</v>
      </c>
      <c r="L1009">
        <v>959.93397994073496</v>
      </c>
      <c r="M1009">
        <v>18.672555969128702</v>
      </c>
      <c r="N1009">
        <v>52.2198394391284</v>
      </c>
      <c r="O1009">
        <v>50.830069032073901</v>
      </c>
      <c r="P1009">
        <v>-8.0281970829053501E-2</v>
      </c>
      <c r="Q1009">
        <v>0.12586922837227099</v>
      </c>
      <c r="R1009">
        <v>0.98838881130415501</v>
      </c>
      <c r="S1009" t="s">
        <v>7679</v>
      </c>
      <c r="T1009" t="s">
        <v>13338</v>
      </c>
      <c r="U1009" t="s">
        <v>13338</v>
      </c>
      <c r="V1009" t="s">
        <v>13338</v>
      </c>
      <c r="W1009" t="s">
        <v>14321</v>
      </c>
      <c r="X1009">
        <v>3</v>
      </c>
      <c r="Y1009" t="s">
        <v>20923</v>
      </c>
      <c r="Z1009" t="s">
        <v>27424</v>
      </c>
      <c r="AA1009">
        <v>0.47202754676964798</v>
      </c>
      <c r="AB1009" t="str">
        <f>HYPERLINK("Melting_Curves/meltCurve_I3L232_B3GNTL1.pdf", "Melting_Curves/meltCurve_I3L232_B3GNTL1.pdf")</f>
        <v>Melting_Curves/meltCurve_I3L232_B3GNTL1.pdf</v>
      </c>
    </row>
    <row r="1010" spans="1:28" x14ac:dyDescent="0.25">
      <c r="A1010" t="s">
        <v>1014</v>
      </c>
      <c r="B1010">
        <v>0.99193492352474899</v>
      </c>
      <c r="C1010">
        <v>0.93925888302778504</v>
      </c>
      <c r="D1010">
        <v>0.82267611835807297</v>
      </c>
      <c r="E1010">
        <v>0.38199641668946699</v>
      </c>
      <c r="F1010">
        <v>0.101760876473886</v>
      </c>
      <c r="G1010">
        <v>5.3718577039887902E-2</v>
      </c>
      <c r="H1010">
        <v>3.11392502773352E-2</v>
      </c>
      <c r="I1010">
        <v>3.5851853099199603E-2</v>
      </c>
      <c r="J1010">
        <v>3.9568905064581099E-2</v>
      </c>
      <c r="K1010">
        <v>3.9934708997047201E-2</v>
      </c>
      <c r="L1010">
        <v>1296.7702150007501</v>
      </c>
      <c r="M1010">
        <v>26.738028707698401</v>
      </c>
      <c r="N1010">
        <v>48.623028118223203</v>
      </c>
      <c r="O1010">
        <v>48.230246100074197</v>
      </c>
      <c r="P1010">
        <v>-0.13403175384199201</v>
      </c>
      <c r="Q1010">
        <v>3.2940238346667601E-2</v>
      </c>
      <c r="R1010">
        <v>0.999051890693605</v>
      </c>
      <c r="S1010" t="s">
        <v>7680</v>
      </c>
      <c r="T1010" t="s">
        <v>13338</v>
      </c>
      <c r="U1010" t="s">
        <v>13338</v>
      </c>
      <c r="V1010" t="s">
        <v>13338</v>
      </c>
      <c r="W1010" t="s">
        <v>14322</v>
      </c>
      <c r="X1010">
        <v>22</v>
      </c>
      <c r="Y1010" t="s">
        <v>20924</v>
      </c>
      <c r="Z1010" t="s">
        <v>27425</v>
      </c>
      <c r="AA1010">
        <v>0.31434163459078562</v>
      </c>
      <c r="AB1010" t="str">
        <f>HYPERLINK("Melting_Curves/meltCurve_I3L2B0_CLUH.pdf", "Melting_Curves/meltCurve_I3L2B0_CLUH.pdf")</f>
        <v>Melting_Curves/meltCurve_I3L2B0_CLUH.pdf</v>
      </c>
    </row>
    <row r="1011" spans="1:28" x14ac:dyDescent="0.25">
      <c r="A1011" t="s">
        <v>1015</v>
      </c>
      <c r="B1011">
        <v>0.99193492352474899</v>
      </c>
      <c r="C1011">
        <v>0.612389319123817</v>
      </c>
      <c r="D1011">
        <v>0.50649794537731196</v>
      </c>
      <c r="E1011">
        <v>0.24120433990634299</v>
      </c>
      <c r="F1011">
        <v>0.15205490219398099</v>
      </c>
      <c r="G1011">
        <v>6.87358618182623E-2</v>
      </c>
      <c r="H1011">
        <v>4.6664146773162302E-2</v>
      </c>
      <c r="I1011">
        <v>4.4185174882304598E-2</v>
      </c>
      <c r="J1011">
        <v>4.3929140196454601E-2</v>
      </c>
      <c r="K1011">
        <v>4.4826430528753701E-2</v>
      </c>
      <c r="L1011">
        <v>686.17805841199799</v>
      </c>
      <c r="M1011">
        <v>15.1307450483956</v>
      </c>
      <c r="N1011">
        <v>45.579946814608903</v>
      </c>
      <c r="O1011">
        <v>44.579896668880899</v>
      </c>
      <c r="P1011">
        <v>-8.1740767795512106E-2</v>
      </c>
      <c r="Q1011">
        <v>3.6758820607462099E-2</v>
      </c>
      <c r="R1011">
        <v>0.97519415384711094</v>
      </c>
      <c r="S1011" t="s">
        <v>7681</v>
      </c>
      <c r="T1011" t="s">
        <v>13338</v>
      </c>
      <c r="U1011" t="s">
        <v>13338</v>
      </c>
      <c r="V1011" t="s">
        <v>13338</v>
      </c>
      <c r="W1011" t="s">
        <v>14323</v>
      </c>
      <c r="X1011">
        <v>2</v>
      </c>
      <c r="Y1011" t="s">
        <v>20925</v>
      </c>
      <c r="Z1011" t="s">
        <v>27426</v>
      </c>
      <c r="AA1011">
        <v>0.2378340353427047</v>
      </c>
      <c r="AB1011" t="str">
        <f>HYPERLINK("Melting_Curves/meltCurve_I3L2C7_GEMIN4.pdf", "Melting_Curves/meltCurve_I3L2C7_GEMIN4.pdf")</f>
        <v>Melting_Curves/meltCurve_I3L2C7_GEMIN4.pdf</v>
      </c>
    </row>
    <row r="1012" spans="1:28" x14ac:dyDescent="0.25">
      <c r="A1012" t="s">
        <v>1016</v>
      </c>
      <c r="B1012">
        <v>0.99193492352474899</v>
      </c>
      <c r="C1012">
        <v>0.83157383068478397</v>
      </c>
      <c r="D1012">
        <v>0.55533019075357504</v>
      </c>
      <c r="E1012">
        <v>0.28814299505448099</v>
      </c>
      <c r="F1012">
        <v>0.30156443061264199</v>
      </c>
      <c r="G1012">
        <v>0.11719381354895</v>
      </c>
      <c r="H1012">
        <v>0.101136039355253</v>
      </c>
      <c r="I1012">
        <v>0.119528015996993</v>
      </c>
      <c r="J1012">
        <v>0.18619381138188501</v>
      </c>
      <c r="K1012">
        <v>0.20070793761556099</v>
      </c>
      <c r="L1012">
        <v>925.51320166021299</v>
      </c>
      <c r="M1012">
        <v>20.174734953605</v>
      </c>
      <c r="N1012">
        <v>46.729436031805797</v>
      </c>
      <c r="O1012">
        <v>45.431260453024798</v>
      </c>
      <c r="P1012">
        <v>-9.3894140169768103E-2</v>
      </c>
      <c r="Q1012">
        <v>0.15426967762607499</v>
      </c>
      <c r="R1012">
        <v>0.97576939461765799</v>
      </c>
      <c r="S1012" t="s">
        <v>7682</v>
      </c>
      <c r="T1012" t="s">
        <v>13338</v>
      </c>
      <c r="U1012" t="s">
        <v>13338</v>
      </c>
      <c r="V1012" t="s">
        <v>13338</v>
      </c>
      <c r="W1012" t="s">
        <v>14324</v>
      </c>
      <c r="X1012">
        <v>1</v>
      </c>
      <c r="Y1012" t="s">
        <v>20926</v>
      </c>
      <c r="Z1012" t="s">
        <v>27427</v>
      </c>
      <c r="AA1012">
        <v>0.33282061282123571</v>
      </c>
      <c r="AB1012" t="str">
        <f>HYPERLINK("Melting_Curves/meltCurve_I3L2J0_CIC.pdf", "Melting_Curves/meltCurve_I3L2J0_CIC.pdf")</f>
        <v>Melting_Curves/meltCurve_I3L2J0_CIC.pdf</v>
      </c>
    </row>
    <row r="1013" spans="1:28" x14ac:dyDescent="0.25">
      <c r="A1013" t="s">
        <v>1017</v>
      </c>
      <c r="B1013">
        <v>0.99193492352474899</v>
      </c>
      <c r="C1013">
        <v>0.539066356370555</v>
      </c>
      <c r="D1013">
        <v>0.62706382324343302</v>
      </c>
      <c r="E1013">
        <v>0.37567858913582403</v>
      </c>
      <c r="F1013">
        <v>0.217043362142949</v>
      </c>
      <c r="G1013">
        <v>0.129060214035532</v>
      </c>
      <c r="H1013">
        <v>7.7753449543460099E-2</v>
      </c>
      <c r="I1013">
        <v>0.11802457553891001</v>
      </c>
      <c r="J1013">
        <v>9.79807134839044E-2</v>
      </c>
      <c r="K1013">
        <v>0.13519349123524499</v>
      </c>
      <c r="L1013">
        <v>550.84845845161703</v>
      </c>
      <c r="M1013">
        <v>11.9878080925904</v>
      </c>
      <c r="N1013">
        <v>46.600253593132599</v>
      </c>
      <c r="O1013">
        <v>44.7280660011671</v>
      </c>
      <c r="P1013">
        <v>-6.18636649364913E-2</v>
      </c>
      <c r="Q1013">
        <v>7.6938293718891604E-2</v>
      </c>
      <c r="R1013">
        <v>0.92211724389282601</v>
      </c>
      <c r="S1013" t="s">
        <v>7683</v>
      </c>
      <c r="T1013" t="s">
        <v>13338</v>
      </c>
      <c r="U1013" t="s">
        <v>13338</v>
      </c>
      <c r="V1013" t="s">
        <v>13338</v>
      </c>
      <c r="W1013" t="s">
        <v>14325</v>
      </c>
      <c r="X1013">
        <v>9</v>
      </c>
      <c r="Y1013" t="s">
        <v>20927</v>
      </c>
      <c r="Z1013" t="s">
        <v>27428</v>
      </c>
      <c r="AA1013">
        <v>0.30229644036012909</v>
      </c>
      <c r="AB1013" t="str">
        <f>HYPERLINK("Melting_Curves/meltCurve_I3L2J8_AZI1.pdf", "Melting_Curves/meltCurve_I3L2J8_AZI1.pdf")</f>
        <v>Melting_Curves/meltCurve_I3L2J8_AZI1.pdf</v>
      </c>
    </row>
    <row r="1014" spans="1:28" x14ac:dyDescent="0.25">
      <c r="A1014" t="s">
        <v>1018</v>
      </c>
      <c r="B1014">
        <v>0.99193492352474899</v>
      </c>
      <c r="C1014">
        <v>0.60825888900333802</v>
      </c>
      <c r="D1014">
        <v>1.0650167017005401</v>
      </c>
      <c r="E1014">
        <v>0.59562006643613497</v>
      </c>
      <c r="F1014">
        <v>0.79449560904352601</v>
      </c>
      <c r="G1014">
        <v>0.39463130035193</v>
      </c>
      <c r="H1014">
        <v>0.38347334765886998</v>
      </c>
      <c r="I1014">
        <v>0.377851893021872</v>
      </c>
      <c r="J1014">
        <v>0.72520203373606296</v>
      </c>
      <c r="K1014">
        <v>1.0527653480494701</v>
      </c>
      <c r="L1014">
        <v>594.18056350757001</v>
      </c>
      <c r="M1014">
        <v>13.2673834245628</v>
      </c>
      <c r="O1014">
        <v>43.804290833484998</v>
      </c>
      <c r="P1014">
        <v>-2.9579628952673499E-2</v>
      </c>
      <c r="Q1014">
        <v>0.60941710897744195</v>
      </c>
      <c r="R1014">
        <v>0.164625710842458</v>
      </c>
      <c r="S1014" t="s">
        <v>7684</v>
      </c>
      <c r="T1014" t="s">
        <v>13338</v>
      </c>
      <c r="U1014" t="s">
        <v>13338</v>
      </c>
      <c r="V1014" t="s">
        <v>13338</v>
      </c>
      <c r="W1014" t="s">
        <v>14326</v>
      </c>
      <c r="X1014">
        <v>2</v>
      </c>
      <c r="Y1014" t="s">
        <v>20928</v>
      </c>
      <c r="Z1014" t="s">
        <v>27429</v>
      </c>
      <c r="AA1014">
        <v>0.68819201383721729</v>
      </c>
      <c r="AB1014" t="str">
        <f>HYPERLINK("Melting_Curves/meltCurve_I3L2L5_FAM195B.pdf", "Melting_Curves/meltCurve_I3L2L5_FAM195B.pdf")</f>
        <v>Melting_Curves/meltCurve_I3L2L5_FAM195B.pdf</v>
      </c>
    </row>
    <row r="1015" spans="1:28" x14ac:dyDescent="0.25">
      <c r="A1015" t="s">
        <v>1019</v>
      </c>
      <c r="B1015">
        <v>0.99193492352474899</v>
      </c>
      <c r="C1015">
        <v>0.65386604139995796</v>
      </c>
      <c r="D1015">
        <v>0.90643442401778096</v>
      </c>
      <c r="E1015">
        <v>0.67684008154831399</v>
      </c>
      <c r="F1015">
        <v>0.56941260612842604</v>
      </c>
      <c r="G1015">
        <v>0.10899005953840001</v>
      </c>
      <c r="H1015">
        <v>5.6122218448884598E-2</v>
      </c>
      <c r="I1015">
        <v>6.9773509843535003E-2</v>
      </c>
      <c r="J1015">
        <v>8.6564453164057101E-2</v>
      </c>
      <c r="K1015">
        <v>9.92677686687473E-2</v>
      </c>
      <c r="L1015">
        <v>670.98138366816897</v>
      </c>
      <c r="M1015">
        <v>12.9038667239479</v>
      </c>
      <c r="N1015">
        <v>51.998464324769898</v>
      </c>
      <c r="O1015">
        <v>50.797149229760201</v>
      </c>
      <c r="P1015">
        <v>-6.3518393215665103E-2</v>
      </c>
      <c r="Q1015">
        <v>0</v>
      </c>
      <c r="R1015">
        <v>0.89147535377227505</v>
      </c>
      <c r="S1015" t="s">
        <v>7685</v>
      </c>
      <c r="T1015" t="s">
        <v>13338</v>
      </c>
      <c r="U1015" t="s">
        <v>13338</v>
      </c>
      <c r="V1015" t="s">
        <v>13338</v>
      </c>
      <c r="W1015" t="s">
        <v>14327</v>
      </c>
      <c r="X1015">
        <v>9</v>
      </c>
      <c r="Y1015" t="s">
        <v>20929</v>
      </c>
      <c r="Z1015" t="s">
        <v>27430</v>
      </c>
      <c r="AA1015">
        <v>0.42774914367043138</v>
      </c>
      <c r="AB1015" t="str">
        <f>HYPERLINK("Melting_Curves/meltCurve_I3L3A8_PELP1.pdf", "Melting_Curves/meltCurve_I3L3A8_PELP1.pdf")</f>
        <v>Melting_Curves/meltCurve_I3L3A8_PELP1.pdf</v>
      </c>
    </row>
    <row r="1016" spans="1:28" x14ac:dyDescent="0.25">
      <c r="A1016" t="s">
        <v>1020</v>
      </c>
      <c r="B1016">
        <v>0.99193492352474899</v>
      </c>
      <c r="C1016">
        <v>0.998379751200004</v>
      </c>
      <c r="D1016">
        <v>1.3761775252573201</v>
      </c>
      <c r="E1016">
        <v>0.70869944627220804</v>
      </c>
      <c r="F1016">
        <v>0.375332650479477</v>
      </c>
      <c r="G1016">
        <v>0.25770176861580302</v>
      </c>
      <c r="H1016">
        <v>0.21707639597484199</v>
      </c>
      <c r="I1016">
        <v>0.32838836070094402</v>
      </c>
      <c r="J1016">
        <v>0.31575009944437998</v>
      </c>
      <c r="K1016">
        <v>0.41479479412731901</v>
      </c>
      <c r="L1016">
        <v>6765.5667814885201</v>
      </c>
      <c r="M1016">
        <v>136.10902663524601</v>
      </c>
      <c r="N1016">
        <v>50.079113206789501</v>
      </c>
      <c r="O1016">
        <v>49.696238662551202</v>
      </c>
      <c r="P1016">
        <v>-0.46686272896120501</v>
      </c>
      <c r="Q1016">
        <v>0.31815482766893599</v>
      </c>
      <c r="R1016">
        <v>0.88237711441912303</v>
      </c>
      <c r="S1016" t="s">
        <v>7686</v>
      </c>
      <c r="T1016" t="s">
        <v>13338</v>
      </c>
      <c r="U1016" t="s">
        <v>13338</v>
      </c>
      <c r="V1016" t="s">
        <v>13338</v>
      </c>
      <c r="W1016" t="s">
        <v>14328</v>
      </c>
      <c r="X1016">
        <v>1</v>
      </c>
      <c r="Y1016" t="s">
        <v>20930</v>
      </c>
      <c r="Z1016" t="s">
        <v>27431</v>
      </c>
      <c r="AA1016">
        <v>0.53897720373544999</v>
      </c>
      <c r="AB1016" t="str">
        <f>HYPERLINK("Melting_Curves/meltCurve_I3L3K5_CTDNEP1.pdf", "Melting_Curves/meltCurve_I3L3K5_CTDNEP1.pdf")</f>
        <v>Melting_Curves/meltCurve_I3L3K5_CTDNEP1.pdf</v>
      </c>
    </row>
    <row r="1017" spans="1:28" x14ac:dyDescent="0.25">
      <c r="A1017" t="s">
        <v>1021</v>
      </c>
      <c r="B1017">
        <v>0.99193492352474899</v>
      </c>
      <c r="C1017">
        <v>0.89531243555450202</v>
      </c>
      <c r="D1017">
        <v>0.57176762895664601</v>
      </c>
      <c r="E1017">
        <v>0.37680578202381398</v>
      </c>
      <c r="F1017">
        <v>0.40997975601685399</v>
      </c>
      <c r="G1017">
        <v>0.192192950433339</v>
      </c>
      <c r="H1017">
        <v>0.15785238643077201</v>
      </c>
      <c r="I1017">
        <v>0</v>
      </c>
      <c r="J1017">
        <v>0.184704864985444</v>
      </c>
      <c r="K1017">
        <v>0</v>
      </c>
      <c r="L1017">
        <v>569.32037637300505</v>
      </c>
      <c r="M1017">
        <v>11.791982668482399</v>
      </c>
      <c r="N1017">
        <v>48.711264333977297</v>
      </c>
      <c r="O1017">
        <v>46.954553628438497</v>
      </c>
      <c r="P1017">
        <v>-5.9689399044566903E-2</v>
      </c>
      <c r="Q1017">
        <v>4.9535123397343499E-2</v>
      </c>
      <c r="R1017">
        <v>0.94096183307650405</v>
      </c>
      <c r="S1017" t="s">
        <v>7687</v>
      </c>
      <c r="T1017" t="s">
        <v>13338</v>
      </c>
      <c r="U1017" t="s">
        <v>13338</v>
      </c>
      <c r="V1017" t="s">
        <v>13338</v>
      </c>
      <c r="W1017" t="s">
        <v>14329</v>
      </c>
      <c r="X1017">
        <v>1</v>
      </c>
      <c r="Y1017" t="s">
        <v>20931</v>
      </c>
      <c r="Z1017" t="s">
        <v>27432</v>
      </c>
      <c r="AA1017">
        <v>0.34951675539036992</v>
      </c>
      <c r="AB1017" t="str">
        <f>HYPERLINK("Melting_Curves/meltCurve_I3L413_CCNE1.pdf", "Melting_Curves/meltCurve_I3L413_CCNE1.pdf")</f>
        <v>Melting_Curves/meltCurve_I3L413_CCNE1.pdf</v>
      </c>
    </row>
    <row r="1018" spans="1:28" x14ac:dyDescent="0.25">
      <c r="A1018" t="s">
        <v>1022</v>
      </c>
      <c r="B1018">
        <v>0.99193492352474899</v>
      </c>
      <c r="C1018">
        <v>0.84729728400863902</v>
      </c>
      <c r="D1018">
        <v>0.87623703903362604</v>
      </c>
      <c r="E1018">
        <v>0.64833367009361897</v>
      </c>
      <c r="F1018">
        <v>0.43822538287291102</v>
      </c>
      <c r="G1018">
        <v>0.23182437870986</v>
      </c>
      <c r="H1018">
        <v>0.175498306894077</v>
      </c>
      <c r="I1018">
        <v>0.13046760943105201</v>
      </c>
      <c r="J1018">
        <v>0.12083763082119001</v>
      </c>
      <c r="K1018">
        <v>0.13907293916229499</v>
      </c>
      <c r="L1018">
        <v>719.59780596906501</v>
      </c>
      <c r="M1018">
        <v>14.091540614151199</v>
      </c>
      <c r="N1018">
        <v>51.809546534016299</v>
      </c>
      <c r="O1018">
        <v>50.070529508544702</v>
      </c>
      <c r="P1018">
        <v>-6.3925036486024697E-2</v>
      </c>
      <c r="Q1018">
        <v>9.1554953828287405E-2</v>
      </c>
      <c r="R1018">
        <v>0.98831879648835796</v>
      </c>
      <c r="S1018" t="s">
        <v>7688</v>
      </c>
      <c r="T1018" t="s">
        <v>13338</v>
      </c>
      <c r="U1018" t="s">
        <v>13338</v>
      </c>
      <c r="V1018" t="s">
        <v>13338</v>
      </c>
      <c r="W1018" t="s">
        <v>14330</v>
      </c>
      <c r="X1018">
        <v>4</v>
      </c>
      <c r="Y1018" t="s">
        <v>20932</v>
      </c>
      <c r="Z1018" t="s">
        <v>27433</v>
      </c>
      <c r="AA1018">
        <v>0.44981937827580848</v>
      </c>
      <c r="AB1018" t="str">
        <f>HYPERLINK("Melting_Curves/meltCurve_I3L448_ATPAF1.pdf", "Melting_Curves/meltCurve_I3L448_ATPAF1.pdf")</f>
        <v>Melting_Curves/meltCurve_I3L448_ATPAF1.pdf</v>
      </c>
    </row>
    <row r="1019" spans="1:28" x14ac:dyDescent="0.25">
      <c r="A1019" t="s">
        <v>1023</v>
      </c>
      <c r="B1019">
        <v>0.99193492352474899</v>
      </c>
      <c r="C1019">
        <v>0.66026889569019298</v>
      </c>
      <c r="D1019">
        <v>0.85770388132654796</v>
      </c>
      <c r="E1019">
        <v>0.535573246253226</v>
      </c>
      <c r="F1019">
        <v>0.49122028869804202</v>
      </c>
      <c r="G1019">
        <v>0.26126505390871402</v>
      </c>
      <c r="H1019">
        <v>0.32886433924807601</v>
      </c>
      <c r="I1019">
        <v>0.88079028234235801</v>
      </c>
      <c r="J1019">
        <v>1.1045420180835199</v>
      </c>
      <c r="K1019">
        <v>1.2475465312153</v>
      </c>
      <c r="L1019">
        <v>10142.503540817699</v>
      </c>
      <c r="M1019">
        <v>250</v>
      </c>
      <c r="O1019">
        <v>40.567413595625197</v>
      </c>
      <c r="P1019">
        <v>-0.450591785170319</v>
      </c>
      <c r="Q1019">
        <v>0.70753047589795803</v>
      </c>
      <c r="R1019">
        <v>7.3108862085211695E-2</v>
      </c>
      <c r="S1019" t="s">
        <v>7689</v>
      </c>
      <c r="T1019" t="s">
        <v>13338</v>
      </c>
      <c r="U1019" t="s">
        <v>13338</v>
      </c>
      <c r="V1019" t="s">
        <v>13338</v>
      </c>
      <c r="W1019" t="s">
        <v>14331</v>
      </c>
      <c r="X1019">
        <v>15</v>
      </c>
      <c r="Y1019" t="s">
        <v>20933</v>
      </c>
      <c r="Z1019" t="s">
        <v>27434</v>
      </c>
      <c r="AA1019">
        <v>0.71315103737832619</v>
      </c>
      <c r="AB1019" t="str">
        <f>HYPERLINK("Melting_Curves/meltCurve_I3L4C3_SPAG7.pdf", "Melting_Curves/meltCurve_I3L4C3_SPAG7.pdf")</f>
        <v>Melting_Curves/meltCurve_I3L4C3_SPAG7.pdf</v>
      </c>
    </row>
    <row r="1020" spans="1:28" x14ac:dyDescent="0.25">
      <c r="A1020" t="s">
        <v>1024</v>
      </c>
      <c r="B1020">
        <v>0.99193492352474899</v>
      </c>
      <c r="C1020">
        <v>0.393926743540428</v>
      </c>
      <c r="D1020">
        <v>0.44022351709238899</v>
      </c>
      <c r="E1020">
        <v>0.14569911054204501</v>
      </c>
      <c r="F1020">
        <v>0.140578994676509</v>
      </c>
      <c r="G1020">
        <v>8.75845021925198E-2</v>
      </c>
      <c r="H1020">
        <v>8.9691717540148194E-2</v>
      </c>
      <c r="I1020">
        <v>9.9497283395128297E-2</v>
      </c>
      <c r="J1020">
        <v>8.8237703306530899E-2</v>
      </c>
      <c r="K1020">
        <v>0.16526255448435001</v>
      </c>
      <c r="L1020">
        <v>918.57763851876496</v>
      </c>
      <c r="M1020">
        <v>21.377209202259099</v>
      </c>
      <c r="N1020">
        <v>43.5044964362435</v>
      </c>
      <c r="O1020">
        <v>42.599232433417903</v>
      </c>
      <c r="P1020">
        <v>-0.11096855054091399</v>
      </c>
      <c r="Q1020">
        <v>0.11549601967803599</v>
      </c>
      <c r="R1020">
        <v>0.89386015073848901</v>
      </c>
      <c r="S1020" t="s">
        <v>7690</v>
      </c>
      <c r="T1020" t="s">
        <v>13338</v>
      </c>
      <c r="U1020" t="s">
        <v>13338</v>
      </c>
      <c r="V1020" t="s">
        <v>13338</v>
      </c>
      <c r="W1020" t="s">
        <v>14332</v>
      </c>
      <c r="X1020">
        <v>2</v>
      </c>
      <c r="Y1020" t="s">
        <v>20934</v>
      </c>
      <c r="Z1020" t="s">
        <v>27435</v>
      </c>
      <c r="AA1020">
        <v>0.22121224279793089</v>
      </c>
      <c r="AB1020" t="str">
        <f>HYPERLINK("Melting_Curves/meltCurve_I3L4J3_KANSL1.pdf", "Melting_Curves/meltCurve_I3L4J3_KANSL1.pdf")</f>
        <v>Melting_Curves/meltCurve_I3L4J3_KANSL1.pdf</v>
      </c>
    </row>
    <row r="1021" spans="1:28" x14ac:dyDescent="0.25">
      <c r="A1021" t="s">
        <v>1025</v>
      </c>
      <c r="B1021">
        <v>0.99193492352474899</v>
      </c>
      <c r="C1021">
        <v>0.81689857968679702</v>
      </c>
      <c r="D1021">
        <v>0.77635494052836995</v>
      </c>
      <c r="E1021">
        <v>0.254712365809525</v>
      </c>
      <c r="F1021">
        <v>0.15021045055068699</v>
      </c>
      <c r="G1021">
        <v>8.8954532847901904E-2</v>
      </c>
      <c r="H1021">
        <v>6.8399763038164405E-2</v>
      </c>
      <c r="I1021">
        <v>9.3754884038246597E-2</v>
      </c>
      <c r="J1021">
        <v>6.3323030832881905E-2</v>
      </c>
      <c r="K1021">
        <v>7.5057218803952094E-2</v>
      </c>
      <c r="L1021">
        <v>1161.2114500682001</v>
      </c>
      <c r="M1021">
        <v>24.498005902917701</v>
      </c>
      <c r="N1021">
        <v>47.703817581248202</v>
      </c>
      <c r="O1021">
        <v>47.087787336925501</v>
      </c>
      <c r="P1021">
        <v>-0.120679296023654</v>
      </c>
      <c r="Q1021">
        <v>7.2179469451942396E-2</v>
      </c>
      <c r="R1021">
        <v>0.98141038142422299</v>
      </c>
      <c r="S1021" t="s">
        <v>7691</v>
      </c>
      <c r="T1021" t="s">
        <v>13338</v>
      </c>
      <c r="U1021" t="s">
        <v>13338</v>
      </c>
      <c r="V1021" t="s">
        <v>13338</v>
      </c>
      <c r="W1021" t="s">
        <v>14333</v>
      </c>
      <c r="X1021">
        <v>2</v>
      </c>
      <c r="Y1021" t="s">
        <v>20935</v>
      </c>
      <c r="Z1021" t="s">
        <v>27436</v>
      </c>
      <c r="AA1021">
        <v>0.30965330109043959</v>
      </c>
      <c r="AB1021" t="str">
        <f>HYPERLINK("Melting_Curves/meltCurve_I3L4X3_NFKBIB.pdf", "Melting_Curves/meltCurve_I3L4X3_NFKBIB.pdf")</f>
        <v>Melting_Curves/meltCurve_I3L4X3_NFKBIB.pdf</v>
      </c>
    </row>
    <row r="1022" spans="1:28" x14ac:dyDescent="0.25">
      <c r="A1022" t="s">
        <v>1026</v>
      </c>
      <c r="B1022">
        <v>0.99193492352474899</v>
      </c>
      <c r="C1022">
        <v>0.61468993306695296</v>
      </c>
      <c r="D1022">
        <v>0.77939277910851701</v>
      </c>
      <c r="E1022">
        <v>0.58974313667754397</v>
      </c>
      <c r="F1022">
        <v>0.52371762088775997</v>
      </c>
      <c r="G1022">
        <v>0.34036029221772901</v>
      </c>
      <c r="H1022">
        <v>0.16178010489139399</v>
      </c>
      <c r="I1022">
        <v>0.100560173115359</v>
      </c>
      <c r="J1022">
        <v>0.12599817438550501</v>
      </c>
      <c r="K1022">
        <v>0.10964103725359201</v>
      </c>
      <c r="L1022">
        <v>412.830079845961</v>
      </c>
      <c r="M1022">
        <v>8.0347431574051207</v>
      </c>
      <c r="N1022">
        <v>51.380614861557</v>
      </c>
      <c r="O1022">
        <v>48.491087680055301</v>
      </c>
      <c r="P1022">
        <v>-4.1469910748531499E-2</v>
      </c>
      <c r="Q1022">
        <v>0</v>
      </c>
      <c r="R1022">
        <v>0.915354173582685</v>
      </c>
      <c r="S1022" t="s">
        <v>7692</v>
      </c>
      <c r="T1022" t="s">
        <v>13338</v>
      </c>
      <c r="U1022" t="s">
        <v>13338</v>
      </c>
      <c r="V1022" t="s">
        <v>13338</v>
      </c>
      <c r="W1022" t="s">
        <v>14334</v>
      </c>
      <c r="X1022">
        <v>3</v>
      </c>
      <c r="Y1022" t="s">
        <v>20936</v>
      </c>
      <c r="Z1022" t="s">
        <v>27437</v>
      </c>
      <c r="AA1022">
        <v>0.43014653729336599</v>
      </c>
      <c r="AB1022" t="str">
        <f>HYPERLINK("Melting_Curves/meltCurve_J3KMW4_CENPI.pdf", "Melting_Curves/meltCurve_J3KMW4_CENPI.pdf")</f>
        <v>Melting_Curves/meltCurve_J3KMW4_CENPI.pdf</v>
      </c>
    </row>
    <row r="1023" spans="1:28" x14ac:dyDescent="0.25">
      <c r="A1023" t="s">
        <v>1027</v>
      </c>
      <c r="B1023">
        <v>0.99193492352474899</v>
      </c>
      <c r="C1023">
        <v>0.74743648699266096</v>
      </c>
      <c r="D1023">
        <v>0.614058421541262</v>
      </c>
      <c r="E1023">
        <v>0.39094183440994501</v>
      </c>
      <c r="F1023">
        <v>0.31947067901259402</v>
      </c>
      <c r="G1023">
        <v>0.198125855987526</v>
      </c>
      <c r="H1023">
        <v>0.130128301639616</v>
      </c>
      <c r="I1023">
        <v>0.13896357833401199</v>
      </c>
      <c r="J1023">
        <v>0.16601469628961399</v>
      </c>
      <c r="K1023">
        <v>9.2543075977827099E-2</v>
      </c>
      <c r="L1023">
        <v>603.18525103269997</v>
      </c>
      <c r="M1023">
        <v>12.847961598392001</v>
      </c>
      <c r="N1023">
        <v>47.891127118856502</v>
      </c>
      <c r="O1023">
        <v>45.854211301533901</v>
      </c>
      <c r="P1023">
        <v>-6.2229602310189799E-2</v>
      </c>
      <c r="Q1023">
        <v>0.111777950878773</v>
      </c>
      <c r="R1023">
        <v>0.98347869583136205</v>
      </c>
      <c r="S1023" t="s">
        <v>7693</v>
      </c>
      <c r="T1023" t="s">
        <v>13338</v>
      </c>
      <c r="U1023" t="s">
        <v>13338</v>
      </c>
      <c r="V1023" t="s">
        <v>13338</v>
      </c>
      <c r="W1023" t="s">
        <v>14335</v>
      </c>
      <c r="X1023">
        <v>2</v>
      </c>
      <c r="Y1023" t="s">
        <v>20937</v>
      </c>
      <c r="Z1023" t="s">
        <v>27438</v>
      </c>
      <c r="AA1023">
        <v>0.35043238706851432</v>
      </c>
      <c r="AB1023" t="str">
        <f>HYPERLINK("Melting_Curves/meltCurve_J3KMW7_UBR5.pdf", "Melting_Curves/meltCurve_J3KMW7_UBR5.pdf")</f>
        <v>Melting_Curves/meltCurve_J3KMW7_UBR5.pdf</v>
      </c>
    </row>
    <row r="1024" spans="1:28" x14ac:dyDescent="0.25">
      <c r="A1024" t="s">
        <v>1028</v>
      </c>
      <c r="B1024">
        <v>0.99193492352474899</v>
      </c>
      <c r="C1024">
        <v>0.92272090497653703</v>
      </c>
      <c r="D1024">
        <v>0.79312984126146802</v>
      </c>
      <c r="E1024">
        <v>0.40801649598435402</v>
      </c>
      <c r="F1024">
        <v>0.12625075213464301</v>
      </c>
      <c r="G1024">
        <v>7.5088931924966504E-2</v>
      </c>
      <c r="H1024">
        <v>4.6323328322171099E-2</v>
      </c>
      <c r="I1024">
        <v>5.9819927420373502E-2</v>
      </c>
      <c r="J1024">
        <v>7.3748662559793093E-2</v>
      </c>
      <c r="K1024">
        <v>8.4875718821680102E-2</v>
      </c>
      <c r="L1024">
        <v>1172.0028347944899</v>
      </c>
      <c r="M1024">
        <v>24.228285814571301</v>
      </c>
      <c r="N1024">
        <v>48.621016663594197</v>
      </c>
      <c r="O1024">
        <v>48.047384756169699</v>
      </c>
      <c r="P1024">
        <v>-0.118747503559627</v>
      </c>
      <c r="Q1024">
        <v>5.8056058498298299E-2</v>
      </c>
      <c r="R1024">
        <v>0.99742798482843598</v>
      </c>
      <c r="S1024" t="s">
        <v>7694</v>
      </c>
      <c r="T1024" t="s">
        <v>13338</v>
      </c>
      <c r="U1024" t="s">
        <v>13338</v>
      </c>
      <c r="V1024" t="s">
        <v>13338</v>
      </c>
      <c r="W1024" t="s">
        <v>14336</v>
      </c>
      <c r="X1024">
        <v>11</v>
      </c>
      <c r="Y1024" t="s">
        <v>20938</v>
      </c>
      <c r="Z1024" t="s">
        <v>27439</v>
      </c>
      <c r="AA1024">
        <v>0.32985413421200482</v>
      </c>
      <c r="AB1024" t="str">
        <f>HYPERLINK("Melting_Curves/meltCurve_J3KMW8_CACTIN.pdf", "Melting_Curves/meltCurve_J3KMW8_CACTIN.pdf")</f>
        <v>Melting_Curves/meltCurve_J3KMW8_CACTIN.pdf</v>
      </c>
    </row>
    <row r="1025" spans="1:28" x14ac:dyDescent="0.25">
      <c r="A1025" t="s">
        <v>1029</v>
      </c>
      <c r="B1025">
        <v>0.99193492352474899</v>
      </c>
      <c r="C1025">
        <v>0.63590936325289305</v>
      </c>
      <c r="D1025">
        <v>0.53330125586569299</v>
      </c>
      <c r="E1025">
        <v>0.16587448002830599</v>
      </c>
      <c r="F1025">
        <v>0.129708101449585</v>
      </c>
      <c r="G1025">
        <v>7.4595312655169305E-2</v>
      </c>
      <c r="H1025">
        <v>5.1927720420341703E-2</v>
      </c>
      <c r="I1025">
        <v>5.10257257151547E-2</v>
      </c>
      <c r="J1025">
        <v>7.8775732986236094E-2</v>
      </c>
      <c r="K1025">
        <v>7.9041883071792399E-2</v>
      </c>
      <c r="L1025">
        <v>806.13913506042297</v>
      </c>
      <c r="M1025">
        <v>17.8578814751774</v>
      </c>
      <c r="N1025">
        <v>45.4567990888157</v>
      </c>
      <c r="O1025">
        <v>44.587269699100801</v>
      </c>
      <c r="P1025">
        <v>-9.4308281606229102E-2</v>
      </c>
      <c r="Q1025">
        <v>5.81783758158326E-2</v>
      </c>
      <c r="R1025">
        <v>0.97269773644641699</v>
      </c>
      <c r="S1025" t="s">
        <v>7695</v>
      </c>
      <c r="T1025" t="s">
        <v>13338</v>
      </c>
      <c r="U1025" t="s">
        <v>13338</v>
      </c>
      <c r="V1025" t="s">
        <v>13338</v>
      </c>
      <c r="W1025" t="s">
        <v>14337</v>
      </c>
      <c r="X1025">
        <v>10</v>
      </c>
      <c r="Y1025" t="s">
        <v>20939</v>
      </c>
      <c r="Z1025" t="s">
        <v>27440</v>
      </c>
      <c r="AA1025">
        <v>0.2399637920085389</v>
      </c>
      <c r="AB1025" t="str">
        <f>HYPERLINK("Melting_Curves/meltCurve_J3KMX2_SMARCD2.pdf", "Melting_Curves/meltCurve_J3KMX2_SMARCD2.pdf")</f>
        <v>Melting_Curves/meltCurve_J3KMX2_SMARCD2.pdf</v>
      </c>
    </row>
    <row r="1026" spans="1:28" x14ac:dyDescent="0.25">
      <c r="A1026" t="s">
        <v>1030</v>
      </c>
      <c r="B1026">
        <v>0.99193492352474899</v>
      </c>
      <c r="C1026">
        <v>0.80505988746657497</v>
      </c>
      <c r="D1026">
        <v>0.980552730426551</v>
      </c>
      <c r="E1026">
        <v>0.74466629360938397</v>
      </c>
      <c r="F1026">
        <v>0.80231705349737004</v>
      </c>
      <c r="G1026">
        <v>0.47670332117583197</v>
      </c>
      <c r="H1026">
        <v>0.46743742057515802</v>
      </c>
      <c r="I1026">
        <v>0.48262447188032898</v>
      </c>
      <c r="J1026">
        <v>0.70625667648368295</v>
      </c>
      <c r="K1026">
        <v>0.67268393694931095</v>
      </c>
      <c r="L1026">
        <v>824.56314825594404</v>
      </c>
      <c r="M1026">
        <v>16.648360285105301</v>
      </c>
      <c r="O1026">
        <v>48.830144282231601</v>
      </c>
      <c r="P1026">
        <v>-3.70255507283122E-2</v>
      </c>
      <c r="Q1026">
        <v>0.56564090355358199</v>
      </c>
      <c r="R1026">
        <v>0.64192984734316405</v>
      </c>
      <c r="S1026" t="s">
        <v>7696</v>
      </c>
      <c r="T1026" t="s">
        <v>13338</v>
      </c>
      <c r="U1026" t="s">
        <v>13338</v>
      </c>
      <c r="V1026" t="s">
        <v>13338</v>
      </c>
      <c r="W1026" t="s">
        <v>14338</v>
      </c>
      <c r="X1026">
        <v>9</v>
      </c>
      <c r="Y1026" t="s">
        <v>20940</v>
      </c>
      <c r="Z1026" t="s">
        <v>27441</v>
      </c>
      <c r="AA1026">
        <v>0.71225972408011962</v>
      </c>
      <c r="AB1026" t="str">
        <f>HYPERLINK("Melting_Curves/meltCurve_J3KMY5_NPC2.pdf", "Melting_Curves/meltCurve_J3KMY5_NPC2.pdf")</f>
        <v>Melting_Curves/meltCurve_J3KMY5_NPC2.pdf</v>
      </c>
    </row>
    <row r="1027" spans="1:28" x14ac:dyDescent="0.25">
      <c r="A1027" t="s">
        <v>1031</v>
      </c>
      <c r="B1027">
        <v>0.99193492352474899</v>
      </c>
      <c r="C1027">
        <v>0.91624953901592499</v>
      </c>
      <c r="D1027">
        <v>0.88250772464647897</v>
      </c>
      <c r="E1027">
        <v>0.605768512305493</v>
      </c>
      <c r="F1027">
        <v>0.30728170848987502</v>
      </c>
      <c r="G1027">
        <v>0.19438869062643199</v>
      </c>
      <c r="H1027">
        <v>0.103243612345968</v>
      </c>
      <c r="I1027">
        <v>0.150494956703976</v>
      </c>
      <c r="J1027">
        <v>0.19060080907162</v>
      </c>
      <c r="K1027">
        <v>0.253569619060802</v>
      </c>
      <c r="L1027">
        <v>1165.84663637259</v>
      </c>
      <c r="M1027">
        <v>23.482863985662402</v>
      </c>
      <c r="N1027">
        <v>50.524981562111101</v>
      </c>
      <c r="O1027">
        <v>49.290870504787001</v>
      </c>
      <c r="P1027">
        <v>-9.9145946772490903E-2</v>
      </c>
      <c r="Q1027">
        <v>0.16757925961655801</v>
      </c>
      <c r="R1027">
        <v>0.98357644630808805</v>
      </c>
      <c r="S1027" t="s">
        <v>7697</v>
      </c>
      <c r="T1027" t="s">
        <v>13338</v>
      </c>
      <c r="U1027" t="s">
        <v>13338</v>
      </c>
      <c r="V1027" t="s">
        <v>13338</v>
      </c>
      <c r="W1027" t="s">
        <v>14339</v>
      </c>
      <c r="X1027">
        <v>6</v>
      </c>
      <c r="Y1027" t="s">
        <v>20941</v>
      </c>
      <c r="Z1027" t="s">
        <v>27442</v>
      </c>
      <c r="AA1027">
        <v>0.44366567319225469</v>
      </c>
      <c r="AB1027" t="str">
        <f>HYPERLINK("Melting_Curves/meltCurve_J3KMZ7_INTS2.pdf", "Melting_Curves/meltCurve_J3KMZ7_INTS2.pdf")</f>
        <v>Melting_Curves/meltCurve_J3KMZ7_INTS2.pdf</v>
      </c>
    </row>
    <row r="1028" spans="1:28" x14ac:dyDescent="0.25">
      <c r="A1028" t="s">
        <v>1032</v>
      </c>
      <c r="B1028">
        <v>0.99193492352474899</v>
      </c>
      <c r="C1028">
        <v>1.081064215497</v>
      </c>
      <c r="D1028">
        <v>1.02058811872651</v>
      </c>
      <c r="E1028">
        <v>0.74871611135823501</v>
      </c>
      <c r="F1028">
        <v>0.61730453733147495</v>
      </c>
      <c r="G1028">
        <v>0.42955037848192601</v>
      </c>
      <c r="H1028">
        <v>0.27082655402310402</v>
      </c>
      <c r="I1028">
        <v>0.27450864226661298</v>
      </c>
      <c r="J1028">
        <v>0.279613996064139</v>
      </c>
      <c r="K1028">
        <v>0.26943764037260398</v>
      </c>
      <c r="L1028">
        <v>991.00592156786195</v>
      </c>
      <c r="M1028">
        <v>18.8285002009642</v>
      </c>
      <c r="N1028">
        <v>54.706097473179398</v>
      </c>
      <c r="O1028">
        <v>52.050372889572998</v>
      </c>
      <c r="P1028">
        <v>-6.7374841111747005E-2</v>
      </c>
      <c r="Q1028">
        <v>0.255014583283456</v>
      </c>
      <c r="R1028">
        <v>0.97960926144278404</v>
      </c>
      <c r="S1028" t="s">
        <v>7698</v>
      </c>
      <c r="T1028" t="s">
        <v>13338</v>
      </c>
      <c r="U1028" t="s">
        <v>13338</v>
      </c>
      <c r="V1028" t="s">
        <v>13338</v>
      </c>
      <c r="W1028" t="s">
        <v>14340</v>
      </c>
      <c r="X1028">
        <v>10</v>
      </c>
      <c r="Y1028" t="s">
        <v>20942</v>
      </c>
      <c r="Z1028" t="s">
        <v>27443</v>
      </c>
      <c r="AA1028">
        <v>0.58012867862256035</v>
      </c>
      <c r="AB1028" t="str">
        <f>HYPERLINK("Melting_Curves/meltCurve_J3KMZ9_LDLR.pdf", "Melting_Curves/meltCurve_J3KMZ9_LDLR.pdf")</f>
        <v>Melting_Curves/meltCurve_J3KMZ9_LDLR.pdf</v>
      </c>
    </row>
    <row r="1029" spans="1:28" x14ac:dyDescent="0.25">
      <c r="A1029" t="s">
        <v>1033</v>
      </c>
      <c r="B1029">
        <v>0.99193492352474899</v>
      </c>
      <c r="C1029">
        <v>1.00983699812631</v>
      </c>
      <c r="D1029">
        <v>1.0536328419307399</v>
      </c>
      <c r="E1029">
        <v>0.82006624187530797</v>
      </c>
      <c r="F1029">
        <v>0.30664304032601603</v>
      </c>
      <c r="G1029">
        <v>0.244801547321609</v>
      </c>
      <c r="H1029">
        <v>0.194250254922918</v>
      </c>
      <c r="I1029">
        <v>0.26548573915582102</v>
      </c>
      <c r="J1029">
        <v>0.23040772231478401</v>
      </c>
      <c r="K1029">
        <v>0.22076303176828099</v>
      </c>
      <c r="L1029">
        <v>2547.1732619263298</v>
      </c>
      <c r="M1029">
        <v>50.141930291232299</v>
      </c>
      <c r="N1029">
        <v>51.434447725943897</v>
      </c>
      <c r="O1029">
        <v>50.718660453662999</v>
      </c>
      <c r="P1029">
        <v>-0.19010843264383301</v>
      </c>
      <c r="Q1029">
        <v>0.23082044243344099</v>
      </c>
      <c r="R1029">
        <v>0.99517681996766505</v>
      </c>
      <c r="S1029" t="s">
        <v>7699</v>
      </c>
      <c r="T1029" t="s">
        <v>13338</v>
      </c>
      <c r="U1029" t="s">
        <v>13338</v>
      </c>
      <c r="V1029" t="s">
        <v>13338</v>
      </c>
      <c r="W1029" t="s">
        <v>14341</v>
      </c>
      <c r="X1029">
        <v>3</v>
      </c>
      <c r="Y1029" t="s">
        <v>20943</v>
      </c>
      <c r="Z1029" t="s">
        <v>27444</v>
      </c>
      <c r="AA1029">
        <v>0.50941999542658101</v>
      </c>
      <c r="AB1029" t="str">
        <f>HYPERLINK("Melting_Curves/meltCurve_J3KN10_PI4KA.pdf", "Melting_Curves/meltCurve_J3KN10_PI4KA.pdf")</f>
        <v>Melting_Curves/meltCurve_J3KN10_PI4KA.pdf</v>
      </c>
    </row>
    <row r="1030" spans="1:28" x14ac:dyDescent="0.25">
      <c r="A1030" t="s">
        <v>1034</v>
      </c>
      <c r="B1030">
        <v>0.99193492352474899</v>
      </c>
      <c r="C1030">
        <v>0.92116953635577103</v>
      </c>
      <c r="D1030">
        <v>0.90085754399450202</v>
      </c>
      <c r="E1030">
        <v>0.30581637787416699</v>
      </c>
      <c r="F1030">
        <v>0.16459456145877399</v>
      </c>
      <c r="G1030">
        <v>0.10085795224680601</v>
      </c>
      <c r="H1030">
        <v>7.8155078682847101E-2</v>
      </c>
      <c r="I1030">
        <v>8.2235632324939606E-2</v>
      </c>
      <c r="J1030">
        <v>0.105433585796732</v>
      </c>
      <c r="K1030">
        <v>0.107550822839433</v>
      </c>
      <c r="L1030">
        <v>1943.11737538331</v>
      </c>
      <c r="M1030">
        <v>40.323561089445498</v>
      </c>
      <c r="N1030">
        <v>48.4605198756189</v>
      </c>
      <c r="O1030">
        <v>48.070078220940303</v>
      </c>
      <c r="P1030">
        <v>-0.18844965052374099</v>
      </c>
      <c r="Q1030">
        <v>0.101391739545625</v>
      </c>
      <c r="R1030">
        <v>0.99384024779605495</v>
      </c>
      <c r="S1030" t="s">
        <v>7700</v>
      </c>
      <c r="T1030" t="s">
        <v>13338</v>
      </c>
      <c r="U1030" t="s">
        <v>13338</v>
      </c>
      <c r="V1030" t="s">
        <v>13338</v>
      </c>
      <c r="W1030" t="s">
        <v>14342</v>
      </c>
      <c r="X1030">
        <v>21</v>
      </c>
      <c r="Y1030" t="s">
        <v>20944</v>
      </c>
      <c r="Z1030" t="s">
        <v>27445</v>
      </c>
      <c r="AA1030">
        <v>0.34960770143105813</v>
      </c>
      <c r="AB1030" t="str">
        <f>HYPERLINK("Melting_Curves/meltCurve_J3KN16_KIAA0368.pdf", "Melting_Curves/meltCurve_J3KN16_KIAA0368.pdf")</f>
        <v>Melting_Curves/meltCurve_J3KN16_KIAA0368.pdf</v>
      </c>
    </row>
    <row r="1031" spans="1:28" x14ac:dyDescent="0.25">
      <c r="A1031" t="s">
        <v>1035</v>
      </c>
      <c r="B1031">
        <v>0.99193492352474899</v>
      </c>
      <c r="C1031">
        <v>0.89495225943094103</v>
      </c>
      <c r="D1031">
        <v>0.72929374111352896</v>
      </c>
      <c r="E1031">
        <v>0.46384563837755399</v>
      </c>
      <c r="F1031">
        <v>0.24846849046285599</v>
      </c>
      <c r="G1031">
        <v>0.16525636344276201</v>
      </c>
      <c r="H1031">
        <v>0.17478034087045299</v>
      </c>
      <c r="I1031">
        <v>0.28700919246953499</v>
      </c>
      <c r="J1031">
        <v>0.38602861257376297</v>
      </c>
      <c r="K1031">
        <v>0.487357675698805</v>
      </c>
      <c r="L1031">
        <v>1213.38660211466</v>
      </c>
      <c r="M1031">
        <v>25.9386648811053</v>
      </c>
      <c r="N1031">
        <v>48.406994560971697</v>
      </c>
      <c r="O1031">
        <v>46.503668747208202</v>
      </c>
      <c r="P1031">
        <v>-9.8865807675465101E-2</v>
      </c>
      <c r="Q1031">
        <v>0.29100886204140097</v>
      </c>
      <c r="R1031">
        <v>0.88852817627173097</v>
      </c>
      <c r="S1031" t="s">
        <v>7701</v>
      </c>
      <c r="T1031" t="s">
        <v>13338</v>
      </c>
      <c r="U1031" t="s">
        <v>13338</v>
      </c>
      <c r="V1031" t="s">
        <v>13338</v>
      </c>
      <c r="W1031" t="s">
        <v>14343</v>
      </c>
      <c r="X1031">
        <v>6</v>
      </c>
      <c r="Y1031" t="s">
        <v>20945</v>
      </c>
      <c r="Z1031" t="s">
        <v>27446</v>
      </c>
      <c r="AA1031">
        <v>0.45708004833325938</v>
      </c>
      <c r="AB1031" t="str">
        <f>HYPERLINK("Melting_Curves/meltCurve_J3KN27_FBRSL1.pdf", "Melting_Curves/meltCurve_J3KN27_FBRSL1.pdf")</f>
        <v>Melting_Curves/meltCurve_J3KN27_FBRSL1.pdf</v>
      </c>
    </row>
    <row r="1032" spans="1:28" x14ac:dyDescent="0.25">
      <c r="A1032" t="s">
        <v>1036</v>
      </c>
      <c r="B1032">
        <v>0.99193492352474899</v>
      </c>
      <c r="C1032">
        <v>1.15789042125982</v>
      </c>
      <c r="D1032">
        <v>0.82595872824398398</v>
      </c>
      <c r="E1032">
        <v>0.83073114219225197</v>
      </c>
      <c r="F1032">
        <v>0.56419372198142903</v>
      </c>
      <c r="G1032">
        <v>0.57702341686959202</v>
      </c>
      <c r="H1032">
        <v>0.45420112896133202</v>
      </c>
      <c r="I1032">
        <v>0.49951124213949899</v>
      </c>
      <c r="J1032">
        <v>0.53278141878070095</v>
      </c>
      <c r="K1032">
        <v>0.627052846778825</v>
      </c>
      <c r="L1032">
        <v>1201.79907484706</v>
      </c>
      <c r="M1032">
        <v>24.1786711493917</v>
      </c>
      <c r="O1032">
        <v>49.368665072058</v>
      </c>
      <c r="P1032">
        <v>-5.7759355573308802E-2</v>
      </c>
      <c r="Q1032">
        <v>0.52826879077406697</v>
      </c>
      <c r="R1032">
        <v>0.86905454955861505</v>
      </c>
      <c r="S1032" t="s">
        <v>7702</v>
      </c>
      <c r="T1032" t="s">
        <v>13338</v>
      </c>
      <c r="U1032" t="s">
        <v>13338</v>
      </c>
      <c r="V1032" t="s">
        <v>13338</v>
      </c>
      <c r="W1032" t="s">
        <v>14344</v>
      </c>
      <c r="X1032">
        <v>11</v>
      </c>
      <c r="Y1032" t="s">
        <v>20946</v>
      </c>
      <c r="Z1032" t="s">
        <v>27447</v>
      </c>
      <c r="AA1032">
        <v>0.68537061711730474</v>
      </c>
      <c r="AB1032" t="str">
        <f>HYPERLINK("Melting_Curves/meltCurve_J3KN29_PSMD9.pdf", "Melting_Curves/meltCurve_J3KN29_PSMD9.pdf")</f>
        <v>Melting_Curves/meltCurve_J3KN29_PSMD9.pdf</v>
      </c>
    </row>
    <row r="1033" spans="1:28" x14ac:dyDescent="0.25">
      <c r="A1033" t="s">
        <v>1037</v>
      </c>
      <c r="B1033">
        <v>0.99193492352474899</v>
      </c>
      <c r="C1033">
        <v>0.68798279923614103</v>
      </c>
      <c r="D1033">
        <v>0.77215995981692698</v>
      </c>
      <c r="E1033">
        <v>0.307602862463281</v>
      </c>
      <c r="F1033">
        <v>0.16639510195625201</v>
      </c>
      <c r="G1033">
        <v>9.1199811423330904E-2</v>
      </c>
      <c r="H1033">
        <v>5.6845584136348701E-2</v>
      </c>
      <c r="I1033">
        <v>6.9723069925427303E-2</v>
      </c>
      <c r="J1033">
        <v>8.8811394459085397E-2</v>
      </c>
      <c r="K1033">
        <v>9.4990265951558503E-2</v>
      </c>
      <c r="L1033">
        <v>772.51417616127605</v>
      </c>
      <c r="M1033">
        <v>16.349998531047099</v>
      </c>
      <c r="N1033">
        <v>47.593961491198797</v>
      </c>
      <c r="O1033">
        <v>46.558706914036499</v>
      </c>
      <c r="P1033">
        <v>-8.2887284769969399E-2</v>
      </c>
      <c r="Q1033">
        <v>5.5939114782058999E-2</v>
      </c>
      <c r="R1033">
        <v>0.95224047163825598</v>
      </c>
      <c r="S1033" t="s">
        <v>7703</v>
      </c>
      <c r="T1033" t="s">
        <v>13338</v>
      </c>
      <c r="U1033" t="s">
        <v>13338</v>
      </c>
      <c r="V1033" t="s">
        <v>13338</v>
      </c>
      <c r="W1033" t="s">
        <v>14345</v>
      </c>
      <c r="X1033">
        <v>13</v>
      </c>
      <c r="Y1033" t="s">
        <v>20947</v>
      </c>
      <c r="Z1033" t="s">
        <v>27448</v>
      </c>
      <c r="AA1033">
        <v>0.30517620513916949</v>
      </c>
      <c r="AB1033" t="str">
        <f>HYPERLINK("Melting_Curves/meltCurve_J3KN32_RCOR1.pdf", "Melting_Curves/meltCurve_J3KN32_RCOR1.pdf")</f>
        <v>Melting_Curves/meltCurve_J3KN32_RCOR1.pdf</v>
      </c>
    </row>
    <row r="1034" spans="1:28" x14ac:dyDescent="0.25">
      <c r="A1034" t="s">
        <v>1038</v>
      </c>
      <c r="B1034">
        <v>0.99193492352474899</v>
      </c>
      <c r="C1034">
        <v>1.47950682611798</v>
      </c>
      <c r="D1034">
        <v>0.90595347479622002</v>
      </c>
      <c r="E1034">
        <v>0.909555625056234</v>
      </c>
      <c r="F1034">
        <v>0.82732286748940298</v>
      </c>
      <c r="G1034">
        <v>0.60488397704742403</v>
      </c>
      <c r="H1034">
        <v>0.58484723568691599</v>
      </c>
      <c r="I1034">
        <v>0.51891360493737404</v>
      </c>
      <c r="J1034">
        <v>0.62183764783248596</v>
      </c>
      <c r="K1034">
        <v>0.88470770470678695</v>
      </c>
      <c r="L1034">
        <v>1706.2736834766199</v>
      </c>
      <c r="M1034">
        <v>32.531550216528899</v>
      </c>
      <c r="O1034">
        <v>52.252810041011998</v>
      </c>
      <c r="P1034">
        <v>-5.5703565868610701E-2</v>
      </c>
      <c r="Q1034">
        <v>0.64211307557606401</v>
      </c>
      <c r="R1034">
        <v>0.54484071190299799</v>
      </c>
      <c r="S1034" t="s">
        <v>7704</v>
      </c>
      <c r="T1034" t="s">
        <v>13338</v>
      </c>
      <c r="U1034" t="s">
        <v>13338</v>
      </c>
      <c r="V1034" t="s">
        <v>13338</v>
      </c>
      <c r="W1034" t="s">
        <v>14346</v>
      </c>
      <c r="X1034">
        <v>4</v>
      </c>
      <c r="Y1034" t="s">
        <v>20948</v>
      </c>
      <c r="Z1034" t="s">
        <v>27449</v>
      </c>
      <c r="AA1034">
        <v>0.7925948444000892</v>
      </c>
      <c r="AB1034" t="str">
        <f>HYPERLINK("Melting_Curves/meltCurve_J3KN47_TF.pdf", "Melting_Curves/meltCurve_J3KN47_TF.pdf")</f>
        <v>Melting_Curves/meltCurve_J3KN47_TF.pdf</v>
      </c>
    </row>
    <row r="1035" spans="1:28" x14ac:dyDescent="0.25">
      <c r="A1035" t="s">
        <v>1039</v>
      </c>
      <c r="B1035">
        <v>0.99193492352474899</v>
      </c>
      <c r="C1035">
        <v>1.14627953111972</v>
      </c>
      <c r="D1035">
        <v>0.84790845428626804</v>
      </c>
      <c r="E1035">
        <v>1.0031711771826901</v>
      </c>
      <c r="F1035">
        <v>0.60030131827725497</v>
      </c>
      <c r="G1035">
        <v>0.38303028452629101</v>
      </c>
      <c r="H1035">
        <v>0.17014825403945999</v>
      </c>
      <c r="I1035">
        <v>0.122715887172231</v>
      </c>
      <c r="J1035">
        <v>0.12661496243492101</v>
      </c>
      <c r="K1035">
        <v>0.132115190045863</v>
      </c>
      <c r="L1035">
        <v>1284.1541614356699</v>
      </c>
      <c r="M1035">
        <v>23.688903778606701</v>
      </c>
      <c r="N1035">
        <v>54.829634142293003</v>
      </c>
      <c r="O1035">
        <v>53.827220309366197</v>
      </c>
      <c r="P1035">
        <v>-9.7087567445376999E-2</v>
      </c>
      <c r="Q1035">
        <v>0.117583944778412</v>
      </c>
      <c r="R1035">
        <v>0.96458555829919501</v>
      </c>
      <c r="S1035" t="s">
        <v>7705</v>
      </c>
      <c r="T1035" t="s">
        <v>13338</v>
      </c>
      <c r="U1035" t="s">
        <v>13338</v>
      </c>
      <c r="V1035" t="s">
        <v>13338</v>
      </c>
      <c r="W1035" t="s">
        <v>14347</v>
      </c>
      <c r="X1035">
        <v>18</v>
      </c>
      <c r="Y1035" t="s">
        <v>20949</v>
      </c>
      <c r="Z1035" t="s">
        <v>27450</v>
      </c>
      <c r="AA1035">
        <v>0.54452279192945441</v>
      </c>
      <c r="AB1035" t="str">
        <f>HYPERLINK("Melting_Curves/meltCurve_J3KN66_TOR1AIP1.pdf", "Melting_Curves/meltCurve_J3KN66_TOR1AIP1.pdf")</f>
        <v>Melting_Curves/meltCurve_J3KN66_TOR1AIP1.pdf</v>
      </c>
    </row>
    <row r="1036" spans="1:28" x14ac:dyDescent="0.25">
      <c r="A1036" t="s">
        <v>1040</v>
      </c>
      <c r="B1036">
        <v>0.99193492352474899</v>
      </c>
      <c r="C1036">
        <v>0.915886397840875</v>
      </c>
      <c r="D1036">
        <v>0.75866675367963798</v>
      </c>
      <c r="E1036">
        <v>0.70569739807100196</v>
      </c>
      <c r="F1036">
        <v>0.506843970387862</v>
      </c>
      <c r="G1036">
        <v>0.38357495088369697</v>
      </c>
      <c r="H1036">
        <v>0.29192631573945299</v>
      </c>
      <c r="I1036">
        <v>0.40404704812084202</v>
      </c>
      <c r="J1036">
        <v>0.49181322742307099</v>
      </c>
      <c r="K1036">
        <v>0.617218967939828</v>
      </c>
      <c r="L1036">
        <v>849.54200620102699</v>
      </c>
      <c r="M1036">
        <v>17.842112875822099</v>
      </c>
      <c r="N1036">
        <v>53.808586526300303</v>
      </c>
      <c r="O1036">
        <v>47.028391257525499</v>
      </c>
      <c r="P1036">
        <v>-5.35079122999245E-2</v>
      </c>
      <c r="Q1036">
        <v>0.43588252089288199</v>
      </c>
      <c r="R1036">
        <v>0.84330429434816601</v>
      </c>
      <c r="S1036" t="s">
        <v>7706</v>
      </c>
      <c r="T1036" t="s">
        <v>13338</v>
      </c>
      <c r="U1036" t="s">
        <v>13338</v>
      </c>
      <c r="V1036" t="s">
        <v>13338</v>
      </c>
      <c r="W1036" t="s">
        <v>14348</v>
      </c>
      <c r="X1036">
        <v>42</v>
      </c>
      <c r="Y1036" t="s">
        <v>20950</v>
      </c>
      <c r="Z1036" t="s">
        <v>27451</v>
      </c>
      <c r="AA1036">
        <v>0.58939349800721819</v>
      </c>
      <c r="AB1036" t="str">
        <f>HYPERLINK("Melting_Curves/meltCurve_J3KN67_TPM3.pdf", "Melting_Curves/meltCurve_J3KN67_TPM3.pdf")</f>
        <v>Melting_Curves/meltCurve_J3KN67_TPM3.pdf</v>
      </c>
    </row>
    <row r="1037" spans="1:28" x14ac:dyDescent="0.25">
      <c r="A1037" t="s">
        <v>1041</v>
      </c>
      <c r="B1037">
        <v>0.99193492352474899</v>
      </c>
      <c r="C1037">
        <v>0.94289440131041902</v>
      </c>
      <c r="D1037">
        <v>0.96572985717177195</v>
      </c>
      <c r="E1037">
        <v>0.74405361924704905</v>
      </c>
      <c r="F1037">
        <v>0.72819141090789197</v>
      </c>
      <c r="G1037">
        <v>0.55345111445758099</v>
      </c>
      <c r="H1037">
        <v>0.31938738214648499</v>
      </c>
      <c r="I1037">
        <v>0.167158199645526</v>
      </c>
      <c r="J1037">
        <v>0.187150381341531</v>
      </c>
      <c r="K1037">
        <v>0.19685012011082301</v>
      </c>
      <c r="L1037">
        <v>639.397495545026</v>
      </c>
      <c r="M1037">
        <v>11.3547158485609</v>
      </c>
      <c r="N1037">
        <v>56.878017756267198</v>
      </c>
      <c r="O1037">
        <v>54.649422705550101</v>
      </c>
      <c r="P1037">
        <v>-4.91793332893527E-2</v>
      </c>
      <c r="Q1037">
        <v>5.3496308573406301E-2</v>
      </c>
      <c r="R1037">
        <v>0.97679095439493502</v>
      </c>
      <c r="S1037" t="s">
        <v>7707</v>
      </c>
      <c r="T1037" t="s">
        <v>13338</v>
      </c>
      <c r="U1037" t="s">
        <v>13338</v>
      </c>
      <c r="V1037" t="s">
        <v>13338</v>
      </c>
      <c r="W1037" t="s">
        <v>14349</v>
      </c>
      <c r="X1037">
        <v>6</v>
      </c>
      <c r="Y1037" t="s">
        <v>20951</v>
      </c>
      <c r="Z1037" t="s">
        <v>27452</v>
      </c>
      <c r="AA1037">
        <v>0.58662826014103686</v>
      </c>
      <c r="AB1037" t="str">
        <f>HYPERLINK("Melting_Curves/meltCurve_J3KN69_NCEH1.pdf", "Melting_Curves/meltCurve_J3KN69_NCEH1.pdf")</f>
        <v>Melting_Curves/meltCurve_J3KN69_NCEH1.pdf</v>
      </c>
    </row>
    <row r="1038" spans="1:28" x14ac:dyDescent="0.25">
      <c r="A1038" t="s">
        <v>1042</v>
      </c>
      <c r="B1038">
        <v>0.99193492352474899</v>
      </c>
      <c r="C1038">
        <v>0.90953615011615896</v>
      </c>
      <c r="D1038">
        <v>1.1624939588785199</v>
      </c>
      <c r="E1038">
        <v>0.72888574114750504</v>
      </c>
      <c r="F1038">
        <v>0.224573463288434</v>
      </c>
      <c r="G1038">
        <v>0.10568827900328499</v>
      </c>
      <c r="H1038">
        <v>7.8678384645407107E-2</v>
      </c>
      <c r="I1038">
        <v>4.6627428946840202E-2</v>
      </c>
      <c r="J1038">
        <v>0</v>
      </c>
      <c r="K1038">
        <v>0</v>
      </c>
      <c r="L1038">
        <v>1890.36810299288</v>
      </c>
      <c r="M1038">
        <v>37.036005195886503</v>
      </c>
      <c r="N1038">
        <v>51.161231813529398</v>
      </c>
      <c r="O1038">
        <v>50.893237696650402</v>
      </c>
      <c r="P1038">
        <v>-0.17436964533709701</v>
      </c>
      <c r="Q1038">
        <v>4.1558574381831699E-2</v>
      </c>
      <c r="R1038">
        <v>0.97582917101463496</v>
      </c>
      <c r="S1038" t="s">
        <v>7708</v>
      </c>
      <c r="T1038" t="s">
        <v>13338</v>
      </c>
      <c r="U1038" t="s">
        <v>13338</v>
      </c>
      <c r="V1038" t="s">
        <v>13338</v>
      </c>
      <c r="W1038" t="s">
        <v>14350</v>
      </c>
      <c r="X1038">
        <v>4</v>
      </c>
      <c r="Y1038" t="s">
        <v>20952</v>
      </c>
      <c r="Z1038" t="s">
        <v>27453</v>
      </c>
      <c r="AA1038">
        <v>0.39825690027968152</v>
      </c>
      <c r="AB1038" t="str">
        <f>HYPERLINK("Melting_Curves/meltCurve_J3KN93_ANKRD44.pdf", "Melting_Curves/meltCurve_J3KN93_ANKRD44.pdf")</f>
        <v>Melting_Curves/meltCurve_J3KN93_ANKRD44.pdf</v>
      </c>
    </row>
    <row r="1039" spans="1:28" x14ac:dyDescent="0.25">
      <c r="A1039" t="s">
        <v>1043</v>
      </c>
      <c r="B1039">
        <v>0.99193492352474899</v>
      </c>
      <c r="C1039">
        <v>0.86262325939554196</v>
      </c>
      <c r="D1039">
        <v>1.05435257793037</v>
      </c>
      <c r="E1039">
        <v>0.92645552522343</v>
      </c>
      <c r="F1039">
        <v>0.55396207888702698</v>
      </c>
      <c r="G1039">
        <v>0.21456828105985601</v>
      </c>
      <c r="H1039">
        <v>0.104230344554938</v>
      </c>
      <c r="I1039">
        <v>0.100614342548886</v>
      </c>
      <c r="J1039">
        <v>0.111952492031156</v>
      </c>
      <c r="K1039">
        <v>0.1039415274138</v>
      </c>
      <c r="L1039">
        <v>1750.0902724417799</v>
      </c>
      <c r="M1039">
        <v>32.864086351269997</v>
      </c>
      <c r="N1039">
        <v>53.625005188788997</v>
      </c>
      <c r="O1039">
        <v>53.0563500509421</v>
      </c>
      <c r="P1039">
        <v>-0.139046691892347</v>
      </c>
      <c r="Q1039">
        <v>0.102086520379514</v>
      </c>
      <c r="R1039">
        <v>0.98550310342758596</v>
      </c>
      <c r="S1039" t="s">
        <v>7709</v>
      </c>
      <c r="T1039" t="s">
        <v>13338</v>
      </c>
      <c r="U1039" t="s">
        <v>13338</v>
      </c>
      <c r="V1039" t="s">
        <v>13338</v>
      </c>
      <c r="W1039" t="s">
        <v>14351</v>
      </c>
      <c r="X1039">
        <v>7</v>
      </c>
      <c r="Y1039" t="s">
        <v>20953</v>
      </c>
      <c r="Z1039" t="s">
        <v>27454</v>
      </c>
      <c r="AA1039">
        <v>0.50362000249138128</v>
      </c>
      <c r="AB1039" t="str">
        <f>HYPERLINK("Melting_Curves/meltCurve_J3KNA0_OXA1L.pdf", "Melting_Curves/meltCurve_J3KNA0_OXA1L.pdf")</f>
        <v>Melting_Curves/meltCurve_J3KNA0_OXA1L.pdf</v>
      </c>
    </row>
    <row r="1040" spans="1:28" x14ac:dyDescent="0.25">
      <c r="A1040" t="s">
        <v>1044</v>
      </c>
      <c r="B1040">
        <v>0.99193492352474899</v>
      </c>
      <c r="C1040">
        <v>1.16983420488658</v>
      </c>
      <c r="D1040">
        <v>0.88798548062409799</v>
      </c>
      <c r="E1040">
        <v>0.57513135232670798</v>
      </c>
      <c r="F1040">
        <v>0.204045669886113</v>
      </c>
      <c r="G1040">
        <v>0.112589197961304</v>
      </c>
      <c r="H1040">
        <v>6.4202251237497496E-2</v>
      </c>
      <c r="I1040">
        <v>9.8910961320781296E-2</v>
      </c>
      <c r="J1040">
        <v>9.9222997105331306E-2</v>
      </c>
      <c r="K1040">
        <v>9.4578105437123097E-2</v>
      </c>
      <c r="L1040">
        <v>1495.7511712051701</v>
      </c>
      <c r="M1040">
        <v>30.048796429805801</v>
      </c>
      <c r="N1040">
        <v>50.103149525476098</v>
      </c>
      <c r="O1040">
        <v>49.558490211777901</v>
      </c>
      <c r="P1040">
        <v>-0.138134126085905</v>
      </c>
      <c r="Q1040">
        <v>8.8725341923062098E-2</v>
      </c>
      <c r="R1040">
        <v>0.98003059610711096</v>
      </c>
      <c r="S1040" t="s">
        <v>7710</v>
      </c>
      <c r="T1040" t="s">
        <v>13338</v>
      </c>
      <c r="U1040" t="s">
        <v>13338</v>
      </c>
      <c r="V1040" t="s">
        <v>13338</v>
      </c>
      <c r="W1040" t="s">
        <v>14352</v>
      </c>
      <c r="X1040">
        <v>5</v>
      </c>
      <c r="Y1040" t="s">
        <v>20954</v>
      </c>
      <c r="Z1040" t="s">
        <v>27455</v>
      </c>
      <c r="AA1040">
        <v>0.3913198769331705</v>
      </c>
      <c r="AB1040" t="str">
        <f>HYPERLINK("Melting_Curves/meltCurve_J3KNB8_MAP3K4.pdf", "Melting_Curves/meltCurve_J3KNB8_MAP3K4.pdf")</f>
        <v>Melting_Curves/meltCurve_J3KNB8_MAP3K4.pdf</v>
      </c>
    </row>
    <row r="1041" spans="1:28" x14ac:dyDescent="0.25">
      <c r="A1041" t="s">
        <v>1045</v>
      </c>
      <c r="B1041">
        <v>0.99193492352474899</v>
      </c>
      <c r="C1041">
        <v>0.780317774713844</v>
      </c>
      <c r="D1041">
        <v>0.51803436079456799</v>
      </c>
      <c r="E1041">
        <v>0.27819357783637499</v>
      </c>
      <c r="F1041">
        <v>0.118097723961163</v>
      </c>
      <c r="G1041">
        <v>8.2274513335362898E-2</v>
      </c>
      <c r="H1041">
        <v>7.8320034384898304E-2</v>
      </c>
      <c r="I1041">
        <v>5.1603949696256202E-2</v>
      </c>
      <c r="J1041">
        <v>7.7766354443907101E-2</v>
      </c>
      <c r="K1041">
        <v>9.8402982704141106E-2</v>
      </c>
      <c r="L1041">
        <v>868.28354573636796</v>
      </c>
      <c r="M1041">
        <v>18.922503430787799</v>
      </c>
      <c r="N1041">
        <v>46.254127138801202</v>
      </c>
      <c r="O1041">
        <v>45.383029389414098</v>
      </c>
      <c r="P1041">
        <v>-9.6960384949801706E-2</v>
      </c>
      <c r="Q1041">
        <v>6.9852945512482098E-2</v>
      </c>
      <c r="R1041">
        <v>0.995108415528974</v>
      </c>
      <c r="S1041" t="s">
        <v>7711</v>
      </c>
      <c r="T1041" t="s">
        <v>13338</v>
      </c>
      <c r="U1041" t="s">
        <v>13338</v>
      </c>
      <c r="V1041" t="s">
        <v>13338</v>
      </c>
      <c r="W1041" t="s">
        <v>14353</v>
      </c>
      <c r="X1041">
        <v>5</v>
      </c>
      <c r="Y1041" t="s">
        <v>20955</v>
      </c>
      <c r="Z1041" t="s">
        <v>27456</v>
      </c>
      <c r="AA1041">
        <v>0.26881237849030709</v>
      </c>
      <c r="AB1041" t="str">
        <f>HYPERLINK("Melting_Curves/meltCurve_J3KNE0_RGPD3.pdf", "Melting_Curves/meltCurve_J3KNE0_RGPD3.pdf")</f>
        <v>Melting_Curves/meltCurve_J3KNE0_RGPD3.pdf</v>
      </c>
    </row>
    <row r="1042" spans="1:28" x14ac:dyDescent="0.25">
      <c r="A1042" t="s">
        <v>1046</v>
      </c>
      <c r="B1042">
        <v>0.99193492352474899</v>
      </c>
      <c r="C1042">
        <v>0.84392541365148699</v>
      </c>
      <c r="D1042">
        <v>0.77413800479487005</v>
      </c>
      <c r="E1042">
        <v>0.56844533838510602</v>
      </c>
      <c r="F1042">
        <v>0.29860537156551198</v>
      </c>
      <c r="G1042">
        <v>0.15933258336147499</v>
      </c>
      <c r="H1042">
        <v>8.9004859488595794E-2</v>
      </c>
      <c r="I1042">
        <v>0.105741646784762</v>
      </c>
      <c r="J1042">
        <v>0.10664603933752199</v>
      </c>
      <c r="K1042">
        <v>0.121243488402497</v>
      </c>
      <c r="L1042">
        <v>739.591451985856</v>
      </c>
      <c r="M1042">
        <v>14.972136010380799</v>
      </c>
      <c r="N1042">
        <v>49.9331614691868</v>
      </c>
      <c r="O1042">
        <v>48.541749123117498</v>
      </c>
      <c r="P1042">
        <v>-7.13996224770371E-2</v>
      </c>
      <c r="Q1042">
        <v>7.4144136421216603E-2</v>
      </c>
      <c r="R1042">
        <v>0.99007633467502199</v>
      </c>
      <c r="S1042" t="s">
        <v>7712</v>
      </c>
      <c r="T1042" t="s">
        <v>13338</v>
      </c>
      <c r="U1042" t="s">
        <v>13338</v>
      </c>
      <c r="V1042" t="s">
        <v>13338</v>
      </c>
      <c r="W1042" t="s">
        <v>14354</v>
      </c>
      <c r="X1042">
        <v>10</v>
      </c>
      <c r="Y1042" t="s">
        <v>20956</v>
      </c>
      <c r="Z1042" t="s">
        <v>27457</v>
      </c>
      <c r="AA1042">
        <v>0.38678284020217563</v>
      </c>
      <c r="AB1042" t="str">
        <f>HYPERLINK("Melting_Curves/meltCurve_J3KNF4_CCS.pdf", "Melting_Curves/meltCurve_J3KNF4_CCS.pdf")</f>
        <v>Melting_Curves/meltCurve_J3KNF4_CCS.pdf</v>
      </c>
    </row>
    <row r="1043" spans="1:28" x14ac:dyDescent="0.25">
      <c r="A1043" t="s">
        <v>1047</v>
      </c>
      <c r="B1043">
        <v>0.99193492352474899</v>
      </c>
      <c r="C1043">
        <v>0.756859419754217</v>
      </c>
      <c r="D1043">
        <v>0.74722265164496604</v>
      </c>
      <c r="E1043">
        <v>0.45118132189544102</v>
      </c>
      <c r="F1043">
        <v>0.25678726153271197</v>
      </c>
      <c r="G1043">
        <v>0.25699946246132599</v>
      </c>
      <c r="H1043">
        <v>0.50587882375762405</v>
      </c>
      <c r="I1043">
        <v>2.6072192012709401</v>
      </c>
      <c r="J1043">
        <v>2.4923670161517699</v>
      </c>
      <c r="K1043">
        <v>2.2334344266129702</v>
      </c>
      <c r="L1043">
        <v>4719.9310665713001</v>
      </c>
      <c r="M1043">
        <v>76.159431610368301</v>
      </c>
      <c r="O1043">
        <v>61.931658027031403</v>
      </c>
      <c r="P1043">
        <v>0.153716707474363</v>
      </c>
      <c r="Q1043">
        <v>1.5</v>
      </c>
      <c r="R1043">
        <v>0.40530775891550402</v>
      </c>
      <c r="S1043" t="s">
        <v>7713</v>
      </c>
      <c r="T1043" t="s">
        <v>13338</v>
      </c>
      <c r="U1043" t="s">
        <v>13338</v>
      </c>
      <c r="V1043" t="s">
        <v>13338</v>
      </c>
      <c r="W1043" t="s">
        <v>14355</v>
      </c>
      <c r="X1043">
        <v>2</v>
      </c>
      <c r="Y1043" t="s">
        <v>20957</v>
      </c>
      <c r="Z1043" t="s">
        <v>27458</v>
      </c>
      <c r="AA1043">
        <v>1.1331764959827491</v>
      </c>
      <c r="AB1043" t="str">
        <f>HYPERLINK("Melting_Curves/meltCurve_J3KNF5_CEP290.pdf", "Melting_Curves/meltCurve_J3KNF5_CEP290.pdf")</f>
        <v>Melting_Curves/meltCurve_J3KNF5_CEP290.pdf</v>
      </c>
    </row>
    <row r="1044" spans="1:28" x14ac:dyDescent="0.25">
      <c r="A1044" t="s">
        <v>1048</v>
      </c>
      <c r="B1044">
        <v>0.99193492352474899</v>
      </c>
      <c r="C1044">
        <v>0.78543410640126099</v>
      </c>
      <c r="D1044">
        <v>0.92759350586992995</v>
      </c>
      <c r="E1044">
        <v>0.66429916527479904</v>
      </c>
      <c r="F1044">
        <v>0.64969531977979</v>
      </c>
      <c r="G1044">
        <v>0.42293940569726501</v>
      </c>
      <c r="H1044">
        <v>0.45435830375969399</v>
      </c>
      <c r="I1044">
        <v>0.36321429868530197</v>
      </c>
      <c r="J1044">
        <v>0.48720110107449199</v>
      </c>
      <c r="K1044">
        <v>0.42689339358602801</v>
      </c>
      <c r="L1044">
        <v>583.70491362829296</v>
      </c>
      <c r="M1044">
        <v>11.753584094929399</v>
      </c>
      <c r="N1044">
        <v>56.982163009583999</v>
      </c>
      <c r="O1044">
        <v>48.289673248078202</v>
      </c>
      <c r="P1044">
        <v>-3.7155880797422401E-2</v>
      </c>
      <c r="Q1044">
        <v>0.38953883722181198</v>
      </c>
      <c r="R1044">
        <v>0.88917720333357098</v>
      </c>
      <c r="S1044" t="s">
        <v>7714</v>
      </c>
      <c r="T1044" t="s">
        <v>13338</v>
      </c>
      <c r="U1044" t="s">
        <v>13338</v>
      </c>
      <c r="V1044" t="s">
        <v>13338</v>
      </c>
      <c r="W1044" t="s">
        <v>14356</v>
      </c>
      <c r="X1044">
        <v>6</v>
      </c>
      <c r="Y1044" t="s">
        <v>20958</v>
      </c>
      <c r="Z1044" t="s">
        <v>27459</v>
      </c>
      <c r="AA1044">
        <v>0.60842593334241712</v>
      </c>
      <c r="AB1044" t="str">
        <f>HYPERLINK("Melting_Curves/meltCurve_J3KNF8_CYB5B.pdf", "Melting_Curves/meltCurve_J3KNF8_CYB5B.pdf")</f>
        <v>Melting_Curves/meltCurve_J3KNF8_CYB5B.pdf</v>
      </c>
    </row>
    <row r="1045" spans="1:28" x14ac:dyDescent="0.25">
      <c r="A1045" t="s">
        <v>1049</v>
      </c>
      <c r="B1045">
        <v>0.99193492352474899</v>
      </c>
      <c r="C1045">
        <v>0.82535556886440797</v>
      </c>
      <c r="D1045">
        <v>0.47628445190009699</v>
      </c>
      <c r="E1045">
        <v>0.20470136855865401</v>
      </c>
      <c r="F1045">
        <v>0.14945553919877899</v>
      </c>
      <c r="G1045">
        <v>8.6283604707221698E-2</v>
      </c>
      <c r="H1045">
        <v>6.0176456479605997E-2</v>
      </c>
      <c r="I1045">
        <v>7.3930378587967999E-2</v>
      </c>
      <c r="J1045">
        <v>8.5108401058593505E-2</v>
      </c>
      <c r="K1045">
        <v>8.0300416563688901E-2</v>
      </c>
      <c r="L1045">
        <v>1060.2290075205101</v>
      </c>
      <c r="M1045">
        <v>23.279010152467698</v>
      </c>
      <c r="N1045">
        <v>45.894398665216102</v>
      </c>
      <c r="O1045">
        <v>45.212321901198401</v>
      </c>
      <c r="P1045">
        <v>-0.11825405425211701</v>
      </c>
      <c r="Q1045">
        <v>8.1327781369868596E-2</v>
      </c>
      <c r="R1045">
        <v>0.99725820712040303</v>
      </c>
      <c r="S1045" t="s">
        <v>7715</v>
      </c>
      <c r="T1045" t="s">
        <v>13338</v>
      </c>
      <c r="U1045" t="s">
        <v>13338</v>
      </c>
      <c r="V1045" t="s">
        <v>13338</v>
      </c>
      <c r="W1045" t="s">
        <v>14357</v>
      </c>
      <c r="X1045">
        <v>8</v>
      </c>
      <c r="Y1045" t="s">
        <v>20959</v>
      </c>
      <c r="Z1045" t="s">
        <v>27460</v>
      </c>
      <c r="AA1045">
        <v>0.26143463325063537</v>
      </c>
      <c r="AB1045" t="str">
        <f>HYPERLINK("Melting_Curves/meltCurve_J3KNI1_COG4.pdf", "Melting_Curves/meltCurve_J3KNI1_COG4.pdf")</f>
        <v>Melting_Curves/meltCurve_J3KNI1_COG4.pdf</v>
      </c>
    </row>
    <row r="1046" spans="1:28" x14ac:dyDescent="0.25">
      <c r="A1046" t="s">
        <v>1050</v>
      </c>
      <c r="B1046">
        <v>0.99193492352474899</v>
      </c>
      <c r="C1046">
        <v>1.05647833105345</v>
      </c>
      <c r="D1046">
        <v>0.98330336235819604</v>
      </c>
      <c r="E1046">
        <v>0.85309132125447296</v>
      </c>
      <c r="F1046">
        <v>0.47367292925582899</v>
      </c>
      <c r="G1046">
        <v>0.16014702339530501</v>
      </c>
      <c r="H1046">
        <v>8.2732187473240806E-2</v>
      </c>
      <c r="I1046">
        <v>8.3132447645717797E-2</v>
      </c>
      <c r="J1046">
        <v>9.7141136283519294E-2</v>
      </c>
      <c r="K1046">
        <v>9.4600331908976501E-2</v>
      </c>
      <c r="L1046">
        <v>1552.8583736518999</v>
      </c>
      <c r="M1046">
        <v>29.540872787774099</v>
      </c>
      <c r="N1046">
        <v>52.887274317945099</v>
      </c>
      <c r="O1046">
        <v>52.327294581205301</v>
      </c>
      <c r="P1046">
        <v>-0.12955804263526899</v>
      </c>
      <c r="Q1046">
        <v>8.2034266787905402E-2</v>
      </c>
      <c r="R1046">
        <v>0.99735617527949205</v>
      </c>
      <c r="S1046" t="s">
        <v>7716</v>
      </c>
      <c r="T1046" t="s">
        <v>13338</v>
      </c>
      <c r="U1046" t="s">
        <v>13338</v>
      </c>
      <c r="V1046" t="s">
        <v>13338</v>
      </c>
      <c r="W1046" t="s">
        <v>14358</v>
      </c>
      <c r="X1046">
        <v>26</v>
      </c>
      <c r="Y1046" t="s">
        <v>20960</v>
      </c>
      <c r="Z1046" t="s">
        <v>27461</v>
      </c>
      <c r="AA1046">
        <v>0.47265107082804703</v>
      </c>
      <c r="AB1046" t="str">
        <f>HYPERLINK("Melting_Curves/meltCurve_J3KNL2_SEPT1.pdf", "Melting_Curves/meltCurve_J3KNL2_SEPT1.pdf")</f>
        <v>Melting_Curves/meltCurve_J3KNL2_SEPT1.pdf</v>
      </c>
    </row>
    <row r="1047" spans="1:28" x14ac:dyDescent="0.25">
      <c r="A1047" t="s">
        <v>1051</v>
      </c>
      <c r="B1047">
        <v>0.99193492352474899</v>
      </c>
      <c r="C1047">
        <v>0.88013422072649405</v>
      </c>
      <c r="D1047">
        <v>0.90304854795072198</v>
      </c>
      <c r="E1047">
        <v>0.61234365685111503</v>
      </c>
      <c r="F1047">
        <v>0.309565473503573</v>
      </c>
      <c r="G1047">
        <v>0.18733748859165</v>
      </c>
      <c r="H1047">
        <v>0.114947102613701</v>
      </c>
      <c r="I1047">
        <v>0.12893056678957099</v>
      </c>
      <c r="J1047">
        <v>0.120672081998286</v>
      </c>
      <c r="K1047">
        <v>0.11797138823173101</v>
      </c>
      <c r="L1047">
        <v>1011.90720752119</v>
      </c>
      <c r="M1047">
        <v>20.177377528003799</v>
      </c>
      <c r="N1047">
        <v>50.767516857313801</v>
      </c>
      <c r="O1047">
        <v>49.6657785062526</v>
      </c>
      <c r="P1047">
        <v>-9.0525923649676807E-2</v>
      </c>
      <c r="Q1047">
        <v>0.10872487792298099</v>
      </c>
      <c r="R1047">
        <v>0.99199865701326895</v>
      </c>
      <c r="S1047" t="s">
        <v>7717</v>
      </c>
      <c r="T1047" t="s">
        <v>13338</v>
      </c>
      <c r="U1047" t="s">
        <v>13338</v>
      </c>
      <c r="V1047" t="s">
        <v>13338</v>
      </c>
      <c r="W1047" t="s">
        <v>14359</v>
      </c>
      <c r="X1047">
        <v>7</v>
      </c>
      <c r="Y1047" t="s">
        <v>20961</v>
      </c>
      <c r="Z1047" t="s">
        <v>27462</v>
      </c>
      <c r="AA1047">
        <v>0.42248051281891408</v>
      </c>
      <c r="AB1047" t="str">
        <f>HYPERLINK("Melting_Curves/meltCurve_J3KNL3_CHID1.pdf", "Melting_Curves/meltCurve_J3KNL3_CHID1.pdf")</f>
        <v>Melting_Curves/meltCurve_J3KNL3_CHID1.pdf</v>
      </c>
    </row>
    <row r="1048" spans="1:28" x14ac:dyDescent="0.25">
      <c r="A1048" t="s">
        <v>1052</v>
      </c>
      <c r="B1048">
        <v>0.99193492352474899</v>
      </c>
      <c r="C1048">
        <v>0.76259986856127504</v>
      </c>
      <c r="D1048">
        <v>0.73266462432894197</v>
      </c>
      <c r="E1048">
        <v>0.44168583330243799</v>
      </c>
      <c r="F1048">
        <v>0.239849898080955</v>
      </c>
      <c r="G1048">
        <v>0.14306723628189899</v>
      </c>
      <c r="H1048">
        <v>0.14443720581428099</v>
      </c>
      <c r="I1048">
        <v>0.23498074314258499</v>
      </c>
      <c r="J1048">
        <v>0.27669657359807698</v>
      </c>
      <c r="K1048">
        <v>0.346114305969902</v>
      </c>
      <c r="L1048">
        <v>872.193682480745</v>
      </c>
      <c r="M1048">
        <v>18.682067961609398</v>
      </c>
      <c r="N1048">
        <v>48.164749315281597</v>
      </c>
      <c r="O1048">
        <v>46.1610703793339</v>
      </c>
      <c r="P1048">
        <v>-7.9101606689197204E-2</v>
      </c>
      <c r="Q1048">
        <v>0.218232014250103</v>
      </c>
      <c r="R1048">
        <v>0.92644854554419298</v>
      </c>
      <c r="S1048" t="s">
        <v>7718</v>
      </c>
      <c r="T1048" t="s">
        <v>13338</v>
      </c>
      <c r="U1048" t="s">
        <v>13338</v>
      </c>
      <c r="V1048" t="s">
        <v>13338</v>
      </c>
      <c r="W1048" t="s">
        <v>14360</v>
      </c>
      <c r="X1048">
        <v>7</v>
      </c>
      <c r="Y1048" t="s">
        <v>20962</v>
      </c>
      <c r="Z1048" t="s">
        <v>27463</v>
      </c>
      <c r="AA1048">
        <v>0.40597399190677819</v>
      </c>
      <c r="AB1048" t="str">
        <f>HYPERLINK("Melting_Curves/meltCurve_J3KNL6_SEC16A.pdf", "Melting_Curves/meltCurve_J3KNL6_SEC16A.pdf")</f>
        <v>Melting_Curves/meltCurve_J3KNL6_SEC16A.pdf</v>
      </c>
    </row>
    <row r="1049" spans="1:28" x14ac:dyDescent="0.25">
      <c r="A1049" t="s">
        <v>1053</v>
      </c>
      <c r="B1049">
        <v>0.99193492352474899</v>
      </c>
      <c r="C1049">
        <v>0.734487373791885</v>
      </c>
      <c r="D1049">
        <v>0.68148591634419198</v>
      </c>
      <c r="E1049">
        <v>0.23153867722181201</v>
      </c>
      <c r="F1049">
        <v>0.10818967113929</v>
      </c>
      <c r="G1049">
        <v>4.2931763629419001E-2</v>
      </c>
      <c r="H1049">
        <v>2.8887908295287701E-2</v>
      </c>
      <c r="I1049">
        <v>2.43488049208689E-2</v>
      </c>
      <c r="J1049">
        <v>4.7766624588406699E-2</v>
      </c>
      <c r="K1049">
        <v>1.9363187799562798E-2</v>
      </c>
      <c r="L1049">
        <v>845.10909368698003</v>
      </c>
      <c r="M1049">
        <v>18.049950237593599</v>
      </c>
      <c r="N1049">
        <v>46.901824385867002</v>
      </c>
      <c r="O1049">
        <v>46.257221175615904</v>
      </c>
      <c r="P1049">
        <v>-9.6055223645810595E-2</v>
      </c>
      <c r="Q1049">
        <v>1.53918615754862E-2</v>
      </c>
      <c r="R1049">
        <v>0.97945003056959201</v>
      </c>
      <c r="S1049" t="s">
        <v>7719</v>
      </c>
      <c r="T1049" t="s">
        <v>13338</v>
      </c>
      <c r="U1049" t="s">
        <v>13338</v>
      </c>
      <c r="V1049" t="s">
        <v>13338</v>
      </c>
      <c r="W1049" t="s">
        <v>14361</v>
      </c>
      <c r="X1049">
        <v>9</v>
      </c>
      <c r="Y1049" t="s">
        <v>20963</v>
      </c>
      <c r="Z1049" t="s">
        <v>27464</v>
      </c>
      <c r="AA1049">
        <v>0.25746747268762482</v>
      </c>
      <c r="AB1049" t="str">
        <f>HYPERLINK("Melting_Curves/meltCurve_J3KNM6_AGAP2.pdf", "Melting_Curves/meltCurve_J3KNM6_AGAP2.pdf")</f>
        <v>Melting_Curves/meltCurve_J3KNM6_AGAP2.pdf</v>
      </c>
    </row>
    <row r="1050" spans="1:28" x14ac:dyDescent="0.25">
      <c r="A1050" t="s">
        <v>1054</v>
      </c>
      <c r="B1050">
        <v>0.99193492352474899</v>
      </c>
      <c r="C1050">
        <v>1.0325453310346699</v>
      </c>
      <c r="D1050">
        <v>0.89368897659736501</v>
      </c>
      <c r="E1050">
        <v>0.76749483067681401</v>
      </c>
      <c r="F1050">
        <v>0.27850190026013499</v>
      </c>
      <c r="G1050">
        <v>0.13987133915035199</v>
      </c>
      <c r="H1050">
        <v>9.6758589611619095E-2</v>
      </c>
      <c r="I1050">
        <v>0.111029891988987</v>
      </c>
      <c r="J1050">
        <v>0.148435284745464</v>
      </c>
      <c r="K1050">
        <v>0.13025356670142599</v>
      </c>
      <c r="L1050">
        <v>1709.3489585315299</v>
      </c>
      <c r="M1050">
        <v>33.548888105658399</v>
      </c>
      <c r="N1050">
        <v>51.362275311194402</v>
      </c>
      <c r="O1050">
        <v>50.770980930110902</v>
      </c>
      <c r="P1050">
        <v>-0.14573846951817501</v>
      </c>
      <c r="Q1050">
        <v>0.11779445816784399</v>
      </c>
      <c r="R1050">
        <v>0.99298553376597298</v>
      </c>
      <c r="S1050" t="s">
        <v>7720</v>
      </c>
      <c r="T1050" t="s">
        <v>13338</v>
      </c>
      <c r="U1050" t="s">
        <v>13338</v>
      </c>
      <c r="V1050" t="s">
        <v>13338</v>
      </c>
      <c r="W1050" t="s">
        <v>14362</v>
      </c>
      <c r="X1050">
        <v>2</v>
      </c>
      <c r="Y1050" t="s">
        <v>20964</v>
      </c>
      <c r="Z1050" t="s">
        <v>27465</v>
      </c>
      <c r="AA1050">
        <v>0.44425603077154358</v>
      </c>
      <c r="AB1050" t="str">
        <f>HYPERLINK("Melting_Curves/meltCurve_J3KNN3_PHKG2.pdf", "Melting_Curves/meltCurve_J3KNN3_PHKG2.pdf")</f>
        <v>Melting_Curves/meltCurve_J3KNN3_PHKG2.pdf</v>
      </c>
    </row>
    <row r="1051" spans="1:28" x14ac:dyDescent="0.25">
      <c r="A1051" t="s">
        <v>1055</v>
      </c>
      <c r="B1051">
        <v>0.99193492352474899</v>
      </c>
      <c r="C1051">
        <v>0.52843327312531896</v>
      </c>
      <c r="D1051">
        <v>0.63063865612532999</v>
      </c>
      <c r="E1051">
        <v>0.267722984959199</v>
      </c>
      <c r="F1051">
        <v>0.16912991563340601</v>
      </c>
      <c r="G1051">
        <v>8.9242724229336198E-2</v>
      </c>
      <c r="H1051">
        <v>5.2102678456424599E-2</v>
      </c>
      <c r="I1051">
        <v>4.8242632161966503E-2</v>
      </c>
      <c r="J1051">
        <v>5.6963055197093299E-2</v>
      </c>
      <c r="K1051">
        <v>5.3893274205415599E-2</v>
      </c>
      <c r="L1051">
        <v>585.40576825123799</v>
      </c>
      <c r="M1051">
        <v>12.7655985170151</v>
      </c>
      <c r="N1051">
        <v>46.059998987349502</v>
      </c>
      <c r="O1051">
        <v>44.776442517948198</v>
      </c>
      <c r="P1051">
        <v>-6.9347640011697895E-2</v>
      </c>
      <c r="Q1051">
        <v>2.7213255443974502E-2</v>
      </c>
      <c r="R1051">
        <v>0.92886462861417196</v>
      </c>
      <c r="S1051" t="s">
        <v>7721</v>
      </c>
      <c r="T1051" t="s">
        <v>13338</v>
      </c>
      <c r="U1051" t="s">
        <v>13338</v>
      </c>
      <c r="V1051" t="s">
        <v>13338</v>
      </c>
      <c r="W1051" t="s">
        <v>14363</v>
      </c>
      <c r="X1051">
        <v>14</v>
      </c>
      <c r="Y1051" t="s">
        <v>20965</v>
      </c>
      <c r="Z1051" t="s">
        <v>27466</v>
      </c>
      <c r="AA1051">
        <v>0.25702016472042177</v>
      </c>
      <c r="AB1051" t="str">
        <f>HYPERLINK("Melting_Curves/meltCurve_J3KNN5_DDX41.pdf", "Melting_Curves/meltCurve_J3KNN5_DDX41.pdf")</f>
        <v>Melting_Curves/meltCurve_J3KNN5_DDX41.pdf</v>
      </c>
    </row>
    <row r="1052" spans="1:28" x14ac:dyDescent="0.25">
      <c r="A1052" t="s">
        <v>1056</v>
      </c>
      <c r="B1052">
        <v>0.99193492352474899</v>
      </c>
      <c r="C1052">
        <v>0.71440717389905195</v>
      </c>
      <c r="D1052">
        <v>0.53979208042983196</v>
      </c>
      <c r="E1052">
        <v>0.21218587245753601</v>
      </c>
      <c r="F1052">
        <v>0.14592047402715699</v>
      </c>
      <c r="G1052">
        <v>8.6463966122485497E-2</v>
      </c>
      <c r="H1052">
        <v>6.09326557005282E-2</v>
      </c>
      <c r="I1052">
        <v>8.0766606219604298E-2</v>
      </c>
      <c r="J1052">
        <v>0.112872914926077</v>
      </c>
      <c r="K1052">
        <v>0.105651515103063</v>
      </c>
      <c r="L1052">
        <v>865.42417536763105</v>
      </c>
      <c r="M1052">
        <v>19.032071287831499</v>
      </c>
      <c r="N1052">
        <v>45.908548704707997</v>
      </c>
      <c r="O1052">
        <v>44.978789451826103</v>
      </c>
      <c r="P1052">
        <v>-9.7028889193838105E-2</v>
      </c>
      <c r="Q1052">
        <v>8.2796801597221595E-2</v>
      </c>
      <c r="R1052">
        <v>0.98688770601494502</v>
      </c>
      <c r="S1052" t="s">
        <v>7722</v>
      </c>
      <c r="T1052" t="s">
        <v>13338</v>
      </c>
      <c r="U1052" t="s">
        <v>13338</v>
      </c>
      <c r="V1052" t="s">
        <v>13338</v>
      </c>
      <c r="W1052" t="s">
        <v>14364</v>
      </c>
      <c r="X1052">
        <v>7</v>
      </c>
      <c r="Y1052" t="s">
        <v>20966</v>
      </c>
      <c r="Z1052" t="s">
        <v>27467</v>
      </c>
      <c r="AA1052">
        <v>0.26668242032479311</v>
      </c>
      <c r="AB1052" t="str">
        <f>HYPERLINK("Melting_Curves/meltCurve_J3KNN7_BRAP.pdf", "Melting_Curves/meltCurve_J3KNN7_BRAP.pdf")</f>
        <v>Melting_Curves/meltCurve_J3KNN7_BRAP.pdf</v>
      </c>
    </row>
    <row r="1053" spans="1:28" x14ac:dyDescent="0.25">
      <c r="A1053" t="s">
        <v>1057</v>
      </c>
      <c r="B1053">
        <v>0.99193492352474899</v>
      </c>
      <c r="C1053">
        <v>1.05606165285188</v>
      </c>
      <c r="D1053">
        <v>0.94174157811270498</v>
      </c>
      <c r="E1053">
        <v>0.67770263682806398</v>
      </c>
      <c r="F1053">
        <v>0.58448412178707998</v>
      </c>
      <c r="G1053">
        <v>0.46304233823843</v>
      </c>
      <c r="H1053">
        <v>0.24079247716199301</v>
      </c>
      <c r="I1053">
        <v>0.28480208807333202</v>
      </c>
      <c r="J1053">
        <v>0.294015754304222</v>
      </c>
      <c r="K1053">
        <v>0.35959160501075899</v>
      </c>
      <c r="L1053">
        <v>883.66736561985601</v>
      </c>
      <c r="M1053">
        <v>17.195018750066598</v>
      </c>
      <c r="N1053">
        <v>54.090662529962898</v>
      </c>
      <c r="O1053">
        <v>50.710903097277303</v>
      </c>
      <c r="P1053">
        <v>-6.03557606298291E-2</v>
      </c>
      <c r="Q1053">
        <v>0.28804602042002098</v>
      </c>
      <c r="R1053">
        <v>0.96465842579789796</v>
      </c>
      <c r="S1053" t="s">
        <v>7723</v>
      </c>
      <c r="T1053" t="s">
        <v>13338</v>
      </c>
      <c r="U1053" t="s">
        <v>13338</v>
      </c>
      <c r="V1053" t="s">
        <v>13338</v>
      </c>
      <c r="W1053" t="s">
        <v>14365</v>
      </c>
      <c r="X1053">
        <v>4</v>
      </c>
      <c r="Y1053" t="s">
        <v>20967</v>
      </c>
      <c r="Z1053" t="s">
        <v>27468</v>
      </c>
      <c r="AA1053">
        <v>0.5713069355968875</v>
      </c>
      <c r="AB1053" t="str">
        <f>HYPERLINK("Melting_Curves/meltCurve_J3KNP4_SEMA4B.pdf", "Melting_Curves/meltCurve_J3KNP4_SEMA4B.pdf")</f>
        <v>Melting_Curves/meltCurve_J3KNP4_SEMA4B.pdf</v>
      </c>
    </row>
    <row r="1054" spans="1:28" x14ac:dyDescent="0.25">
      <c r="A1054" t="s">
        <v>1058</v>
      </c>
      <c r="B1054">
        <v>0.99193492352474899</v>
      </c>
      <c r="C1054">
        <v>0.66857821635217995</v>
      </c>
      <c r="D1054">
        <v>0.78904722365095403</v>
      </c>
      <c r="E1054">
        <v>0.44986876481940002</v>
      </c>
      <c r="F1054">
        <v>0.21125200935611599</v>
      </c>
      <c r="G1054">
        <v>0.156916992810821</v>
      </c>
      <c r="H1054">
        <v>8.5485324212765196E-2</v>
      </c>
      <c r="I1054">
        <v>0.12530611556044599</v>
      </c>
      <c r="J1054">
        <v>0.119587482525392</v>
      </c>
      <c r="K1054">
        <v>0.119827259896057</v>
      </c>
      <c r="L1054">
        <v>650.93136463076598</v>
      </c>
      <c r="M1054">
        <v>13.5929027910566</v>
      </c>
      <c r="N1054">
        <v>48.490944423753497</v>
      </c>
      <c r="O1054">
        <v>46.886795014251803</v>
      </c>
      <c r="P1054">
        <v>-6.6848272528287997E-2</v>
      </c>
      <c r="Q1054">
        <v>7.7802301838847898E-2</v>
      </c>
      <c r="R1054">
        <v>0.94411725522656498</v>
      </c>
      <c r="S1054" t="s">
        <v>7724</v>
      </c>
      <c r="T1054" t="s">
        <v>13338</v>
      </c>
      <c r="U1054" t="s">
        <v>13338</v>
      </c>
      <c r="V1054" t="s">
        <v>13338</v>
      </c>
      <c r="W1054" t="s">
        <v>14366</v>
      </c>
      <c r="X1054">
        <v>11</v>
      </c>
      <c r="Y1054" t="s">
        <v>20968</v>
      </c>
      <c r="Z1054" t="s">
        <v>27469</v>
      </c>
      <c r="AA1054">
        <v>0.34917158282768412</v>
      </c>
      <c r="AB1054" t="str">
        <f>HYPERLINK("Melting_Curves/meltCurve_J3KNR0_MARK3.pdf", "Melting_Curves/meltCurve_J3KNR0_MARK3.pdf")</f>
        <v>Melting_Curves/meltCurve_J3KNR0_MARK3.pdf</v>
      </c>
    </row>
    <row r="1055" spans="1:28" x14ac:dyDescent="0.25">
      <c r="A1055" t="s">
        <v>1059</v>
      </c>
      <c r="B1055">
        <v>0.99193492352474899</v>
      </c>
      <c r="C1055">
        <v>0.92203236517293197</v>
      </c>
      <c r="D1055">
        <v>0.757386748594439</v>
      </c>
      <c r="E1055">
        <v>0.69186080221388002</v>
      </c>
      <c r="F1055">
        <v>0.15991948185350199</v>
      </c>
      <c r="G1055">
        <v>9.9214613575313707E-2</v>
      </c>
      <c r="H1055">
        <v>1.7684930945830301E-2</v>
      </c>
      <c r="I1055">
        <v>9.2242944827615095E-2</v>
      </c>
      <c r="J1055">
        <v>5.6593661166761303E-2</v>
      </c>
      <c r="K1055">
        <v>7.0206571633596407E-2</v>
      </c>
      <c r="L1055">
        <v>1049.7260190541001</v>
      </c>
      <c r="M1055">
        <v>20.982262973920399</v>
      </c>
      <c r="N1055">
        <v>50.223229568168101</v>
      </c>
      <c r="O1055">
        <v>49.581418817268499</v>
      </c>
      <c r="P1055">
        <v>-0.10168106573024301</v>
      </c>
      <c r="Q1055">
        <v>3.8929864124456898E-2</v>
      </c>
      <c r="R1055">
        <v>0.96899020112709999</v>
      </c>
      <c r="S1055" t="s">
        <v>7725</v>
      </c>
      <c r="T1055" t="s">
        <v>13338</v>
      </c>
      <c r="U1055" t="s">
        <v>13338</v>
      </c>
      <c r="V1055" t="s">
        <v>13338</v>
      </c>
      <c r="W1055" t="s">
        <v>14367</v>
      </c>
      <c r="X1055">
        <v>1</v>
      </c>
      <c r="Y1055" t="s">
        <v>20969</v>
      </c>
      <c r="Z1055" t="s">
        <v>27470</v>
      </c>
      <c r="AA1055">
        <v>0.37240152358379158</v>
      </c>
      <c r="AB1055" t="str">
        <f>HYPERLINK("Melting_Curves/meltCurve_J3KNV1_ZNF292.pdf", "Melting_Curves/meltCurve_J3KNV1_ZNF292.pdf")</f>
        <v>Melting_Curves/meltCurve_J3KNV1_ZNF292.pdf</v>
      </c>
    </row>
    <row r="1056" spans="1:28" x14ac:dyDescent="0.25">
      <c r="A1056" t="s">
        <v>1060</v>
      </c>
      <c r="B1056">
        <v>0.99193492352474899</v>
      </c>
      <c r="C1056">
        <v>0.96247499044629403</v>
      </c>
      <c r="D1056">
        <v>0.83570637006085302</v>
      </c>
      <c r="E1056">
        <v>0.70268474649600998</v>
      </c>
      <c r="F1056">
        <v>0.34524483283555701</v>
      </c>
      <c r="G1056">
        <v>0.194951206440063</v>
      </c>
      <c r="H1056">
        <v>0.14728447414528101</v>
      </c>
      <c r="I1056">
        <v>0.222352527512856</v>
      </c>
      <c r="J1056">
        <v>0.23227745087537999</v>
      </c>
      <c r="K1056">
        <v>0.35980161324573501</v>
      </c>
      <c r="L1056">
        <v>1245.2677236325801</v>
      </c>
      <c r="M1056">
        <v>24.9327765418236</v>
      </c>
      <c r="N1056">
        <v>51.154795317266696</v>
      </c>
      <c r="O1056">
        <v>49.627049664581897</v>
      </c>
      <c r="P1056">
        <v>-9.7625921812243693E-2</v>
      </c>
      <c r="Q1056">
        <v>0.22273886842374299</v>
      </c>
      <c r="R1056">
        <v>0.95978645447233502</v>
      </c>
      <c r="S1056" t="s">
        <v>7726</v>
      </c>
      <c r="T1056" t="s">
        <v>13338</v>
      </c>
      <c r="U1056" t="s">
        <v>13338</v>
      </c>
      <c r="V1056" t="s">
        <v>13338</v>
      </c>
      <c r="W1056" t="s">
        <v>14368</v>
      </c>
      <c r="X1056">
        <v>7</v>
      </c>
      <c r="Y1056" t="s">
        <v>20970</v>
      </c>
      <c r="Z1056" t="s">
        <v>27471</v>
      </c>
      <c r="AA1056">
        <v>0.48738199329320159</v>
      </c>
      <c r="AB1056" t="str">
        <f>HYPERLINK("Melting_Curves/meltCurve_J3KNW4_FHL2.pdf", "Melting_Curves/meltCurve_J3KNW4_FHL2.pdf")</f>
        <v>Melting_Curves/meltCurve_J3KNW4_FHL2.pdf</v>
      </c>
    </row>
    <row r="1057" spans="1:28" x14ac:dyDescent="0.25">
      <c r="A1057" t="s">
        <v>1061</v>
      </c>
      <c r="B1057">
        <v>0.99193492352474899</v>
      </c>
      <c r="C1057">
        <v>0.58164828228670795</v>
      </c>
      <c r="D1057">
        <v>0.58973300946292795</v>
      </c>
      <c r="E1057">
        <v>0.37863791974503402</v>
      </c>
      <c r="F1057">
        <v>0.205133894514584</v>
      </c>
      <c r="G1057">
        <v>8.8436920527474594E-2</v>
      </c>
      <c r="H1057">
        <v>7.3584071364660705E-2</v>
      </c>
      <c r="I1057">
        <v>6.1465232132603E-2</v>
      </c>
      <c r="J1057">
        <v>0.10782067173925999</v>
      </c>
      <c r="K1057">
        <v>9.3271681180384397E-2</v>
      </c>
      <c r="L1057">
        <v>568.95154841983504</v>
      </c>
      <c r="M1057">
        <v>12.3269099407308</v>
      </c>
      <c r="N1057">
        <v>46.573745012635598</v>
      </c>
      <c r="O1057">
        <v>44.991024272720999</v>
      </c>
      <c r="P1057">
        <v>-6.4919615067108596E-2</v>
      </c>
      <c r="Q1057">
        <v>5.24261412938333E-2</v>
      </c>
      <c r="R1057">
        <v>0.94753607746742496</v>
      </c>
      <c r="S1057" t="s">
        <v>7727</v>
      </c>
      <c r="T1057" t="s">
        <v>13338</v>
      </c>
      <c r="U1057" t="s">
        <v>13338</v>
      </c>
      <c r="V1057" t="s">
        <v>13338</v>
      </c>
      <c r="W1057" t="s">
        <v>14369</v>
      </c>
      <c r="X1057">
        <v>39</v>
      </c>
      <c r="Y1057" t="s">
        <v>20971</v>
      </c>
      <c r="Z1057" t="s">
        <v>27472</v>
      </c>
      <c r="AA1057">
        <v>0.28730211664306221</v>
      </c>
      <c r="AB1057" t="str">
        <f>HYPERLINK("Melting_Curves/meltCurve_J3KNX9_MYO18A.pdf", "Melting_Curves/meltCurve_J3KNX9_MYO18A.pdf")</f>
        <v>Melting_Curves/meltCurve_J3KNX9_MYO18A.pdf</v>
      </c>
    </row>
    <row r="1058" spans="1:28" x14ac:dyDescent="0.25">
      <c r="A1058" t="s">
        <v>1062</v>
      </c>
      <c r="B1058">
        <v>0.99193492352474899</v>
      </c>
      <c r="C1058">
        <v>1.11679969557794</v>
      </c>
      <c r="D1058">
        <v>0.87545897109330895</v>
      </c>
      <c r="E1058">
        <v>0.81166937014375995</v>
      </c>
      <c r="F1058">
        <v>0.54570142272858502</v>
      </c>
      <c r="G1058">
        <v>0.40647710425207001</v>
      </c>
      <c r="H1058">
        <v>0.31558184854409199</v>
      </c>
      <c r="I1058">
        <v>0.47256854634565598</v>
      </c>
      <c r="J1058">
        <v>0.61899853399235205</v>
      </c>
      <c r="K1058">
        <v>0.62857538981028105</v>
      </c>
      <c r="L1058">
        <v>1706.9769712561499</v>
      </c>
      <c r="M1058">
        <v>34.084515974745301</v>
      </c>
      <c r="N1058">
        <v>56.159024238241898</v>
      </c>
      <c r="O1058">
        <v>49.909269437163999</v>
      </c>
      <c r="P1058">
        <v>-8.7500227261883196E-2</v>
      </c>
      <c r="Q1058">
        <v>0.48750275164187201</v>
      </c>
      <c r="R1058">
        <v>0.83768022826079702</v>
      </c>
      <c r="S1058" t="s">
        <v>7728</v>
      </c>
      <c r="T1058" t="s">
        <v>13338</v>
      </c>
      <c r="U1058" t="s">
        <v>13338</v>
      </c>
      <c r="V1058" t="s">
        <v>13338</v>
      </c>
      <c r="W1058" t="s">
        <v>14370</v>
      </c>
      <c r="X1058">
        <v>8</v>
      </c>
      <c r="Y1058" t="s">
        <v>20972</v>
      </c>
      <c r="Z1058" t="s">
        <v>27473</v>
      </c>
      <c r="AA1058">
        <v>0.66216597850426073</v>
      </c>
      <c r="AB1058" t="str">
        <f>HYPERLINK("Melting_Curves/meltCurve_J3KP15_SRSF2.pdf", "Melting_Curves/meltCurve_J3KP15_SRSF2.pdf")</f>
        <v>Melting_Curves/meltCurve_J3KP15_SRSF2.pdf</v>
      </c>
    </row>
    <row r="1059" spans="1:28" x14ac:dyDescent="0.25">
      <c r="A1059" t="s">
        <v>1063</v>
      </c>
      <c r="B1059">
        <v>0.99193492352474899</v>
      </c>
      <c r="C1059">
        <v>0.71717429944831301</v>
      </c>
      <c r="D1059">
        <v>0.60922780830775503</v>
      </c>
      <c r="E1059">
        <v>0.46931997889337701</v>
      </c>
      <c r="F1059">
        <v>0.36173914583184302</v>
      </c>
      <c r="G1059">
        <v>0.31910416833300398</v>
      </c>
      <c r="H1059">
        <v>0.314540077677053</v>
      </c>
      <c r="I1059">
        <v>0.42969527940413199</v>
      </c>
      <c r="J1059">
        <v>0.47400256284279202</v>
      </c>
      <c r="K1059">
        <v>0.77473296213187504</v>
      </c>
      <c r="L1059">
        <v>1113.5445885746201</v>
      </c>
      <c r="M1059">
        <v>25.662114040471199</v>
      </c>
      <c r="N1059">
        <v>47.646181025860301</v>
      </c>
      <c r="O1059">
        <v>43.1316236522579</v>
      </c>
      <c r="P1059">
        <v>-8.1896416600829303E-2</v>
      </c>
      <c r="Q1059">
        <v>0.44941676404177899</v>
      </c>
      <c r="R1059">
        <v>0.64592870757840803</v>
      </c>
      <c r="S1059" t="s">
        <v>7729</v>
      </c>
      <c r="T1059" t="s">
        <v>13338</v>
      </c>
      <c r="U1059" t="s">
        <v>13338</v>
      </c>
      <c r="V1059" t="s">
        <v>13338</v>
      </c>
      <c r="W1059" t="s">
        <v>14371</v>
      </c>
      <c r="X1059">
        <v>4</v>
      </c>
      <c r="Y1059" t="s">
        <v>20973</v>
      </c>
      <c r="Z1059" t="s">
        <v>27474</v>
      </c>
      <c r="AA1059">
        <v>0.51838477560684548</v>
      </c>
      <c r="AB1059" t="str">
        <f>HYPERLINK("Melting_Curves/meltCurve_J3KP19_SIPA1L1.pdf", "Melting_Curves/meltCurve_J3KP19_SIPA1L1.pdf")</f>
        <v>Melting_Curves/meltCurve_J3KP19_SIPA1L1.pdf</v>
      </c>
    </row>
    <row r="1060" spans="1:28" x14ac:dyDescent="0.25">
      <c r="A1060" t="s">
        <v>1064</v>
      </c>
      <c r="B1060">
        <v>0.99193492352474899</v>
      </c>
      <c r="C1060">
        <v>0.88837921987599999</v>
      </c>
      <c r="D1060">
        <v>0.96157050007364597</v>
      </c>
      <c r="E1060">
        <v>0.72805879184914002</v>
      </c>
      <c r="F1060">
        <v>0.33059509732275699</v>
      </c>
      <c r="G1060">
        <v>0.16604471832668599</v>
      </c>
      <c r="H1060">
        <v>0.109178842281786</v>
      </c>
      <c r="I1060">
        <v>0.102577638775126</v>
      </c>
      <c r="J1060">
        <v>0.110894982621391</v>
      </c>
      <c r="K1060">
        <v>0.11241267195187001</v>
      </c>
      <c r="L1060">
        <v>1349.4742443949101</v>
      </c>
      <c r="M1060">
        <v>26.412112163162401</v>
      </c>
      <c r="N1060">
        <v>51.547676183016399</v>
      </c>
      <c r="O1060">
        <v>50.8028121649143</v>
      </c>
      <c r="P1060">
        <v>-0.11646949594315099</v>
      </c>
      <c r="Q1060">
        <v>0.103909006661037</v>
      </c>
      <c r="R1060">
        <v>0.99163045230228997</v>
      </c>
      <c r="S1060" t="s">
        <v>7730</v>
      </c>
      <c r="T1060" t="s">
        <v>13338</v>
      </c>
      <c r="U1060" t="s">
        <v>13338</v>
      </c>
      <c r="V1060" t="s">
        <v>13338</v>
      </c>
      <c r="W1060" t="s">
        <v>14372</v>
      </c>
      <c r="X1060">
        <v>9</v>
      </c>
      <c r="Y1060" t="s">
        <v>20974</v>
      </c>
      <c r="Z1060" t="s">
        <v>27475</v>
      </c>
      <c r="AA1060">
        <v>0.44252537896597199</v>
      </c>
      <c r="AB1060" t="str">
        <f>HYPERLINK("Melting_Curves/meltCurve_J3KP22_PTPRA.pdf", "Melting_Curves/meltCurve_J3KP22_PTPRA.pdf")</f>
        <v>Melting_Curves/meltCurve_J3KP22_PTPRA.pdf</v>
      </c>
    </row>
    <row r="1061" spans="1:28" x14ac:dyDescent="0.25">
      <c r="A1061" t="s">
        <v>1065</v>
      </c>
      <c r="B1061">
        <v>0.99193492352474899</v>
      </c>
      <c r="C1061">
        <v>1.1275752728403501</v>
      </c>
      <c r="D1061">
        <v>1.12581324087239</v>
      </c>
      <c r="E1061">
        <v>0.92133644896038303</v>
      </c>
      <c r="F1061">
        <v>0.62029503670529595</v>
      </c>
      <c r="G1061">
        <v>0.25566364155481203</v>
      </c>
      <c r="H1061">
        <v>0.16477658636027401</v>
      </c>
      <c r="I1061">
        <v>0.19136731971000001</v>
      </c>
      <c r="J1061">
        <v>0.226741173470074</v>
      </c>
      <c r="K1061">
        <v>0.2778980222854</v>
      </c>
      <c r="L1061">
        <v>2154.30559604671</v>
      </c>
      <c r="M1061">
        <v>40.479222956050101</v>
      </c>
      <c r="N1061">
        <v>53.953956040448602</v>
      </c>
      <c r="O1061">
        <v>53.0906412821275</v>
      </c>
      <c r="P1061">
        <v>-0.15026002512886599</v>
      </c>
      <c r="Q1061">
        <v>0.211705688018407</v>
      </c>
      <c r="R1061">
        <v>0.97244011565130595</v>
      </c>
      <c r="S1061" t="s">
        <v>7731</v>
      </c>
      <c r="T1061" t="s">
        <v>13338</v>
      </c>
      <c r="U1061" t="s">
        <v>13338</v>
      </c>
      <c r="V1061" t="s">
        <v>13338</v>
      </c>
      <c r="W1061" t="s">
        <v>14373</v>
      </c>
      <c r="X1061">
        <v>4</v>
      </c>
      <c r="Y1061" t="s">
        <v>20975</v>
      </c>
      <c r="Z1061" t="s">
        <v>27476</v>
      </c>
      <c r="AA1061">
        <v>0.56190958788974121</v>
      </c>
      <c r="AB1061" t="str">
        <f>HYPERLINK("Melting_Curves/meltCurve_J3KP26_ANKRD46.pdf", "Melting_Curves/meltCurve_J3KP26_ANKRD46.pdf")</f>
        <v>Melting_Curves/meltCurve_J3KP26_ANKRD46.pdf</v>
      </c>
    </row>
    <row r="1062" spans="1:28" x14ac:dyDescent="0.25">
      <c r="A1062" t="s">
        <v>1066</v>
      </c>
      <c r="B1062">
        <v>0.99193492352474899</v>
      </c>
      <c r="C1062">
        <v>0.875808356681822</v>
      </c>
      <c r="D1062">
        <v>0.81494129109978297</v>
      </c>
      <c r="E1062">
        <v>0.69568578662434699</v>
      </c>
      <c r="F1062">
        <v>0.63277661033230403</v>
      </c>
      <c r="G1062">
        <v>0.59530627800948599</v>
      </c>
      <c r="H1062">
        <v>0.45537909753824002</v>
      </c>
      <c r="I1062">
        <v>0.54705989782627396</v>
      </c>
      <c r="J1062">
        <v>0.56710144540055396</v>
      </c>
      <c r="K1062">
        <v>0.70108876008392496</v>
      </c>
      <c r="L1062">
        <v>741.85694696855398</v>
      </c>
      <c r="M1062">
        <v>15.958671081077</v>
      </c>
      <c r="O1062">
        <v>45.774567325835697</v>
      </c>
      <c r="P1062">
        <v>-3.7570027119518998E-2</v>
      </c>
      <c r="Q1062">
        <v>0.56898270197944401</v>
      </c>
      <c r="R1062">
        <v>0.85646621643196097</v>
      </c>
      <c r="S1062" t="s">
        <v>7732</v>
      </c>
      <c r="T1062" t="s">
        <v>13338</v>
      </c>
      <c r="U1062" t="s">
        <v>13338</v>
      </c>
      <c r="V1062" t="s">
        <v>13338</v>
      </c>
      <c r="W1062" t="s">
        <v>14374</v>
      </c>
      <c r="X1062">
        <v>2</v>
      </c>
      <c r="Y1062" t="s">
        <v>20976</v>
      </c>
      <c r="Z1062" t="s">
        <v>27477</v>
      </c>
      <c r="AA1062">
        <v>0.67280570767902148</v>
      </c>
      <c r="AB1062" t="str">
        <f>HYPERLINK("Melting_Curves/meltCurve_J3KP75_PHACTR2.pdf", "Melting_Curves/meltCurve_J3KP75_PHACTR2.pdf")</f>
        <v>Melting_Curves/meltCurve_J3KP75_PHACTR2.pdf</v>
      </c>
    </row>
    <row r="1063" spans="1:28" x14ac:dyDescent="0.25">
      <c r="A1063" t="s">
        <v>1067</v>
      </c>
      <c r="B1063">
        <v>0.99193492352474899</v>
      </c>
      <c r="C1063">
        <v>1.10687661778414</v>
      </c>
      <c r="D1063">
        <v>0.76205429165412697</v>
      </c>
      <c r="E1063">
        <v>0.39178511678991801</v>
      </c>
      <c r="F1063">
        <v>0.31500402435707497</v>
      </c>
      <c r="G1063">
        <v>0.171557395805184</v>
      </c>
      <c r="H1063">
        <v>0.118264870995204</v>
      </c>
      <c r="I1063">
        <v>0.118181318341608</v>
      </c>
      <c r="J1063">
        <v>0.145119531011733</v>
      </c>
      <c r="K1063">
        <v>0.15909909664907901</v>
      </c>
      <c r="L1063">
        <v>1215.5417392299701</v>
      </c>
      <c r="M1063">
        <v>25.261775235173499</v>
      </c>
      <c r="N1063">
        <v>48.809424938107</v>
      </c>
      <c r="O1063">
        <v>47.819342655508699</v>
      </c>
      <c r="P1063">
        <v>-0.11220196345827101</v>
      </c>
      <c r="Q1063">
        <v>0.150439095515632</v>
      </c>
      <c r="R1063">
        <v>0.97364176820261705</v>
      </c>
      <c r="S1063" t="s">
        <v>7733</v>
      </c>
      <c r="T1063" t="s">
        <v>13338</v>
      </c>
      <c r="U1063" t="s">
        <v>13338</v>
      </c>
      <c r="V1063" t="s">
        <v>13338</v>
      </c>
      <c r="W1063" t="s">
        <v>14375</v>
      </c>
      <c r="X1063">
        <v>6</v>
      </c>
      <c r="Y1063" t="s">
        <v>20977</v>
      </c>
      <c r="Z1063" t="s">
        <v>27478</v>
      </c>
      <c r="AA1063">
        <v>0.38766931602857102</v>
      </c>
      <c r="AB1063" t="str">
        <f>HYPERLINK("Melting_Curves/meltCurve_J3KPC5_RAP1GAP.pdf", "Melting_Curves/meltCurve_J3KPC5_RAP1GAP.pdf")</f>
        <v>Melting_Curves/meltCurve_J3KPC5_RAP1GAP.pdf</v>
      </c>
    </row>
    <row r="1064" spans="1:28" x14ac:dyDescent="0.25">
      <c r="A1064" t="s">
        <v>1068</v>
      </c>
      <c r="B1064">
        <v>0.99193492352474899</v>
      </c>
      <c r="C1064">
        <v>0.48605022736871101</v>
      </c>
      <c r="D1064">
        <v>0.87096920312956505</v>
      </c>
      <c r="E1064">
        <v>0.348705774035734</v>
      </c>
      <c r="F1064">
        <v>0.193635573155576</v>
      </c>
      <c r="G1064">
        <v>7.9626379297999594E-2</v>
      </c>
      <c r="H1064">
        <v>8.5051933006398101E-2</v>
      </c>
      <c r="I1064">
        <v>0.16238307994357901</v>
      </c>
      <c r="J1064">
        <v>0.28968480206192498</v>
      </c>
      <c r="K1064">
        <v>0.46749756434958301</v>
      </c>
      <c r="L1064">
        <v>690.801737542399</v>
      </c>
      <c r="M1064">
        <v>15.145745620400699</v>
      </c>
      <c r="N1064">
        <v>47.195403558039303</v>
      </c>
      <c r="O1064">
        <v>44.837331447286097</v>
      </c>
      <c r="P1064">
        <v>-6.76195557106892E-2</v>
      </c>
      <c r="Q1064">
        <v>0.19935656699814</v>
      </c>
      <c r="R1064">
        <v>0.65572470954190398</v>
      </c>
      <c r="S1064" t="s">
        <v>7734</v>
      </c>
      <c r="T1064" t="s">
        <v>13338</v>
      </c>
      <c r="U1064" t="s">
        <v>13338</v>
      </c>
      <c r="V1064" t="s">
        <v>13338</v>
      </c>
      <c r="W1064" t="s">
        <v>14376</v>
      </c>
      <c r="X1064">
        <v>3</v>
      </c>
      <c r="Y1064" t="s">
        <v>20978</v>
      </c>
      <c r="Z1064" t="s">
        <v>27479</v>
      </c>
      <c r="AA1064">
        <v>0.37278993178688152</v>
      </c>
      <c r="AB1064" t="str">
        <f>HYPERLINK("Melting_Curves/meltCurve_J3KPD3_RBM7.pdf", "Melting_Curves/meltCurve_J3KPD3_RBM7.pdf")</f>
        <v>Melting_Curves/meltCurve_J3KPD3_RBM7.pdf</v>
      </c>
    </row>
    <row r="1065" spans="1:28" x14ac:dyDescent="0.25">
      <c r="A1065" t="s">
        <v>1069</v>
      </c>
      <c r="B1065">
        <v>0.99193492352474899</v>
      </c>
      <c r="C1065">
        <v>0.98531704279634003</v>
      </c>
      <c r="D1065">
        <v>0.69470082125326404</v>
      </c>
      <c r="E1065">
        <v>0.41696901507344097</v>
      </c>
      <c r="F1065">
        <v>0.21140836532501101</v>
      </c>
      <c r="G1065">
        <v>0.15114562315273899</v>
      </c>
      <c r="H1065">
        <v>9.36963823141964E-2</v>
      </c>
      <c r="I1065">
        <v>9.2958854446516997E-2</v>
      </c>
      <c r="J1065">
        <v>0.118058450712624</v>
      </c>
      <c r="K1065">
        <v>5.9170401129637E-2</v>
      </c>
      <c r="L1065">
        <v>959.21275838402801</v>
      </c>
      <c r="M1065">
        <v>19.965136341904898</v>
      </c>
      <c r="N1065">
        <v>48.531934630440801</v>
      </c>
      <c r="O1065">
        <v>47.570176066719903</v>
      </c>
      <c r="P1065">
        <v>-9.5393398624856102E-2</v>
      </c>
      <c r="Q1065">
        <v>9.0868810745418402E-2</v>
      </c>
      <c r="R1065">
        <v>0.99380046434301095</v>
      </c>
      <c r="S1065" t="s">
        <v>7735</v>
      </c>
      <c r="T1065" t="s">
        <v>13338</v>
      </c>
      <c r="U1065" t="s">
        <v>13338</v>
      </c>
      <c r="V1065" t="s">
        <v>13338</v>
      </c>
      <c r="W1065" t="s">
        <v>14377</v>
      </c>
      <c r="X1065">
        <v>7</v>
      </c>
      <c r="Y1065" t="s">
        <v>20979</v>
      </c>
      <c r="Z1065" t="s">
        <v>27480</v>
      </c>
      <c r="AA1065">
        <v>0.34760501894621482</v>
      </c>
      <c r="AB1065" t="str">
        <f>HYPERLINK("Melting_Curves/meltCurve_J3KPF9_KIF3A.pdf", "Melting_Curves/meltCurve_J3KPF9_KIF3A.pdf")</f>
        <v>Melting_Curves/meltCurve_J3KPF9_KIF3A.pdf</v>
      </c>
    </row>
    <row r="1066" spans="1:28" x14ac:dyDescent="0.25">
      <c r="A1066" t="s">
        <v>1070</v>
      </c>
      <c r="B1066">
        <v>0.99193492352474899</v>
      </c>
      <c r="C1066">
        <v>1.0530324390588801</v>
      </c>
      <c r="D1066">
        <v>0.87234516262402895</v>
      </c>
      <c r="E1066">
        <v>0.56822277823184697</v>
      </c>
      <c r="F1066">
        <v>0.47338552875022799</v>
      </c>
      <c r="G1066">
        <v>0.18386379471655001</v>
      </c>
      <c r="H1066">
        <v>0.122982094323807</v>
      </c>
      <c r="I1066">
        <v>0.182151794488322</v>
      </c>
      <c r="J1066">
        <v>0.13810730742277799</v>
      </c>
      <c r="K1066">
        <v>0.19761351446662201</v>
      </c>
      <c r="L1066">
        <v>945.81111630687997</v>
      </c>
      <c r="M1066">
        <v>18.791397754909099</v>
      </c>
      <c r="N1066">
        <v>51.275607715626997</v>
      </c>
      <c r="O1066">
        <v>49.77252107228</v>
      </c>
      <c r="P1066">
        <v>-8.0594437938495606E-2</v>
      </c>
      <c r="Q1066">
        <v>0.146157978294158</v>
      </c>
      <c r="R1066">
        <v>0.97612146254901999</v>
      </c>
      <c r="S1066" t="s">
        <v>7736</v>
      </c>
      <c r="T1066" t="s">
        <v>13338</v>
      </c>
      <c r="U1066" t="s">
        <v>13338</v>
      </c>
      <c r="V1066" t="s">
        <v>13338</v>
      </c>
      <c r="W1066" t="s">
        <v>14378</v>
      </c>
      <c r="X1066">
        <v>1</v>
      </c>
      <c r="Y1066" t="s">
        <v>20980</v>
      </c>
      <c r="Z1066" t="s">
        <v>27481</v>
      </c>
      <c r="AA1066">
        <v>0.45359841889884922</v>
      </c>
      <c r="AB1066" t="str">
        <f>HYPERLINK("Melting_Curves/meltCurve_J3KPG6_PSTPIP1.pdf", "Melting_Curves/meltCurve_J3KPG6_PSTPIP1.pdf")</f>
        <v>Melting_Curves/meltCurve_J3KPG6_PSTPIP1.pdf</v>
      </c>
    </row>
    <row r="1067" spans="1:28" x14ac:dyDescent="0.25">
      <c r="A1067" t="s">
        <v>1071</v>
      </c>
      <c r="B1067">
        <v>0.99193492352474899</v>
      </c>
      <c r="C1067">
        <v>0.73646469844426699</v>
      </c>
      <c r="D1067">
        <v>0.53964493607160102</v>
      </c>
      <c r="E1067">
        <v>0.39460877877810202</v>
      </c>
      <c r="F1067">
        <v>0.301280116804513</v>
      </c>
      <c r="G1067">
        <v>0.19117975316209099</v>
      </c>
      <c r="H1067">
        <v>0.13460355764189499</v>
      </c>
      <c r="I1067">
        <v>0.105729306336312</v>
      </c>
      <c r="J1067">
        <v>9.6437793886723203E-2</v>
      </c>
      <c r="K1067">
        <v>0.115732514938166</v>
      </c>
      <c r="L1067">
        <v>583.61361364893799</v>
      </c>
      <c r="M1067">
        <v>12.519762022893101</v>
      </c>
      <c r="N1067">
        <v>47.414529828981202</v>
      </c>
      <c r="O1067">
        <v>45.474042157108101</v>
      </c>
      <c r="P1067">
        <v>-6.22950398200992E-2</v>
      </c>
      <c r="Q1067">
        <v>9.5117608131270903E-2</v>
      </c>
      <c r="R1067">
        <v>0.98210417912145298</v>
      </c>
      <c r="S1067" t="s">
        <v>7737</v>
      </c>
      <c r="T1067" t="s">
        <v>13338</v>
      </c>
      <c r="U1067" t="s">
        <v>13338</v>
      </c>
      <c r="V1067" t="s">
        <v>13338</v>
      </c>
      <c r="W1067" t="s">
        <v>14379</v>
      </c>
      <c r="X1067">
        <v>2</v>
      </c>
      <c r="Y1067" t="s">
        <v>20981</v>
      </c>
      <c r="Z1067" t="s">
        <v>27482</v>
      </c>
      <c r="AA1067">
        <v>0.33080150484722259</v>
      </c>
      <c r="AB1067" t="str">
        <f>HYPERLINK("Melting_Curves/meltCurve_J3KPI1_SECISBP2L.pdf", "Melting_Curves/meltCurve_J3KPI1_SECISBP2L.pdf")</f>
        <v>Melting_Curves/meltCurve_J3KPI1_SECISBP2L.pdf</v>
      </c>
    </row>
    <row r="1068" spans="1:28" x14ac:dyDescent="0.25">
      <c r="A1068" t="s">
        <v>1072</v>
      </c>
      <c r="B1068">
        <v>0.99193492352474899</v>
      </c>
      <c r="C1068">
        <v>1.2831875102389301</v>
      </c>
      <c r="D1068">
        <v>0.74941967352514804</v>
      </c>
      <c r="E1068">
        <v>0.67484872154841902</v>
      </c>
      <c r="F1068">
        <v>0.406182974287709</v>
      </c>
      <c r="G1068">
        <v>0.37575017289423301</v>
      </c>
      <c r="H1068">
        <v>0</v>
      </c>
      <c r="I1068">
        <v>0.31290015710767499</v>
      </c>
      <c r="J1068">
        <v>0.21508128783938199</v>
      </c>
      <c r="K1068">
        <v>0</v>
      </c>
      <c r="L1068">
        <v>854.35727973635403</v>
      </c>
      <c r="M1068">
        <v>16.6911806235208</v>
      </c>
      <c r="N1068">
        <v>52.069698838925</v>
      </c>
      <c r="O1068">
        <v>50.4683491094139</v>
      </c>
      <c r="P1068">
        <v>-7.2489574694951597E-2</v>
      </c>
      <c r="Q1068">
        <v>0.123324774105456</v>
      </c>
      <c r="R1068">
        <v>0.86579888411612105</v>
      </c>
      <c r="S1068" t="s">
        <v>7738</v>
      </c>
      <c r="T1068" t="s">
        <v>13338</v>
      </c>
      <c r="U1068" t="s">
        <v>13338</v>
      </c>
      <c r="V1068" t="s">
        <v>13338</v>
      </c>
      <c r="W1068" t="s">
        <v>14380</v>
      </c>
      <c r="X1068">
        <v>4</v>
      </c>
      <c r="Y1068" t="s">
        <v>20982</v>
      </c>
      <c r="Z1068" t="s">
        <v>27483</v>
      </c>
      <c r="AA1068">
        <v>0.46704115424807902</v>
      </c>
      <c r="AB1068" t="str">
        <f>HYPERLINK("Melting_Curves/meltCurve_J3KPK1_SYNJ1.pdf", "Melting_Curves/meltCurve_J3KPK1_SYNJ1.pdf")</f>
        <v>Melting_Curves/meltCurve_J3KPK1_SYNJ1.pdf</v>
      </c>
    </row>
    <row r="1069" spans="1:28" x14ac:dyDescent="0.25">
      <c r="A1069" t="s">
        <v>1073</v>
      </c>
      <c r="B1069">
        <v>0.99193492352474899</v>
      </c>
      <c r="C1069">
        <v>0.92237958482859905</v>
      </c>
      <c r="D1069">
        <v>0.90359760785101595</v>
      </c>
      <c r="E1069">
        <v>0.71403330785583596</v>
      </c>
      <c r="F1069">
        <v>0.352619044645055</v>
      </c>
      <c r="G1069">
        <v>0.18066229495762701</v>
      </c>
      <c r="H1069">
        <v>9.4885572087473502E-2</v>
      </c>
      <c r="I1069">
        <v>0.10235233753204</v>
      </c>
      <c r="J1069">
        <v>0.117022315847608</v>
      </c>
      <c r="K1069">
        <v>0.135893157959975</v>
      </c>
      <c r="L1069">
        <v>1138.06048928476</v>
      </c>
      <c r="M1069">
        <v>22.302048756057498</v>
      </c>
      <c r="N1069">
        <v>51.554188931713803</v>
      </c>
      <c r="O1069">
        <v>50.624437038789601</v>
      </c>
      <c r="P1069">
        <v>-9.8953206469567498E-2</v>
      </c>
      <c r="Q1069">
        <v>0.101545251739061</v>
      </c>
      <c r="R1069">
        <v>0.99425561701546505</v>
      </c>
      <c r="S1069" t="s">
        <v>7739</v>
      </c>
      <c r="T1069" t="s">
        <v>13338</v>
      </c>
      <c r="U1069" t="s">
        <v>13338</v>
      </c>
      <c r="V1069" t="s">
        <v>13338</v>
      </c>
      <c r="W1069" t="s">
        <v>14381</v>
      </c>
      <c r="X1069">
        <v>4</v>
      </c>
      <c r="Y1069" t="s">
        <v>20983</v>
      </c>
      <c r="Z1069" t="s">
        <v>27484</v>
      </c>
      <c r="AA1069">
        <v>0.44200041020389391</v>
      </c>
      <c r="AB1069" t="str">
        <f>HYPERLINK("Melting_Curves/meltCurve_J3KPL1_PNPLA8.pdf", "Melting_Curves/meltCurve_J3KPL1_PNPLA8.pdf")</f>
        <v>Melting_Curves/meltCurve_J3KPL1_PNPLA8.pdf</v>
      </c>
    </row>
    <row r="1070" spans="1:28" x14ac:dyDescent="0.25">
      <c r="A1070" t="s">
        <v>1074</v>
      </c>
      <c r="B1070">
        <v>0.99193492352474899</v>
      </c>
      <c r="C1070">
        <v>0.99534037665283104</v>
      </c>
      <c r="D1070">
        <v>0.89797957200279499</v>
      </c>
      <c r="E1070">
        <v>0.57432125109318499</v>
      </c>
      <c r="F1070">
        <v>0.36767953355824401</v>
      </c>
      <c r="G1070">
        <v>0.26766944174797602</v>
      </c>
      <c r="H1070">
        <v>0.16705429554394099</v>
      </c>
      <c r="I1070">
        <v>0.19040461294851399</v>
      </c>
      <c r="J1070">
        <v>0.20581743540449299</v>
      </c>
      <c r="K1070">
        <v>0.18216627207837399</v>
      </c>
      <c r="L1070">
        <v>1065.79212522496</v>
      </c>
      <c r="M1070">
        <v>21.437997044089901</v>
      </c>
      <c r="N1070">
        <v>50.829472136495298</v>
      </c>
      <c r="O1070">
        <v>49.288568951668701</v>
      </c>
      <c r="P1070">
        <v>-8.8351173872431896E-2</v>
      </c>
      <c r="Q1070">
        <v>0.187499454813534</v>
      </c>
      <c r="R1070">
        <v>0.99592317751545301</v>
      </c>
      <c r="S1070" t="s">
        <v>7740</v>
      </c>
      <c r="T1070" t="s">
        <v>13338</v>
      </c>
      <c r="U1070" t="s">
        <v>13338</v>
      </c>
      <c r="V1070" t="s">
        <v>13338</v>
      </c>
      <c r="W1070" t="s">
        <v>14382</v>
      </c>
      <c r="X1070">
        <v>6</v>
      </c>
      <c r="Y1070" t="s">
        <v>20984</v>
      </c>
      <c r="Z1070" t="s">
        <v>27485</v>
      </c>
      <c r="AA1070">
        <v>0.46048361170060481</v>
      </c>
      <c r="AB1070" t="str">
        <f>HYPERLINK("Melting_Curves/meltCurve_J3KPN1_TESC.pdf", "Melting_Curves/meltCurve_J3KPN1_TESC.pdf")</f>
        <v>Melting_Curves/meltCurve_J3KPN1_TESC.pdf</v>
      </c>
    </row>
    <row r="1071" spans="1:28" x14ac:dyDescent="0.25">
      <c r="A1071" t="s">
        <v>1075</v>
      </c>
      <c r="B1071">
        <v>0.99193492352474899</v>
      </c>
      <c r="C1071">
        <v>0.90007872968177005</v>
      </c>
      <c r="D1071">
        <v>0.97012597666524403</v>
      </c>
      <c r="E1071">
        <v>0.81187257544707803</v>
      </c>
      <c r="F1071">
        <v>0.62968810967882605</v>
      </c>
      <c r="G1071">
        <v>0.21599986017919501</v>
      </c>
      <c r="H1071">
        <v>0.10326798144831199</v>
      </c>
      <c r="I1071">
        <v>0.115824100378838</v>
      </c>
      <c r="J1071">
        <v>0.127396310408044</v>
      </c>
      <c r="K1071">
        <v>0.22323432828977099</v>
      </c>
      <c r="L1071">
        <v>1375.48468617153</v>
      </c>
      <c r="M1071">
        <v>25.872146759605499</v>
      </c>
      <c r="N1071">
        <v>53.770592769682601</v>
      </c>
      <c r="O1071">
        <v>52.850107147463497</v>
      </c>
      <c r="P1071">
        <v>-0.10691135344750601</v>
      </c>
      <c r="Q1071">
        <v>0.12644104286494601</v>
      </c>
      <c r="R1071">
        <v>0.97385944339040198</v>
      </c>
      <c r="S1071" t="s">
        <v>7741</v>
      </c>
      <c r="T1071" t="s">
        <v>13338</v>
      </c>
      <c r="U1071" t="s">
        <v>13338</v>
      </c>
      <c r="V1071" t="s">
        <v>13338</v>
      </c>
      <c r="W1071" t="s">
        <v>14383</v>
      </c>
      <c r="X1071">
        <v>9</v>
      </c>
      <c r="Y1071" t="s">
        <v>20985</v>
      </c>
      <c r="Z1071" t="s">
        <v>27486</v>
      </c>
      <c r="AA1071">
        <v>0.51732832779459248</v>
      </c>
      <c r="AB1071" t="str">
        <f>HYPERLINK("Melting_Curves/meltCurve_J3KPP7_ARRB1.pdf", "Melting_Curves/meltCurve_J3KPP7_ARRB1.pdf")</f>
        <v>Melting_Curves/meltCurve_J3KPP7_ARRB1.pdf</v>
      </c>
    </row>
    <row r="1072" spans="1:28" x14ac:dyDescent="0.25">
      <c r="A1072" t="s">
        <v>1076</v>
      </c>
      <c r="B1072">
        <v>0.99193492352474899</v>
      </c>
      <c r="C1072">
        <v>0.61319815348348705</v>
      </c>
      <c r="D1072">
        <v>0.42506175402389601</v>
      </c>
      <c r="E1072">
        <v>0.24684217241162501</v>
      </c>
      <c r="F1072">
        <v>0.17438144587252</v>
      </c>
      <c r="G1072">
        <v>0.12230972698617699</v>
      </c>
      <c r="H1072">
        <v>8.7577794279657298E-2</v>
      </c>
      <c r="I1072">
        <v>7.38378275047014E-2</v>
      </c>
      <c r="J1072">
        <v>8.0684436096040896E-2</v>
      </c>
      <c r="K1072">
        <v>9.7400998656044901E-2</v>
      </c>
      <c r="L1072">
        <v>783.73938070095505</v>
      </c>
      <c r="M1072">
        <v>17.6199273290196</v>
      </c>
      <c r="N1072">
        <v>45.012827041857101</v>
      </c>
      <c r="O1072">
        <v>43.919205909104001</v>
      </c>
      <c r="P1072">
        <v>-9.0865693855013599E-2</v>
      </c>
      <c r="Q1072">
        <v>9.4085890517319096E-2</v>
      </c>
      <c r="R1072">
        <v>0.97681630492543103</v>
      </c>
      <c r="S1072" t="s">
        <v>7742</v>
      </c>
      <c r="T1072" t="s">
        <v>13338</v>
      </c>
      <c r="U1072" t="s">
        <v>13338</v>
      </c>
      <c r="V1072" t="s">
        <v>13338</v>
      </c>
      <c r="W1072" t="s">
        <v>14384</v>
      </c>
      <c r="X1072">
        <v>3</v>
      </c>
      <c r="Y1072" t="s">
        <v>20986</v>
      </c>
      <c r="Z1072" t="s">
        <v>27487</v>
      </c>
      <c r="AA1072">
        <v>0.25122493698033382</v>
      </c>
      <c r="AB1072" t="str">
        <f>HYPERLINK("Melting_Curves/meltCurve_J3KPQ4_ARHGAP9.pdf", "Melting_Curves/meltCurve_J3KPQ4_ARHGAP9.pdf")</f>
        <v>Melting_Curves/meltCurve_J3KPQ4_ARHGAP9.pdf</v>
      </c>
    </row>
    <row r="1073" spans="1:28" x14ac:dyDescent="0.25">
      <c r="A1073" t="s">
        <v>1077</v>
      </c>
      <c r="B1073">
        <v>0.99193492352474899</v>
      </c>
      <c r="C1073">
        <v>0.91113368122746397</v>
      </c>
      <c r="D1073">
        <v>0.99921157132399996</v>
      </c>
      <c r="E1073">
        <v>0.73952351139886496</v>
      </c>
      <c r="F1073">
        <v>0.44315234073721099</v>
      </c>
      <c r="G1073">
        <v>0.29622645056059199</v>
      </c>
      <c r="H1073">
        <v>0.172447974162206</v>
      </c>
      <c r="I1073">
        <v>0.19619442583031799</v>
      </c>
      <c r="J1073">
        <v>0.163487360554677</v>
      </c>
      <c r="K1073">
        <v>0.25462458542508798</v>
      </c>
      <c r="L1073">
        <v>1205.85458313902</v>
      </c>
      <c r="M1073">
        <v>23.480018916648302</v>
      </c>
      <c r="N1073">
        <v>52.453942616186502</v>
      </c>
      <c r="O1073">
        <v>50.988443192467898</v>
      </c>
      <c r="P1073">
        <v>-9.2785614623142998E-2</v>
      </c>
      <c r="Q1073">
        <v>0.19405282497828599</v>
      </c>
      <c r="R1073">
        <v>0.98561574694342002</v>
      </c>
      <c r="S1073" t="s">
        <v>7743</v>
      </c>
      <c r="T1073" t="s">
        <v>13338</v>
      </c>
      <c r="U1073" t="s">
        <v>13338</v>
      </c>
      <c r="V1073" t="s">
        <v>13338</v>
      </c>
      <c r="W1073" t="s">
        <v>14385</v>
      </c>
      <c r="X1073">
        <v>6</v>
      </c>
      <c r="Y1073" t="s">
        <v>20987</v>
      </c>
      <c r="Z1073" t="s">
        <v>27488</v>
      </c>
      <c r="AA1073">
        <v>0.50740289248238402</v>
      </c>
      <c r="AB1073" t="str">
        <f>HYPERLINK("Melting_Curves/meltCurve_J3KPS0_DNAJB12.pdf", "Melting_Curves/meltCurve_J3KPS0_DNAJB12.pdf")</f>
        <v>Melting_Curves/meltCurve_J3KPS0_DNAJB12.pdf</v>
      </c>
    </row>
    <row r="1074" spans="1:28" x14ac:dyDescent="0.25">
      <c r="A1074" t="s">
        <v>1078</v>
      </c>
      <c r="B1074">
        <v>0.99193492352474899</v>
      </c>
      <c r="C1074">
        <v>1.1735831359540101</v>
      </c>
      <c r="D1074">
        <v>1.0998979716528701</v>
      </c>
      <c r="E1074">
        <v>0.77439621656392399</v>
      </c>
      <c r="F1074">
        <v>0.61847403055683003</v>
      </c>
      <c r="G1074">
        <v>0.32962469028959202</v>
      </c>
      <c r="H1074">
        <v>0.105832169691459</v>
      </c>
      <c r="I1074">
        <v>0.11434077823974501</v>
      </c>
      <c r="J1074">
        <v>0.12531986442561499</v>
      </c>
      <c r="K1074">
        <v>0.11360886913597699</v>
      </c>
      <c r="L1074">
        <v>1154.9223563174201</v>
      </c>
      <c r="M1074">
        <v>21.513909954309799</v>
      </c>
      <c r="N1074">
        <v>54.199599519557502</v>
      </c>
      <c r="O1074">
        <v>53.225228472586302</v>
      </c>
      <c r="P1074">
        <v>-9.1679236628787603E-2</v>
      </c>
      <c r="Q1074">
        <v>9.2767549263447394E-2</v>
      </c>
      <c r="R1074">
        <v>0.96521131750260503</v>
      </c>
      <c r="S1074" t="s">
        <v>7744</v>
      </c>
      <c r="T1074" t="s">
        <v>13338</v>
      </c>
      <c r="U1074" t="s">
        <v>13338</v>
      </c>
      <c r="V1074" t="s">
        <v>13338</v>
      </c>
      <c r="W1074" t="s">
        <v>14386</v>
      </c>
      <c r="X1074">
        <v>7</v>
      </c>
      <c r="Y1074" t="s">
        <v>20988</v>
      </c>
      <c r="Z1074" t="s">
        <v>27489</v>
      </c>
      <c r="AA1074">
        <v>0.51750171503037112</v>
      </c>
      <c r="AB1074" t="str">
        <f>HYPERLINK("Melting_Curves/meltCurve_J3KPT4_TRABD.pdf", "Melting_Curves/meltCurve_J3KPT4_TRABD.pdf")</f>
        <v>Melting_Curves/meltCurve_J3KPT4_TRABD.pdf</v>
      </c>
    </row>
    <row r="1075" spans="1:28" x14ac:dyDescent="0.25">
      <c r="A1075" t="s">
        <v>1079</v>
      </c>
      <c r="B1075">
        <v>0.99193492352474899</v>
      </c>
      <c r="C1075">
        <v>0.89362717063839703</v>
      </c>
      <c r="D1075">
        <v>0.93492372692518599</v>
      </c>
      <c r="E1075">
        <v>0.70612389764277805</v>
      </c>
      <c r="F1075">
        <v>0.46936563837627299</v>
      </c>
      <c r="G1075">
        <v>0.148104139752117</v>
      </c>
      <c r="H1075">
        <v>8.03139462505396E-2</v>
      </c>
      <c r="I1075">
        <v>9.1859050272769305E-2</v>
      </c>
      <c r="J1075">
        <v>0.10572729169093301</v>
      </c>
      <c r="K1075">
        <v>8.4766708799566104E-2</v>
      </c>
      <c r="L1075">
        <v>1017.93393908511</v>
      </c>
      <c r="M1075">
        <v>19.652134480410002</v>
      </c>
      <c r="N1075">
        <v>52.164094773672197</v>
      </c>
      <c r="O1075">
        <v>51.270231507721597</v>
      </c>
      <c r="P1075">
        <v>-8.9650760278198502E-2</v>
      </c>
      <c r="Q1075">
        <v>6.4477217845681903E-2</v>
      </c>
      <c r="R1075">
        <v>0.98767279760061599</v>
      </c>
      <c r="S1075" t="s">
        <v>7745</v>
      </c>
      <c r="T1075" t="s">
        <v>13338</v>
      </c>
      <c r="U1075" t="s">
        <v>13338</v>
      </c>
      <c r="V1075" t="s">
        <v>13338</v>
      </c>
      <c r="W1075" t="s">
        <v>14387</v>
      </c>
      <c r="X1075">
        <v>14</v>
      </c>
      <c r="Y1075" t="s">
        <v>20989</v>
      </c>
      <c r="Z1075" t="s">
        <v>27490</v>
      </c>
      <c r="AA1075">
        <v>0.44574843144159659</v>
      </c>
      <c r="AB1075" t="str">
        <f>HYPERLINK("Melting_Curves/meltCurve_J3KPW7_HDAC2.pdf", "Melting_Curves/meltCurve_J3KPW7_HDAC2.pdf")</f>
        <v>Melting_Curves/meltCurve_J3KPW7_HDAC2.pdf</v>
      </c>
    </row>
    <row r="1076" spans="1:28" x14ac:dyDescent="0.25">
      <c r="A1076" t="s">
        <v>1080</v>
      </c>
      <c r="B1076">
        <v>0.99193492352474899</v>
      </c>
      <c r="C1076">
        <v>1.0399889234665101</v>
      </c>
      <c r="D1076">
        <v>1.00355908465411</v>
      </c>
      <c r="E1076">
        <v>0.82672539965153802</v>
      </c>
      <c r="F1076">
        <v>0.56226330358085697</v>
      </c>
      <c r="G1076">
        <v>0.68961006598122199</v>
      </c>
      <c r="H1076">
        <v>0.320344019381329</v>
      </c>
      <c r="I1076">
        <v>0.48810223147316301</v>
      </c>
      <c r="J1076">
        <v>0.56888092647825805</v>
      </c>
      <c r="K1076">
        <v>0.60550367335779598</v>
      </c>
      <c r="L1076">
        <v>1859.00493010277</v>
      </c>
      <c r="M1076">
        <v>36.936407893662597</v>
      </c>
      <c r="O1076">
        <v>50.183033180501702</v>
      </c>
      <c r="P1076">
        <v>-8.6741723487836805E-2</v>
      </c>
      <c r="Q1076">
        <v>0.52860057146613704</v>
      </c>
      <c r="R1076">
        <v>0.85395379894350898</v>
      </c>
      <c r="S1076" t="s">
        <v>7746</v>
      </c>
      <c r="T1076" t="s">
        <v>13338</v>
      </c>
      <c r="U1076" t="s">
        <v>13338</v>
      </c>
      <c r="V1076" t="s">
        <v>13338</v>
      </c>
      <c r="W1076" t="s">
        <v>14388</v>
      </c>
      <c r="X1076">
        <v>2</v>
      </c>
      <c r="Y1076" t="s">
        <v>20990</v>
      </c>
      <c r="Z1076" t="s">
        <v>27491</v>
      </c>
      <c r="AA1076">
        <v>0.69284356957298621</v>
      </c>
      <c r="AB1076" t="str">
        <f>HYPERLINK("Melting_Curves/meltCurve_J3KPY9_ANTXR2.pdf", "Melting_Curves/meltCurve_J3KPY9_ANTXR2.pdf")</f>
        <v>Melting_Curves/meltCurve_J3KPY9_ANTXR2.pdf</v>
      </c>
    </row>
    <row r="1077" spans="1:28" x14ac:dyDescent="0.25">
      <c r="A1077" t="s">
        <v>1081</v>
      </c>
      <c r="B1077">
        <v>0.99193492352474899</v>
      </c>
      <c r="C1077">
        <v>0.53183818526664794</v>
      </c>
      <c r="D1077">
        <v>0.435469303243538</v>
      </c>
      <c r="E1077">
        <v>0.339164786885497</v>
      </c>
      <c r="F1077">
        <v>0.25163830889195199</v>
      </c>
      <c r="G1077">
        <v>0.15278398147108399</v>
      </c>
      <c r="H1077">
        <v>9.9588088088053306E-2</v>
      </c>
      <c r="I1077">
        <v>0.100322895920738</v>
      </c>
      <c r="J1077">
        <v>0.12819334820633099</v>
      </c>
      <c r="K1077">
        <v>0.122272206114567</v>
      </c>
      <c r="L1077">
        <v>636.48498952876002</v>
      </c>
      <c r="M1077">
        <v>14.3648246993433</v>
      </c>
      <c r="N1077">
        <v>45.175918691721201</v>
      </c>
      <c r="O1077">
        <v>43.476441541381803</v>
      </c>
      <c r="P1077">
        <v>-7.2655100939103406E-2</v>
      </c>
      <c r="Q1077">
        <v>0.120516590095093</v>
      </c>
      <c r="R1077">
        <v>0.93262723544646497</v>
      </c>
      <c r="S1077" t="s">
        <v>7747</v>
      </c>
      <c r="T1077" t="s">
        <v>13338</v>
      </c>
      <c r="U1077" t="s">
        <v>13338</v>
      </c>
      <c r="V1077" t="s">
        <v>13338</v>
      </c>
      <c r="W1077" t="s">
        <v>14389</v>
      </c>
      <c r="X1077">
        <v>3</v>
      </c>
      <c r="Y1077" t="s">
        <v>20991</v>
      </c>
      <c r="Z1077" t="s">
        <v>27492</v>
      </c>
      <c r="AA1077">
        <v>0.28029003924397738</v>
      </c>
      <c r="AB1077" t="str">
        <f>HYPERLINK("Melting_Curves/meltCurve_J3KPZ4_C1D.pdf", "Melting_Curves/meltCurve_J3KPZ4_C1D.pdf")</f>
        <v>Melting_Curves/meltCurve_J3KPZ4_C1D.pdf</v>
      </c>
    </row>
    <row r="1078" spans="1:28" x14ac:dyDescent="0.25">
      <c r="A1078" t="s">
        <v>1082</v>
      </c>
      <c r="B1078">
        <v>0.99193492352474899</v>
      </c>
      <c r="C1078">
        <v>0.77022225877761596</v>
      </c>
      <c r="D1078">
        <v>0.68027147671179</v>
      </c>
      <c r="E1078">
        <v>0.35437072920699098</v>
      </c>
      <c r="F1078">
        <v>0.182862214718892</v>
      </c>
      <c r="G1078">
        <v>6.8620960765337094E-2</v>
      </c>
      <c r="H1078">
        <v>5.7961366819446497E-2</v>
      </c>
      <c r="I1078">
        <v>7.4238504224692095E-2</v>
      </c>
      <c r="J1078">
        <v>8.4617857925728304E-2</v>
      </c>
      <c r="K1078">
        <v>8.1282588167793296E-2</v>
      </c>
      <c r="L1078">
        <v>771.45921434837999</v>
      </c>
      <c r="M1078">
        <v>16.320205963851102</v>
      </c>
      <c r="N1078">
        <v>47.6012844165488</v>
      </c>
      <c r="O1078">
        <v>46.577540825605297</v>
      </c>
      <c r="P1078">
        <v>-8.2902892716604198E-2</v>
      </c>
      <c r="Q1078">
        <v>5.3655455300304897E-2</v>
      </c>
      <c r="R1078">
        <v>0.98788555672177503</v>
      </c>
      <c r="S1078" t="s">
        <v>7748</v>
      </c>
      <c r="T1078" t="s">
        <v>13338</v>
      </c>
      <c r="U1078" t="s">
        <v>13338</v>
      </c>
      <c r="V1078" t="s">
        <v>13338</v>
      </c>
      <c r="W1078" t="s">
        <v>14390</v>
      </c>
      <c r="X1078">
        <v>1</v>
      </c>
      <c r="Y1078" t="s">
        <v>20992</v>
      </c>
      <c r="Z1078" t="s">
        <v>27493</v>
      </c>
      <c r="AA1078">
        <v>0.30423491807830438</v>
      </c>
      <c r="AB1078" t="str">
        <f>HYPERLINK("Melting_Curves/meltCurve_J3KPZ8_RFXANK.pdf", "Melting_Curves/meltCurve_J3KPZ8_RFXANK.pdf")</f>
        <v>Melting_Curves/meltCurve_J3KPZ8_RFXANK.pdf</v>
      </c>
    </row>
    <row r="1079" spans="1:28" x14ac:dyDescent="0.25">
      <c r="A1079" t="s">
        <v>1083</v>
      </c>
      <c r="B1079">
        <v>0.99193492352474899</v>
      </c>
      <c r="C1079">
        <v>0.93684720396860599</v>
      </c>
      <c r="D1079">
        <v>0.96440866645958201</v>
      </c>
      <c r="E1079">
        <v>0.84220079770696599</v>
      </c>
      <c r="F1079">
        <v>0.37526633276794902</v>
      </c>
      <c r="G1079">
        <v>9.4868766155332102E-2</v>
      </c>
      <c r="H1079">
        <v>5.9645263351823602E-2</v>
      </c>
      <c r="I1079">
        <v>7.1608772312795096E-2</v>
      </c>
      <c r="J1079">
        <v>0.10699647378037</v>
      </c>
      <c r="K1079">
        <v>8.8800693243662701E-2</v>
      </c>
      <c r="L1079">
        <v>1766.69884849253</v>
      </c>
      <c r="M1079">
        <v>33.999527033949597</v>
      </c>
      <c r="N1079">
        <v>52.210885422661498</v>
      </c>
      <c r="O1079">
        <v>51.783678101077903</v>
      </c>
      <c r="P1079">
        <v>-0.15188283914790801</v>
      </c>
      <c r="Q1079">
        <v>7.4690552651502498E-2</v>
      </c>
      <c r="R1079">
        <v>0.99555152492070198</v>
      </c>
      <c r="S1079" t="s">
        <v>7749</v>
      </c>
      <c r="T1079" t="s">
        <v>13338</v>
      </c>
      <c r="U1079" t="s">
        <v>13338</v>
      </c>
      <c r="V1079" t="s">
        <v>13338</v>
      </c>
      <c r="W1079" t="s">
        <v>14391</v>
      </c>
      <c r="X1079">
        <v>12</v>
      </c>
      <c r="Y1079" t="s">
        <v>20993</v>
      </c>
      <c r="Z1079" t="s">
        <v>27494</v>
      </c>
      <c r="AA1079">
        <v>0.44826003925322139</v>
      </c>
      <c r="AB1079" t="str">
        <f>HYPERLINK("Melting_Curves/meltCurve_J3KQ32_OLA1.pdf", "Melting_Curves/meltCurve_J3KQ32_OLA1.pdf")</f>
        <v>Melting_Curves/meltCurve_J3KQ32_OLA1.pdf</v>
      </c>
    </row>
    <row r="1080" spans="1:28" x14ac:dyDescent="0.25">
      <c r="A1080" t="s">
        <v>1084</v>
      </c>
      <c r="B1080">
        <v>0.99193492352474899</v>
      </c>
      <c r="C1080">
        <v>0.86992825489223602</v>
      </c>
      <c r="D1080">
        <v>0.966010159989385</v>
      </c>
      <c r="E1080">
        <v>0.80080757420832305</v>
      </c>
      <c r="F1080">
        <v>0.40132342266759802</v>
      </c>
      <c r="G1080">
        <v>0.12149794652748901</v>
      </c>
      <c r="H1080">
        <v>5.9584688921886501E-2</v>
      </c>
      <c r="I1080">
        <v>5.3325477842252798E-2</v>
      </c>
      <c r="J1080">
        <v>6.0513417844901399E-2</v>
      </c>
      <c r="K1080">
        <v>4.8742804988468599E-2</v>
      </c>
      <c r="L1080">
        <v>1379.4741464123299</v>
      </c>
      <c r="M1080">
        <v>26.488942156208999</v>
      </c>
      <c r="N1080">
        <v>52.2631216760482</v>
      </c>
      <c r="O1080">
        <v>51.783269907036903</v>
      </c>
      <c r="P1080">
        <v>-0.12213948200411801</v>
      </c>
      <c r="Q1080">
        <v>4.4927632760945503E-2</v>
      </c>
      <c r="R1080">
        <v>0.98942940188247697</v>
      </c>
      <c r="S1080" t="s">
        <v>7750</v>
      </c>
      <c r="T1080" t="s">
        <v>13338</v>
      </c>
      <c r="U1080" t="s">
        <v>13338</v>
      </c>
      <c r="V1080" t="s">
        <v>13338</v>
      </c>
      <c r="W1080" t="s">
        <v>14392</v>
      </c>
      <c r="X1080">
        <v>10</v>
      </c>
      <c r="Y1080" t="s">
        <v>20994</v>
      </c>
      <c r="Z1080" t="s">
        <v>27495</v>
      </c>
      <c r="AA1080">
        <v>0.43722138445423647</v>
      </c>
      <c r="AB1080" t="str">
        <f>HYPERLINK("Melting_Curves/meltCurve_J3KQ34_COPS7B.pdf", "Melting_Curves/meltCurve_J3KQ34_COPS7B.pdf")</f>
        <v>Melting_Curves/meltCurve_J3KQ34_COPS7B.pdf</v>
      </c>
    </row>
    <row r="1081" spans="1:28" x14ac:dyDescent="0.25">
      <c r="A1081" t="s">
        <v>1085</v>
      </c>
      <c r="B1081">
        <v>0.99193492352474899</v>
      </c>
      <c r="C1081">
        <v>0.90936460969468302</v>
      </c>
      <c r="D1081">
        <v>1.0252913266755399</v>
      </c>
      <c r="E1081">
        <v>0.76592721568164102</v>
      </c>
      <c r="F1081">
        <v>0.79437020439598305</v>
      </c>
      <c r="G1081">
        <v>0.61789912587731699</v>
      </c>
      <c r="H1081">
        <v>0.43374068250657599</v>
      </c>
      <c r="I1081">
        <v>0.664287087387047</v>
      </c>
      <c r="J1081">
        <v>0.739554882737813</v>
      </c>
      <c r="K1081">
        <v>1.0609418744811501</v>
      </c>
      <c r="L1081">
        <v>12320.852711252401</v>
      </c>
      <c r="M1081">
        <v>250</v>
      </c>
      <c r="O1081">
        <v>49.280264475849201</v>
      </c>
      <c r="P1081">
        <v>-0.35705774486856601</v>
      </c>
      <c r="Q1081">
        <v>0.71846564114251599</v>
      </c>
      <c r="R1081">
        <v>0.36760841977733799</v>
      </c>
      <c r="S1081" t="s">
        <v>7751</v>
      </c>
      <c r="T1081" t="s">
        <v>13338</v>
      </c>
      <c r="U1081" t="s">
        <v>13338</v>
      </c>
      <c r="V1081" t="s">
        <v>13338</v>
      </c>
      <c r="W1081" t="s">
        <v>14393</v>
      </c>
      <c r="X1081">
        <v>11</v>
      </c>
      <c r="Y1081" t="s">
        <v>20995</v>
      </c>
      <c r="Z1081" t="s">
        <v>27496</v>
      </c>
      <c r="AA1081">
        <v>0.80560996218036751</v>
      </c>
      <c r="AB1081" t="str">
        <f>HYPERLINK("Melting_Curves/meltCurve_J3KQ45_TGOLN2.pdf", "Melting_Curves/meltCurve_J3KQ45_TGOLN2.pdf")</f>
        <v>Melting_Curves/meltCurve_J3KQ45_TGOLN2.pdf</v>
      </c>
    </row>
    <row r="1082" spans="1:28" x14ac:dyDescent="0.25">
      <c r="A1082" t="s">
        <v>1086</v>
      </c>
      <c r="B1082">
        <v>0.99193492352474899</v>
      </c>
      <c r="C1082">
        <v>0.86278695453500098</v>
      </c>
      <c r="D1082">
        <v>0.94719064766939598</v>
      </c>
      <c r="E1082">
        <v>0.76716117904798098</v>
      </c>
      <c r="F1082">
        <v>0.50950926718253997</v>
      </c>
      <c r="G1082">
        <v>0.20161996022363099</v>
      </c>
      <c r="H1082">
        <v>9.9363128581480706E-2</v>
      </c>
      <c r="I1082">
        <v>9.2194813743432594E-2</v>
      </c>
      <c r="J1082">
        <v>0.102498423897653</v>
      </c>
      <c r="K1082">
        <v>0.109170653764498</v>
      </c>
      <c r="L1082">
        <v>1054.3356790620001</v>
      </c>
      <c r="M1082">
        <v>20.112429102378702</v>
      </c>
      <c r="N1082">
        <v>52.848230815584103</v>
      </c>
      <c r="O1082">
        <v>51.912104775651599</v>
      </c>
      <c r="P1082">
        <v>-8.9610791950417004E-2</v>
      </c>
      <c r="Q1082">
        <v>7.4853352828752898E-2</v>
      </c>
      <c r="R1082">
        <v>0.98457726034876303</v>
      </c>
      <c r="S1082" t="s">
        <v>7752</v>
      </c>
      <c r="T1082" t="s">
        <v>13338</v>
      </c>
      <c r="U1082" t="s">
        <v>13338</v>
      </c>
      <c r="V1082" t="s">
        <v>13338</v>
      </c>
      <c r="W1082" t="s">
        <v>14394</v>
      </c>
      <c r="X1082">
        <v>9</v>
      </c>
      <c r="Y1082" t="s">
        <v>20996</v>
      </c>
      <c r="Z1082" t="s">
        <v>27497</v>
      </c>
      <c r="AA1082">
        <v>0.47057967846327509</v>
      </c>
      <c r="AB1082" t="str">
        <f>HYPERLINK("Melting_Curves/meltCurve_J3KQ48_PTRH2.pdf", "Melting_Curves/meltCurve_J3KQ48_PTRH2.pdf")</f>
        <v>Melting_Curves/meltCurve_J3KQ48_PTRH2.pdf</v>
      </c>
    </row>
    <row r="1083" spans="1:28" x14ac:dyDescent="0.25">
      <c r="A1083" t="s">
        <v>1087</v>
      </c>
      <c r="B1083">
        <v>0.99193492352474899</v>
      </c>
      <c r="C1083">
        <v>0.72977810875569304</v>
      </c>
      <c r="D1083">
        <v>0.89350422111755901</v>
      </c>
      <c r="E1083">
        <v>0.54995810877766205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2087.6915125857399</v>
      </c>
      <c r="M1083">
        <v>41.9886054081257</v>
      </c>
      <c r="N1083">
        <v>49.720438111731397</v>
      </c>
      <c r="O1083">
        <v>49.608065891204298</v>
      </c>
      <c r="P1083">
        <v>-0.21160214003213901</v>
      </c>
      <c r="Q1083">
        <v>0</v>
      </c>
      <c r="R1083">
        <v>0.94914447868348695</v>
      </c>
      <c r="S1083" t="s">
        <v>7753</v>
      </c>
      <c r="T1083" t="s">
        <v>13338</v>
      </c>
      <c r="U1083" t="s">
        <v>13338</v>
      </c>
      <c r="V1083" t="s">
        <v>13338</v>
      </c>
      <c r="W1083" t="s">
        <v>14395</v>
      </c>
      <c r="X1083">
        <v>1</v>
      </c>
      <c r="Y1083" t="s">
        <v>20997</v>
      </c>
      <c r="Z1083" t="s">
        <v>27498</v>
      </c>
      <c r="AA1083">
        <v>0.32713212449784762</v>
      </c>
      <c r="AB1083" t="str">
        <f>HYPERLINK("Melting_Curves/meltCurve_J3KQ72_FBXO6.pdf", "Melting_Curves/meltCurve_J3KQ72_FBXO6.pdf")</f>
        <v>Melting_Curves/meltCurve_J3KQ72_FBXO6.pdf</v>
      </c>
    </row>
    <row r="1084" spans="1:28" x14ac:dyDescent="0.25">
      <c r="A1084" t="s">
        <v>1088</v>
      </c>
      <c r="B1084">
        <v>0.99193492352474899</v>
      </c>
      <c r="C1084">
        <v>0.89453071117070804</v>
      </c>
      <c r="D1084">
        <v>0.89820944497312205</v>
      </c>
      <c r="E1084">
        <v>0.68404736458732396</v>
      </c>
      <c r="F1084">
        <v>0.23857045476253699</v>
      </c>
      <c r="G1084">
        <v>0.13074739536825999</v>
      </c>
      <c r="H1084">
        <v>9.4933281272339506E-2</v>
      </c>
      <c r="I1084">
        <v>0.100760178941563</v>
      </c>
      <c r="J1084">
        <v>0.10535602161166301</v>
      </c>
      <c r="K1084">
        <v>0.15037054679841699</v>
      </c>
      <c r="L1084">
        <v>1454.0744206987299</v>
      </c>
      <c r="M1084">
        <v>28.863694738647801</v>
      </c>
      <c r="N1084">
        <v>50.7947158965071</v>
      </c>
      <c r="O1084">
        <v>50.137329755596099</v>
      </c>
      <c r="P1084">
        <v>-0.12872874366381601</v>
      </c>
      <c r="Q1084">
        <v>0.105580131641517</v>
      </c>
      <c r="R1084">
        <v>0.98785331903681495</v>
      </c>
      <c r="S1084" t="s">
        <v>7754</v>
      </c>
      <c r="T1084" t="s">
        <v>13338</v>
      </c>
      <c r="U1084" t="s">
        <v>13338</v>
      </c>
      <c r="V1084" t="s">
        <v>13338</v>
      </c>
      <c r="W1084" t="s">
        <v>14396</v>
      </c>
      <c r="X1084">
        <v>4</v>
      </c>
      <c r="Y1084" t="s">
        <v>20998</v>
      </c>
      <c r="Z1084" t="s">
        <v>27499</v>
      </c>
      <c r="AA1084">
        <v>0.42098481899640772</v>
      </c>
      <c r="AB1084" t="str">
        <f>HYPERLINK("Melting_Curves/meltCurve_J3KQ88_C6orf203.pdf", "Melting_Curves/meltCurve_J3KQ88_C6orf203.pdf")</f>
        <v>Melting_Curves/meltCurve_J3KQ88_C6orf203.pdf</v>
      </c>
    </row>
    <row r="1085" spans="1:28" x14ac:dyDescent="0.25">
      <c r="A1085" t="s">
        <v>1089</v>
      </c>
      <c r="B1085">
        <v>0.99193492352474899</v>
      </c>
      <c r="C1085">
        <v>0.74744069089052001</v>
      </c>
      <c r="D1085">
        <v>1.0225609386215</v>
      </c>
      <c r="E1085">
        <v>0.63781278820834797</v>
      </c>
      <c r="F1085">
        <v>0.35489148754689398</v>
      </c>
      <c r="G1085">
        <v>0.15689178932172701</v>
      </c>
      <c r="H1085">
        <v>0.117768053882296</v>
      </c>
      <c r="I1085">
        <v>0.15092223885117501</v>
      </c>
      <c r="J1085">
        <v>0.164162576590174</v>
      </c>
      <c r="K1085">
        <v>0.13365494202699801</v>
      </c>
      <c r="L1085">
        <v>1259.0933572551801</v>
      </c>
      <c r="M1085">
        <v>24.9169303709694</v>
      </c>
      <c r="N1085">
        <v>51.170855681763101</v>
      </c>
      <c r="O1085">
        <v>50.2095309355567</v>
      </c>
      <c r="P1085">
        <v>-0.107474025587439</v>
      </c>
      <c r="Q1085">
        <v>0.133738098063273</v>
      </c>
      <c r="R1085">
        <v>0.94160837283500398</v>
      </c>
      <c r="S1085" t="s">
        <v>7755</v>
      </c>
      <c r="T1085" t="s">
        <v>13338</v>
      </c>
      <c r="U1085" t="s">
        <v>13338</v>
      </c>
      <c r="V1085" t="s">
        <v>13338</v>
      </c>
      <c r="W1085" t="s">
        <v>14397</v>
      </c>
      <c r="X1085">
        <v>1</v>
      </c>
      <c r="Y1085" t="s">
        <v>20999</v>
      </c>
      <c r="Z1085" t="s">
        <v>27500</v>
      </c>
      <c r="AA1085">
        <v>0.44568096091371118</v>
      </c>
      <c r="AB1085" t="str">
        <f>HYPERLINK("Melting_Curves/meltCurve_J3KQ97_C6orf120.pdf", "Melting_Curves/meltCurve_J3KQ97_C6orf120.pdf")</f>
        <v>Melting_Curves/meltCurve_J3KQ97_C6orf120.pdf</v>
      </c>
    </row>
    <row r="1086" spans="1:28" x14ac:dyDescent="0.25">
      <c r="A1086" t="s">
        <v>1090</v>
      </c>
      <c r="B1086">
        <v>0.99193492352474899</v>
      </c>
      <c r="C1086">
        <v>4.4151787984246296</v>
      </c>
      <c r="D1086">
        <v>1.25394972999416</v>
      </c>
      <c r="E1086">
        <v>1.82502010197116</v>
      </c>
      <c r="F1086">
        <v>0.75156820203399899</v>
      </c>
      <c r="G1086">
        <v>0.55749857141302095</v>
      </c>
      <c r="H1086">
        <v>0.37658919979567701</v>
      </c>
      <c r="I1086">
        <v>0.12547708213348399</v>
      </c>
      <c r="J1086">
        <v>0.377695309578508</v>
      </c>
      <c r="K1086">
        <v>0</v>
      </c>
      <c r="L1086">
        <v>1739.98738100286</v>
      </c>
      <c r="M1086">
        <v>30.726563030060699</v>
      </c>
      <c r="N1086">
        <v>57.483783400068802</v>
      </c>
      <c r="O1086">
        <v>56.389878639047701</v>
      </c>
      <c r="P1086">
        <v>-0.111223010624645</v>
      </c>
      <c r="Q1086">
        <v>0.183531872897056</v>
      </c>
      <c r="R1086">
        <v>0.17314231789683501</v>
      </c>
      <c r="S1086" t="s">
        <v>7756</v>
      </c>
      <c r="T1086" t="s">
        <v>13338</v>
      </c>
      <c r="U1086" t="s">
        <v>13338</v>
      </c>
      <c r="V1086" t="s">
        <v>13338</v>
      </c>
      <c r="W1086" t="s">
        <v>14398</v>
      </c>
      <c r="X1086">
        <v>1</v>
      </c>
      <c r="Y1086" t="s">
        <v>21000</v>
      </c>
      <c r="Z1086" t="s">
        <v>27501</v>
      </c>
      <c r="AA1086">
        <v>0.64129179813725479</v>
      </c>
      <c r="AB1086" t="str">
        <f>HYPERLINK("Melting_Curves/meltCurve_J3KQA4_SLC25A36.pdf", "Melting_Curves/meltCurve_J3KQA4_SLC25A36.pdf")</f>
        <v>Melting_Curves/meltCurve_J3KQA4_SLC25A36.pdf</v>
      </c>
    </row>
    <row r="1087" spans="1:28" x14ac:dyDescent="0.25">
      <c r="A1087" t="s">
        <v>1091</v>
      </c>
      <c r="B1087">
        <v>0.99193492352474899</v>
      </c>
      <c r="C1087">
        <v>0.80106778801695999</v>
      </c>
      <c r="D1087">
        <v>0.96049079108477098</v>
      </c>
      <c r="E1087">
        <v>0.75613244918703504</v>
      </c>
      <c r="F1087">
        <v>0.67184613764851797</v>
      </c>
      <c r="G1087">
        <v>0.29613214190065801</v>
      </c>
      <c r="H1087">
        <v>0.11980220295140601</v>
      </c>
      <c r="I1087">
        <v>8.9622774187462201E-2</v>
      </c>
      <c r="J1087">
        <v>9.0431610771598406E-2</v>
      </c>
      <c r="K1087">
        <v>8.5730387699306299E-2</v>
      </c>
      <c r="L1087">
        <v>844.521726757804</v>
      </c>
      <c r="M1087">
        <v>15.6274798420592</v>
      </c>
      <c r="N1087">
        <v>54.220693907665698</v>
      </c>
      <c r="O1087">
        <v>53.179118829803102</v>
      </c>
      <c r="P1087">
        <v>-7.1616515233100503E-2</v>
      </c>
      <c r="Q1087">
        <v>2.5261794842663401E-2</v>
      </c>
      <c r="R1087">
        <v>0.96085650372573705</v>
      </c>
      <c r="S1087" t="s">
        <v>7757</v>
      </c>
      <c r="T1087" t="s">
        <v>13338</v>
      </c>
      <c r="U1087" t="s">
        <v>13338</v>
      </c>
      <c r="V1087" t="s">
        <v>13338</v>
      </c>
      <c r="W1087" t="s">
        <v>14399</v>
      </c>
      <c r="X1087">
        <v>15</v>
      </c>
      <c r="Y1087" t="s">
        <v>21001</v>
      </c>
      <c r="Z1087" t="s">
        <v>27502</v>
      </c>
      <c r="AA1087">
        <v>0.50041518472987212</v>
      </c>
      <c r="AB1087" t="str">
        <f>HYPERLINK("Melting_Curves/meltCurve_J3KQB0_THUMPD1.pdf", "Melting_Curves/meltCurve_J3KQB0_THUMPD1.pdf")</f>
        <v>Melting_Curves/meltCurve_J3KQB0_THUMPD1.pdf</v>
      </c>
    </row>
    <row r="1088" spans="1:28" x14ac:dyDescent="0.25">
      <c r="A1088" t="s">
        <v>1092</v>
      </c>
      <c r="B1088">
        <v>0.99193492352474899</v>
      </c>
      <c r="C1088">
        <v>0.83740752555540399</v>
      </c>
      <c r="D1088">
        <v>1.07069917684506</v>
      </c>
      <c r="E1088">
        <v>0.77210973724560605</v>
      </c>
      <c r="F1088">
        <v>0.71207516961938</v>
      </c>
      <c r="G1088">
        <v>0.26385330710594801</v>
      </c>
      <c r="H1088">
        <v>9.3761452368591305E-2</v>
      </c>
      <c r="I1088">
        <v>8.3083152465284998E-2</v>
      </c>
      <c r="J1088">
        <v>6.5457880519593697E-2</v>
      </c>
      <c r="K1088">
        <v>6.08179250451725E-2</v>
      </c>
      <c r="L1088">
        <v>1176.3196355109901</v>
      </c>
      <c r="M1088">
        <v>21.667122665951201</v>
      </c>
      <c r="N1088">
        <v>54.492301685284303</v>
      </c>
      <c r="O1088">
        <v>53.834422303847099</v>
      </c>
      <c r="P1088">
        <v>-9.6743058591082995E-2</v>
      </c>
      <c r="Q1088">
        <v>3.85464296187744E-2</v>
      </c>
      <c r="R1088">
        <v>0.96299575137716398</v>
      </c>
      <c r="S1088" t="s">
        <v>7758</v>
      </c>
      <c r="T1088" t="s">
        <v>13338</v>
      </c>
      <c r="U1088" t="s">
        <v>13338</v>
      </c>
      <c r="V1088" t="s">
        <v>13338</v>
      </c>
      <c r="W1088" t="s">
        <v>14400</v>
      </c>
      <c r="X1088">
        <v>3</v>
      </c>
      <c r="Y1088" t="s">
        <v>21002</v>
      </c>
      <c r="Z1088" t="s">
        <v>27503</v>
      </c>
      <c r="AA1088">
        <v>0.50795260831310296</v>
      </c>
      <c r="AB1088" t="str">
        <f>HYPERLINK("Melting_Curves/meltCurve_J3KQD0_FAM213B.pdf", "Melting_Curves/meltCurve_J3KQD0_FAM213B.pdf")</f>
        <v>Melting_Curves/meltCurve_J3KQD0_FAM213B.pdf</v>
      </c>
    </row>
    <row r="1089" spans="1:28" x14ac:dyDescent="0.25">
      <c r="A1089" t="s">
        <v>1093</v>
      </c>
      <c r="B1089">
        <v>0.99193492352474899</v>
      </c>
      <c r="C1089">
        <v>0.80889231103376202</v>
      </c>
      <c r="D1089">
        <v>0.87987819042507598</v>
      </c>
      <c r="E1089">
        <v>0.75899020783434201</v>
      </c>
      <c r="F1089">
        <v>0.67646587428864102</v>
      </c>
      <c r="G1089">
        <v>0.38575602147029397</v>
      </c>
      <c r="H1089">
        <v>0.13885475394865501</v>
      </c>
      <c r="I1089">
        <v>8.6534661801677099E-2</v>
      </c>
      <c r="J1089">
        <v>9.3685068673232799E-2</v>
      </c>
      <c r="K1089">
        <v>0.106613414562355</v>
      </c>
      <c r="L1089">
        <v>679.61343617170905</v>
      </c>
      <c r="M1089">
        <v>12.4646537215725</v>
      </c>
      <c r="N1089">
        <v>54.523250361224697</v>
      </c>
      <c r="O1089">
        <v>53.1769321533679</v>
      </c>
      <c r="P1089">
        <v>-5.8612101302753399E-2</v>
      </c>
      <c r="Q1089">
        <v>0</v>
      </c>
      <c r="R1089">
        <v>0.96139902478288497</v>
      </c>
      <c r="S1089" t="s">
        <v>7759</v>
      </c>
      <c r="T1089" t="s">
        <v>13338</v>
      </c>
      <c r="U1089" t="s">
        <v>13338</v>
      </c>
      <c r="V1089" t="s">
        <v>13338</v>
      </c>
      <c r="W1089" t="s">
        <v>14401</v>
      </c>
      <c r="X1089">
        <v>14</v>
      </c>
      <c r="Y1089" t="s">
        <v>21003</v>
      </c>
      <c r="Z1089" t="s">
        <v>27504</v>
      </c>
      <c r="AA1089">
        <v>0.50810061312037214</v>
      </c>
      <c r="AB1089" t="str">
        <f>HYPERLINK("Melting_Curves/meltCurve_J3KQE5_RAN.pdf", "Melting_Curves/meltCurve_J3KQE5_RAN.pdf")</f>
        <v>Melting_Curves/meltCurve_J3KQE5_RAN.pdf</v>
      </c>
    </row>
    <row r="1090" spans="1:28" x14ac:dyDescent="0.25">
      <c r="A1090" t="s">
        <v>1094</v>
      </c>
      <c r="B1090">
        <v>0.99193492352474899</v>
      </c>
      <c r="C1090">
        <v>0.91901469091096299</v>
      </c>
      <c r="D1090">
        <v>0.85469985453469999</v>
      </c>
      <c r="E1090">
        <v>0.66697312663744002</v>
      </c>
      <c r="F1090">
        <v>0.53152253784821202</v>
      </c>
      <c r="G1090">
        <v>0.35837829922112802</v>
      </c>
      <c r="H1090">
        <v>0.22469392148058001</v>
      </c>
      <c r="I1090">
        <v>0.14093655456359999</v>
      </c>
      <c r="J1090">
        <v>0.128566980304748</v>
      </c>
      <c r="K1090">
        <v>0.12143863073375</v>
      </c>
      <c r="L1090">
        <v>578.601358523008</v>
      </c>
      <c r="M1090">
        <v>10.920948965968901</v>
      </c>
      <c r="N1090">
        <v>53.3918372713335</v>
      </c>
      <c r="O1090">
        <v>51.297324929285097</v>
      </c>
      <c r="P1090">
        <v>-5.1095873281682101E-2</v>
      </c>
      <c r="Q1090">
        <v>4.0313174455340703E-2</v>
      </c>
      <c r="R1090">
        <v>0.99745448038429796</v>
      </c>
      <c r="S1090" t="s">
        <v>7760</v>
      </c>
      <c r="T1090" t="s">
        <v>13338</v>
      </c>
      <c r="U1090" t="s">
        <v>13338</v>
      </c>
      <c r="V1090" t="s">
        <v>13338</v>
      </c>
      <c r="W1090" t="s">
        <v>14402</v>
      </c>
      <c r="X1090">
        <v>5</v>
      </c>
      <c r="Y1090" t="s">
        <v>21004</v>
      </c>
      <c r="Z1090" t="s">
        <v>27505</v>
      </c>
      <c r="AA1090">
        <v>0.48581213875702278</v>
      </c>
      <c r="AB1090" t="str">
        <f>HYPERLINK("Melting_Curves/meltCurve_J3KQG4_GBA.pdf", "Melting_Curves/meltCurve_J3KQG4_GBA.pdf")</f>
        <v>Melting_Curves/meltCurve_J3KQG4_GBA.pdf</v>
      </c>
    </row>
    <row r="1091" spans="1:28" x14ac:dyDescent="0.25">
      <c r="A1091" t="s">
        <v>1095</v>
      </c>
      <c r="B1091">
        <v>0.99193492352474899</v>
      </c>
      <c r="C1091">
        <v>0.831710246399054</v>
      </c>
      <c r="D1091">
        <v>0.93104761846380302</v>
      </c>
      <c r="E1091">
        <v>0.56182945928200601</v>
      </c>
      <c r="F1091">
        <v>0.33123649633782098</v>
      </c>
      <c r="G1091">
        <v>0.212918017895044</v>
      </c>
      <c r="H1091">
        <v>0.131428408151267</v>
      </c>
      <c r="I1091">
        <v>0.16829568114955301</v>
      </c>
      <c r="J1091">
        <v>0.182185439321744</v>
      </c>
      <c r="K1091">
        <v>0.20818099950204599</v>
      </c>
      <c r="L1091">
        <v>1070.56914771837</v>
      </c>
      <c r="M1091">
        <v>21.603830102953001</v>
      </c>
      <c r="N1091">
        <v>50.502177709525199</v>
      </c>
      <c r="O1091">
        <v>49.135858576704798</v>
      </c>
      <c r="P1091">
        <v>-9.1604903992716299E-2</v>
      </c>
      <c r="Q1091">
        <v>0.16663324375704999</v>
      </c>
      <c r="R1091">
        <v>0.97337100973533397</v>
      </c>
      <c r="S1091" t="s">
        <v>7761</v>
      </c>
      <c r="T1091" t="s">
        <v>13338</v>
      </c>
      <c r="U1091" t="s">
        <v>13338</v>
      </c>
      <c r="V1091" t="s">
        <v>13338</v>
      </c>
      <c r="W1091" t="s">
        <v>14403</v>
      </c>
      <c r="X1091">
        <v>9</v>
      </c>
      <c r="Y1091" t="s">
        <v>21005</v>
      </c>
      <c r="Z1091" t="s">
        <v>27506</v>
      </c>
      <c r="AA1091">
        <v>0.44201413244782128</v>
      </c>
      <c r="AB1091" t="str">
        <f>HYPERLINK("Melting_Curves/meltCurve_J3KQJ1_SUMF2.pdf", "Melting_Curves/meltCurve_J3KQJ1_SUMF2.pdf")</f>
        <v>Melting_Curves/meltCurve_J3KQJ1_SUMF2.pdf</v>
      </c>
    </row>
    <row r="1092" spans="1:28" x14ac:dyDescent="0.25">
      <c r="A1092" t="s">
        <v>1096</v>
      </c>
      <c r="B1092">
        <v>0.99193492352474899</v>
      </c>
      <c r="C1092">
        <v>0.84004096520379201</v>
      </c>
      <c r="D1092">
        <v>0.64291244940023695</v>
      </c>
      <c r="E1092">
        <v>0.44795543855911901</v>
      </c>
      <c r="F1092">
        <v>0.34349079858433901</v>
      </c>
      <c r="G1092">
        <v>0.19794063582157501</v>
      </c>
      <c r="H1092">
        <v>0.116160941175757</v>
      </c>
      <c r="I1092">
        <v>0.17636754262419499</v>
      </c>
      <c r="J1092">
        <v>0.149233005467999</v>
      </c>
      <c r="K1092">
        <v>0.26003966686746099</v>
      </c>
      <c r="L1092">
        <v>718.92317625619796</v>
      </c>
      <c r="M1092">
        <v>15.223739861940301</v>
      </c>
      <c r="N1092">
        <v>48.505889481107999</v>
      </c>
      <c r="O1092">
        <v>46.431490740996601</v>
      </c>
      <c r="P1092">
        <v>-6.83983227347571E-2</v>
      </c>
      <c r="Q1092">
        <v>0.16563671210320999</v>
      </c>
      <c r="R1092">
        <v>0.97652986520030705</v>
      </c>
      <c r="S1092" t="s">
        <v>7762</v>
      </c>
      <c r="T1092" t="s">
        <v>13338</v>
      </c>
      <c r="U1092" t="s">
        <v>13338</v>
      </c>
      <c r="V1092" t="s">
        <v>13338</v>
      </c>
      <c r="W1092" t="s">
        <v>14404</v>
      </c>
      <c r="X1092">
        <v>6</v>
      </c>
      <c r="Y1092" t="s">
        <v>21006</v>
      </c>
      <c r="Z1092" t="s">
        <v>27507</v>
      </c>
      <c r="AA1092">
        <v>0.38824311603978739</v>
      </c>
      <c r="AB1092" t="str">
        <f>HYPERLINK("Melting_Curves/meltCurve_J3KQL8_APOL2.pdf", "Melting_Curves/meltCurve_J3KQL8_APOL2.pdf")</f>
        <v>Melting_Curves/meltCurve_J3KQL8_APOL2.pdf</v>
      </c>
    </row>
    <row r="1093" spans="1:28" x14ac:dyDescent="0.25">
      <c r="A1093" t="s">
        <v>1097</v>
      </c>
      <c r="B1093">
        <v>0.99193492352474899</v>
      </c>
      <c r="C1093">
        <v>1.0368180563700999</v>
      </c>
      <c r="D1093">
        <v>0.98250810016615298</v>
      </c>
      <c r="E1093">
        <v>0.82161951860733196</v>
      </c>
      <c r="F1093">
        <v>0.864053992822853</v>
      </c>
      <c r="G1093">
        <v>0.65715254298081804</v>
      </c>
      <c r="H1093">
        <v>0.40350905703812101</v>
      </c>
      <c r="I1093">
        <v>0.25878998606407</v>
      </c>
      <c r="J1093">
        <v>0.28037050856599399</v>
      </c>
      <c r="K1093">
        <v>0.247326515824173</v>
      </c>
      <c r="L1093">
        <v>902.70931530211897</v>
      </c>
      <c r="M1093">
        <v>15.721211910750901</v>
      </c>
      <c r="N1093">
        <v>59.088558189111303</v>
      </c>
      <c r="O1093">
        <v>56.514855219705801</v>
      </c>
      <c r="P1093">
        <v>-5.7082651853856997E-2</v>
      </c>
      <c r="Q1093">
        <v>0.17926258023548899</v>
      </c>
      <c r="R1093">
        <v>0.97640791677729899</v>
      </c>
      <c r="S1093" t="s">
        <v>7763</v>
      </c>
      <c r="T1093" t="s">
        <v>13338</v>
      </c>
      <c r="U1093" t="s">
        <v>13338</v>
      </c>
      <c r="V1093" t="s">
        <v>13338</v>
      </c>
      <c r="W1093" t="s">
        <v>14405</v>
      </c>
      <c r="X1093">
        <v>8</v>
      </c>
      <c r="Y1093" t="s">
        <v>21007</v>
      </c>
      <c r="Z1093" t="s">
        <v>27508</v>
      </c>
      <c r="AA1093">
        <v>0.66776868082325536</v>
      </c>
      <c r="AB1093" t="str">
        <f>HYPERLINK("Melting_Curves/meltCurve_J3KQS6_BABAM1.pdf", "Melting_Curves/meltCurve_J3KQS6_BABAM1.pdf")</f>
        <v>Melting_Curves/meltCurve_J3KQS6_BABAM1.pdf</v>
      </c>
    </row>
    <row r="1094" spans="1:28" x14ac:dyDescent="0.25">
      <c r="A1094" t="s">
        <v>1098</v>
      </c>
      <c r="B1094">
        <v>0.99193492352474899</v>
      </c>
      <c r="C1094">
        <v>1.04182258373042</v>
      </c>
      <c r="D1094">
        <v>0.64848880536732501</v>
      </c>
      <c r="E1094">
        <v>0.72134060982592596</v>
      </c>
      <c r="F1094">
        <v>0.46749287822942898</v>
      </c>
      <c r="G1094">
        <v>0.32126062657205601</v>
      </c>
      <c r="H1094">
        <v>0.25081503438650499</v>
      </c>
      <c r="I1094">
        <v>0.28469439888336101</v>
      </c>
      <c r="J1094">
        <v>0.23793084852700899</v>
      </c>
      <c r="K1094">
        <v>0.29615112385224801</v>
      </c>
      <c r="L1094">
        <v>692.03357713018602</v>
      </c>
      <c r="M1094">
        <v>13.908601940178499</v>
      </c>
      <c r="N1094">
        <v>52.162455993342299</v>
      </c>
      <c r="O1094">
        <v>48.761090160993703</v>
      </c>
      <c r="P1094">
        <v>-5.4430745999492401E-2</v>
      </c>
      <c r="Q1094">
        <v>0.236805497001634</v>
      </c>
      <c r="R1094">
        <v>0.93435670274372895</v>
      </c>
      <c r="S1094" t="s">
        <v>7764</v>
      </c>
      <c r="T1094" t="s">
        <v>13338</v>
      </c>
      <c r="U1094" t="s">
        <v>13338</v>
      </c>
      <c r="V1094" t="s">
        <v>13338</v>
      </c>
      <c r="W1094" t="s">
        <v>14406</v>
      </c>
      <c r="X1094">
        <v>2</v>
      </c>
      <c r="Y1094" t="s">
        <v>21008</v>
      </c>
      <c r="Z1094" t="s">
        <v>27509</v>
      </c>
      <c r="AA1094">
        <v>0.50595614660393573</v>
      </c>
      <c r="AB1094" t="str">
        <f>HYPERLINK("Melting_Curves/meltCurve_J3KR15_NAPEPLD.pdf", "Melting_Curves/meltCurve_J3KR15_NAPEPLD.pdf")</f>
        <v>Melting_Curves/meltCurve_J3KR15_NAPEPLD.pdf</v>
      </c>
    </row>
    <row r="1095" spans="1:28" x14ac:dyDescent="0.25">
      <c r="A1095" t="s">
        <v>1099</v>
      </c>
      <c r="B1095">
        <v>0.99193492352474899</v>
      </c>
      <c r="C1095">
        <v>0.76565397520506995</v>
      </c>
      <c r="D1095">
        <v>0.71245205238209997</v>
      </c>
      <c r="E1095">
        <v>0.69102026236895198</v>
      </c>
      <c r="F1095">
        <v>0.74286224355589303</v>
      </c>
      <c r="G1095">
        <v>0.62338452586457305</v>
      </c>
      <c r="H1095">
        <v>0.60253478738598898</v>
      </c>
      <c r="I1095">
        <v>0.71968364454478595</v>
      </c>
      <c r="J1095">
        <v>0.93602922605272998</v>
      </c>
      <c r="K1095">
        <v>1.2918830801023999</v>
      </c>
      <c r="L1095">
        <v>10129.348979058501</v>
      </c>
      <c r="M1095">
        <v>250</v>
      </c>
      <c r="O1095">
        <v>40.514802982267199</v>
      </c>
      <c r="P1095">
        <v>-0.32815446768307299</v>
      </c>
      <c r="Q1095">
        <v>0.78727818208517697</v>
      </c>
      <c r="R1095">
        <v>9.4876894594573796E-2</v>
      </c>
      <c r="S1095" t="s">
        <v>7765</v>
      </c>
      <c r="T1095" t="s">
        <v>13338</v>
      </c>
      <c r="U1095" t="s">
        <v>13338</v>
      </c>
      <c r="V1095" t="s">
        <v>13338</v>
      </c>
      <c r="W1095" t="s">
        <v>14407</v>
      </c>
      <c r="X1095">
        <v>11</v>
      </c>
      <c r="Y1095" t="s">
        <v>21009</v>
      </c>
      <c r="Z1095" t="s">
        <v>27510</v>
      </c>
      <c r="AA1095">
        <v>0.79100497354159971</v>
      </c>
      <c r="AB1095" t="str">
        <f>HYPERLINK("Melting_Curves/meltCurve_J3KR35_CCDC12.pdf", "Melting_Curves/meltCurve_J3KR35_CCDC12.pdf")</f>
        <v>Melting_Curves/meltCurve_J3KR35_CCDC12.pdf</v>
      </c>
    </row>
    <row r="1096" spans="1:28" x14ac:dyDescent="0.25">
      <c r="A1096" t="s">
        <v>1100</v>
      </c>
      <c r="B1096">
        <v>0.99193492352474899</v>
      </c>
      <c r="C1096">
        <v>0.50064789802047704</v>
      </c>
      <c r="D1096">
        <v>0.54385403762079798</v>
      </c>
      <c r="E1096">
        <v>0.14910702614409399</v>
      </c>
      <c r="F1096">
        <v>0.123086069414302</v>
      </c>
      <c r="G1096">
        <v>7.1169617692579096E-2</v>
      </c>
      <c r="H1096">
        <v>5.0217837102404801E-2</v>
      </c>
      <c r="I1096">
        <v>4.3562266195379402E-2</v>
      </c>
      <c r="J1096">
        <v>6.2780416483628906E-2</v>
      </c>
      <c r="K1096">
        <v>5.7604832538466502E-2</v>
      </c>
      <c r="L1096">
        <v>707.49315157909598</v>
      </c>
      <c r="M1096">
        <v>15.854873261517699</v>
      </c>
      <c r="N1096">
        <v>44.891478228813</v>
      </c>
      <c r="O1096">
        <v>43.931285726525097</v>
      </c>
      <c r="P1096">
        <v>-8.6152382144018005E-2</v>
      </c>
      <c r="Q1096">
        <v>4.5220380598228402E-2</v>
      </c>
      <c r="R1096">
        <v>0.92841417030258799</v>
      </c>
      <c r="S1096" t="s">
        <v>7766</v>
      </c>
      <c r="T1096" t="s">
        <v>13338</v>
      </c>
      <c r="U1096" t="s">
        <v>13338</v>
      </c>
      <c r="V1096" t="s">
        <v>13338</v>
      </c>
      <c r="W1096" t="s">
        <v>14408</v>
      </c>
      <c r="X1096">
        <v>10</v>
      </c>
      <c r="Y1096" t="s">
        <v>21010</v>
      </c>
      <c r="Z1096" t="s">
        <v>27511</v>
      </c>
      <c r="AA1096">
        <v>0.22082587915075011</v>
      </c>
      <c r="AB1096" t="str">
        <f>HYPERLINK("Melting_Curves/meltCurve_J3KR72_TAF6.pdf", "Melting_Curves/meltCurve_J3KR72_TAF6.pdf")</f>
        <v>Melting_Curves/meltCurve_J3KR72_TAF6.pdf</v>
      </c>
    </row>
    <row r="1097" spans="1:28" x14ac:dyDescent="0.25">
      <c r="A1097" t="s">
        <v>1101</v>
      </c>
      <c r="B1097">
        <v>0.99193492352474899</v>
      </c>
      <c r="C1097">
        <v>0.96133432139652397</v>
      </c>
      <c r="D1097">
        <v>0.84409457867274795</v>
      </c>
      <c r="E1097">
        <v>0.49955069087656101</v>
      </c>
      <c r="F1097">
        <v>0.15716302092055301</v>
      </c>
      <c r="G1097">
        <v>0.116155347106493</v>
      </c>
      <c r="H1097">
        <v>6.24238029456416E-2</v>
      </c>
      <c r="I1097">
        <v>7.4423508744518502E-2</v>
      </c>
      <c r="J1097">
        <v>7.2024246808750803E-2</v>
      </c>
      <c r="K1097">
        <v>6.3725760018368993E-2</v>
      </c>
      <c r="L1097">
        <v>1216.5877920989899</v>
      </c>
      <c r="M1097">
        <v>24.752759028598401</v>
      </c>
      <c r="N1097">
        <v>49.427489464554299</v>
      </c>
      <c r="O1097">
        <v>48.832160593164403</v>
      </c>
      <c r="P1097">
        <v>-0.118493259820733</v>
      </c>
      <c r="Q1097">
        <v>6.4960677632807898E-2</v>
      </c>
      <c r="R1097">
        <v>0.99846150744571804</v>
      </c>
      <c r="S1097" t="s">
        <v>7767</v>
      </c>
      <c r="T1097" t="s">
        <v>13338</v>
      </c>
      <c r="U1097" t="s">
        <v>13338</v>
      </c>
      <c r="V1097" t="s">
        <v>13338</v>
      </c>
      <c r="W1097" t="s">
        <v>14409</v>
      </c>
      <c r="X1097">
        <v>28</v>
      </c>
      <c r="Y1097" t="s">
        <v>21011</v>
      </c>
      <c r="Z1097" t="s">
        <v>27512</v>
      </c>
      <c r="AA1097">
        <v>0.35859983511642501</v>
      </c>
      <c r="AB1097" t="str">
        <f>HYPERLINK("Melting_Curves/meltCurve_J3KR97_TBCD.pdf", "Melting_Curves/meltCurve_J3KR97_TBCD.pdf")</f>
        <v>Melting_Curves/meltCurve_J3KR97_TBCD.pdf</v>
      </c>
    </row>
    <row r="1098" spans="1:28" x14ac:dyDescent="0.25">
      <c r="A1098" t="s">
        <v>1102</v>
      </c>
      <c r="B1098">
        <v>0.99193492352474899</v>
      </c>
      <c r="C1098">
        <v>2.2857134019376302</v>
      </c>
      <c r="D1098">
        <v>0.657872978991348</v>
      </c>
      <c r="E1098">
        <v>0.92566403830833499</v>
      </c>
      <c r="F1098">
        <v>0.26330877478252501</v>
      </c>
      <c r="G1098">
        <v>0.440691507159851</v>
      </c>
      <c r="H1098">
        <v>0.30701295612129398</v>
      </c>
      <c r="I1098">
        <v>0.67875983644493898</v>
      </c>
      <c r="J1098">
        <v>0.329162988352801</v>
      </c>
      <c r="K1098">
        <v>0.33924703255739203</v>
      </c>
      <c r="L1098">
        <v>12497.6740022171</v>
      </c>
      <c r="M1098">
        <v>250</v>
      </c>
      <c r="N1098">
        <v>50.30097177092</v>
      </c>
      <c r="O1098">
        <v>49.9874952335202</v>
      </c>
      <c r="P1098">
        <v>-0.75890164776200597</v>
      </c>
      <c r="Q1098">
        <v>0.39303050002582102</v>
      </c>
      <c r="R1098">
        <v>0.433523498630004</v>
      </c>
      <c r="S1098" t="s">
        <v>7768</v>
      </c>
      <c r="T1098" t="s">
        <v>13338</v>
      </c>
      <c r="U1098" t="s">
        <v>13338</v>
      </c>
      <c r="V1098" t="s">
        <v>13338</v>
      </c>
      <c r="W1098" t="s">
        <v>14410</v>
      </c>
      <c r="X1098">
        <v>1</v>
      </c>
      <c r="Y1098" t="s">
        <v>21012</v>
      </c>
      <c r="Z1098" t="s">
        <v>27513</v>
      </c>
      <c r="AA1098">
        <v>0.59521867657953009</v>
      </c>
      <c r="AB1098" t="str">
        <f>HYPERLINK("Melting_Curves/meltCurve_J3KRC8_C16orf55.pdf", "Melting_Curves/meltCurve_J3KRC8_C16orf55.pdf")</f>
        <v>Melting_Curves/meltCurve_J3KRC8_C16orf55.pdf</v>
      </c>
    </row>
    <row r="1099" spans="1:28" x14ac:dyDescent="0.25">
      <c r="A1099" t="s">
        <v>1103</v>
      </c>
      <c r="B1099">
        <v>0.99193492352474899</v>
      </c>
      <c r="C1099">
        <v>0.68423422447734805</v>
      </c>
      <c r="D1099">
        <v>0.66991640288632803</v>
      </c>
      <c r="E1099">
        <v>0.35771693905395102</v>
      </c>
      <c r="F1099">
        <v>0.37551471529475</v>
      </c>
      <c r="G1099">
        <v>0.27254749721118299</v>
      </c>
      <c r="H1099">
        <v>0.39869763990666302</v>
      </c>
      <c r="I1099">
        <v>0.44501944621577399</v>
      </c>
      <c r="J1099">
        <v>0.47450047956000702</v>
      </c>
      <c r="K1099">
        <v>0.73956252130844202</v>
      </c>
      <c r="L1099">
        <v>1074.87763954757</v>
      </c>
      <c r="M1099">
        <v>24.794324733641599</v>
      </c>
      <c r="N1099">
        <v>47.547170398365701</v>
      </c>
      <c r="O1099">
        <v>43.072709202464402</v>
      </c>
      <c r="P1099">
        <v>-8.0026909586599193E-2</v>
      </c>
      <c r="Q1099">
        <v>0.44391663627057698</v>
      </c>
      <c r="R1099">
        <v>0.64156145377764995</v>
      </c>
      <c r="S1099" t="s">
        <v>7769</v>
      </c>
      <c r="T1099" t="s">
        <v>13338</v>
      </c>
      <c r="U1099" t="s">
        <v>13338</v>
      </c>
      <c r="V1099" t="s">
        <v>13338</v>
      </c>
      <c r="W1099" t="s">
        <v>14411</v>
      </c>
      <c r="X1099">
        <v>2</v>
      </c>
      <c r="Y1099" t="s">
        <v>21013</v>
      </c>
      <c r="Z1099" t="s">
        <v>27514</v>
      </c>
      <c r="AA1099">
        <v>0.51347041769831092</v>
      </c>
      <c r="AB1099" t="str">
        <f>HYPERLINK("Melting_Curves/meltCurve_J3KRP6_SS18.pdf", "Melting_Curves/meltCurve_J3KRP6_SS18.pdf")</f>
        <v>Melting_Curves/meltCurve_J3KRP6_SS18.pdf</v>
      </c>
    </row>
    <row r="1100" spans="1:28" x14ac:dyDescent="0.25">
      <c r="A1100" t="s">
        <v>1104</v>
      </c>
      <c r="B1100">
        <v>0.99193492352474899</v>
      </c>
      <c r="C1100">
        <v>2.0333885152235802</v>
      </c>
      <c r="D1100">
        <v>0.67213703565420602</v>
      </c>
      <c r="E1100">
        <v>1.38829408803292</v>
      </c>
      <c r="F1100">
        <v>0.36130343667638098</v>
      </c>
      <c r="G1100">
        <v>0.25028291078128301</v>
      </c>
      <c r="H1100">
        <v>0.129696421675387</v>
      </c>
      <c r="I1100">
        <v>0.168059030483663</v>
      </c>
      <c r="J1100">
        <v>0.13165145240561499</v>
      </c>
      <c r="K1100">
        <v>0.15768996904086899</v>
      </c>
      <c r="L1100">
        <v>13236.5611278627</v>
      </c>
      <c r="M1100">
        <v>250</v>
      </c>
      <c r="N1100">
        <v>53.0327720318787</v>
      </c>
      <c r="O1100">
        <v>52.942856717070597</v>
      </c>
      <c r="P1100">
        <v>-0.98280972930305399</v>
      </c>
      <c r="Q1100">
        <v>0.16747593262837299</v>
      </c>
      <c r="R1100">
        <v>0.65109158907073605</v>
      </c>
      <c r="S1100" t="s">
        <v>7770</v>
      </c>
      <c r="T1100" t="s">
        <v>13338</v>
      </c>
      <c r="U1100" t="s">
        <v>13338</v>
      </c>
      <c r="V1100" t="s">
        <v>13338</v>
      </c>
      <c r="W1100" t="s">
        <v>14412</v>
      </c>
      <c r="X1100">
        <v>7</v>
      </c>
      <c r="Y1100" t="s">
        <v>21014</v>
      </c>
      <c r="Z1100" t="s">
        <v>27515</v>
      </c>
      <c r="AA1100">
        <v>0.52682196188944552</v>
      </c>
      <c r="AB1100" t="str">
        <f>HYPERLINK("Melting_Curves/meltCurve_J3KS05_CBX1.pdf", "Melting_Curves/meltCurve_J3KS05_CBX1.pdf")</f>
        <v>Melting_Curves/meltCurve_J3KS05_CBX1.pdf</v>
      </c>
    </row>
    <row r="1101" spans="1:28" x14ac:dyDescent="0.25">
      <c r="A1101" t="s">
        <v>1105</v>
      </c>
      <c r="B1101">
        <v>0.99193492352474899</v>
      </c>
      <c r="C1101">
        <v>0.64070603349821897</v>
      </c>
      <c r="D1101">
        <v>0.68797249978500896</v>
      </c>
      <c r="E1101">
        <v>0.47172288469425999</v>
      </c>
      <c r="F1101">
        <v>0.22446491518791301</v>
      </c>
      <c r="G1101">
        <v>0.12574613814400601</v>
      </c>
      <c r="H1101">
        <v>7.9865120461919403E-2</v>
      </c>
      <c r="I1101">
        <v>8.5151014249613896E-2</v>
      </c>
      <c r="J1101">
        <v>0.10273121012764901</v>
      </c>
      <c r="K1101">
        <v>8.8017075946220102E-2</v>
      </c>
      <c r="L1101">
        <v>556.44672016786001</v>
      </c>
      <c r="M1101">
        <v>11.6719887323703</v>
      </c>
      <c r="N1101">
        <v>48.014012343875699</v>
      </c>
      <c r="O1101">
        <v>46.3387951368478</v>
      </c>
      <c r="P1101">
        <v>-6.0487214201781998E-2</v>
      </c>
      <c r="Q1101">
        <v>3.9700041416273597E-2</v>
      </c>
      <c r="R1101">
        <v>0.95404947975897203</v>
      </c>
      <c r="S1101" t="s">
        <v>7771</v>
      </c>
      <c r="T1101" t="s">
        <v>13338</v>
      </c>
      <c r="U1101" t="s">
        <v>13338</v>
      </c>
      <c r="V1101" t="s">
        <v>13338</v>
      </c>
      <c r="W1101" t="s">
        <v>14413</v>
      </c>
      <c r="X1101">
        <v>5</v>
      </c>
      <c r="Y1101" t="s">
        <v>21015</v>
      </c>
      <c r="Z1101" t="s">
        <v>27516</v>
      </c>
      <c r="AA1101">
        <v>0.325685389378843</v>
      </c>
      <c r="AB1101" t="str">
        <f>HYPERLINK("Melting_Curves/meltCurve_J3KS15_ICT1.pdf", "Melting_Curves/meltCurve_J3KS15_ICT1.pdf")</f>
        <v>Melting_Curves/meltCurve_J3KS15_ICT1.pdf</v>
      </c>
    </row>
    <row r="1102" spans="1:28" x14ac:dyDescent="0.25">
      <c r="A1102" t="s">
        <v>1106</v>
      </c>
      <c r="B1102">
        <v>0.99193492352474899</v>
      </c>
      <c r="C1102">
        <v>0.63406590523671003</v>
      </c>
      <c r="D1102">
        <v>0.80900269344998299</v>
      </c>
      <c r="E1102">
        <v>0.41242080721450097</v>
      </c>
      <c r="F1102">
        <v>0.341084662106939</v>
      </c>
      <c r="G1102">
        <v>0.17281072832515501</v>
      </c>
      <c r="H1102">
        <v>0.10433362267487099</v>
      </c>
      <c r="I1102">
        <v>8.6107280620719095E-2</v>
      </c>
      <c r="J1102">
        <v>6.4887131409402096E-2</v>
      </c>
      <c r="K1102">
        <v>8.1206884314233799E-2</v>
      </c>
      <c r="L1102">
        <v>512.88060487799601</v>
      </c>
      <c r="M1102">
        <v>10.4967525791665</v>
      </c>
      <c r="N1102">
        <v>48.987131840569702</v>
      </c>
      <c r="O1102">
        <v>47.187419702192301</v>
      </c>
      <c r="P1102">
        <v>-5.4892070199268603E-2</v>
      </c>
      <c r="Q1102">
        <v>1.3344650460044899E-2</v>
      </c>
      <c r="R1102">
        <v>0.93487243074969995</v>
      </c>
      <c r="S1102" t="s">
        <v>7772</v>
      </c>
      <c r="T1102" t="s">
        <v>13338</v>
      </c>
      <c r="U1102" t="s">
        <v>13338</v>
      </c>
      <c r="V1102" t="s">
        <v>13338</v>
      </c>
      <c r="W1102" t="s">
        <v>14414</v>
      </c>
      <c r="X1102">
        <v>4</v>
      </c>
      <c r="Y1102" t="s">
        <v>21016</v>
      </c>
      <c r="Z1102" t="s">
        <v>27517</v>
      </c>
      <c r="AA1102">
        <v>0.35014158388817851</v>
      </c>
      <c r="AB1102" t="str">
        <f>HYPERLINK("Melting_Curves/meltCurve_J3KS81_TMEM199.pdf", "Melting_Curves/meltCurve_J3KS81_TMEM199.pdf")</f>
        <v>Melting_Curves/meltCurve_J3KS81_TMEM199.pdf</v>
      </c>
    </row>
    <row r="1103" spans="1:28" x14ac:dyDescent="0.25">
      <c r="A1103" t="s">
        <v>1107</v>
      </c>
      <c r="B1103">
        <v>0.99193492352474899</v>
      </c>
      <c r="C1103">
        <v>0.936866709642588</v>
      </c>
      <c r="D1103">
        <v>0.81404568492873597</v>
      </c>
      <c r="E1103">
        <v>0.74475163077058804</v>
      </c>
      <c r="F1103">
        <v>0.68632035599738805</v>
      </c>
      <c r="G1103">
        <v>0.447383707172756</v>
      </c>
      <c r="H1103">
        <v>0.36613709227054703</v>
      </c>
      <c r="I1103">
        <v>0.115892852447692</v>
      </c>
      <c r="J1103">
        <v>0.116074482464991</v>
      </c>
      <c r="K1103">
        <v>5.7223238156069701E-2</v>
      </c>
      <c r="L1103">
        <v>583.17524361298501</v>
      </c>
      <c r="M1103">
        <v>10.5002223825068</v>
      </c>
      <c r="N1103">
        <v>55.539323106648403</v>
      </c>
      <c r="O1103">
        <v>53.638313225946803</v>
      </c>
      <c r="P1103">
        <v>-4.8959680581425698E-2</v>
      </c>
      <c r="Q1103">
        <v>0</v>
      </c>
      <c r="R1103">
        <v>0.97350839918759702</v>
      </c>
      <c r="S1103" t="s">
        <v>7773</v>
      </c>
      <c r="T1103" t="s">
        <v>13338</v>
      </c>
      <c r="U1103" t="s">
        <v>13338</v>
      </c>
      <c r="V1103" t="s">
        <v>13338</v>
      </c>
      <c r="W1103" t="s">
        <v>14415</v>
      </c>
      <c r="X1103">
        <v>1</v>
      </c>
      <c r="Y1103" t="s">
        <v>21017</v>
      </c>
      <c r="Z1103" t="s">
        <v>27518</v>
      </c>
      <c r="AA1103">
        <v>0.54106461788955262</v>
      </c>
      <c r="AB1103" t="str">
        <f>HYPERLINK("Melting_Curves/meltCurve_J3KSG1_KCTD1.pdf", "Melting_Curves/meltCurve_J3KSG1_KCTD1.pdf")</f>
        <v>Melting_Curves/meltCurve_J3KSG1_KCTD1.pdf</v>
      </c>
    </row>
    <row r="1104" spans="1:28" x14ac:dyDescent="0.25">
      <c r="A1104" t="s">
        <v>1108</v>
      </c>
      <c r="B1104">
        <v>0.99193492352474899</v>
      </c>
      <c r="C1104">
        <v>0.80988142916039096</v>
      </c>
      <c r="D1104">
        <v>0.80189406313446798</v>
      </c>
      <c r="E1104">
        <v>0.48006701987480699</v>
      </c>
      <c r="F1104">
        <v>0.44730424775199401</v>
      </c>
      <c r="G1104">
        <v>0.35454712619233703</v>
      </c>
      <c r="H1104">
        <v>0.20796138516773499</v>
      </c>
      <c r="I1104">
        <v>0.16121915430028699</v>
      </c>
      <c r="J1104">
        <v>0.14884788338815999</v>
      </c>
      <c r="K1104">
        <v>0.12843697808695301</v>
      </c>
      <c r="L1104">
        <v>497.166645112607</v>
      </c>
      <c r="M1104">
        <v>9.8765028996476296</v>
      </c>
      <c r="N1104">
        <v>51.209367693681799</v>
      </c>
      <c r="O1104">
        <v>48.404955194728203</v>
      </c>
      <c r="P1104">
        <v>-4.7089692962730502E-2</v>
      </c>
      <c r="Q1104">
        <v>7.7320181675460301E-2</v>
      </c>
      <c r="R1104">
        <v>0.97523295393784903</v>
      </c>
      <c r="S1104" t="s">
        <v>7774</v>
      </c>
      <c r="T1104" t="s">
        <v>13338</v>
      </c>
      <c r="U1104" t="s">
        <v>13338</v>
      </c>
      <c r="V1104" t="s">
        <v>13338</v>
      </c>
      <c r="W1104" t="s">
        <v>14416</v>
      </c>
      <c r="X1104">
        <v>1</v>
      </c>
      <c r="Y1104" t="s">
        <v>21018</v>
      </c>
      <c r="Z1104" t="s">
        <v>27519</v>
      </c>
      <c r="AA1104">
        <v>0.43653095653959961</v>
      </c>
      <c r="AB1104" t="str">
        <f>HYPERLINK("Melting_Curves/meltCurve_J3KT84_HEXDC.pdf", "Melting_Curves/meltCurve_J3KT84_HEXDC.pdf")</f>
        <v>Melting_Curves/meltCurve_J3KT84_HEXDC.pdf</v>
      </c>
    </row>
    <row r="1105" spans="1:28" x14ac:dyDescent="0.25">
      <c r="A1105" t="s">
        <v>1109</v>
      </c>
      <c r="B1105">
        <v>0.99193492352474899</v>
      </c>
      <c r="C1105">
        <v>0.97134183473712998</v>
      </c>
      <c r="D1105">
        <v>0.97653641759717102</v>
      </c>
      <c r="E1105">
        <v>0.76810338315526105</v>
      </c>
      <c r="F1105">
        <v>0.27754173820613898</v>
      </c>
      <c r="G1105">
        <v>0.120844117954056</v>
      </c>
      <c r="H1105">
        <v>8.5306048909868107E-2</v>
      </c>
      <c r="I1105">
        <v>7.8128768613286506E-2</v>
      </c>
      <c r="J1105">
        <v>8.98857464505394E-2</v>
      </c>
      <c r="K1105">
        <v>0.107561979328942</v>
      </c>
      <c r="L1105">
        <v>1759.6848859422801</v>
      </c>
      <c r="M1105">
        <v>34.4132142420357</v>
      </c>
      <c r="N1105">
        <v>51.428610600556297</v>
      </c>
      <c r="O1105">
        <v>50.962245230672799</v>
      </c>
      <c r="P1105">
        <v>-0.15371460929199399</v>
      </c>
      <c r="Q1105">
        <v>8.9464677959045294E-2</v>
      </c>
      <c r="R1105">
        <v>0.99913397366877799</v>
      </c>
      <c r="S1105" t="s">
        <v>7775</v>
      </c>
      <c r="T1105" t="s">
        <v>13338</v>
      </c>
      <c r="U1105" t="s">
        <v>13338</v>
      </c>
      <c r="V1105" t="s">
        <v>13338</v>
      </c>
      <c r="W1105" t="s">
        <v>14417</v>
      </c>
      <c r="X1105">
        <v>5</v>
      </c>
      <c r="Y1105" t="s">
        <v>21019</v>
      </c>
      <c r="Z1105" t="s">
        <v>27520</v>
      </c>
      <c r="AA1105">
        <v>0.43175055520055611</v>
      </c>
      <c r="AB1105" t="str">
        <f>HYPERLINK("Melting_Curves/meltCurve_J3KTA1_FBXL20.pdf", "Melting_Curves/meltCurve_J3KTA1_FBXL20.pdf")</f>
        <v>Melting_Curves/meltCurve_J3KTA1_FBXL20.pdf</v>
      </c>
    </row>
    <row r="1106" spans="1:28" x14ac:dyDescent="0.25">
      <c r="A1106" t="s">
        <v>1110</v>
      </c>
      <c r="B1106">
        <v>0.99193492352474899</v>
      </c>
      <c r="C1106">
        <v>0.71716246065427303</v>
      </c>
      <c r="D1106">
        <v>0.72200290704572501</v>
      </c>
      <c r="E1106">
        <v>0.44497531057066297</v>
      </c>
      <c r="F1106">
        <v>0.53921854261137903</v>
      </c>
      <c r="G1106">
        <v>0.422396097345489</v>
      </c>
      <c r="H1106">
        <v>0.38085629465104198</v>
      </c>
      <c r="I1106">
        <v>1.0732025250591899</v>
      </c>
      <c r="J1106">
        <v>0.31509833345944999</v>
      </c>
      <c r="K1106">
        <v>2.2582476460163701</v>
      </c>
      <c r="L1106">
        <v>10133.709038810201</v>
      </c>
      <c r="M1106">
        <v>250</v>
      </c>
      <c r="O1106">
        <v>40.532242234647903</v>
      </c>
      <c r="P1106">
        <v>-0.36439440957299402</v>
      </c>
      <c r="Q1106">
        <v>0.76368444086632403</v>
      </c>
      <c r="R1106">
        <v>1.56475438504831E-2</v>
      </c>
      <c r="S1106" t="s">
        <v>7776</v>
      </c>
      <c r="T1106" t="s">
        <v>13338</v>
      </c>
      <c r="U1106" t="s">
        <v>13338</v>
      </c>
      <c r="V1106" t="s">
        <v>13338</v>
      </c>
      <c r="W1106" t="s">
        <v>14418</v>
      </c>
      <c r="X1106">
        <v>4</v>
      </c>
      <c r="Y1106" t="s">
        <v>21020</v>
      </c>
      <c r="Z1106" t="s">
        <v>27521</v>
      </c>
      <c r="AA1106">
        <v>0.76795711027022784</v>
      </c>
      <c r="AB1106" t="str">
        <f>HYPERLINK("Melting_Curves/meltCurve_J3KTL1_ZNF207.pdf", "Melting_Curves/meltCurve_J3KTL1_ZNF207.pdf")</f>
        <v>Melting_Curves/meltCurve_J3KTL1_ZNF207.pdf</v>
      </c>
    </row>
    <row r="1107" spans="1:28" x14ac:dyDescent="0.25">
      <c r="A1107" t="s">
        <v>1111</v>
      </c>
      <c r="B1107">
        <v>0.99193492352474899</v>
      </c>
      <c r="C1107">
        <v>0.76181586290479697</v>
      </c>
      <c r="D1107">
        <v>0.859464707209185</v>
      </c>
      <c r="E1107">
        <v>0.66157101243151895</v>
      </c>
      <c r="F1107">
        <v>0.57555629489140003</v>
      </c>
      <c r="G1107">
        <v>0.40772893268355798</v>
      </c>
      <c r="H1107">
        <v>0.443220274987697</v>
      </c>
      <c r="I1107">
        <v>0.58377147963583997</v>
      </c>
      <c r="J1107">
        <v>0.74857124499068906</v>
      </c>
      <c r="K1107">
        <v>1.1950587182821499</v>
      </c>
      <c r="L1107">
        <v>919.48161312492505</v>
      </c>
      <c r="M1107">
        <v>21.257901931150698</v>
      </c>
      <c r="O1107">
        <v>42.876334422671597</v>
      </c>
      <c r="P1107">
        <v>-4.15678388244703E-2</v>
      </c>
      <c r="Q1107">
        <v>0.66464595574810803</v>
      </c>
      <c r="R1107">
        <v>0.17425440825392399</v>
      </c>
      <c r="S1107" t="s">
        <v>7777</v>
      </c>
      <c r="T1107" t="s">
        <v>13338</v>
      </c>
      <c r="U1107" t="s">
        <v>13338</v>
      </c>
      <c r="V1107" t="s">
        <v>13338</v>
      </c>
      <c r="W1107" t="s">
        <v>14419</v>
      </c>
      <c r="X1107">
        <v>23</v>
      </c>
      <c r="Y1107" t="s">
        <v>21021</v>
      </c>
      <c r="Z1107" t="s">
        <v>27522</v>
      </c>
      <c r="AA1107">
        <v>0.70755373258742327</v>
      </c>
      <c r="AB1107" t="str">
        <f>HYPERLINK("Melting_Curves/meltCurve_J3KTL2_SRSF1.pdf", "Melting_Curves/meltCurve_J3KTL2_SRSF1.pdf")</f>
        <v>Melting_Curves/meltCurve_J3KTL2_SRSF1.pdf</v>
      </c>
    </row>
    <row r="1108" spans="1:28" x14ac:dyDescent="0.25">
      <c r="A1108" t="s">
        <v>1112</v>
      </c>
      <c r="B1108">
        <v>0.99193492352474899</v>
      </c>
      <c r="C1108">
        <v>0.49636879957999203</v>
      </c>
      <c r="D1108">
        <v>0.50163026141632805</v>
      </c>
      <c r="E1108">
        <v>0.176543814211057</v>
      </c>
      <c r="F1108">
        <v>0.13507368612156601</v>
      </c>
      <c r="G1108">
        <v>9.1549716417645505E-2</v>
      </c>
      <c r="H1108">
        <v>7.2627170567149693E-2</v>
      </c>
      <c r="I1108">
        <v>0.101317230768163</v>
      </c>
      <c r="J1108">
        <v>0.12373136174249599</v>
      </c>
      <c r="K1108">
        <v>0.130685860062597</v>
      </c>
      <c r="L1108">
        <v>780.866597269046</v>
      </c>
      <c r="M1108">
        <v>17.746949676522199</v>
      </c>
      <c r="N1108">
        <v>44.558106844548398</v>
      </c>
      <c r="O1108">
        <v>43.452804156792197</v>
      </c>
      <c r="P1108">
        <v>-9.1934855426213699E-2</v>
      </c>
      <c r="Q1108">
        <v>9.9649954117255996E-2</v>
      </c>
      <c r="R1108">
        <v>0.92855568494964902</v>
      </c>
      <c r="S1108" t="s">
        <v>7778</v>
      </c>
      <c r="T1108" t="s">
        <v>13338</v>
      </c>
      <c r="U1108" t="s">
        <v>13338</v>
      </c>
      <c r="V1108" t="s">
        <v>13338</v>
      </c>
      <c r="W1108" t="s">
        <v>14420</v>
      </c>
      <c r="X1108">
        <v>18</v>
      </c>
      <c r="Y1108" t="s">
        <v>21022</v>
      </c>
      <c r="Z1108" t="s">
        <v>27523</v>
      </c>
      <c r="AA1108">
        <v>0.24258520676450601</v>
      </c>
      <c r="AB1108" t="str">
        <f>HYPERLINK("Melting_Curves/meltCurve_J3QK89_CHERP.pdf", "Melting_Curves/meltCurve_J3QK89_CHERP.pdf")</f>
        <v>Melting_Curves/meltCurve_J3QK89_CHERP.pdf</v>
      </c>
    </row>
    <row r="1109" spans="1:28" x14ac:dyDescent="0.25">
      <c r="A1109" t="s">
        <v>1113</v>
      </c>
      <c r="B1109">
        <v>0.99193492352474899</v>
      </c>
      <c r="C1109">
        <v>0.90457325768667096</v>
      </c>
      <c r="D1109">
        <v>1.1214891386811101</v>
      </c>
      <c r="E1109">
        <v>0.59292195080573795</v>
      </c>
      <c r="F1109">
        <v>0.16964693576104301</v>
      </c>
      <c r="G1109">
        <v>9.4755358616239599E-2</v>
      </c>
      <c r="H1109">
        <v>7.4811922642333203E-2</v>
      </c>
      <c r="I1109">
        <v>0.130362076336451</v>
      </c>
      <c r="J1109">
        <v>0.121458127144724</v>
      </c>
      <c r="K1109">
        <v>0.12555558338075001</v>
      </c>
      <c r="L1109">
        <v>3850.2174046229602</v>
      </c>
      <c r="M1109">
        <v>77.462452657101593</v>
      </c>
      <c r="N1109">
        <v>49.878234791257299</v>
      </c>
      <c r="O1109">
        <v>49.671208587352602</v>
      </c>
      <c r="P1109">
        <v>-0.343731523265771</v>
      </c>
      <c r="Q1109">
        <v>0.11835698460228899</v>
      </c>
      <c r="R1109">
        <v>0.98212899239353901</v>
      </c>
      <c r="S1109" t="s">
        <v>7779</v>
      </c>
      <c r="T1109" t="s">
        <v>13338</v>
      </c>
      <c r="U1109" t="s">
        <v>13338</v>
      </c>
      <c r="V1109" t="s">
        <v>13338</v>
      </c>
      <c r="W1109" t="s">
        <v>14421</v>
      </c>
      <c r="X1109">
        <v>3</v>
      </c>
      <c r="Y1109" t="s">
        <v>21023</v>
      </c>
      <c r="Z1109" t="s">
        <v>27524</v>
      </c>
      <c r="AA1109">
        <v>0.40435081042431492</v>
      </c>
      <c r="AB1109" t="str">
        <f>HYPERLINK("Melting_Curves/meltCurve_J3QL56_SCO1.pdf", "Melting_Curves/meltCurve_J3QL56_SCO1.pdf")</f>
        <v>Melting_Curves/meltCurve_J3QL56_SCO1.pdf</v>
      </c>
    </row>
    <row r="1110" spans="1:28" x14ac:dyDescent="0.25">
      <c r="A1110" t="s">
        <v>1114</v>
      </c>
      <c r="B1110">
        <v>0.99193492352474899</v>
      </c>
      <c r="C1110">
        <v>0.903077849430448</v>
      </c>
      <c r="D1110">
        <v>0.76366893804394598</v>
      </c>
      <c r="E1110">
        <v>0.50466680702970801</v>
      </c>
      <c r="F1110">
        <v>0.19926384038582701</v>
      </c>
      <c r="G1110">
        <v>0.141735230350021</v>
      </c>
      <c r="H1110">
        <v>9.5771372125676907E-2</v>
      </c>
      <c r="I1110">
        <v>9.9917957024446002E-2</v>
      </c>
      <c r="J1110">
        <v>0.128495469312469</v>
      </c>
      <c r="K1110">
        <v>0.15912249128495501</v>
      </c>
      <c r="L1110">
        <v>960.31470802056003</v>
      </c>
      <c r="M1110">
        <v>19.787671296598099</v>
      </c>
      <c r="N1110">
        <v>49.129952700267701</v>
      </c>
      <c r="O1110">
        <v>48.043456143073001</v>
      </c>
      <c r="P1110">
        <v>-9.1934850546497901E-2</v>
      </c>
      <c r="Q1110">
        <v>0.10717774481429899</v>
      </c>
      <c r="R1110">
        <v>0.99223891313988499</v>
      </c>
      <c r="S1110" t="s">
        <v>7780</v>
      </c>
      <c r="T1110" t="s">
        <v>13338</v>
      </c>
      <c r="U1110" t="s">
        <v>13338</v>
      </c>
      <c r="V1110" t="s">
        <v>13338</v>
      </c>
      <c r="W1110" t="s">
        <v>14422</v>
      </c>
      <c r="X1110">
        <v>4</v>
      </c>
      <c r="Y1110" t="s">
        <v>21024</v>
      </c>
      <c r="Z1110" t="s">
        <v>27525</v>
      </c>
      <c r="AA1110">
        <v>0.37392041856880581</v>
      </c>
      <c r="AB1110" t="str">
        <f>HYPERLINK("Melting_Curves/meltCurve_J3QL71_SCRN2.pdf", "Melting_Curves/meltCurve_J3QL71_SCRN2.pdf")</f>
        <v>Melting_Curves/meltCurve_J3QL71_SCRN2.pdf</v>
      </c>
    </row>
    <row r="1111" spans="1:28" x14ac:dyDescent="0.25">
      <c r="A1111" t="s">
        <v>1115</v>
      </c>
      <c r="B1111">
        <v>0.99193492352474899</v>
      </c>
      <c r="C1111">
        <v>1.2886528888484201</v>
      </c>
      <c r="D1111">
        <v>1.05910289584186</v>
      </c>
      <c r="E1111">
        <v>0.91684706369316304</v>
      </c>
      <c r="F1111">
        <v>0.92096066327399895</v>
      </c>
      <c r="G1111">
        <v>0.64246753230842402</v>
      </c>
      <c r="H1111">
        <v>0.64364114578123499</v>
      </c>
      <c r="I1111">
        <v>0.50077993833565204</v>
      </c>
      <c r="J1111">
        <v>0.68745884585069905</v>
      </c>
      <c r="K1111">
        <v>0.97066979675973697</v>
      </c>
      <c r="L1111">
        <v>13357.275433078999</v>
      </c>
      <c r="M1111">
        <v>250</v>
      </c>
      <c r="O1111">
        <v>53.425682816417101</v>
      </c>
      <c r="P1111">
        <v>-0.36381912693294299</v>
      </c>
      <c r="Q1111">
        <v>0.68900343703438904</v>
      </c>
      <c r="R1111">
        <v>0.58511997107362301</v>
      </c>
      <c r="S1111" t="s">
        <v>7781</v>
      </c>
      <c r="T1111" t="s">
        <v>13338</v>
      </c>
      <c r="U1111" t="s">
        <v>13338</v>
      </c>
      <c r="V1111" t="s">
        <v>13338</v>
      </c>
      <c r="W1111" t="s">
        <v>14423</v>
      </c>
      <c r="X1111">
        <v>1</v>
      </c>
      <c r="Y1111" t="s">
        <v>21025</v>
      </c>
      <c r="Z1111" t="s">
        <v>27526</v>
      </c>
      <c r="AA1111">
        <v>0.8282460810732315</v>
      </c>
      <c r="AB1111" t="str">
        <f>HYPERLINK("Melting_Curves/meltCurve_J3QLC9_HP.pdf", "Melting_Curves/meltCurve_J3QLC9_HP.pdf")</f>
        <v>Melting_Curves/meltCurve_J3QLC9_HP.pdf</v>
      </c>
    </row>
    <row r="1112" spans="1:28" x14ac:dyDescent="0.25">
      <c r="A1112" t="s">
        <v>1116</v>
      </c>
      <c r="B1112">
        <v>0.99193492352474899</v>
      </c>
      <c r="C1112">
        <v>0.99517332899781197</v>
      </c>
      <c r="D1112">
        <v>1.0549381402002</v>
      </c>
      <c r="E1112">
        <v>0.79923397581427502</v>
      </c>
      <c r="F1112">
        <v>0.25696772947029001</v>
      </c>
      <c r="G1112">
        <v>0.11918610688388399</v>
      </c>
      <c r="H1112">
        <v>8.8209488587794205E-2</v>
      </c>
      <c r="I1112">
        <v>5.2762017345525797E-2</v>
      </c>
      <c r="J1112">
        <v>6.5756860280665505E-2</v>
      </c>
      <c r="K1112">
        <v>4.8604440605172099E-2</v>
      </c>
      <c r="L1112">
        <v>1970.65630603867</v>
      </c>
      <c r="M1112">
        <v>38.400681599544299</v>
      </c>
      <c r="N1112">
        <v>51.518101244657402</v>
      </c>
      <c r="O1112">
        <v>51.179701542531099</v>
      </c>
      <c r="P1112">
        <v>-0.174598500185525</v>
      </c>
      <c r="Q1112">
        <v>6.9196263775093206E-2</v>
      </c>
      <c r="R1112">
        <v>0.99658583114195198</v>
      </c>
      <c r="S1112" t="s">
        <v>7782</v>
      </c>
      <c r="T1112" t="s">
        <v>13338</v>
      </c>
      <c r="U1112" t="s">
        <v>13338</v>
      </c>
      <c r="V1112" t="s">
        <v>13338</v>
      </c>
      <c r="W1112" t="s">
        <v>14424</v>
      </c>
      <c r="X1112">
        <v>1</v>
      </c>
      <c r="Y1112" t="s">
        <v>21026</v>
      </c>
      <c r="Z1112" t="s">
        <v>27527</v>
      </c>
      <c r="AA1112">
        <v>0.42394949989208841</v>
      </c>
      <c r="AB1112" t="str">
        <f>HYPERLINK("Melting_Curves/meltCurve_J3QLM1_STARD3.pdf", "Melting_Curves/meltCurve_J3QLM1_STARD3.pdf")</f>
        <v>Melting_Curves/meltCurve_J3QLM1_STARD3.pdf</v>
      </c>
    </row>
    <row r="1113" spans="1:28" x14ac:dyDescent="0.25">
      <c r="A1113" t="s">
        <v>1117</v>
      </c>
      <c r="B1113">
        <v>0.99193492352474899</v>
      </c>
      <c r="C1113">
        <v>0.684258543148623</v>
      </c>
      <c r="D1113">
        <v>0.73831667526156597</v>
      </c>
      <c r="E1113">
        <v>0.34582372570103798</v>
      </c>
      <c r="F1113">
        <v>0.128807440179873</v>
      </c>
      <c r="G1113">
        <v>8.3119880745345098E-2</v>
      </c>
      <c r="H1113">
        <v>4.8172959373846601E-2</v>
      </c>
      <c r="I1113">
        <v>6.1418977149888997E-2</v>
      </c>
      <c r="J1113">
        <v>6.6689053988486999E-2</v>
      </c>
      <c r="K1113">
        <v>6.2816783363624201E-2</v>
      </c>
      <c r="L1113">
        <v>729.55634177409001</v>
      </c>
      <c r="M1113">
        <v>15.4215550152951</v>
      </c>
      <c r="N1113">
        <v>47.518865319794301</v>
      </c>
      <c r="O1113">
        <v>46.533526426932099</v>
      </c>
      <c r="P1113">
        <v>-8.0113531892178499E-2</v>
      </c>
      <c r="Q1113">
        <v>3.3138772973177397E-2</v>
      </c>
      <c r="R1113">
        <v>0.96136344848025801</v>
      </c>
      <c r="S1113" t="s">
        <v>7783</v>
      </c>
      <c r="T1113" t="s">
        <v>13338</v>
      </c>
      <c r="U1113" t="s">
        <v>13338</v>
      </c>
      <c r="V1113" t="s">
        <v>13338</v>
      </c>
      <c r="W1113" t="s">
        <v>14425</v>
      </c>
      <c r="X1113">
        <v>8</v>
      </c>
      <c r="Y1113" t="s">
        <v>21027</v>
      </c>
      <c r="Z1113" t="s">
        <v>27528</v>
      </c>
      <c r="AA1113">
        <v>0.29302083446381239</v>
      </c>
      <c r="AB1113" t="str">
        <f>HYPERLINK("Melting_Curves/meltCurve_J3QLS3_MRPS7.pdf", "Melting_Curves/meltCurve_J3QLS3_MRPS7.pdf")</f>
        <v>Melting_Curves/meltCurve_J3QLS3_MRPS7.pdf</v>
      </c>
    </row>
    <row r="1114" spans="1:28" x14ac:dyDescent="0.25">
      <c r="A1114" t="s">
        <v>1118</v>
      </c>
      <c r="B1114">
        <v>0.99193492352474899</v>
      </c>
      <c r="C1114">
        <v>0.88668107542842101</v>
      </c>
      <c r="D1114">
        <v>0.81286423717132394</v>
      </c>
      <c r="E1114">
        <v>0.399890579882557</v>
      </c>
      <c r="F1114">
        <v>0.225595124952367</v>
      </c>
      <c r="G1114">
        <v>0.13498975183331299</v>
      </c>
      <c r="H1114">
        <v>6.2160332543592503E-2</v>
      </c>
      <c r="I1114">
        <v>8.0646854188757694E-2</v>
      </c>
      <c r="J1114">
        <v>9.4719196213243803E-2</v>
      </c>
      <c r="K1114">
        <v>0.10418879734196</v>
      </c>
      <c r="L1114">
        <v>1009.20428852159</v>
      </c>
      <c r="M1114">
        <v>20.845720579700899</v>
      </c>
      <c r="N1114">
        <v>48.843315936442401</v>
      </c>
      <c r="O1114">
        <v>47.974090095859303</v>
      </c>
      <c r="P1114">
        <v>-9.9520473587272604E-2</v>
      </c>
      <c r="Q1114">
        <v>8.3884364164727498E-2</v>
      </c>
      <c r="R1114">
        <v>0.99366163038889499</v>
      </c>
      <c r="S1114" t="s">
        <v>7784</v>
      </c>
      <c r="T1114" t="s">
        <v>13338</v>
      </c>
      <c r="U1114" t="s">
        <v>13338</v>
      </c>
      <c r="V1114" t="s">
        <v>13338</v>
      </c>
      <c r="W1114" t="s">
        <v>14426</v>
      </c>
      <c r="X1114">
        <v>2</v>
      </c>
      <c r="Y1114" t="s">
        <v>21028</v>
      </c>
      <c r="Z1114" t="s">
        <v>27529</v>
      </c>
      <c r="AA1114">
        <v>0.3526476247136871</v>
      </c>
      <c r="AB1114" t="str">
        <f>HYPERLINK("Melting_Curves/meltCurve_J3QLV8_SNX11.pdf", "Melting_Curves/meltCurve_J3QLV8_SNX11.pdf")</f>
        <v>Melting_Curves/meltCurve_J3QLV8_SNX11.pdf</v>
      </c>
    </row>
    <row r="1115" spans="1:28" x14ac:dyDescent="0.25">
      <c r="A1115" t="s">
        <v>1119</v>
      </c>
      <c r="B1115">
        <v>0.99193492352474899</v>
      </c>
      <c r="C1115">
        <v>0.64964108068347803</v>
      </c>
      <c r="D1115">
        <v>0.76420369038229796</v>
      </c>
      <c r="E1115">
        <v>0.45238444042015802</v>
      </c>
      <c r="F1115">
        <v>0.319387968750311</v>
      </c>
      <c r="G1115">
        <v>0.17994176858691599</v>
      </c>
      <c r="H1115">
        <v>0.13307503967560799</v>
      </c>
      <c r="I1115">
        <v>0.152709801807935</v>
      </c>
      <c r="J1115">
        <v>0.20849314031472399</v>
      </c>
      <c r="K1115">
        <v>0.27276332843173701</v>
      </c>
      <c r="L1115">
        <v>618.33003109654203</v>
      </c>
      <c r="M1115">
        <v>13.1298534809772</v>
      </c>
      <c r="N1115">
        <v>48.5378777933485</v>
      </c>
      <c r="O1115">
        <v>46.041207189740398</v>
      </c>
      <c r="P1115">
        <v>-5.97746295721698E-2</v>
      </c>
      <c r="Q1115">
        <v>0.161718512189404</v>
      </c>
      <c r="R1115">
        <v>0.91394309572258303</v>
      </c>
      <c r="S1115" t="s">
        <v>7785</v>
      </c>
      <c r="T1115" t="s">
        <v>13338</v>
      </c>
      <c r="U1115" t="s">
        <v>13338</v>
      </c>
      <c r="V1115" t="s">
        <v>13338</v>
      </c>
      <c r="W1115" t="s">
        <v>14427</v>
      </c>
      <c r="X1115">
        <v>11</v>
      </c>
      <c r="Y1115" t="s">
        <v>21029</v>
      </c>
      <c r="Z1115" t="s">
        <v>27530</v>
      </c>
      <c r="AA1115">
        <v>0.38944807721126901</v>
      </c>
      <c r="AB1115" t="str">
        <f>HYPERLINK("Melting_Curves/meltCurve_J3QQJ0_SAP30BP.pdf", "Melting_Curves/meltCurve_J3QQJ0_SAP30BP.pdf")</f>
        <v>Melting_Curves/meltCurve_J3QQJ0_SAP30BP.pdf</v>
      </c>
    </row>
    <row r="1116" spans="1:28" x14ac:dyDescent="0.25">
      <c r="A1116" t="s">
        <v>1120</v>
      </c>
      <c r="B1116">
        <v>0.99193492352474899</v>
      </c>
      <c r="C1116">
        <v>1.15296068949249</v>
      </c>
      <c r="D1116">
        <v>1.0525929464591599</v>
      </c>
      <c r="E1116">
        <v>0.543203982300973</v>
      </c>
      <c r="F1116">
        <v>0.21079547635551801</v>
      </c>
      <c r="G1116">
        <v>0.10386588678159001</v>
      </c>
      <c r="H1116">
        <v>3.48871660055078E-2</v>
      </c>
      <c r="I1116">
        <v>7.0649282346956596E-2</v>
      </c>
      <c r="J1116">
        <v>6.2883326937362996E-2</v>
      </c>
      <c r="K1116">
        <v>7.7616838556054696E-2</v>
      </c>
      <c r="L1116">
        <v>1919.82216817273</v>
      </c>
      <c r="M1116">
        <v>38.541956994253198</v>
      </c>
      <c r="N1116">
        <v>50.028472157699497</v>
      </c>
      <c r="O1116">
        <v>49.677698100527799</v>
      </c>
      <c r="P1116">
        <v>-0.17901491481499399</v>
      </c>
      <c r="Q1116">
        <v>7.7054911561550102E-2</v>
      </c>
      <c r="R1116">
        <v>0.97977346574731095</v>
      </c>
      <c r="S1116" t="s">
        <v>7786</v>
      </c>
      <c r="T1116" t="s">
        <v>13338</v>
      </c>
      <c r="U1116" t="s">
        <v>13338</v>
      </c>
      <c r="V1116" t="s">
        <v>13338</v>
      </c>
      <c r="W1116" t="s">
        <v>14428</v>
      </c>
      <c r="X1116">
        <v>3</v>
      </c>
      <c r="Y1116" t="s">
        <v>21030</v>
      </c>
      <c r="Z1116" t="s">
        <v>27531</v>
      </c>
      <c r="AA1116">
        <v>0.38232248086804471</v>
      </c>
      <c r="AB1116" t="str">
        <f>HYPERLINK("Melting_Curves/meltCurve_J3QQJ5_TRAPPC8.pdf", "Melting_Curves/meltCurve_J3QQJ5_TRAPPC8.pdf")</f>
        <v>Melting_Curves/meltCurve_J3QQJ5_TRAPPC8.pdf</v>
      </c>
    </row>
    <row r="1117" spans="1:28" x14ac:dyDescent="0.25">
      <c r="A1117" t="s">
        <v>1121</v>
      </c>
      <c r="B1117">
        <v>0.99193492352474899</v>
      </c>
      <c r="C1117">
        <v>1.0446546586235801</v>
      </c>
      <c r="D1117">
        <v>0.99340991437196202</v>
      </c>
      <c r="E1117">
        <v>1.0181305790280299</v>
      </c>
      <c r="F1117">
        <v>0.71261687170532195</v>
      </c>
      <c r="G1117">
        <v>1.0592290431496101</v>
      </c>
      <c r="H1117">
        <v>0.67218062602693096</v>
      </c>
      <c r="I1117">
        <v>1.04982303595586</v>
      </c>
      <c r="J1117">
        <v>0.52734328710843603</v>
      </c>
      <c r="K1117">
        <v>1.51508275221873</v>
      </c>
      <c r="L1117">
        <v>15000</v>
      </c>
      <c r="M1117">
        <v>217.55506998343299</v>
      </c>
      <c r="O1117">
        <v>68.942233762141797</v>
      </c>
      <c r="P1117">
        <v>0.39445173635686998</v>
      </c>
      <c r="Q1117">
        <v>1.5</v>
      </c>
      <c r="R1117">
        <v>0.36682487546527898</v>
      </c>
      <c r="S1117" t="s">
        <v>7787</v>
      </c>
      <c r="T1117" t="s">
        <v>13338</v>
      </c>
      <c r="U1117" t="s">
        <v>13338</v>
      </c>
      <c r="V1117" t="s">
        <v>13338</v>
      </c>
      <c r="W1117" t="s">
        <v>14429</v>
      </c>
      <c r="X1117">
        <v>3</v>
      </c>
      <c r="Y1117" t="s">
        <v>21031</v>
      </c>
      <c r="Z1117" t="s">
        <v>27532</v>
      </c>
      <c r="AA1117">
        <v>1.0176575953452609</v>
      </c>
      <c r="AB1117" t="str">
        <f>HYPERLINK("Melting_Curves/meltCurve_J3QQK6_MBP.pdf", "Melting_Curves/meltCurve_J3QQK6_MBP.pdf")</f>
        <v>Melting_Curves/meltCurve_J3QQK6_MBP.pdf</v>
      </c>
    </row>
    <row r="1118" spans="1:28" x14ac:dyDescent="0.25">
      <c r="A1118" t="s">
        <v>1122</v>
      </c>
      <c r="B1118">
        <v>0.99193492352474899</v>
      </c>
      <c r="C1118">
        <v>0.74699175088254799</v>
      </c>
      <c r="D1118">
        <v>1.04982262025447</v>
      </c>
      <c r="E1118">
        <v>0.80518843207534496</v>
      </c>
      <c r="F1118">
        <v>0.818446630278309</v>
      </c>
      <c r="G1118">
        <v>0.39016302854164497</v>
      </c>
      <c r="H1118">
        <v>0.19355550420685499</v>
      </c>
      <c r="I1118">
        <v>0.23244323284201099</v>
      </c>
      <c r="J1118">
        <v>0.37689805268979099</v>
      </c>
      <c r="K1118">
        <v>0.41523538682236799</v>
      </c>
      <c r="L1118">
        <v>2236.2122233441801</v>
      </c>
      <c r="M1118">
        <v>41.192216298216898</v>
      </c>
      <c r="N1118">
        <v>55.534574506622299</v>
      </c>
      <c r="O1118">
        <v>54.159782975609701</v>
      </c>
      <c r="P1118">
        <v>-0.13276283183663601</v>
      </c>
      <c r="Q1118">
        <v>0.30177176794171201</v>
      </c>
      <c r="R1118">
        <v>0.84674041032882197</v>
      </c>
      <c r="S1118" t="s">
        <v>7788</v>
      </c>
      <c r="T1118" t="s">
        <v>13338</v>
      </c>
      <c r="U1118" t="s">
        <v>13338</v>
      </c>
      <c r="V1118" t="s">
        <v>13338</v>
      </c>
      <c r="W1118" t="s">
        <v>14430</v>
      </c>
      <c r="X1118">
        <v>6</v>
      </c>
      <c r="Y1118" t="s">
        <v>21032</v>
      </c>
      <c r="Z1118" t="s">
        <v>27533</v>
      </c>
      <c r="AA1118">
        <v>0.63676201680772615</v>
      </c>
      <c r="AB1118" t="str">
        <f>HYPERLINK("Melting_Curves/meltCurve_J3QQT2_RPL17.pdf", "Melting_Curves/meltCurve_J3QQT2_RPL17.pdf")</f>
        <v>Melting_Curves/meltCurve_J3QQT2_RPL17.pdf</v>
      </c>
    </row>
    <row r="1119" spans="1:28" x14ac:dyDescent="0.25">
      <c r="A1119" t="s">
        <v>1123</v>
      </c>
      <c r="B1119">
        <v>0.99193492352474899</v>
      </c>
      <c r="C1119">
        <v>0.95188520101454699</v>
      </c>
      <c r="D1119">
        <v>0.78435623907086405</v>
      </c>
      <c r="E1119">
        <v>0.42838703432537201</v>
      </c>
      <c r="F1119">
        <v>0.18569560380316</v>
      </c>
      <c r="G1119">
        <v>9.6162745378643097E-2</v>
      </c>
      <c r="H1119">
        <v>6.0061709369136199E-2</v>
      </c>
      <c r="I1119">
        <v>7.9996853966228895E-2</v>
      </c>
      <c r="J1119">
        <v>7.9192824878179094E-2</v>
      </c>
      <c r="K1119">
        <v>9.2507971763767405E-2</v>
      </c>
      <c r="L1119">
        <v>1088.1466693882001</v>
      </c>
      <c r="M1119">
        <v>22.435124394761601</v>
      </c>
      <c r="N1119">
        <v>48.841628227387403</v>
      </c>
      <c r="O1119">
        <v>48.121527180149599</v>
      </c>
      <c r="P1119">
        <v>-0.108137096637675</v>
      </c>
      <c r="Q1119">
        <v>7.2238257706906395E-2</v>
      </c>
      <c r="R1119">
        <v>0.99923032078406504</v>
      </c>
      <c r="S1119" t="s">
        <v>7789</v>
      </c>
      <c r="T1119" t="s">
        <v>13338</v>
      </c>
      <c r="U1119" t="s">
        <v>13338</v>
      </c>
      <c r="V1119" t="s">
        <v>13338</v>
      </c>
      <c r="W1119" t="s">
        <v>14431</v>
      </c>
      <c r="X1119">
        <v>14</v>
      </c>
      <c r="Y1119" t="s">
        <v>21033</v>
      </c>
      <c r="Z1119" t="s">
        <v>27534</v>
      </c>
      <c r="AA1119">
        <v>0.34544968913615642</v>
      </c>
      <c r="AB1119" t="str">
        <f>HYPERLINK("Melting_Curves/meltCurve_J3QQX3_FDXR.pdf", "Melting_Curves/meltCurve_J3QQX3_FDXR.pdf")</f>
        <v>Melting_Curves/meltCurve_J3QQX3_FDXR.pdf</v>
      </c>
    </row>
    <row r="1120" spans="1:28" x14ac:dyDescent="0.25">
      <c r="A1120" t="s">
        <v>1124</v>
      </c>
      <c r="B1120">
        <v>0.99193492352474899</v>
      </c>
      <c r="C1120">
        <v>0.89430524656303101</v>
      </c>
      <c r="D1120">
        <v>0.89066633956692298</v>
      </c>
      <c r="E1120">
        <v>0.88435524559544598</v>
      </c>
      <c r="F1120">
        <v>0.53772636695589904</v>
      </c>
      <c r="G1120">
        <v>0.34043021271623403</v>
      </c>
      <c r="H1120">
        <v>0.29718859667254099</v>
      </c>
      <c r="I1120">
        <v>0.32560822196892703</v>
      </c>
      <c r="J1120">
        <v>0.33582737308328697</v>
      </c>
      <c r="K1120">
        <v>0.363519509139903</v>
      </c>
      <c r="L1120">
        <v>1627.19630340205</v>
      </c>
      <c r="M1120">
        <v>31.3893379689695</v>
      </c>
      <c r="N1120">
        <v>53.620603550483402</v>
      </c>
      <c r="O1120">
        <v>51.630119174933803</v>
      </c>
      <c r="P1120">
        <v>-0.10278051169264001</v>
      </c>
      <c r="Q1120">
        <v>0.323778110046965</v>
      </c>
      <c r="R1120">
        <v>0.96859037590347596</v>
      </c>
      <c r="S1120" t="s">
        <v>7790</v>
      </c>
      <c r="T1120" t="s">
        <v>13338</v>
      </c>
      <c r="U1120" t="s">
        <v>13338</v>
      </c>
      <c r="V1120" t="s">
        <v>13338</v>
      </c>
      <c r="W1120" t="s">
        <v>14432</v>
      </c>
      <c r="X1120">
        <v>2</v>
      </c>
      <c r="Y1120" t="s">
        <v>21034</v>
      </c>
      <c r="Z1120" t="s">
        <v>27535</v>
      </c>
      <c r="AA1120">
        <v>0.59457937750464107</v>
      </c>
      <c r="AB1120" t="str">
        <f>HYPERLINK("Melting_Curves/meltCurve_J3QR01_STRA13.pdf", "Melting_Curves/meltCurve_J3QR01_STRA13.pdf")</f>
        <v>Melting_Curves/meltCurve_J3QR01_STRA13.pdf</v>
      </c>
    </row>
    <row r="1121" spans="1:28" x14ac:dyDescent="0.25">
      <c r="A1121" t="s">
        <v>1125</v>
      </c>
      <c r="B1121">
        <v>0.99193492352474899</v>
      </c>
      <c r="C1121">
        <v>0.75240699095149599</v>
      </c>
      <c r="D1121">
        <v>0.74143235917147399</v>
      </c>
      <c r="E1121">
        <v>0.48025405358967699</v>
      </c>
      <c r="F1121">
        <v>0.265835838907374</v>
      </c>
      <c r="G1121">
        <v>0.14703459665635599</v>
      </c>
      <c r="H1121">
        <v>0.13730252847684399</v>
      </c>
      <c r="I1121">
        <v>0.13886911803624299</v>
      </c>
      <c r="J1121">
        <v>0.114286862025333</v>
      </c>
      <c r="K1121">
        <v>0.19167922278873301</v>
      </c>
      <c r="L1121">
        <v>690.265384974276</v>
      </c>
      <c r="M1121">
        <v>14.409268834581299</v>
      </c>
      <c r="N1121">
        <v>48.784531226791302</v>
      </c>
      <c r="O1121">
        <v>47.009963298886603</v>
      </c>
      <c r="P1121">
        <v>-6.7864664416366904E-2</v>
      </c>
      <c r="Q1121">
        <v>0.11447629464817299</v>
      </c>
      <c r="R1121">
        <v>0.97285634840361401</v>
      </c>
      <c r="S1121" t="s">
        <v>7791</v>
      </c>
      <c r="T1121" t="s">
        <v>13338</v>
      </c>
      <c r="U1121" t="s">
        <v>13338</v>
      </c>
      <c r="V1121" t="s">
        <v>13338</v>
      </c>
      <c r="W1121" t="s">
        <v>14433</v>
      </c>
      <c r="X1121">
        <v>3</v>
      </c>
      <c r="Y1121" t="s">
        <v>21035</v>
      </c>
      <c r="Z1121" t="s">
        <v>27536</v>
      </c>
      <c r="AA1121">
        <v>0.37256901380449953</v>
      </c>
      <c r="AB1121" t="str">
        <f>HYPERLINK("Melting_Curves/meltCurve_J3QR07_YTHDC1.pdf", "Melting_Curves/meltCurve_J3QR07_YTHDC1.pdf")</f>
        <v>Melting_Curves/meltCurve_J3QR07_YTHDC1.pdf</v>
      </c>
    </row>
    <row r="1122" spans="1:28" x14ac:dyDescent="0.25">
      <c r="A1122" t="s">
        <v>1126</v>
      </c>
      <c r="B1122">
        <v>0.99193492352474899</v>
      </c>
      <c r="C1122">
        <v>0.74613226428294599</v>
      </c>
      <c r="D1122">
        <v>0.748953881281607</v>
      </c>
      <c r="E1122">
        <v>0.85028110298989301</v>
      </c>
      <c r="F1122">
        <v>0.87660932404372405</v>
      </c>
      <c r="G1122">
        <v>0.52834193072638702</v>
      </c>
      <c r="H1122">
        <v>0.247984052298242</v>
      </c>
      <c r="I1122">
        <v>0.16554930127697001</v>
      </c>
      <c r="J1122">
        <v>0.15445481223736701</v>
      </c>
      <c r="K1122">
        <v>0.176637894619598</v>
      </c>
      <c r="L1122">
        <v>631.59139497529895</v>
      </c>
      <c r="M1122">
        <v>11.0604835070286</v>
      </c>
      <c r="N1122">
        <v>57.103416239476502</v>
      </c>
      <c r="O1122">
        <v>55.332052389296997</v>
      </c>
      <c r="P1122">
        <v>-4.9989728595868602E-2</v>
      </c>
      <c r="Q1122">
        <v>0</v>
      </c>
      <c r="R1122">
        <v>0.86308290035764001</v>
      </c>
      <c r="S1122" t="s">
        <v>7792</v>
      </c>
      <c r="T1122" t="s">
        <v>13338</v>
      </c>
      <c r="U1122" t="s">
        <v>13338</v>
      </c>
      <c r="V1122" t="s">
        <v>13338</v>
      </c>
      <c r="W1122" t="s">
        <v>14434</v>
      </c>
      <c r="X1122">
        <v>7</v>
      </c>
      <c r="Y1122" t="s">
        <v>21036</v>
      </c>
      <c r="Z1122" t="s">
        <v>27537</v>
      </c>
      <c r="AA1122">
        <v>0.58623967063097748</v>
      </c>
      <c r="AB1122" t="str">
        <f>HYPERLINK("Melting_Curves/meltCurve_J3QR09_RPL19.pdf", "Melting_Curves/meltCurve_J3QR09_RPL19.pdf")</f>
        <v>Melting_Curves/meltCurve_J3QR09_RPL19.pdf</v>
      </c>
    </row>
    <row r="1123" spans="1:28" x14ac:dyDescent="0.25">
      <c r="A1123" t="s">
        <v>1127</v>
      </c>
      <c r="B1123">
        <v>0.99193492352474899</v>
      </c>
      <c r="C1123">
        <v>1.0428020019447799</v>
      </c>
      <c r="D1123">
        <v>0.92537108863943796</v>
      </c>
      <c r="E1123">
        <v>0.82217464554615405</v>
      </c>
      <c r="F1123">
        <v>0.56089943155008404</v>
      </c>
      <c r="G1123">
        <v>0.52315329769317398</v>
      </c>
      <c r="H1123">
        <v>0.42310828465223799</v>
      </c>
      <c r="I1123">
        <v>0.483461560019669</v>
      </c>
      <c r="J1123">
        <v>0.49573808621443699</v>
      </c>
      <c r="K1123">
        <v>0.56266594881659504</v>
      </c>
      <c r="L1123">
        <v>1530.3975355279899</v>
      </c>
      <c r="M1123">
        <v>30.3858420497121</v>
      </c>
      <c r="N1123">
        <v>58.313857299828399</v>
      </c>
      <c r="O1123">
        <v>50.148858623258199</v>
      </c>
      <c r="P1123">
        <v>-7.6943559780885795E-2</v>
      </c>
      <c r="Q1123">
        <v>0.49205201955435002</v>
      </c>
      <c r="R1123">
        <v>0.96925339958385603</v>
      </c>
      <c r="S1123" t="s">
        <v>7793</v>
      </c>
      <c r="T1123" t="s">
        <v>13338</v>
      </c>
      <c r="U1123" t="s">
        <v>13338</v>
      </c>
      <c r="V1123" t="s">
        <v>13338</v>
      </c>
      <c r="W1123" t="s">
        <v>14435</v>
      </c>
      <c r="X1123">
        <v>3</v>
      </c>
      <c r="Y1123" t="s">
        <v>21037</v>
      </c>
      <c r="Z1123" t="s">
        <v>27538</v>
      </c>
      <c r="AA1123">
        <v>0.67063632622217473</v>
      </c>
      <c r="AB1123" t="str">
        <f>HYPERLINK("Melting_Curves/meltCurve_J3QR77_CD226.pdf", "Melting_Curves/meltCurve_J3QR77_CD226.pdf")</f>
        <v>Melting_Curves/meltCurve_J3QR77_CD226.pdf</v>
      </c>
    </row>
    <row r="1124" spans="1:28" x14ac:dyDescent="0.25">
      <c r="A1124" t="s">
        <v>1128</v>
      </c>
      <c r="B1124">
        <v>0.99193492352474899</v>
      </c>
      <c r="C1124">
        <v>0.72427640442307095</v>
      </c>
      <c r="D1124">
        <v>0.63683242664101702</v>
      </c>
      <c r="E1124">
        <v>0.50776758852144099</v>
      </c>
      <c r="F1124">
        <v>0.53119542009686405</v>
      </c>
      <c r="G1124">
        <v>0.174283880495885</v>
      </c>
      <c r="H1124">
        <v>9.9906217190371904E-2</v>
      </c>
      <c r="I1124">
        <v>0.12924801293744201</v>
      </c>
      <c r="J1124">
        <v>0.15124958396549301</v>
      </c>
      <c r="K1124">
        <v>0.101628601179063</v>
      </c>
      <c r="L1124">
        <v>435.45227746587199</v>
      </c>
      <c r="M1124">
        <v>8.7504174379426694</v>
      </c>
      <c r="N1124">
        <v>49.907074782100501</v>
      </c>
      <c r="O1124">
        <v>47.369784998900499</v>
      </c>
      <c r="P1124">
        <v>-4.5644641839880699E-2</v>
      </c>
      <c r="Q1124">
        <v>1.2421083465495201E-2</v>
      </c>
      <c r="R1124">
        <v>0.93410192682565996</v>
      </c>
      <c r="S1124" t="s">
        <v>7794</v>
      </c>
      <c r="T1124" t="s">
        <v>13338</v>
      </c>
      <c r="U1124" t="s">
        <v>13338</v>
      </c>
      <c r="V1124" t="s">
        <v>13338</v>
      </c>
      <c r="W1124" t="s">
        <v>14436</v>
      </c>
      <c r="X1124">
        <v>1</v>
      </c>
      <c r="Y1124" t="s">
        <v>21038</v>
      </c>
      <c r="Z1124" t="s">
        <v>27539</v>
      </c>
      <c r="AA1124">
        <v>0.3880787940048715</v>
      </c>
      <c r="AB1124" t="str">
        <f>HYPERLINK("Melting_Curves/meltCurve_J3QRC0_NADK.pdf", "Melting_Curves/meltCurve_J3QRC0_NADK.pdf")</f>
        <v>Melting_Curves/meltCurve_J3QRC0_NADK.pdf</v>
      </c>
    </row>
    <row r="1125" spans="1:28" x14ac:dyDescent="0.25">
      <c r="A1125" t="s">
        <v>1129</v>
      </c>
      <c r="B1125">
        <v>0.99193492352474899</v>
      </c>
      <c r="C1125">
        <v>0.78811684910507496</v>
      </c>
      <c r="D1125">
        <v>0.63080546281650496</v>
      </c>
      <c r="E1125">
        <v>0.3143643949703</v>
      </c>
      <c r="F1125">
        <v>0.18221529348229201</v>
      </c>
      <c r="G1125">
        <v>9.5404321846185594E-2</v>
      </c>
      <c r="H1125">
        <v>6.4766877052920696E-2</v>
      </c>
      <c r="I1125">
        <v>4.58021294832794E-2</v>
      </c>
      <c r="J1125">
        <v>6.2184777079414499E-2</v>
      </c>
      <c r="K1125">
        <v>7.0561585969552407E-2</v>
      </c>
      <c r="L1125">
        <v>772.31024509055203</v>
      </c>
      <c r="M1125">
        <v>16.4517102637855</v>
      </c>
      <c r="N1125">
        <v>47.245973783145601</v>
      </c>
      <c r="O1125">
        <v>46.2669297324749</v>
      </c>
      <c r="P1125">
        <v>-8.4466229262999806E-2</v>
      </c>
      <c r="Q1125">
        <v>4.9894043555752901E-2</v>
      </c>
      <c r="R1125">
        <v>0.99487370929289498</v>
      </c>
      <c r="S1125" t="s">
        <v>7795</v>
      </c>
      <c r="T1125" t="s">
        <v>13338</v>
      </c>
      <c r="U1125" t="s">
        <v>13338</v>
      </c>
      <c r="V1125" t="s">
        <v>13338</v>
      </c>
      <c r="W1125" t="s">
        <v>14437</v>
      </c>
      <c r="X1125">
        <v>4</v>
      </c>
      <c r="Y1125" t="s">
        <v>21039</v>
      </c>
      <c r="Z1125" t="s">
        <v>27540</v>
      </c>
      <c r="AA1125">
        <v>0.29115595650922732</v>
      </c>
      <c r="AB1125" t="str">
        <f>HYPERLINK("Melting_Curves/meltCurve_J3QRD1_ALDH3A2.pdf", "Melting_Curves/meltCurve_J3QRD1_ALDH3A2.pdf")</f>
        <v>Melting_Curves/meltCurve_J3QRD1_ALDH3A2.pdf</v>
      </c>
    </row>
    <row r="1126" spans="1:28" x14ac:dyDescent="0.25">
      <c r="A1126" t="s">
        <v>1130</v>
      </c>
      <c r="B1126">
        <v>0.99193492352474899</v>
      </c>
      <c r="C1126">
        <v>0.80893116941159904</v>
      </c>
      <c r="D1126">
        <v>1.03035789456557</v>
      </c>
      <c r="E1126">
        <v>0.67744217900596904</v>
      </c>
      <c r="F1126">
        <v>0.37841619832851098</v>
      </c>
      <c r="G1126">
        <v>0.184479558820897</v>
      </c>
      <c r="H1126">
        <v>9.0618786292391298E-2</v>
      </c>
      <c r="I1126">
        <v>0.15649231684599099</v>
      </c>
      <c r="J1126">
        <v>0.134824404444679</v>
      </c>
      <c r="K1126">
        <v>0.19155309944840801</v>
      </c>
      <c r="L1126">
        <v>1315.3779229357101</v>
      </c>
      <c r="M1126">
        <v>25.851493072219998</v>
      </c>
      <c r="N1126">
        <v>51.536707948666198</v>
      </c>
      <c r="O1126">
        <v>50.580539195590802</v>
      </c>
      <c r="P1126">
        <v>-0.109893177107544</v>
      </c>
      <c r="Q1126">
        <v>0.139950447652541</v>
      </c>
      <c r="R1126">
        <v>0.96115112756630705</v>
      </c>
      <c r="S1126" t="s">
        <v>7796</v>
      </c>
      <c r="T1126" t="s">
        <v>13338</v>
      </c>
      <c r="U1126" t="s">
        <v>13338</v>
      </c>
      <c r="V1126" t="s">
        <v>13338</v>
      </c>
      <c r="W1126" t="s">
        <v>14438</v>
      </c>
      <c r="X1126">
        <v>2</v>
      </c>
      <c r="Y1126" t="s">
        <v>21040</v>
      </c>
      <c r="Z1126" t="s">
        <v>27541</v>
      </c>
      <c r="AA1126">
        <v>0.45918412113077978</v>
      </c>
      <c r="AB1126" t="str">
        <f>HYPERLINK("Melting_Curves/meltCurve_J3QRM9_ORMDL3.pdf", "Melting_Curves/meltCurve_J3QRM9_ORMDL3.pdf")</f>
        <v>Melting_Curves/meltCurve_J3QRM9_ORMDL3.pdf</v>
      </c>
    </row>
    <row r="1127" spans="1:28" x14ac:dyDescent="0.25">
      <c r="A1127" t="s">
        <v>1131</v>
      </c>
      <c r="B1127">
        <v>0.99193492352474899</v>
      </c>
      <c r="C1127">
        <v>0.60291992888311097</v>
      </c>
      <c r="D1127">
        <v>0.88150055126348503</v>
      </c>
      <c r="E1127">
        <v>0.395218498944649</v>
      </c>
      <c r="F1127">
        <v>0.26717505724232599</v>
      </c>
      <c r="G1127">
        <v>0.109395151517427</v>
      </c>
      <c r="H1127">
        <v>9.2252001036778594E-2</v>
      </c>
      <c r="I1127">
        <v>0.114806324136756</v>
      </c>
      <c r="J1127">
        <v>0.18082274082177999</v>
      </c>
      <c r="K1127">
        <v>0.18545915595996201</v>
      </c>
      <c r="L1127">
        <v>686.02695429996299</v>
      </c>
      <c r="M1127">
        <v>14.3804869030417</v>
      </c>
      <c r="N1127">
        <v>48.521053854775602</v>
      </c>
      <c r="O1127">
        <v>46.8113472924788</v>
      </c>
      <c r="P1127">
        <v>-6.8562356760786605E-2</v>
      </c>
      <c r="Q1127">
        <v>0.107369896255986</v>
      </c>
      <c r="R1127">
        <v>0.87130169334928798</v>
      </c>
      <c r="S1127" t="s">
        <v>7797</v>
      </c>
      <c r="T1127" t="s">
        <v>13338</v>
      </c>
      <c r="U1127" t="s">
        <v>13338</v>
      </c>
      <c r="V1127" t="s">
        <v>13338</v>
      </c>
      <c r="W1127" t="s">
        <v>14439</v>
      </c>
      <c r="X1127">
        <v>12</v>
      </c>
      <c r="Y1127" t="s">
        <v>21041</v>
      </c>
      <c r="Z1127" t="s">
        <v>27542</v>
      </c>
      <c r="AA1127">
        <v>0.36198191508828542</v>
      </c>
      <c r="AB1127" t="str">
        <f>HYPERLINK("Melting_Curves/meltCurve_J3QRS3_MYL12A.pdf", "Melting_Curves/meltCurve_J3QRS3_MYL12A.pdf")</f>
        <v>Melting_Curves/meltCurve_J3QRS3_MYL12A.pdf</v>
      </c>
    </row>
    <row r="1128" spans="1:28" x14ac:dyDescent="0.25">
      <c r="A1128" t="s">
        <v>1132</v>
      </c>
      <c r="B1128">
        <v>0.99193492352474899</v>
      </c>
      <c r="C1128">
        <v>0.79585108686699602</v>
      </c>
      <c r="D1128">
        <v>0.83118755547311796</v>
      </c>
      <c r="E1128">
        <v>0.73194122233657399</v>
      </c>
      <c r="F1128">
        <v>0.630812855213437</v>
      </c>
      <c r="G1128">
        <v>0.42505543275762703</v>
      </c>
      <c r="H1128">
        <v>0.285952511767607</v>
      </c>
      <c r="I1128">
        <v>0.22590833350212799</v>
      </c>
      <c r="J1128">
        <v>0.20044110958530101</v>
      </c>
      <c r="K1128">
        <v>0.34183157230132</v>
      </c>
      <c r="L1128">
        <v>494.22206589081497</v>
      </c>
      <c r="M1128">
        <v>9.3560276728658796</v>
      </c>
      <c r="N1128">
        <v>54.863987260573403</v>
      </c>
      <c r="O1128">
        <v>50.579176760588503</v>
      </c>
      <c r="P1128">
        <v>-3.94752608468045E-2</v>
      </c>
      <c r="Q1128">
        <v>0.14691350568983999</v>
      </c>
      <c r="R1128">
        <v>0.94031899704710897</v>
      </c>
      <c r="S1128" t="s">
        <v>7798</v>
      </c>
      <c r="T1128" t="s">
        <v>13338</v>
      </c>
      <c r="U1128" t="s">
        <v>13338</v>
      </c>
      <c r="V1128" t="s">
        <v>13338</v>
      </c>
      <c r="W1128" t="s">
        <v>14440</v>
      </c>
      <c r="X1128">
        <v>10</v>
      </c>
      <c r="Y1128" t="s">
        <v>21020</v>
      </c>
      <c r="Z1128" t="s">
        <v>27543</v>
      </c>
      <c r="AA1128">
        <v>0.54317164448571353</v>
      </c>
      <c r="AB1128" t="str">
        <f>HYPERLINK("Melting_Curves/meltCurve_J3QRS9_ZNF207.pdf", "Melting_Curves/meltCurve_J3QRS9_ZNF207.pdf")</f>
        <v>Melting_Curves/meltCurve_J3QRS9_ZNF207.pdf</v>
      </c>
    </row>
    <row r="1129" spans="1:28" x14ac:dyDescent="0.25">
      <c r="A1129" t="s">
        <v>1133</v>
      </c>
      <c r="B1129">
        <v>0.99193492352474899</v>
      </c>
      <c r="C1129">
        <v>0.95304169354463197</v>
      </c>
      <c r="D1129">
        <v>0.94644112375031697</v>
      </c>
      <c r="E1129">
        <v>0.35592914442442197</v>
      </c>
      <c r="F1129">
        <v>0.16906272887577001</v>
      </c>
      <c r="G1129">
        <v>7.1695050503285396E-2</v>
      </c>
      <c r="H1129">
        <v>4.4426940562674801E-2</v>
      </c>
      <c r="I1129">
        <v>4.5772319671835301E-2</v>
      </c>
      <c r="J1129">
        <v>7.4879948266334595E-2</v>
      </c>
      <c r="K1129">
        <v>9.4549656366093096E-2</v>
      </c>
      <c r="L1129">
        <v>1979.7218239410099</v>
      </c>
      <c r="M1129">
        <v>40.663079196302597</v>
      </c>
      <c r="N1129">
        <v>48.884872970579799</v>
      </c>
      <c r="O1129">
        <v>48.568683363397703</v>
      </c>
      <c r="P1129">
        <v>-0.193349524123648</v>
      </c>
      <c r="Q1129">
        <v>7.6241939759078198E-2</v>
      </c>
      <c r="R1129">
        <v>0.99402441053646295</v>
      </c>
      <c r="S1129" t="s">
        <v>7799</v>
      </c>
      <c r="T1129" t="s">
        <v>13338</v>
      </c>
      <c r="U1129" t="s">
        <v>13338</v>
      </c>
      <c r="V1129" t="s">
        <v>13338</v>
      </c>
      <c r="W1129" t="s">
        <v>14441</v>
      </c>
      <c r="X1129">
        <v>5</v>
      </c>
      <c r="Y1129" t="s">
        <v>21042</v>
      </c>
      <c r="Z1129" t="s">
        <v>27544</v>
      </c>
      <c r="AA1129">
        <v>0.34671137977186522</v>
      </c>
      <c r="AB1129" t="str">
        <f>HYPERLINK("Melting_Curves/meltCurve_J3QRU1_YES1.pdf", "Melting_Curves/meltCurve_J3QRU1_YES1.pdf")</f>
        <v>Melting_Curves/meltCurve_J3QRU1_YES1.pdf</v>
      </c>
    </row>
    <row r="1130" spans="1:28" x14ac:dyDescent="0.25">
      <c r="A1130" t="s">
        <v>1134</v>
      </c>
      <c r="B1130">
        <v>0.99193492352474899</v>
      </c>
      <c r="C1130">
        <v>0.89774623733734404</v>
      </c>
      <c r="D1130">
        <v>1.0093463357515899</v>
      </c>
      <c r="E1130">
        <v>0.75100891178155105</v>
      </c>
      <c r="F1130">
        <v>0.80981070036301395</v>
      </c>
      <c r="G1130">
        <v>0.606717776411973</v>
      </c>
      <c r="H1130">
        <v>0.52304393785813896</v>
      </c>
      <c r="I1130">
        <v>0.63197300198944395</v>
      </c>
      <c r="J1130">
        <v>1.0259379358437899</v>
      </c>
      <c r="K1130">
        <v>0.82656593769271303</v>
      </c>
      <c r="L1130">
        <v>12256.0407289696</v>
      </c>
      <c r="M1130">
        <v>250</v>
      </c>
      <c r="O1130">
        <v>49.021025715168001</v>
      </c>
      <c r="P1130">
        <v>-0.33487984408724297</v>
      </c>
      <c r="Q1130">
        <v>0.73734154524208295</v>
      </c>
      <c r="R1130">
        <v>0.36692105439102202</v>
      </c>
      <c r="S1130" t="s">
        <v>7800</v>
      </c>
      <c r="T1130" t="s">
        <v>13338</v>
      </c>
      <c r="U1130" t="s">
        <v>13338</v>
      </c>
      <c r="V1130" t="s">
        <v>13338</v>
      </c>
      <c r="W1130" t="s">
        <v>14442</v>
      </c>
      <c r="X1130">
        <v>7</v>
      </c>
      <c r="Y1130" t="s">
        <v>21043</v>
      </c>
      <c r="Z1130" t="s">
        <v>27545</v>
      </c>
      <c r="AA1130">
        <v>0.81637323305937892</v>
      </c>
      <c r="AB1130" t="str">
        <f>HYPERLINK("Melting_Curves/meltCurve_J3QRU4_VAMP2.pdf", "Melting_Curves/meltCurve_J3QRU4_VAMP2.pdf")</f>
        <v>Melting_Curves/meltCurve_J3QRU4_VAMP2.pdf</v>
      </c>
    </row>
    <row r="1131" spans="1:28" x14ac:dyDescent="0.25">
      <c r="A1131" t="s">
        <v>1135</v>
      </c>
      <c r="B1131">
        <v>0.99193492352474899</v>
      </c>
      <c r="C1131">
        <v>0.61681160315825101</v>
      </c>
      <c r="D1131">
        <v>0.56827204704371703</v>
      </c>
      <c r="E1131">
        <v>0.29864870282964101</v>
      </c>
      <c r="F1131">
        <v>0.22073050018944501</v>
      </c>
      <c r="G1131">
        <v>0.15657923921327499</v>
      </c>
      <c r="H1131">
        <v>0.15961008656658399</v>
      </c>
      <c r="I1131">
        <v>0.31668149765634501</v>
      </c>
      <c r="J1131">
        <v>0.450737534854877</v>
      </c>
      <c r="K1131">
        <v>0.47223721879928499</v>
      </c>
      <c r="L1131">
        <v>991.82399137425205</v>
      </c>
      <c r="M1131">
        <v>22.7649057529724</v>
      </c>
      <c r="N1131">
        <v>45.359677235132601</v>
      </c>
      <c r="O1131">
        <v>43.236100350126797</v>
      </c>
      <c r="P1131">
        <v>-9.2599330760515103E-2</v>
      </c>
      <c r="Q1131">
        <v>0.29653900977644798</v>
      </c>
      <c r="R1131">
        <v>0.78144836885292901</v>
      </c>
      <c r="S1131" t="s">
        <v>7801</v>
      </c>
      <c r="T1131" t="s">
        <v>13338</v>
      </c>
      <c r="U1131" t="s">
        <v>13338</v>
      </c>
      <c r="V1131" t="s">
        <v>13338</v>
      </c>
      <c r="W1131" t="s">
        <v>14443</v>
      </c>
      <c r="X1131">
        <v>2</v>
      </c>
      <c r="Y1131" t="s">
        <v>21044</v>
      </c>
      <c r="Z1131" t="s">
        <v>27546</v>
      </c>
      <c r="AA1131">
        <v>0.39116932815061711</v>
      </c>
      <c r="AB1131" t="str">
        <f>HYPERLINK("Melting_Curves/meltCurve_J3QSH4_VEZF1.pdf", "Melting_Curves/meltCurve_J3QSH4_VEZF1.pdf")</f>
        <v>Melting_Curves/meltCurve_J3QSH4_VEZF1.pdf</v>
      </c>
    </row>
    <row r="1132" spans="1:28" x14ac:dyDescent="0.25">
      <c r="A1132" t="s">
        <v>1136</v>
      </c>
      <c r="B1132">
        <v>0.99193492352474899</v>
      </c>
      <c r="C1132">
        <v>1.1136714695360701</v>
      </c>
      <c r="D1132">
        <v>0.89027572495776497</v>
      </c>
      <c r="E1132">
        <v>0.82603661867940603</v>
      </c>
      <c r="F1132">
        <v>0.528031127077638</v>
      </c>
      <c r="G1132">
        <v>0.29787061470350501</v>
      </c>
      <c r="H1132">
        <v>0.13273505757218601</v>
      </c>
      <c r="I1132">
        <v>0.13965693946117499</v>
      </c>
      <c r="J1132">
        <v>0.15694105207400599</v>
      </c>
      <c r="K1132">
        <v>0.19631789948619699</v>
      </c>
      <c r="L1132">
        <v>1153.7288787556399</v>
      </c>
      <c r="M1132">
        <v>21.9302174761666</v>
      </c>
      <c r="N1132">
        <v>53.430365401806903</v>
      </c>
      <c r="O1132">
        <v>52.177506922345898</v>
      </c>
      <c r="P1132">
        <v>-9.0043323460911207E-2</v>
      </c>
      <c r="Q1132">
        <v>0.14307645192868501</v>
      </c>
      <c r="R1132">
        <v>0.98132520889835795</v>
      </c>
      <c r="S1132" t="s">
        <v>7802</v>
      </c>
      <c r="T1132" t="s">
        <v>13338</v>
      </c>
      <c r="U1132" t="s">
        <v>13338</v>
      </c>
      <c r="V1132" t="s">
        <v>13338</v>
      </c>
      <c r="W1132" t="s">
        <v>14444</v>
      </c>
      <c r="X1132">
        <v>11</v>
      </c>
      <c r="Y1132" t="s">
        <v>21045</v>
      </c>
      <c r="Z1132" t="s">
        <v>27547</v>
      </c>
      <c r="AA1132">
        <v>0.51327797690210075</v>
      </c>
      <c r="AB1132" t="str">
        <f>HYPERLINK("Melting_Curves/meltCurve_J3QT87_CRBN.pdf", "Melting_Curves/meltCurve_J3QT87_CRBN.pdf")</f>
        <v>Melting_Curves/meltCurve_J3QT87_CRBN.pdf</v>
      </c>
    </row>
    <row r="1133" spans="1:28" x14ac:dyDescent="0.25">
      <c r="A1133" t="s">
        <v>1137</v>
      </c>
      <c r="B1133">
        <v>0.99193492352474899</v>
      </c>
      <c r="C1133">
        <v>0.91554134277343502</v>
      </c>
      <c r="D1133">
        <v>0.81187366968218799</v>
      </c>
      <c r="E1133">
        <v>0.809870098407657</v>
      </c>
      <c r="F1133">
        <v>0.52565678233407198</v>
      </c>
      <c r="G1133">
        <v>0.37580871903791202</v>
      </c>
      <c r="H1133">
        <v>0.16229043502017601</v>
      </c>
      <c r="I1133">
        <v>0.151134365483406</v>
      </c>
      <c r="J1133">
        <v>0.165379040697029</v>
      </c>
      <c r="K1133">
        <v>0.213510481719695</v>
      </c>
      <c r="L1133">
        <v>730.53888699362005</v>
      </c>
      <c r="M1133">
        <v>13.876013071179299</v>
      </c>
      <c r="N1133">
        <v>53.687349083809998</v>
      </c>
      <c r="O1133">
        <v>51.590316624908603</v>
      </c>
      <c r="P1133">
        <v>-5.9326760379490001E-2</v>
      </c>
      <c r="Q1133">
        <v>0.117825538461286</v>
      </c>
      <c r="R1133">
        <v>0.97456553650261701</v>
      </c>
      <c r="S1133" t="s">
        <v>7803</v>
      </c>
      <c r="T1133" t="s">
        <v>13338</v>
      </c>
      <c r="U1133" t="s">
        <v>13338</v>
      </c>
      <c r="V1133" t="s">
        <v>13338</v>
      </c>
      <c r="W1133" t="s">
        <v>14445</v>
      </c>
      <c r="X1133">
        <v>3</v>
      </c>
      <c r="Y1133" t="s">
        <v>21046</v>
      </c>
      <c r="Z1133" t="s">
        <v>27548</v>
      </c>
      <c r="AA1133">
        <v>0.51120781192067066</v>
      </c>
      <c r="AB1133" t="str">
        <f>HYPERLINK("Melting_Curves/meltCurve_J3QTA2_BAG1.pdf", "Melting_Curves/meltCurve_J3QTA2_BAG1.pdf")</f>
        <v>Melting_Curves/meltCurve_J3QTA2_BAG1.pdf</v>
      </c>
    </row>
    <row r="1134" spans="1:28" x14ac:dyDescent="0.25">
      <c r="A1134" t="s">
        <v>1138</v>
      </c>
      <c r="B1134">
        <v>0.99193492352474899</v>
      </c>
      <c r="C1134">
        <v>1.2744312165316101</v>
      </c>
      <c r="D1134">
        <v>1.0321854167275899</v>
      </c>
      <c r="E1134">
        <v>0.96540768248242304</v>
      </c>
      <c r="F1134">
        <v>0.59844560913049505</v>
      </c>
      <c r="G1134">
        <v>0.44446251591882802</v>
      </c>
      <c r="H1134">
        <v>0.380324072450895</v>
      </c>
      <c r="I1134">
        <v>0.47853115408355901</v>
      </c>
      <c r="J1134">
        <v>0.59825841880882002</v>
      </c>
      <c r="K1134">
        <v>0.80277814311912299</v>
      </c>
      <c r="L1134">
        <v>3418.5656328999798</v>
      </c>
      <c r="M1134">
        <v>66.299481587979798</v>
      </c>
      <c r="O1134">
        <v>51.515628670400197</v>
      </c>
      <c r="P1134">
        <v>-0.14754491133537501</v>
      </c>
      <c r="Q1134">
        <v>0.541422252074793</v>
      </c>
      <c r="R1134">
        <v>0.76897822930835202</v>
      </c>
      <c r="S1134" t="s">
        <v>7804</v>
      </c>
      <c r="T1134" t="s">
        <v>13338</v>
      </c>
      <c r="U1134" t="s">
        <v>13338</v>
      </c>
      <c r="V1134" t="s">
        <v>13338</v>
      </c>
      <c r="W1134" t="s">
        <v>14446</v>
      </c>
      <c r="X1134">
        <v>7</v>
      </c>
      <c r="Y1134" t="s">
        <v>21047</v>
      </c>
      <c r="Z1134" t="s">
        <v>27549</v>
      </c>
      <c r="AA1134">
        <v>0.71875721380713098</v>
      </c>
      <c r="AB1134" t="str">
        <f>HYPERLINK("Melting_Curves/meltCurve_J3QTA6_CHCHD6.pdf", "Melting_Curves/meltCurve_J3QTA6_CHCHD6.pdf")</f>
        <v>Melting_Curves/meltCurve_J3QTA6_CHCHD6.pdf</v>
      </c>
    </row>
    <row r="1135" spans="1:28" x14ac:dyDescent="0.25">
      <c r="A1135" t="s">
        <v>1139</v>
      </c>
      <c r="B1135">
        <v>0.99193492352474899</v>
      </c>
      <c r="C1135">
        <v>0.92465907360010102</v>
      </c>
      <c r="D1135">
        <v>0.87689748517746502</v>
      </c>
      <c r="E1135">
        <v>0.69712935309676904</v>
      </c>
      <c r="F1135">
        <v>0.35707093350642</v>
      </c>
      <c r="G1135">
        <v>0.122076169194445</v>
      </c>
      <c r="H1135">
        <v>6.0611295348007299E-2</v>
      </c>
      <c r="I1135">
        <v>5.9764206386562303E-2</v>
      </c>
      <c r="J1135">
        <v>6.1491913306984697E-2</v>
      </c>
      <c r="K1135">
        <v>6.4337289117693E-2</v>
      </c>
      <c r="L1135">
        <v>1025.27695573747</v>
      </c>
      <c r="M1135">
        <v>20.022444579912101</v>
      </c>
      <c r="N1135">
        <v>51.418257296596899</v>
      </c>
      <c r="O1135">
        <v>50.703801067726197</v>
      </c>
      <c r="P1135">
        <v>-9.4816641359906403E-2</v>
      </c>
      <c r="Q1135">
        <v>3.9596095775132699E-2</v>
      </c>
      <c r="R1135">
        <v>0.99512840933825997</v>
      </c>
      <c r="S1135" t="s">
        <v>7805</v>
      </c>
      <c r="T1135" t="s">
        <v>13338</v>
      </c>
      <c r="U1135" t="s">
        <v>13338</v>
      </c>
      <c r="V1135" t="s">
        <v>13338</v>
      </c>
      <c r="W1135" t="s">
        <v>14447</v>
      </c>
      <c r="X1135">
        <v>9</v>
      </c>
      <c r="Y1135" t="s">
        <v>21048</v>
      </c>
      <c r="Z1135" t="s">
        <v>27550</v>
      </c>
      <c r="AA1135">
        <v>0.41164849172701218</v>
      </c>
      <c r="AB1135" t="str">
        <f>HYPERLINK("Melting_Curves/meltCurve_J9JIC5_C17orf75.pdf", "Melting_Curves/meltCurve_J9JIC5_C17orf75.pdf")</f>
        <v>Melting_Curves/meltCurve_J9JIC5_C17orf75.pdf</v>
      </c>
    </row>
    <row r="1136" spans="1:28" x14ac:dyDescent="0.25">
      <c r="A1136" t="s">
        <v>1140</v>
      </c>
      <c r="B1136">
        <v>0.99193492352474899</v>
      </c>
      <c r="C1136">
        <v>0.84681948802523399</v>
      </c>
      <c r="D1136">
        <v>0.88563832100560602</v>
      </c>
      <c r="E1136">
        <v>0.61746086159771796</v>
      </c>
      <c r="F1136">
        <v>0.19469576880501899</v>
      </c>
      <c r="G1136">
        <v>0.124590702568307</v>
      </c>
      <c r="H1136">
        <v>7.51799189789773E-2</v>
      </c>
      <c r="I1136">
        <v>7.9299116765923702E-2</v>
      </c>
      <c r="J1136">
        <v>9.4873619547747895E-2</v>
      </c>
      <c r="K1136">
        <v>8.6744230284366605E-2</v>
      </c>
      <c r="L1136">
        <v>1220.01481445123</v>
      </c>
      <c r="M1136">
        <v>24.436005628212602</v>
      </c>
      <c r="N1136">
        <v>50.259158459347198</v>
      </c>
      <c r="O1136">
        <v>49.596167185235103</v>
      </c>
      <c r="P1136">
        <v>-0.11399038049445399</v>
      </c>
      <c r="Q1136">
        <v>7.45782556308595E-2</v>
      </c>
      <c r="R1136">
        <v>0.98251317141716998</v>
      </c>
      <c r="S1136" t="s">
        <v>7806</v>
      </c>
      <c r="T1136" t="s">
        <v>13338</v>
      </c>
      <c r="U1136" t="s">
        <v>13338</v>
      </c>
      <c r="V1136" t="s">
        <v>13338</v>
      </c>
      <c r="W1136" t="s">
        <v>14448</v>
      </c>
      <c r="X1136">
        <v>49</v>
      </c>
      <c r="Y1136" t="s">
        <v>21049</v>
      </c>
      <c r="Z1136" t="s">
        <v>27551</v>
      </c>
      <c r="AA1136">
        <v>0.38945176585126962</v>
      </c>
      <c r="AB1136" t="str">
        <f>HYPERLINK("Melting_Curves/meltCurve_J9JID7_LMNB2.pdf", "Melting_Curves/meltCurve_J9JID7_LMNB2.pdf")</f>
        <v>Melting_Curves/meltCurve_J9JID7_LMNB2.pdf</v>
      </c>
    </row>
    <row r="1137" spans="1:28" x14ac:dyDescent="0.25">
      <c r="A1137" t="s">
        <v>1141</v>
      </c>
      <c r="B1137">
        <v>0.99193492352474899</v>
      </c>
      <c r="C1137">
        <v>0.97393236591548205</v>
      </c>
      <c r="D1137">
        <v>0.99900329526479603</v>
      </c>
      <c r="E1137">
        <v>0.82920096522111097</v>
      </c>
      <c r="F1137">
        <v>0.46097144063130202</v>
      </c>
      <c r="G1137">
        <v>0.26404424613605998</v>
      </c>
      <c r="H1137">
        <v>0.180904601710692</v>
      </c>
      <c r="I1137">
        <v>0.198232860600382</v>
      </c>
      <c r="J1137">
        <v>0.265095441588796</v>
      </c>
      <c r="K1137">
        <v>0.29010071390046599</v>
      </c>
      <c r="L1137">
        <v>1650.7167018152099</v>
      </c>
      <c r="M1137">
        <v>31.952248698306999</v>
      </c>
      <c r="N1137">
        <v>52.685938317563803</v>
      </c>
      <c r="O1137">
        <v>51.460892070342403</v>
      </c>
      <c r="P1137">
        <v>-0.11932359742564901</v>
      </c>
      <c r="Q1137">
        <v>0.23129446204520401</v>
      </c>
      <c r="R1137">
        <v>0.99122461922468996</v>
      </c>
      <c r="S1137" t="s">
        <v>7807</v>
      </c>
      <c r="T1137" t="s">
        <v>13338</v>
      </c>
      <c r="U1137" t="s">
        <v>13338</v>
      </c>
      <c r="V1137" t="s">
        <v>13338</v>
      </c>
      <c r="W1137" t="s">
        <v>14449</v>
      </c>
      <c r="X1137">
        <v>5</v>
      </c>
      <c r="Y1137" t="s">
        <v>21050</v>
      </c>
      <c r="Z1137" t="s">
        <v>27552</v>
      </c>
      <c r="AA1137">
        <v>0.53442368482347102</v>
      </c>
      <c r="AB1137" t="str">
        <f>HYPERLINK("Melting_Curves/meltCurve_J9JIE6_TMCO1.pdf", "Melting_Curves/meltCurve_J9JIE6_TMCO1.pdf")</f>
        <v>Melting_Curves/meltCurve_J9JIE6_TMCO1.pdf</v>
      </c>
    </row>
    <row r="1138" spans="1:28" x14ac:dyDescent="0.25">
      <c r="A1138" t="s">
        <v>1142</v>
      </c>
      <c r="B1138">
        <v>0.99193492352474899</v>
      </c>
      <c r="C1138">
        <v>0.71756228002947497</v>
      </c>
      <c r="D1138">
        <v>0.72132851653184105</v>
      </c>
      <c r="E1138">
        <v>0.34663489470349002</v>
      </c>
      <c r="F1138">
        <v>0.23845942479983201</v>
      </c>
      <c r="G1138">
        <v>0.19855056098082199</v>
      </c>
      <c r="H1138">
        <v>0.14122008086173099</v>
      </c>
      <c r="I1138">
        <v>0.16162584015341599</v>
      </c>
      <c r="J1138">
        <v>0.19088512616386399</v>
      </c>
      <c r="K1138">
        <v>0.24830152056250199</v>
      </c>
      <c r="L1138">
        <v>780.46286962808006</v>
      </c>
      <c r="M1138">
        <v>16.810830658802001</v>
      </c>
      <c r="N1138">
        <v>47.614737786178203</v>
      </c>
      <c r="O1138">
        <v>45.784154215984898</v>
      </c>
      <c r="P1138">
        <v>-7.60695537210965E-2</v>
      </c>
      <c r="Q1138">
        <v>0.17135418824679499</v>
      </c>
      <c r="R1138">
        <v>0.95583100211980199</v>
      </c>
      <c r="S1138" t="s">
        <v>7808</v>
      </c>
      <c r="T1138" t="s">
        <v>13338</v>
      </c>
      <c r="U1138" t="s">
        <v>13338</v>
      </c>
      <c r="V1138" t="s">
        <v>13338</v>
      </c>
      <c r="W1138" t="s">
        <v>14450</v>
      </c>
      <c r="X1138">
        <v>2</v>
      </c>
      <c r="Y1138" t="s">
        <v>21051</v>
      </c>
      <c r="Z1138" t="s">
        <v>27553</v>
      </c>
      <c r="AA1138">
        <v>0.36720572348965402</v>
      </c>
      <c r="AB1138" t="str">
        <f>HYPERLINK("Melting_Curves/meltCurve_K4DI92_RWDD4.pdf", "Melting_Curves/meltCurve_K4DI92_RWDD4.pdf")</f>
        <v>Melting_Curves/meltCurve_K4DI92_RWDD4.pdf</v>
      </c>
    </row>
    <row r="1139" spans="1:28" x14ac:dyDescent="0.25">
      <c r="A1139" t="s">
        <v>1143</v>
      </c>
      <c r="B1139">
        <v>0.99193492352474899</v>
      </c>
      <c r="C1139">
        <v>0.89067341113506904</v>
      </c>
      <c r="D1139">
        <v>1.02793107288215</v>
      </c>
      <c r="E1139">
        <v>0.85717539114529595</v>
      </c>
      <c r="F1139">
        <v>0.74476761911365397</v>
      </c>
      <c r="G1139">
        <v>0.26730941378907502</v>
      </c>
      <c r="H1139">
        <v>9.3928389094666304E-2</v>
      </c>
      <c r="I1139">
        <v>9.6134131896229602E-2</v>
      </c>
      <c r="J1139">
        <v>0.10517104396037701</v>
      </c>
      <c r="K1139">
        <v>0.11220336772218201</v>
      </c>
      <c r="L1139">
        <v>1715.4561907846601</v>
      </c>
      <c r="M1139">
        <v>31.498073169694202</v>
      </c>
      <c r="N1139">
        <v>54.805133921954997</v>
      </c>
      <c r="O1139">
        <v>54.244146009019602</v>
      </c>
      <c r="P1139">
        <v>-0.13218640947096</v>
      </c>
      <c r="Q1139">
        <v>8.9429982215411194E-2</v>
      </c>
      <c r="R1139">
        <v>0.98270578781701201</v>
      </c>
      <c r="S1139" t="s">
        <v>7809</v>
      </c>
      <c r="T1139" t="s">
        <v>13338</v>
      </c>
      <c r="U1139" t="s">
        <v>13338</v>
      </c>
      <c r="V1139" t="s">
        <v>13338</v>
      </c>
      <c r="W1139" t="s">
        <v>14451</v>
      </c>
      <c r="X1139">
        <v>30</v>
      </c>
      <c r="Y1139" t="s">
        <v>21052</v>
      </c>
      <c r="Z1139" t="s">
        <v>27554</v>
      </c>
      <c r="AA1139">
        <v>0.53386679687296668</v>
      </c>
      <c r="AB1139" t="str">
        <f>HYPERLINK("Melting_Curves/meltCurve_K4DI93_CUL4B.pdf", "Melting_Curves/meltCurve_K4DI93_CUL4B.pdf")</f>
        <v>Melting_Curves/meltCurve_K4DI93_CUL4B.pdf</v>
      </c>
    </row>
    <row r="1140" spans="1:28" x14ac:dyDescent="0.25">
      <c r="A1140" t="s">
        <v>1144</v>
      </c>
      <c r="B1140">
        <v>0.99193492352474899</v>
      </c>
      <c r="C1140">
        <v>0.87472414808717203</v>
      </c>
      <c r="D1140">
        <v>0.86894471436978205</v>
      </c>
      <c r="E1140">
        <v>0.39976805702692603</v>
      </c>
      <c r="F1140">
        <v>0.196011455828977</v>
      </c>
      <c r="G1140">
        <v>0.122144046788383</v>
      </c>
      <c r="H1140">
        <v>7.5037249356820601E-2</v>
      </c>
      <c r="I1140">
        <v>9.3406339496377694E-2</v>
      </c>
      <c r="J1140">
        <v>0.10107424629273699</v>
      </c>
      <c r="K1140">
        <v>9.5338105080799998E-2</v>
      </c>
      <c r="L1140">
        <v>1240.0903731283199</v>
      </c>
      <c r="M1140">
        <v>25.549698271175998</v>
      </c>
      <c r="N1140">
        <v>48.927675247821803</v>
      </c>
      <c r="O1140">
        <v>48.241986349934997</v>
      </c>
      <c r="P1140">
        <v>-0.120171220440409</v>
      </c>
      <c r="Q1140">
        <v>9.2399847526914394E-2</v>
      </c>
      <c r="R1140">
        <v>0.99012974060008796</v>
      </c>
      <c r="S1140" t="s">
        <v>7810</v>
      </c>
      <c r="T1140" t="s">
        <v>13338</v>
      </c>
      <c r="U1140" t="s">
        <v>13338</v>
      </c>
      <c r="V1140" t="s">
        <v>13338</v>
      </c>
      <c r="W1140" t="s">
        <v>14322</v>
      </c>
      <c r="X1140">
        <v>34</v>
      </c>
      <c r="Y1140" t="s">
        <v>20924</v>
      </c>
      <c r="Z1140" t="s">
        <v>27555</v>
      </c>
      <c r="AA1140">
        <v>0.35832280438304248</v>
      </c>
      <c r="AB1140" t="str">
        <f>HYPERLINK("Melting_Curves/meltCurve_K7EIG1_CLUH.pdf", "Melting_Curves/meltCurve_K7EIG1_CLUH.pdf")</f>
        <v>Melting_Curves/meltCurve_K7EIG1_CLUH.pdf</v>
      </c>
    </row>
    <row r="1141" spans="1:28" x14ac:dyDescent="0.25">
      <c r="A1141" t="s">
        <v>1145</v>
      </c>
      <c r="B1141">
        <v>0.99193492352474899</v>
      </c>
      <c r="C1141">
        <v>0.485125852215814</v>
      </c>
      <c r="D1141">
        <v>0.994577926547213</v>
      </c>
      <c r="E1141">
        <v>0.57784730140415597</v>
      </c>
      <c r="F1141">
        <v>0.42351099163941902</v>
      </c>
      <c r="G1141">
        <v>0.14714509955442001</v>
      </c>
      <c r="H1141">
        <v>8.3753028987378506E-2</v>
      </c>
      <c r="I1141">
        <v>9.5942902616430001E-2</v>
      </c>
      <c r="J1141">
        <v>0.13540037554807799</v>
      </c>
      <c r="K1141">
        <v>0.19560980313170401</v>
      </c>
      <c r="L1141">
        <v>534.29531509683295</v>
      </c>
      <c r="M1141">
        <v>10.6546977300493</v>
      </c>
      <c r="N1141">
        <v>50.583541607342703</v>
      </c>
      <c r="O1141">
        <v>48.4767472976541</v>
      </c>
      <c r="P1141">
        <v>-5.2551047799046798E-2</v>
      </c>
      <c r="Q1141">
        <v>4.3977578918263399E-2</v>
      </c>
      <c r="R1141">
        <v>0.77483168016025905</v>
      </c>
      <c r="S1141" t="s">
        <v>7811</v>
      </c>
      <c r="T1141" t="s">
        <v>13338</v>
      </c>
      <c r="U1141" t="s">
        <v>13338</v>
      </c>
      <c r="V1141" t="s">
        <v>13338</v>
      </c>
      <c r="W1141" t="s">
        <v>14452</v>
      </c>
      <c r="X1141">
        <v>6</v>
      </c>
      <c r="Y1141" t="s">
        <v>21053</v>
      </c>
      <c r="Z1141" t="s">
        <v>27556</v>
      </c>
      <c r="AA1141">
        <v>0.40644306344247599</v>
      </c>
      <c r="AB1141" t="str">
        <f>HYPERLINK("Melting_Curves/meltCurve_K7EIJ0_WBP2.pdf", "Melting_Curves/meltCurve_K7EIJ0_WBP2.pdf")</f>
        <v>Melting_Curves/meltCurve_K7EIJ0_WBP2.pdf</v>
      </c>
    </row>
    <row r="1142" spans="1:28" x14ac:dyDescent="0.25">
      <c r="A1142" t="s">
        <v>1146</v>
      </c>
      <c r="B1142">
        <v>0.99193492352474899</v>
      </c>
      <c r="C1142">
        <v>0.75708320730541101</v>
      </c>
      <c r="D1142">
        <v>1.02862880797514</v>
      </c>
      <c r="E1142">
        <v>0.80233917673838695</v>
      </c>
      <c r="F1142">
        <v>0.47281430753277998</v>
      </c>
      <c r="G1142">
        <v>0.14802149324868799</v>
      </c>
      <c r="H1142">
        <v>5.5707807552127002E-2</v>
      </c>
      <c r="I1142">
        <v>7.5421703189442302E-2</v>
      </c>
      <c r="J1142">
        <v>9.2101695844261505E-2</v>
      </c>
      <c r="K1142">
        <v>3.8035586485986803E-2</v>
      </c>
      <c r="L1142">
        <v>1332.0881766406801</v>
      </c>
      <c r="M1142">
        <v>25.371110801157499</v>
      </c>
      <c r="N1142">
        <v>52.730935225296697</v>
      </c>
      <c r="O1142">
        <v>52.181204562709503</v>
      </c>
      <c r="P1142">
        <v>-0.115271424713034</v>
      </c>
      <c r="Q1142">
        <v>5.1689060427447003E-2</v>
      </c>
      <c r="R1142">
        <v>0.957842101922876</v>
      </c>
      <c r="S1142" t="s">
        <v>7812</v>
      </c>
      <c r="T1142" t="s">
        <v>13338</v>
      </c>
      <c r="U1142" t="s">
        <v>13338</v>
      </c>
      <c r="V1142" t="s">
        <v>13338</v>
      </c>
      <c r="W1142" t="s">
        <v>14453</v>
      </c>
      <c r="X1142">
        <v>2</v>
      </c>
      <c r="Y1142" t="s">
        <v>21054</v>
      </c>
      <c r="Z1142" t="s">
        <v>27557</v>
      </c>
      <c r="AA1142">
        <v>0.45540583925090722</v>
      </c>
      <c r="AB1142" t="str">
        <f>HYPERLINK("Melting_Curves/meltCurve_K7EIN2_NUDT16L1.pdf", "Melting_Curves/meltCurve_K7EIN2_NUDT16L1.pdf")</f>
        <v>Melting_Curves/meltCurve_K7EIN2_NUDT16L1.pdf</v>
      </c>
    </row>
    <row r="1143" spans="1:28" x14ac:dyDescent="0.25">
      <c r="A1143" t="s">
        <v>1147</v>
      </c>
      <c r="B1143">
        <v>0.99193492352474899</v>
      </c>
      <c r="C1143">
        <v>1.2677820261238999</v>
      </c>
      <c r="D1143">
        <v>0.74855320718013596</v>
      </c>
      <c r="E1143">
        <v>0.83035946531232896</v>
      </c>
      <c r="F1143">
        <v>0.46083758103745498</v>
      </c>
      <c r="G1143">
        <v>0.335540662897576</v>
      </c>
      <c r="H1143">
        <v>0.25956472441752498</v>
      </c>
      <c r="I1143">
        <v>0.29782615266670198</v>
      </c>
      <c r="J1143">
        <v>0.24760770957047401</v>
      </c>
      <c r="K1143">
        <v>0.25362328434056602</v>
      </c>
      <c r="L1143">
        <v>1092.2001760671501</v>
      </c>
      <c r="M1143">
        <v>21.294405946826899</v>
      </c>
      <c r="N1143">
        <v>53.036533379220998</v>
      </c>
      <c r="O1143">
        <v>50.844566562064401</v>
      </c>
      <c r="P1143">
        <v>-7.8323478434986396E-2</v>
      </c>
      <c r="Q1143">
        <v>0.25196833788420703</v>
      </c>
      <c r="R1143">
        <v>0.89812078930809403</v>
      </c>
      <c r="S1143" t="s">
        <v>7813</v>
      </c>
      <c r="T1143" t="s">
        <v>13338</v>
      </c>
      <c r="U1143" t="s">
        <v>13338</v>
      </c>
      <c r="V1143" t="s">
        <v>13338</v>
      </c>
      <c r="W1143" t="s">
        <v>14454</v>
      </c>
      <c r="X1143">
        <v>1</v>
      </c>
      <c r="Y1143" t="s">
        <v>21055</v>
      </c>
      <c r="Z1143" t="s">
        <v>27558</v>
      </c>
      <c r="AA1143">
        <v>0.54271870045518966</v>
      </c>
      <c r="AB1143" t="str">
        <f>HYPERLINK("Melting_Curves/meltCurve_K7EIP7_YIPF2.pdf", "Melting_Curves/meltCurve_K7EIP7_YIPF2.pdf")</f>
        <v>Melting_Curves/meltCurve_K7EIP7_YIPF2.pdf</v>
      </c>
    </row>
    <row r="1144" spans="1:28" x14ac:dyDescent="0.25">
      <c r="A1144" t="s">
        <v>1148</v>
      </c>
      <c r="B1144">
        <v>0.99193492352474899</v>
      </c>
      <c r="C1144">
        <v>0.97569381201971805</v>
      </c>
      <c r="D1144">
        <v>0.82408474015500299</v>
      </c>
      <c r="E1144">
        <v>0.69952682445208103</v>
      </c>
      <c r="F1144">
        <v>0.32270923552512398</v>
      </c>
      <c r="G1144">
        <v>0.22645921636918401</v>
      </c>
      <c r="H1144">
        <v>0.122733275048201</v>
      </c>
      <c r="I1144">
        <v>0.113729192234391</v>
      </c>
      <c r="J1144">
        <v>9.9816693214013499E-2</v>
      </c>
      <c r="K1144">
        <v>0.10252693232134701</v>
      </c>
      <c r="L1144">
        <v>912.66167498110701</v>
      </c>
      <c r="M1144">
        <v>17.970254618092699</v>
      </c>
      <c r="N1144">
        <v>51.346985117412302</v>
      </c>
      <c r="O1144">
        <v>50.170946440488997</v>
      </c>
      <c r="P1144">
        <v>-8.1585420713400206E-2</v>
      </c>
      <c r="Q1144">
        <v>8.89354679402522E-2</v>
      </c>
      <c r="R1144">
        <v>0.99302032361028303</v>
      </c>
      <c r="S1144" t="s">
        <v>7814</v>
      </c>
      <c r="T1144" t="s">
        <v>13338</v>
      </c>
      <c r="U1144" t="s">
        <v>13338</v>
      </c>
      <c r="V1144" t="s">
        <v>13338</v>
      </c>
      <c r="W1144" t="s">
        <v>14455</v>
      </c>
      <c r="X1144">
        <v>10</v>
      </c>
      <c r="Y1144" t="s">
        <v>21056</v>
      </c>
      <c r="Z1144" t="s">
        <v>27559</v>
      </c>
      <c r="AA1144">
        <v>0.43197002588930489</v>
      </c>
      <c r="AB1144" t="str">
        <f>HYPERLINK("Melting_Curves/meltCurve_K7EIU8_SMAD4.pdf", "Melting_Curves/meltCurve_K7EIU8_SMAD4.pdf")</f>
        <v>Melting_Curves/meltCurve_K7EIU8_SMAD4.pdf</v>
      </c>
    </row>
    <row r="1145" spans="1:28" x14ac:dyDescent="0.25">
      <c r="A1145" t="s">
        <v>1149</v>
      </c>
      <c r="B1145">
        <v>0.99193492352474899</v>
      </c>
      <c r="C1145">
        <v>1.1473360628398099</v>
      </c>
      <c r="D1145">
        <v>0.84867241263758497</v>
      </c>
      <c r="E1145">
        <v>0.65645770122580105</v>
      </c>
      <c r="F1145">
        <v>0.29868379425073599</v>
      </c>
      <c r="G1145">
        <v>0.187551786218459</v>
      </c>
      <c r="H1145">
        <v>0.112469075261499</v>
      </c>
      <c r="I1145">
        <v>0.14663201436097201</v>
      </c>
      <c r="J1145">
        <v>0.17277535430461899</v>
      </c>
      <c r="K1145">
        <v>0.176129251452953</v>
      </c>
      <c r="L1145">
        <v>1286.47594637456</v>
      </c>
      <c r="M1145">
        <v>25.658457905350801</v>
      </c>
      <c r="N1145">
        <v>50.834434110527397</v>
      </c>
      <c r="O1145">
        <v>49.836893967499201</v>
      </c>
      <c r="P1145">
        <v>-0.109650253469806</v>
      </c>
      <c r="Q1145">
        <v>0.148107494951219</v>
      </c>
      <c r="R1145">
        <v>0.97571296455164502</v>
      </c>
      <c r="S1145" t="s">
        <v>7815</v>
      </c>
      <c r="T1145" t="s">
        <v>13338</v>
      </c>
      <c r="U1145" t="s">
        <v>13338</v>
      </c>
      <c r="V1145" t="s">
        <v>13338</v>
      </c>
      <c r="W1145" t="s">
        <v>14456</v>
      </c>
      <c r="X1145">
        <v>6</v>
      </c>
      <c r="Y1145" t="s">
        <v>21057</v>
      </c>
      <c r="Z1145" t="s">
        <v>27560</v>
      </c>
      <c r="AA1145">
        <v>0.44324111421303219</v>
      </c>
      <c r="AB1145" t="str">
        <f>HYPERLINK("Melting_Curves/meltCurve_K7EIX2_HEATR6.pdf", "Melting_Curves/meltCurve_K7EIX2_HEATR6.pdf")</f>
        <v>Melting_Curves/meltCurve_K7EIX2_HEATR6.pdf</v>
      </c>
    </row>
    <row r="1146" spans="1:28" x14ac:dyDescent="0.25">
      <c r="A1146" t="s">
        <v>1150</v>
      </c>
      <c r="B1146">
        <v>0.99193492352474899</v>
      </c>
      <c r="C1146">
        <v>0.77114938247256304</v>
      </c>
      <c r="D1146">
        <v>0.76270737332718497</v>
      </c>
      <c r="E1146">
        <v>0.55369464759339004</v>
      </c>
      <c r="F1146">
        <v>0.36997433126739399</v>
      </c>
      <c r="G1146">
        <v>0.19604125157783001</v>
      </c>
      <c r="H1146">
        <v>0.161413848429144</v>
      </c>
      <c r="I1146">
        <v>0.253792205357734</v>
      </c>
      <c r="J1146">
        <v>0.32832114804395202</v>
      </c>
      <c r="K1146">
        <v>0.412289533601151</v>
      </c>
      <c r="L1146">
        <v>762.76160127659102</v>
      </c>
      <c r="M1146">
        <v>16.111843451617599</v>
      </c>
      <c r="N1146">
        <v>49.628863940632201</v>
      </c>
      <c r="O1146">
        <v>46.630364026917498</v>
      </c>
      <c r="P1146">
        <v>-6.37497148735469E-2</v>
      </c>
      <c r="Q1146">
        <v>0.26204666628990603</v>
      </c>
      <c r="R1146">
        <v>0.89934379909526496</v>
      </c>
      <c r="S1146" t="s">
        <v>7816</v>
      </c>
      <c r="T1146" t="s">
        <v>13338</v>
      </c>
      <c r="U1146" t="s">
        <v>13338</v>
      </c>
      <c r="V1146" t="s">
        <v>13338</v>
      </c>
      <c r="W1146" t="s">
        <v>14457</v>
      </c>
      <c r="X1146">
        <v>4</v>
      </c>
      <c r="Y1146" t="s">
        <v>21058</v>
      </c>
      <c r="Z1146" t="s">
        <v>27561</v>
      </c>
      <c r="AA1146">
        <v>0.45959490937852582</v>
      </c>
      <c r="AB1146" t="str">
        <f>HYPERLINK("Melting_Curves/meltCurve_K7EIY4_STX10.pdf", "Melting_Curves/meltCurve_K7EIY4_STX10.pdf")</f>
        <v>Melting_Curves/meltCurve_K7EIY4_STX10.pdf</v>
      </c>
    </row>
    <row r="1147" spans="1:28" x14ac:dyDescent="0.25">
      <c r="A1147" t="s">
        <v>1151</v>
      </c>
      <c r="B1147">
        <v>0.99193492352474899</v>
      </c>
      <c r="C1147">
        <v>0.61245891667983599</v>
      </c>
      <c r="D1147">
        <v>0.69851988852496105</v>
      </c>
      <c r="E1147">
        <v>0.58122118313639903</v>
      </c>
      <c r="F1147">
        <v>0.49348349001914799</v>
      </c>
      <c r="G1147">
        <v>0.23812311932372199</v>
      </c>
      <c r="H1147">
        <v>0.11097271272142401</v>
      </c>
      <c r="I1147">
        <v>0.19203846010262801</v>
      </c>
      <c r="J1147">
        <v>0.253757536326221</v>
      </c>
      <c r="K1147">
        <v>0.365273471210246</v>
      </c>
      <c r="L1147">
        <v>472.13906089708797</v>
      </c>
      <c r="M1147">
        <v>9.9397439646338093</v>
      </c>
      <c r="N1147">
        <v>49.860113465065098</v>
      </c>
      <c r="O1147">
        <v>45.697476289852901</v>
      </c>
      <c r="P1147">
        <v>-4.41961732796586E-2</v>
      </c>
      <c r="Q1147">
        <v>0.187645787815471</v>
      </c>
      <c r="R1147">
        <v>0.82817168953937104</v>
      </c>
      <c r="S1147" t="s">
        <v>7817</v>
      </c>
      <c r="T1147" t="s">
        <v>13338</v>
      </c>
      <c r="U1147" t="s">
        <v>13338</v>
      </c>
      <c r="V1147" t="s">
        <v>13338</v>
      </c>
      <c r="W1147" t="s">
        <v>14458</v>
      </c>
      <c r="X1147">
        <v>1</v>
      </c>
      <c r="Y1147" t="s">
        <v>21059</v>
      </c>
      <c r="Z1147" t="s">
        <v>27562</v>
      </c>
      <c r="AA1147">
        <v>0.43595882325107521</v>
      </c>
      <c r="AB1147" t="str">
        <f>HYPERLINK("Melting_Curves/meltCurve_K7EJ78_RPS15.pdf", "Melting_Curves/meltCurve_K7EJ78_RPS15.pdf")</f>
        <v>Melting_Curves/meltCurve_K7EJ78_RPS15.pdf</v>
      </c>
    </row>
    <row r="1148" spans="1:28" x14ac:dyDescent="0.25">
      <c r="A1148" t="s">
        <v>1152</v>
      </c>
      <c r="B1148">
        <v>0.99193492352474899</v>
      </c>
      <c r="C1148">
        <v>0.79552373076413196</v>
      </c>
      <c r="D1148">
        <v>0.90365793565398</v>
      </c>
      <c r="E1148">
        <v>0.59390255370774303</v>
      </c>
      <c r="F1148">
        <v>0.56467340239175201</v>
      </c>
      <c r="G1148">
        <v>0.35182591448156703</v>
      </c>
      <c r="H1148">
        <v>0.21345708026308</v>
      </c>
      <c r="I1148">
        <v>0.26639708266540202</v>
      </c>
      <c r="J1148">
        <v>0.31489854819246099</v>
      </c>
      <c r="K1148">
        <v>0.30055304776007202</v>
      </c>
      <c r="L1148">
        <v>635.40882681118899</v>
      </c>
      <c r="M1148">
        <v>12.681362658966201</v>
      </c>
      <c r="N1148">
        <v>52.7999265740943</v>
      </c>
      <c r="O1148">
        <v>48.908758790414197</v>
      </c>
      <c r="P1148">
        <v>-4.9389592267755099E-2</v>
      </c>
      <c r="Q1148">
        <v>0.23821632654891101</v>
      </c>
      <c r="R1148">
        <v>0.93508948015056503</v>
      </c>
      <c r="S1148" t="s">
        <v>7818</v>
      </c>
      <c r="T1148" t="s">
        <v>13338</v>
      </c>
      <c r="U1148" t="s">
        <v>13338</v>
      </c>
      <c r="V1148" t="s">
        <v>13338</v>
      </c>
      <c r="W1148" t="s">
        <v>14459</v>
      </c>
      <c r="X1148">
        <v>7</v>
      </c>
      <c r="Y1148" t="s">
        <v>21060</v>
      </c>
      <c r="Z1148" t="s">
        <v>27563</v>
      </c>
      <c r="AA1148">
        <v>0.51885004205781315</v>
      </c>
      <c r="AB1148" t="str">
        <f>HYPERLINK("Melting_Curves/meltCurve_K7EJB5_SNRPD2.pdf", "Melting_Curves/meltCurve_K7EJB5_SNRPD2.pdf")</f>
        <v>Melting_Curves/meltCurve_K7EJB5_SNRPD2.pdf</v>
      </c>
    </row>
    <row r="1149" spans="1:28" x14ac:dyDescent="0.25">
      <c r="A1149" t="s">
        <v>1153</v>
      </c>
      <c r="B1149">
        <v>0.99193492352474899</v>
      </c>
      <c r="C1149">
        <v>1.08850937459729</v>
      </c>
      <c r="D1149">
        <v>1.3830578510435101</v>
      </c>
      <c r="E1149">
        <v>0.80473488701815399</v>
      </c>
      <c r="F1149">
        <v>0.37341136854378498</v>
      </c>
      <c r="G1149">
        <v>0.73843141862691997</v>
      </c>
      <c r="H1149">
        <v>0.18297794089838901</v>
      </c>
      <c r="I1149">
        <v>0.38900020300525501</v>
      </c>
      <c r="J1149">
        <v>0.17941381688459301</v>
      </c>
      <c r="K1149">
        <v>0.2296334398381</v>
      </c>
      <c r="S1149" t="s">
        <v>7819</v>
      </c>
      <c r="T1149" t="s">
        <v>13338</v>
      </c>
      <c r="U1149" t="s">
        <v>13339</v>
      </c>
      <c r="V1149" t="s">
        <v>13338</v>
      </c>
      <c r="W1149" t="s">
        <v>14460</v>
      </c>
      <c r="X1149">
        <v>18</v>
      </c>
      <c r="Y1149" t="s">
        <v>21061</v>
      </c>
      <c r="Z1149" t="s">
        <v>27564</v>
      </c>
      <c r="AB1149" t="str">
        <f>HYPERLINK("Melting_Curves/meltCurve_K7EJB9_CALR.pdf", "Melting_Curves/meltCurve_K7EJB9_CALR.pdf")</f>
        <v>Melting_Curves/meltCurve_K7EJB9_CALR.pdf</v>
      </c>
    </row>
    <row r="1150" spans="1:28" x14ac:dyDescent="0.25">
      <c r="A1150" t="s">
        <v>1154</v>
      </c>
      <c r="B1150">
        <v>0.99193492352474899</v>
      </c>
      <c r="C1150">
        <v>0.91859726771930705</v>
      </c>
      <c r="D1150">
        <v>0.72558273979625398</v>
      </c>
      <c r="E1150">
        <v>0.28010169173447902</v>
      </c>
      <c r="F1150">
        <v>0.18145701043627699</v>
      </c>
      <c r="G1150">
        <v>0.115421723613577</v>
      </c>
      <c r="H1150">
        <v>8.7086860744222394E-2</v>
      </c>
      <c r="I1150">
        <v>9.9676057511485394E-2</v>
      </c>
      <c r="J1150">
        <v>0.134845364873452</v>
      </c>
      <c r="K1150">
        <v>0.20183463539854399</v>
      </c>
      <c r="L1150">
        <v>1346.58937494979</v>
      </c>
      <c r="M1150">
        <v>28.582778414244299</v>
      </c>
      <c r="N1150">
        <v>47.605899094940398</v>
      </c>
      <c r="O1150">
        <v>46.8830970238159</v>
      </c>
      <c r="P1150">
        <v>-0.13285781650655401</v>
      </c>
      <c r="Q1150">
        <v>0.12832283540273901</v>
      </c>
      <c r="R1150">
        <v>0.99096334731328395</v>
      </c>
      <c r="S1150" t="s">
        <v>7820</v>
      </c>
      <c r="T1150" t="s">
        <v>13338</v>
      </c>
      <c r="U1150" t="s">
        <v>13338</v>
      </c>
      <c r="V1150" t="s">
        <v>13338</v>
      </c>
      <c r="W1150" t="s">
        <v>14461</v>
      </c>
      <c r="X1150">
        <v>4</v>
      </c>
      <c r="Y1150" t="s">
        <v>21062</v>
      </c>
      <c r="Z1150" t="s">
        <v>27565</v>
      </c>
      <c r="AA1150">
        <v>0.34076687922660709</v>
      </c>
      <c r="AB1150" t="str">
        <f>HYPERLINK("Melting_Curves/meltCurve_K7EJH0_SPC24.pdf", "Melting_Curves/meltCurve_K7EJH0_SPC24.pdf")</f>
        <v>Melting_Curves/meltCurve_K7EJH0_SPC24.pdf</v>
      </c>
    </row>
    <row r="1151" spans="1:28" x14ac:dyDescent="0.25">
      <c r="A1151" t="s">
        <v>1155</v>
      </c>
      <c r="B1151">
        <v>0.99193492352474899</v>
      </c>
      <c r="C1151">
        <v>1.1032388182589801</v>
      </c>
      <c r="D1151">
        <v>1.14688964779574</v>
      </c>
      <c r="E1151">
        <v>0.94349467755291505</v>
      </c>
      <c r="F1151">
        <v>0.35630534229546701</v>
      </c>
      <c r="G1151">
        <v>0.189343318357093</v>
      </c>
      <c r="H1151">
        <v>0.105052713645788</v>
      </c>
      <c r="I1151">
        <v>0.137940001736026</v>
      </c>
      <c r="J1151">
        <v>0.16926923274578701</v>
      </c>
      <c r="K1151">
        <v>0.13447732530332099</v>
      </c>
      <c r="L1151">
        <v>2735.82374653938</v>
      </c>
      <c r="M1151">
        <v>52.517358170999202</v>
      </c>
      <c r="N1151">
        <v>52.434047735334502</v>
      </c>
      <c r="O1151">
        <v>52.0183593322934</v>
      </c>
      <c r="P1151">
        <v>-0.21594487183084399</v>
      </c>
      <c r="Q1151">
        <v>0.14442878131103301</v>
      </c>
      <c r="R1151">
        <v>0.98062120993675095</v>
      </c>
      <c r="S1151" t="s">
        <v>7821</v>
      </c>
      <c r="T1151" t="s">
        <v>13338</v>
      </c>
      <c r="U1151" t="s">
        <v>13338</v>
      </c>
      <c r="V1151" t="s">
        <v>13338</v>
      </c>
      <c r="W1151" t="s">
        <v>14462</v>
      </c>
      <c r="X1151">
        <v>7</v>
      </c>
      <c r="Y1151" t="s">
        <v>21063</v>
      </c>
      <c r="Z1151" t="s">
        <v>27566</v>
      </c>
      <c r="AA1151">
        <v>0.49111065886392041</v>
      </c>
      <c r="AB1151" t="str">
        <f>HYPERLINK("Melting_Curves/meltCurve_K7EJQ7_SEC11C.pdf", "Melting_Curves/meltCurve_K7EJQ7_SEC11C.pdf")</f>
        <v>Melting_Curves/meltCurve_K7EJQ7_SEC11C.pdf</v>
      </c>
    </row>
    <row r="1152" spans="1:28" x14ac:dyDescent="0.25">
      <c r="A1152" t="s">
        <v>1156</v>
      </c>
      <c r="B1152">
        <v>0.99193492352474899</v>
      </c>
      <c r="C1152">
        <v>0.91633221465546599</v>
      </c>
      <c r="D1152">
        <v>1.02251178911334</v>
      </c>
      <c r="E1152">
        <v>0.85008565051776996</v>
      </c>
      <c r="F1152">
        <v>0.80523263190793604</v>
      </c>
      <c r="G1152">
        <v>0.65119794856882796</v>
      </c>
      <c r="H1152">
        <v>0.51759238585982603</v>
      </c>
      <c r="I1152">
        <v>0.50397271822499701</v>
      </c>
      <c r="J1152">
        <v>0.57173056242692299</v>
      </c>
      <c r="K1152">
        <v>0.457257025972515</v>
      </c>
      <c r="L1152">
        <v>824.13196272326604</v>
      </c>
      <c r="M1152">
        <v>15.224725210986399</v>
      </c>
      <c r="N1152">
        <v>67.1041048001928</v>
      </c>
      <c r="O1152">
        <v>53.223036031408597</v>
      </c>
      <c r="P1152">
        <v>-3.7644517623286897E-2</v>
      </c>
      <c r="Q1152">
        <v>0.47365503752625698</v>
      </c>
      <c r="R1152">
        <v>0.95174242248561303</v>
      </c>
      <c r="S1152" t="s">
        <v>7822</v>
      </c>
      <c r="T1152" t="s">
        <v>13338</v>
      </c>
      <c r="U1152" t="s">
        <v>13338</v>
      </c>
      <c r="V1152" t="s">
        <v>13338</v>
      </c>
      <c r="W1152" t="s">
        <v>14463</v>
      </c>
      <c r="X1152">
        <v>6</v>
      </c>
      <c r="Y1152" t="s">
        <v>21064</v>
      </c>
      <c r="Z1152" t="s">
        <v>27567</v>
      </c>
      <c r="AA1152">
        <v>0.73211152496216692</v>
      </c>
      <c r="AB1152" t="str">
        <f>HYPERLINK("Melting_Curves/meltCurve_K7EK00_FAM210A.pdf", "Melting_Curves/meltCurve_K7EK00_FAM210A.pdf")</f>
        <v>Melting_Curves/meltCurve_K7EK00_FAM210A.pdf</v>
      </c>
    </row>
    <row r="1153" spans="1:28" x14ac:dyDescent="0.25">
      <c r="A1153" t="s">
        <v>1157</v>
      </c>
      <c r="B1153">
        <v>0.99193492352474899</v>
      </c>
      <c r="C1153">
        <v>0.81383516778080101</v>
      </c>
      <c r="D1153">
        <v>0.83782339743484002</v>
      </c>
      <c r="E1153">
        <v>0.55228955126634205</v>
      </c>
      <c r="F1153">
        <v>0.40028924113013598</v>
      </c>
      <c r="G1153">
        <v>0.15379534310406501</v>
      </c>
      <c r="H1153">
        <v>0.112029663239962</v>
      </c>
      <c r="I1153">
        <v>0.10505875313763</v>
      </c>
      <c r="J1153">
        <v>0.24979816056661799</v>
      </c>
      <c r="K1153">
        <v>0.162401508708856</v>
      </c>
      <c r="L1153">
        <v>770.44240782693396</v>
      </c>
      <c r="M1153">
        <v>15.5893971157113</v>
      </c>
      <c r="N1153">
        <v>50.384102962905501</v>
      </c>
      <c r="O1153">
        <v>48.629143437071001</v>
      </c>
      <c r="P1153">
        <v>-6.98233128757213E-2</v>
      </c>
      <c r="Q1153">
        <v>0.128855920941572</v>
      </c>
      <c r="R1153">
        <v>0.95950300280885503</v>
      </c>
      <c r="S1153" t="s">
        <v>7823</v>
      </c>
      <c r="T1153" t="s">
        <v>13338</v>
      </c>
      <c r="U1153" t="s">
        <v>13338</v>
      </c>
      <c r="V1153" t="s">
        <v>13338</v>
      </c>
      <c r="W1153" t="s">
        <v>14464</v>
      </c>
      <c r="X1153">
        <v>5</v>
      </c>
      <c r="Y1153" t="s">
        <v>21065</v>
      </c>
      <c r="Z1153" t="s">
        <v>27568</v>
      </c>
      <c r="AA1153">
        <v>0.4221421637119519</v>
      </c>
      <c r="AB1153" t="str">
        <f>HYPERLINK("Melting_Curves/meltCurve_K7EK07_H3F3B.pdf", "Melting_Curves/meltCurve_K7EK07_H3F3B.pdf")</f>
        <v>Melting_Curves/meltCurve_K7EK07_H3F3B.pdf</v>
      </c>
    </row>
    <row r="1154" spans="1:28" x14ac:dyDescent="0.25">
      <c r="A1154" t="s">
        <v>1158</v>
      </c>
      <c r="B1154">
        <v>0.99193492352474899</v>
      </c>
      <c r="C1154">
        <v>0.81750300723630598</v>
      </c>
      <c r="D1154">
        <v>0.90483753580001303</v>
      </c>
      <c r="E1154">
        <v>0.69003359202227998</v>
      </c>
      <c r="F1154">
        <v>0.61839331511585005</v>
      </c>
      <c r="G1154">
        <v>0.40537154957069599</v>
      </c>
      <c r="H1154">
        <v>0.113317279669846</v>
      </c>
      <c r="I1154">
        <v>8.8656098890318794E-2</v>
      </c>
      <c r="J1154">
        <v>9.6165268793550807E-2</v>
      </c>
      <c r="K1154">
        <v>9.7776995152768595E-2</v>
      </c>
      <c r="L1154">
        <v>629.85563753396195</v>
      </c>
      <c r="M1154">
        <v>11.684955400807601</v>
      </c>
      <c r="N1154">
        <v>53.903126864240697</v>
      </c>
      <c r="O1154">
        <v>52.397002637253699</v>
      </c>
      <c r="P1154">
        <v>-5.5766920475203097E-2</v>
      </c>
      <c r="Q1154">
        <v>0</v>
      </c>
      <c r="R1154">
        <v>0.96481735210367703</v>
      </c>
      <c r="S1154" t="s">
        <v>7824</v>
      </c>
      <c r="T1154" t="s">
        <v>13338</v>
      </c>
      <c r="U1154" t="s">
        <v>13338</v>
      </c>
      <c r="V1154" t="s">
        <v>13338</v>
      </c>
      <c r="W1154" t="s">
        <v>14465</v>
      </c>
      <c r="X1154">
        <v>40</v>
      </c>
      <c r="Y1154" t="s">
        <v>21066</v>
      </c>
      <c r="Z1154" t="s">
        <v>27569</v>
      </c>
      <c r="AA1154">
        <v>0.49045222756465218</v>
      </c>
      <c r="AB1154" t="str">
        <f>HYPERLINK("Melting_Curves/meltCurve_K7EKE6_LONP1.pdf", "Melting_Curves/meltCurve_K7EKE6_LONP1.pdf")</f>
        <v>Melting_Curves/meltCurve_K7EKE6_LONP1.pdf</v>
      </c>
    </row>
    <row r="1155" spans="1:28" x14ac:dyDescent="0.25">
      <c r="A1155" t="s">
        <v>1159</v>
      </c>
      <c r="B1155">
        <v>0.99193492352474899</v>
      </c>
      <c r="C1155">
        <v>0.78195556034751101</v>
      </c>
      <c r="D1155">
        <v>0.82547048595168504</v>
      </c>
      <c r="E1155">
        <v>0.73813090778628498</v>
      </c>
      <c r="F1155">
        <v>0.58069396148935304</v>
      </c>
      <c r="G1155">
        <v>0.30538611902948498</v>
      </c>
      <c r="H1155">
        <v>0.27621633066976298</v>
      </c>
      <c r="I1155">
        <v>0.27630846189790598</v>
      </c>
      <c r="J1155">
        <v>0.25001450081669302</v>
      </c>
      <c r="K1155">
        <v>0.389778437395702</v>
      </c>
      <c r="L1155">
        <v>596.09492193224105</v>
      </c>
      <c r="M1155">
        <v>11.7800380439708</v>
      </c>
      <c r="N1155">
        <v>53.588166432423399</v>
      </c>
      <c r="O1155">
        <v>49.209920194618803</v>
      </c>
      <c r="P1155">
        <v>-4.5456025874683302E-2</v>
      </c>
      <c r="Q1155">
        <v>0.240644562131377</v>
      </c>
      <c r="R1155">
        <v>0.91504407070376603</v>
      </c>
      <c r="S1155" t="s">
        <v>7825</v>
      </c>
      <c r="T1155" t="s">
        <v>13338</v>
      </c>
      <c r="U1155" t="s">
        <v>13338</v>
      </c>
      <c r="V1155" t="s">
        <v>13338</v>
      </c>
      <c r="W1155" t="s">
        <v>14466</v>
      </c>
      <c r="X1155">
        <v>1</v>
      </c>
      <c r="Y1155" t="s">
        <v>21067</v>
      </c>
      <c r="Z1155" t="s">
        <v>27570</v>
      </c>
      <c r="AA1155">
        <v>0.53507217612127178</v>
      </c>
      <c r="AB1155" t="str">
        <f>HYPERLINK("Melting_Curves/meltCurve_K7EKG9_ATXN7L3.pdf", "Melting_Curves/meltCurve_K7EKG9_ATXN7L3.pdf")</f>
        <v>Melting_Curves/meltCurve_K7EKG9_ATXN7L3.pdf</v>
      </c>
    </row>
    <row r="1156" spans="1:28" x14ac:dyDescent="0.25">
      <c r="A1156" t="s">
        <v>1160</v>
      </c>
      <c r="B1156">
        <v>0.99193492352474899</v>
      </c>
      <c r="C1156">
        <v>0</v>
      </c>
      <c r="D1156">
        <v>0.56963283191698599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10189.716034686</v>
      </c>
      <c r="M1156">
        <v>250</v>
      </c>
      <c r="N1156">
        <v>40.780941958748699</v>
      </c>
      <c r="O1156">
        <v>40.756255997404701</v>
      </c>
      <c r="P1156">
        <v>-1.4364478985393601</v>
      </c>
      <c r="Q1156">
        <v>6.3292192197481001E-2</v>
      </c>
      <c r="R1156">
        <v>0.729064972149289</v>
      </c>
      <c r="S1156" t="s">
        <v>7826</v>
      </c>
      <c r="T1156" t="s">
        <v>13338</v>
      </c>
      <c r="U1156" t="s">
        <v>13338</v>
      </c>
      <c r="V1156" t="s">
        <v>13338</v>
      </c>
      <c r="W1156" t="s">
        <v>14467</v>
      </c>
      <c r="X1156">
        <v>1</v>
      </c>
      <c r="Y1156" t="s">
        <v>21068</v>
      </c>
      <c r="Z1156" t="s">
        <v>27571</v>
      </c>
      <c r="AA1156">
        <v>8.7095865042730675E-2</v>
      </c>
      <c r="AB1156" t="str">
        <f>HYPERLINK("Melting_Curves/meltCurve_K7EKI8_PPL.pdf", "Melting_Curves/meltCurve_K7EKI8_PPL.pdf")</f>
        <v>Melting_Curves/meltCurve_K7EKI8_PPL.pdf</v>
      </c>
    </row>
    <row r="1157" spans="1:28" x14ac:dyDescent="0.25">
      <c r="A1157" t="s">
        <v>1161</v>
      </c>
      <c r="B1157">
        <v>0.99193492352474899</v>
      </c>
      <c r="C1157">
        <v>0.59479225089300702</v>
      </c>
      <c r="D1157">
        <v>0.78880490046848595</v>
      </c>
      <c r="E1157">
        <v>0.378888317204429</v>
      </c>
      <c r="F1157">
        <v>0.30196045705324998</v>
      </c>
      <c r="G1157">
        <v>0.19883455545192</v>
      </c>
      <c r="H1157">
        <v>0.147963823255683</v>
      </c>
      <c r="I1157">
        <v>0.130673010272601</v>
      </c>
      <c r="J1157">
        <v>0.137997284715216</v>
      </c>
      <c r="K1157">
        <v>0.143700613074669</v>
      </c>
      <c r="L1157">
        <v>543.23645179268897</v>
      </c>
      <c r="M1157">
        <v>11.475793762937601</v>
      </c>
      <c r="N1157">
        <v>48.252200196262102</v>
      </c>
      <c r="O1157">
        <v>45.968580236639397</v>
      </c>
      <c r="P1157">
        <v>-5.6326861958152098E-2</v>
      </c>
      <c r="Q1157">
        <v>9.7744731757232195E-2</v>
      </c>
      <c r="R1157">
        <v>0.90960710581562298</v>
      </c>
      <c r="S1157" t="s">
        <v>7827</v>
      </c>
      <c r="T1157" t="s">
        <v>13338</v>
      </c>
      <c r="U1157" t="s">
        <v>13338</v>
      </c>
      <c r="V1157" t="s">
        <v>13338</v>
      </c>
      <c r="W1157" t="s">
        <v>14468</v>
      </c>
      <c r="X1157">
        <v>4</v>
      </c>
      <c r="Y1157" t="s">
        <v>21069</v>
      </c>
      <c r="Z1157" t="s">
        <v>27572</v>
      </c>
      <c r="AA1157">
        <v>0.35844622383844782</v>
      </c>
      <c r="AB1157" t="str">
        <f>HYPERLINK("Melting_Curves/meltCurve_K7EKW3_TMUB2.pdf", "Melting_Curves/meltCurve_K7EKW3_TMUB2.pdf")</f>
        <v>Melting_Curves/meltCurve_K7EKW3_TMUB2.pdf</v>
      </c>
    </row>
    <row r="1158" spans="1:28" x14ac:dyDescent="0.25">
      <c r="A1158" t="s">
        <v>1162</v>
      </c>
      <c r="B1158">
        <v>0.99193492352474899</v>
      </c>
      <c r="C1158">
        <v>1.0478827570614899</v>
      </c>
      <c r="D1158">
        <v>0.95185339582989203</v>
      </c>
      <c r="E1158">
        <v>0.91586131211356503</v>
      </c>
      <c r="F1158">
        <v>0.440647036590887</v>
      </c>
      <c r="G1158">
        <v>0.12508507821337</v>
      </c>
      <c r="H1158">
        <v>0.115189486457264</v>
      </c>
      <c r="I1158">
        <v>0.131775550952968</v>
      </c>
      <c r="J1158">
        <v>0.107511276110011</v>
      </c>
      <c r="K1158">
        <v>0.10136484984071401</v>
      </c>
      <c r="L1158">
        <v>2119.7775877535701</v>
      </c>
      <c r="M1158">
        <v>40.398027297653101</v>
      </c>
      <c r="N1158">
        <v>52.791554851700702</v>
      </c>
      <c r="O1158">
        <v>52.344218476309798</v>
      </c>
      <c r="P1158">
        <v>-0.17203419728577801</v>
      </c>
      <c r="Q1158">
        <v>0.108374508117107</v>
      </c>
      <c r="R1158">
        <v>0.99664359525074797</v>
      </c>
      <c r="S1158" t="s">
        <v>7828</v>
      </c>
      <c r="T1158" t="s">
        <v>13338</v>
      </c>
      <c r="U1158" t="s">
        <v>13338</v>
      </c>
      <c r="V1158" t="s">
        <v>13338</v>
      </c>
      <c r="W1158" t="s">
        <v>14469</v>
      </c>
      <c r="X1158">
        <v>16</v>
      </c>
      <c r="Y1158" t="s">
        <v>21070</v>
      </c>
      <c r="Z1158" t="s">
        <v>27573</v>
      </c>
      <c r="AA1158">
        <v>0.48222999027231772</v>
      </c>
      <c r="AB1158" t="str">
        <f>HYPERLINK("Melting_Curves/meltCurve_K7EL68_CDC37.pdf", "Melting_Curves/meltCurve_K7EL68_CDC37.pdf")</f>
        <v>Melting_Curves/meltCurve_K7EL68_CDC37.pdf</v>
      </c>
    </row>
    <row r="1159" spans="1:28" x14ac:dyDescent="0.25">
      <c r="A1159" t="s">
        <v>1163</v>
      </c>
      <c r="B1159">
        <v>0.99193492352474899</v>
      </c>
      <c r="C1159">
        <v>0.75925983272429298</v>
      </c>
      <c r="D1159">
        <v>0.68601914418404897</v>
      </c>
      <c r="E1159">
        <v>0.30014639818447397</v>
      </c>
      <c r="F1159">
        <v>0.17992822623266599</v>
      </c>
      <c r="G1159">
        <v>0.12538913722472</v>
      </c>
      <c r="H1159">
        <v>9.1744114830900794E-2</v>
      </c>
      <c r="I1159">
        <v>0.13321547218164001</v>
      </c>
      <c r="J1159">
        <v>0.131742947185958</v>
      </c>
      <c r="K1159">
        <v>0.233666570141385</v>
      </c>
      <c r="L1159">
        <v>899.29714500580405</v>
      </c>
      <c r="M1159">
        <v>19.360337943565099</v>
      </c>
      <c r="N1159">
        <v>47.193358656304703</v>
      </c>
      <c r="O1159">
        <v>45.963401885303298</v>
      </c>
      <c r="P1159">
        <v>-9.1475261648734194E-2</v>
      </c>
      <c r="Q1159">
        <v>0.13134565695234199</v>
      </c>
      <c r="R1159">
        <v>0.96745121224322295</v>
      </c>
      <c r="S1159" t="s">
        <v>7829</v>
      </c>
      <c r="T1159" t="s">
        <v>13338</v>
      </c>
      <c r="U1159" t="s">
        <v>13338</v>
      </c>
      <c r="V1159" t="s">
        <v>13338</v>
      </c>
      <c r="W1159" t="s">
        <v>14470</v>
      </c>
      <c r="X1159">
        <v>11</v>
      </c>
      <c r="Y1159" t="s">
        <v>21071</v>
      </c>
      <c r="Z1159" t="s">
        <v>27574</v>
      </c>
      <c r="AA1159">
        <v>0.33216551474921341</v>
      </c>
      <c r="AB1159" t="str">
        <f>HYPERLINK("Melting_Curves/meltCurve_K7EL81_PPP1R12C.pdf", "Melting_Curves/meltCurve_K7EL81_PPP1R12C.pdf")</f>
        <v>Melting_Curves/meltCurve_K7EL81_PPP1R12C.pdf</v>
      </c>
    </row>
    <row r="1160" spans="1:28" x14ac:dyDescent="0.25">
      <c r="A1160" t="s">
        <v>1164</v>
      </c>
      <c r="B1160">
        <v>0.99193492352474899</v>
      </c>
      <c r="C1160">
        <v>0.80914665313818201</v>
      </c>
      <c r="D1160">
        <v>0.88794981396147898</v>
      </c>
      <c r="E1160">
        <v>0.46138880677690902</v>
      </c>
      <c r="F1160">
        <v>0.350373855020988</v>
      </c>
      <c r="G1160">
        <v>0.14868476595779501</v>
      </c>
      <c r="H1160">
        <v>8.0181620886443095E-2</v>
      </c>
      <c r="I1160">
        <v>7.9480747664526896E-2</v>
      </c>
      <c r="J1160">
        <v>0.11151213018834399</v>
      </c>
      <c r="K1160">
        <v>0.12083795299294001</v>
      </c>
      <c r="L1160">
        <v>811.05839518989706</v>
      </c>
      <c r="M1160">
        <v>16.423591500866699</v>
      </c>
      <c r="N1160">
        <v>49.902047173297497</v>
      </c>
      <c r="O1160">
        <v>48.669010480405198</v>
      </c>
      <c r="P1160">
        <v>-7.7753959825442504E-2</v>
      </c>
      <c r="Q1160">
        <v>7.8413413443867194E-2</v>
      </c>
      <c r="R1160">
        <v>0.97018042141336402</v>
      </c>
      <c r="S1160" t="s">
        <v>7830</v>
      </c>
      <c r="T1160" t="s">
        <v>13338</v>
      </c>
      <c r="U1160" t="s">
        <v>13338</v>
      </c>
      <c r="V1160" t="s">
        <v>13338</v>
      </c>
      <c r="W1160" t="s">
        <v>14471</v>
      </c>
      <c r="X1160">
        <v>3</v>
      </c>
      <c r="Y1160" t="s">
        <v>21072</v>
      </c>
      <c r="Z1160" t="s">
        <v>27575</v>
      </c>
      <c r="AA1160">
        <v>0.38560650262051938</v>
      </c>
      <c r="AB1160" t="str">
        <f>HYPERLINK("Melting_Curves/meltCurve_K7ELE3_AES.pdf", "Melting_Curves/meltCurve_K7ELE3_AES.pdf")</f>
        <v>Melting_Curves/meltCurve_K7ELE3_AES.pdf</v>
      </c>
    </row>
    <row r="1161" spans="1:28" x14ac:dyDescent="0.25">
      <c r="A1161" t="s">
        <v>1165</v>
      </c>
      <c r="B1161">
        <v>0.99193492352474899</v>
      </c>
      <c r="C1161">
        <v>0.93806052041440302</v>
      </c>
      <c r="D1161">
        <v>0.95444756032760503</v>
      </c>
      <c r="E1161">
        <v>0.73782988959712703</v>
      </c>
      <c r="F1161">
        <v>0.54360332734424899</v>
      </c>
      <c r="G1161">
        <v>0.263482868985559</v>
      </c>
      <c r="H1161">
        <v>0.16828958552880099</v>
      </c>
      <c r="I1161">
        <v>0.220322191396356</v>
      </c>
      <c r="J1161">
        <v>0.28693433053482698</v>
      </c>
      <c r="K1161">
        <v>0.33750622002174202</v>
      </c>
      <c r="L1161">
        <v>1184.8157853739999</v>
      </c>
      <c r="M1161">
        <v>23.0676014103603</v>
      </c>
      <c r="N1161">
        <v>52.882375418598599</v>
      </c>
      <c r="O1161">
        <v>50.9814081199101</v>
      </c>
      <c r="P1161">
        <v>-8.5709315388542207E-2</v>
      </c>
      <c r="Q1161">
        <v>0.242313485798236</v>
      </c>
      <c r="R1161">
        <v>0.968423329290653</v>
      </c>
      <c r="S1161" t="s">
        <v>7831</v>
      </c>
      <c r="T1161" t="s">
        <v>13338</v>
      </c>
      <c r="U1161" t="s">
        <v>13338</v>
      </c>
      <c r="V1161" t="s">
        <v>13338</v>
      </c>
      <c r="W1161" t="s">
        <v>14472</v>
      </c>
      <c r="X1161">
        <v>21</v>
      </c>
      <c r="Y1161" t="s">
        <v>21073</v>
      </c>
      <c r="Z1161" t="s">
        <v>27576</v>
      </c>
      <c r="AA1161">
        <v>0.53732457168578851</v>
      </c>
      <c r="AB1161" t="str">
        <f>HYPERLINK("Melting_Curves/meltCurve_K7ELL7_PRKCSH.pdf", "Melting_Curves/meltCurve_K7ELL7_PRKCSH.pdf")</f>
        <v>Melting_Curves/meltCurve_K7ELL7_PRKCSH.pdf</v>
      </c>
    </row>
    <row r="1162" spans="1:28" x14ac:dyDescent="0.25">
      <c r="A1162" t="s">
        <v>1166</v>
      </c>
      <c r="B1162">
        <v>0.99193492352474899</v>
      </c>
      <c r="C1162">
        <v>1.12935977729375</v>
      </c>
      <c r="D1162">
        <v>1.01341802471633</v>
      </c>
      <c r="E1162">
        <v>1.0615190180782399</v>
      </c>
      <c r="F1162">
        <v>1.0887474534172701</v>
      </c>
      <c r="G1162">
        <v>1.15131467772558</v>
      </c>
      <c r="H1162">
        <v>0.76225664396399095</v>
      </c>
      <c r="I1162">
        <v>0.83193358489486002</v>
      </c>
      <c r="J1162">
        <v>0.49705144245412303</v>
      </c>
      <c r="K1162">
        <v>0.19333426779881999</v>
      </c>
      <c r="L1162">
        <v>1799.6984983622599</v>
      </c>
      <c r="M1162">
        <v>26.910254800784902</v>
      </c>
      <c r="N1162">
        <v>66.877794355621404</v>
      </c>
      <c r="O1162">
        <v>66.511751817357705</v>
      </c>
      <c r="P1162">
        <v>-0.10114951166587299</v>
      </c>
      <c r="Q1162">
        <v>0</v>
      </c>
      <c r="R1162">
        <v>0.89697399291519198</v>
      </c>
      <c r="S1162" t="s">
        <v>7832</v>
      </c>
      <c r="T1162" t="s">
        <v>13338</v>
      </c>
      <c r="U1162" t="s">
        <v>13338</v>
      </c>
      <c r="V1162" t="s">
        <v>13338</v>
      </c>
      <c r="W1162" t="s">
        <v>14473</v>
      </c>
      <c r="X1162">
        <v>1</v>
      </c>
      <c r="Y1162" t="s">
        <v>21074</v>
      </c>
      <c r="Z1162" t="s">
        <v>27577</v>
      </c>
      <c r="AA1162">
        <v>0.88009626360443438</v>
      </c>
      <c r="AB1162" t="str">
        <f>HYPERLINK("Melting_Curves/meltCurve_K7EM02_KATNAL2.pdf", "Melting_Curves/meltCurve_K7EM02_KATNAL2.pdf")</f>
        <v>Melting_Curves/meltCurve_K7EM02_KATNAL2.pdf</v>
      </c>
    </row>
    <row r="1163" spans="1:28" x14ac:dyDescent="0.25">
      <c r="A1163" t="s">
        <v>1167</v>
      </c>
      <c r="B1163">
        <v>0.99193492352474899</v>
      </c>
      <c r="C1163">
        <v>0.74054946665825405</v>
      </c>
      <c r="D1163">
        <v>0.93991373963844504</v>
      </c>
      <c r="E1163">
        <v>0.56195233307901005</v>
      </c>
      <c r="F1163">
        <v>0.58135738678634796</v>
      </c>
      <c r="G1163">
        <v>0.37144936651285798</v>
      </c>
      <c r="H1163">
        <v>0.361753999841115</v>
      </c>
      <c r="I1163">
        <v>0.30594942989761797</v>
      </c>
      <c r="J1163">
        <v>0.43499797070568602</v>
      </c>
      <c r="K1163">
        <v>0.13331451336917899</v>
      </c>
      <c r="L1163">
        <v>452.89238826965601</v>
      </c>
      <c r="M1163">
        <v>8.8295490547114195</v>
      </c>
      <c r="N1163">
        <v>54.217790129565699</v>
      </c>
      <c r="O1163">
        <v>48.866073690198299</v>
      </c>
      <c r="P1163">
        <v>-3.66417912861038E-2</v>
      </c>
      <c r="Q1163">
        <v>0.18947447631941899</v>
      </c>
      <c r="R1163">
        <v>0.85552046460492004</v>
      </c>
      <c r="S1163" t="s">
        <v>7833</v>
      </c>
      <c r="T1163" t="s">
        <v>13338</v>
      </c>
      <c r="U1163" t="s">
        <v>13338</v>
      </c>
      <c r="V1163" t="s">
        <v>13338</v>
      </c>
      <c r="W1163" t="s">
        <v>14474</v>
      </c>
      <c r="X1163">
        <v>5</v>
      </c>
      <c r="Y1163" t="s">
        <v>21075</v>
      </c>
      <c r="Z1163" t="s">
        <v>27578</v>
      </c>
      <c r="AA1163">
        <v>0.53238707425475684</v>
      </c>
      <c r="AB1163" t="str">
        <f>HYPERLINK("Melting_Curves/meltCurve_K7EM09_TMEM205.pdf", "Melting_Curves/meltCurve_K7EM09_TMEM205.pdf")</f>
        <v>Melting_Curves/meltCurve_K7EM09_TMEM205.pdf</v>
      </c>
    </row>
    <row r="1164" spans="1:28" x14ac:dyDescent="0.25">
      <c r="A1164" t="s">
        <v>1168</v>
      </c>
      <c r="B1164">
        <v>0.99193492352474899</v>
      </c>
      <c r="C1164">
        <v>1.8117997701826201</v>
      </c>
      <c r="D1164">
        <v>0.81549825051309499</v>
      </c>
      <c r="E1164">
        <v>0.75483615343249799</v>
      </c>
      <c r="F1164">
        <v>0.31907355059758402</v>
      </c>
      <c r="G1164">
        <v>0.22666444002531699</v>
      </c>
      <c r="H1164">
        <v>0.14548563641126599</v>
      </c>
      <c r="I1164">
        <v>0.31385959957788001</v>
      </c>
      <c r="J1164">
        <v>0.24011001233708601</v>
      </c>
      <c r="K1164">
        <v>0.22297023243283901</v>
      </c>
      <c r="L1164">
        <v>1828.1779786203499</v>
      </c>
      <c r="M1164">
        <v>36.214722336193397</v>
      </c>
      <c r="N1164">
        <v>51.331903638952703</v>
      </c>
      <c r="O1164">
        <v>50.32844610419</v>
      </c>
      <c r="P1164">
        <v>-0.13931603616385899</v>
      </c>
      <c r="Q1164">
        <v>0.22555952827921699</v>
      </c>
      <c r="R1164">
        <v>0.71523078374528504</v>
      </c>
      <c r="S1164" t="s">
        <v>7834</v>
      </c>
      <c r="T1164" t="s">
        <v>13338</v>
      </c>
      <c r="U1164" t="s">
        <v>13338</v>
      </c>
      <c r="V1164" t="s">
        <v>13338</v>
      </c>
      <c r="W1164" t="s">
        <v>14475</v>
      </c>
      <c r="X1164">
        <v>3</v>
      </c>
      <c r="Y1164" t="s">
        <v>21076</v>
      </c>
      <c r="Z1164" t="s">
        <v>27579</v>
      </c>
      <c r="AA1164">
        <v>0.4994421003655623</v>
      </c>
      <c r="AB1164" t="str">
        <f>HYPERLINK("Melting_Curves/meltCurve_K7EMK7_TLE2.pdf", "Melting_Curves/meltCurve_K7EMK7_TLE2.pdf")</f>
        <v>Melting_Curves/meltCurve_K7EMK7_TLE2.pdf</v>
      </c>
    </row>
    <row r="1165" spans="1:28" x14ac:dyDescent="0.25">
      <c r="A1165" t="s">
        <v>1169</v>
      </c>
      <c r="B1165">
        <v>0.99193492352474899</v>
      </c>
      <c r="C1165">
        <v>0.84607798337129603</v>
      </c>
      <c r="D1165">
        <v>0.84742454518819899</v>
      </c>
      <c r="E1165">
        <v>0.48678897669631499</v>
      </c>
      <c r="F1165">
        <v>0.26654139368046897</v>
      </c>
      <c r="G1165">
        <v>0.16821362798329501</v>
      </c>
      <c r="H1165">
        <v>6.2832127881932404E-2</v>
      </c>
      <c r="I1165">
        <v>9.6697749358028398E-2</v>
      </c>
      <c r="J1165">
        <v>0.14811382031120701</v>
      </c>
      <c r="K1165">
        <v>0.167448230756338</v>
      </c>
      <c r="L1165">
        <v>948.22724260785003</v>
      </c>
      <c r="M1165">
        <v>19.391280239614002</v>
      </c>
      <c r="N1165">
        <v>49.5410372475096</v>
      </c>
      <c r="O1165">
        <v>48.388535795779902</v>
      </c>
      <c r="P1165">
        <v>-8.9067503541579399E-2</v>
      </c>
      <c r="Q1165">
        <v>0.11100513468897499</v>
      </c>
      <c r="R1165">
        <v>0.98144334718056903</v>
      </c>
      <c r="S1165" t="s">
        <v>7835</v>
      </c>
      <c r="T1165" t="s">
        <v>13338</v>
      </c>
      <c r="U1165" t="s">
        <v>13338</v>
      </c>
      <c r="V1165" t="s">
        <v>13338</v>
      </c>
      <c r="W1165" t="s">
        <v>14476</v>
      </c>
      <c r="X1165">
        <v>1</v>
      </c>
      <c r="Y1165" t="s">
        <v>21077</v>
      </c>
      <c r="Z1165" t="s">
        <v>27580</v>
      </c>
      <c r="AA1165">
        <v>0.38800557220461962</v>
      </c>
      <c r="AB1165" t="str">
        <f>HYPERLINK("Melting_Curves/meltCurve_K7EMV5_ZNF444.pdf", "Melting_Curves/meltCurve_K7EMV5_ZNF444.pdf")</f>
        <v>Melting_Curves/meltCurve_K7EMV5_ZNF444.pdf</v>
      </c>
    </row>
    <row r="1166" spans="1:28" x14ac:dyDescent="0.25">
      <c r="A1166" t="s">
        <v>1170</v>
      </c>
      <c r="B1166">
        <v>0.99193492352474899</v>
      </c>
      <c r="C1166">
        <v>1.30786779158263</v>
      </c>
      <c r="D1166">
        <v>1.1364784556401</v>
      </c>
      <c r="E1166">
        <v>0.64742360006176503</v>
      </c>
      <c r="F1166">
        <v>0.80244965086438402</v>
      </c>
      <c r="G1166">
        <v>0.51603357191820198</v>
      </c>
      <c r="H1166">
        <v>0.33332395259702102</v>
      </c>
      <c r="I1166">
        <v>0.502506958426848</v>
      </c>
      <c r="J1166">
        <v>1.1081578915852499</v>
      </c>
      <c r="K1166">
        <v>0.99661741865632003</v>
      </c>
      <c r="L1166">
        <v>11957.091151458601</v>
      </c>
      <c r="M1166">
        <v>250</v>
      </c>
      <c r="O1166">
        <v>47.825304205097702</v>
      </c>
      <c r="P1166">
        <v>-0.39084078111496601</v>
      </c>
      <c r="Q1166">
        <v>0.70092673416860896</v>
      </c>
      <c r="R1166">
        <v>0.37386391787022799</v>
      </c>
      <c r="S1166" t="s">
        <v>7836</v>
      </c>
      <c r="T1166" t="s">
        <v>13338</v>
      </c>
      <c r="U1166" t="s">
        <v>13338</v>
      </c>
      <c r="V1166" t="s">
        <v>13338</v>
      </c>
      <c r="W1166" t="s">
        <v>14477</v>
      </c>
      <c r="X1166">
        <v>2</v>
      </c>
      <c r="Y1166" t="s">
        <v>21078</v>
      </c>
      <c r="Z1166" t="s">
        <v>27581</v>
      </c>
      <c r="AA1166">
        <v>0.77899365675054177</v>
      </c>
      <c r="AB1166" t="str">
        <f>HYPERLINK("Melting_Curves/meltCurve_K7EMZ7_C19orf57.pdf", "Melting_Curves/meltCurve_K7EMZ7_C19orf57.pdf")</f>
        <v>Melting_Curves/meltCurve_K7EMZ7_C19orf57.pdf</v>
      </c>
    </row>
    <row r="1167" spans="1:28" x14ac:dyDescent="0.25">
      <c r="A1167" t="s">
        <v>1171</v>
      </c>
      <c r="B1167">
        <v>0.99193492352474899</v>
      </c>
      <c r="C1167">
        <v>0.91933733317230304</v>
      </c>
      <c r="D1167">
        <v>0.93229204679255595</v>
      </c>
      <c r="E1167">
        <v>0.67748452310900797</v>
      </c>
      <c r="F1167">
        <v>0.50491319578764904</v>
      </c>
      <c r="G1167">
        <v>0.20746238851059401</v>
      </c>
      <c r="H1167">
        <v>0.10640076344378201</v>
      </c>
      <c r="I1167">
        <v>0.10539945902631299</v>
      </c>
      <c r="J1167">
        <v>0.112306688753592</v>
      </c>
      <c r="K1167">
        <v>0.154453482955349</v>
      </c>
      <c r="L1167">
        <v>923.03875030174504</v>
      </c>
      <c r="M1167">
        <v>17.832268432356699</v>
      </c>
      <c r="N1167">
        <v>52.356353589746703</v>
      </c>
      <c r="O1167">
        <v>51.124483827630797</v>
      </c>
      <c r="P1167">
        <v>-7.9217564590401607E-2</v>
      </c>
      <c r="Q1167">
        <v>9.1590666032329598E-2</v>
      </c>
      <c r="R1167">
        <v>0.987367921642895</v>
      </c>
      <c r="S1167" t="s">
        <v>7837</v>
      </c>
      <c r="T1167" t="s">
        <v>13338</v>
      </c>
      <c r="U1167" t="s">
        <v>13338</v>
      </c>
      <c r="V1167" t="s">
        <v>13338</v>
      </c>
      <c r="W1167" t="s">
        <v>14478</v>
      </c>
      <c r="X1167">
        <v>1</v>
      </c>
      <c r="Y1167" t="s">
        <v>21079</v>
      </c>
      <c r="Z1167" t="s">
        <v>27582</v>
      </c>
      <c r="AA1167">
        <v>0.46316777354618371</v>
      </c>
      <c r="AB1167" t="str">
        <f>HYPERLINK("Melting_Curves/meltCurve_K7EN05_ELOF1.pdf", "Melting_Curves/meltCurve_K7EN05_ELOF1.pdf")</f>
        <v>Melting_Curves/meltCurve_K7EN05_ELOF1.pdf</v>
      </c>
    </row>
    <row r="1168" spans="1:28" x14ac:dyDescent="0.25">
      <c r="A1168" t="s">
        <v>1172</v>
      </c>
      <c r="B1168">
        <v>0.99193492352474899</v>
      </c>
      <c r="C1168">
        <v>1.11492219919224</v>
      </c>
      <c r="D1168">
        <v>1.0563323685364201</v>
      </c>
      <c r="E1168">
        <v>0.84982736225006095</v>
      </c>
      <c r="F1168">
        <v>0.66990434478968797</v>
      </c>
      <c r="G1168">
        <v>0.30439309169392498</v>
      </c>
      <c r="H1168">
        <v>0.100919596920221</v>
      </c>
      <c r="I1168">
        <v>0.147596200947644</v>
      </c>
      <c r="J1168">
        <v>0.15433707559073101</v>
      </c>
      <c r="K1168">
        <v>0.17197247361752899</v>
      </c>
      <c r="L1168">
        <v>1461.4338733951899</v>
      </c>
      <c r="M1168">
        <v>27.1361015693894</v>
      </c>
      <c r="N1168">
        <v>54.475319697051603</v>
      </c>
      <c r="O1168">
        <v>53.5657782164837</v>
      </c>
      <c r="P1168">
        <v>-0.109833297825828</v>
      </c>
      <c r="Q1168">
        <v>0.13277904952001099</v>
      </c>
      <c r="R1168">
        <v>0.98089695384344999</v>
      </c>
      <c r="S1168" t="s">
        <v>7838</v>
      </c>
      <c r="T1168" t="s">
        <v>13338</v>
      </c>
      <c r="U1168" t="s">
        <v>13338</v>
      </c>
      <c r="V1168" t="s">
        <v>13338</v>
      </c>
      <c r="W1168" t="s">
        <v>14479</v>
      </c>
      <c r="X1168">
        <v>3</v>
      </c>
      <c r="Y1168" t="s">
        <v>21080</v>
      </c>
      <c r="Z1168" t="s">
        <v>27583</v>
      </c>
      <c r="AA1168">
        <v>0.54019908864544375</v>
      </c>
      <c r="AB1168" t="str">
        <f>HYPERLINK("Melting_Curves/meltCurve_K7EN88_hCG_2039718.pdf", "Melting_Curves/meltCurve_K7EN88_hCG_2039718.pdf")</f>
        <v>Melting_Curves/meltCurve_K7EN88_hCG_2039718.pdf</v>
      </c>
    </row>
    <row r="1169" spans="1:28" x14ac:dyDescent="0.25">
      <c r="A1169" t="s">
        <v>1173</v>
      </c>
      <c r="B1169">
        <v>0.99193492352474899</v>
      </c>
      <c r="C1169">
        <v>0.28084101174453702</v>
      </c>
      <c r="D1169">
        <v>0.58533961127668599</v>
      </c>
      <c r="E1169">
        <v>1.74884287679988</v>
      </c>
      <c r="F1169">
        <v>1.42462623069495</v>
      </c>
      <c r="G1169">
        <v>1.5336550076429101</v>
      </c>
      <c r="H1169">
        <v>0.15809658621188799</v>
      </c>
      <c r="I1169">
        <v>0.61321174957941804</v>
      </c>
      <c r="J1169">
        <v>0.45928858693109598</v>
      </c>
      <c r="K1169">
        <v>0.761758443550416</v>
      </c>
      <c r="L1169">
        <v>2906.7051695151499</v>
      </c>
      <c r="M1169">
        <v>49.252393539113697</v>
      </c>
      <c r="O1169">
        <v>58.919477987625598</v>
      </c>
      <c r="P1169">
        <v>-0.101916008331795</v>
      </c>
      <c r="Q1169">
        <v>0.51232156259971795</v>
      </c>
      <c r="R1169">
        <v>0.24088232422998701</v>
      </c>
      <c r="S1169" t="s">
        <v>7839</v>
      </c>
      <c r="T1169" t="s">
        <v>13338</v>
      </c>
      <c r="U1169" t="s">
        <v>13338</v>
      </c>
      <c r="V1169" t="s">
        <v>13338</v>
      </c>
      <c r="W1169" t="s">
        <v>14480</v>
      </c>
      <c r="X1169">
        <v>3</v>
      </c>
      <c r="Y1169" t="s">
        <v>21081</v>
      </c>
      <c r="Z1169" t="s">
        <v>27584</v>
      </c>
      <c r="AA1169">
        <v>0.82274913555558904</v>
      </c>
      <c r="AB1169" t="str">
        <f>HYPERLINK("Melting_Curves/meltCurve_K7ENF0_NARS.pdf", "Melting_Curves/meltCurve_K7ENF0_NARS.pdf")</f>
        <v>Melting_Curves/meltCurve_K7ENF0_NARS.pdf</v>
      </c>
    </row>
    <row r="1170" spans="1:28" x14ac:dyDescent="0.25">
      <c r="A1170" t="s">
        <v>1174</v>
      </c>
      <c r="B1170">
        <v>0.99193492352474899</v>
      </c>
      <c r="C1170">
        <v>1.15853031580054</v>
      </c>
      <c r="D1170">
        <v>0.89720730692413697</v>
      </c>
      <c r="E1170">
        <v>0.723104553271951</v>
      </c>
      <c r="F1170">
        <v>0.157349502688097</v>
      </c>
      <c r="G1170">
        <v>7.57124492215724E-2</v>
      </c>
      <c r="H1170">
        <v>4.8981726917495499E-2</v>
      </c>
      <c r="I1170">
        <v>4.7682059267012501E-2</v>
      </c>
      <c r="J1170">
        <v>6.1628521220900297E-2</v>
      </c>
      <c r="K1170">
        <v>6.4050594292156801E-2</v>
      </c>
      <c r="L1170">
        <v>2024.77934142288</v>
      </c>
      <c r="M1170">
        <v>40.010537788005998</v>
      </c>
      <c r="N1170">
        <v>50.753519101873103</v>
      </c>
      <c r="O1170">
        <v>50.480227869423103</v>
      </c>
      <c r="P1170">
        <v>-0.18728340550649</v>
      </c>
      <c r="Q1170">
        <v>5.4840071845650602E-2</v>
      </c>
      <c r="R1170">
        <v>0.98245130183038698</v>
      </c>
      <c r="S1170" t="s">
        <v>7840</v>
      </c>
      <c r="T1170" t="s">
        <v>13338</v>
      </c>
      <c r="U1170" t="s">
        <v>13338</v>
      </c>
      <c r="V1170" t="s">
        <v>13338</v>
      </c>
      <c r="W1170" t="s">
        <v>14481</v>
      </c>
      <c r="X1170">
        <v>7</v>
      </c>
      <c r="Y1170" t="s">
        <v>21082</v>
      </c>
      <c r="Z1170" t="s">
        <v>27585</v>
      </c>
      <c r="AA1170">
        <v>0.39229512546001138</v>
      </c>
      <c r="AB1170" t="str">
        <f>HYPERLINK("Melting_Curves/meltCurve_K7ENL9_C18orf8.pdf", "Melting_Curves/meltCurve_K7ENL9_C18orf8.pdf")</f>
        <v>Melting_Curves/meltCurve_K7ENL9_C18orf8.pdf</v>
      </c>
    </row>
    <row r="1171" spans="1:28" x14ac:dyDescent="0.25">
      <c r="A1171" t="s">
        <v>1175</v>
      </c>
      <c r="B1171">
        <v>0.99193492352474899</v>
      </c>
      <c r="C1171">
        <v>0.83130803096140504</v>
      </c>
      <c r="D1171">
        <v>0.91785160615654005</v>
      </c>
      <c r="E1171">
        <v>0.59806681298570996</v>
      </c>
      <c r="F1171">
        <v>0.277001851900681</v>
      </c>
      <c r="G1171">
        <v>0.18653137816659099</v>
      </c>
      <c r="H1171">
        <v>0.149253998282663</v>
      </c>
      <c r="I1171">
        <v>0.109234579271122</v>
      </c>
      <c r="J1171">
        <v>0.15896819716531099</v>
      </c>
      <c r="K1171">
        <v>0.144904846020283</v>
      </c>
      <c r="L1171">
        <v>1102.70972261827</v>
      </c>
      <c r="M1171">
        <v>22.1415714830413</v>
      </c>
      <c r="N1171">
        <v>50.498157120856703</v>
      </c>
      <c r="O1171">
        <v>49.401780335138099</v>
      </c>
      <c r="P1171">
        <v>-9.7325962088454607E-2</v>
      </c>
      <c r="Q1171">
        <v>0.13141284377756701</v>
      </c>
      <c r="R1171">
        <v>0.97871275564278903</v>
      </c>
      <c r="S1171" t="s">
        <v>7841</v>
      </c>
      <c r="T1171" t="s">
        <v>13338</v>
      </c>
      <c r="U1171" t="s">
        <v>13338</v>
      </c>
      <c r="V1171" t="s">
        <v>13338</v>
      </c>
      <c r="W1171" t="s">
        <v>14482</v>
      </c>
      <c r="X1171">
        <v>5</v>
      </c>
      <c r="Y1171" t="s">
        <v>21083</v>
      </c>
      <c r="Z1171" t="s">
        <v>27586</v>
      </c>
      <c r="AA1171">
        <v>0.42511947353551299</v>
      </c>
      <c r="AB1171" t="str">
        <f>HYPERLINK("Melting_Curves/meltCurve_K7ENQ8_CYTH1.pdf", "Melting_Curves/meltCurve_K7ENQ8_CYTH1.pdf")</f>
        <v>Melting_Curves/meltCurve_K7ENQ8_CYTH1.pdf</v>
      </c>
    </row>
    <row r="1172" spans="1:28" x14ac:dyDescent="0.25">
      <c r="A1172" t="s">
        <v>1176</v>
      </c>
      <c r="B1172">
        <v>0.99193492352474899</v>
      </c>
      <c r="C1172">
        <v>1.17347048094763</v>
      </c>
      <c r="D1172">
        <v>0.98650639045434096</v>
      </c>
      <c r="E1172">
        <v>1.0785122178126101</v>
      </c>
      <c r="F1172">
        <v>0.80571664384954</v>
      </c>
      <c r="G1172">
        <v>0.724929675990165</v>
      </c>
      <c r="H1172">
        <v>0.317994330155358</v>
      </c>
      <c r="I1172">
        <v>0.20361610084851101</v>
      </c>
      <c r="J1172">
        <v>0.19807807943684999</v>
      </c>
      <c r="K1172">
        <v>0.19760705085573901</v>
      </c>
      <c r="L1172">
        <v>1437.8702849466199</v>
      </c>
      <c r="M1172">
        <v>24.920909574873601</v>
      </c>
      <c r="N1172">
        <v>58.632816539847802</v>
      </c>
      <c r="O1172">
        <v>57.329673164339297</v>
      </c>
      <c r="P1172">
        <v>-9.0848414965958801E-2</v>
      </c>
      <c r="Q1172">
        <v>0.164037085651667</v>
      </c>
      <c r="R1172">
        <v>0.96116441639769601</v>
      </c>
      <c r="S1172" t="s">
        <v>7842</v>
      </c>
      <c r="T1172" t="s">
        <v>13338</v>
      </c>
      <c r="U1172" t="s">
        <v>13338</v>
      </c>
      <c r="V1172" t="s">
        <v>13338</v>
      </c>
      <c r="W1172" t="s">
        <v>14483</v>
      </c>
      <c r="X1172">
        <v>10</v>
      </c>
      <c r="Y1172" t="s">
        <v>21084</v>
      </c>
      <c r="Z1172" t="s">
        <v>27587</v>
      </c>
      <c r="AA1172">
        <v>0.66457947608376178</v>
      </c>
      <c r="AB1172" t="str">
        <f>HYPERLINK("Melting_Curves/meltCurve_K7ENR6_PSMG2.pdf", "Melting_Curves/meltCurve_K7ENR6_PSMG2.pdf")</f>
        <v>Melting_Curves/meltCurve_K7ENR6_PSMG2.pdf</v>
      </c>
    </row>
    <row r="1173" spans="1:28" x14ac:dyDescent="0.25">
      <c r="A1173" t="s">
        <v>1177</v>
      </c>
      <c r="B1173">
        <v>0.99193492352474899</v>
      </c>
      <c r="C1173">
        <v>1.0381228606515001</v>
      </c>
      <c r="D1173">
        <v>0.92635891224917</v>
      </c>
      <c r="E1173">
        <v>0.91022334315724496</v>
      </c>
      <c r="F1173">
        <v>0.71830780184309695</v>
      </c>
      <c r="G1173">
        <v>0.428955509974628</v>
      </c>
      <c r="H1173">
        <v>0.27634744747779999</v>
      </c>
      <c r="I1173">
        <v>0.19687352250417101</v>
      </c>
      <c r="J1173">
        <v>0.181688292979444</v>
      </c>
      <c r="K1173">
        <v>0.13636524186801899</v>
      </c>
      <c r="L1173">
        <v>1022.10365597957</v>
      </c>
      <c r="M1173">
        <v>18.561010912344901</v>
      </c>
      <c r="N1173">
        <v>56.0319272639153</v>
      </c>
      <c r="O1173">
        <v>54.4399786148605</v>
      </c>
      <c r="P1173">
        <v>-7.3581897846875702E-2</v>
      </c>
      <c r="Q1173">
        <v>0.136766475137161</v>
      </c>
      <c r="R1173">
        <v>0.995260761243555</v>
      </c>
      <c r="S1173" t="s">
        <v>7843</v>
      </c>
      <c r="T1173" t="s">
        <v>13338</v>
      </c>
      <c r="U1173" t="s">
        <v>13338</v>
      </c>
      <c r="V1173" t="s">
        <v>13338</v>
      </c>
      <c r="W1173" t="s">
        <v>14484</v>
      </c>
      <c r="X1173">
        <v>3</v>
      </c>
      <c r="Y1173" t="s">
        <v>21085</v>
      </c>
      <c r="Z1173" t="s">
        <v>27588</v>
      </c>
      <c r="AA1173">
        <v>0.58309066564916989</v>
      </c>
      <c r="AB1173" t="str">
        <f>HYPERLINK("Melting_Curves/meltCurve_K7ENV7_ISOC2.pdf", "Melting_Curves/meltCurve_K7ENV7_ISOC2.pdf")</f>
        <v>Melting_Curves/meltCurve_K7ENV7_ISOC2.pdf</v>
      </c>
    </row>
    <row r="1174" spans="1:28" x14ac:dyDescent="0.25">
      <c r="A1174" t="s">
        <v>1178</v>
      </c>
      <c r="B1174">
        <v>0.99193492352474899</v>
      </c>
      <c r="C1174">
        <v>0.44510729179976899</v>
      </c>
      <c r="D1174">
        <v>0.58533648869532595</v>
      </c>
      <c r="E1174">
        <v>0.30606531979914903</v>
      </c>
      <c r="F1174">
        <v>0.291086181920301</v>
      </c>
      <c r="G1174">
        <v>0.14502838936548401</v>
      </c>
      <c r="H1174">
        <v>0.148887955122009</v>
      </c>
      <c r="I1174">
        <v>0.13393569518933901</v>
      </c>
      <c r="J1174">
        <v>0.22652085751237599</v>
      </c>
      <c r="K1174">
        <v>0.22551855164432899</v>
      </c>
      <c r="L1174">
        <v>631.56479795817302</v>
      </c>
      <c r="M1174">
        <v>14.3726266351019</v>
      </c>
      <c r="N1174">
        <v>45.320729965200002</v>
      </c>
      <c r="O1174">
        <v>43.117793514658203</v>
      </c>
      <c r="P1174">
        <v>-6.8585793154225999E-2</v>
      </c>
      <c r="Q1174">
        <v>0.17707040332588</v>
      </c>
      <c r="R1174">
        <v>0.84425308035035496</v>
      </c>
      <c r="S1174" t="s">
        <v>7844</v>
      </c>
      <c r="T1174" t="s">
        <v>13338</v>
      </c>
      <c r="U1174" t="s">
        <v>13338</v>
      </c>
      <c r="V1174" t="s">
        <v>13338</v>
      </c>
      <c r="W1174" t="s">
        <v>14485</v>
      </c>
      <c r="X1174">
        <v>7</v>
      </c>
      <c r="Y1174" t="s">
        <v>21086</v>
      </c>
      <c r="Z1174" t="s">
        <v>27589</v>
      </c>
      <c r="AA1174">
        <v>0.31798471193223221</v>
      </c>
      <c r="AB1174" t="str">
        <f>HYPERLINK("Melting_Curves/meltCurve_K7EP90_RBM42.pdf", "Melting_Curves/meltCurve_K7EP90_RBM42.pdf")</f>
        <v>Melting_Curves/meltCurve_K7EP90_RBM42.pdf</v>
      </c>
    </row>
    <row r="1175" spans="1:28" x14ac:dyDescent="0.25">
      <c r="A1175" t="s">
        <v>1179</v>
      </c>
      <c r="B1175">
        <v>0.99193492352474899</v>
      </c>
      <c r="C1175">
        <v>0.63875677855442303</v>
      </c>
      <c r="D1175">
        <v>1.0040936516744601</v>
      </c>
      <c r="E1175">
        <v>0.37850537041807403</v>
      </c>
      <c r="F1175">
        <v>0.24487252348455099</v>
      </c>
      <c r="G1175">
        <v>0.10293264474826901</v>
      </c>
      <c r="H1175">
        <v>5.95436005247778E-2</v>
      </c>
      <c r="I1175">
        <v>6.22475953609666E-2</v>
      </c>
      <c r="J1175">
        <v>6.7691042951834701E-2</v>
      </c>
      <c r="K1175">
        <v>8.7122655141187402E-2</v>
      </c>
      <c r="L1175">
        <v>1038.9122162758499</v>
      </c>
      <c r="M1175">
        <v>21.224138373447101</v>
      </c>
      <c r="N1175">
        <v>49.2600767969628</v>
      </c>
      <c r="O1175">
        <v>48.521235965430897</v>
      </c>
      <c r="P1175">
        <v>-0.102510545078666</v>
      </c>
      <c r="Q1175">
        <v>6.2612736397211696E-2</v>
      </c>
      <c r="R1175">
        <v>0.88674421544444404</v>
      </c>
      <c r="S1175" t="s">
        <v>7845</v>
      </c>
      <c r="T1175" t="s">
        <v>13338</v>
      </c>
      <c r="U1175" t="s">
        <v>13338</v>
      </c>
      <c r="V1175" t="s">
        <v>13338</v>
      </c>
      <c r="W1175" t="s">
        <v>14486</v>
      </c>
      <c r="X1175">
        <v>1</v>
      </c>
      <c r="Y1175" t="s">
        <v>21087</v>
      </c>
      <c r="Z1175" t="s">
        <v>27590</v>
      </c>
      <c r="AA1175">
        <v>0.35388738653065849</v>
      </c>
      <c r="AB1175" t="str">
        <f>HYPERLINK("Melting_Curves/meltCurve_K7EPS8_C19orf12.pdf", "Melting_Curves/meltCurve_K7EPS8_C19orf12.pdf")</f>
        <v>Melting_Curves/meltCurve_K7EPS8_C19orf12.pdf</v>
      </c>
    </row>
    <row r="1176" spans="1:28" x14ac:dyDescent="0.25">
      <c r="A1176" t="s">
        <v>1180</v>
      </c>
      <c r="B1176">
        <v>0.99193492352474899</v>
      </c>
      <c r="C1176">
        <v>0.99148881155413704</v>
      </c>
      <c r="D1176">
        <v>0.29709845881442198</v>
      </c>
      <c r="E1176">
        <v>0.58049027130239805</v>
      </c>
      <c r="F1176">
        <v>0.172381892297191</v>
      </c>
      <c r="G1176">
        <v>0.117171473743117</v>
      </c>
      <c r="H1176">
        <v>0.122773310789941</v>
      </c>
      <c r="I1176">
        <v>6.7554523443886405E-2</v>
      </c>
      <c r="J1176">
        <v>3.5958236227856703E-2</v>
      </c>
      <c r="K1176">
        <v>0</v>
      </c>
      <c r="L1176">
        <v>640.76077405652802</v>
      </c>
      <c r="M1176">
        <v>13.530280582690599</v>
      </c>
      <c r="N1176">
        <v>47.596318077895504</v>
      </c>
      <c r="O1176">
        <v>46.3589587978203</v>
      </c>
      <c r="P1176">
        <v>-7.0581420448023499E-2</v>
      </c>
      <c r="Q1176">
        <v>3.28104874991915E-2</v>
      </c>
      <c r="R1176">
        <v>0.85925378546640396</v>
      </c>
      <c r="S1176" t="s">
        <v>7846</v>
      </c>
      <c r="T1176" t="s">
        <v>13338</v>
      </c>
      <c r="U1176" t="s">
        <v>13338</v>
      </c>
      <c r="V1176" t="s">
        <v>13338</v>
      </c>
      <c r="W1176" t="s">
        <v>14487</v>
      </c>
      <c r="X1176">
        <v>1</v>
      </c>
      <c r="Y1176" t="s">
        <v>21088</v>
      </c>
      <c r="Z1176" t="s">
        <v>27591</v>
      </c>
      <c r="AA1176">
        <v>0.3015938500645331</v>
      </c>
      <c r="AB1176" t="str">
        <f>HYPERLINK("Melting_Curves/meltCurve_K7EQE7_TMEM161A.pdf", "Melting_Curves/meltCurve_K7EQE7_TMEM161A.pdf")</f>
        <v>Melting_Curves/meltCurve_K7EQE7_TMEM161A.pdf</v>
      </c>
    </row>
    <row r="1177" spans="1:28" x14ac:dyDescent="0.25">
      <c r="A1177" t="s">
        <v>1181</v>
      </c>
      <c r="B1177">
        <v>0.99193492352474899</v>
      </c>
      <c r="C1177">
        <v>1.76778398131532</v>
      </c>
      <c r="D1177">
        <v>0.78188458853805598</v>
      </c>
      <c r="E1177">
        <v>1.35995222656848</v>
      </c>
      <c r="F1177">
        <v>0.72158726419128605</v>
      </c>
      <c r="G1177">
        <v>0.572845313246091</v>
      </c>
      <c r="H1177">
        <v>0.41446631570956399</v>
      </c>
      <c r="I1177">
        <v>0.46553643296025499</v>
      </c>
      <c r="J1177">
        <v>0.40994486208460701</v>
      </c>
      <c r="K1177">
        <v>0.439078701534237</v>
      </c>
      <c r="L1177">
        <v>8247.2980212770708</v>
      </c>
      <c r="M1177">
        <v>155.08781114941999</v>
      </c>
      <c r="N1177">
        <v>54.061887634668501</v>
      </c>
      <c r="O1177">
        <v>53.1694047463156</v>
      </c>
      <c r="P1177">
        <v>-0.39351070867440002</v>
      </c>
      <c r="Q1177">
        <v>0.46036428296713999</v>
      </c>
      <c r="R1177">
        <v>0.58436418541597801</v>
      </c>
      <c r="S1177" t="s">
        <v>7847</v>
      </c>
      <c r="T1177" t="s">
        <v>13338</v>
      </c>
      <c r="U1177" t="s">
        <v>13338</v>
      </c>
      <c r="V1177" t="s">
        <v>13338</v>
      </c>
      <c r="W1177" t="s">
        <v>14488</v>
      </c>
      <c r="X1177">
        <v>7</v>
      </c>
      <c r="Y1177" t="s">
        <v>21089</v>
      </c>
      <c r="Z1177" t="s">
        <v>27592</v>
      </c>
      <c r="AA1177">
        <v>0.6975436335021532</v>
      </c>
      <c r="AB1177" t="str">
        <f>HYPERLINK("Melting_Curves/meltCurve_K7EQW8_TPM4.pdf", "Melting_Curves/meltCurve_K7EQW8_TPM4.pdf")</f>
        <v>Melting_Curves/meltCurve_K7EQW8_TPM4.pdf</v>
      </c>
    </row>
    <row r="1178" spans="1:28" x14ac:dyDescent="0.25">
      <c r="A1178" t="s">
        <v>1182</v>
      </c>
      <c r="B1178">
        <v>0.99193492352474899</v>
      </c>
      <c r="C1178">
        <v>1.0549579240026701</v>
      </c>
      <c r="D1178">
        <v>0.98653316552791304</v>
      </c>
      <c r="E1178">
        <v>0.57560007932734403</v>
      </c>
      <c r="F1178">
        <v>0.19449667723446001</v>
      </c>
      <c r="G1178">
        <v>0.12522415031739401</v>
      </c>
      <c r="H1178">
        <v>8.0790796905741605E-2</v>
      </c>
      <c r="I1178">
        <v>8.9611772668485995E-2</v>
      </c>
      <c r="J1178">
        <v>9.2225213363132497E-2</v>
      </c>
      <c r="K1178">
        <v>0.10323062263589</v>
      </c>
      <c r="L1178">
        <v>1839.7308807853001</v>
      </c>
      <c r="M1178">
        <v>36.923749196717203</v>
      </c>
      <c r="N1178">
        <v>50.122380592524301</v>
      </c>
      <c r="O1178">
        <v>49.6796653378169</v>
      </c>
      <c r="P1178">
        <v>-0.16753953566768801</v>
      </c>
      <c r="Q1178">
        <v>9.8327280120917807E-2</v>
      </c>
      <c r="R1178">
        <v>0.99680216539589095</v>
      </c>
      <c r="S1178" t="s">
        <v>7848</v>
      </c>
      <c r="T1178" t="s">
        <v>13338</v>
      </c>
      <c r="U1178" t="s">
        <v>13338</v>
      </c>
      <c r="V1178" t="s">
        <v>13338</v>
      </c>
      <c r="W1178" t="s">
        <v>14489</v>
      </c>
      <c r="X1178">
        <v>18</v>
      </c>
      <c r="Y1178" t="s">
        <v>21090</v>
      </c>
      <c r="Z1178" t="s">
        <v>27593</v>
      </c>
      <c r="AA1178">
        <v>0.39728116108289457</v>
      </c>
      <c r="AB1178" t="str">
        <f>HYPERLINK("Melting_Curves/meltCurve_K7ER00_FARSA.pdf", "Melting_Curves/meltCurve_K7ER00_FARSA.pdf")</f>
        <v>Melting_Curves/meltCurve_K7ER00_FARSA.pdf</v>
      </c>
    </row>
    <row r="1179" spans="1:28" x14ac:dyDescent="0.25">
      <c r="A1179" t="s">
        <v>1183</v>
      </c>
      <c r="B1179">
        <v>0.99193492352474899</v>
      </c>
      <c r="C1179">
        <v>0.877116906801093</v>
      </c>
      <c r="D1179">
        <v>0.992704236713426</v>
      </c>
      <c r="E1179">
        <v>0.70756866687856301</v>
      </c>
      <c r="F1179">
        <v>0.28516080565155899</v>
      </c>
      <c r="G1179">
        <v>0.12399616838336</v>
      </c>
      <c r="H1179">
        <v>0.101741186950575</v>
      </c>
      <c r="I1179">
        <v>0.101373943816605</v>
      </c>
      <c r="J1179">
        <v>0.126529318787754</v>
      </c>
      <c r="K1179">
        <v>0.102341032547169</v>
      </c>
      <c r="L1179">
        <v>1592.0238181340701</v>
      </c>
      <c r="M1179">
        <v>31.346826359533601</v>
      </c>
      <c r="N1179">
        <v>51.169933245881403</v>
      </c>
      <c r="O1179">
        <v>50.582067875500897</v>
      </c>
      <c r="P1179">
        <v>-0.13874838907518999</v>
      </c>
      <c r="Q1179">
        <v>0.10445293746689301</v>
      </c>
      <c r="R1179">
        <v>0.98893816683714797</v>
      </c>
      <c r="S1179" t="s">
        <v>7849</v>
      </c>
      <c r="T1179" t="s">
        <v>13338</v>
      </c>
      <c r="U1179" t="s">
        <v>13338</v>
      </c>
      <c r="V1179" t="s">
        <v>13338</v>
      </c>
      <c r="W1179" t="s">
        <v>14490</v>
      </c>
      <c r="X1179">
        <v>7</v>
      </c>
      <c r="Y1179" t="s">
        <v>21091</v>
      </c>
      <c r="Z1179" t="s">
        <v>27594</v>
      </c>
      <c r="AA1179">
        <v>0.43161098259229919</v>
      </c>
      <c r="AB1179" t="str">
        <f>HYPERLINK("Melting_Curves/meltCurve_K7ER95_MAP4K1.pdf", "Melting_Curves/meltCurve_K7ER95_MAP4K1.pdf")</f>
        <v>Melting_Curves/meltCurve_K7ER95_MAP4K1.pdf</v>
      </c>
    </row>
    <row r="1180" spans="1:28" x14ac:dyDescent="0.25">
      <c r="A1180" t="s">
        <v>1184</v>
      </c>
      <c r="B1180">
        <v>0.99193492352474899</v>
      </c>
      <c r="C1180">
        <v>0.80031719601084395</v>
      </c>
      <c r="D1180">
        <v>0.868133788170104</v>
      </c>
      <c r="E1180">
        <v>0.714541348973595</v>
      </c>
      <c r="F1180">
        <v>0.289386854134353</v>
      </c>
      <c r="G1180">
        <v>0.107920211261542</v>
      </c>
      <c r="H1180">
        <v>7.3341677787541207E-2</v>
      </c>
      <c r="I1180">
        <v>8.1881165107121304E-2</v>
      </c>
      <c r="J1180">
        <v>9.1306157942252497E-2</v>
      </c>
      <c r="K1180">
        <v>7.6657446251113495E-2</v>
      </c>
      <c r="L1180">
        <v>1076.7559367029601</v>
      </c>
      <c r="M1180">
        <v>21.207454257704502</v>
      </c>
      <c r="N1180">
        <v>51.075901442905497</v>
      </c>
      <c r="O1180">
        <v>50.3275612534663</v>
      </c>
      <c r="P1180">
        <v>-9.9115444937890207E-2</v>
      </c>
      <c r="Q1180">
        <v>5.9178270179068397E-2</v>
      </c>
      <c r="R1180">
        <v>0.96793167045161299</v>
      </c>
      <c r="S1180" t="s">
        <v>7850</v>
      </c>
      <c r="T1180" t="s">
        <v>13338</v>
      </c>
      <c r="U1180" t="s">
        <v>13338</v>
      </c>
      <c r="V1180" t="s">
        <v>13338</v>
      </c>
      <c r="W1180" t="s">
        <v>14491</v>
      </c>
      <c r="X1180">
        <v>10</v>
      </c>
      <c r="Y1180" t="s">
        <v>21092</v>
      </c>
      <c r="Z1180" t="s">
        <v>27595</v>
      </c>
      <c r="AA1180">
        <v>0.40869920763505702</v>
      </c>
      <c r="AB1180" t="str">
        <f>HYPERLINK("Melting_Curves/meltCurve_K7ERF1_EIF3K.pdf", "Melting_Curves/meltCurve_K7ERF1_EIF3K.pdf")</f>
        <v>Melting_Curves/meltCurve_K7ERF1_EIF3K.pdf</v>
      </c>
    </row>
    <row r="1181" spans="1:28" x14ac:dyDescent="0.25">
      <c r="A1181" t="s">
        <v>1185</v>
      </c>
      <c r="B1181">
        <v>0.99193492352474899</v>
      </c>
      <c r="C1181">
        <v>1.0564852441263199</v>
      </c>
      <c r="D1181">
        <v>0.95226002226070405</v>
      </c>
      <c r="E1181">
        <v>0.92268105920975196</v>
      </c>
      <c r="F1181">
        <v>0.74785602825590203</v>
      </c>
      <c r="G1181">
        <v>0.57472431403218005</v>
      </c>
      <c r="H1181">
        <v>0.42412897711043701</v>
      </c>
      <c r="I1181">
        <v>0.42802357164569399</v>
      </c>
      <c r="J1181">
        <v>0.43640279347899102</v>
      </c>
      <c r="K1181">
        <v>0.48354050876690502</v>
      </c>
      <c r="L1181">
        <v>1265.7980074096699</v>
      </c>
      <c r="M1181">
        <v>23.589713668706601</v>
      </c>
      <c r="N1181">
        <v>58.709925049877</v>
      </c>
      <c r="O1181">
        <v>53.277750233907803</v>
      </c>
      <c r="P1181">
        <v>-6.2619646655552905E-2</v>
      </c>
      <c r="Q1181">
        <v>0.43429965168595802</v>
      </c>
      <c r="R1181">
        <v>0.98416929695193001</v>
      </c>
      <c r="S1181" t="s">
        <v>7851</v>
      </c>
      <c r="T1181" t="s">
        <v>13338</v>
      </c>
      <c r="U1181" t="s">
        <v>13338</v>
      </c>
      <c r="V1181" t="s">
        <v>13338</v>
      </c>
      <c r="W1181" t="s">
        <v>14492</v>
      </c>
      <c r="X1181">
        <v>1</v>
      </c>
      <c r="Y1181" t="s">
        <v>21093</v>
      </c>
      <c r="Z1181" t="s">
        <v>27596</v>
      </c>
      <c r="AA1181">
        <v>0.69767244584003218</v>
      </c>
      <c r="AB1181" t="str">
        <f>HYPERLINK("Melting_Curves/meltCurve_K7ERH3_GJC1.pdf", "Melting_Curves/meltCurve_K7ERH3_GJC1.pdf")</f>
        <v>Melting_Curves/meltCurve_K7ERH3_GJC1.pdf</v>
      </c>
    </row>
    <row r="1182" spans="1:28" x14ac:dyDescent="0.25">
      <c r="A1182" t="s">
        <v>1186</v>
      </c>
      <c r="B1182">
        <v>0.99193492352474899</v>
      </c>
      <c r="C1182">
        <v>0.88564483393582605</v>
      </c>
      <c r="D1182">
        <v>0.96157870867700201</v>
      </c>
      <c r="E1182">
        <v>0.74224736211161402</v>
      </c>
      <c r="F1182">
        <v>0.55979675043962196</v>
      </c>
      <c r="G1182">
        <v>0.33385348788805203</v>
      </c>
      <c r="H1182">
        <v>0.144068776333655</v>
      </c>
      <c r="I1182">
        <v>0.103327229417227</v>
      </c>
      <c r="J1182">
        <v>0.11117333630444499</v>
      </c>
      <c r="K1182">
        <v>7.1273135493221396E-2</v>
      </c>
      <c r="L1182">
        <v>775.46357348404297</v>
      </c>
      <c r="M1182">
        <v>14.495396257282099</v>
      </c>
      <c r="N1182">
        <v>53.770617475064299</v>
      </c>
      <c r="O1182">
        <v>52.510002187884602</v>
      </c>
      <c r="P1182">
        <v>-6.6568739768862795E-2</v>
      </c>
      <c r="Q1182">
        <v>3.5522921119048499E-2</v>
      </c>
      <c r="R1182">
        <v>0.98999733676150203</v>
      </c>
      <c r="S1182" t="s">
        <v>7852</v>
      </c>
      <c r="T1182" t="s">
        <v>13338</v>
      </c>
      <c r="U1182" t="s">
        <v>13338</v>
      </c>
      <c r="V1182" t="s">
        <v>13338</v>
      </c>
      <c r="W1182" t="s">
        <v>14493</v>
      </c>
      <c r="X1182">
        <v>2</v>
      </c>
      <c r="Y1182" t="s">
        <v>21094</v>
      </c>
      <c r="Z1182" t="s">
        <v>27597</v>
      </c>
      <c r="AA1182">
        <v>0.49066735090054009</v>
      </c>
      <c r="AB1182" t="str">
        <f>HYPERLINK("Melting_Curves/meltCurve_K7ERQ0_YIF1B.pdf", "Melting_Curves/meltCurve_K7ERQ0_YIF1B.pdf")</f>
        <v>Melting_Curves/meltCurve_K7ERQ0_YIF1B.pdf</v>
      </c>
    </row>
    <row r="1183" spans="1:28" x14ac:dyDescent="0.25">
      <c r="A1183" t="s">
        <v>1187</v>
      </c>
      <c r="B1183">
        <v>0.99193492352474899</v>
      </c>
      <c r="C1183">
        <v>0.90154784799321896</v>
      </c>
      <c r="D1183">
        <v>1.04600005613336</v>
      </c>
      <c r="E1183">
        <v>0.81077230661281097</v>
      </c>
      <c r="F1183">
        <v>0.66564292341686704</v>
      </c>
      <c r="G1183">
        <v>0.44808160138133701</v>
      </c>
      <c r="H1183">
        <v>0.393908654975613</v>
      </c>
      <c r="I1183">
        <v>0.50732656524395003</v>
      </c>
      <c r="J1183">
        <v>0.62414676979838801</v>
      </c>
      <c r="K1183">
        <v>0.71681070373831601</v>
      </c>
      <c r="L1183">
        <v>1747.3338075541301</v>
      </c>
      <c r="M1183">
        <v>34.6380975004991</v>
      </c>
      <c r="O1183">
        <v>50.278181466126902</v>
      </c>
      <c r="P1183">
        <v>-7.8455571807711399E-2</v>
      </c>
      <c r="Q1183">
        <v>0.54447972112757304</v>
      </c>
      <c r="R1183">
        <v>0.80609565135874095</v>
      </c>
      <c r="S1183" t="s">
        <v>7853</v>
      </c>
      <c r="T1183" t="s">
        <v>13338</v>
      </c>
      <c r="U1183" t="s">
        <v>13338</v>
      </c>
      <c r="V1183" t="s">
        <v>13338</v>
      </c>
      <c r="W1183" t="s">
        <v>13598</v>
      </c>
      <c r="X1183">
        <v>1</v>
      </c>
      <c r="Z1183" t="s">
        <v>27598</v>
      </c>
      <c r="AA1183">
        <v>0.70520705366591596</v>
      </c>
      <c r="AB1183" t="str">
        <f>HYPERLINK("Melting_Curves/meltCurve_K7ERS5_.pdf", "Melting_Curves/meltCurve_K7ERS5_.pdf")</f>
        <v>Melting_Curves/meltCurve_K7ERS5_.pdf</v>
      </c>
    </row>
    <row r="1184" spans="1:28" x14ac:dyDescent="0.25">
      <c r="A1184" t="s">
        <v>1188</v>
      </c>
      <c r="B1184">
        <v>0.99193492352474899</v>
      </c>
      <c r="C1184">
        <v>0.98913936400146996</v>
      </c>
      <c r="D1184">
        <v>0.91147805604106003</v>
      </c>
      <c r="E1184">
        <v>0.636977156760556</v>
      </c>
      <c r="F1184">
        <v>0.43079694627141202</v>
      </c>
      <c r="G1184">
        <v>0.32121747768341602</v>
      </c>
      <c r="H1184">
        <v>0.37950867632941399</v>
      </c>
      <c r="I1184">
        <v>0.66670665962466802</v>
      </c>
      <c r="J1184">
        <v>0.72508193881907901</v>
      </c>
      <c r="K1184">
        <v>0.99451866369717401</v>
      </c>
      <c r="L1184">
        <v>2378.2263160347302</v>
      </c>
      <c r="M1184">
        <v>50.364741346150602</v>
      </c>
      <c r="O1184">
        <v>47.145798214559903</v>
      </c>
      <c r="P1184">
        <v>-0.109944192456949</v>
      </c>
      <c r="Q1184">
        <v>0.58833086708610105</v>
      </c>
      <c r="R1184">
        <v>0.47077573061447198</v>
      </c>
      <c r="S1184" t="s">
        <v>7854</v>
      </c>
      <c r="T1184" t="s">
        <v>13338</v>
      </c>
      <c r="U1184" t="s">
        <v>13338</v>
      </c>
      <c r="V1184" t="s">
        <v>13338</v>
      </c>
      <c r="W1184" t="s">
        <v>14494</v>
      </c>
      <c r="X1184">
        <v>2</v>
      </c>
      <c r="Y1184" t="s">
        <v>21095</v>
      </c>
      <c r="Z1184" t="s">
        <v>27599</v>
      </c>
      <c r="AA1184">
        <v>0.68825281121939641</v>
      </c>
      <c r="AB1184" t="str">
        <f>HYPERLINK("Melting_Curves/meltCurve_K7ERU0_ZNF580.pdf", "Melting_Curves/meltCurve_K7ERU0_ZNF580.pdf")</f>
        <v>Melting_Curves/meltCurve_K7ERU0_ZNF580.pdf</v>
      </c>
    </row>
    <row r="1185" spans="1:28" x14ac:dyDescent="0.25">
      <c r="A1185" t="s">
        <v>1189</v>
      </c>
      <c r="B1185">
        <v>0.99193492352474899</v>
      </c>
      <c r="C1185">
        <v>1.2113744372053401</v>
      </c>
      <c r="D1185">
        <v>1.0129913409615601</v>
      </c>
      <c r="E1185">
        <v>0.35763320311513402</v>
      </c>
      <c r="F1185">
        <v>0.19218627872108399</v>
      </c>
      <c r="G1185">
        <v>0</v>
      </c>
      <c r="H1185">
        <v>0</v>
      </c>
      <c r="I1185">
        <v>0.24904187267647701</v>
      </c>
      <c r="J1185">
        <v>0</v>
      </c>
      <c r="K1185">
        <v>0.80980850179852004</v>
      </c>
      <c r="L1185">
        <v>12327.566117267001</v>
      </c>
      <c r="M1185">
        <v>250</v>
      </c>
      <c r="N1185">
        <v>49.416926281373598</v>
      </c>
      <c r="O1185">
        <v>49.307102824542099</v>
      </c>
      <c r="P1185">
        <v>-1.0032705101120301</v>
      </c>
      <c r="Q1185">
        <v>0.20850610733548799</v>
      </c>
      <c r="R1185">
        <v>0.73485373615878102</v>
      </c>
      <c r="S1185" t="s">
        <v>7855</v>
      </c>
      <c r="T1185" t="s">
        <v>13338</v>
      </c>
      <c r="U1185" t="s">
        <v>13338</v>
      </c>
      <c r="V1185" t="s">
        <v>13338</v>
      </c>
      <c r="W1185" t="s">
        <v>14495</v>
      </c>
      <c r="X1185">
        <v>21</v>
      </c>
      <c r="Y1185" t="s">
        <v>21096</v>
      </c>
      <c r="Z1185" t="s">
        <v>27600</v>
      </c>
      <c r="AA1185">
        <v>0.45420851777027488</v>
      </c>
      <c r="AB1185" t="str">
        <f>HYPERLINK("Melting_Curves/meltCurve_K7ES11_UBE2O.pdf", "Melting_Curves/meltCurve_K7ES11_UBE2O.pdf")</f>
        <v>Melting_Curves/meltCurve_K7ES11_UBE2O.pdf</v>
      </c>
    </row>
    <row r="1186" spans="1:28" x14ac:dyDescent="0.25">
      <c r="A1186" t="s">
        <v>1190</v>
      </c>
      <c r="B1186">
        <v>0.99193492352474899</v>
      </c>
      <c r="C1186">
        <v>1.0071791536891199</v>
      </c>
      <c r="D1186">
        <v>0.97599788981896596</v>
      </c>
      <c r="E1186">
        <v>0.57510225777712698</v>
      </c>
      <c r="F1186">
        <v>0.41173846750047999</v>
      </c>
      <c r="G1186">
        <v>0.14027756791148799</v>
      </c>
      <c r="H1186">
        <v>6.7030180158045197E-2</v>
      </c>
      <c r="I1186">
        <v>7.4702842854049906E-2</v>
      </c>
      <c r="J1186">
        <v>8.0542728438827704E-2</v>
      </c>
      <c r="K1186">
        <v>7.5549030720514498E-2</v>
      </c>
      <c r="L1186">
        <v>1039.7541490726201</v>
      </c>
      <c r="M1186">
        <v>20.414341078252701</v>
      </c>
      <c r="N1186">
        <v>51.266625411171901</v>
      </c>
      <c r="O1186">
        <v>50.451354370986998</v>
      </c>
      <c r="P1186">
        <v>-9.4860975795233102E-2</v>
      </c>
      <c r="Q1186">
        <v>6.2282533805360703E-2</v>
      </c>
      <c r="R1186">
        <v>0.98765932566335002</v>
      </c>
      <c r="S1186" t="s">
        <v>7856</v>
      </c>
      <c r="T1186" t="s">
        <v>13338</v>
      </c>
      <c r="U1186" t="s">
        <v>13338</v>
      </c>
      <c r="V1186" t="s">
        <v>13338</v>
      </c>
      <c r="W1186" t="s">
        <v>14496</v>
      </c>
      <c r="X1186">
        <v>4</v>
      </c>
      <c r="Y1186" t="s">
        <v>21097</v>
      </c>
      <c r="Z1186" t="s">
        <v>27601</v>
      </c>
      <c r="AA1186">
        <v>0.4165295793866321</v>
      </c>
      <c r="AB1186" t="str">
        <f>HYPERLINK("Melting_Curves/meltCurve_K7ES84_FAM86A.pdf", "Melting_Curves/meltCurve_K7ES84_FAM86A.pdf")</f>
        <v>Melting_Curves/meltCurve_K7ES84_FAM86A.pdf</v>
      </c>
    </row>
    <row r="1187" spans="1:28" x14ac:dyDescent="0.25">
      <c r="A1187" t="s">
        <v>1191</v>
      </c>
      <c r="B1187">
        <v>0.99193492352474899</v>
      </c>
      <c r="C1187">
        <v>0.97636459317823499</v>
      </c>
      <c r="D1187">
        <v>0.86398476940734303</v>
      </c>
      <c r="E1187">
        <v>0.88389230065575397</v>
      </c>
      <c r="F1187">
        <v>0.592118692618815</v>
      </c>
      <c r="G1187">
        <v>0.46653975726330799</v>
      </c>
      <c r="H1187">
        <v>0.24849474383762299</v>
      </c>
      <c r="I1187">
        <v>0.193730562424235</v>
      </c>
      <c r="J1187">
        <v>0.17160568900645801</v>
      </c>
      <c r="K1187">
        <v>0.124453445228754</v>
      </c>
      <c r="L1187">
        <v>722.99430391617796</v>
      </c>
      <c r="M1187">
        <v>13.181852208808801</v>
      </c>
      <c r="N1187">
        <v>55.551455555776698</v>
      </c>
      <c r="O1187">
        <v>53.631500245951202</v>
      </c>
      <c r="P1187">
        <v>-5.6730817764295199E-2</v>
      </c>
      <c r="Q1187">
        <v>7.6897638237940394E-2</v>
      </c>
      <c r="R1187">
        <v>0.98874004661807802</v>
      </c>
      <c r="S1187" t="s">
        <v>7857</v>
      </c>
      <c r="T1187" t="s">
        <v>13338</v>
      </c>
      <c r="U1187" t="s">
        <v>13338</v>
      </c>
      <c r="V1187" t="s">
        <v>13338</v>
      </c>
      <c r="W1187" t="s">
        <v>14497</v>
      </c>
      <c r="X1187">
        <v>16</v>
      </c>
      <c r="Y1187" t="s">
        <v>21098</v>
      </c>
      <c r="Z1187" t="s">
        <v>27602</v>
      </c>
      <c r="AA1187">
        <v>0.55420080356896895</v>
      </c>
      <c r="AB1187" t="str">
        <f>HYPERLINK("Melting_Curves/meltCurve_K7ESE3_RAD23A.pdf", "Melting_Curves/meltCurve_K7ESE3_RAD23A.pdf")</f>
        <v>Melting_Curves/meltCurve_K7ESE3_RAD23A.pdf</v>
      </c>
    </row>
    <row r="1188" spans="1:28" x14ac:dyDescent="0.25">
      <c r="A1188" t="s">
        <v>1192</v>
      </c>
      <c r="B1188">
        <v>0.99193492352474899</v>
      </c>
      <c r="C1188">
        <v>0.51770162071007497</v>
      </c>
      <c r="D1188">
        <v>0.90382981546657604</v>
      </c>
      <c r="E1188">
        <v>0.57680363146093805</v>
      </c>
      <c r="F1188">
        <v>0.51331872323163996</v>
      </c>
      <c r="G1188">
        <v>0.30608814514390498</v>
      </c>
      <c r="H1188">
        <v>0.28873006251550198</v>
      </c>
      <c r="I1188">
        <v>0.19513938011920201</v>
      </c>
      <c r="J1188">
        <v>0.31119077355777902</v>
      </c>
      <c r="K1188">
        <v>9.7918661815631899E-2</v>
      </c>
      <c r="L1188">
        <v>336.87089645463197</v>
      </c>
      <c r="M1188">
        <v>6.4383201790609998</v>
      </c>
      <c r="N1188">
        <v>52.322792962800101</v>
      </c>
      <c r="O1188">
        <v>47.960096176585701</v>
      </c>
      <c r="P1188">
        <v>-3.3645186439070503E-2</v>
      </c>
      <c r="Q1188">
        <v>0</v>
      </c>
      <c r="R1188">
        <v>0.79421580545065795</v>
      </c>
      <c r="S1188" t="s">
        <v>7858</v>
      </c>
      <c r="T1188" t="s">
        <v>13338</v>
      </c>
      <c r="U1188" t="s">
        <v>13338</v>
      </c>
      <c r="V1188" t="s">
        <v>13338</v>
      </c>
      <c r="W1188" t="s">
        <v>14498</v>
      </c>
      <c r="X1188">
        <v>4</v>
      </c>
      <c r="Y1188" t="s">
        <v>21099</v>
      </c>
      <c r="Z1188" t="s">
        <v>27603</v>
      </c>
      <c r="AA1188">
        <v>0.46330305029059621</v>
      </c>
      <c r="AB1188" t="str">
        <f>HYPERLINK("Melting_Curves/meltCurve_K7ESG9_NFIX.pdf", "Melting_Curves/meltCurve_K7ESG9_NFIX.pdf")</f>
        <v>Melting_Curves/meltCurve_K7ESG9_NFIX.pdf</v>
      </c>
    </row>
    <row r="1189" spans="1:28" x14ac:dyDescent="0.25">
      <c r="A1189" t="s">
        <v>1193</v>
      </c>
      <c r="B1189">
        <v>0.99193492352474899</v>
      </c>
      <c r="C1189">
        <v>0.94658253603806897</v>
      </c>
      <c r="D1189">
        <v>0.87099747254159399</v>
      </c>
      <c r="E1189">
        <v>0.366937782960292</v>
      </c>
      <c r="F1189">
        <v>3.55315117209958E-2</v>
      </c>
      <c r="G1189">
        <v>1.80143349296326E-2</v>
      </c>
      <c r="H1189">
        <v>0</v>
      </c>
      <c r="I1189">
        <v>6.6526426415972097E-3</v>
      </c>
      <c r="J1189">
        <v>0</v>
      </c>
      <c r="K1189">
        <v>0</v>
      </c>
      <c r="L1189">
        <v>1583.8516574192699</v>
      </c>
      <c r="M1189">
        <v>32.5142262033471</v>
      </c>
      <c r="N1189">
        <v>48.712574344705999</v>
      </c>
      <c r="O1189">
        <v>48.529407458026398</v>
      </c>
      <c r="P1189">
        <v>-0.16749830681852701</v>
      </c>
      <c r="Q1189">
        <v>0</v>
      </c>
      <c r="R1189">
        <v>0.99851303627428001</v>
      </c>
      <c r="S1189" t="s">
        <v>7859</v>
      </c>
      <c r="T1189" t="s">
        <v>13338</v>
      </c>
      <c r="U1189" t="s">
        <v>13338</v>
      </c>
      <c r="V1189" t="s">
        <v>13338</v>
      </c>
      <c r="W1189" t="s">
        <v>14499</v>
      </c>
      <c r="X1189">
        <v>37</v>
      </c>
      <c r="Y1189" t="s">
        <v>21100</v>
      </c>
      <c r="Z1189" t="s">
        <v>27604</v>
      </c>
      <c r="AA1189">
        <v>0.29556144376989191</v>
      </c>
      <c r="AB1189" t="str">
        <f>HYPERLINK("Melting_Curves/meltCurve_K7ESI9_DNM2.pdf", "Melting_Curves/meltCurve_K7ESI9_DNM2.pdf")</f>
        <v>Melting_Curves/meltCurve_K7ESI9_DNM2.pdf</v>
      </c>
    </row>
    <row r="1190" spans="1:28" x14ac:dyDescent="0.25">
      <c r="A1190" t="s">
        <v>1194</v>
      </c>
      <c r="B1190">
        <v>0.99193492352474899</v>
      </c>
      <c r="C1190">
        <v>0.95470427369023003</v>
      </c>
      <c r="D1190">
        <v>0.92636945714339902</v>
      </c>
      <c r="E1190">
        <v>0.398653767426212</v>
      </c>
      <c r="F1190">
        <v>0.30688213667318498</v>
      </c>
      <c r="G1190">
        <v>0.159717220619469</v>
      </c>
      <c r="H1190">
        <v>8.4379014390576004E-2</v>
      </c>
      <c r="I1190">
        <v>5.97207078083236E-2</v>
      </c>
      <c r="J1190">
        <v>4.7900172923189398E-2</v>
      </c>
      <c r="K1190">
        <v>5.8917270849337101E-2</v>
      </c>
      <c r="L1190">
        <v>1082.6835960713499</v>
      </c>
      <c r="M1190">
        <v>21.986069101099201</v>
      </c>
      <c r="N1190">
        <v>49.6023212137125</v>
      </c>
      <c r="O1190">
        <v>48.842113533133997</v>
      </c>
      <c r="P1190">
        <v>-0.10427712946201199</v>
      </c>
      <c r="Q1190">
        <v>7.3413004952637598E-2</v>
      </c>
      <c r="R1190">
        <v>0.98077845160218902</v>
      </c>
      <c r="S1190" t="s">
        <v>7860</v>
      </c>
      <c r="T1190" t="s">
        <v>13338</v>
      </c>
      <c r="U1190" t="s">
        <v>13338</v>
      </c>
      <c r="V1190" t="s">
        <v>13338</v>
      </c>
      <c r="W1190" t="s">
        <v>14500</v>
      </c>
      <c r="X1190">
        <v>3</v>
      </c>
      <c r="Y1190" t="s">
        <v>21101</v>
      </c>
      <c r="Z1190" t="s">
        <v>27605</v>
      </c>
      <c r="AA1190">
        <v>0.36962082375925698</v>
      </c>
      <c r="AB1190" t="str">
        <f>HYPERLINK("Melting_Curves/meltCurve_K7ESP4_DCAKD.pdf", "Melting_Curves/meltCurve_K7ESP4_DCAKD.pdf")</f>
        <v>Melting_Curves/meltCurve_K7ESP4_DCAKD.pdf</v>
      </c>
    </row>
    <row r="1191" spans="1:28" x14ac:dyDescent="0.25">
      <c r="A1191" t="s">
        <v>1195</v>
      </c>
      <c r="B1191">
        <v>0.99193492352474899</v>
      </c>
      <c r="C1191">
        <v>0.95937015710705098</v>
      </c>
      <c r="D1191">
        <v>0.89462941129405205</v>
      </c>
      <c r="E1191">
        <v>0.77183676199385798</v>
      </c>
      <c r="F1191">
        <v>0.54969336240093403</v>
      </c>
      <c r="G1191">
        <v>0.164209476509136</v>
      </c>
      <c r="H1191">
        <v>8.3592821316917199E-2</v>
      </c>
      <c r="I1191">
        <v>7.8977377110919303E-2</v>
      </c>
      <c r="J1191">
        <v>7.6083696800810896E-2</v>
      </c>
      <c r="K1191">
        <v>6.98026903521239E-2</v>
      </c>
      <c r="L1191">
        <v>1048.25474843402</v>
      </c>
      <c r="M1191">
        <v>19.8757763098643</v>
      </c>
      <c r="N1191">
        <v>52.983772057961602</v>
      </c>
      <c r="O1191">
        <v>52.215143510191702</v>
      </c>
      <c r="P1191">
        <v>-9.1013002546248098E-2</v>
      </c>
      <c r="Q1191">
        <v>4.3640225981127198E-2</v>
      </c>
      <c r="R1191">
        <v>0.990141716907039</v>
      </c>
      <c r="S1191" t="s">
        <v>7861</v>
      </c>
      <c r="T1191" t="s">
        <v>13338</v>
      </c>
      <c r="U1191" t="s">
        <v>13338</v>
      </c>
      <c r="V1191" t="s">
        <v>13338</v>
      </c>
      <c r="W1191" t="s">
        <v>14501</v>
      </c>
      <c r="X1191">
        <v>18</v>
      </c>
      <c r="Y1191" t="s">
        <v>21102</v>
      </c>
      <c r="Z1191" t="s">
        <v>27606</v>
      </c>
      <c r="AA1191">
        <v>0.46310751131743022</v>
      </c>
      <c r="AB1191" t="str">
        <f>HYPERLINK("Melting_Curves/meltCurve_M0QWZ7_SARS2.pdf", "Melting_Curves/meltCurve_M0QWZ7_SARS2.pdf")</f>
        <v>Melting_Curves/meltCurve_M0QWZ7_SARS2.pdf</v>
      </c>
    </row>
    <row r="1192" spans="1:28" x14ac:dyDescent="0.25">
      <c r="A1192" t="s">
        <v>1196</v>
      </c>
      <c r="B1192">
        <v>0.99193492352474899</v>
      </c>
      <c r="C1192">
        <v>0.89742411310241899</v>
      </c>
      <c r="D1192">
        <v>0.67497882968648504</v>
      </c>
      <c r="E1192">
        <v>0.21777310457458399</v>
      </c>
      <c r="F1192">
        <v>0.15042984249962299</v>
      </c>
      <c r="G1192">
        <v>9.9011982736476795E-2</v>
      </c>
      <c r="H1192">
        <v>5.7989099569717699E-2</v>
      </c>
      <c r="I1192">
        <v>7.9812218074608005E-2</v>
      </c>
      <c r="J1192">
        <v>9.2770453821392901E-2</v>
      </c>
      <c r="K1192">
        <v>0.117054629249497</v>
      </c>
      <c r="L1192">
        <v>1299.2525786519</v>
      </c>
      <c r="M1192">
        <v>27.7666903775403</v>
      </c>
      <c r="N1192">
        <v>47.127726732267199</v>
      </c>
      <c r="O1192">
        <v>46.551085705533701</v>
      </c>
      <c r="P1192">
        <v>-0.135731466206475</v>
      </c>
      <c r="Q1192">
        <v>8.9788369423498396E-2</v>
      </c>
      <c r="R1192">
        <v>0.995544096657211</v>
      </c>
      <c r="S1192" t="s">
        <v>7862</v>
      </c>
      <c r="T1192" t="s">
        <v>13338</v>
      </c>
      <c r="U1192" t="s">
        <v>13338</v>
      </c>
      <c r="V1192" t="s">
        <v>13338</v>
      </c>
      <c r="W1192" t="s">
        <v>14502</v>
      </c>
      <c r="X1192">
        <v>11</v>
      </c>
      <c r="Y1192" t="s">
        <v>21103</v>
      </c>
      <c r="Z1192" t="s">
        <v>27607</v>
      </c>
      <c r="AA1192">
        <v>0.30232604527185652</v>
      </c>
      <c r="AB1192" t="str">
        <f>HYPERLINK("Melting_Curves/meltCurve_M0QX35_PAF1.pdf", "Melting_Curves/meltCurve_M0QX35_PAF1.pdf")</f>
        <v>Melting_Curves/meltCurve_M0QX35_PAF1.pdf</v>
      </c>
    </row>
    <row r="1193" spans="1:28" x14ac:dyDescent="0.25">
      <c r="A1193" t="s">
        <v>1197</v>
      </c>
      <c r="B1193">
        <v>0.99193492352474899</v>
      </c>
      <c r="C1193">
        <v>2.3506728791112499</v>
      </c>
      <c r="D1193">
        <v>1.6681965877056799</v>
      </c>
      <c r="E1193">
        <v>1.4734106032757499</v>
      </c>
      <c r="F1193">
        <v>0.56869857487085196</v>
      </c>
      <c r="G1193">
        <v>0.48567912960757798</v>
      </c>
      <c r="H1193">
        <v>0.29194919023203397</v>
      </c>
      <c r="I1193">
        <v>0.39231804805825199</v>
      </c>
      <c r="J1193">
        <v>0.57214922114670896</v>
      </c>
      <c r="K1193">
        <v>0.41524845248021203</v>
      </c>
      <c r="L1193">
        <v>13239.078068712501</v>
      </c>
      <c r="M1193">
        <v>250</v>
      </c>
      <c r="N1193">
        <v>53.380651910859903</v>
      </c>
      <c r="O1193">
        <v>52.9529237472143</v>
      </c>
      <c r="P1193">
        <v>-0.67103378943329695</v>
      </c>
      <c r="Q1193">
        <v>0.43146878681786599</v>
      </c>
      <c r="R1193">
        <v>0.40661006558500501</v>
      </c>
      <c r="S1193" t="s">
        <v>7863</v>
      </c>
      <c r="T1193" t="s">
        <v>13338</v>
      </c>
      <c r="U1193" t="s">
        <v>13338</v>
      </c>
      <c r="V1193" t="s">
        <v>13338</v>
      </c>
      <c r="W1193" t="s">
        <v>14503</v>
      </c>
      <c r="X1193">
        <v>1</v>
      </c>
      <c r="Y1193" t="s">
        <v>21104</v>
      </c>
      <c r="Z1193" t="s">
        <v>27608</v>
      </c>
      <c r="AA1193">
        <v>0.67705722255592138</v>
      </c>
      <c r="AB1193" t="str">
        <f>HYPERLINK("Melting_Curves/meltCurve_M0QX57_KLK3.pdf", "Melting_Curves/meltCurve_M0QX57_KLK3.pdf")</f>
        <v>Melting_Curves/meltCurve_M0QX57_KLK3.pdf</v>
      </c>
    </row>
    <row r="1194" spans="1:28" x14ac:dyDescent="0.25">
      <c r="A1194" t="s">
        <v>1198</v>
      </c>
      <c r="B1194">
        <v>0.99193492352474899</v>
      </c>
      <c r="C1194">
        <v>0.56150935554945003</v>
      </c>
      <c r="D1194">
        <v>0.84072028158108403</v>
      </c>
      <c r="E1194">
        <v>0.51878225368891695</v>
      </c>
      <c r="F1194">
        <v>0.36714677563109999</v>
      </c>
      <c r="G1194">
        <v>0.174716903706613</v>
      </c>
      <c r="H1194">
        <v>0.133735792526534</v>
      </c>
      <c r="I1194">
        <v>0.21984115517488001</v>
      </c>
      <c r="J1194">
        <v>0.326513790405835</v>
      </c>
      <c r="K1194">
        <v>0.47031073043329302</v>
      </c>
      <c r="L1194">
        <v>604.07900968334195</v>
      </c>
      <c r="M1194">
        <v>13.003435287396499</v>
      </c>
      <c r="N1194">
        <v>49.096653999988199</v>
      </c>
      <c r="O1194">
        <v>45.397837808076702</v>
      </c>
      <c r="P1194">
        <v>-5.36011599887911E-2</v>
      </c>
      <c r="Q1194">
        <v>0.25159857217033998</v>
      </c>
      <c r="R1194">
        <v>0.72228366831537105</v>
      </c>
      <c r="S1194" t="s">
        <v>7864</v>
      </c>
      <c r="T1194" t="s">
        <v>13338</v>
      </c>
      <c r="U1194" t="s">
        <v>13338</v>
      </c>
      <c r="V1194" t="s">
        <v>13338</v>
      </c>
      <c r="W1194" t="s">
        <v>14504</v>
      </c>
      <c r="X1194">
        <v>5</v>
      </c>
      <c r="Y1194" t="s">
        <v>21105</v>
      </c>
      <c r="Z1194" t="s">
        <v>27609</v>
      </c>
      <c r="AA1194">
        <v>0.44078352412694732</v>
      </c>
      <c r="AB1194" t="str">
        <f>HYPERLINK("Melting_Curves/meltCurve_M0QXA7_WIZ.pdf", "Melting_Curves/meltCurve_M0QXA7_WIZ.pdf")</f>
        <v>Melting_Curves/meltCurve_M0QXA7_WIZ.pdf</v>
      </c>
    </row>
    <row r="1195" spans="1:28" x14ac:dyDescent="0.25">
      <c r="A1195" t="s">
        <v>1199</v>
      </c>
      <c r="B1195">
        <v>0.99193492352474899</v>
      </c>
      <c r="C1195">
        <v>1.1893791080823399</v>
      </c>
      <c r="D1195">
        <v>0.81350073786613397</v>
      </c>
      <c r="E1195">
        <v>0.95329847552636904</v>
      </c>
      <c r="F1195">
        <v>0.720342688070992</v>
      </c>
      <c r="G1195">
        <v>0.70507348574402495</v>
      </c>
      <c r="H1195">
        <v>0.57276818390735695</v>
      </c>
      <c r="I1195">
        <v>0.81876791545758898</v>
      </c>
      <c r="J1195">
        <v>0.93134373973232898</v>
      </c>
      <c r="K1195">
        <v>1.2450326952101201</v>
      </c>
      <c r="L1195">
        <v>11140.3227270721</v>
      </c>
      <c r="M1195">
        <v>250</v>
      </c>
      <c r="O1195">
        <v>44.558439390211397</v>
      </c>
      <c r="P1195">
        <v>-0.21740030859067999</v>
      </c>
      <c r="Q1195">
        <v>0.845007704980693</v>
      </c>
      <c r="R1195">
        <v>0.197211183037174</v>
      </c>
      <c r="S1195" t="s">
        <v>7865</v>
      </c>
      <c r="T1195" t="s">
        <v>13338</v>
      </c>
      <c r="U1195" t="s">
        <v>13338</v>
      </c>
      <c r="V1195" t="s">
        <v>13338</v>
      </c>
      <c r="W1195" t="s">
        <v>14505</v>
      </c>
      <c r="X1195">
        <v>5</v>
      </c>
      <c r="Y1195" t="s">
        <v>21106</v>
      </c>
      <c r="Z1195" t="s">
        <v>27610</v>
      </c>
      <c r="AA1195">
        <v>0.86858532426000334</v>
      </c>
      <c r="AB1195" t="str">
        <f>HYPERLINK("Melting_Curves/meltCurve_M0QXZ5_ZNF428.pdf", "Melting_Curves/meltCurve_M0QXZ5_ZNF428.pdf")</f>
        <v>Melting_Curves/meltCurve_M0QXZ5_ZNF428.pdf</v>
      </c>
    </row>
    <row r="1196" spans="1:28" x14ac:dyDescent="0.25">
      <c r="A1196" t="s">
        <v>1200</v>
      </c>
      <c r="B1196">
        <v>0.99193492352474899</v>
      </c>
      <c r="C1196">
        <v>0.74809607627096297</v>
      </c>
      <c r="D1196">
        <v>0.68214389300677902</v>
      </c>
      <c r="E1196">
        <v>0.344938737209256</v>
      </c>
      <c r="F1196">
        <v>0.19347303146321199</v>
      </c>
      <c r="G1196">
        <v>0.11118732868421401</v>
      </c>
      <c r="H1196">
        <v>0.145841337971715</v>
      </c>
      <c r="I1196">
        <v>0.14374274946677601</v>
      </c>
      <c r="J1196">
        <v>0.207044966901096</v>
      </c>
      <c r="K1196">
        <v>0.26163988246264802</v>
      </c>
      <c r="L1196">
        <v>871.81921244439002</v>
      </c>
      <c r="M1196">
        <v>18.830220933282099</v>
      </c>
      <c r="N1196">
        <v>47.285543620296998</v>
      </c>
      <c r="O1196">
        <v>45.786265794201597</v>
      </c>
      <c r="P1196">
        <v>-8.6116875616963795E-2</v>
      </c>
      <c r="Q1196">
        <v>0.162451489295519</v>
      </c>
      <c r="R1196">
        <v>0.95826937150923597</v>
      </c>
      <c r="S1196" t="s">
        <v>7866</v>
      </c>
      <c r="T1196" t="s">
        <v>13338</v>
      </c>
      <c r="U1196" t="s">
        <v>13338</v>
      </c>
      <c r="V1196" t="s">
        <v>13338</v>
      </c>
      <c r="W1196" t="s">
        <v>14506</v>
      </c>
      <c r="X1196">
        <v>2</v>
      </c>
      <c r="Y1196" t="s">
        <v>21107</v>
      </c>
      <c r="Z1196" t="s">
        <v>27611</v>
      </c>
      <c r="AA1196">
        <v>0.35285567937245671</v>
      </c>
      <c r="AB1196" t="str">
        <f>HYPERLINK("Melting_Curves/meltCurve_M0QY01_EPS15L1.pdf", "Melting_Curves/meltCurve_M0QY01_EPS15L1.pdf")</f>
        <v>Melting_Curves/meltCurve_M0QY01_EPS15L1.pdf</v>
      </c>
    </row>
    <row r="1197" spans="1:28" x14ac:dyDescent="0.25">
      <c r="A1197" t="s">
        <v>1201</v>
      </c>
      <c r="B1197">
        <v>0.99193492352474899</v>
      </c>
      <c r="C1197">
        <v>0.66409199401514096</v>
      </c>
      <c r="D1197">
        <v>0.89225061826976604</v>
      </c>
      <c r="E1197">
        <v>0.67117786078824904</v>
      </c>
      <c r="F1197">
        <v>0.64497613197107995</v>
      </c>
      <c r="G1197">
        <v>0.520334208193446</v>
      </c>
      <c r="H1197">
        <v>0.49284320931582798</v>
      </c>
      <c r="I1197">
        <v>0.64024898811154296</v>
      </c>
      <c r="J1197">
        <v>0.77884428206856904</v>
      </c>
      <c r="K1197">
        <v>0.96562402840362804</v>
      </c>
      <c r="L1197">
        <v>10143.9998991496</v>
      </c>
      <c r="M1197">
        <v>250</v>
      </c>
      <c r="O1197">
        <v>40.5734073715156</v>
      </c>
      <c r="P1197">
        <v>-0.46719320107692303</v>
      </c>
      <c r="Q1197">
        <v>0.69671011186910703</v>
      </c>
      <c r="R1197">
        <v>0.28422104163638401</v>
      </c>
      <c r="S1197" t="s">
        <v>7867</v>
      </c>
      <c r="T1197" t="s">
        <v>13338</v>
      </c>
      <c r="U1197" t="s">
        <v>13338</v>
      </c>
      <c r="V1197" t="s">
        <v>13338</v>
      </c>
      <c r="W1197" t="s">
        <v>14507</v>
      </c>
      <c r="X1197">
        <v>18</v>
      </c>
      <c r="Y1197" t="s">
        <v>21108</v>
      </c>
      <c r="Z1197" t="s">
        <v>27612</v>
      </c>
      <c r="AA1197">
        <v>0.70259751914397206</v>
      </c>
      <c r="AB1197" t="str">
        <f>HYPERLINK("Melting_Curves/meltCurve_M0QY97_ZC3H4.pdf", "Melting_Curves/meltCurve_M0QY97_ZC3H4.pdf")</f>
        <v>Melting_Curves/meltCurve_M0QY97_ZC3H4.pdf</v>
      </c>
    </row>
    <row r="1198" spans="1:28" x14ac:dyDescent="0.25">
      <c r="A1198" t="s">
        <v>1202</v>
      </c>
      <c r="B1198">
        <v>0.99193492352474899</v>
      </c>
      <c r="C1198">
        <v>0.84477380037569405</v>
      </c>
      <c r="D1198">
        <v>0.77786486897172802</v>
      </c>
      <c r="E1198">
        <v>0.66801415864801295</v>
      </c>
      <c r="F1198">
        <v>0.32696807424742702</v>
      </c>
      <c r="G1198">
        <v>0.62317038312239803</v>
      </c>
      <c r="H1198">
        <v>0.11933163442940201</v>
      </c>
      <c r="I1198">
        <v>0.13466053644471301</v>
      </c>
      <c r="J1198">
        <v>8.0044283345596101E-2</v>
      </c>
      <c r="K1198">
        <v>3.9508958966308898E-2</v>
      </c>
      <c r="L1198">
        <v>493.38383539945801</v>
      </c>
      <c r="M1198">
        <v>9.3745757191137997</v>
      </c>
      <c r="N1198">
        <v>52.629988710120102</v>
      </c>
      <c r="O1198">
        <v>50.401714745095298</v>
      </c>
      <c r="P1198">
        <v>-4.6528219858105999E-2</v>
      </c>
      <c r="Q1198">
        <v>0</v>
      </c>
      <c r="R1198">
        <v>0.89235493405700606</v>
      </c>
      <c r="S1198" t="s">
        <v>7868</v>
      </c>
      <c r="T1198" t="s">
        <v>13338</v>
      </c>
      <c r="U1198" t="s">
        <v>13338</v>
      </c>
      <c r="V1198" t="s">
        <v>13338</v>
      </c>
      <c r="W1198" t="s">
        <v>14508</v>
      </c>
      <c r="X1198">
        <v>7</v>
      </c>
      <c r="Y1198" t="s">
        <v>21109</v>
      </c>
      <c r="Z1198" t="s">
        <v>27613</v>
      </c>
      <c r="AA1198">
        <v>0.45884329194305579</v>
      </c>
      <c r="AB1198" t="str">
        <f>HYPERLINK("Melting_Curves/meltCurve_M0QYM7_TUBB4A.pdf", "Melting_Curves/meltCurve_M0QYM7_TUBB4A.pdf")</f>
        <v>Melting_Curves/meltCurve_M0QYM7_TUBB4A.pdf</v>
      </c>
    </row>
    <row r="1199" spans="1:28" x14ac:dyDescent="0.25">
      <c r="A1199" t="s">
        <v>1203</v>
      </c>
      <c r="B1199">
        <v>0.99193492352474899</v>
      </c>
      <c r="C1199">
        <v>0.909026149881065</v>
      </c>
      <c r="D1199">
        <v>1.0341051662854299</v>
      </c>
      <c r="E1199">
        <v>1.3895167824413801</v>
      </c>
      <c r="F1199">
        <v>1.4547749759516599</v>
      </c>
      <c r="G1199">
        <v>0.61661555194453299</v>
      </c>
      <c r="H1199">
        <v>0.13321041474197101</v>
      </c>
      <c r="I1199">
        <v>0.11604710715156601</v>
      </c>
      <c r="J1199">
        <v>0.16243843425048199</v>
      </c>
      <c r="K1199">
        <v>0.11533062356025101</v>
      </c>
      <c r="L1199">
        <v>14213.3377787467</v>
      </c>
      <c r="M1199">
        <v>250</v>
      </c>
      <c r="N1199">
        <v>56.922994017868</v>
      </c>
      <c r="O1199">
        <v>56.849698024017997</v>
      </c>
      <c r="P1199">
        <v>-0.95453800285864798</v>
      </c>
      <c r="Q1199">
        <v>0.131756617797507</v>
      </c>
      <c r="R1199">
        <v>0.85706150421750704</v>
      </c>
      <c r="S1199" t="s">
        <v>7869</v>
      </c>
      <c r="T1199" t="s">
        <v>13338</v>
      </c>
      <c r="U1199" t="s">
        <v>13338</v>
      </c>
      <c r="V1199" t="s">
        <v>13338</v>
      </c>
      <c r="W1199" t="s">
        <v>14509</v>
      </c>
      <c r="X1199">
        <v>7</v>
      </c>
      <c r="Y1199" t="s">
        <v>21110</v>
      </c>
      <c r="Z1199" t="s">
        <v>27614</v>
      </c>
      <c r="AA1199">
        <v>0.61960360074798637</v>
      </c>
      <c r="AB1199" t="str">
        <f>HYPERLINK("Melting_Curves/meltCurve_M0QYS1_RPL13A.pdf", "Melting_Curves/meltCurve_M0QYS1_RPL13A.pdf")</f>
        <v>Melting_Curves/meltCurve_M0QYS1_RPL13A.pdf</v>
      </c>
    </row>
    <row r="1200" spans="1:28" x14ac:dyDescent="0.25">
      <c r="A1200" t="s">
        <v>1204</v>
      </c>
      <c r="B1200">
        <v>0.99193492352474899</v>
      </c>
      <c r="C1200">
        <v>0.54671037657821198</v>
      </c>
      <c r="D1200">
        <v>0.53133804721980604</v>
      </c>
      <c r="E1200">
        <v>0.19512586506756299</v>
      </c>
      <c r="F1200">
        <v>0.14785546597106899</v>
      </c>
      <c r="G1200">
        <v>4.7933874125441797E-2</v>
      </c>
      <c r="H1200">
        <v>3.2244849645911698E-2</v>
      </c>
      <c r="I1200">
        <v>2.10032735072192E-2</v>
      </c>
      <c r="J1200">
        <v>3.1458044609252202E-2</v>
      </c>
      <c r="K1200">
        <v>3.6761439557193298E-2</v>
      </c>
      <c r="L1200">
        <v>664.14022082510496</v>
      </c>
      <c r="M1200">
        <v>14.7047633316726</v>
      </c>
      <c r="N1200">
        <v>45.289766599773699</v>
      </c>
      <c r="O1200">
        <v>44.354361170523802</v>
      </c>
      <c r="P1200">
        <v>-8.1245681733308303E-2</v>
      </c>
      <c r="Q1200">
        <v>1.9853380868770101E-2</v>
      </c>
      <c r="R1200">
        <v>0.952926499387866</v>
      </c>
      <c r="S1200" t="s">
        <v>7870</v>
      </c>
      <c r="T1200" t="s">
        <v>13338</v>
      </c>
      <c r="U1200" t="s">
        <v>13338</v>
      </c>
      <c r="V1200" t="s">
        <v>13338</v>
      </c>
      <c r="W1200" t="s">
        <v>14510</v>
      </c>
      <c r="X1200">
        <v>3</v>
      </c>
      <c r="Y1200" t="s">
        <v>21111</v>
      </c>
      <c r="Z1200" t="s">
        <v>27615</v>
      </c>
      <c r="AA1200">
        <v>0.2208559065789667</v>
      </c>
      <c r="AB1200" t="str">
        <f>HYPERLINK("Melting_Curves/meltCurve_M0QZ22_SAMD4B.pdf", "Melting_Curves/meltCurve_M0QZ22_SAMD4B.pdf")</f>
        <v>Melting_Curves/meltCurve_M0QZ22_SAMD4B.pdf</v>
      </c>
    </row>
    <row r="1201" spans="1:28" x14ac:dyDescent="0.25">
      <c r="A1201" t="s">
        <v>1205</v>
      </c>
      <c r="B1201">
        <v>0.99193492352474899</v>
      </c>
      <c r="C1201">
        <v>0.90242599166287796</v>
      </c>
      <c r="D1201">
        <v>0.78293714117761504</v>
      </c>
      <c r="E1201">
        <v>0.34595084233962498</v>
      </c>
      <c r="F1201">
        <v>0.182840911515677</v>
      </c>
      <c r="G1201">
        <v>0.12274452467470399</v>
      </c>
      <c r="H1201">
        <v>9.23946792701415E-2</v>
      </c>
      <c r="I1201">
        <v>0.124528246385679</v>
      </c>
      <c r="J1201">
        <v>0.13484185869943699</v>
      </c>
      <c r="K1201">
        <v>0.162267655311128</v>
      </c>
      <c r="L1201">
        <v>1254.40243314436</v>
      </c>
      <c r="M1201">
        <v>26.302598032467898</v>
      </c>
      <c r="N1201">
        <v>48.213475855770902</v>
      </c>
      <c r="O1201">
        <v>47.418087424909601</v>
      </c>
      <c r="P1201">
        <v>-0.121485102200175</v>
      </c>
      <c r="Q1201">
        <v>0.12396064948525699</v>
      </c>
      <c r="R1201">
        <v>0.99439638580642797</v>
      </c>
      <c r="S1201" t="s">
        <v>7871</v>
      </c>
      <c r="T1201" t="s">
        <v>13338</v>
      </c>
      <c r="U1201" t="s">
        <v>13338</v>
      </c>
      <c r="V1201" t="s">
        <v>13338</v>
      </c>
      <c r="W1201" t="s">
        <v>14511</v>
      </c>
      <c r="X1201">
        <v>7</v>
      </c>
      <c r="Y1201" t="s">
        <v>21112</v>
      </c>
      <c r="Z1201" t="s">
        <v>27616</v>
      </c>
      <c r="AA1201">
        <v>0.35550778834134361</v>
      </c>
      <c r="AB1201" t="str">
        <f>HYPERLINK("Melting_Curves/meltCurve_M0QZI3_FCHO1.pdf", "Melting_Curves/meltCurve_M0QZI3_FCHO1.pdf")</f>
        <v>Melting_Curves/meltCurve_M0QZI3_FCHO1.pdf</v>
      </c>
    </row>
    <row r="1202" spans="1:28" x14ac:dyDescent="0.25">
      <c r="A1202" t="s">
        <v>1206</v>
      </c>
      <c r="B1202">
        <v>0.99193492352474899</v>
      </c>
      <c r="C1202">
        <v>0.81014476371076305</v>
      </c>
      <c r="D1202">
        <v>0.75161760202322203</v>
      </c>
      <c r="E1202">
        <v>0.41105516616388499</v>
      </c>
      <c r="F1202">
        <v>0.150091952567418</v>
      </c>
      <c r="G1202">
        <v>8.0476062120696704E-2</v>
      </c>
      <c r="H1202">
        <v>5.2579505828604302E-2</v>
      </c>
      <c r="I1202">
        <v>5.0756670989084797E-2</v>
      </c>
      <c r="J1202">
        <v>0.10291010767822301</v>
      </c>
      <c r="K1202">
        <v>0.1061238125523</v>
      </c>
      <c r="L1202">
        <v>894.41689882639105</v>
      </c>
      <c r="M1202">
        <v>18.650061715333599</v>
      </c>
      <c r="N1202">
        <v>48.285886247886801</v>
      </c>
      <c r="O1202">
        <v>47.416700105662798</v>
      </c>
      <c r="P1202">
        <v>-9.2483705482940798E-2</v>
      </c>
      <c r="Q1202">
        <v>5.9502969314291103E-2</v>
      </c>
      <c r="R1202">
        <v>0.98457873788789896</v>
      </c>
      <c r="S1202" t="s">
        <v>7872</v>
      </c>
      <c r="T1202" t="s">
        <v>13338</v>
      </c>
      <c r="U1202" t="s">
        <v>13338</v>
      </c>
      <c r="V1202" t="s">
        <v>13338</v>
      </c>
      <c r="W1202" t="s">
        <v>14512</v>
      </c>
      <c r="X1202">
        <v>1</v>
      </c>
      <c r="Y1202" t="s">
        <v>21113</v>
      </c>
      <c r="Z1202" t="s">
        <v>27617</v>
      </c>
      <c r="AA1202">
        <v>0.32449008025331738</v>
      </c>
      <c r="AB1202" t="str">
        <f>HYPERLINK("Melting_Curves/meltCurve_M0QZL8_JOSD2.pdf", "Melting_Curves/meltCurve_M0QZL8_JOSD2.pdf")</f>
        <v>Melting_Curves/meltCurve_M0QZL8_JOSD2.pdf</v>
      </c>
    </row>
    <row r="1203" spans="1:28" x14ac:dyDescent="0.25">
      <c r="A1203" t="s">
        <v>1207</v>
      </c>
      <c r="B1203">
        <v>0.99193492352474899</v>
      </c>
      <c r="C1203">
        <v>0.87156927852828603</v>
      </c>
      <c r="D1203">
        <v>0.84095495196144798</v>
      </c>
      <c r="E1203">
        <v>0.714058526905197</v>
      </c>
      <c r="F1203">
        <v>0.61704316477833299</v>
      </c>
      <c r="G1203">
        <v>0.79622793750954102</v>
      </c>
      <c r="H1203">
        <v>0.46020217981424799</v>
      </c>
      <c r="I1203">
        <v>0.88960584414325505</v>
      </c>
      <c r="J1203">
        <v>1.0631925046634301</v>
      </c>
      <c r="K1203">
        <v>1.19983933905323</v>
      </c>
      <c r="L1203">
        <v>2218.1280710183</v>
      </c>
      <c r="M1203">
        <v>52.627073858278699</v>
      </c>
      <c r="O1203">
        <v>42.087318988010502</v>
      </c>
      <c r="P1203">
        <v>-5.5566804394906501E-2</v>
      </c>
      <c r="Q1203">
        <v>0.82224693042650598</v>
      </c>
      <c r="R1203">
        <v>6.3123458434832996E-2</v>
      </c>
      <c r="S1203" t="s">
        <v>7873</v>
      </c>
      <c r="T1203" t="s">
        <v>13338</v>
      </c>
      <c r="U1203" t="s">
        <v>13338</v>
      </c>
      <c r="V1203" t="s">
        <v>13338</v>
      </c>
      <c r="W1203" t="s">
        <v>14513</v>
      </c>
      <c r="X1203">
        <v>1</v>
      </c>
      <c r="Y1203" t="s">
        <v>21114</v>
      </c>
      <c r="Z1203" t="s">
        <v>27618</v>
      </c>
      <c r="AA1203">
        <v>0.83550987086191264</v>
      </c>
      <c r="AB1203" t="str">
        <f>HYPERLINK("Melting_Curves/meltCurve_M0QZP6_CD37.pdf", "Melting_Curves/meltCurve_M0QZP6_CD37.pdf")</f>
        <v>Melting_Curves/meltCurve_M0QZP6_CD37.pdf</v>
      </c>
    </row>
    <row r="1204" spans="1:28" x14ac:dyDescent="0.25">
      <c r="A1204" t="s">
        <v>1208</v>
      </c>
      <c r="B1204">
        <v>0.99193492352474899</v>
      </c>
      <c r="C1204">
        <v>0.68848803976422301</v>
      </c>
      <c r="D1204">
        <v>0.38083169765147801</v>
      </c>
      <c r="E1204">
        <v>0.15833808371010399</v>
      </c>
      <c r="F1204">
        <v>0.10021476413707101</v>
      </c>
      <c r="G1204">
        <v>6.6047623602363506E-2</v>
      </c>
      <c r="H1204">
        <v>4.1254790751441797E-2</v>
      </c>
      <c r="I1204">
        <v>4.8969720482492797E-2</v>
      </c>
      <c r="J1204">
        <v>6.2239834668166898E-2</v>
      </c>
      <c r="K1204">
        <v>5.2941543540238799E-2</v>
      </c>
      <c r="L1204">
        <v>987.47882798600597</v>
      </c>
      <c r="M1204">
        <v>22.146539114877001</v>
      </c>
      <c r="N1204">
        <v>44.8331965594843</v>
      </c>
      <c r="O1204">
        <v>44.229616354584103</v>
      </c>
      <c r="P1204">
        <v>-0.11805272892642101</v>
      </c>
      <c r="Q1204">
        <v>5.6951490488415697E-2</v>
      </c>
      <c r="R1204">
        <v>0.99414612524538504</v>
      </c>
      <c r="S1204" t="s">
        <v>7874</v>
      </c>
      <c r="T1204" t="s">
        <v>13338</v>
      </c>
      <c r="U1204" t="s">
        <v>13338</v>
      </c>
      <c r="V1204" t="s">
        <v>13338</v>
      </c>
      <c r="W1204" t="s">
        <v>14514</v>
      </c>
      <c r="X1204">
        <v>31</v>
      </c>
      <c r="Y1204" t="s">
        <v>21115</v>
      </c>
      <c r="Z1204" t="s">
        <v>27619</v>
      </c>
      <c r="AA1204">
        <v>0.21439340074309529</v>
      </c>
      <c r="AB1204" t="str">
        <f>HYPERLINK("Melting_Curves/meltCurve_M0QZR4_ARHGEF1.pdf", "Melting_Curves/meltCurve_M0QZR4_ARHGEF1.pdf")</f>
        <v>Melting_Curves/meltCurve_M0QZR4_ARHGEF1.pdf</v>
      </c>
    </row>
    <row r="1205" spans="1:28" x14ac:dyDescent="0.25">
      <c r="A1205" t="s">
        <v>1209</v>
      </c>
      <c r="B1205">
        <v>0.99193492352474899</v>
      </c>
      <c r="C1205">
        <v>0.97764471675551801</v>
      </c>
      <c r="D1205">
        <v>1.1090579537739</v>
      </c>
      <c r="E1205">
        <v>0.78493384132094801</v>
      </c>
      <c r="F1205">
        <v>0.71214323413894198</v>
      </c>
      <c r="G1205">
        <v>0.62994676489196699</v>
      </c>
      <c r="H1205">
        <v>0.35968234364285401</v>
      </c>
      <c r="I1205">
        <v>0.34251106723578001</v>
      </c>
      <c r="J1205">
        <v>0.43666139364386503</v>
      </c>
      <c r="K1205">
        <v>0.37672168547963403</v>
      </c>
      <c r="L1205">
        <v>917.28626068053995</v>
      </c>
      <c r="M1205">
        <v>17.0138920153179</v>
      </c>
      <c r="N1205">
        <v>58.120632469694399</v>
      </c>
      <c r="O1205">
        <v>53.1856731309501</v>
      </c>
      <c r="P1205">
        <v>-5.16613316698969E-2</v>
      </c>
      <c r="Q1205">
        <v>0.35406345493680502</v>
      </c>
      <c r="R1205">
        <v>0.93480340266886597</v>
      </c>
      <c r="S1205" t="s">
        <v>7875</v>
      </c>
      <c r="T1205" t="s">
        <v>13338</v>
      </c>
      <c r="U1205" t="s">
        <v>13338</v>
      </c>
      <c r="V1205" t="s">
        <v>13338</v>
      </c>
      <c r="W1205" t="s">
        <v>14508</v>
      </c>
      <c r="X1205">
        <v>7</v>
      </c>
      <c r="Y1205" t="s">
        <v>21109</v>
      </c>
      <c r="Z1205" t="s">
        <v>27620</v>
      </c>
      <c r="AA1205">
        <v>0.66489486977260437</v>
      </c>
      <c r="AB1205" t="str">
        <f>HYPERLINK("Melting_Curves/meltCurve_M0R042_TUBB4A.pdf", "Melting_Curves/meltCurve_M0R042_TUBB4A.pdf")</f>
        <v>Melting_Curves/meltCurve_M0R042_TUBB4A.pdf</v>
      </c>
    </row>
    <row r="1206" spans="1:28" x14ac:dyDescent="0.25">
      <c r="A1206" t="s">
        <v>1210</v>
      </c>
      <c r="B1206">
        <v>0.99193492352474899</v>
      </c>
      <c r="C1206">
        <v>0.86608204525403498</v>
      </c>
      <c r="D1206">
        <v>1.07061550523129</v>
      </c>
      <c r="E1206">
        <v>0.66432671329817194</v>
      </c>
      <c r="F1206">
        <v>0.41690239019511699</v>
      </c>
      <c r="G1206">
        <v>0.194964098377823</v>
      </c>
      <c r="H1206">
        <v>0.29927280203616202</v>
      </c>
      <c r="I1206">
        <v>0.96232947710407901</v>
      </c>
      <c r="J1206">
        <v>0.90683227183647097</v>
      </c>
      <c r="K1206">
        <v>1.81555194983066</v>
      </c>
      <c r="L1206">
        <v>11928.5364427033</v>
      </c>
      <c r="M1206">
        <v>250</v>
      </c>
      <c r="O1206">
        <v>47.711074301099302</v>
      </c>
      <c r="P1206">
        <v>-0.32558802444970503</v>
      </c>
      <c r="Q1206">
        <v>0.75145343472525605</v>
      </c>
      <c r="R1206">
        <v>5.3201359421008003E-2</v>
      </c>
      <c r="S1206" t="s">
        <v>7876</v>
      </c>
      <c r="T1206" t="s">
        <v>13338</v>
      </c>
      <c r="U1206" t="s">
        <v>13338</v>
      </c>
      <c r="V1206" t="s">
        <v>13338</v>
      </c>
      <c r="W1206" t="s">
        <v>14515</v>
      </c>
      <c r="X1206">
        <v>1</v>
      </c>
      <c r="Y1206" t="s">
        <v>21116</v>
      </c>
      <c r="Z1206" t="s">
        <v>27621</v>
      </c>
      <c r="AA1206">
        <v>0.8153850619260935</v>
      </c>
      <c r="AB1206" t="str">
        <f>HYPERLINK("Melting_Curves/meltCurve_M0R087_ZNF575.pdf", "Melting_Curves/meltCurve_M0R087_ZNF575.pdf")</f>
        <v>Melting_Curves/meltCurve_M0R087_ZNF575.pdf</v>
      </c>
    </row>
    <row r="1207" spans="1:28" x14ac:dyDescent="0.25">
      <c r="A1207" t="s">
        <v>1211</v>
      </c>
      <c r="B1207">
        <v>0.99193492352474899</v>
      </c>
      <c r="C1207">
        <v>0.95691031479570199</v>
      </c>
      <c r="D1207">
        <v>0.82300469053321101</v>
      </c>
      <c r="E1207">
        <v>0.75986921750272496</v>
      </c>
      <c r="F1207">
        <v>0.58985236658048601</v>
      </c>
      <c r="G1207">
        <v>0.38600655511193899</v>
      </c>
      <c r="H1207">
        <v>0.19380641834807399</v>
      </c>
      <c r="I1207">
        <v>0.140703012183231</v>
      </c>
      <c r="J1207">
        <v>0.16872937835114299</v>
      </c>
      <c r="K1207">
        <v>0.222015136563669</v>
      </c>
      <c r="L1207">
        <v>693.52284754409595</v>
      </c>
      <c r="M1207">
        <v>13.087309197647899</v>
      </c>
      <c r="N1207">
        <v>54.0513375021809</v>
      </c>
      <c r="O1207">
        <v>51.800551311309903</v>
      </c>
      <c r="P1207">
        <v>-5.6026819986286301E-2</v>
      </c>
      <c r="Q1207">
        <v>0.113119232756323</v>
      </c>
      <c r="R1207">
        <v>0.98140907684547196</v>
      </c>
      <c r="S1207" t="s">
        <v>7877</v>
      </c>
      <c r="T1207" t="s">
        <v>13338</v>
      </c>
      <c r="U1207" t="s">
        <v>13338</v>
      </c>
      <c r="V1207" t="s">
        <v>13338</v>
      </c>
      <c r="W1207" t="s">
        <v>14516</v>
      </c>
      <c r="X1207">
        <v>4</v>
      </c>
      <c r="Y1207" t="s">
        <v>21117</v>
      </c>
      <c r="Z1207" t="s">
        <v>27622</v>
      </c>
      <c r="AA1207">
        <v>0.52002270030024589</v>
      </c>
      <c r="AB1207" t="str">
        <f>HYPERLINK("Melting_Curves/meltCurve_M0R0B4_KXD1.pdf", "Melting_Curves/meltCurve_M0R0B4_KXD1.pdf")</f>
        <v>Melting_Curves/meltCurve_M0R0B4_KXD1.pdf</v>
      </c>
    </row>
    <row r="1208" spans="1:28" x14ac:dyDescent="0.25">
      <c r="A1208" t="s">
        <v>1212</v>
      </c>
      <c r="B1208">
        <v>0.99193492352474899</v>
      </c>
      <c r="C1208">
        <v>0.87151243465305595</v>
      </c>
      <c r="D1208">
        <v>0.84610849722579695</v>
      </c>
      <c r="E1208">
        <v>0.69409741990746898</v>
      </c>
      <c r="F1208">
        <v>0.46467831005149102</v>
      </c>
      <c r="G1208">
        <v>0.22305678916485799</v>
      </c>
      <c r="H1208">
        <v>0.12286699381463501</v>
      </c>
      <c r="I1208">
        <v>0.110910141133226</v>
      </c>
      <c r="J1208">
        <v>0.11836207151483299</v>
      </c>
      <c r="K1208">
        <v>0.106155512523645</v>
      </c>
      <c r="L1208">
        <v>728.54365692480701</v>
      </c>
      <c r="M1208">
        <v>14.1088312683375</v>
      </c>
      <c r="N1208">
        <v>52.104760305498601</v>
      </c>
      <c r="O1208">
        <v>50.633254383764601</v>
      </c>
      <c r="P1208">
        <v>-6.5530091202309695E-2</v>
      </c>
      <c r="Q1208">
        <v>5.9432839832848902E-2</v>
      </c>
      <c r="R1208">
        <v>0.98950854367529795</v>
      </c>
      <c r="S1208" t="s">
        <v>7878</v>
      </c>
      <c r="T1208" t="s">
        <v>13338</v>
      </c>
      <c r="U1208" t="s">
        <v>13338</v>
      </c>
      <c r="V1208" t="s">
        <v>13338</v>
      </c>
      <c r="W1208" t="s">
        <v>14517</v>
      </c>
      <c r="X1208">
        <v>11</v>
      </c>
      <c r="Y1208" t="s">
        <v>21118</v>
      </c>
      <c r="Z1208" t="s">
        <v>27623</v>
      </c>
      <c r="AA1208">
        <v>0.44769204104847632</v>
      </c>
      <c r="AB1208" t="str">
        <f>HYPERLINK("Melting_Curves/meltCurve_M0R0F0_RPS5.pdf", "Melting_Curves/meltCurve_M0R0F0_RPS5.pdf")</f>
        <v>Melting_Curves/meltCurve_M0R0F0_RPS5.pdf</v>
      </c>
    </row>
    <row r="1209" spans="1:28" x14ac:dyDescent="0.25">
      <c r="A1209" t="s">
        <v>1213</v>
      </c>
      <c r="B1209">
        <v>0.99193492352474899</v>
      </c>
      <c r="C1209">
        <v>0.83669485553771195</v>
      </c>
      <c r="D1209">
        <v>0.90963333484308195</v>
      </c>
      <c r="E1209">
        <v>0.66908001646625803</v>
      </c>
      <c r="F1209">
        <v>0.68376151225743598</v>
      </c>
      <c r="G1209">
        <v>0.38177523886435</v>
      </c>
      <c r="H1209">
        <v>0.20869260896466399</v>
      </c>
      <c r="I1209">
        <v>0.18535189923776901</v>
      </c>
      <c r="J1209">
        <v>0.14669225003090999</v>
      </c>
      <c r="K1209">
        <v>0.19240881512094099</v>
      </c>
      <c r="L1209">
        <v>566.78987803457403</v>
      </c>
      <c r="M1209">
        <v>10.501563313093399</v>
      </c>
      <c r="N1209">
        <v>54.548025550879601</v>
      </c>
      <c r="O1209">
        <v>52.125035350491203</v>
      </c>
      <c r="P1209">
        <v>-4.7742727901017502E-2</v>
      </c>
      <c r="Q1209">
        <v>5.24883893105716E-2</v>
      </c>
      <c r="R1209">
        <v>0.95913748330082604</v>
      </c>
      <c r="S1209" t="s">
        <v>7879</v>
      </c>
      <c r="T1209" t="s">
        <v>13338</v>
      </c>
      <c r="U1209" t="s">
        <v>13338</v>
      </c>
      <c r="V1209" t="s">
        <v>13338</v>
      </c>
      <c r="W1209" t="s">
        <v>14518</v>
      </c>
      <c r="X1209">
        <v>4</v>
      </c>
      <c r="Y1209" t="s">
        <v>21119</v>
      </c>
      <c r="Z1209" t="s">
        <v>27624</v>
      </c>
      <c r="AA1209">
        <v>0.52152067950014147</v>
      </c>
      <c r="AB1209" t="str">
        <f>HYPERLINK("Melting_Curves/meltCurve_M0R0N4_AP2S1.pdf", "Melting_Curves/meltCurve_M0R0N4_AP2S1.pdf")</f>
        <v>Melting_Curves/meltCurve_M0R0N4_AP2S1.pdf</v>
      </c>
    </row>
    <row r="1210" spans="1:28" x14ac:dyDescent="0.25">
      <c r="A1210" t="s">
        <v>1214</v>
      </c>
      <c r="B1210">
        <v>0.99193492352474899</v>
      </c>
      <c r="C1210">
        <v>0.83581889072291304</v>
      </c>
      <c r="D1210">
        <v>0.70757786024963898</v>
      </c>
      <c r="E1210">
        <v>0.368263673162736</v>
      </c>
      <c r="F1210">
        <v>0.31096732902002999</v>
      </c>
      <c r="G1210">
        <v>0.17856048061868701</v>
      </c>
      <c r="H1210">
        <v>0.121316894210019</v>
      </c>
      <c r="I1210">
        <v>0.13045234535325501</v>
      </c>
      <c r="J1210">
        <v>0.155998401608445</v>
      </c>
      <c r="K1210">
        <v>0.226821246452067</v>
      </c>
      <c r="L1210">
        <v>828.70030675600697</v>
      </c>
      <c r="M1210">
        <v>17.555680914535198</v>
      </c>
      <c r="N1210">
        <v>48.215578664144601</v>
      </c>
      <c r="O1210">
        <v>46.604400857225102</v>
      </c>
      <c r="P1210">
        <v>-7.9671768018655595E-2</v>
      </c>
      <c r="Q1210">
        <v>0.15403954157986</v>
      </c>
      <c r="R1210">
        <v>0.98215205998357702</v>
      </c>
      <c r="S1210" t="s">
        <v>7880</v>
      </c>
      <c r="T1210" t="s">
        <v>13338</v>
      </c>
      <c r="U1210" t="s">
        <v>13338</v>
      </c>
      <c r="V1210" t="s">
        <v>13338</v>
      </c>
      <c r="W1210" t="s">
        <v>14176</v>
      </c>
      <c r="X1210">
        <v>12</v>
      </c>
      <c r="Z1210" t="s">
        <v>27625</v>
      </c>
      <c r="AA1210">
        <v>0.3734999072076009</v>
      </c>
      <c r="AB1210" t="str">
        <f>HYPERLINK("Melting_Curves/meltCurve_M0R150_.pdf", "Melting_Curves/meltCurve_M0R150_.pdf")</f>
        <v>Melting_Curves/meltCurve_M0R150_.pdf</v>
      </c>
    </row>
    <row r="1211" spans="1:28" x14ac:dyDescent="0.25">
      <c r="A1211" t="s">
        <v>1215</v>
      </c>
      <c r="B1211">
        <v>0.99193492352474899</v>
      </c>
      <c r="C1211">
        <v>0.79339559733776099</v>
      </c>
      <c r="D1211">
        <v>1.17896456913876</v>
      </c>
      <c r="E1211">
        <v>1.7033618612996599</v>
      </c>
      <c r="F1211">
        <v>0.45932495515088201</v>
      </c>
      <c r="G1211">
        <v>0.32425460535222</v>
      </c>
      <c r="H1211">
        <v>0.29148038643794799</v>
      </c>
      <c r="I1211">
        <v>0.45927462004915898</v>
      </c>
      <c r="J1211">
        <v>0.305876021904119</v>
      </c>
      <c r="K1211">
        <v>0.33592996502247902</v>
      </c>
      <c r="L1211">
        <v>13218.0957717417</v>
      </c>
      <c r="M1211">
        <v>250</v>
      </c>
      <c r="N1211">
        <v>53.119002808581698</v>
      </c>
      <c r="O1211">
        <v>52.868983671505802</v>
      </c>
      <c r="P1211">
        <v>-0.77625467881757104</v>
      </c>
      <c r="Q1211">
        <v>0.34336306691009</v>
      </c>
      <c r="R1211">
        <v>0.71196071984747999</v>
      </c>
      <c r="S1211" t="s">
        <v>7881</v>
      </c>
      <c r="T1211" t="s">
        <v>13338</v>
      </c>
      <c r="U1211" t="s">
        <v>13338</v>
      </c>
      <c r="V1211" t="s">
        <v>13338</v>
      </c>
      <c r="W1211" t="s">
        <v>14519</v>
      </c>
      <c r="X1211">
        <v>1</v>
      </c>
      <c r="Y1211" t="s">
        <v>21120</v>
      </c>
      <c r="Z1211" t="s">
        <v>27626</v>
      </c>
      <c r="AA1211">
        <v>0.62517340144811451</v>
      </c>
      <c r="AB1211" t="str">
        <f>HYPERLINK("Melting_Curves/meltCurve_M0R226_MRPL34.pdf", "Melting_Curves/meltCurve_M0R226_MRPL34.pdf")</f>
        <v>Melting_Curves/meltCurve_M0R226_MRPL34.pdf</v>
      </c>
    </row>
    <row r="1212" spans="1:28" x14ac:dyDescent="0.25">
      <c r="A1212" t="s">
        <v>1216</v>
      </c>
      <c r="B1212">
        <v>0.99193492352474899</v>
      </c>
      <c r="C1212">
        <v>0.85156713110152904</v>
      </c>
      <c r="D1212">
        <v>0.96952878891009997</v>
      </c>
      <c r="E1212">
        <v>0.81461381975405101</v>
      </c>
      <c r="F1212">
        <v>0.66463305605332401</v>
      </c>
      <c r="G1212">
        <v>0.22508289395541001</v>
      </c>
      <c r="H1212">
        <v>0.14742664693344101</v>
      </c>
      <c r="I1212">
        <v>0.14923323869245</v>
      </c>
      <c r="J1212">
        <v>0.16450883936416699</v>
      </c>
      <c r="K1212">
        <v>0.19283855230847199</v>
      </c>
      <c r="L1212">
        <v>1369.4404981067901</v>
      </c>
      <c r="M1212">
        <v>25.676551151799799</v>
      </c>
      <c r="N1212">
        <v>54.047742330387599</v>
      </c>
      <c r="O1212">
        <v>53.013931178466599</v>
      </c>
      <c r="P1212">
        <v>-0.10368107569825501</v>
      </c>
      <c r="Q1212">
        <v>0.14373626166429401</v>
      </c>
      <c r="R1212">
        <v>0.96610364428047801</v>
      </c>
      <c r="S1212" t="s">
        <v>7882</v>
      </c>
      <c r="T1212" t="s">
        <v>13338</v>
      </c>
      <c r="U1212" t="s">
        <v>13338</v>
      </c>
      <c r="V1212" t="s">
        <v>13338</v>
      </c>
      <c r="W1212" t="s">
        <v>14520</v>
      </c>
      <c r="X1212">
        <v>5</v>
      </c>
      <c r="Y1212" t="s">
        <v>21121</v>
      </c>
      <c r="Z1212" t="s">
        <v>27627</v>
      </c>
      <c r="AA1212">
        <v>0.53184139805389874</v>
      </c>
      <c r="AB1212" t="str">
        <f>HYPERLINK("Melting_Curves/meltCurve_M0R2A0_EMC10.pdf", "Melting_Curves/meltCurve_M0R2A0_EMC10.pdf")</f>
        <v>Melting_Curves/meltCurve_M0R2A0_EMC10.pdf</v>
      </c>
    </row>
    <row r="1213" spans="1:28" x14ac:dyDescent="0.25">
      <c r="A1213" t="s">
        <v>1217</v>
      </c>
      <c r="B1213">
        <v>0.99193492352474899</v>
      </c>
      <c r="C1213">
        <v>0.74278895341530204</v>
      </c>
      <c r="D1213">
        <v>0.64020608264064005</v>
      </c>
      <c r="E1213">
        <v>0.22421181618972699</v>
      </c>
      <c r="F1213">
        <v>0.17829655584405099</v>
      </c>
      <c r="G1213">
        <v>0.108219153528957</v>
      </c>
      <c r="H1213">
        <v>6.0716027272489599E-2</v>
      </c>
      <c r="I1213">
        <v>5.5546144407184E-2</v>
      </c>
      <c r="J1213">
        <v>5.8158895931859002E-2</v>
      </c>
      <c r="K1213">
        <v>5.2513567263866502E-2</v>
      </c>
      <c r="L1213">
        <v>802.23814676009397</v>
      </c>
      <c r="M1213">
        <v>17.268978145861801</v>
      </c>
      <c r="N1213">
        <v>46.757143637101997</v>
      </c>
      <c r="O1213">
        <v>45.845940664812197</v>
      </c>
      <c r="P1213">
        <v>-8.9209078399906799E-2</v>
      </c>
      <c r="Q1213">
        <v>5.2721049572616703E-2</v>
      </c>
      <c r="R1213">
        <v>0.98266774367381204</v>
      </c>
      <c r="S1213" t="s">
        <v>7883</v>
      </c>
      <c r="T1213" t="s">
        <v>13338</v>
      </c>
      <c r="U1213" t="s">
        <v>13338</v>
      </c>
      <c r="V1213" t="s">
        <v>13338</v>
      </c>
      <c r="W1213" t="s">
        <v>13393</v>
      </c>
      <c r="X1213">
        <v>30</v>
      </c>
      <c r="Y1213" t="s">
        <v>21122</v>
      </c>
      <c r="Z1213" t="s">
        <v>27628</v>
      </c>
      <c r="AA1213">
        <v>0.27629947689031498</v>
      </c>
      <c r="AB1213" t="str">
        <f>HYPERLINK("Melting_Curves/meltCurve_M0R2B7_POLD1.pdf", "Melting_Curves/meltCurve_M0R2B7_POLD1.pdf")</f>
        <v>Melting_Curves/meltCurve_M0R2B7_POLD1.pdf</v>
      </c>
    </row>
    <row r="1214" spans="1:28" x14ac:dyDescent="0.25">
      <c r="A1214" t="s">
        <v>1218</v>
      </c>
      <c r="B1214">
        <v>0.99193492352474899</v>
      </c>
      <c r="C1214">
        <v>0.74542061861419795</v>
      </c>
      <c r="D1214">
        <v>0.63453964371668303</v>
      </c>
      <c r="E1214">
        <v>0.53767081792055205</v>
      </c>
      <c r="F1214">
        <v>0.55636296330997104</v>
      </c>
      <c r="G1214">
        <v>0.31267457437559099</v>
      </c>
      <c r="H1214">
        <v>0.29143621565779299</v>
      </c>
      <c r="I1214">
        <v>0.274503773343726</v>
      </c>
      <c r="J1214">
        <v>0.24627967381584001</v>
      </c>
      <c r="K1214">
        <v>0.47054192534929701</v>
      </c>
      <c r="L1214">
        <v>543.41005493359705</v>
      </c>
      <c r="M1214">
        <v>11.7180098023459</v>
      </c>
      <c r="N1214">
        <v>50.422027367003501</v>
      </c>
      <c r="O1214">
        <v>45.085113652137601</v>
      </c>
      <c r="P1214">
        <v>-4.5181610316340298E-2</v>
      </c>
      <c r="Q1214">
        <v>0.30483728855883202</v>
      </c>
      <c r="R1214">
        <v>0.87026870507954102</v>
      </c>
      <c r="S1214" t="s">
        <v>7884</v>
      </c>
      <c r="T1214" t="s">
        <v>13338</v>
      </c>
      <c r="U1214" t="s">
        <v>13338</v>
      </c>
      <c r="V1214" t="s">
        <v>13338</v>
      </c>
      <c r="W1214" t="s">
        <v>14521</v>
      </c>
      <c r="X1214">
        <v>1</v>
      </c>
      <c r="Y1214" t="s">
        <v>21123</v>
      </c>
      <c r="Z1214" t="s">
        <v>27629</v>
      </c>
      <c r="AA1214">
        <v>0.48455642220066442</v>
      </c>
      <c r="AB1214" t="str">
        <f>HYPERLINK("Melting_Curves/meltCurve_M0R2P6_SHKBP1.pdf", "Melting_Curves/meltCurve_M0R2P6_SHKBP1.pdf")</f>
        <v>Melting_Curves/meltCurve_M0R2P6_SHKBP1.pdf</v>
      </c>
    </row>
    <row r="1215" spans="1:28" x14ac:dyDescent="0.25">
      <c r="A1215" t="s">
        <v>1219</v>
      </c>
      <c r="B1215">
        <v>0.99193492352474899</v>
      </c>
      <c r="C1215">
        <v>0.87242199256174102</v>
      </c>
      <c r="D1215">
        <v>0.99526902573873</v>
      </c>
      <c r="E1215">
        <v>0.51181725388467603</v>
      </c>
      <c r="F1215">
        <v>0.35343958109944401</v>
      </c>
      <c r="G1215">
        <v>0.207516087273555</v>
      </c>
      <c r="H1215">
        <v>0.127887074256921</v>
      </c>
      <c r="I1215">
        <v>0.115153084781197</v>
      </c>
      <c r="J1215">
        <v>0.12262125975341399</v>
      </c>
      <c r="K1215">
        <v>0.105083712525607</v>
      </c>
      <c r="L1215">
        <v>1052.86536600407</v>
      </c>
      <c r="M1215">
        <v>21.071816861117501</v>
      </c>
      <c r="N1215">
        <v>50.609164663209199</v>
      </c>
      <c r="O1215">
        <v>49.522097088254903</v>
      </c>
      <c r="P1215">
        <v>-9.3875664275682003E-2</v>
      </c>
      <c r="Q1215">
        <v>0.117532843173126</v>
      </c>
      <c r="R1215">
        <v>0.973579574328018</v>
      </c>
      <c r="S1215" t="s">
        <v>7885</v>
      </c>
      <c r="T1215" t="s">
        <v>13338</v>
      </c>
      <c r="U1215" t="s">
        <v>13338</v>
      </c>
      <c r="V1215" t="s">
        <v>13338</v>
      </c>
      <c r="W1215" t="s">
        <v>14522</v>
      </c>
      <c r="X1215">
        <v>4</v>
      </c>
      <c r="Y1215" t="s">
        <v>21124</v>
      </c>
      <c r="Z1215" t="s">
        <v>27630</v>
      </c>
      <c r="AA1215">
        <v>0.4217655323470853</v>
      </c>
      <c r="AB1215" t="str">
        <f>HYPERLINK("Melting_Curves/meltCurve_M0R300_MYO9B.pdf", "Melting_Curves/meltCurve_M0R300_MYO9B.pdf")</f>
        <v>Melting_Curves/meltCurve_M0R300_MYO9B.pdf</v>
      </c>
    </row>
    <row r="1216" spans="1:28" x14ac:dyDescent="0.25">
      <c r="A1216" t="s">
        <v>1220</v>
      </c>
      <c r="B1216">
        <v>0.99193492352474899</v>
      </c>
      <c r="C1216">
        <v>0.90164972886392103</v>
      </c>
      <c r="D1216">
        <v>1.03754882794892</v>
      </c>
      <c r="E1216">
        <v>0.85510093775152096</v>
      </c>
      <c r="F1216">
        <v>0.80151908350142398</v>
      </c>
      <c r="G1216">
        <v>0.61990032276023299</v>
      </c>
      <c r="H1216">
        <v>0.49780962168245202</v>
      </c>
      <c r="I1216">
        <v>0.53898079192730197</v>
      </c>
      <c r="J1216">
        <v>0.65757036554165604</v>
      </c>
      <c r="K1216">
        <v>0.66185825440393597</v>
      </c>
      <c r="L1216">
        <v>1265.8648518227701</v>
      </c>
      <c r="M1216">
        <v>24.253751270621098</v>
      </c>
      <c r="O1216">
        <v>51.841605288458801</v>
      </c>
      <c r="P1216">
        <v>-4.8336289129098299E-2</v>
      </c>
      <c r="Q1216">
        <v>0.58673727679634402</v>
      </c>
      <c r="R1216">
        <v>0.86914666029705401</v>
      </c>
      <c r="S1216" t="s">
        <v>7886</v>
      </c>
      <c r="T1216" t="s">
        <v>13338</v>
      </c>
      <c r="U1216" t="s">
        <v>13338</v>
      </c>
      <c r="V1216" t="s">
        <v>13338</v>
      </c>
      <c r="W1216" t="s">
        <v>14523</v>
      </c>
      <c r="X1216">
        <v>3</v>
      </c>
      <c r="Y1216" t="s">
        <v>21125</v>
      </c>
      <c r="Z1216" t="s">
        <v>27631</v>
      </c>
      <c r="AA1216">
        <v>0.75869938797274794</v>
      </c>
      <c r="AB1216" t="str">
        <f>HYPERLINK("Melting_Curves/meltCurve_M0R3D4_RABAC1.pdf", "Melting_Curves/meltCurve_M0R3D4_RABAC1.pdf")</f>
        <v>Melting_Curves/meltCurve_M0R3D4_RABAC1.pdf</v>
      </c>
    </row>
    <row r="1217" spans="1:28" x14ac:dyDescent="0.25">
      <c r="A1217" t="s">
        <v>1221</v>
      </c>
      <c r="B1217">
        <v>0.99193492352474899</v>
      </c>
      <c r="C1217">
        <v>0.925735353437379</v>
      </c>
      <c r="D1217">
        <v>0.92053714846685797</v>
      </c>
      <c r="E1217">
        <v>0.69584898403737805</v>
      </c>
      <c r="F1217">
        <v>0.23392810222343999</v>
      </c>
      <c r="G1217">
        <v>0.135660432059755</v>
      </c>
      <c r="H1217">
        <v>8.7249075182753294E-2</v>
      </c>
      <c r="I1217">
        <v>8.1927279204231096E-2</v>
      </c>
      <c r="J1217">
        <v>9.5894369876086002E-2</v>
      </c>
      <c r="K1217">
        <v>8.6671844226084899E-2</v>
      </c>
      <c r="L1217">
        <v>1506.91816017367</v>
      </c>
      <c r="M1217">
        <v>29.7921871077932</v>
      </c>
      <c r="N1217">
        <v>50.904378305890198</v>
      </c>
      <c r="O1217">
        <v>50.354730673765197</v>
      </c>
      <c r="P1217">
        <v>-0.13515984499367301</v>
      </c>
      <c r="Q1217">
        <v>8.6217875329751198E-2</v>
      </c>
      <c r="R1217">
        <v>0.99483124036176296</v>
      </c>
      <c r="S1217" t="s">
        <v>7887</v>
      </c>
      <c r="T1217" t="s">
        <v>13338</v>
      </c>
      <c r="U1217" t="s">
        <v>13338</v>
      </c>
      <c r="V1217" t="s">
        <v>13338</v>
      </c>
      <c r="W1217" t="s">
        <v>14524</v>
      </c>
      <c r="X1217">
        <v>27</v>
      </c>
      <c r="Y1217" t="s">
        <v>21126</v>
      </c>
      <c r="Z1217" t="s">
        <v>27632</v>
      </c>
      <c r="AA1217">
        <v>0.4142945699029012</v>
      </c>
      <c r="AB1217" t="str">
        <f>HYPERLINK("Melting_Curves/meltCurve_O00116_AGPS.pdf", "Melting_Curves/meltCurve_O00116_AGPS.pdf")</f>
        <v>Melting_Curves/meltCurve_O00116_AGPS.pdf</v>
      </c>
    </row>
    <row r="1218" spans="1:28" x14ac:dyDescent="0.25">
      <c r="A1218" t="s">
        <v>1222</v>
      </c>
      <c r="B1218">
        <v>0.99193492352474899</v>
      </c>
      <c r="C1218">
        <v>1.05677600476372</v>
      </c>
      <c r="D1218">
        <v>0.63153662146271805</v>
      </c>
      <c r="E1218">
        <v>0.35272369487251198</v>
      </c>
      <c r="F1218">
        <v>0.26174095433914202</v>
      </c>
      <c r="G1218">
        <v>0.1395122897752</v>
      </c>
      <c r="H1218">
        <v>0.117192039620438</v>
      </c>
      <c r="I1218">
        <v>0.101083556261875</v>
      </c>
      <c r="J1218">
        <v>0.168286198853591</v>
      </c>
      <c r="K1218">
        <v>0.13675693106832601</v>
      </c>
      <c r="L1218">
        <v>1176.7880154797599</v>
      </c>
      <c r="M1218">
        <v>24.9667095150641</v>
      </c>
      <c r="N1218">
        <v>47.777666657576802</v>
      </c>
      <c r="O1218">
        <v>46.8350356784646</v>
      </c>
      <c r="P1218">
        <v>-0.114245428236357</v>
      </c>
      <c r="Q1218">
        <v>0.14276020958560401</v>
      </c>
      <c r="R1218">
        <v>0.97614799861962798</v>
      </c>
      <c r="S1218" t="s">
        <v>7888</v>
      </c>
      <c r="T1218" t="s">
        <v>13338</v>
      </c>
      <c r="U1218" t="s">
        <v>13338</v>
      </c>
      <c r="V1218" t="s">
        <v>13338</v>
      </c>
      <c r="W1218" t="s">
        <v>14525</v>
      </c>
      <c r="X1218">
        <v>1</v>
      </c>
      <c r="Y1218" t="s">
        <v>21127</v>
      </c>
      <c r="Z1218" t="s">
        <v>27633</v>
      </c>
      <c r="AA1218">
        <v>0.35427738918487389</v>
      </c>
      <c r="AB1218" t="str">
        <f>HYPERLINK("Melting_Curves/meltCurve_O00124_3_UBXN8.pdf", "Melting_Curves/meltCurve_O00124_3_UBXN8.pdf")</f>
        <v>Melting_Curves/meltCurve_O00124_3_UBXN8.pdf</v>
      </c>
    </row>
    <row r="1219" spans="1:28" x14ac:dyDescent="0.25">
      <c r="A1219" t="s">
        <v>1223</v>
      </c>
      <c r="B1219">
        <v>0.99193492352474899</v>
      </c>
      <c r="C1219">
        <v>0.65247357459324995</v>
      </c>
      <c r="D1219">
        <v>0.86468763946473404</v>
      </c>
      <c r="E1219">
        <v>0.530988087760636</v>
      </c>
      <c r="F1219">
        <v>0.17263492725808099</v>
      </c>
      <c r="G1219">
        <v>9.7373009272748404E-2</v>
      </c>
      <c r="H1219">
        <v>6.2351361845418202E-2</v>
      </c>
      <c r="I1219">
        <v>7.1034058060218605E-2</v>
      </c>
      <c r="J1219">
        <v>8.7552686873352895E-2</v>
      </c>
      <c r="K1219">
        <v>8.7456202580960096E-2</v>
      </c>
      <c r="L1219">
        <v>744.82659850403195</v>
      </c>
      <c r="M1219">
        <v>15.226055088875301</v>
      </c>
      <c r="N1219">
        <v>49.172396792013998</v>
      </c>
      <c r="O1219">
        <v>48.097371272660702</v>
      </c>
      <c r="P1219">
        <v>-7.6150407269018894E-2</v>
      </c>
      <c r="Q1219">
        <v>3.7889866437490899E-2</v>
      </c>
      <c r="R1219">
        <v>0.92122316237647695</v>
      </c>
      <c r="S1219" t="s">
        <v>7889</v>
      </c>
      <c r="T1219" t="s">
        <v>13338</v>
      </c>
      <c r="U1219" t="s">
        <v>13338</v>
      </c>
      <c r="V1219" t="s">
        <v>13338</v>
      </c>
      <c r="W1219" t="s">
        <v>14526</v>
      </c>
      <c r="X1219">
        <v>28</v>
      </c>
      <c r="Y1219" t="s">
        <v>21128</v>
      </c>
      <c r="Z1219" t="s">
        <v>27634</v>
      </c>
      <c r="AA1219">
        <v>0.34704281390315911</v>
      </c>
      <c r="AB1219" t="str">
        <f>HYPERLINK("Melting_Curves/meltCurve_O00139_KIF2A.pdf", "Melting_Curves/meltCurve_O00139_KIF2A.pdf")</f>
        <v>Melting_Curves/meltCurve_O00139_KIF2A.pdf</v>
      </c>
    </row>
    <row r="1220" spans="1:28" x14ac:dyDescent="0.25">
      <c r="A1220" t="s">
        <v>1224</v>
      </c>
      <c r="B1220">
        <v>0.99193492352474899</v>
      </c>
      <c r="C1220">
        <v>0.83190804957386599</v>
      </c>
      <c r="D1220">
        <v>0.77830174783930695</v>
      </c>
      <c r="E1220">
        <v>0.37659564350468</v>
      </c>
      <c r="F1220">
        <v>0.24580941477499699</v>
      </c>
      <c r="G1220">
        <v>0.138862048354711</v>
      </c>
      <c r="H1220">
        <v>9.2915651832031598E-2</v>
      </c>
      <c r="I1220">
        <v>0.108137837572375</v>
      </c>
      <c r="J1220">
        <v>0.12614101062210001</v>
      </c>
      <c r="K1220">
        <v>0.206700135298445</v>
      </c>
      <c r="L1220">
        <v>947.12937008496306</v>
      </c>
      <c r="M1220">
        <v>19.842465310447398</v>
      </c>
      <c r="N1220">
        <v>48.4353412346778</v>
      </c>
      <c r="O1220">
        <v>47.255567674434303</v>
      </c>
      <c r="P1220">
        <v>-9.1844918564379596E-2</v>
      </c>
      <c r="Q1220">
        <v>0.12510110658942</v>
      </c>
      <c r="R1220">
        <v>0.98000984507590905</v>
      </c>
      <c r="S1220" t="s">
        <v>7890</v>
      </c>
      <c r="T1220" t="s">
        <v>13338</v>
      </c>
      <c r="U1220" t="s">
        <v>13338</v>
      </c>
      <c r="V1220" t="s">
        <v>13338</v>
      </c>
      <c r="W1220" t="s">
        <v>14527</v>
      </c>
      <c r="X1220">
        <v>22</v>
      </c>
      <c r="Y1220" t="s">
        <v>21129</v>
      </c>
      <c r="Z1220" t="s">
        <v>27635</v>
      </c>
      <c r="AA1220">
        <v>0.36332811474059729</v>
      </c>
      <c r="AB1220" t="str">
        <f>HYPERLINK("Melting_Curves/meltCurve_O00148_DDX39A.pdf", "Melting_Curves/meltCurve_O00148_DDX39A.pdf")</f>
        <v>Melting_Curves/meltCurve_O00148_DDX39A.pdf</v>
      </c>
    </row>
    <row r="1221" spans="1:28" x14ac:dyDescent="0.25">
      <c r="A1221" t="s">
        <v>1225</v>
      </c>
      <c r="B1221">
        <v>0.99193492352474899</v>
      </c>
      <c r="C1221">
        <v>0.93421938128549697</v>
      </c>
      <c r="D1221">
        <v>0.81981552639829702</v>
      </c>
      <c r="E1221">
        <v>0.77496486154003197</v>
      </c>
      <c r="F1221">
        <v>0.47661851217488999</v>
      </c>
      <c r="G1221">
        <v>0.30388937501136798</v>
      </c>
      <c r="H1221">
        <v>0.25090261533567598</v>
      </c>
      <c r="I1221">
        <v>0.30174313699355998</v>
      </c>
      <c r="J1221">
        <v>0.31015670752970997</v>
      </c>
      <c r="K1221">
        <v>0.44951969637648798</v>
      </c>
      <c r="L1221">
        <v>1015.90844151134</v>
      </c>
      <c r="M1221">
        <v>20.230709807081698</v>
      </c>
      <c r="N1221">
        <v>52.7339131172739</v>
      </c>
      <c r="O1221">
        <v>49.733227332733399</v>
      </c>
      <c r="P1221">
        <v>-7.0205014334356497E-2</v>
      </c>
      <c r="Q1221">
        <v>0.30968050590405199</v>
      </c>
      <c r="R1221">
        <v>0.93967652561275306</v>
      </c>
      <c r="S1221" t="s">
        <v>7891</v>
      </c>
      <c r="T1221" t="s">
        <v>13338</v>
      </c>
      <c r="U1221" t="s">
        <v>13338</v>
      </c>
      <c r="V1221" t="s">
        <v>13338</v>
      </c>
      <c r="W1221" t="s">
        <v>14528</v>
      </c>
      <c r="X1221">
        <v>20</v>
      </c>
      <c r="Y1221" t="s">
        <v>21130</v>
      </c>
      <c r="Z1221" t="s">
        <v>27636</v>
      </c>
      <c r="AA1221">
        <v>0.55415280342996853</v>
      </c>
      <c r="AB1221" t="str">
        <f>HYPERLINK("Melting_Curves/meltCurve_O00151_PDLIM1.pdf", "Melting_Curves/meltCurve_O00151_PDLIM1.pdf")</f>
        <v>Melting_Curves/meltCurve_O00151_PDLIM1.pdf</v>
      </c>
    </row>
    <row r="1222" spans="1:28" x14ac:dyDescent="0.25">
      <c r="A1222" t="s">
        <v>1226</v>
      </c>
      <c r="B1222">
        <v>0.99193492352474899</v>
      </c>
      <c r="C1222">
        <v>1.0258117357413901</v>
      </c>
      <c r="D1222">
        <v>1.0348797137164001</v>
      </c>
      <c r="E1222">
        <v>0.86303217764481099</v>
      </c>
      <c r="F1222">
        <v>0.87384574012806404</v>
      </c>
      <c r="G1222">
        <v>0.70703254022963702</v>
      </c>
      <c r="H1222">
        <v>0.50969570927320096</v>
      </c>
      <c r="I1222">
        <v>0.30850808736360003</v>
      </c>
      <c r="J1222">
        <v>0.194776899455054</v>
      </c>
      <c r="K1222">
        <v>0.13724130852258701</v>
      </c>
      <c r="L1222">
        <v>811.03128721035705</v>
      </c>
      <c r="M1222">
        <v>13.4131117369796</v>
      </c>
      <c r="N1222">
        <v>60.465558226869703</v>
      </c>
      <c r="O1222">
        <v>59.168999645524103</v>
      </c>
      <c r="P1222">
        <v>-5.6681749064297203E-2</v>
      </c>
      <c r="Q1222">
        <v>0</v>
      </c>
      <c r="R1222">
        <v>0.98893759591456698</v>
      </c>
      <c r="S1222" t="s">
        <v>7892</v>
      </c>
      <c r="T1222" t="s">
        <v>13338</v>
      </c>
      <c r="U1222" t="s">
        <v>13338</v>
      </c>
      <c r="V1222" t="s">
        <v>13338</v>
      </c>
      <c r="W1222" t="s">
        <v>14529</v>
      </c>
      <c r="X1222">
        <v>22</v>
      </c>
      <c r="Y1222" t="s">
        <v>21131</v>
      </c>
      <c r="Z1222" t="s">
        <v>27637</v>
      </c>
      <c r="AA1222">
        <v>0.6848418346169064</v>
      </c>
      <c r="AB1222" t="str">
        <f>HYPERLINK("Melting_Curves/meltCurve_O00154_4_ACOT7.pdf", "Melting_Curves/meltCurve_O00154_4_ACOT7.pdf")</f>
        <v>Melting_Curves/meltCurve_O00154_4_ACOT7.pdf</v>
      </c>
    </row>
    <row r="1223" spans="1:28" x14ac:dyDescent="0.25">
      <c r="A1223" t="s">
        <v>1227</v>
      </c>
      <c r="B1223">
        <v>0.99193492352474899</v>
      </c>
      <c r="C1223">
        <v>0.80152496970462295</v>
      </c>
      <c r="D1223">
        <v>0.96950705272973903</v>
      </c>
      <c r="E1223">
        <v>0.71254885917154898</v>
      </c>
      <c r="F1223">
        <v>0.72551030073955003</v>
      </c>
      <c r="G1223">
        <v>0.50323628172558399</v>
      </c>
      <c r="H1223">
        <v>0.493255785019662</v>
      </c>
      <c r="I1223">
        <v>0.52653619534757101</v>
      </c>
      <c r="J1223">
        <v>0.86614002550367597</v>
      </c>
      <c r="K1223">
        <v>0.89008065552794502</v>
      </c>
      <c r="L1223">
        <v>893.12428962099602</v>
      </c>
      <c r="M1223">
        <v>19.153908707679001</v>
      </c>
      <c r="O1223">
        <v>46.129481452745999</v>
      </c>
      <c r="P1223">
        <v>-3.51761837118773E-2</v>
      </c>
      <c r="Q1223">
        <v>0.66114561131153504</v>
      </c>
      <c r="R1223">
        <v>0.35536565118065</v>
      </c>
      <c r="S1223" t="s">
        <v>7893</v>
      </c>
      <c r="T1223" t="s">
        <v>13338</v>
      </c>
      <c r="U1223" t="s">
        <v>13338</v>
      </c>
      <c r="V1223" t="s">
        <v>13338</v>
      </c>
      <c r="W1223" t="s">
        <v>14530</v>
      </c>
      <c r="X1223">
        <v>15</v>
      </c>
      <c r="Y1223" t="s">
        <v>21132</v>
      </c>
      <c r="Z1223" t="s">
        <v>27638</v>
      </c>
      <c r="AA1223">
        <v>0.74157553687304512</v>
      </c>
      <c r="AB1223" t="str">
        <f>HYPERLINK("Melting_Curves/meltCurve_O00161_SNAP23.pdf", "Melting_Curves/meltCurve_O00161_SNAP23.pdf")</f>
        <v>Melting_Curves/meltCurve_O00161_SNAP23.pdf</v>
      </c>
    </row>
    <row r="1224" spans="1:28" x14ac:dyDescent="0.25">
      <c r="A1224" t="s">
        <v>1228</v>
      </c>
      <c r="B1224">
        <v>0.99193492352474899</v>
      </c>
      <c r="C1224">
        <v>1.0433998948190699</v>
      </c>
      <c r="D1224">
        <v>0.79386287727821103</v>
      </c>
      <c r="E1224">
        <v>0.415153467588043</v>
      </c>
      <c r="F1224">
        <v>0.28306617060741901</v>
      </c>
      <c r="G1224">
        <v>0.17389706422229201</v>
      </c>
      <c r="H1224">
        <v>0.116524489184592</v>
      </c>
      <c r="I1224">
        <v>0.202578574521488</v>
      </c>
      <c r="J1224">
        <v>0.31268707077750901</v>
      </c>
      <c r="K1224">
        <v>0.31514022234334699</v>
      </c>
      <c r="L1224">
        <v>1494.45965270239</v>
      </c>
      <c r="M1224">
        <v>31.335993042118702</v>
      </c>
      <c r="N1224">
        <v>48.640106832506099</v>
      </c>
      <c r="O1224">
        <v>47.498502933645398</v>
      </c>
      <c r="P1224">
        <v>-0.12722276931267601</v>
      </c>
      <c r="Q1224">
        <v>0.22863672072282701</v>
      </c>
      <c r="R1224">
        <v>0.96551825563981697</v>
      </c>
      <c r="S1224" t="s">
        <v>7894</v>
      </c>
      <c r="T1224" t="s">
        <v>13338</v>
      </c>
      <c r="U1224" t="s">
        <v>13338</v>
      </c>
      <c r="V1224" t="s">
        <v>13338</v>
      </c>
      <c r="W1224" t="s">
        <v>14531</v>
      </c>
      <c r="X1224">
        <v>9</v>
      </c>
      <c r="Y1224" t="s">
        <v>21133</v>
      </c>
      <c r="Z1224" t="s">
        <v>27639</v>
      </c>
      <c r="AA1224">
        <v>0.43062767567972238</v>
      </c>
      <c r="AB1224" t="str">
        <f>HYPERLINK("Melting_Curves/meltCurve_O00165_HAX1.pdf", "Melting_Curves/meltCurve_O00165_HAX1.pdf")</f>
        <v>Melting_Curves/meltCurve_O00165_HAX1.pdf</v>
      </c>
    </row>
    <row r="1225" spans="1:28" x14ac:dyDescent="0.25">
      <c r="A1225" t="s">
        <v>1229</v>
      </c>
      <c r="B1225">
        <v>0.99193492352474899</v>
      </c>
      <c r="C1225">
        <v>0.94054604714026901</v>
      </c>
      <c r="D1225">
        <v>0.81474850433859403</v>
      </c>
      <c r="E1225">
        <v>0.42495034806083298</v>
      </c>
      <c r="F1225">
        <v>0.174660822765974</v>
      </c>
      <c r="G1225">
        <v>0.12600155896499901</v>
      </c>
      <c r="H1225">
        <v>7.3588461324612206E-2</v>
      </c>
      <c r="I1225">
        <v>8.2152320325462394E-2</v>
      </c>
      <c r="J1225">
        <v>9.6598123425177707E-2</v>
      </c>
      <c r="K1225">
        <v>0.118691821812099</v>
      </c>
      <c r="L1225">
        <v>1186.6958155725599</v>
      </c>
      <c r="M1225">
        <v>24.480344246853399</v>
      </c>
      <c r="N1225">
        <v>48.877399196915</v>
      </c>
      <c r="O1225">
        <v>48.155454482876998</v>
      </c>
      <c r="P1225">
        <v>-0.115504758101663</v>
      </c>
      <c r="Q1225">
        <v>9.1172451645887997E-2</v>
      </c>
      <c r="R1225">
        <v>0.99829597840449003</v>
      </c>
      <c r="S1225" t="s">
        <v>7895</v>
      </c>
      <c r="T1225" t="s">
        <v>13338</v>
      </c>
      <c r="U1225" t="s">
        <v>13338</v>
      </c>
      <c r="V1225" t="s">
        <v>13338</v>
      </c>
      <c r="W1225" t="s">
        <v>14532</v>
      </c>
      <c r="X1225">
        <v>15</v>
      </c>
      <c r="Y1225" t="s">
        <v>21134</v>
      </c>
      <c r="Z1225" t="s">
        <v>27640</v>
      </c>
      <c r="AA1225">
        <v>0.35632485092086807</v>
      </c>
      <c r="AB1225" t="str">
        <f>HYPERLINK("Melting_Curves/meltCurve_O00170_AIP.pdf", "Melting_Curves/meltCurve_O00170_AIP.pdf")</f>
        <v>Melting_Curves/meltCurve_O00170_AIP.pdf</v>
      </c>
    </row>
    <row r="1226" spans="1:28" x14ac:dyDescent="0.25">
      <c r="A1226" t="s">
        <v>1230</v>
      </c>
      <c r="B1226">
        <v>0.99193492352474899</v>
      </c>
      <c r="C1226">
        <v>0.61173526109329801</v>
      </c>
      <c r="D1226">
        <v>0.89079620756820199</v>
      </c>
      <c r="E1226">
        <v>0.54342452773304195</v>
      </c>
      <c r="F1226">
        <v>0.24168377931559501</v>
      </c>
      <c r="G1226">
        <v>8.9123701033891695E-2</v>
      </c>
      <c r="H1226">
        <v>4.9141039451129402E-2</v>
      </c>
      <c r="I1226">
        <v>5.0713920099689197E-2</v>
      </c>
      <c r="J1226">
        <v>7.2151054871445797E-2</v>
      </c>
      <c r="K1226">
        <v>5.6504215231358103E-2</v>
      </c>
      <c r="L1226">
        <v>650.45683622914999</v>
      </c>
      <c r="M1226">
        <v>13.1460730201281</v>
      </c>
      <c r="N1226">
        <v>49.4819087346484</v>
      </c>
      <c r="O1226">
        <v>48.376254133307903</v>
      </c>
      <c r="P1226">
        <v>-6.7923417511897802E-2</v>
      </c>
      <c r="Q1226">
        <v>3.6313531809436899E-4</v>
      </c>
      <c r="R1226">
        <v>0.90818407353603703</v>
      </c>
      <c r="S1226" t="s">
        <v>7896</v>
      </c>
      <c r="T1226" t="s">
        <v>13338</v>
      </c>
      <c r="U1226" t="s">
        <v>13338</v>
      </c>
      <c r="V1226" t="s">
        <v>13338</v>
      </c>
      <c r="W1226" t="s">
        <v>14533</v>
      </c>
      <c r="X1226">
        <v>14</v>
      </c>
      <c r="Y1226" t="s">
        <v>21135</v>
      </c>
      <c r="Z1226" t="s">
        <v>27641</v>
      </c>
      <c r="AA1226">
        <v>0.34686699607320381</v>
      </c>
      <c r="AB1226" t="str">
        <f>HYPERLINK("Melting_Curves/meltCurve_O00178_GTPBP1.pdf", "Melting_Curves/meltCurve_O00178_GTPBP1.pdf")</f>
        <v>Melting_Curves/meltCurve_O00178_GTPBP1.pdf</v>
      </c>
    </row>
    <row r="1227" spans="1:28" x14ac:dyDescent="0.25">
      <c r="A1227" t="s">
        <v>1231</v>
      </c>
      <c r="B1227">
        <v>0.99193492352474899</v>
      </c>
      <c r="C1227">
        <v>1.2948394608122999</v>
      </c>
      <c r="D1227">
        <v>1.3539122011686999</v>
      </c>
      <c r="E1227">
        <v>1.3105851127783399</v>
      </c>
      <c r="F1227">
        <v>1.34551664708828</v>
      </c>
      <c r="G1227">
        <v>0.97494592172625505</v>
      </c>
      <c r="H1227">
        <v>0.58775697010278805</v>
      </c>
      <c r="I1227">
        <v>0.79569530946410505</v>
      </c>
      <c r="J1227">
        <v>0.93136961062705403</v>
      </c>
      <c r="K1227">
        <v>0.40460414257857902</v>
      </c>
      <c r="L1227">
        <v>953.68791828271696</v>
      </c>
      <c r="M1227">
        <v>13.4825526572371</v>
      </c>
      <c r="O1227">
        <v>69.233240999944201</v>
      </c>
      <c r="P1227">
        <v>-4.8692720365208803E-2</v>
      </c>
      <c r="Q1227">
        <v>0</v>
      </c>
      <c r="R1227">
        <v>0.38002209925064401</v>
      </c>
      <c r="S1227" t="s">
        <v>7897</v>
      </c>
      <c r="T1227" t="s">
        <v>13338</v>
      </c>
      <c r="U1227" t="s">
        <v>13338</v>
      </c>
      <c r="V1227" t="s">
        <v>13338</v>
      </c>
      <c r="W1227" t="s">
        <v>14534</v>
      </c>
      <c r="X1227">
        <v>2</v>
      </c>
      <c r="Y1227" t="s">
        <v>21136</v>
      </c>
      <c r="Z1227" t="s">
        <v>27642</v>
      </c>
      <c r="AA1227">
        <v>0.90792412523382737</v>
      </c>
      <c r="AB1227" t="str">
        <f>HYPERLINK("Melting_Curves/meltCurve_O00180_KCNK1.pdf", "Melting_Curves/meltCurve_O00180_KCNK1.pdf")</f>
        <v>Melting_Curves/meltCurve_O00180_KCNK1.pdf</v>
      </c>
    </row>
    <row r="1228" spans="1:28" x14ac:dyDescent="0.25">
      <c r="A1228" t="s">
        <v>1232</v>
      </c>
      <c r="B1228">
        <v>0.99193492352474899</v>
      </c>
      <c r="C1228">
        <v>0.91006148587720803</v>
      </c>
      <c r="D1228">
        <v>0.77423659042479498</v>
      </c>
      <c r="E1228">
        <v>0.30251903129482099</v>
      </c>
      <c r="F1228">
        <v>0.22324520011024199</v>
      </c>
      <c r="G1228">
        <v>0.149452015673015</v>
      </c>
      <c r="H1228">
        <v>0.10078766982040201</v>
      </c>
      <c r="I1228">
        <v>0.10277242500094901</v>
      </c>
      <c r="J1228">
        <v>0.104611978626815</v>
      </c>
      <c r="K1228">
        <v>0.12607788612402299</v>
      </c>
      <c r="L1228">
        <v>1228.8676766378701</v>
      </c>
      <c r="M1228">
        <v>25.839810196562699</v>
      </c>
      <c r="N1228">
        <v>48.058444778606102</v>
      </c>
      <c r="O1228">
        <v>47.275061220668498</v>
      </c>
      <c r="P1228">
        <v>-0.120505172551575</v>
      </c>
      <c r="Q1228">
        <v>0.118132572085396</v>
      </c>
      <c r="R1228">
        <v>0.99292734775199198</v>
      </c>
      <c r="S1228" t="s">
        <v>7898</v>
      </c>
      <c r="T1228" t="s">
        <v>13338</v>
      </c>
      <c r="U1228" t="s">
        <v>13338</v>
      </c>
      <c r="V1228" t="s">
        <v>13338</v>
      </c>
      <c r="W1228" t="s">
        <v>14535</v>
      </c>
      <c r="X1228">
        <v>14</v>
      </c>
      <c r="Y1228" t="s">
        <v>21137</v>
      </c>
      <c r="Z1228" t="s">
        <v>27643</v>
      </c>
      <c r="AA1228">
        <v>0.34755545444381608</v>
      </c>
      <c r="AB1228" t="str">
        <f>HYPERLINK("Melting_Curves/meltCurve_O00186_STXBP3.pdf", "Melting_Curves/meltCurve_O00186_STXBP3.pdf")</f>
        <v>Melting_Curves/meltCurve_O00186_STXBP3.pdf</v>
      </c>
    </row>
    <row r="1229" spans="1:28" x14ac:dyDescent="0.25">
      <c r="A1229" t="s">
        <v>1233</v>
      </c>
      <c r="B1229">
        <v>0.99193492352474899</v>
      </c>
      <c r="C1229">
        <v>0.95724055909617201</v>
      </c>
      <c r="D1229">
        <v>0.91484942758240295</v>
      </c>
      <c r="E1229">
        <v>0.51068718098627097</v>
      </c>
      <c r="F1229">
        <v>0.237362234895132</v>
      </c>
      <c r="G1229">
        <v>0.11358334438073101</v>
      </c>
      <c r="H1229">
        <v>7.1870740127018801E-2</v>
      </c>
      <c r="I1229">
        <v>6.3702758694602596E-2</v>
      </c>
      <c r="J1229">
        <v>7.8581708801951894E-2</v>
      </c>
      <c r="K1229">
        <v>5.04462264801789E-2</v>
      </c>
      <c r="L1229">
        <v>1214.75695744975</v>
      </c>
      <c r="M1229">
        <v>24.479828396869699</v>
      </c>
      <c r="N1229">
        <v>49.910970558670002</v>
      </c>
      <c r="O1229">
        <v>49.2951857190019</v>
      </c>
      <c r="P1229">
        <v>-0.115968455689988</v>
      </c>
      <c r="Q1229">
        <v>6.5908009344413099E-2</v>
      </c>
      <c r="R1229">
        <v>0.99784996201064202</v>
      </c>
      <c r="S1229" t="s">
        <v>7899</v>
      </c>
      <c r="T1229" t="s">
        <v>13338</v>
      </c>
      <c r="U1229" t="s">
        <v>13338</v>
      </c>
      <c r="V1229" t="s">
        <v>13338</v>
      </c>
      <c r="W1229" t="s">
        <v>14536</v>
      </c>
      <c r="X1229">
        <v>5</v>
      </c>
      <c r="Y1229" t="s">
        <v>21138</v>
      </c>
      <c r="Z1229" t="s">
        <v>27644</v>
      </c>
      <c r="AA1229">
        <v>0.37420704187363729</v>
      </c>
      <c r="AB1229" t="str">
        <f>HYPERLINK("Melting_Curves/meltCurve_O00214_LGALS8.pdf", "Melting_Curves/meltCurve_O00214_LGALS8.pdf")</f>
        <v>Melting_Curves/meltCurve_O00214_LGALS8.pdf</v>
      </c>
    </row>
    <row r="1230" spans="1:28" x14ac:dyDescent="0.25">
      <c r="A1230" t="s">
        <v>1234</v>
      </c>
      <c r="B1230">
        <v>0.99193492352474899</v>
      </c>
      <c r="C1230">
        <v>0.99976655168009199</v>
      </c>
      <c r="D1230">
        <v>0.92215690442121401</v>
      </c>
      <c r="E1230">
        <v>0.69116617793119295</v>
      </c>
      <c r="F1230">
        <v>0.275903400894975</v>
      </c>
      <c r="G1230">
        <v>0.124697663416756</v>
      </c>
      <c r="H1230">
        <v>9.6075638994267298E-2</v>
      </c>
      <c r="I1230">
        <v>0.110732428703265</v>
      </c>
      <c r="J1230">
        <v>0.13611555239734899</v>
      </c>
      <c r="K1230">
        <v>0.17024442095905701</v>
      </c>
      <c r="L1230">
        <v>1544.26049504816</v>
      </c>
      <c r="M1230">
        <v>30.5750725404225</v>
      </c>
      <c r="N1230">
        <v>50.969821263398501</v>
      </c>
      <c r="O1230">
        <v>50.2925944954494</v>
      </c>
      <c r="P1230">
        <v>-0.13357028247361</v>
      </c>
      <c r="Q1230">
        <v>0.12117232858316999</v>
      </c>
      <c r="R1230">
        <v>0.99596933428178103</v>
      </c>
      <c r="S1230" t="s">
        <v>7900</v>
      </c>
      <c r="T1230" t="s">
        <v>13338</v>
      </c>
      <c r="U1230" t="s">
        <v>13338</v>
      </c>
      <c r="V1230" t="s">
        <v>13338</v>
      </c>
      <c r="W1230" t="s">
        <v>14537</v>
      </c>
      <c r="X1230">
        <v>8</v>
      </c>
      <c r="Y1230" t="s">
        <v>21139</v>
      </c>
      <c r="Z1230" t="s">
        <v>27645</v>
      </c>
      <c r="AA1230">
        <v>0.43424753042391873</v>
      </c>
      <c r="AB1230" t="str">
        <f>HYPERLINK("Melting_Curves/meltCurve_O00217_NDUFS8.pdf", "Melting_Curves/meltCurve_O00217_NDUFS8.pdf")</f>
        <v>Melting_Curves/meltCurve_O00217_NDUFS8.pdf</v>
      </c>
    </row>
    <row r="1231" spans="1:28" x14ac:dyDescent="0.25">
      <c r="A1231" t="s">
        <v>1235</v>
      </c>
      <c r="B1231">
        <v>0.99193492352474899</v>
      </c>
      <c r="C1231">
        <v>0.91233821325921405</v>
      </c>
      <c r="D1231">
        <v>0.71144589359531896</v>
      </c>
      <c r="E1231">
        <v>0.25662959080525799</v>
      </c>
      <c r="F1231">
        <v>0.145553092671038</v>
      </c>
      <c r="G1231">
        <v>7.8220558697213102E-2</v>
      </c>
      <c r="H1231">
        <v>5.4331687296298899E-2</v>
      </c>
      <c r="I1231">
        <v>6.5124801821637102E-2</v>
      </c>
      <c r="J1231">
        <v>0.107843387755908</v>
      </c>
      <c r="K1231">
        <v>9.0377683038350295E-2</v>
      </c>
      <c r="L1231">
        <v>1266.43398289319</v>
      </c>
      <c r="M1231">
        <v>26.8368206639947</v>
      </c>
      <c r="N1231">
        <v>47.494612724385</v>
      </c>
      <c r="O1231">
        <v>46.9304604941346</v>
      </c>
      <c r="P1231">
        <v>-0.13166478533648501</v>
      </c>
      <c r="Q1231">
        <v>7.9022305349263494E-2</v>
      </c>
      <c r="R1231">
        <v>0.996792833879666</v>
      </c>
      <c r="S1231" t="s">
        <v>7901</v>
      </c>
      <c r="T1231" t="s">
        <v>13338</v>
      </c>
      <c r="U1231" t="s">
        <v>13338</v>
      </c>
      <c r="V1231" t="s">
        <v>13338</v>
      </c>
      <c r="W1231" t="s">
        <v>14538</v>
      </c>
      <c r="X1231">
        <v>4</v>
      </c>
      <c r="Y1231" t="s">
        <v>21140</v>
      </c>
      <c r="Z1231" t="s">
        <v>27646</v>
      </c>
      <c r="AA1231">
        <v>0.30677641773398012</v>
      </c>
      <c r="AB1231" t="str">
        <f>HYPERLINK("Melting_Curves/meltCurve_O00221_NFKBIE.pdf", "Melting_Curves/meltCurve_O00221_NFKBIE.pdf")</f>
        <v>Melting_Curves/meltCurve_O00221_NFKBIE.pdf</v>
      </c>
    </row>
    <row r="1232" spans="1:28" x14ac:dyDescent="0.25">
      <c r="A1232" t="s">
        <v>1236</v>
      </c>
      <c r="B1232">
        <v>0.99193492352474899</v>
      </c>
      <c r="C1232">
        <v>0.79451894608764495</v>
      </c>
      <c r="D1232">
        <v>0.84404444573317705</v>
      </c>
      <c r="E1232">
        <v>0.560032476137441</v>
      </c>
      <c r="F1232">
        <v>0.53288332983810305</v>
      </c>
      <c r="G1232">
        <v>0.180982579715739</v>
      </c>
      <c r="H1232">
        <v>7.1128493021442002E-2</v>
      </c>
      <c r="I1232">
        <v>8.2475189719477898E-2</v>
      </c>
      <c r="J1232">
        <v>7.8380375385044193E-2</v>
      </c>
      <c r="K1232">
        <v>7.3635514076497294E-2</v>
      </c>
      <c r="L1232">
        <v>597.38357141496397</v>
      </c>
      <c r="M1232">
        <v>11.622333030033801</v>
      </c>
      <c r="N1232">
        <v>51.399626058084003</v>
      </c>
      <c r="O1232">
        <v>49.948654142623802</v>
      </c>
      <c r="P1232">
        <v>-5.8187273595730699E-2</v>
      </c>
      <c r="Q1232">
        <v>0</v>
      </c>
      <c r="R1232">
        <v>0.962063065574017</v>
      </c>
      <c r="S1232" t="s">
        <v>7902</v>
      </c>
      <c r="T1232" t="s">
        <v>13338</v>
      </c>
      <c r="U1232" t="s">
        <v>13338</v>
      </c>
      <c r="V1232" t="s">
        <v>13338</v>
      </c>
      <c r="W1232" t="s">
        <v>14539</v>
      </c>
      <c r="X1232">
        <v>21</v>
      </c>
      <c r="Y1232" t="s">
        <v>21141</v>
      </c>
      <c r="Z1232" t="s">
        <v>27647</v>
      </c>
      <c r="AA1232">
        <v>0.41321718088294818</v>
      </c>
      <c r="AB1232" t="str">
        <f>HYPERLINK("Melting_Curves/meltCurve_O00231_PSMD11.pdf", "Melting_Curves/meltCurve_O00231_PSMD11.pdf")</f>
        <v>Melting_Curves/meltCurve_O00231_PSMD11.pdf</v>
      </c>
    </row>
    <row r="1233" spans="1:28" x14ac:dyDescent="0.25">
      <c r="A1233" t="s">
        <v>1237</v>
      </c>
      <c r="B1233">
        <v>0.99193492352474899</v>
      </c>
      <c r="C1233">
        <v>0.97433018716202202</v>
      </c>
      <c r="D1233">
        <v>0.79261103292979695</v>
      </c>
      <c r="E1233">
        <v>0.610914689253518</v>
      </c>
      <c r="F1233">
        <v>0.48786747182266599</v>
      </c>
      <c r="G1233">
        <v>0.189864627979907</v>
      </c>
      <c r="H1233">
        <v>8.4298012430131894E-2</v>
      </c>
      <c r="I1233">
        <v>0.11058209051109399</v>
      </c>
      <c r="J1233">
        <v>9.4245250482138498E-2</v>
      </c>
      <c r="K1233">
        <v>0.113134075892036</v>
      </c>
      <c r="L1233">
        <v>726.12504745189005</v>
      </c>
      <c r="M1233">
        <v>14.2008048604841</v>
      </c>
      <c r="N1233">
        <v>51.550851866464903</v>
      </c>
      <c r="O1233">
        <v>50.150761127972899</v>
      </c>
      <c r="P1233">
        <v>-6.6947612443236298E-2</v>
      </c>
      <c r="Q1233">
        <v>5.4404941070606498E-2</v>
      </c>
      <c r="R1233">
        <v>0.98509361964832798</v>
      </c>
      <c r="S1233" t="s">
        <v>7903</v>
      </c>
      <c r="T1233" t="s">
        <v>13338</v>
      </c>
      <c r="U1233" t="s">
        <v>13338</v>
      </c>
      <c r="V1233" t="s">
        <v>13338</v>
      </c>
      <c r="W1233" t="s">
        <v>14540</v>
      </c>
      <c r="X1233">
        <v>26</v>
      </c>
      <c r="Y1233" t="s">
        <v>21142</v>
      </c>
      <c r="Z1233" t="s">
        <v>27648</v>
      </c>
      <c r="AA1233">
        <v>0.42906778180781369</v>
      </c>
      <c r="AB1233" t="str">
        <f>HYPERLINK("Melting_Curves/meltCurve_O00232_PSMD12.pdf", "Melting_Curves/meltCurve_O00232_PSMD12.pdf")</f>
        <v>Melting_Curves/meltCurve_O00232_PSMD12.pdf</v>
      </c>
    </row>
    <row r="1234" spans="1:28" x14ac:dyDescent="0.25">
      <c r="A1234" t="s">
        <v>1238</v>
      </c>
      <c r="B1234">
        <v>0.99193492352474899</v>
      </c>
      <c r="C1234">
        <v>0.81848694917203602</v>
      </c>
      <c r="D1234">
        <v>0.71172616421556001</v>
      </c>
      <c r="E1234">
        <v>0.63237351993176105</v>
      </c>
      <c r="F1234">
        <v>0.52427170048515304</v>
      </c>
      <c r="G1234">
        <v>0.33278091983578001</v>
      </c>
      <c r="H1234">
        <v>0.26704607962170401</v>
      </c>
      <c r="I1234">
        <v>0.240427353386198</v>
      </c>
      <c r="J1234">
        <v>0.20704069257346</v>
      </c>
      <c r="K1234">
        <v>0.34919458145753801</v>
      </c>
      <c r="L1234">
        <v>516.87120148080498</v>
      </c>
      <c r="M1234">
        <v>10.4668085119699</v>
      </c>
      <c r="N1234">
        <v>52.091315192879499</v>
      </c>
      <c r="O1234">
        <v>47.681476139864699</v>
      </c>
      <c r="P1234">
        <v>-4.3377148450597897E-2</v>
      </c>
      <c r="Q1234">
        <v>0.20990544146325199</v>
      </c>
      <c r="R1234">
        <v>0.95575226636070498</v>
      </c>
      <c r="S1234" t="s">
        <v>7904</v>
      </c>
      <c r="T1234" t="s">
        <v>13338</v>
      </c>
      <c r="U1234" t="s">
        <v>13338</v>
      </c>
      <c r="V1234" t="s">
        <v>13338</v>
      </c>
      <c r="W1234" t="s">
        <v>14541</v>
      </c>
      <c r="X1234">
        <v>6</v>
      </c>
      <c r="Y1234" t="s">
        <v>21143</v>
      </c>
      <c r="Z1234" t="s">
        <v>27649</v>
      </c>
      <c r="AA1234">
        <v>0.4921011515466896</v>
      </c>
      <c r="AB1234" t="str">
        <f>HYPERLINK("Melting_Curves/meltCurve_O00244_ATOX1.pdf", "Melting_Curves/meltCurve_O00244_ATOX1.pdf")</f>
        <v>Melting_Curves/meltCurve_O00244_ATOX1.pdf</v>
      </c>
    </row>
    <row r="1235" spans="1:28" x14ac:dyDescent="0.25">
      <c r="A1235" t="s">
        <v>1239</v>
      </c>
      <c r="B1235">
        <v>0.99193492352474899</v>
      </c>
      <c r="C1235">
        <v>0.67708489152144402</v>
      </c>
      <c r="D1235">
        <v>0.46359185356659299</v>
      </c>
      <c r="E1235">
        <v>0.16885874385519201</v>
      </c>
      <c r="F1235">
        <v>0.106400993802616</v>
      </c>
      <c r="G1235">
        <v>7.2330615441740298E-2</v>
      </c>
      <c r="H1235">
        <v>4.1815768472727201E-2</v>
      </c>
      <c r="I1235">
        <v>5.35304940185908E-2</v>
      </c>
      <c r="J1235">
        <v>4.3581284714770303E-2</v>
      </c>
      <c r="K1235">
        <v>2.9079116890819798E-2</v>
      </c>
      <c r="L1235">
        <v>857.02084680140797</v>
      </c>
      <c r="M1235">
        <v>19.013327851700499</v>
      </c>
      <c r="N1235">
        <v>45.289054505760802</v>
      </c>
      <c r="O1235">
        <v>44.585005699669999</v>
      </c>
      <c r="P1235">
        <v>-0.102030143723131</v>
      </c>
      <c r="Q1235">
        <v>4.3022095312353001E-2</v>
      </c>
      <c r="R1235">
        <v>0.989637624725066</v>
      </c>
      <c r="S1235" t="s">
        <v>7905</v>
      </c>
      <c r="T1235" t="s">
        <v>13338</v>
      </c>
      <c r="U1235" t="s">
        <v>13338</v>
      </c>
      <c r="V1235" t="s">
        <v>13338</v>
      </c>
      <c r="W1235" t="s">
        <v>14542</v>
      </c>
      <c r="X1235">
        <v>3</v>
      </c>
      <c r="Y1235" t="s">
        <v>21144</v>
      </c>
      <c r="Z1235" t="s">
        <v>27650</v>
      </c>
      <c r="AA1235">
        <v>0.22296603009052129</v>
      </c>
      <c r="AB1235" t="str">
        <f>HYPERLINK("Melting_Curves/meltCurve_O00255_2_MEN1.pdf", "Melting_Curves/meltCurve_O00255_2_MEN1.pdf")</f>
        <v>Melting_Curves/meltCurve_O00255_2_MEN1.pdf</v>
      </c>
    </row>
    <row r="1236" spans="1:28" x14ac:dyDescent="0.25">
      <c r="A1236" t="s">
        <v>1240</v>
      </c>
      <c r="B1236">
        <v>0.99193492352474899</v>
      </c>
      <c r="C1236">
        <v>0.32331231895422102</v>
      </c>
      <c r="D1236">
        <v>0.54938085694957395</v>
      </c>
      <c r="E1236">
        <v>0.25143635567516898</v>
      </c>
      <c r="F1236">
        <v>0.17773502167397301</v>
      </c>
      <c r="G1236">
        <v>8.25975577747462E-2</v>
      </c>
      <c r="H1236">
        <v>7.5458991923346805E-2</v>
      </c>
      <c r="I1236">
        <v>0.119620195736093</v>
      </c>
      <c r="J1236">
        <v>0.15025461660290301</v>
      </c>
      <c r="K1236">
        <v>0.134669552606999</v>
      </c>
      <c r="L1236">
        <v>651.228132236492</v>
      </c>
      <c r="M1236">
        <v>15.0035826714169</v>
      </c>
      <c r="N1236">
        <v>44.172236104896598</v>
      </c>
      <c r="O1236">
        <v>42.6556573797045</v>
      </c>
      <c r="P1236">
        <v>-7.7853794825083297E-2</v>
      </c>
      <c r="Q1236">
        <v>0.114726185623871</v>
      </c>
      <c r="R1236">
        <v>0.80332095428751304</v>
      </c>
      <c r="S1236" t="s">
        <v>7906</v>
      </c>
      <c r="T1236" t="s">
        <v>13338</v>
      </c>
      <c r="U1236" t="s">
        <v>13338</v>
      </c>
      <c r="V1236" t="s">
        <v>13338</v>
      </c>
      <c r="W1236" t="s">
        <v>14543</v>
      </c>
      <c r="X1236">
        <v>1</v>
      </c>
      <c r="Y1236" t="s">
        <v>21145</v>
      </c>
      <c r="Z1236" t="s">
        <v>27651</v>
      </c>
      <c r="AA1236">
        <v>0.25015324563037561</v>
      </c>
      <c r="AB1236" t="str">
        <f>HYPERLINK("Melting_Curves/meltCurve_O00257_CBX4.pdf", "Melting_Curves/meltCurve_O00257_CBX4.pdf")</f>
        <v>Melting_Curves/meltCurve_O00257_CBX4.pdf</v>
      </c>
    </row>
    <row r="1237" spans="1:28" x14ac:dyDescent="0.25">
      <c r="A1237" t="s">
        <v>1241</v>
      </c>
      <c r="B1237">
        <v>0.99193492352474899</v>
      </c>
      <c r="C1237">
        <v>0.88207692963481199</v>
      </c>
      <c r="D1237">
        <v>0.80715785994534595</v>
      </c>
      <c r="E1237">
        <v>0.69728749797697698</v>
      </c>
      <c r="F1237">
        <v>0.42368157108669602</v>
      </c>
      <c r="G1237">
        <v>0.31141794247395199</v>
      </c>
      <c r="H1237">
        <v>0.23819396225071601</v>
      </c>
      <c r="I1237">
        <v>0.29711115326452298</v>
      </c>
      <c r="J1237">
        <v>0.34900357948280503</v>
      </c>
      <c r="K1237">
        <v>0.495141306506725</v>
      </c>
      <c r="L1237">
        <v>901.66546421385203</v>
      </c>
      <c r="M1237">
        <v>18.463194518871902</v>
      </c>
      <c r="N1237">
        <v>51.805938920511402</v>
      </c>
      <c r="O1237">
        <v>48.273729771557399</v>
      </c>
      <c r="P1237">
        <v>-6.4399495016687194E-2</v>
      </c>
      <c r="Q1237">
        <v>0.32651600451630802</v>
      </c>
      <c r="R1237">
        <v>0.91458198452318196</v>
      </c>
      <c r="S1237" t="s">
        <v>7907</v>
      </c>
      <c r="T1237" t="s">
        <v>13338</v>
      </c>
      <c r="U1237" t="s">
        <v>13338</v>
      </c>
      <c r="V1237" t="s">
        <v>13338</v>
      </c>
      <c r="W1237" t="s">
        <v>14544</v>
      </c>
      <c r="X1237">
        <v>12</v>
      </c>
      <c r="Y1237" t="s">
        <v>21146</v>
      </c>
      <c r="Z1237" t="s">
        <v>27652</v>
      </c>
      <c r="AA1237">
        <v>0.53599445732823325</v>
      </c>
      <c r="AB1237" t="str">
        <f>HYPERLINK("Melting_Curves/meltCurve_O00264_PGRMC1.pdf", "Melting_Curves/meltCurve_O00264_PGRMC1.pdf")</f>
        <v>Melting_Curves/meltCurve_O00264_PGRMC1.pdf</v>
      </c>
    </row>
    <row r="1238" spans="1:28" x14ac:dyDescent="0.25">
      <c r="A1238" t="s">
        <v>1242</v>
      </c>
      <c r="B1238">
        <v>0.99193492352474899</v>
      </c>
      <c r="C1238">
        <v>0.94053456761691501</v>
      </c>
      <c r="D1238">
        <v>0.92140323904638</v>
      </c>
      <c r="E1238">
        <v>0.50027467463401298</v>
      </c>
      <c r="F1238">
        <v>0.18004320127160101</v>
      </c>
      <c r="G1238">
        <v>0.105262534544702</v>
      </c>
      <c r="H1238">
        <v>6.7375572531886696E-2</v>
      </c>
      <c r="I1238">
        <v>7.1494921083185003E-2</v>
      </c>
      <c r="J1238">
        <v>8.5101956432986403E-2</v>
      </c>
      <c r="K1238">
        <v>7.1500862141159E-2</v>
      </c>
      <c r="L1238">
        <v>1442.9076555527799</v>
      </c>
      <c r="M1238">
        <v>29.2233263015025</v>
      </c>
      <c r="N1238">
        <v>49.652493412940998</v>
      </c>
      <c r="O1238">
        <v>49.145726978929503</v>
      </c>
      <c r="P1238">
        <v>-0.137465497100099</v>
      </c>
      <c r="Q1238">
        <v>7.5287615452503301E-2</v>
      </c>
      <c r="R1238">
        <v>0.99787334265165595</v>
      </c>
      <c r="S1238" t="s">
        <v>7908</v>
      </c>
      <c r="T1238" t="s">
        <v>13338</v>
      </c>
      <c r="U1238" t="s">
        <v>13338</v>
      </c>
      <c r="V1238" t="s">
        <v>13338</v>
      </c>
      <c r="W1238" t="s">
        <v>14545</v>
      </c>
      <c r="X1238">
        <v>32</v>
      </c>
      <c r="Y1238" t="s">
        <v>21147</v>
      </c>
      <c r="Z1238" t="s">
        <v>27653</v>
      </c>
      <c r="AA1238">
        <v>0.37024107596510891</v>
      </c>
      <c r="AB1238" t="str">
        <f>HYPERLINK("Melting_Curves/meltCurve_O00267_2_SUPT5H.pdf", "Melting_Curves/meltCurve_O00267_2_SUPT5H.pdf")</f>
        <v>Melting_Curves/meltCurve_O00267_2_SUPT5H.pdf</v>
      </c>
    </row>
    <row r="1239" spans="1:28" x14ac:dyDescent="0.25">
      <c r="A1239" t="s">
        <v>1243</v>
      </c>
      <c r="B1239">
        <v>0.99193492352474899</v>
      </c>
      <c r="C1239">
        <v>0.81014207538192295</v>
      </c>
      <c r="D1239">
        <v>0.79741302597079899</v>
      </c>
      <c r="E1239">
        <v>0.66822508908923695</v>
      </c>
      <c r="F1239">
        <v>0.48117745177878002</v>
      </c>
      <c r="G1239">
        <v>0.21422821777005899</v>
      </c>
      <c r="H1239">
        <v>0.14185372807365901</v>
      </c>
      <c r="I1239">
        <v>0.177952321941446</v>
      </c>
      <c r="J1239">
        <v>0.20705906295534601</v>
      </c>
      <c r="K1239">
        <v>0.304994604727299</v>
      </c>
      <c r="L1239">
        <v>687.02967051385997</v>
      </c>
      <c r="M1239">
        <v>13.746707970460999</v>
      </c>
      <c r="N1239">
        <v>51.528052767016703</v>
      </c>
      <c r="O1239">
        <v>48.955739744609502</v>
      </c>
      <c r="P1239">
        <v>-5.8318729746223499E-2</v>
      </c>
      <c r="Q1239">
        <v>0.169363051779303</v>
      </c>
      <c r="R1239">
        <v>0.94097474133737802</v>
      </c>
      <c r="S1239" t="s">
        <v>7909</v>
      </c>
      <c r="T1239" t="s">
        <v>13338</v>
      </c>
      <c r="U1239" t="s">
        <v>13338</v>
      </c>
      <c r="V1239" t="s">
        <v>13338</v>
      </c>
      <c r="W1239" t="s">
        <v>14546</v>
      </c>
      <c r="X1239">
        <v>16</v>
      </c>
      <c r="Y1239" t="s">
        <v>21148</v>
      </c>
      <c r="Z1239" t="s">
        <v>27654</v>
      </c>
      <c r="AA1239">
        <v>0.46869058155168042</v>
      </c>
      <c r="AB1239" t="str">
        <f>HYPERLINK("Melting_Curves/meltCurve_O00273_DFFA.pdf", "Melting_Curves/meltCurve_O00273_DFFA.pdf")</f>
        <v>Melting_Curves/meltCurve_O00273_DFFA.pdf</v>
      </c>
    </row>
    <row r="1240" spans="1:28" x14ac:dyDescent="0.25">
      <c r="A1240" t="s">
        <v>1244</v>
      </c>
      <c r="B1240">
        <v>0.99193492352474899</v>
      </c>
      <c r="C1240">
        <v>1.0988259809821601</v>
      </c>
      <c r="D1240">
        <v>0.87562032273746104</v>
      </c>
      <c r="E1240">
        <v>0.70650348596137302</v>
      </c>
      <c r="F1240">
        <v>0.33103414790500801</v>
      </c>
      <c r="G1240">
        <v>0.17570957647381799</v>
      </c>
      <c r="H1240">
        <v>0.14216375387574301</v>
      </c>
      <c r="I1240">
        <v>0.261407351296223</v>
      </c>
      <c r="J1240">
        <v>0.29615597552159201</v>
      </c>
      <c r="K1240">
        <v>0.390079991858096</v>
      </c>
      <c r="L1240">
        <v>1721.6447108621801</v>
      </c>
      <c r="M1240">
        <v>34.4034094155571</v>
      </c>
      <c r="N1240">
        <v>51.076466697490197</v>
      </c>
      <c r="O1240">
        <v>49.874676959164098</v>
      </c>
      <c r="P1240">
        <v>-0.12920581580576099</v>
      </c>
      <c r="Q1240">
        <v>0.250763336684305</v>
      </c>
      <c r="R1240">
        <v>0.94752796349435997</v>
      </c>
      <c r="S1240" t="s">
        <v>7910</v>
      </c>
      <c r="T1240" t="s">
        <v>13338</v>
      </c>
      <c r="U1240" t="s">
        <v>13338</v>
      </c>
      <c r="V1240" t="s">
        <v>13338</v>
      </c>
      <c r="W1240" t="s">
        <v>14547</v>
      </c>
      <c r="X1240">
        <v>14</v>
      </c>
      <c r="Y1240" t="s">
        <v>21148</v>
      </c>
      <c r="Z1240" t="s">
        <v>27655</v>
      </c>
      <c r="AA1240">
        <v>0.50509431702250984</v>
      </c>
      <c r="AB1240" t="str">
        <f>HYPERLINK("Melting_Curves/meltCurve_O00273_2_DFFA.pdf", "Melting_Curves/meltCurve_O00273_2_DFFA.pdf")</f>
        <v>Melting_Curves/meltCurve_O00273_2_DFFA.pdf</v>
      </c>
    </row>
    <row r="1241" spans="1:28" x14ac:dyDescent="0.25">
      <c r="A1241" t="s">
        <v>1245</v>
      </c>
      <c r="B1241">
        <v>0.99193492352474899</v>
      </c>
      <c r="C1241">
        <v>0.778744150890887</v>
      </c>
      <c r="D1241">
        <v>0.76086317140265303</v>
      </c>
      <c r="E1241">
        <v>0.50967802889874103</v>
      </c>
      <c r="F1241">
        <v>0.379445782316708</v>
      </c>
      <c r="G1241">
        <v>0.21460782887565499</v>
      </c>
      <c r="H1241">
        <v>0.16391602813226</v>
      </c>
      <c r="I1241">
        <v>0.16492704324455101</v>
      </c>
      <c r="J1241">
        <v>0.26056018545236098</v>
      </c>
      <c r="K1241">
        <v>0.31332611823398199</v>
      </c>
      <c r="L1241">
        <v>704.01505343632004</v>
      </c>
      <c r="M1241">
        <v>14.7333201515789</v>
      </c>
      <c r="N1241">
        <v>49.5513263668444</v>
      </c>
      <c r="O1241">
        <v>46.929473008701798</v>
      </c>
      <c r="P1241">
        <v>-6.2452327376648499E-2</v>
      </c>
      <c r="Q1241">
        <v>0.20437840113736899</v>
      </c>
      <c r="R1241">
        <v>0.950783997697489</v>
      </c>
      <c r="S1241" t="s">
        <v>7911</v>
      </c>
      <c r="T1241" t="s">
        <v>13338</v>
      </c>
      <c r="U1241" t="s">
        <v>13338</v>
      </c>
      <c r="V1241" t="s">
        <v>13338</v>
      </c>
      <c r="W1241" t="s">
        <v>14548</v>
      </c>
      <c r="X1241">
        <v>5</v>
      </c>
      <c r="Y1241" t="s">
        <v>21149</v>
      </c>
      <c r="Z1241" t="s">
        <v>27656</v>
      </c>
      <c r="AA1241">
        <v>0.43225453826225152</v>
      </c>
      <c r="AB1241" t="str">
        <f>HYPERLINK("Melting_Curves/meltCurve_O00287_RFXAP.pdf", "Melting_Curves/meltCurve_O00287_RFXAP.pdf")</f>
        <v>Melting_Curves/meltCurve_O00287_RFXAP.pdf</v>
      </c>
    </row>
    <row r="1242" spans="1:28" x14ac:dyDescent="0.25">
      <c r="A1242" t="s">
        <v>1246</v>
      </c>
      <c r="B1242">
        <v>0.99193492352474899</v>
      </c>
      <c r="C1242">
        <v>0.79485611135007395</v>
      </c>
      <c r="D1242">
        <v>0.91944788635656005</v>
      </c>
      <c r="E1242">
        <v>0.56997906880010596</v>
      </c>
      <c r="F1242">
        <v>0.28039128274629399</v>
      </c>
      <c r="G1242">
        <v>0.16589409590252699</v>
      </c>
      <c r="H1242">
        <v>0.10706794387193699</v>
      </c>
      <c r="I1242">
        <v>0.136997521176947</v>
      </c>
      <c r="J1242">
        <v>0.138485196061121</v>
      </c>
      <c r="K1242">
        <v>0.108380469945199</v>
      </c>
      <c r="L1242">
        <v>1004.18406419949</v>
      </c>
      <c r="M1242">
        <v>20.196869001372999</v>
      </c>
      <c r="N1242">
        <v>50.333505077162101</v>
      </c>
      <c r="O1242">
        <v>49.240054518708597</v>
      </c>
      <c r="P1242">
        <v>-9.1354212096057097E-2</v>
      </c>
      <c r="Q1242">
        <v>0.10913996988368101</v>
      </c>
      <c r="R1242">
        <v>0.97008512880068898</v>
      </c>
      <c r="S1242" t="s">
        <v>7912</v>
      </c>
      <c r="T1242" t="s">
        <v>13338</v>
      </c>
      <c r="U1242" t="s">
        <v>13338</v>
      </c>
      <c r="V1242" t="s">
        <v>13338</v>
      </c>
      <c r="W1242" t="s">
        <v>14549</v>
      </c>
      <c r="X1242">
        <v>5</v>
      </c>
      <c r="Y1242" t="s">
        <v>21150</v>
      </c>
      <c r="Z1242" t="s">
        <v>27657</v>
      </c>
      <c r="AA1242">
        <v>0.40995149335593711</v>
      </c>
      <c r="AB1242" t="str">
        <f>HYPERLINK("Melting_Curves/meltCurve_O00291_HIP1.pdf", "Melting_Curves/meltCurve_O00291_HIP1.pdf")</f>
        <v>Melting_Curves/meltCurve_O00291_HIP1.pdf</v>
      </c>
    </row>
    <row r="1243" spans="1:28" x14ac:dyDescent="0.25">
      <c r="A1243" t="s">
        <v>1247</v>
      </c>
      <c r="B1243">
        <v>0.99193492352474899</v>
      </c>
      <c r="C1243">
        <v>0.76058295347934901</v>
      </c>
      <c r="D1243">
        <v>0.81276242169079604</v>
      </c>
      <c r="E1243">
        <v>0.60984238609281005</v>
      </c>
      <c r="F1243">
        <v>0.20343646634382301</v>
      </c>
      <c r="G1243">
        <v>6.3884378294161506E-2</v>
      </c>
      <c r="H1243">
        <v>3.78098811676712E-2</v>
      </c>
      <c r="I1243">
        <v>3.9353161021362902E-2</v>
      </c>
      <c r="J1243">
        <v>4.5101990450177203E-2</v>
      </c>
      <c r="K1243">
        <v>4.8294065438600202E-2</v>
      </c>
      <c r="L1243">
        <v>810.61355885042803</v>
      </c>
      <c r="M1243">
        <v>16.2961879808643</v>
      </c>
      <c r="N1243">
        <v>49.771930415535202</v>
      </c>
      <c r="O1243">
        <v>49.011574498999202</v>
      </c>
      <c r="P1243">
        <v>-8.2731941825697694E-2</v>
      </c>
      <c r="Q1243">
        <v>4.7913139165628102E-3</v>
      </c>
      <c r="R1243">
        <v>0.96453558184033705</v>
      </c>
      <c r="S1243" t="s">
        <v>7913</v>
      </c>
      <c r="T1243" t="s">
        <v>13338</v>
      </c>
      <c r="U1243" t="s">
        <v>13338</v>
      </c>
      <c r="V1243" t="s">
        <v>13338</v>
      </c>
      <c r="W1243" t="s">
        <v>14550</v>
      </c>
      <c r="X1243">
        <v>12</v>
      </c>
      <c r="Y1243" t="s">
        <v>21151</v>
      </c>
      <c r="Z1243" t="s">
        <v>27658</v>
      </c>
      <c r="AA1243">
        <v>0.3485470867074395</v>
      </c>
      <c r="AB1243" t="str">
        <f>HYPERLINK("Melting_Curves/meltCurve_O00299_CLIC1.pdf", "Melting_Curves/meltCurve_O00299_CLIC1.pdf")</f>
        <v>Melting_Curves/meltCurve_O00299_CLIC1.pdf</v>
      </c>
    </row>
    <row r="1244" spans="1:28" x14ac:dyDescent="0.25">
      <c r="A1244" t="s">
        <v>1248</v>
      </c>
      <c r="B1244">
        <v>0.99193492352474899</v>
      </c>
      <c r="C1244">
        <v>0.88884358414665798</v>
      </c>
      <c r="D1244">
        <v>0.93619449345623096</v>
      </c>
      <c r="E1244">
        <v>0.57781875876046496</v>
      </c>
      <c r="F1244">
        <v>0.24139461576698501</v>
      </c>
      <c r="G1244">
        <v>0.12981299472205601</v>
      </c>
      <c r="H1244">
        <v>7.6963399365126195E-2</v>
      </c>
      <c r="I1244">
        <v>9.1956882912047996E-2</v>
      </c>
      <c r="J1244">
        <v>0.114217217115268</v>
      </c>
      <c r="K1244">
        <v>0.119563770188212</v>
      </c>
      <c r="L1244">
        <v>1325.27413515494</v>
      </c>
      <c r="M1244">
        <v>26.579972997199398</v>
      </c>
      <c r="N1244">
        <v>50.270674097989101</v>
      </c>
      <c r="O1244">
        <v>49.5802205869525</v>
      </c>
      <c r="P1244">
        <v>-0.12094361647674</v>
      </c>
      <c r="Q1244">
        <v>9.7614219459840806E-2</v>
      </c>
      <c r="R1244">
        <v>0.99117533514495404</v>
      </c>
      <c r="S1244" t="s">
        <v>7914</v>
      </c>
      <c r="T1244" t="s">
        <v>13338</v>
      </c>
      <c r="U1244" t="s">
        <v>13338</v>
      </c>
      <c r="V1244" t="s">
        <v>13338</v>
      </c>
      <c r="W1244" t="s">
        <v>14551</v>
      </c>
      <c r="X1244">
        <v>16</v>
      </c>
      <c r="Y1244" t="s">
        <v>21152</v>
      </c>
      <c r="Z1244" t="s">
        <v>27659</v>
      </c>
      <c r="AA1244">
        <v>0.40131067547180682</v>
      </c>
      <c r="AB1244" t="str">
        <f>HYPERLINK("Melting_Curves/meltCurve_O00329_PIK3CD.pdf", "Melting_Curves/meltCurve_O00329_PIK3CD.pdf")</f>
        <v>Melting_Curves/meltCurve_O00329_PIK3CD.pdf</v>
      </c>
    </row>
    <row r="1245" spans="1:28" x14ac:dyDescent="0.25">
      <c r="A1245" t="s">
        <v>1249</v>
      </c>
      <c r="B1245">
        <v>0.99193492352474899</v>
      </c>
      <c r="C1245">
        <v>0.91196981203566896</v>
      </c>
      <c r="D1245">
        <v>0.95421427421878902</v>
      </c>
      <c r="E1245">
        <v>0.88062549678731505</v>
      </c>
      <c r="F1245">
        <v>0.83045529039098598</v>
      </c>
      <c r="G1245">
        <v>0.53597477583213704</v>
      </c>
      <c r="H1245">
        <v>0.27488118126350503</v>
      </c>
      <c r="I1245">
        <v>0.28008794819666599</v>
      </c>
      <c r="J1245">
        <v>0.25273157722442402</v>
      </c>
      <c r="K1245">
        <v>0.23915086342067901</v>
      </c>
      <c r="L1245">
        <v>1232.60740787906</v>
      </c>
      <c r="M1245">
        <v>22.150072583735799</v>
      </c>
      <c r="N1245">
        <v>57.177001631691397</v>
      </c>
      <c r="O1245">
        <v>55.200393328243003</v>
      </c>
      <c r="P1245">
        <v>-7.7899610162447203E-2</v>
      </c>
      <c r="Q1245">
        <v>0.22347970641034801</v>
      </c>
      <c r="R1245">
        <v>0.98079199827871399</v>
      </c>
      <c r="S1245" t="s">
        <v>7915</v>
      </c>
      <c r="T1245" t="s">
        <v>13338</v>
      </c>
      <c r="U1245" t="s">
        <v>13338</v>
      </c>
      <c r="V1245" t="s">
        <v>13338</v>
      </c>
      <c r="W1245" t="s">
        <v>14552</v>
      </c>
      <c r="X1245">
        <v>13</v>
      </c>
      <c r="Y1245" t="s">
        <v>21153</v>
      </c>
      <c r="Z1245" t="s">
        <v>27660</v>
      </c>
      <c r="AA1245">
        <v>0.637225294152023</v>
      </c>
      <c r="AB1245" t="str">
        <f>HYPERLINK("Melting_Curves/meltCurve_O00330_PDHX.pdf", "Melting_Curves/meltCurve_O00330_PDHX.pdf")</f>
        <v>Melting_Curves/meltCurve_O00330_PDHX.pdf</v>
      </c>
    </row>
    <row r="1246" spans="1:28" x14ac:dyDescent="0.25">
      <c r="A1246" t="s">
        <v>1250</v>
      </c>
      <c r="B1246">
        <v>0.99193492352474899</v>
      </c>
      <c r="C1246">
        <v>0.82429415918800897</v>
      </c>
      <c r="D1246">
        <v>0.957476582415558</v>
      </c>
      <c r="E1246">
        <v>0.74285341449298903</v>
      </c>
      <c r="F1246">
        <v>0.340143206772476</v>
      </c>
      <c r="G1246">
        <v>0.35231377466853497</v>
      </c>
      <c r="H1246">
        <v>0.273224289818634</v>
      </c>
      <c r="I1246">
        <v>0.163538188194016</v>
      </c>
      <c r="J1246">
        <v>0.21264465472345001</v>
      </c>
      <c r="K1246">
        <v>0.10874774183977</v>
      </c>
      <c r="L1246">
        <v>893.66111703773197</v>
      </c>
      <c r="M1246">
        <v>17.479201687444199</v>
      </c>
      <c r="N1246">
        <v>52.339592463139297</v>
      </c>
      <c r="O1246">
        <v>50.471989079959698</v>
      </c>
      <c r="P1246">
        <v>-7.2168996238551997E-2</v>
      </c>
      <c r="Q1246">
        <v>0.16648115649606501</v>
      </c>
      <c r="R1246">
        <v>0.95044246849688296</v>
      </c>
      <c r="S1246" t="s">
        <v>7916</v>
      </c>
      <c r="T1246" t="s">
        <v>13338</v>
      </c>
      <c r="U1246" t="s">
        <v>13338</v>
      </c>
      <c r="V1246" t="s">
        <v>13338</v>
      </c>
      <c r="W1246" t="s">
        <v>14553</v>
      </c>
      <c r="X1246">
        <v>2</v>
      </c>
      <c r="Y1246" t="s">
        <v>21154</v>
      </c>
      <c r="Z1246" t="s">
        <v>27661</v>
      </c>
      <c r="AA1246">
        <v>0.49041236328931592</v>
      </c>
      <c r="AB1246" t="str">
        <f>HYPERLINK("Melting_Curves/meltCurve_O00391_QSOX1.pdf", "Melting_Curves/meltCurve_O00391_QSOX1.pdf")</f>
        <v>Melting_Curves/meltCurve_O00391_QSOX1.pdf</v>
      </c>
    </row>
    <row r="1247" spans="1:28" x14ac:dyDescent="0.25">
      <c r="A1247" t="s">
        <v>1251</v>
      </c>
      <c r="B1247">
        <v>0.99193492352474899</v>
      </c>
      <c r="C1247">
        <v>0.89112845389158701</v>
      </c>
      <c r="D1247">
        <v>0.78869295936787498</v>
      </c>
      <c r="E1247">
        <v>0.74612956891606297</v>
      </c>
      <c r="F1247">
        <v>0.66161728265725295</v>
      </c>
      <c r="G1247">
        <v>0.53357404832798705</v>
      </c>
      <c r="H1247">
        <v>0.39209539019481898</v>
      </c>
      <c r="I1247">
        <v>0.36019532994866799</v>
      </c>
      <c r="J1247">
        <v>0.232689765642763</v>
      </c>
      <c r="K1247">
        <v>0.237466603045035</v>
      </c>
      <c r="L1247">
        <v>386.12796649762203</v>
      </c>
      <c r="M1247">
        <v>6.72323352451712</v>
      </c>
      <c r="N1247">
        <v>57.431883793395698</v>
      </c>
      <c r="O1247">
        <v>52.9913176018539</v>
      </c>
      <c r="P1247">
        <v>-3.1786711675977602E-2</v>
      </c>
      <c r="Q1247">
        <v>0</v>
      </c>
      <c r="R1247">
        <v>0.98673414116698299</v>
      </c>
      <c r="S1247" t="s">
        <v>7917</v>
      </c>
      <c r="T1247" t="s">
        <v>13338</v>
      </c>
      <c r="U1247" t="s">
        <v>13338</v>
      </c>
      <c r="V1247" t="s">
        <v>13338</v>
      </c>
      <c r="W1247" t="s">
        <v>14554</v>
      </c>
      <c r="X1247">
        <v>7</v>
      </c>
      <c r="Y1247" t="s">
        <v>21155</v>
      </c>
      <c r="Z1247" t="s">
        <v>27662</v>
      </c>
      <c r="AA1247">
        <v>0.58378599014806054</v>
      </c>
      <c r="AB1247" t="str">
        <f>HYPERLINK("Melting_Curves/meltCurve_O00399_DCTN6.pdf", "Melting_Curves/meltCurve_O00399_DCTN6.pdf")</f>
        <v>Melting_Curves/meltCurve_O00399_DCTN6.pdf</v>
      </c>
    </row>
    <row r="1248" spans="1:28" x14ac:dyDescent="0.25">
      <c r="A1248" t="s">
        <v>1252</v>
      </c>
      <c r="B1248">
        <v>0.99193492352474899</v>
      </c>
      <c r="C1248">
        <v>1.04975932350223</v>
      </c>
      <c r="D1248">
        <v>1.1255079484035799</v>
      </c>
      <c r="E1248">
        <v>0.98358335024094501</v>
      </c>
      <c r="F1248">
        <v>0.82984632151845505</v>
      </c>
      <c r="G1248">
        <v>0.55408462662865099</v>
      </c>
      <c r="H1248">
        <v>0.24817939876651601</v>
      </c>
      <c r="I1248">
        <v>0.170734379814904</v>
      </c>
      <c r="J1248">
        <v>0.174675483112741</v>
      </c>
      <c r="K1248">
        <v>0.184773652950462</v>
      </c>
      <c r="L1248">
        <v>1512.0368363325399</v>
      </c>
      <c r="M1248">
        <v>26.846856959616499</v>
      </c>
      <c r="N1248">
        <v>57.1397652166049</v>
      </c>
      <c r="O1248">
        <v>56.011119879446703</v>
      </c>
      <c r="P1248">
        <v>-0.10069286168934199</v>
      </c>
      <c r="Q1248">
        <v>0.15969878185984701</v>
      </c>
      <c r="R1248">
        <v>0.98581475683146103</v>
      </c>
      <c r="S1248" t="s">
        <v>7918</v>
      </c>
      <c r="T1248" t="s">
        <v>13338</v>
      </c>
      <c r="U1248" t="s">
        <v>13338</v>
      </c>
      <c r="V1248" t="s">
        <v>13338</v>
      </c>
      <c r="W1248" t="s">
        <v>14555</v>
      </c>
      <c r="X1248">
        <v>4</v>
      </c>
      <c r="Y1248" t="s">
        <v>21156</v>
      </c>
      <c r="Z1248" t="s">
        <v>27663</v>
      </c>
      <c r="AA1248">
        <v>0.62366251049372146</v>
      </c>
      <c r="AB1248" t="str">
        <f>HYPERLINK("Melting_Curves/meltCurve_O00400_SLC33A1.pdf", "Melting_Curves/meltCurve_O00400_SLC33A1.pdf")</f>
        <v>Melting_Curves/meltCurve_O00400_SLC33A1.pdf</v>
      </c>
    </row>
    <row r="1249" spans="1:28" x14ac:dyDescent="0.25">
      <c r="A1249" t="s">
        <v>1253</v>
      </c>
      <c r="B1249">
        <v>0.99193492352474899</v>
      </c>
      <c r="C1249">
        <v>0.951565506979408</v>
      </c>
      <c r="D1249">
        <v>0.90852157984442905</v>
      </c>
      <c r="E1249">
        <v>0.66121255584620897</v>
      </c>
      <c r="F1249">
        <v>0.243847032040068</v>
      </c>
      <c r="G1249">
        <v>0.10790218426289</v>
      </c>
      <c r="H1249">
        <v>6.4432017628129903E-2</v>
      </c>
      <c r="I1249">
        <v>6.2759545613249895E-2</v>
      </c>
      <c r="J1249">
        <v>6.5368828299967194E-2</v>
      </c>
      <c r="K1249">
        <v>6.2256388563468899E-2</v>
      </c>
      <c r="L1249">
        <v>1310.8453678256201</v>
      </c>
      <c r="M1249">
        <v>25.9399361821729</v>
      </c>
      <c r="N1249">
        <v>50.772669284130103</v>
      </c>
      <c r="O1249">
        <v>50.236410176593701</v>
      </c>
      <c r="P1249">
        <v>-0.121677503208899</v>
      </c>
      <c r="Q1249">
        <v>5.7427148980506701E-2</v>
      </c>
      <c r="R1249">
        <v>0.99815112402256501</v>
      </c>
      <c r="S1249" t="s">
        <v>7919</v>
      </c>
      <c r="T1249" t="s">
        <v>13338</v>
      </c>
      <c r="U1249" t="s">
        <v>13338</v>
      </c>
      <c r="V1249" t="s">
        <v>13338</v>
      </c>
      <c r="W1249" t="s">
        <v>14556</v>
      </c>
      <c r="X1249">
        <v>47</v>
      </c>
      <c r="Y1249" t="s">
        <v>21157</v>
      </c>
      <c r="Z1249" t="s">
        <v>27664</v>
      </c>
      <c r="AA1249">
        <v>0.39626354971659922</v>
      </c>
      <c r="AB1249" t="str">
        <f>HYPERLINK("Melting_Curves/meltCurve_O00410_IPO5.pdf", "Melting_Curves/meltCurve_O00410_IPO5.pdf")</f>
        <v>Melting_Curves/meltCurve_O00410_IPO5.pdf</v>
      </c>
    </row>
    <row r="1250" spans="1:28" x14ac:dyDescent="0.25">
      <c r="A1250" t="s">
        <v>1254</v>
      </c>
      <c r="B1250">
        <v>0.99193492352474899</v>
      </c>
      <c r="C1250">
        <v>0.92445935978462401</v>
      </c>
      <c r="D1250">
        <v>0.50999165705668903</v>
      </c>
      <c r="E1250">
        <v>0.33396475052024499</v>
      </c>
      <c r="F1250">
        <v>0.225849095623636</v>
      </c>
      <c r="G1250">
        <v>0.136022413123318</v>
      </c>
      <c r="H1250">
        <v>9.1629461772945106E-2</v>
      </c>
      <c r="I1250">
        <v>0.12868597826886699</v>
      </c>
      <c r="J1250">
        <v>0.15079402243620099</v>
      </c>
      <c r="K1250">
        <v>9.4735155584815295E-2</v>
      </c>
      <c r="L1250">
        <v>988.26722236623004</v>
      </c>
      <c r="M1250">
        <v>21.389616776153801</v>
      </c>
      <c r="N1250">
        <v>46.844839890550297</v>
      </c>
      <c r="O1250">
        <v>45.804966614088201</v>
      </c>
      <c r="P1250">
        <v>-0.101919988023044</v>
      </c>
      <c r="Q1250">
        <v>0.12699221242743999</v>
      </c>
      <c r="R1250">
        <v>0.98297054548986396</v>
      </c>
      <c r="S1250" t="s">
        <v>7920</v>
      </c>
      <c r="T1250" t="s">
        <v>13338</v>
      </c>
      <c r="U1250" t="s">
        <v>13338</v>
      </c>
      <c r="V1250" t="s">
        <v>13338</v>
      </c>
      <c r="W1250" t="s">
        <v>14557</v>
      </c>
      <c r="X1250">
        <v>4</v>
      </c>
      <c r="Y1250" t="s">
        <v>21158</v>
      </c>
      <c r="Z1250" t="s">
        <v>27665</v>
      </c>
      <c r="AA1250">
        <v>0.31892459427719649</v>
      </c>
      <c r="AB1250" t="str">
        <f>HYPERLINK("Melting_Curves/meltCurve_O00418_EEF2K.pdf", "Melting_Curves/meltCurve_O00418_EEF2K.pdf")</f>
        <v>Melting_Curves/meltCurve_O00418_EEF2K.pdf</v>
      </c>
    </row>
    <row r="1251" spans="1:28" x14ac:dyDescent="0.25">
      <c r="A1251" t="s">
        <v>1255</v>
      </c>
      <c r="B1251">
        <v>0.99193492352474899</v>
      </c>
      <c r="C1251">
        <v>0.43362559982161403</v>
      </c>
      <c r="D1251">
        <v>0.58061621289612897</v>
      </c>
      <c r="E1251">
        <v>0.24924696605007801</v>
      </c>
      <c r="F1251">
        <v>0.15235890508127201</v>
      </c>
      <c r="G1251">
        <v>0.102392937856773</v>
      </c>
      <c r="H1251">
        <v>9.6558469009675296E-2</v>
      </c>
      <c r="I1251">
        <v>0.23303683345981899</v>
      </c>
      <c r="J1251">
        <v>0.38803516400907001</v>
      </c>
      <c r="K1251">
        <v>0.46951574890252401</v>
      </c>
      <c r="L1251">
        <v>957.76340633722896</v>
      </c>
      <c r="M1251">
        <v>22.412938964656899</v>
      </c>
      <c r="N1251">
        <v>44.0952846296099</v>
      </c>
      <c r="O1251">
        <v>42.396789293722399</v>
      </c>
      <c r="P1251">
        <v>-9.9140623431006603E-2</v>
      </c>
      <c r="Q1251">
        <v>0.249869536308058</v>
      </c>
      <c r="R1251">
        <v>0.68144731991944496</v>
      </c>
      <c r="S1251" t="s">
        <v>7921</v>
      </c>
      <c r="T1251" t="s">
        <v>13338</v>
      </c>
      <c r="U1251" t="s">
        <v>13338</v>
      </c>
      <c r="V1251" t="s">
        <v>13338</v>
      </c>
      <c r="W1251" t="s">
        <v>14558</v>
      </c>
      <c r="X1251">
        <v>8</v>
      </c>
      <c r="Y1251" t="s">
        <v>21159</v>
      </c>
      <c r="Z1251" t="s">
        <v>27666</v>
      </c>
      <c r="AA1251">
        <v>0.33291665770145412</v>
      </c>
      <c r="AB1251" t="str">
        <f>HYPERLINK("Melting_Curves/meltCurve_O00422_SAP18.pdf", "Melting_Curves/meltCurve_O00422_SAP18.pdf")</f>
        <v>Melting_Curves/meltCurve_O00422_SAP18.pdf</v>
      </c>
    </row>
    <row r="1252" spans="1:28" x14ac:dyDescent="0.25">
      <c r="A1252" t="s">
        <v>1256</v>
      </c>
      <c r="B1252">
        <v>0.99193492352474899</v>
      </c>
      <c r="C1252">
        <v>0.54208973313204101</v>
      </c>
      <c r="D1252">
        <v>0.46388710606593497</v>
      </c>
      <c r="E1252">
        <v>0.214881412543552</v>
      </c>
      <c r="F1252">
        <v>0.18489103621493999</v>
      </c>
      <c r="G1252">
        <v>9.5074431244603602E-2</v>
      </c>
      <c r="H1252">
        <v>4.8449179964162703E-2</v>
      </c>
      <c r="I1252">
        <v>6.9938463706303605E-2</v>
      </c>
      <c r="J1252">
        <v>0.106491904154829</v>
      </c>
      <c r="K1252">
        <v>6.1695639944871601E-2</v>
      </c>
      <c r="L1252">
        <v>720.00051866547199</v>
      </c>
      <c r="M1252">
        <v>16.209405481084101</v>
      </c>
      <c r="N1252">
        <v>44.874625402030901</v>
      </c>
      <c r="O1252">
        <v>43.759115347608002</v>
      </c>
      <c r="P1252">
        <v>-8.5581451451132898E-2</v>
      </c>
      <c r="Q1252">
        <v>7.5921419673864607E-2</v>
      </c>
      <c r="R1252">
        <v>0.95334672361893102</v>
      </c>
      <c r="S1252" t="s">
        <v>7922</v>
      </c>
      <c r="T1252" t="s">
        <v>13338</v>
      </c>
      <c r="U1252" t="s">
        <v>13338</v>
      </c>
      <c r="V1252" t="s">
        <v>13338</v>
      </c>
      <c r="W1252" t="s">
        <v>14559</v>
      </c>
      <c r="X1252">
        <v>5</v>
      </c>
      <c r="Y1252" t="s">
        <v>21160</v>
      </c>
      <c r="Z1252" t="s">
        <v>27667</v>
      </c>
      <c r="AA1252">
        <v>0.23899162917652339</v>
      </c>
      <c r="AB1252" t="str">
        <f>HYPERLINK("Melting_Curves/meltCurve_O00425_IGF2BP3.pdf", "Melting_Curves/meltCurve_O00425_IGF2BP3.pdf")</f>
        <v>Melting_Curves/meltCurve_O00425_IGF2BP3.pdf</v>
      </c>
    </row>
    <row r="1253" spans="1:28" x14ac:dyDescent="0.25">
      <c r="A1253" t="s">
        <v>1257</v>
      </c>
      <c r="B1253">
        <v>0.99193492352474899</v>
      </c>
      <c r="C1253">
        <v>0.94752503165951096</v>
      </c>
      <c r="D1253">
        <v>0.98128499066636599</v>
      </c>
      <c r="E1253">
        <v>0.85978795672376696</v>
      </c>
      <c r="F1253">
        <v>0.180190239010492</v>
      </c>
      <c r="G1253">
        <v>0.107653956980498</v>
      </c>
      <c r="H1253">
        <v>6.46688483123843E-2</v>
      </c>
      <c r="I1253">
        <v>7.2231745974208797E-2</v>
      </c>
      <c r="J1253">
        <v>7.5383362306828697E-2</v>
      </c>
      <c r="K1253">
        <v>8.2040488114886706E-2</v>
      </c>
      <c r="L1253">
        <v>2763.5120482840198</v>
      </c>
      <c r="M1253">
        <v>54.010594473127298</v>
      </c>
      <c r="N1253">
        <v>51.329674073196898</v>
      </c>
      <c r="O1253">
        <v>51.096106567198298</v>
      </c>
      <c r="P1253">
        <v>-0.24336852105037299</v>
      </c>
      <c r="Q1253">
        <v>7.9056441257389101E-2</v>
      </c>
      <c r="R1253">
        <v>0.997726954635761</v>
      </c>
      <c r="S1253" t="s">
        <v>7923</v>
      </c>
      <c r="T1253" t="s">
        <v>13338</v>
      </c>
      <c r="U1253" t="s">
        <v>13338</v>
      </c>
      <c r="V1253" t="s">
        <v>13338</v>
      </c>
      <c r="W1253" t="s">
        <v>14560</v>
      </c>
      <c r="X1253">
        <v>37</v>
      </c>
      <c r="Y1253" t="s">
        <v>21161</v>
      </c>
      <c r="Z1253" t="s">
        <v>27668</v>
      </c>
      <c r="AA1253">
        <v>0.42361487896564831</v>
      </c>
      <c r="AB1253" t="str">
        <f>HYPERLINK("Melting_Curves/meltCurve_O00429_DNM1L.pdf", "Melting_Curves/meltCurve_O00429_DNM1L.pdf")</f>
        <v>Melting_Curves/meltCurve_O00429_DNM1L.pdf</v>
      </c>
    </row>
    <row r="1254" spans="1:28" x14ac:dyDescent="0.25">
      <c r="A1254" t="s">
        <v>1258</v>
      </c>
      <c r="B1254">
        <v>0.99193492352474899</v>
      </c>
      <c r="C1254">
        <v>1.24657246533931</v>
      </c>
      <c r="D1254">
        <v>0.95551015827922503</v>
      </c>
      <c r="E1254">
        <v>0.96603720224317602</v>
      </c>
      <c r="F1254">
        <v>0.158445266952119</v>
      </c>
      <c r="G1254">
        <v>0.14660458567676901</v>
      </c>
      <c r="H1254">
        <v>5.5555530885087197E-2</v>
      </c>
      <c r="I1254">
        <v>0.12838583813304499</v>
      </c>
      <c r="J1254">
        <v>0.14774016567123599</v>
      </c>
      <c r="K1254">
        <v>0.120917646578142</v>
      </c>
      <c r="L1254">
        <v>4605.0236116489696</v>
      </c>
      <c r="M1254">
        <v>89.633411352969006</v>
      </c>
      <c r="N1254">
        <v>51.533614259777998</v>
      </c>
      <c r="O1254">
        <v>51.350637213902701</v>
      </c>
      <c r="P1254">
        <v>-0.38411940683045498</v>
      </c>
      <c r="Q1254">
        <v>0.119757939591315</v>
      </c>
      <c r="R1254">
        <v>0.96686577825867204</v>
      </c>
      <c r="S1254" t="s">
        <v>7924</v>
      </c>
      <c r="T1254" t="s">
        <v>13338</v>
      </c>
      <c r="U1254" t="s">
        <v>13338</v>
      </c>
      <c r="V1254" t="s">
        <v>13338</v>
      </c>
      <c r="W1254" t="s">
        <v>14561</v>
      </c>
      <c r="X1254">
        <v>37</v>
      </c>
      <c r="Y1254" t="s">
        <v>21161</v>
      </c>
      <c r="Z1254" t="s">
        <v>27669</v>
      </c>
      <c r="AA1254">
        <v>0.45416979235878008</v>
      </c>
      <c r="AB1254" t="str">
        <f>HYPERLINK("Melting_Curves/meltCurve_O00429_3_DNM1L.pdf", "Melting_Curves/meltCurve_O00429_3_DNM1L.pdf")</f>
        <v>Melting_Curves/meltCurve_O00429_3_DNM1L.pdf</v>
      </c>
    </row>
    <row r="1255" spans="1:28" x14ac:dyDescent="0.25">
      <c r="A1255" t="s">
        <v>1259</v>
      </c>
      <c r="B1255">
        <v>0.99193492352474899</v>
      </c>
      <c r="C1255">
        <v>0.96797677947666605</v>
      </c>
      <c r="D1255">
        <v>0.92137994297410797</v>
      </c>
      <c r="E1255">
        <v>0.79417441767202601</v>
      </c>
      <c r="F1255">
        <v>0.31524371744282598</v>
      </c>
      <c r="G1255">
        <v>0.19948389866278901</v>
      </c>
      <c r="H1255">
        <v>5.7268975480906002E-2</v>
      </c>
      <c r="I1255">
        <v>7.3886498112206406E-2</v>
      </c>
      <c r="J1255">
        <v>7.18508995032449E-2</v>
      </c>
      <c r="K1255">
        <v>0.114234674896079</v>
      </c>
      <c r="L1255">
        <v>1434.04554195837</v>
      </c>
      <c r="M1255">
        <v>27.851128160186398</v>
      </c>
      <c r="N1255">
        <v>51.826526683377097</v>
      </c>
      <c r="O1255">
        <v>51.2264164424532</v>
      </c>
      <c r="P1255">
        <v>-0.124669688794424</v>
      </c>
      <c r="Q1255">
        <v>8.2791124949920705E-2</v>
      </c>
      <c r="R1255">
        <v>0.99304287940065195</v>
      </c>
      <c r="S1255" t="s">
        <v>7925</v>
      </c>
      <c r="T1255" t="s">
        <v>13338</v>
      </c>
      <c r="U1255" t="s">
        <v>13338</v>
      </c>
      <c r="V1255" t="s">
        <v>13338</v>
      </c>
      <c r="W1255" t="s">
        <v>14562</v>
      </c>
      <c r="X1255">
        <v>36</v>
      </c>
      <c r="Y1255" t="s">
        <v>21161</v>
      </c>
      <c r="Z1255" t="s">
        <v>27670</v>
      </c>
      <c r="AA1255">
        <v>0.44081005707390841</v>
      </c>
      <c r="AB1255" t="str">
        <f>HYPERLINK("Melting_Curves/meltCurve_O00429_4_DNM1L.pdf", "Melting_Curves/meltCurve_O00429_4_DNM1L.pdf")</f>
        <v>Melting_Curves/meltCurve_O00429_4_DNM1L.pdf</v>
      </c>
    </row>
    <row r="1256" spans="1:28" x14ac:dyDescent="0.25">
      <c r="A1256" t="s">
        <v>1260</v>
      </c>
      <c r="B1256">
        <v>0.99193492352474899</v>
      </c>
      <c r="C1256">
        <v>0.86351704612240299</v>
      </c>
      <c r="D1256">
        <v>1.04688662315057</v>
      </c>
      <c r="E1256">
        <v>0.79226098925000499</v>
      </c>
      <c r="F1256">
        <v>0.56653336444355495</v>
      </c>
      <c r="G1256">
        <v>0.23072738734451501</v>
      </c>
      <c r="H1256">
        <v>8.7610268123564997E-2</v>
      </c>
      <c r="I1256">
        <v>6.0490662932386897E-2</v>
      </c>
      <c r="J1256">
        <v>7.1689543449748205E-2</v>
      </c>
      <c r="K1256">
        <v>7.5432363905720001E-2</v>
      </c>
      <c r="L1256">
        <v>1159.3181170210501</v>
      </c>
      <c r="M1256">
        <v>21.763544527596999</v>
      </c>
      <c r="N1256">
        <v>53.523304497467599</v>
      </c>
      <c r="O1256">
        <v>52.825184639603798</v>
      </c>
      <c r="P1256">
        <v>-9.79374866151176E-2</v>
      </c>
      <c r="Q1256">
        <v>4.9153917676229598E-2</v>
      </c>
      <c r="R1256">
        <v>0.98184038453325695</v>
      </c>
      <c r="S1256" t="s">
        <v>7926</v>
      </c>
      <c r="T1256" t="s">
        <v>13338</v>
      </c>
      <c r="U1256" t="s">
        <v>13338</v>
      </c>
      <c r="V1256" t="s">
        <v>13338</v>
      </c>
      <c r="W1256" t="s">
        <v>14563</v>
      </c>
      <c r="X1256">
        <v>11</v>
      </c>
      <c r="Y1256" t="s">
        <v>21162</v>
      </c>
      <c r="Z1256" t="s">
        <v>27671</v>
      </c>
      <c r="AA1256">
        <v>0.4809854831561538</v>
      </c>
      <c r="AB1256" t="str">
        <f>HYPERLINK("Melting_Curves/meltCurve_O00442_RTCA.pdf", "Melting_Curves/meltCurve_O00442_RTCA.pdf")</f>
        <v>Melting_Curves/meltCurve_O00442_RTCA.pdf</v>
      </c>
    </row>
    <row r="1257" spans="1:28" x14ac:dyDescent="0.25">
      <c r="A1257" t="s">
        <v>1261</v>
      </c>
      <c r="B1257">
        <v>0.99193492352474899</v>
      </c>
      <c r="C1257">
        <v>0.91884328631218504</v>
      </c>
      <c r="D1257">
        <v>0.90912111062058498</v>
      </c>
      <c r="E1257">
        <v>0.492806911590494</v>
      </c>
      <c r="F1257">
        <v>0.22330794582876001</v>
      </c>
      <c r="G1257">
        <v>0.124973032076292</v>
      </c>
      <c r="H1257">
        <v>8.8273360428687095E-2</v>
      </c>
      <c r="I1257">
        <v>0.103002093861435</v>
      </c>
      <c r="J1257">
        <v>0.132499179333251</v>
      </c>
      <c r="K1257">
        <v>0.15365534991421101</v>
      </c>
      <c r="L1257">
        <v>1378.51887370705</v>
      </c>
      <c r="M1257">
        <v>28.0509601584934</v>
      </c>
      <c r="N1257">
        <v>49.615367861193597</v>
      </c>
      <c r="O1257">
        <v>48.895666080080296</v>
      </c>
      <c r="P1257">
        <v>-0.126628524048403</v>
      </c>
      <c r="Q1257">
        <v>0.11710239725681899</v>
      </c>
      <c r="R1257">
        <v>0.99372257858287605</v>
      </c>
      <c r="S1257" t="s">
        <v>7927</v>
      </c>
      <c r="T1257" t="s">
        <v>13338</v>
      </c>
      <c r="U1257" t="s">
        <v>13338</v>
      </c>
      <c r="V1257" t="s">
        <v>13338</v>
      </c>
      <c r="W1257" t="s">
        <v>14564</v>
      </c>
      <c r="X1257">
        <v>4</v>
      </c>
      <c r="Y1257" t="s">
        <v>21163</v>
      </c>
      <c r="Z1257" t="s">
        <v>27672</v>
      </c>
      <c r="AA1257">
        <v>0.39237444113230341</v>
      </c>
      <c r="AB1257" t="str">
        <f>HYPERLINK("Melting_Curves/meltCurve_O00459_PIK3R2.pdf", "Melting_Curves/meltCurve_O00459_PIK3R2.pdf")</f>
        <v>Melting_Curves/meltCurve_O00459_PIK3R2.pdf</v>
      </c>
    </row>
    <row r="1258" spans="1:28" x14ac:dyDescent="0.25">
      <c r="A1258" t="s">
        <v>1262</v>
      </c>
      <c r="B1258">
        <v>0.99193492352474899</v>
      </c>
      <c r="C1258">
        <v>0.96161524655214803</v>
      </c>
      <c r="D1258">
        <v>0.93555398731452299</v>
      </c>
      <c r="E1258">
        <v>0.71685914416023899</v>
      </c>
      <c r="F1258">
        <v>0.67592287827881103</v>
      </c>
      <c r="G1258">
        <v>0.365693487771728</v>
      </c>
      <c r="H1258">
        <v>0.16948308814627799</v>
      </c>
      <c r="I1258">
        <v>0.151624334544461</v>
      </c>
      <c r="J1258">
        <v>0.150015383945067</v>
      </c>
      <c r="K1258">
        <v>0.17503517302385199</v>
      </c>
      <c r="L1258">
        <v>794.61905987192995</v>
      </c>
      <c r="M1258">
        <v>14.7996351573582</v>
      </c>
      <c r="N1258">
        <v>54.494394088969898</v>
      </c>
      <c r="O1258">
        <v>52.740084399732098</v>
      </c>
      <c r="P1258">
        <v>-6.32905810479647E-2</v>
      </c>
      <c r="Q1258">
        <v>9.7924826716604102E-2</v>
      </c>
      <c r="R1258">
        <v>0.98083094177021102</v>
      </c>
      <c r="S1258" t="s">
        <v>7928</v>
      </c>
      <c r="T1258" t="s">
        <v>13338</v>
      </c>
      <c r="U1258" t="s">
        <v>13338</v>
      </c>
      <c r="V1258" t="s">
        <v>13338</v>
      </c>
      <c r="W1258" t="s">
        <v>14565</v>
      </c>
      <c r="X1258">
        <v>8</v>
      </c>
      <c r="Y1258" t="s">
        <v>21164</v>
      </c>
      <c r="Z1258" t="s">
        <v>27673</v>
      </c>
      <c r="AA1258">
        <v>0.52875861285824721</v>
      </c>
      <c r="AB1258" t="str">
        <f>HYPERLINK("Melting_Curves/meltCurve_O00462_MANBA.pdf", "Melting_Curves/meltCurve_O00462_MANBA.pdf")</f>
        <v>Melting_Curves/meltCurve_O00462_MANBA.pdf</v>
      </c>
    </row>
    <row r="1259" spans="1:28" x14ac:dyDescent="0.25">
      <c r="A1259" t="s">
        <v>1263</v>
      </c>
      <c r="B1259">
        <v>0.99193492352474899</v>
      </c>
      <c r="C1259">
        <v>1.0420649624907401</v>
      </c>
      <c r="D1259">
        <v>0.505370165870074</v>
      </c>
      <c r="E1259">
        <v>0.207376459718705</v>
      </c>
      <c r="F1259">
        <v>0.215632452695107</v>
      </c>
      <c r="G1259">
        <v>0.14848206364218</v>
      </c>
      <c r="H1259">
        <v>9.2735148820666302E-2</v>
      </c>
      <c r="I1259">
        <v>7.9136547312244995E-2</v>
      </c>
      <c r="J1259">
        <v>9.0111308032757007E-2</v>
      </c>
      <c r="K1259">
        <v>9.9033652941007702E-2</v>
      </c>
      <c r="L1259">
        <v>11486.913010628799</v>
      </c>
      <c r="M1259">
        <v>250</v>
      </c>
      <c r="N1259">
        <v>46.004665608774097</v>
      </c>
      <c r="O1259">
        <v>45.944712199202698</v>
      </c>
      <c r="P1259">
        <v>-1.1791137034575701</v>
      </c>
      <c r="Q1259">
        <v>0.13321537439063999</v>
      </c>
      <c r="R1259">
        <v>0.98263732028074302</v>
      </c>
      <c r="S1259" t="s">
        <v>7929</v>
      </c>
      <c r="T1259" t="s">
        <v>13338</v>
      </c>
      <c r="U1259" t="s">
        <v>13338</v>
      </c>
      <c r="V1259" t="s">
        <v>13338</v>
      </c>
      <c r="W1259" t="s">
        <v>14566</v>
      </c>
      <c r="X1259">
        <v>1</v>
      </c>
      <c r="Y1259" t="s">
        <v>21165</v>
      </c>
      <c r="Z1259" t="s">
        <v>27674</v>
      </c>
      <c r="AA1259">
        <v>0.30512971462575378</v>
      </c>
      <c r="AB1259" t="str">
        <f>HYPERLINK("Melting_Curves/meltCurve_O00463_TRAF5.pdf", "Melting_Curves/meltCurve_O00463_TRAF5.pdf")</f>
        <v>Melting_Curves/meltCurve_O00463_TRAF5.pdf</v>
      </c>
    </row>
    <row r="1260" spans="1:28" x14ac:dyDescent="0.25">
      <c r="A1260" t="s">
        <v>1264</v>
      </c>
      <c r="B1260">
        <v>0.99193492352474899</v>
      </c>
      <c r="C1260">
        <v>0.80622280469415797</v>
      </c>
      <c r="D1260">
        <v>0.72917975581483396</v>
      </c>
      <c r="E1260">
        <v>0.24951282070094399</v>
      </c>
      <c r="F1260">
        <v>0.17846037167197101</v>
      </c>
      <c r="G1260">
        <v>8.5721958001133997E-2</v>
      </c>
      <c r="H1260">
        <v>5.93242511483381E-2</v>
      </c>
      <c r="I1260">
        <v>7.1483074882647504E-2</v>
      </c>
      <c r="J1260">
        <v>7.9489969741892694E-2</v>
      </c>
      <c r="K1260">
        <v>7.7895156200785798E-2</v>
      </c>
      <c r="L1260">
        <v>984.09736186436703</v>
      </c>
      <c r="M1260">
        <v>20.878729995712501</v>
      </c>
      <c r="N1260">
        <v>47.462674359589499</v>
      </c>
      <c r="O1260">
        <v>46.707966792462798</v>
      </c>
      <c r="P1260">
        <v>-0.104231765534153</v>
      </c>
      <c r="Q1260">
        <v>6.7314887284478306E-2</v>
      </c>
      <c r="R1260">
        <v>0.98348966708747498</v>
      </c>
      <c r="S1260" t="s">
        <v>7930</v>
      </c>
      <c r="T1260" t="s">
        <v>13338</v>
      </c>
      <c r="U1260" t="s">
        <v>13338</v>
      </c>
      <c r="V1260" t="s">
        <v>13338</v>
      </c>
      <c r="W1260" t="s">
        <v>14567</v>
      </c>
      <c r="X1260">
        <v>22</v>
      </c>
      <c r="Y1260" t="s">
        <v>21166</v>
      </c>
      <c r="Z1260" t="s">
        <v>27675</v>
      </c>
      <c r="AA1260">
        <v>0.30146258941498222</v>
      </c>
      <c r="AB1260" t="str">
        <f>HYPERLINK("Melting_Curves/meltCurve_O00471_EXOC5.pdf", "Melting_Curves/meltCurve_O00471_EXOC5.pdf")</f>
        <v>Melting_Curves/meltCurve_O00471_EXOC5.pdf</v>
      </c>
    </row>
    <row r="1261" spans="1:28" x14ac:dyDescent="0.25">
      <c r="A1261" t="s">
        <v>1265</v>
      </c>
      <c r="B1261">
        <v>0.99193492352474899</v>
      </c>
      <c r="C1261">
        <v>0.400609972812287</v>
      </c>
      <c r="D1261">
        <v>0.70573731510696702</v>
      </c>
      <c r="E1261">
        <v>0.38499311678304998</v>
      </c>
      <c r="F1261">
        <v>0.44197269973012598</v>
      </c>
      <c r="G1261">
        <v>0.18855839090925999</v>
      </c>
      <c r="H1261">
        <v>0.48426781934228003</v>
      </c>
      <c r="I1261">
        <v>0.30806566667417901</v>
      </c>
      <c r="J1261">
        <v>0.58679829655397897</v>
      </c>
      <c r="K1261">
        <v>0.99367580398842204</v>
      </c>
      <c r="L1261">
        <v>10164.4184027842</v>
      </c>
      <c r="M1261">
        <v>250</v>
      </c>
      <c r="N1261">
        <v>41.7841873517728</v>
      </c>
      <c r="O1261">
        <v>40.655071810104303</v>
      </c>
      <c r="P1261">
        <v>-0.76957078180031002</v>
      </c>
      <c r="Q1261">
        <v>0.49940871448517998</v>
      </c>
      <c r="R1261">
        <v>0.324667655561512</v>
      </c>
      <c r="S1261" t="s">
        <v>7931</v>
      </c>
      <c r="T1261" t="s">
        <v>13338</v>
      </c>
      <c r="U1261" t="s">
        <v>13338</v>
      </c>
      <c r="V1261" t="s">
        <v>13338</v>
      </c>
      <c r="W1261" t="s">
        <v>14568</v>
      </c>
      <c r="X1261">
        <v>3</v>
      </c>
      <c r="Y1261" t="s">
        <v>21167</v>
      </c>
      <c r="Z1261" t="s">
        <v>27676</v>
      </c>
      <c r="AA1261">
        <v>0.51046101698050272</v>
      </c>
      <c r="AB1261" t="str">
        <f>HYPERLINK("Melting_Curves/meltCurve_O00479_HMGN4.pdf", "Melting_Curves/meltCurve_O00479_HMGN4.pdf")</f>
        <v>Melting_Curves/meltCurve_O00479_HMGN4.pdf</v>
      </c>
    </row>
    <row r="1262" spans="1:28" x14ac:dyDescent="0.25">
      <c r="A1262" t="s">
        <v>1266</v>
      </c>
      <c r="B1262">
        <v>0.99193492352474899</v>
      </c>
      <c r="C1262">
        <v>1.17592049672645</v>
      </c>
      <c r="D1262">
        <v>0.99201795117385805</v>
      </c>
      <c r="E1262">
        <v>0.87914969172327795</v>
      </c>
      <c r="F1262">
        <v>0.52596433205203996</v>
      </c>
      <c r="G1262">
        <v>0.467910040210959</v>
      </c>
      <c r="H1262">
        <v>0.37483291639426802</v>
      </c>
      <c r="I1262">
        <v>0.43463564976378899</v>
      </c>
      <c r="J1262">
        <v>0.47313562574854101</v>
      </c>
      <c r="K1262">
        <v>0.48877045575396399</v>
      </c>
      <c r="L1262">
        <v>2236.6400113149002</v>
      </c>
      <c r="M1262">
        <v>43.815307198406899</v>
      </c>
      <c r="N1262">
        <v>53.785843914471698</v>
      </c>
      <c r="O1262">
        <v>50.941008513541597</v>
      </c>
      <c r="P1262">
        <v>-0.11906282833500199</v>
      </c>
      <c r="Q1262">
        <v>0.44629653945146502</v>
      </c>
      <c r="R1262">
        <v>0.94992563075960701</v>
      </c>
      <c r="S1262" t="s">
        <v>7932</v>
      </c>
      <c r="T1262" t="s">
        <v>13338</v>
      </c>
      <c r="U1262" t="s">
        <v>13338</v>
      </c>
      <c r="V1262" t="s">
        <v>13338</v>
      </c>
      <c r="W1262" t="s">
        <v>14569</v>
      </c>
      <c r="X1262">
        <v>8</v>
      </c>
      <c r="Y1262" t="s">
        <v>21168</v>
      </c>
      <c r="Z1262" t="s">
        <v>27677</v>
      </c>
      <c r="AA1262">
        <v>0.65181475806776257</v>
      </c>
      <c r="AB1262" t="str">
        <f>HYPERLINK("Melting_Curves/meltCurve_O00483_NDUFA4.pdf", "Melting_Curves/meltCurve_O00483_NDUFA4.pdf")</f>
        <v>Melting_Curves/meltCurve_O00483_NDUFA4.pdf</v>
      </c>
    </row>
    <row r="1263" spans="1:28" x14ac:dyDescent="0.25">
      <c r="A1263" t="s">
        <v>1267</v>
      </c>
      <c r="B1263">
        <v>0.99193492352474899</v>
      </c>
      <c r="C1263">
        <v>0.85059438014465505</v>
      </c>
      <c r="D1263">
        <v>0.94345962311277098</v>
      </c>
      <c r="E1263">
        <v>0.61119575093409395</v>
      </c>
      <c r="F1263">
        <v>0.60675676478394303</v>
      </c>
      <c r="G1263">
        <v>0.22864926388913101</v>
      </c>
      <c r="H1263">
        <v>9.7871360920284201E-2</v>
      </c>
      <c r="I1263">
        <v>0.101940525765971</v>
      </c>
      <c r="J1263">
        <v>0.10856776359894001</v>
      </c>
      <c r="K1263">
        <v>0.113836325571931</v>
      </c>
      <c r="L1263">
        <v>723.12258531471502</v>
      </c>
      <c r="M1263">
        <v>13.798393427023299</v>
      </c>
      <c r="N1263">
        <v>52.738520523347198</v>
      </c>
      <c r="O1263">
        <v>51.342343529456002</v>
      </c>
      <c r="P1263">
        <v>-6.4400351238544998E-2</v>
      </c>
      <c r="Q1263">
        <v>4.1626842303100001E-2</v>
      </c>
      <c r="R1263">
        <v>0.95892439752701197</v>
      </c>
      <c r="S1263" t="s">
        <v>7933</v>
      </c>
      <c r="T1263" t="s">
        <v>13338</v>
      </c>
      <c r="U1263" t="s">
        <v>13338</v>
      </c>
      <c r="V1263" t="s">
        <v>13338</v>
      </c>
      <c r="W1263" t="s">
        <v>14570</v>
      </c>
      <c r="X1263">
        <v>11</v>
      </c>
      <c r="Y1263" t="s">
        <v>21169</v>
      </c>
      <c r="Z1263" t="s">
        <v>27678</v>
      </c>
      <c r="AA1263">
        <v>0.46174194138363728</v>
      </c>
      <c r="AB1263" t="str">
        <f>HYPERLINK("Melting_Curves/meltCurve_O00487_PSMD14.pdf", "Melting_Curves/meltCurve_O00487_PSMD14.pdf")</f>
        <v>Melting_Curves/meltCurve_O00487_PSMD14.pdf</v>
      </c>
    </row>
    <row r="1264" spans="1:28" x14ac:dyDescent="0.25">
      <c r="A1264" t="s">
        <v>1268</v>
      </c>
      <c r="B1264">
        <v>0.99193492352474899</v>
      </c>
      <c r="C1264">
        <v>0.77312046520501598</v>
      </c>
      <c r="D1264">
        <v>0.98821659263818196</v>
      </c>
      <c r="E1264">
        <v>0.64954343078000898</v>
      </c>
      <c r="F1264">
        <v>0.54077927660680203</v>
      </c>
      <c r="G1264">
        <v>0.38957844736381197</v>
      </c>
      <c r="H1264">
        <v>0.42102740579654202</v>
      </c>
      <c r="I1264">
        <v>0.60548281587572605</v>
      </c>
      <c r="J1264">
        <v>0.76649514731219404</v>
      </c>
      <c r="K1264">
        <v>0.96615903028115602</v>
      </c>
      <c r="L1264">
        <v>3675.6842155619902</v>
      </c>
      <c r="M1264">
        <v>76.452663470739907</v>
      </c>
      <c r="O1264">
        <v>48.045045183215201</v>
      </c>
      <c r="P1264">
        <v>-0.153152398101224</v>
      </c>
      <c r="Q1264">
        <v>0.61501863466464102</v>
      </c>
      <c r="R1264">
        <v>0.36422663160990998</v>
      </c>
      <c r="S1264" t="s">
        <v>7934</v>
      </c>
      <c r="T1264" t="s">
        <v>13338</v>
      </c>
      <c r="U1264" t="s">
        <v>13338</v>
      </c>
      <c r="V1264" t="s">
        <v>13338</v>
      </c>
      <c r="W1264" t="s">
        <v>14571</v>
      </c>
      <c r="X1264">
        <v>6</v>
      </c>
      <c r="Y1264" t="s">
        <v>21170</v>
      </c>
      <c r="Z1264" t="s">
        <v>27679</v>
      </c>
      <c r="AA1264">
        <v>0.71902820738582107</v>
      </c>
      <c r="AB1264" t="str">
        <f>HYPERLINK("Melting_Curves/meltCurve_O00488_ZNF593.pdf", "Melting_Curves/meltCurve_O00488_ZNF593.pdf")</f>
        <v>Melting_Curves/meltCurve_O00488_ZNF593.pdf</v>
      </c>
    </row>
    <row r="1265" spans="1:28" x14ac:dyDescent="0.25">
      <c r="A1265" t="s">
        <v>1269</v>
      </c>
      <c r="B1265">
        <v>0.99193492352474899</v>
      </c>
      <c r="C1265">
        <v>0.75356511086464895</v>
      </c>
      <c r="D1265">
        <v>0.82729755675637295</v>
      </c>
      <c r="E1265">
        <v>0.582330571581958</v>
      </c>
      <c r="F1265">
        <v>0.24752935471099899</v>
      </c>
      <c r="G1265">
        <v>0.146703153189818</v>
      </c>
      <c r="H1265">
        <v>0.100260270630172</v>
      </c>
      <c r="I1265">
        <v>0.13448261768320399</v>
      </c>
      <c r="J1265">
        <v>0.17054624540528801</v>
      </c>
      <c r="K1265">
        <v>0.28500961035720601</v>
      </c>
      <c r="L1265">
        <v>867.398541641419</v>
      </c>
      <c r="M1265">
        <v>17.7948974063283</v>
      </c>
      <c r="N1265">
        <v>49.706677997939799</v>
      </c>
      <c r="O1265">
        <v>48.1411505752477</v>
      </c>
      <c r="P1265">
        <v>-7.8946971267036994E-2</v>
      </c>
      <c r="Q1265">
        <v>0.1457321952076</v>
      </c>
      <c r="R1265">
        <v>0.92974327591487904</v>
      </c>
      <c r="S1265" t="s">
        <v>7935</v>
      </c>
      <c r="T1265" t="s">
        <v>13338</v>
      </c>
      <c r="U1265" t="s">
        <v>13338</v>
      </c>
      <c r="V1265" t="s">
        <v>13338</v>
      </c>
      <c r="W1265" t="s">
        <v>14572</v>
      </c>
      <c r="X1265">
        <v>14</v>
      </c>
      <c r="Y1265" t="s">
        <v>21171</v>
      </c>
      <c r="Z1265" t="s">
        <v>27680</v>
      </c>
      <c r="AA1265">
        <v>0.40994928672103592</v>
      </c>
      <c r="AB1265" t="str">
        <f>HYPERLINK("Melting_Curves/meltCurve_O00499_6_BIN1.pdf", "Melting_Curves/meltCurve_O00499_6_BIN1.pdf")</f>
        <v>Melting_Curves/meltCurve_O00499_6_BIN1.pdf</v>
      </c>
    </row>
    <row r="1266" spans="1:28" x14ac:dyDescent="0.25">
      <c r="A1266" t="s">
        <v>1270</v>
      </c>
      <c r="B1266">
        <v>0.99193492352474899</v>
      </c>
      <c r="C1266">
        <v>0.79627292510435499</v>
      </c>
      <c r="D1266">
        <v>0.99109030773712903</v>
      </c>
      <c r="E1266">
        <v>0.64723602980136397</v>
      </c>
      <c r="F1266">
        <v>0.33315934363711802</v>
      </c>
      <c r="G1266">
        <v>9.8614268122653406E-2</v>
      </c>
      <c r="H1266">
        <v>4.5009697521413199E-2</v>
      </c>
      <c r="I1266">
        <v>4.02528730120136E-2</v>
      </c>
      <c r="J1266">
        <v>6.0658425652345999E-2</v>
      </c>
      <c r="K1266">
        <v>4.5434295702804599E-2</v>
      </c>
      <c r="L1266">
        <v>1137.5420287904601</v>
      </c>
      <c r="M1266">
        <v>22.294149579463099</v>
      </c>
      <c r="N1266">
        <v>51.1865548973053</v>
      </c>
      <c r="O1266">
        <v>50.619020621992298</v>
      </c>
      <c r="P1266">
        <v>-0.10635212385003499</v>
      </c>
      <c r="Q1266">
        <v>3.4127353141521197E-2</v>
      </c>
      <c r="R1266">
        <v>0.97140755377268495</v>
      </c>
      <c r="S1266" t="s">
        <v>7936</v>
      </c>
      <c r="T1266" t="s">
        <v>13338</v>
      </c>
      <c r="U1266" t="s">
        <v>13338</v>
      </c>
      <c r="V1266" t="s">
        <v>13338</v>
      </c>
      <c r="W1266" t="s">
        <v>14573</v>
      </c>
      <c r="X1266">
        <v>12</v>
      </c>
      <c r="Y1266" t="s">
        <v>21172</v>
      </c>
      <c r="Z1266" t="s">
        <v>27681</v>
      </c>
      <c r="AA1266">
        <v>0.39996999423340251</v>
      </c>
      <c r="AB1266" t="str">
        <f>HYPERLINK("Melting_Curves/meltCurve_O00505_KPNA3.pdf", "Melting_Curves/meltCurve_O00505_KPNA3.pdf")</f>
        <v>Melting_Curves/meltCurve_O00505_KPNA3.pdf</v>
      </c>
    </row>
    <row r="1267" spans="1:28" x14ac:dyDescent="0.25">
      <c r="A1267" t="s">
        <v>1271</v>
      </c>
      <c r="B1267">
        <v>0.99193492352474899</v>
      </c>
      <c r="C1267">
        <v>0.91874691981944101</v>
      </c>
      <c r="D1267">
        <v>1.0262949743753</v>
      </c>
      <c r="E1267">
        <v>0.83279553527503902</v>
      </c>
      <c r="F1267">
        <v>0.43044982212766197</v>
      </c>
      <c r="G1267">
        <v>0.14003616478037301</v>
      </c>
      <c r="H1267">
        <v>6.0989957244631098E-2</v>
      </c>
      <c r="I1267">
        <v>5.7525715826026898E-2</v>
      </c>
      <c r="J1267">
        <v>7.5813585228101693E-2</v>
      </c>
      <c r="K1267">
        <v>7.7531115082310004E-2</v>
      </c>
      <c r="L1267">
        <v>1549.36625456294</v>
      </c>
      <c r="M1267">
        <v>29.600892394571801</v>
      </c>
      <c r="N1267">
        <v>52.578427499873598</v>
      </c>
      <c r="O1267">
        <v>52.1047335366288</v>
      </c>
      <c r="P1267">
        <v>-0.13317238831883399</v>
      </c>
      <c r="Q1267">
        <v>6.2343940434453501E-2</v>
      </c>
      <c r="R1267">
        <v>0.99447642848695395</v>
      </c>
      <c r="S1267" t="s">
        <v>7937</v>
      </c>
      <c r="T1267" t="s">
        <v>13338</v>
      </c>
      <c r="U1267" t="s">
        <v>13338</v>
      </c>
      <c r="V1267" t="s">
        <v>13338</v>
      </c>
      <c r="W1267" t="s">
        <v>14574</v>
      </c>
      <c r="X1267">
        <v>8</v>
      </c>
      <c r="Y1267" t="s">
        <v>21173</v>
      </c>
      <c r="Z1267" t="s">
        <v>27682</v>
      </c>
      <c r="AA1267">
        <v>0.45427565593770469</v>
      </c>
      <c r="AB1267" t="str">
        <f>HYPERLINK("Melting_Curves/meltCurve_O00506_STK25.pdf", "Melting_Curves/meltCurve_O00506_STK25.pdf")</f>
        <v>Melting_Curves/meltCurve_O00506_STK25.pdf</v>
      </c>
    </row>
    <row r="1268" spans="1:28" x14ac:dyDescent="0.25">
      <c r="A1268" t="s">
        <v>1272</v>
      </c>
      <c r="B1268">
        <v>0.99193492352474899</v>
      </c>
      <c r="C1268">
        <v>0.84600977776239605</v>
      </c>
      <c r="D1268">
        <v>0.88466264615404699</v>
      </c>
      <c r="E1268">
        <v>0.61979536803169799</v>
      </c>
      <c r="F1268">
        <v>0.40933839463163502</v>
      </c>
      <c r="G1268">
        <v>0.258064133251033</v>
      </c>
      <c r="H1268">
        <v>0.22237216892637601</v>
      </c>
      <c r="I1268">
        <v>0.28163445755238498</v>
      </c>
      <c r="J1268">
        <v>0.35369420107168498</v>
      </c>
      <c r="K1268">
        <v>0.51808263781045105</v>
      </c>
      <c r="L1268">
        <v>1142.9842095808001</v>
      </c>
      <c r="M1268">
        <v>23.4404371014726</v>
      </c>
      <c r="N1268">
        <v>51.029802228532901</v>
      </c>
      <c r="O1268">
        <v>48.410459996527401</v>
      </c>
      <c r="P1268">
        <v>-8.1875295855271105E-2</v>
      </c>
      <c r="Q1268">
        <v>0.32363822858895902</v>
      </c>
      <c r="R1268">
        <v>0.89317401578966205</v>
      </c>
      <c r="S1268" t="s">
        <v>7938</v>
      </c>
      <c r="T1268" t="s">
        <v>13338</v>
      </c>
      <c r="U1268" t="s">
        <v>13338</v>
      </c>
      <c r="V1268" t="s">
        <v>13338</v>
      </c>
      <c r="W1268" t="s">
        <v>14575</v>
      </c>
      <c r="X1268">
        <v>4</v>
      </c>
      <c r="Y1268" t="s">
        <v>21174</v>
      </c>
      <c r="Z1268" t="s">
        <v>27683</v>
      </c>
      <c r="AA1268">
        <v>0.52800449353921242</v>
      </c>
      <c r="AB1268" t="str">
        <f>HYPERLINK("Melting_Curves/meltCurve_O00512_BCL9.pdf", "Melting_Curves/meltCurve_O00512_BCL9.pdf")</f>
        <v>Melting_Curves/meltCurve_O00512_BCL9.pdf</v>
      </c>
    </row>
    <row r="1269" spans="1:28" x14ac:dyDescent="0.25">
      <c r="A1269" t="s">
        <v>1273</v>
      </c>
      <c r="B1269">
        <v>0.99193492352474899</v>
      </c>
      <c r="C1269">
        <v>0.67062070333072099</v>
      </c>
      <c r="D1269">
        <v>0.76794873083256099</v>
      </c>
      <c r="E1269">
        <v>0.52191824797229203</v>
      </c>
      <c r="F1269">
        <v>0.33853154923796402</v>
      </c>
      <c r="G1269">
        <v>0.19486276953759901</v>
      </c>
      <c r="H1269">
        <v>0.13956396827726</v>
      </c>
      <c r="I1269">
        <v>0.122636746317539</v>
      </c>
      <c r="J1269">
        <v>0.112409385325257</v>
      </c>
      <c r="K1269">
        <v>7.2090206320359701E-2</v>
      </c>
      <c r="L1269">
        <v>495.17971350014699</v>
      </c>
      <c r="M1269">
        <v>10.0288004750021</v>
      </c>
      <c r="N1269">
        <v>49.627811826081597</v>
      </c>
      <c r="O1269">
        <v>47.5330352554369</v>
      </c>
      <c r="P1269">
        <v>-5.1461579978107498E-2</v>
      </c>
      <c r="Q1269">
        <v>2.4828973855876599E-2</v>
      </c>
      <c r="R1269">
        <v>0.95902828562743503</v>
      </c>
      <c r="S1269" t="s">
        <v>7939</v>
      </c>
      <c r="T1269" t="s">
        <v>13338</v>
      </c>
      <c r="U1269" t="s">
        <v>13338</v>
      </c>
      <c r="V1269" t="s">
        <v>13338</v>
      </c>
      <c r="W1269" t="s">
        <v>14576</v>
      </c>
      <c r="X1269">
        <v>3</v>
      </c>
      <c r="Y1269" t="s">
        <v>21175</v>
      </c>
      <c r="Z1269" t="s">
        <v>27684</v>
      </c>
      <c r="AA1269">
        <v>0.37574096950624941</v>
      </c>
      <c r="AB1269" t="str">
        <f>HYPERLINK("Melting_Curves/meltCurve_O00534_VWA5A.pdf", "Melting_Curves/meltCurve_O00534_VWA5A.pdf")</f>
        <v>Melting_Curves/meltCurve_O00534_VWA5A.pdf</v>
      </c>
    </row>
    <row r="1270" spans="1:28" x14ac:dyDescent="0.25">
      <c r="A1270" t="s">
        <v>1274</v>
      </c>
      <c r="B1270">
        <v>0.99193492352474899</v>
      </c>
      <c r="C1270">
        <v>0.91811793317358303</v>
      </c>
      <c r="D1270">
        <v>0.83662381551547604</v>
      </c>
      <c r="E1270">
        <v>0.67955750531260495</v>
      </c>
      <c r="F1270">
        <v>0.35179253501461299</v>
      </c>
      <c r="G1270">
        <v>0.23530308132763</v>
      </c>
      <c r="H1270">
        <v>0.171013844905817</v>
      </c>
      <c r="I1270">
        <v>0.16660152046847301</v>
      </c>
      <c r="J1270">
        <v>0.144137440640766</v>
      </c>
      <c r="K1270">
        <v>0.18726445770758701</v>
      </c>
      <c r="L1270">
        <v>895.449900999894</v>
      </c>
      <c r="M1270">
        <v>17.7980729115116</v>
      </c>
      <c r="N1270">
        <v>51.307193645408702</v>
      </c>
      <c r="O1270">
        <v>49.689384520634498</v>
      </c>
      <c r="P1270">
        <v>-7.6475502763881403E-2</v>
      </c>
      <c r="Q1270">
        <v>0.14601460601392399</v>
      </c>
      <c r="R1270">
        <v>0.992641798131492</v>
      </c>
      <c r="S1270" t="s">
        <v>7940</v>
      </c>
      <c r="T1270" t="s">
        <v>13338</v>
      </c>
      <c r="U1270" t="s">
        <v>13338</v>
      </c>
      <c r="V1270" t="s">
        <v>13338</v>
      </c>
      <c r="W1270" t="s">
        <v>14577</v>
      </c>
      <c r="X1270">
        <v>5</v>
      </c>
      <c r="Y1270" t="s">
        <v>21176</v>
      </c>
      <c r="Z1270" t="s">
        <v>27685</v>
      </c>
      <c r="AA1270">
        <v>0.4543620184896307</v>
      </c>
      <c r="AB1270" t="str">
        <f>HYPERLINK("Melting_Curves/meltCurve_O00560_SDCBP.pdf", "Melting_Curves/meltCurve_O00560_SDCBP.pdf")</f>
        <v>Melting_Curves/meltCurve_O00560_SDCBP.pdf</v>
      </c>
    </row>
    <row r="1271" spans="1:28" x14ac:dyDescent="0.25">
      <c r="A1271" t="s">
        <v>1275</v>
      </c>
      <c r="B1271">
        <v>0.99193492352474899</v>
      </c>
      <c r="C1271">
        <v>0.43007841788219903</v>
      </c>
      <c r="D1271">
        <v>0.75526679348097003</v>
      </c>
      <c r="E1271">
        <v>0.41361880782370197</v>
      </c>
      <c r="F1271">
        <v>0.35973336429407599</v>
      </c>
      <c r="G1271">
        <v>0.22689754169802001</v>
      </c>
      <c r="H1271">
        <v>0.20607714391562701</v>
      </c>
      <c r="I1271">
        <v>0.29531148047154299</v>
      </c>
      <c r="J1271">
        <v>0.47236823335002998</v>
      </c>
      <c r="K1271">
        <v>0.49806344343235898</v>
      </c>
      <c r="L1271">
        <v>666.48743382114003</v>
      </c>
      <c r="M1271">
        <v>15.4328514993322</v>
      </c>
      <c r="N1271">
        <v>46.707809222520297</v>
      </c>
      <c r="O1271">
        <v>42.480653771513197</v>
      </c>
      <c r="P1271">
        <v>-5.9602135630591302E-2</v>
      </c>
      <c r="Q1271">
        <v>0.343813039692211</v>
      </c>
      <c r="R1271">
        <v>0.58632761193674998</v>
      </c>
      <c r="S1271" t="s">
        <v>7941</v>
      </c>
      <c r="T1271" t="s">
        <v>13338</v>
      </c>
      <c r="U1271" t="s">
        <v>13338</v>
      </c>
      <c r="V1271" t="s">
        <v>13338</v>
      </c>
      <c r="W1271" t="s">
        <v>14578</v>
      </c>
      <c r="X1271">
        <v>8</v>
      </c>
      <c r="Y1271" t="s">
        <v>21177</v>
      </c>
      <c r="Z1271" t="s">
        <v>27686</v>
      </c>
      <c r="AA1271">
        <v>0.43887575165246479</v>
      </c>
      <c r="AB1271" t="str">
        <f>HYPERLINK("Melting_Curves/meltCurve_O00566_MPHOSPH10.pdf", "Melting_Curves/meltCurve_O00566_MPHOSPH10.pdf")</f>
        <v>Melting_Curves/meltCurve_O00566_MPHOSPH10.pdf</v>
      </c>
    </row>
    <row r="1272" spans="1:28" x14ac:dyDescent="0.25">
      <c r="A1272" t="s">
        <v>1276</v>
      </c>
      <c r="B1272">
        <v>0.99193492352474899</v>
      </c>
      <c r="C1272">
        <v>0.58688088087661205</v>
      </c>
      <c r="D1272">
        <v>0.72694825649838801</v>
      </c>
      <c r="E1272">
        <v>0.64299942934927101</v>
      </c>
      <c r="F1272">
        <v>0.42908147151704601</v>
      </c>
      <c r="G1272">
        <v>0.13179678458159499</v>
      </c>
      <c r="H1272">
        <v>6.6551690965386795E-2</v>
      </c>
      <c r="I1272">
        <v>7.1235182144241599E-2</v>
      </c>
      <c r="J1272">
        <v>8.2959698580571603E-2</v>
      </c>
      <c r="K1272">
        <v>9.4187873055348106E-2</v>
      </c>
      <c r="L1272">
        <v>477.94248223815998</v>
      </c>
      <c r="M1272">
        <v>9.5927319601478498</v>
      </c>
      <c r="N1272">
        <v>49.823399276154703</v>
      </c>
      <c r="O1272">
        <v>47.802522343518</v>
      </c>
      <c r="P1272">
        <v>-5.0197142188783399E-2</v>
      </c>
      <c r="Q1272">
        <v>0</v>
      </c>
      <c r="R1272">
        <v>0.89583916862170898</v>
      </c>
      <c r="S1272" t="s">
        <v>7942</v>
      </c>
      <c r="T1272" t="s">
        <v>13338</v>
      </c>
      <c r="U1272" t="s">
        <v>13338</v>
      </c>
      <c r="V1272" t="s">
        <v>13338</v>
      </c>
      <c r="W1272" t="s">
        <v>14579</v>
      </c>
      <c r="X1272">
        <v>20</v>
      </c>
      <c r="Y1272" t="s">
        <v>21178</v>
      </c>
      <c r="Z1272" t="s">
        <v>27687</v>
      </c>
      <c r="AA1272">
        <v>0.37597089000985062</v>
      </c>
      <c r="AB1272" t="str">
        <f>HYPERLINK("Melting_Curves/meltCurve_O00567_NOP56.pdf", "Melting_Curves/meltCurve_O00567_NOP56.pdf")</f>
        <v>Melting_Curves/meltCurve_O00567_NOP56.pdf</v>
      </c>
    </row>
    <row r="1273" spans="1:28" x14ac:dyDescent="0.25">
      <c r="A1273" t="s">
        <v>1277</v>
      </c>
      <c r="B1273">
        <v>0.99193492352474899</v>
      </c>
      <c r="C1273">
        <v>0.39573025817074797</v>
      </c>
      <c r="D1273">
        <v>0.55919454760049303</v>
      </c>
      <c r="E1273">
        <v>0.15125076864134901</v>
      </c>
      <c r="F1273">
        <v>0.13013485552552601</v>
      </c>
      <c r="G1273">
        <v>6.2526311480642194E-2</v>
      </c>
      <c r="H1273">
        <v>3.5890936508215801E-2</v>
      </c>
      <c r="I1273">
        <v>4.0224203872190202E-2</v>
      </c>
      <c r="J1273">
        <v>4.7255830752259101E-2</v>
      </c>
      <c r="K1273">
        <v>4.3637157799310301E-2</v>
      </c>
      <c r="L1273">
        <v>638.65422179012705</v>
      </c>
      <c r="M1273">
        <v>14.412297617782</v>
      </c>
      <c r="N1273">
        <v>44.523985748603103</v>
      </c>
      <c r="O1273">
        <v>43.486223150138002</v>
      </c>
      <c r="P1273">
        <v>-8.01319548647378E-2</v>
      </c>
      <c r="Q1273">
        <v>3.29859866868287E-2</v>
      </c>
      <c r="R1273">
        <v>0.87560793576547402</v>
      </c>
      <c r="S1273" t="s">
        <v>7943</v>
      </c>
      <c r="T1273" t="s">
        <v>13338</v>
      </c>
      <c r="U1273" t="s">
        <v>13338</v>
      </c>
      <c r="V1273" t="s">
        <v>13338</v>
      </c>
      <c r="W1273" t="s">
        <v>14580</v>
      </c>
      <c r="X1273">
        <v>33</v>
      </c>
      <c r="Y1273" t="s">
        <v>21179</v>
      </c>
      <c r="Z1273" t="s">
        <v>27688</v>
      </c>
      <c r="AA1273">
        <v>0.20854336709235169</v>
      </c>
      <c r="AB1273" t="str">
        <f>HYPERLINK("Melting_Curves/meltCurve_O00571_DDX3X.pdf", "Melting_Curves/meltCurve_O00571_DDX3X.pdf")</f>
        <v>Melting_Curves/meltCurve_O00571_DDX3X.pdf</v>
      </c>
    </row>
    <row r="1274" spans="1:28" x14ac:dyDescent="0.25">
      <c r="A1274" t="s">
        <v>1278</v>
      </c>
      <c r="B1274">
        <v>0.99193492352474899</v>
      </c>
      <c r="C1274">
        <v>0.89658488263582403</v>
      </c>
      <c r="D1274">
        <v>0.76811052137332303</v>
      </c>
      <c r="E1274">
        <v>0.57839847262349897</v>
      </c>
      <c r="F1274">
        <v>0.343441014990709</v>
      </c>
      <c r="G1274">
        <v>0.137196489869543</v>
      </c>
      <c r="H1274">
        <v>7.4084746546276198E-2</v>
      </c>
      <c r="I1274">
        <v>8.1352124416379304E-2</v>
      </c>
      <c r="J1274">
        <v>8.4658204584042801E-2</v>
      </c>
      <c r="K1274">
        <v>9.5556627550712897E-2</v>
      </c>
      <c r="L1274">
        <v>746.27340590851895</v>
      </c>
      <c r="M1274">
        <v>14.949411527604401</v>
      </c>
      <c r="N1274">
        <v>50.264216675117702</v>
      </c>
      <c r="O1274">
        <v>49.0521842968637</v>
      </c>
      <c r="P1274">
        <v>-7.24908415613226E-2</v>
      </c>
      <c r="Q1274">
        <v>4.86657693658318E-2</v>
      </c>
      <c r="R1274">
        <v>0.99366340709113199</v>
      </c>
      <c r="S1274" t="s">
        <v>7944</v>
      </c>
      <c r="T1274" t="s">
        <v>13338</v>
      </c>
      <c r="U1274" t="s">
        <v>13338</v>
      </c>
      <c r="V1274" t="s">
        <v>13338</v>
      </c>
      <c r="W1274" t="s">
        <v>14581</v>
      </c>
      <c r="X1274">
        <v>19</v>
      </c>
      <c r="Y1274" t="s">
        <v>21180</v>
      </c>
      <c r="Z1274" t="s">
        <v>27689</v>
      </c>
      <c r="AA1274">
        <v>0.38611949111555099</v>
      </c>
      <c r="AB1274" t="str">
        <f>HYPERLINK("Melting_Curves/meltCurve_O00629_KPNA4.pdf", "Melting_Curves/meltCurve_O00629_KPNA4.pdf")</f>
        <v>Melting_Curves/meltCurve_O00629_KPNA4.pdf</v>
      </c>
    </row>
    <row r="1275" spans="1:28" x14ac:dyDescent="0.25">
      <c r="A1275" t="s">
        <v>1279</v>
      </c>
      <c r="B1275">
        <v>0.99193492352474899</v>
      </c>
      <c r="C1275">
        <v>1.00307499709623</v>
      </c>
      <c r="D1275">
        <v>0.82404091911951105</v>
      </c>
      <c r="E1275">
        <v>0.67850640012406604</v>
      </c>
      <c r="F1275">
        <v>0.46281745489903697</v>
      </c>
      <c r="G1275">
        <v>0.40624793962199801</v>
      </c>
      <c r="H1275">
        <v>0.24390923225639199</v>
      </c>
      <c r="I1275">
        <v>0.165958316701453</v>
      </c>
      <c r="J1275">
        <v>0.159320601982544</v>
      </c>
      <c r="K1275">
        <v>0.124373806505715</v>
      </c>
      <c r="L1275">
        <v>614.46258022200595</v>
      </c>
      <c r="M1275">
        <v>11.739308480877099</v>
      </c>
      <c r="N1275">
        <v>53.238944953295899</v>
      </c>
      <c r="O1275">
        <v>50.892697615949203</v>
      </c>
      <c r="P1275">
        <v>-5.2508261636129198E-2</v>
      </c>
      <c r="Q1275">
        <v>8.96956521127001E-2</v>
      </c>
      <c r="R1275">
        <v>0.98993578780334002</v>
      </c>
      <c r="S1275" t="s">
        <v>7945</v>
      </c>
      <c r="T1275" t="s">
        <v>13338</v>
      </c>
      <c r="U1275" t="s">
        <v>13338</v>
      </c>
      <c r="V1275" t="s">
        <v>13338</v>
      </c>
      <c r="W1275" t="s">
        <v>14582</v>
      </c>
      <c r="X1275">
        <v>14</v>
      </c>
      <c r="Y1275" t="s">
        <v>21181</v>
      </c>
      <c r="Z1275" t="s">
        <v>27690</v>
      </c>
      <c r="AA1275">
        <v>0.49215227253865168</v>
      </c>
      <c r="AB1275" t="str">
        <f>HYPERLINK("Melting_Curves/meltCurve_O00743_PPP6C.pdf", "Melting_Curves/meltCurve_O00743_PPP6C.pdf")</f>
        <v>Melting_Curves/meltCurve_O00743_PPP6C.pdf</v>
      </c>
    </row>
    <row r="1276" spans="1:28" x14ac:dyDescent="0.25">
      <c r="A1276" t="s">
        <v>1280</v>
      </c>
      <c r="B1276">
        <v>0.99193492352474899</v>
      </c>
      <c r="C1276">
        <v>1.01851325161663</v>
      </c>
      <c r="D1276">
        <v>0.88701138288863901</v>
      </c>
      <c r="E1276">
        <v>0.83539270508892205</v>
      </c>
      <c r="F1276">
        <v>0.73028042094545897</v>
      </c>
      <c r="G1276">
        <v>0.59997700088573203</v>
      </c>
      <c r="H1276">
        <v>0.45673281858172599</v>
      </c>
      <c r="I1276">
        <v>0.50783862137607005</v>
      </c>
      <c r="J1276">
        <v>0.58447603417130201</v>
      </c>
      <c r="K1276">
        <v>0.74174619766858696</v>
      </c>
      <c r="L1276">
        <v>1000.09862466576</v>
      </c>
      <c r="M1276">
        <v>19.807188842982701</v>
      </c>
      <c r="O1276">
        <v>49.9854748613878</v>
      </c>
      <c r="P1276">
        <v>-4.2421004798394599E-2</v>
      </c>
      <c r="Q1276">
        <v>0.57179935459103004</v>
      </c>
      <c r="R1276">
        <v>0.83732844711808696</v>
      </c>
      <c r="S1276" t="s">
        <v>7946</v>
      </c>
      <c r="T1276" t="s">
        <v>13338</v>
      </c>
      <c r="U1276" t="s">
        <v>13338</v>
      </c>
      <c r="V1276" t="s">
        <v>13338</v>
      </c>
      <c r="W1276" t="s">
        <v>14583</v>
      </c>
      <c r="X1276">
        <v>19</v>
      </c>
      <c r="Y1276" t="s">
        <v>21182</v>
      </c>
      <c r="Z1276" t="s">
        <v>27691</v>
      </c>
      <c r="AA1276">
        <v>0.72761393238959038</v>
      </c>
      <c r="AB1276" t="str">
        <f>HYPERLINK("Melting_Curves/meltCurve_O00754_2_MAN2B1.pdf", "Melting_Curves/meltCurve_O00754_2_MAN2B1.pdf")</f>
        <v>Melting_Curves/meltCurve_O00754_2_MAN2B1.pdf</v>
      </c>
    </row>
    <row r="1277" spans="1:28" x14ac:dyDescent="0.25">
      <c r="A1277" t="s">
        <v>1281</v>
      </c>
      <c r="B1277">
        <v>0.99193492352474899</v>
      </c>
      <c r="C1277">
        <v>0.68609702181295196</v>
      </c>
      <c r="D1277">
        <v>0.75144492960002196</v>
      </c>
      <c r="E1277">
        <v>0.28066936309884399</v>
      </c>
      <c r="F1277">
        <v>0.166355058732606</v>
      </c>
      <c r="G1277">
        <v>9.2724152766399795E-2</v>
      </c>
      <c r="H1277">
        <v>7.4333507190512293E-2</v>
      </c>
      <c r="I1277">
        <v>9.0075193537919401E-2</v>
      </c>
      <c r="J1277">
        <v>0.11764737241356001</v>
      </c>
      <c r="K1277">
        <v>0.14087019944498799</v>
      </c>
      <c r="L1277">
        <v>807.78464984965001</v>
      </c>
      <c r="M1277">
        <v>17.263434737468199</v>
      </c>
      <c r="N1277">
        <v>47.296931983464297</v>
      </c>
      <c r="O1277">
        <v>46.177343829951603</v>
      </c>
      <c r="P1277">
        <v>-8.5597218035094499E-2</v>
      </c>
      <c r="Q1277">
        <v>8.4209832461331097E-2</v>
      </c>
      <c r="R1277">
        <v>0.94701957785510804</v>
      </c>
      <c r="S1277" t="s">
        <v>7947</v>
      </c>
      <c r="T1277" t="s">
        <v>13338</v>
      </c>
      <c r="U1277" t="s">
        <v>13338</v>
      </c>
      <c r="V1277" t="s">
        <v>13338</v>
      </c>
      <c r="W1277" t="s">
        <v>14584</v>
      </c>
      <c r="X1277">
        <v>8</v>
      </c>
      <c r="Y1277" t="s">
        <v>21183</v>
      </c>
      <c r="Z1277" t="s">
        <v>27692</v>
      </c>
      <c r="AA1277">
        <v>0.31024288312365028</v>
      </c>
      <c r="AB1277" t="str">
        <f>HYPERLINK("Melting_Curves/meltCurve_O00762_2_UBE2C.pdf", "Melting_Curves/meltCurve_O00762_2_UBE2C.pdf")</f>
        <v>Melting_Curves/meltCurve_O00762_2_UBE2C.pdf</v>
      </c>
    </row>
    <row r="1278" spans="1:28" x14ac:dyDescent="0.25">
      <c r="A1278" t="s">
        <v>1282</v>
      </c>
      <c r="B1278">
        <v>0.99193492352474899</v>
      </c>
      <c r="C1278">
        <v>0.97806892048833405</v>
      </c>
      <c r="D1278">
        <v>0.91662348972461305</v>
      </c>
      <c r="E1278">
        <v>0.83386615219697602</v>
      </c>
      <c r="F1278">
        <v>0.71906319783627504</v>
      </c>
      <c r="G1278">
        <v>0.60921931219512804</v>
      </c>
      <c r="H1278">
        <v>0.470800276037456</v>
      </c>
      <c r="I1278">
        <v>0.17960907272413101</v>
      </c>
      <c r="J1278">
        <v>0.18524508092011099</v>
      </c>
      <c r="K1278">
        <v>0.13876218649283201</v>
      </c>
      <c r="L1278">
        <v>627.57075882532695</v>
      </c>
      <c r="M1278">
        <v>10.773336961427299</v>
      </c>
      <c r="N1278">
        <v>58.252209327418797</v>
      </c>
      <c r="O1278">
        <v>56.352827835724497</v>
      </c>
      <c r="P1278">
        <v>-4.7811598649422499E-2</v>
      </c>
      <c r="Q1278">
        <v>0</v>
      </c>
      <c r="R1278">
        <v>0.98093270033147495</v>
      </c>
      <c r="S1278" t="s">
        <v>7948</v>
      </c>
      <c r="T1278" t="s">
        <v>13338</v>
      </c>
      <c r="U1278" t="s">
        <v>13338</v>
      </c>
      <c r="V1278" t="s">
        <v>13338</v>
      </c>
      <c r="W1278" t="s">
        <v>14585</v>
      </c>
      <c r="X1278">
        <v>10</v>
      </c>
      <c r="Y1278" t="s">
        <v>21184</v>
      </c>
      <c r="Z1278" t="s">
        <v>27693</v>
      </c>
      <c r="AA1278">
        <v>0.61831874254535135</v>
      </c>
      <c r="AB1278" t="str">
        <f>HYPERLINK("Melting_Curves/meltCurve_O00764_PDXK.pdf", "Melting_Curves/meltCurve_O00764_PDXK.pdf")</f>
        <v>Melting_Curves/meltCurve_O00764_PDXK.pdf</v>
      </c>
    </row>
    <row r="1279" spans="1:28" x14ac:dyDescent="0.25">
      <c r="A1279" t="s">
        <v>1283</v>
      </c>
      <c r="B1279">
        <v>0.99193492352474899</v>
      </c>
      <c r="C1279">
        <v>0.97065149405987305</v>
      </c>
      <c r="D1279">
        <v>1.12290397329906</v>
      </c>
      <c r="E1279">
        <v>0.83954783904144303</v>
      </c>
      <c r="F1279">
        <v>0.89383182464478705</v>
      </c>
      <c r="G1279">
        <v>0.45961444709803001</v>
      </c>
      <c r="H1279">
        <v>0.29002240190504602</v>
      </c>
      <c r="I1279">
        <v>0.10133363645219701</v>
      </c>
      <c r="J1279">
        <v>0.103643577572367</v>
      </c>
      <c r="K1279">
        <v>0.11506426989049499</v>
      </c>
      <c r="L1279">
        <v>1311.6564106134199</v>
      </c>
      <c r="M1279">
        <v>23.243527061554101</v>
      </c>
      <c r="N1279">
        <v>56.909825747445197</v>
      </c>
      <c r="O1279">
        <v>56.018310077111103</v>
      </c>
      <c r="P1279">
        <v>-9.4521227090375706E-2</v>
      </c>
      <c r="Q1279">
        <v>8.8808662673995994E-2</v>
      </c>
      <c r="R1279">
        <v>0.97046217260976697</v>
      </c>
      <c r="S1279" t="s">
        <v>7949</v>
      </c>
      <c r="T1279" t="s">
        <v>13338</v>
      </c>
      <c r="U1279" t="s">
        <v>13338</v>
      </c>
      <c r="V1279" t="s">
        <v>13338</v>
      </c>
      <c r="W1279" t="s">
        <v>14586</v>
      </c>
      <c r="X1279">
        <v>2</v>
      </c>
      <c r="Y1279" t="s">
        <v>21185</v>
      </c>
      <c r="Z1279" t="s">
        <v>27694</v>
      </c>
      <c r="AA1279">
        <v>0.59718547327958915</v>
      </c>
      <c r="AB1279" t="str">
        <f>HYPERLINK("Melting_Curves/meltCurve_O00767_SCD.pdf", "Melting_Curves/meltCurve_O00767_SCD.pdf")</f>
        <v>Melting_Curves/meltCurve_O00767_SCD.pdf</v>
      </c>
    </row>
    <row r="1280" spans="1:28" x14ac:dyDescent="0.25">
      <c r="A1280" t="s">
        <v>1284</v>
      </c>
      <c r="B1280">
        <v>0.99193492352474899</v>
      </c>
      <c r="C1280">
        <v>0.67248161618095903</v>
      </c>
      <c r="D1280">
        <v>0.45480483440756903</v>
      </c>
      <c r="E1280">
        <v>0.18983101652703399</v>
      </c>
      <c r="F1280">
        <v>0.133984857927021</v>
      </c>
      <c r="G1280">
        <v>8.1329102578693496E-2</v>
      </c>
      <c r="H1280">
        <v>6.6089303329992299E-2</v>
      </c>
      <c r="I1280">
        <v>9.6431035791849196E-2</v>
      </c>
      <c r="J1280">
        <v>0.116936948221863</v>
      </c>
      <c r="K1280">
        <v>0.11789182818909801</v>
      </c>
      <c r="L1280">
        <v>916.20704454460702</v>
      </c>
      <c r="M1280">
        <v>20.4975681028323</v>
      </c>
      <c r="N1280">
        <v>45.156841359370297</v>
      </c>
      <c r="O1280">
        <v>44.279413720743101</v>
      </c>
      <c r="P1280">
        <v>-0.10485950907455401</v>
      </c>
      <c r="Q1280">
        <v>9.3945101292475103E-2</v>
      </c>
      <c r="R1280">
        <v>0.98670001588837197</v>
      </c>
      <c r="S1280" t="s">
        <v>7950</v>
      </c>
      <c r="T1280" t="s">
        <v>13338</v>
      </c>
      <c r="U1280" t="s">
        <v>13338</v>
      </c>
      <c r="V1280" t="s">
        <v>13338</v>
      </c>
      <c r="W1280" t="s">
        <v>14587</v>
      </c>
      <c r="X1280">
        <v>39</v>
      </c>
      <c r="Y1280" t="s">
        <v>21186</v>
      </c>
      <c r="Z1280" t="s">
        <v>27695</v>
      </c>
      <c r="AA1280">
        <v>0.25086080939958261</v>
      </c>
      <c r="AB1280" t="str">
        <f>HYPERLINK("Melting_Curves/meltCurve_O14497_ARID1A.pdf", "Melting_Curves/meltCurve_O14497_ARID1A.pdf")</f>
        <v>Melting_Curves/meltCurve_O14497_ARID1A.pdf</v>
      </c>
    </row>
    <row r="1281" spans="1:28" x14ac:dyDescent="0.25">
      <c r="A1281" t="s">
        <v>1285</v>
      </c>
      <c r="B1281">
        <v>0.99193492352474899</v>
      </c>
      <c r="C1281">
        <v>0.77785643341424704</v>
      </c>
      <c r="D1281">
        <v>0.55843445557971505</v>
      </c>
      <c r="E1281">
        <v>0.72709831327271102</v>
      </c>
      <c r="F1281">
        <v>0.62459470482259605</v>
      </c>
      <c r="G1281">
        <v>0.39264192106031298</v>
      </c>
      <c r="H1281">
        <v>0.309291555265443</v>
      </c>
      <c r="I1281">
        <v>0.46475960514919201</v>
      </c>
      <c r="J1281">
        <v>0.56793825063211001</v>
      </c>
      <c r="K1281">
        <v>0.58480346565243402</v>
      </c>
      <c r="L1281">
        <v>663.00951127096698</v>
      </c>
      <c r="M1281">
        <v>14.9765292843989</v>
      </c>
      <c r="N1281">
        <v>58.811420695920702</v>
      </c>
      <c r="O1281">
        <v>43.503117671375101</v>
      </c>
      <c r="P1281">
        <v>-4.4098099082667999E-2</v>
      </c>
      <c r="Q1281">
        <v>0.48767589153372098</v>
      </c>
      <c r="R1281">
        <v>0.66645629454173605</v>
      </c>
      <c r="S1281" t="s">
        <v>7951</v>
      </c>
      <c r="T1281" t="s">
        <v>13338</v>
      </c>
      <c r="U1281" t="s">
        <v>13338</v>
      </c>
      <c r="V1281" t="s">
        <v>13338</v>
      </c>
      <c r="W1281" t="s">
        <v>14588</v>
      </c>
      <c r="X1281">
        <v>2</v>
      </c>
      <c r="Y1281" t="s">
        <v>21187</v>
      </c>
      <c r="Z1281" t="s">
        <v>27696</v>
      </c>
      <c r="AA1281">
        <v>0.57858865440765095</v>
      </c>
      <c r="AB1281" t="str">
        <f>HYPERLINK("Melting_Curves/meltCurve_O14519_2_CDK2AP1.pdf", "Melting_Curves/meltCurve_O14519_2_CDK2AP1.pdf")</f>
        <v>Melting_Curves/meltCurve_O14519_2_CDK2AP1.pdf</v>
      </c>
    </row>
    <row r="1282" spans="1:28" x14ac:dyDescent="0.25">
      <c r="A1282" t="s">
        <v>1286</v>
      </c>
      <c r="B1282">
        <v>0.99193492352474899</v>
      </c>
      <c r="C1282">
        <v>0.97275868999996395</v>
      </c>
      <c r="D1282">
        <v>0.81911874582453803</v>
      </c>
      <c r="E1282">
        <v>0.59497930700096802</v>
      </c>
      <c r="F1282">
        <v>0.28702570652440701</v>
      </c>
      <c r="G1282">
        <v>0.220013979786084</v>
      </c>
      <c r="H1282">
        <v>0.133071055986269</v>
      </c>
      <c r="I1282">
        <v>0.156031456664497</v>
      </c>
      <c r="J1282">
        <v>0.17048085126124801</v>
      </c>
      <c r="K1282">
        <v>0.20410890161997999</v>
      </c>
      <c r="L1282">
        <v>1031.06075952981</v>
      </c>
      <c r="M1282">
        <v>20.876318304054799</v>
      </c>
      <c r="N1282">
        <v>50.310960551806602</v>
      </c>
      <c r="O1282">
        <v>48.942529925356403</v>
      </c>
      <c r="P1282">
        <v>-8.9690375793941499E-2</v>
      </c>
      <c r="Q1282">
        <v>0.15894109301696299</v>
      </c>
      <c r="R1282">
        <v>0.99393475317703295</v>
      </c>
      <c r="S1282" t="s">
        <v>7952</v>
      </c>
      <c r="T1282" t="s">
        <v>13338</v>
      </c>
      <c r="U1282" t="s">
        <v>13338</v>
      </c>
      <c r="V1282" t="s">
        <v>13338</v>
      </c>
      <c r="W1282" t="s">
        <v>14589</v>
      </c>
      <c r="X1282">
        <v>3</v>
      </c>
      <c r="Y1282" t="s">
        <v>21188</v>
      </c>
      <c r="Z1282" t="s">
        <v>27697</v>
      </c>
      <c r="AA1282">
        <v>0.43294144424812331</v>
      </c>
      <c r="AB1282" t="str">
        <f>HYPERLINK("Melting_Curves/meltCurve_O14523_C2CD2L.pdf", "Melting_Curves/meltCurve_O14523_C2CD2L.pdf")</f>
        <v>Melting_Curves/meltCurve_O14523_C2CD2L.pdf</v>
      </c>
    </row>
    <row r="1283" spans="1:28" x14ac:dyDescent="0.25">
      <c r="A1283" t="s">
        <v>1287</v>
      </c>
      <c r="B1283">
        <v>0.99193492352474899</v>
      </c>
      <c r="C1283">
        <v>1.01883446598404</v>
      </c>
      <c r="D1283">
        <v>0.78321136575163697</v>
      </c>
      <c r="E1283">
        <v>0.81964721596767598</v>
      </c>
      <c r="F1283">
        <v>0.40476004728835102</v>
      </c>
      <c r="G1283">
        <v>0.22259930678550999</v>
      </c>
      <c r="H1283">
        <v>0.14408469200504001</v>
      </c>
      <c r="I1283">
        <v>0.19457105164166699</v>
      </c>
      <c r="J1283">
        <v>0.27970071964610699</v>
      </c>
      <c r="K1283">
        <v>0.19899661986803299</v>
      </c>
      <c r="L1283">
        <v>1249.37139246846</v>
      </c>
      <c r="M1283">
        <v>24.411001823958902</v>
      </c>
      <c r="N1283">
        <v>52.207970672567697</v>
      </c>
      <c r="O1283">
        <v>50.840909437723298</v>
      </c>
      <c r="P1283">
        <v>-9.7145213003334202E-2</v>
      </c>
      <c r="Q1283">
        <v>0.190712776579049</v>
      </c>
      <c r="R1283">
        <v>0.95826645712887903</v>
      </c>
      <c r="S1283" t="s">
        <v>7953</v>
      </c>
      <c r="T1283" t="s">
        <v>13338</v>
      </c>
      <c r="U1283" t="s">
        <v>13338</v>
      </c>
      <c r="V1283" t="s">
        <v>13338</v>
      </c>
      <c r="W1283" t="s">
        <v>14590</v>
      </c>
      <c r="X1283">
        <v>1</v>
      </c>
      <c r="Y1283" t="s">
        <v>21189</v>
      </c>
      <c r="Z1283" t="s">
        <v>27698</v>
      </c>
      <c r="AA1283">
        <v>0.50000033992812221</v>
      </c>
      <c r="AB1283" t="str">
        <f>HYPERLINK("Melting_Curves/meltCurve_O14524_2_TMEM194A.pdf", "Melting_Curves/meltCurve_O14524_2_TMEM194A.pdf")</f>
        <v>Melting_Curves/meltCurve_O14524_2_TMEM194A.pdf</v>
      </c>
    </row>
    <row r="1284" spans="1:28" x14ac:dyDescent="0.25">
      <c r="A1284" t="s">
        <v>1288</v>
      </c>
      <c r="B1284">
        <v>0.99193492352474899</v>
      </c>
      <c r="C1284">
        <v>0.67159978387118502</v>
      </c>
      <c r="D1284">
        <v>0.75794932310228902</v>
      </c>
      <c r="E1284">
        <v>0.55418890083531502</v>
      </c>
      <c r="F1284">
        <v>0.23379134509885799</v>
      </c>
      <c r="G1284">
        <v>0.112514232448504</v>
      </c>
      <c r="H1284">
        <v>5.9692665735637203E-2</v>
      </c>
      <c r="I1284">
        <v>7.6989794865332695E-2</v>
      </c>
      <c r="J1284">
        <v>0.102883064482337</v>
      </c>
      <c r="K1284">
        <v>0.11740407535433001</v>
      </c>
      <c r="L1284">
        <v>609.26221008784898</v>
      </c>
      <c r="M1284">
        <v>12.524174821905399</v>
      </c>
      <c r="N1284">
        <v>48.954423962241499</v>
      </c>
      <c r="O1284">
        <v>47.4566098364784</v>
      </c>
      <c r="P1284">
        <v>-6.3494007254347104E-2</v>
      </c>
      <c r="Q1284">
        <v>3.78303985964248E-2</v>
      </c>
      <c r="R1284">
        <v>0.94211734068919795</v>
      </c>
      <c r="S1284" t="s">
        <v>7954</v>
      </c>
      <c r="T1284" t="s">
        <v>13338</v>
      </c>
      <c r="U1284" t="s">
        <v>13338</v>
      </c>
      <c r="V1284" t="s">
        <v>13338</v>
      </c>
      <c r="W1284" t="s">
        <v>14591</v>
      </c>
      <c r="X1284">
        <v>8</v>
      </c>
      <c r="Y1284" t="s">
        <v>21190</v>
      </c>
      <c r="Z1284" t="s">
        <v>27699</v>
      </c>
      <c r="AA1284">
        <v>0.34870200527502909</v>
      </c>
      <c r="AB1284" t="str">
        <f>HYPERLINK("Melting_Curves/meltCurve_O14530_TXNDC9.pdf", "Melting_Curves/meltCurve_O14530_TXNDC9.pdf")</f>
        <v>Melting_Curves/meltCurve_O14530_TXNDC9.pdf</v>
      </c>
    </row>
    <row r="1285" spans="1:28" x14ac:dyDescent="0.25">
      <c r="A1285" t="s">
        <v>1289</v>
      </c>
      <c r="B1285">
        <v>0.99193492352474899</v>
      </c>
      <c r="C1285">
        <v>1.06343543417841</v>
      </c>
      <c r="D1285">
        <v>0.876374780661905</v>
      </c>
      <c r="E1285">
        <v>0.70574375341954898</v>
      </c>
      <c r="F1285">
        <v>0.50874414364190901</v>
      </c>
      <c r="G1285">
        <v>0.35482265580441102</v>
      </c>
      <c r="H1285">
        <v>0.28083411523148999</v>
      </c>
      <c r="I1285">
        <v>0.47879183677252002</v>
      </c>
      <c r="J1285">
        <v>0.51934985773072695</v>
      </c>
      <c r="K1285">
        <v>0.76451427885852596</v>
      </c>
      <c r="L1285">
        <v>1495.9461601001101</v>
      </c>
      <c r="M1285">
        <v>30.689763832408499</v>
      </c>
      <c r="N1285">
        <v>54.442688144036197</v>
      </c>
      <c r="O1285">
        <v>48.538596525961097</v>
      </c>
      <c r="P1285">
        <v>-8.2217140224072699E-2</v>
      </c>
      <c r="Q1285">
        <v>0.47986831362175197</v>
      </c>
      <c r="R1285">
        <v>0.76903106117968301</v>
      </c>
      <c r="S1285" t="s">
        <v>7955</v>
      </c>
      <c r="T1285" t="s">
        <v>13338</v>
      </c>
      <c r="U1285" t="s">
        <v>13338</v>
      </c>
      <c r="V1285" t="s">
        <v>13338</v>
      </c>
      <c r="W1285" t="s">
        <v>14592</v>
      </c>
      <c r="X1285">
        <v>10</v>
      </c>
      <c r="Y1285" t="s">
        <v>21191</v>
      </c>
      <c r="Z1285" t="s">
        <v>27700</v>
      </c>
      <c r="AA1285">
        <v>0.63448439882296126</v>
      </c>
      <c r="AB1285" t="str">
        <f>HYPERLINK("Melting_Curves/meltCurve_O14545_TRAFD1.pdf", "Melting_Curves/meltCurve_O14545_TRAFD1.pdf")</f>
        <v>Melting_Curves/meltCurve_O14545_TRAFD1.pdf</v>
      </c>
    </row>
    <row r="1286" spans="1:28" x14ac:dyDescent="0.25">
      <c r="A1286" t="s">
        <v>1290</v>
      </c>
      <c r="B1286">
        <v>0.99193492352474899</v>
      </c>
      <c r="C1286">
        <v>0.85359444189412703</v>
      </c>
      <c r="D1286">
        <v>1.02984418230102</v>
      </c>
      <c r="E1286">
        <v>0.72229073676792999</v>
      </c>
      <c r="F1286">
        <v>0.57397223272395603</v>
      </c>
      <c r="G1286">
        <v>0.40051211273419302</v>
      </c>
      <c r="H1286">
        <v>0.29841806368335699</v>
      </c>
      <c r="I1286">
        <v>0.31140803389383598</v>
      </c>
      <c r="J1286">
        <v>0.34865237464934501</v>
      </c>
      <c r="K1286">
        <v>0.46077389961340898</v>
      </c>
      <c r="L1286">
        <v>1154.2855083494901</v>
      </c>
      <c r="M1286">
        <v>22.680204587549898</v>
      </c>
      <c r="N1286">
        <v>53.786159762779299</v>
      </c>
      <c r="O1286">
        <v>50.503256419873203</v>
      </c>
      <c r="P1286">
        <v>-7.2717077871020899E-2</v>
      </c>
      <c r="Q1286">
        <v>0.35232037278455303</v>
      </c>
      <c r="R1286">
        <v>0.93196918567368703</v>
      </c>
      <c r="S1286" t="s">
        <v>7956</v>
      </c>
      <c r="T1286" t="s">
        <v>13338</v>
      </c>
      <c r="U1286" t="s">
        <v>13338</v>
      </c>
      <c r="V1286" t="s">
        <v>13338</v>
      </c>
      <c r="W1286" t="s">
        <v>14593</v>
      </c>
      <c r="X1286">
        <v>3</v>
      </c>
      <c r="Y1286" t="s">
        <v>21192</v>
      </c>
      <c r="Z1286" t="s">
        <v>27701</v>
      </c>
      <c r="AA1286">
        <v>0.59458492200960922</v>
      </c>
      <c r="AB1286" t="str">
        <f>HYPERLINK("Melting_Curves/meltCurve_O14548_COX7A2L.pdf", "Melting_Curves/meltCurve_O14548_COX7A2L.pdf")</f>
        <v>Melting_Curves/meltCurve_O14548_COX7A2L.pdf</v>
      </c>
    </row>
    <row r="1287" spans="1:28" x14ac:dyDescent="0.25">
      <c r="A1287" t="s">
        <v>1291</v>
      </c>
      <c r="B1287">
        <v>0.99193492352474899</v>
      </c>
      <c r="C1287">
        <v>1.44435303626347</v>
      </c>
      <c r="D1287">
        <v>0.91579701179918804</v>
      </c>
      <c r="E1287">
        <v>1.3492954371406201</v>
      </c>
      <c r="F1287">
        <v>0.82168624915808097</v>
      </c>
      <c r="G1287">
        <v>1.13248531113222</v>
      </c>
      <c r="H1287">
        <v>0.89062459456695897</v>
      </c>
      <c r="I1287">
        <v>0.90632830605986703</v>
      </c>
      <c r="J1287">
        <v>0.42388844416398302</v>
      </c>
      <c r="K1287">
        <v>0.3242903464336</v>
      </c>
      <c r="L1287">
        <v>4693.3874499569401</v>
      </c>
      <c r="M1287">
        <v>71.571096675342005</v>
      </c>
      <c r="N1287">
        <v>66.4983054841247</v>
      </c>
      <c r="O1287">
        <v>65.525452987654603</v>
      </c>
      <c r="P1287">
        <v>-0.187160927005702</v>
      </c>
      <c r="Q1287">
        <v>0.314594900742656</v>
      </c>
      <c r="R1287">
        <v>0.65445825443932304</v>
      </c>
      <c r="S1287" t="s">
        <v>7957</v>
      </c>
      <c r="T1287" t="s">
        <v>13338</v>
      </c>
      <c r="U1287" t="s">
        <v>13338</v>
      </c>
      <c r="V1287" t="s">
        <v>13338</v>
      </c>
      <c r="W1287" t="s">
        <v>14594</v>
      </c>
      <c r="X1287">
        <v>2</v>
      </c>
      <c r="Y1287" t="s">
        <v>21193</v>
      </c>
      <c r="Z1287" t="s">
        <v>27702</v>
      </c>
      <c r="AA1287">
        <v>0.89963788359039876</v>
      </c>
      <c r="AB1287" t="str">
        <f>HYPERLINK("Melting_Curves/meltCurve_O14556_GAPDHS.pdf", "Melting_Curves/meltCurve_O14556_GAPDHS.pdf")</f>
        <v>Melting_Curves/meltCurve_O14556_GAPDHS.pdf</v>
      </c>
    </row>
    <row r="1288" spans="1:28" x14ac:dyDescent="0.25">
      <c r="A1288" t="s">
        <v>1292</v>
      </c>
      <c r="B1288">
        <v>0.99193492352474899</v>
      </c>
      <c r="C1288">
        <v>0.55976233275184595</v>
      </c>
      <c r="D1288">
        <v>0.88419150560177195</v>
      </c>
      <c r="E1288">
        <v>0.540508401750596</v>
      </c>
      <c r="F1288">
        <v>0.58629456757394305</v>
      </c>
      <c r="G1288">
        <v>0.21743696867360901</v>
      </c>
      <c r="H1288">
        <v>0.195318346497492</v>
      </c>
      <c r="I1288">
        <v>0.12388057951524201</v>
      </c>
      <c r="J1288">
        <v>0.126177809682258</v>
      </c>
      <c r="K1288">
        <v>0.142248887783954</v>
      </c>
      <c r="L1288">
        <v>415.40024648349203</v>
      </c>
      <c r="M1288">
        <v>8.0754579820327006</v>
      </c>
      <c r="N1288">
        <v>51.4398331445975</v>
      </c>
      <c r="O1288">
        <v>48.573445842956602</v>
      </c>
      <c r="P1288">
        <v>-4.1608517275714497E-2</v>
      </c>
      <c r="Q1288">
        <v>0</v>
      </c>
      <c r="R1288">
        <v>0.84461655691765203</v>
      </c>
      <c r="S1288" t="s">
        <v>7958</v>
      </c>
      <c r="T1288" t="s">
        <v>13338</v>
      </c>
      <c r="U1288" t="s">
        <v>13338</v>
      </c>
      <c r="V1288" t="s">
        <v>13338</v>
      </c>
      <c r="W1288" t="s">
        <v>14595</v>
      </c>
      <c r="X1288">
        <v>2</v>
      </c>
      <c r="Y1288" t="s">
        <v>21194</v>
      </c>
      <c r="Z1288" t="s">
        <v>27703</v>
      </c>
      <c r="AA1288">
        <v>0.43151170290327939</v>
      </c>
      <c r="AB1288" t="str">
        <f>HYPERLINK("Melting_Curves/meltCurve_O14561_NDUFAB1.pdf", "Melting_Curves/meltCurve_O14561_NDUFAB1.pdf")</f>
        <v>Melting_Curves/meltCurve_O14561_NDUFAB1.pdf</v>
      </c>
    </row>
    <row r="1289" spans="1:28" x14ac:dyDescent="0.25">
      <c r="A1289" t="s">
        <v>1293</v>
      </c>
      <c r="B1289">
        <v>0.99193492352474899</v>
      </c>
      <c r="C1289">
        <v>1.0974137664443</v>
      </c>
      <c r="D1289">
        <v>0.98798983629417703</v>
      </c>
      <c r="E1289">
        <v>0.79888393717431105</v>
      </c>
      <c r="F1289">
        <v>0.366989775374153</v>
      </c>
      <c r="G1289">
        <v>0.30105254117932401</v>
      </c>
      <c r="H1289">
        <v>0.18829691533963799</v>
      </c>
      <c r="I1289">
        <v>0.25171855433694401</v>
      </c>
      <c r="J1289">
        <v>0.24233054547500199</v>
      </c>
      <c r="K1289">
        <v>0.36712317035031</v>
      </c>
      <c r="L1289">
        <v>2056.1879957367801</v>
      </c>
      <c r="M1289">
        <v>40.4820686804104</v>
      </c>
      <c r="N1289">
        <v>51.772065979139498</v>
      </c>
      <c r="O1289">
        <v>50.669099728942903</v>
      </c>
      <c r="P1289">
        <v>-0.14629937813633101</v>
      </c>
      <c r="Q1289">
        <v>0.26754320268896398</v>
      </c>
      <c r="R1289">
        <v>0.97697186521628698</v>
      </c>
      <c r="S1289" t="s">
        <v>7959</v>
      </c>
      <c r="T1289" t="s">
        <v>13338</v>
      </c>
      <c r="U1289" t="s">
        <v>13338</v>
      </c>
      <c r="V1289" t="s">
        <v>13338</v>
      </c>
      <c r="W1289" t="s">
        <v>14596</v>
      </c>
      <c r="X1289">
        <v>1</v>
      </c>
      <c r="Y1289" t="s">
        <v>21195</v>
      </c>
      <c r="Z1289" t="s">
        <v>27704</v>
      </c>
      <c r="AA1289">
        <v>0.53355636348168256</v>
      </c>
      <c r="AB1289" t="str">
        <f>HYPERLINK("Melting_Curves/meltCurve_O14569_CYB561D2.pdf", "Melting_Curves/meltCurve_O14569_CYB561D2.pdf")</f>
        <v>Melting_Curves/meltCurve_O14569_CYB561D2.pdf</v>
      </c>
    </row>
    <row r="1290" spans="1:28" x14ac:dyDescent="0.25">
      <c r="A1290" t="s">
        <v>1294</v>
      </c>
      <c r="B1290">
        <v>0.99193492352474899</v>
      </c>
      <c r="C1290">
        <v>0.86040653745074003</v>
      </c>
      <c r="D1290">
        <v>0.86928675213153395</v>
      </c>
      <c r="E1290">
        <v>0.43824142962733098</v>
      </c>
      <c r="F1290">
        <v>0.20620253104362701</v>
      </c>
      <c r="G1290">
        <v>0.113375686391864</v>
      </c>
      <c r="H1290">
        <v>7.0950915554263097E-2</v>
      </c>
      <c r="I1290">
        <v>9.1305642980382601E-2</v>
      </c>
      <c r="J1290">
        <v>0.102198543253107</v>
      </c>
      <c r="K1290">
        <v>9.4130378095749395E-2</v>
      </c>
      <c r="L1290">
        <v>1135.76016470486</v>
      </c>
      <c r="M1290">
        <v>23.283500821723401</v>
      </c>
      <c r="N1290">
        <v>49.172831043365697</v>
      </c>
      <c r="O1290">
        <v>48.424085294411199</v>
      </c>
      <c r="P1290">
        <v>-0.109997671314367</v>
      </c>
      <c r="Q1290">
        <v>8.4941906751569998E-2</v>
      </c>
      <c r="R1290">
        <v>0.988854952915319</v>
      </c>
      <c r="S1290" t="s">
        <v>7960</v>
      </c>
      <c r="T1290" t="s">
        <v>13338</v>
      </c>
      <c r="U1290" t="s">
        <v>13338</v>
      </c>
      <c r="V1290" t="s">
        <v>13338</v>
      </c>
      <c r="W1290" t="s">
        <v>14597</v>
      </c>
      <c r="X1290">
        <v>20</v>
      </c>
      <c r="Y1290" t="s">
        <v>21196</v>
      </c>
      <c r="Z1290" t="s">
        <v>27705</v>
      </c>
      <c r="AA1290">
        <v>0.36212264003318573</v>
      </c>
      <c r="AB1290" t="str">
        <f>HYPERLINK("Melting_Curves/meltCurve_O14578_4_CIT.pdf", "Melting_Curves/meltCurve_O14578_4_CIT.pdf")</f>
        <v>Melting_Curves/meltCurve_O14578_4_CIT.pdf</v>
      </c>
    </row>
    <row r="1291" spans="1:28" x14ac:dyDescent="0.25">
      <c r="A1291" t="s">
        <v>1295</v>
      </c>
      <c r="B1291">
        <v>0.99193492352474899</v>
      </c>
      <c r="C1291">
        <v>0.84759238650928104</v>
      </c>
      <c r="D1291">
        <v>0.78857707727377002</v>
      </c>
      <c r="E1291">
        <v>0.63310626285919203</v>
      </c>
      <c r="F1291">
        <v>0.30988715837477399</v>
      </c>
      <c r="G1291">
        <v>9.8713480467259307E-2</v>
      </c>
      <c r="H1291">
        <v>6.6624349409910799E-2</v>
      </c>
      <c r="I1291">
        <v>7.18139386000642E-2</v>
      </c>
      <c r="J1291">
        <v>7.5287386505049694E-2</v>
      </c>
      <c r="K1291">
        <v>7.6218727007759293E-2</v>
      </c>
      <c r="L1291">
        <v>783.81168355282796</v>
      </c>
      <c r="M1291">
        <v>15.624173890785899</v>
      </c>
      <c r="N1291">
        <v>50.385316685708098</v>
      </c>
      <c r="O1291">
        <v>49.366359842808599</v>
      </c>
      <c r="P1291">
        <v>-7.6535975210151402E-2</v>
      </c>
      <c r="Q1291">
        <v>3.27869087513896E-2</v>
      </c>
      <c r="R1291">
        <v>0.98377985652553301</v>
      </c>
      <c r="S1291" t="s">
        <v>7961</v>
      </c>
      <c r="T1291" t="s">
        <v>13338</v>
      </c>
      <c r="U1291" t="s">
        <v>13338</v>
      </c>
      <c r="V1291" t="s">
        <v>13338</v>
      </c>
      <c r="W1291" t="s">
        <v>14598</v>
      </c>
      <c r="X1291">
        <v>18</v>
      </c>
      <c r="Y1291" t="s">
        <v>21197</v>
      </c>
      <c r="Z1291" t="s">
        <v>27706</v>
      </c>
      <c r="AA1291">
        <v>0.38190794131787098</v>
      </c>
      <c r="AB1291" t="str">
        <f>HYPERLINK("Melting_Curves/meltCurve_O14579_COPE.pdf", "Melting_Curves/meltCurve_O14579_COPE.pdf")</f>
        <v>Melting_Curves/meltCurve_O14579_COPE.pdf</v>
      </c>
    </row>
    <row r="1292" spans="1:28" x14ac:dyDescent="0.25">
      <c r="A1292" t="s">
        <v>1296</v>
      </c>
      <c r="B1292">
        <v>0.99193492352474899</v>
      </c>
      <c r="C1292">
        <v>0.74803321727834504</v>
      </c>
      <c r="D1292">
        <v>0.92334421846468695</v>
      </c>
      <c r="E1292">
        <v>0.78150009782303398</v>
      </c>
      <c r="F1292">
        <v>0.49306101168813399</v>
      </c>
      <c r="G1292">
        <v>0.16679517030156699</v>
      </c>
      <c r="H1292">
        <v>0.104512856375141</v>
      </c>
      <c r="I1292">
        <v>0.13880211538652201</v>
      </c>
      <c r="J1292">
        <v>0.206083506344275</v>
      </c>
      <c r="K1292">
        <v>0.20305301664636599</v>
      </c>
      <c r="L1292">
        <v>1224.2653964358999</v>
      </c>
      <c r="M1292">
        <v>23.639159314082001</v>
      </c>
      <c r="N1292">
        <v>52.550888498349103</v>
      </c>
      <c r="O1292">
        <v>51.4233470826493</v>
      </c>
      <c r="P1292">
        <v>-9.8265529410104399E-2</v>
      </c>
      <c r="Q1292">
        <v>0.14496798907715799</v>
      </c>
      <c r="R1292">
        <v>0.92874093477572695</v>
      </c>
      <c r="S1292" t="s">
        <v>7962</v>
      </c>
      <c r="T1292" t="s">
        <v>13338</v>
      </c>
      <c r="U1292" t="s">
        <v>13338</v>
      </c>
      <c r="V1292" t="s">
        <v>13338</v>
      </c>
      <c r="W1292" t="s">
        <v>14599</v>
      </c>
      <c r="X1292">
        <v>12</v>
      </c>
      <c r="Y1292" t="s">
        <v>21198</v>
      </c>
      <c r="Z1292" t="s">
        <v>27707</v>
      </c>
      <c r="AA1292">
        <v>0.48966146841728919</v>
      </c>
      <c r="AB1292" t="str">
        <f>HYPERLINK("Melting_Curves/meltCurve_O14602_EIF1AY.pdf", "Melting_Curves/meltCurve_O14602_EIF1AY.pdf")</f>
        <v>Melting_Curves/meltCurve_O14602_EIF1AY.pdf</v>
      </c>
    </row>
    <row r="1293" spans="1:28" x14ac:dyDescent="0.25">
      <c r="A1293" t="s">
        <v>1297</v>
      </c>
      <c r="B1293">
        <v>0.99193492352474899</v>
      </c>
      <c r="C1293">
        <v>0.75544154414842002</v>
      </c>
      <c r="D1293">
        <v>1.0576763279149399</v>
      </c>
      <c r="E1293">
        <v>0.55163115887951397</v>
      </c>
      <c r="F1293">
        <v>0.31356351077160899</v>
      </c>
      <c r="G1293">
        <v>0.218071503552831</v>
      </c>
      <c r="H1293">
        <v>0.17902457126178001</v>
      </c>
      <c r="I1293">
        <v>0.16660586549123199</v>
      </c>
      <c r="J1293">
        <v>0.181325275360504</v>
      </c>
      <c r="K1293">
        <v>0.19909896932035201</v>
      </c>
      <c r="L1293">
        <v>1881.02976663609</v>
      </c>
      <c r="M1293">
        <v>37.9917191359119</v>
      </c>
      <c r="N1293">
        <v>50.171551007702</v>
      </c>
      <c r="O1293">
        <v>49.374992503164997</v>
      </c>
      <c r="P1293">
        <v>-0.154533101142934</v>
      </c>
      <c r="Q1293">
        <v>0.196661647999226</v>
      </c>
      <c r="R1293">
        <v>0.93300870711266204</v>
      </c>
      <c r="S1293" t="s">
        <v>7963</v>
      </c>
      <c r="T1293" t="s">
        <v>13338</v>
      </c>
      <c r="U1293" t="s">
        <v>13338</v>
      </c>
      <c r="V1293" t="s">
        <v>13338</v>
      </c>
      <c r="W1293" t="s">
        <v>14600</v>
      </c>
      <c r="X1293">
        <v>8</v>
      </c>
      <c r="Y1293" t="s">
        <v>21199</v>
      </c>
      <c r="Z1293" t="s">
        <v>27708</v>
      </c>
      <c r="AA1293">
        <v>0.45441502080977048</v>
      </c>
      <c r="AB1293" t="str">
        <f>HYPERLINK("Melting_Curves/meltCurve_O14617_4_AP3D1.pdf", "Melting_Curves/meltCurve_O14617_4_AP3D1.pdf")</f>
        <v>Melting_Curves/meltCurve_O14617_4_AP3D1.pdf</v>
      </c>
    </row>
    <row r="1294" spans="1:28" x14ac:dyDescent="0.25">
      <c r="A1294" t="s">
        <v>1298</v>
      </c>
      <c r="B1294">
        <v>0.99193492352474899</v>
      </c>
      <c r="C1294">
        <v>0.93970756500202302</v>
      </c>
      <c r="D1294">
        <v>1.0097211814170901</v>
      </c>
      <c r="E1294">
        <v>0.83217985151642304</v>
      </c>
      <c r="F1294">
        <v>0.69292063818789995</v>
      </c>
      <c r="G1294">
        <v>0.51125915166219704</v>
      </c>
      <c r="H1294">
        <v>0.15320296135498099</v>
      </c>
      <c r="I1294">
        <v>0.12278866443316699</v>
      </c>
      <c r="J1294">
        <v>0.12744352402928999</v>
      </c>
      <c r="K1294">
        <v>0.11976976820662601</v>
      </c>
      <c r="L1294">
        <v>939.66468541429504</v>
      </c>
      <c r="M1294">
        <v>16.939303092550599</v>
      </c>
      <c r="N1294">
        <v>55.892373128712698</v>
      </c>
      <c r="O1294">
        <v>54.716654545249</v>
      </c>
      <c r="P1294">
        <v>-7.2775968227463697E-2</v>
      </c>
      <c r="Q1294">
        <v>5.9746926068672199E-2</v>
      </c>
      <c r="R1294">
        <v>0.98423384099725597</v>
      </c>
      <c r="S1294" t="s">
        <v>7964</v>
      </c>
      <c r="T1294" t="s">
        <v>13338</v>
      </c>
      <c r="U1294" t="s">
        <v>13338</v>
      </c>
      <c r="V1294" t="s">
        <v>13338</v>
      </c>
      <c r="W1294" t="s">
        <v>14601</v>
      </c>
      <c r="X1294">
        <v>7</v>
      </c>
      <c r="Y1294" t="s">
        <v>21200</v>
      </c>
      <c r="Z1294" t="s">
        <v>27709</v>
      </c>
      <c r="AA1294">
        <v>0.56002812730378937</v>
      </c>
      <c r="AB1294" t="str">
        <f>HYPERLINK("Melting_Curves/meltCurve_O14656_TOR1A.pdf", "Melting_Curves/meltCurve_O14656_TOR1A.pdf")</f>
        <v>Melting_Curves/meltCurve_O14656_TOR1A.pdf</v>
      </c>
    </row>
    <row r="1295" spans="1:28" x14ac:dyDescent="0.25">
      <c r="A1295" t="s">
        <v>1299</v>
      </c>
      <c r="B1295">
        <v>0.99193492352474899</v>
      </c>
      <c r="C1295">
        <v>0.80161801984386905</v>
      </c>
      <c r="D1295">
        <v>1.0089459267999501</v>
      </c>
      <c r="E1295">
        <v>0.70038610899501397</v>
      </c>
      <c r="F1295">
        <v>0.58173818415071998</v>
      </c>
      <c r="G1295">
        <v>0.21299202637046399</v>
      </c>
      <c r="H1295">
        <v>0.17596108820092199</v>
      </c>
      <c r="I1295">
        <v>0.172659130325024</v>
      </c>
      <c r="J1295">
        <v>0.199161064625345</v>
      </c>
      <c r="K1295">
        <v>0.142695045608522</v>
      </c>
      <c r="L1295">
        <v>956.67140328158803</v>
      </c>
      <c r="M1295">
        <v>18.350886273403301</v>
      </c>
      <c r="N1295">
        <v>53.073696075670803</v>
      </c>
      <c r="O1295">
        <v>51.524927079391801</v>
      </c>
      <c r="P1295">
        <v>-7.6671810434753102E-2</v>
      </c>
      <c r="Q1295">
        <v>0.138934610634077</v>
      </c>
      <c r="R1295">
        <v>0.94783995652166697</v>
      </c>
      <c r="S1295" t="s">
        <v>7965</v>
      </c>
      <c r="T1295" t="s">
        <v>13338</v>
      </c>
      <c r="U1295" t="s">
        <v>13338</v>
      </c>
      <c r="V1295" t="s">
        <v>13338</v>
      </c>
      <c r="W1295" t="s">
        <v>14602</v>
      </c>
      <c r="X1295">
        <v>2</v>
      </c>
      <c r="Y1295" t="s">
        <v>21201</v>
      </c>
      <c r="Z1295" t="s">
        <v>27710</v>
      </c>
      <c r="AA1295">
        <v>0.50099438737071866</v>
      </c>
      <c r="AB1295" t="str">
        <f>HYPERLINK("Melting_Curves/meltCurve_O14657_TOR1B.pdf", "Melting_Curves/meltCurve_O14657_TOR1B.pdf")</f>
        <v>Melting_Curves/meltCurve_O14657_TOR1B.pdf</v>
      </c>
    </row>
    <row r="1296" spans="1:28" x14ac:dyDescent="0.25">
      <c r="A1296" t="s">
        <v>1300</v>
      </c>
      <c r="B1296">
        <v>0.99193492352474899</v>
      </c>
      <c r="C1296">
        <v>0.73198072426031102</v>
      </c>
      <c r="D1296">
        <v>0.96328457579117199</v>
      </c>
      <c r="E1296">
        <v>0.35898012449198102</v>
      </c>
      <c r="F1296">
        <v>0.17623604783343499</v>
      </c>
      <c r="G1296">
        <v>7.5785055536887497E-2</v>
      </c>
      <c r="H1296">
        <v>5.7358815055419003E-2</v>
      </c>
      <c r="I1296">
        <v>6.7649802065102696E-2</v>
      </c>
      <c r="J1296">
        <v>9.8824275070328205E-2</v>
      </c>
      <c r="K1296">
        <v>0.120964129290923</v>
      </c>
      <c r="L1296">
        <v>1956.6450950282201</v>
      </c>
      <c r="M1296">
        <v>40.2261095071553</v>
      </c>
      <c r="N1296">
        <v>48.889188778315102</v>
      </c>
      <c r="O1296">
        <v>48.521431962192402</v>
      </c>
      <c r="P1296">
        <v>-0.188130254520535</v>
      </c>
      <c r="Q1296">
        <v>9.2298047477242698E-2</v>
      </c>
      <c r="R1296">
        <v>0.94059583701121696</v>
      </c>
      <c r="S1296" t="s">
        <v>7966</v>
      </c>
      <c r="T1296" t="s">
        <v>13338</v>
      </c>
      <c r="U1296" t="s">
        <v>13338</v>
      </c>
      <c r="V1296" t="s">
        <v>13338</v>
      </c>
      <c r="W1296" t="s">
        <v>14603</v>
      </c>
      <c r="X1296">
        <v>2</v>
      </c>
      <c r="Y1296" t="s">
        <v>21202</v>
      </c>
      <c r="Z1296" t="s">
        <v>27711</v>
      </c>
      <c r="AA1296">
        <v>0.35677352495494319</v>
      </c>
      <c r="AB1296" t="str">
        <f>HYPERLINK("Melting_Curves/meltCurve_O14662_2_STX16.pdf", "Melting_Curves/meltCurve_O14662_2_STX16.pdf")</f>
        <v>Melting_Curves/meltCurve_O14662_2_STX16.pdf</v>
      </c>
    </row>
    <row r="1297" spans="1:28" x14ac:dyDescent="0.25">
      <c r="A1297" t="s">
        <v>1301</v>
      </c>
      <c r="B1297">
        <v>0.99193492352474899</v>
      </c>
      <c r="C1297">
        <v>0.78240599671943101</v>
      </c>
      <c r="D1297">
        <v>0.99843699995212598</v>
      </c>
      <c r="E1297">
        <v>0.68105205632260102</v>
      </c>
      <c r="F1297">
        <v>0.56120256072326902</v>
      </c>
      <c r="G1297">
        <v>0.323299520174746</v>
      </c>
      <c r="H1297">
        <v>0.212574801874099</v>
      </c>
      <c r="I1297">
        <v>0.213472306729133</v>
      </c>
      <c r="J1297">
        <v>0.26110138094526197</v>
      </c>
      <c r="K1297">
        <v>0.25751189269299901</v>
      </c>
      <c r="L1297">
        <v>836.656723093913</v>
      </c>
      <c r="M1297">
        <v>16.2441714059036</v>
      </c>
      <c r="N1297">
        <v>53.267021876759003</v>
      </c>
      <c r="O1297">
        <v>50.743456031190298</v>
      </c>
      <c r="P1297">
        <v>-6.3401414256415004E-2</v>
      </c>
      <c r="Q1297">
        <v>0.207846550057837</v>
      </c>
      <c r="R1297">
        <v>0.93686723339467404</v>
      </c>
      <c r="S1297" t="s">
        <v>7967</v>
      </c>
      <c r="T1297" t="s">
        <v>13338</v>
      </c>
      <c r="U1297" t="s">
        <v>13338</v>
      </c>
      <c r="V1297" t="s">
        <v>13338</v>
      </c>
      <c r="W1297" t="s">
        <v>14604</v>
      </c>
      <c r="X1297">
        <v>21</v>
      </c>
      <c r="Y1297" t="s">
        <v>21203</v>
      </c>
      <c r="Z1297" t="s">
        <v>27712</v>
      </c>
      <c r="AA1297">
        <v>0.52745383908501464</v>
      </c>
      <c r="AB1297" t="str">
        <f>HYPERLINK("Melting_Curves/meltCurve_O14672_ADAM10.pdf", "Melting_Curves/meltCurve_O14672_ADAM10.pdf")</f>
        <v>Melting_Curves/meltCurve_O14672_ADAM10.pdf</v>
      </c>
    </row>
    <row r="1298" spans="1:28" x14ac:dyDescent="0.25">
      <c r="A1298" t="s">
        <v>1302</v>
      </c>
      <c r="B1298">
        <v>0.99193492352474899</v>
      </c>
      <c r="C1298">
        <v>0.98919692356502897</v>
      </c>
      <c r="D1298">
        <v>1.44604095121679</v>
      </c>
      <c r="E1298">
        <v>1.20882923902993</v>
      </c>
      <c r="F1298">
        <v>1.2377575923709401</v>
      </c>
      <c r="G1298">
        <v>0.64057717613393095</v>
      </c>
      <c r="H1298">
        <v>0.19242198466159399</v>
      </c>
      <c r="I1298">
        <v>0</v>
      </c>
      <c r="J1298">
        <v>9.5289013773810993E-2</v>
      </c>
      <c r="K1298">
        <v>0.118616358034573</v>
      </c>
      <c r="L1298">
        <v>5954.0122249320702</v>
      </c>
      <c r="M1298">
        <v>104.412957470115</v>
      </c>
      <c r="N1298">
        <v>57.147357074083502</v>
      </c>
      <c r="O1298">
        <v>57.002781676070903</v>
      </c>
      <c r="P1298">
        <v>-0.41162110832390197</v>
      </c>
      <c r="Q1298">
        <v>0.101125083572738</v>
      </c>
      <c r="R1298">
        <v>0.88335995406173795</v>
      </c>
      <c r="S1298" t="s">
        <v>7968</v>
      </c>
      <c r="T1298" t="s">
        <v>13338</v>
      </c>
      <c r="U1298" t="s">
        <v>13338</v>
      </c>
      <c r="V1298" t="s">
        <v>13338</v>
      </c>
      <c r="W1298" t="s">
        <v>14605</v>
      </c>
      <c r="X1298">
        <v>2</v>
      </c>
      <c r="Y1298" t="s">
        <v>21204</v>
      </c>
      <c r="Z1298" t="s">
        <v>27713</v>
      </c>
      <c r="AA1298">
        <v>0.61171362175721422</v>
      </c>
      <c r="AB1298" t="str">
        <f>HYPERLINK("Melting_Curves/meltCurve_O14678_ABCD4.pdf", "Melting_Curves/meltCurve_O14678_ABCD4.pdf")</f>
        <v>Melting_Curves/meltCurve_O14678_ABCD4.pdf</v>
      </c>
    </row>
    <row r="1299" spans="1:28" x14ac:dyDescent="0.25">
      <c r="A1299" t="s">
        <v>1303</v>
      </c>
      <c r="B1299">
        <v>0.99193492352474899</v>
      </c>
      <c r="C1299">
        <v>0.89718552570090604</v>
      </c>
      <c r="D1299">
        <v>0.794056047990919</v>
      </c>
      <c r="E1299">
        <v>0.60021847433119602</v>
      </c>
      <c r="F1299">
        <v>0.45236534044020799</v>
      </c>
      <c r="G1299">
        <v>0.28845730068116399</v>
      </c>
      <c r="H1299">
        <v>0.22476642408442099</v>
      </c>
      <c r="I1299">
        <v>0.28012142838594301</v>
      </c>
      <c r="J1299">
        <v>0.28305087608476698</v>
      </c>
      <c r="K1299">
        <v>0.42471362858294398</v>
      </c>
      <c r="L1299">
        <v>832.15544094375502</v>
      </c>
      <c r="M1299">
        <v>17.150632519617499</v>
      </c>
      <c r="N1299">
        <v>51.096447141336697</v>
      </c>
      <c r="O1299">
        <v>47.875150571173201</v>
      </c>
      <c r="P1299">
        <v>-6.3644334857895807E-2</v>
      </c>
      <c r="Q1299">
        <v>0.28940224421223398</v>
      </c>
      <c r="R1299">
        <v>0.956180135947163</v>
      </c>
      <c r="S1299" t="s">
        <v>7969</v>
      </c>
      <c r="T1299" t="s">
        <v>13338</v>
      </c>
      <c r="U1299" t="s">
        <v>13338</v>
      </c>
      <c r="V1299" t="s">
        <v>13338</v>
      </c>
      <c r="W1299" t="s">
        <v>14606</v>
      </c>
      <c r="X1299">
        <v>12</v>
      </c>
      <c r="Y1299" t="s">
        <v>21205</v>
      </c>
      <c r="Z1299" t="s">
        <v>27714</v>
      </c>
      <c r="AA1299">
        <v>0.5049353945524101</v>
      </c>
      <c r="AB1299" t="str">
        <f>HYPERLINK("Melting_Curves/meltCurve_O14686_MLL2.pdf", "Melting_Curves/meltCurve_O14686_MLL2.pdf")</f>
        <v>Melting_Curves/meltCurve_O14686_MLL2.pdf</v>
      </c>
    </row>
    <row r="1300" spans="1:28" x14ac:dyDescent="0.25">
      <c r="A1300" t="s">
        <v>1304</v>
      </c>
      <c r="B1300">
        <v>0.99193492352474899</v>
      </c>
      <c r="C1300">
        <v>1.0285998135755601</v>
      </c>
      <c r="D1300">
        <v>0.95585499418142605</v>
      </c>
      <c r="E1300">
        <v>0.82822751061536104</v>
      </c>
      <c r="F1300">
        <v>0.73130147004745205</v>
      </c>
      <c r="G1300">
        <v>0.51379074356896104</v>
      </c>
      <c r="H1300">
        <v>0.40025102565597798</v>
      </c>
      <c r="I1300">
        <v>0.40768655831623801</v>
      </c>
      <c r="J1300">
        <v>0.21923065271603201</v>
      </c>
      <c r="K1300">
        <v>0.13943973862358899</v>
      </c>
      <c r="L1300">
        <v>559.04555751328905</v>
      </c>
      <c r="M1300">
        <v>9.5793009293304099</v>
      </c>
      <c r="N1300">
        <v>58.498454827108297</v>
      </c>
      <c r="O1300">
        <v>55.986429821829397</v>
      </c>
      <c r="P1300">
        <v>-4.2319014163862301E-2</v>
      </c>
      <c r="Q1300">
        <v>1.1229103916338299E-2</v>
      </c>
      <c r="R1300">
        <v>0.97995892052198597</v>
      </c>
      <c r="S1300" t="s">
        <v>7970</v>
      </c>
      <c r="T1300" t="s">
        <v>13338</v>
      </c>
      <c r="U1300" t="s">
        <v>13338</v>
      </c>
      <c r="V1300" t="s">
        <v>13338</v>
      </c>
      <c r="W1300" t="s">
        <v>14607</v>
      </c>
      <c r="X1300">
        <v>5</v>
      </c>
      <c r="Y1300" t="s">
        <v>21206</v>
      </c>
      <c r="Z1300" t="s">
        <v>27715</v>
      </c>
      <c r="AA1300">
        <v>0.62277131998024315</v>
      </c>
      <c r="AB1300" t="str">
        <f>HYPERLINK("Melting_Curves/meltCurve_O14732_2_IMPA2.pdf", "Melting_Curves/meltCurve_O14732_2_IMPA2.pdf")</f>
        <v>Melting_Curves/meltCurve_O14732_2_IMPA2.pdf</v>
      </c>
    </row>
    <row r="1301" spans="1:28" x14ac:dyDescent="0.25">
      <c r="A1301" t="s">
        <v>1305</v>
      </c>
      <c r="B1301">
        <v>0.99193492352474899</v>
      </c>
      <c r="C1301">
        <v>0.87950394881499705</v>
      </c>
      <c r="D1301">
        <v>0.94564355286212498</v>
      </c>
      <c r="E1301">
        <v>0.80572582311246599</v>
      </c>
      <c r="F1301">
        <v>0.78572028364677804</v>
      </c>
      <c r="G1301">
        <v>0.60999734330965105</v>
      </c>
      <c r="H1301">
        <v>0.29987169685827397</v>
      </c>
      <c r="I1301">
        <v>0.16550991883888699</v>
      </c>
      <c r="J1301">
        <v>0.18255153436848301</v>
      </c>
      <c r="K1301">
        <v>0.18509895520046499</v>
      </c>
      <c r="L1301">
        <v>729.53385488803303</v>
      </c>
      <c r="M1301">
        <v>12.771024665720301</v>
      </c>
      <c r="N1301">
        <v>57.584563992573003</v>
      </c>
      <c r="O1301">
        <v>55.777873309740798</v>
      </c>
      <c r="P1301">
        <v>-5.4472658417380602E-2</v>
      </c>
      <c r="Q1301">
        <v>4.8535562303348601E-2</v>
      </c>
      <c r="R1301">
        <v>0.966024387180628</v>
      </c>
      <c r="S1301" t="s">
        <v>7971</v>
      </c>
      <c r="T1301" t="s">
        <v>13338</v>
      </c>
      <c r="U1301" t="s">
        <v>13338</v>
      </c>
      <c r="V1301" t="s">
        <v>13338</v>
      </c>
      <c r="W1301" t="s">
        <v>14608</v>
      </c>
      <c r="X1301">
        <v>9</v>
      </c>
      <c r="Y1301" t="s">
        <v>21207</v>
      </c>
      <c r="Z1301" t="s">
        <v>27716</v>
      </c>
      <c r="AA1301">
        <v>0.60720089568216773</v>
      </c>
      <c r="AB1301" t="str">
        <f>HYPERLINK("Melting_Curves/meltCurve_O14734_ACOT8.pdf", "Melting_Curves/meltCurve_O14734_ACOT8.pdf")</f>
        <v>Melting_Curves/meltCurve_O14734_ACOT8.pdf</v>
      </c>
    </row>
    <row r="1302" spans="1:28" x14ac:dyDescent="0.25">
      <c r="A1302" t="s">
        <v>1306</v>
      </c>
      <c r="B1302">
        <v>0.99193492352474899</v>
      </c>
      <c r="C1302">
        <v>0.989232018506356</v>
      </c>
      <c r="D1302">
        <v>0.988320933509231</v>
      </c>
      <c r="E1302">
        <v>0.95024880301060399</v>
      </c>
      <c r="F1302">
        <v>0.79857640120770301</v>
      </c>
      <c r="G1302">
        <v>0.68027756285225804</v>
      </c>
      <c r="H1302">
        <v>0.63812962047105304</v>
      </c>
      <c r="I1302">
        <v>0.58459741670518495</v>
      </c>
      <c r="J1302">
        <v>0.61423284662586397</v>
      </c>
      <c r="K1302">
        <v>0.759603923536605</v>
      </c>
      <c r="L1302">
        <v>1668.39552016993</v>
      </c>
      <c r="M1302">
        <v>31.702993752972599</v>
      </c>
      <c r="O1302">
        <v>52.417745989247798</v>
      </c>
      <c r="P1302">
        <v>-5.3191144988176099E-2</v>
      </c>
      <c r="Q1302">
        <v>0.64821679579870195</v>
      </c>
      <c r="R1302">
        <v>0.92797296853869105</v>
      </c>
      <c r="S1302" t="s">
        <v>7972</v>
      </c>
      <c r="T1302" t="s">
        <v>13338</v>
      </c>
      <c r="U1302" t="s">
        <v>13338</v>
      </c>
      <c r="V1302" t="s">
        <v>13338</v>
      </c>
      <c r="W1302" t="s">
        <v>14609</v>
      </c>
      <c r="X1302">
        <v>13</v>
      </c>
      <c r="Y1302" t="s">
        <v>21208</v>
      </c>
      <c r="Z1302" t="s">
        <v>27717</v>
      </c>
      <c r="AA1302">
        <v>0.7983029437934841</v>
      </c>
      <c r="AB1302" t="str">
        <f>HYPERLINK("Melting_Curves/meltCurve_O14737_PDCD5.pdf", "Melting_Curves/meltCurve_O14737_PDCD5.pdf")</f>
        <v>Melting_Curves/meltCurve_O14737_PDCD5.pdf</v>
      </c>
    </row>
    <row r="1303" spans="1:28" x14ac:dyDescent="0.25">
      <c r="A1303" t="s">
        <v>1307</v>
      </c>
      <c r="B1303">
        <v>0.99193492352474899</v>
      </c>
      <c r="C1303">
        <v>1.1345431970164599</v>
      </c>
      <c r="D1303">
        <v>0.893113831105108</v>
      </c>
      <c r="E1303">
        <v>0.895849989830108</v>
      </c>
      <c r="F1303">
        <v>0.77955360130056806</v>
      </c>
      <c r="G1303">
        <v>0.31727625257082098</v>
      </c>
      <c r="H1303">
        <v>7.8059501096500297E-2</v>
      </c>
      <c r="I1303">
        <v>8.5212641188031804E-2</v>
      </c>
      <c r="J1303">
        <v>8.04374768983106E-2</v>
      </c>
      <c r="K1303">
        <v>7.8423260424630603E-2</v>
      </c>
      <c r="L1303">
        <v>1697.31256354477</v>
      </c>
      <c r="M1303">
        <v>30.865076651092799</v>
      </c>
      <c r="N1303">
        <v>55.242587784453598</v>
      </c>
      <c r="O1303">
        <v>54.762065728874099</v>
      </c>
      <c r="P1303">
        <v>-0.13167974557159701</v>
      </c>
      <c r="Q1303">
        <v>6.5479340780833603E-2</v>
      </c>
      <c r="R1303">
        <v>0.97927056907003895</v>
      </c>
      <c r="S1303" t="s">
        <v>7973</v>
      </c>
      <c r="T1303" t="s">
        <v>13338</v>
      </c>
      <c r="U1303" t="s">
        <v>13338</v>
      </c>
      <c r="V1303" t="s">
        <v>13338</v>
      </c>
      <c r="W1303" t="s">
        <v>14610</v>
      </c>
      <c r="X1303">
        <v>27</v>
      </c>
      <c r="Y1303" t="s">
        <v>21209</v>
      </c>
      <c r="Z1303" t="s">
        <v>27718</v>
      </c>
      <c r="AA1303">
        <v>0.5383438135761579</v>
      </c>
      <c r="AB1303" t="str">
        <f>HYPERLINK("Melting_Curves/meltCurve_O14744_PRMT5.pdf", "Melting_Curves/meltCurve_O14744_PRMT5.pdf")</f>
        <v>Melting_Curves/meltCurve_O14744_PRMT5.pdf</v>
      </c>
    </row>
    <row r="1304" spans="1:28" x14ac:dyDescent="0.25">
      <c r="A1304" t="s">
        <v>1308</v>
      </c>
      <c r="B1304">
        <v>0.99193492352474899</v>
      </c>
      <c r="C1304">
        <v>1.0042795408315699</v>
      </c>
      <c r="D1304">
        <v>0.87272366973067295</v>
      </c>
      <c r="E1304">
        <v>0.84416530955101698</v>
      </c>
      <c r="F1304">
        <v>0.56785964393614496</v>
      </c>
      <c r="G1304">
        <v>0.38533527048329702</v>
      </c>
      <c r="H1304">
        <v>0.23011009221722201</v>
      </c>
      <c r="I1304">
        <v>0.30102330003371702</v>
      </c>
      <c r="J1304">
        <v>0.32218926991579799</v>
      </c>
      <c r="K1304">
        <v>0.42797552989601501</v>
      </c>
      <c r="L1304">
        <v>1237.34636527937</v>
      </c>
      <c r="M1304">
        <v>23.891091436384698</v>
      </c>
      <c r="N1304">
        <v>54.042383174245401</v>
      </c>
      <c r="O1304">
        <v>51.432342429855296</v>
      </c>
      <c r="P1304">
        <v>-7.9528422877332305E-2</v>
      </c>
      <c r="Q1304">
        <v>0.31518101699357898</v>
      </c>
      <c r="R1304">
        <v>0.95951707596110702</v>
      </c>
      <c r="S1304" t="s">
        <v>7974</v>
      </c>
      <c r="T1304" t="s">
        <v>13338</v>
      </c>
      <c r="U1304" t="s">
        <v>13338</v>
      </c>
      <c r="V1304" t="s">
        <v>13338</v>
      </c>
      <c r="W1304" t="s">
        <v>14611</v>
      </c>
      <c r="X1304">
        <v>27</v>
      </c>
      <c r="Y1304" t="s">
        <v>21210</v>
      </c>
      <c r="Z1304" t="s">
        <v>27719</v>
      </c>
      <c r="AA1304">
        <v>0.59114832267047213</v>
      </c>
      <c r="AB1304" t="str">
        <f>HYPERLINK("Melting_Curves/meltCurve_O14745_SLC9A3R1.pdf", "Melting_Curves/meltCurve_O14745_SLC9A3R1.pdf")</f>
        <v>Melting_Curves/meltCurve_O14745_SLC9A3R1.pdf</v>
      </c>
    </row>
    <row r="1305" spans="1:28" x14ac:dyDescent="0.25">
      <c r="A1305" t="s">
        <v>1309</v>
      </c>
      <c r="B1305">
        <v>0.99193492352474899</v>
      </c>
      <c r="C1305">
        <v>0.80872162863166197</v>
      </c>
      <c r="D1305">
        <v>0.91424862965138498</v>
      </c>
      <c r="E1305">
        <v>0.65390500087642001</v>
      </c>
      <c r="F1305">
        <v>0.34209994137080402</v>
      </c>
      <c r="G1305">
        <v>0.115556612000199</v>
      </c>
      <c r="H1305">
        <v>6.16157174475324E-2</v>
      </c>
      <c r="I1305">
        <v>6.7152028527137295E-2</v>
      </c>
      <c r="J1305">
        <v>7.4847743591910404E-2</v>
      </c>
      <c r="K1305">
        <v>6.7628869044077194E-2</v>
      </c>
      <c r="L1305">
        <v>966.95599585786397</v>
      </c>
      <c r="M1305">
        <v>19.013974950970301</v>
      </c>
      <c r="N1305">
        <v>51.097755831783999</v>
      </c>
      <c r="O1305">
        <v>50.302527801562903</v>
      </c>
      <c r="P1305">
        <v>-9.0420985680188803E-2</v>
      </c>
      <c r="Q1305">
        <v>4.3183328395104199E-2</v>
      </c>
      <c r="R1305">
        <v>0.97715180012695801</v>
      </c>
      <c r="S1305" t="s">
        <v>7975</v>
      </c>
      <c r="T1305" t="s">
        <v>13338</v>
      </c>
      <c r="U1305" t="s">
        <v>13338</v>
      </c>
      <c r="V1305" t="s">
        <v>13338</v>
      </c>
      <c r="W1305" t="s">
        <v>14612</v>
      </c>
      <c r="X1305">
        <v>17</v>
      </c>
      <c r="Y1305" t="s">
        <v>21211</v>
      </c>
      <c r="Z1305" t="s">
        <v>27720</v>
      </c>
      <c r="AA1305">
        <v>0.40399530768291197</v>
      </c>
      <c r="AB1305" t="str">
        <f>HYPERLINK("Melting_Curves/meltCurve_O14757_CHEK1.pdf", "Melting_Curves/meltCurve_O14757_CHEK1.pdf")</f>
        <v>Melting_Curves/meltCurve_O14757_CHEK1.pdf</v>
      </c>
    </row>
    <row r="1306" spans="1:28" x14ac:dyDescent="0.25">
      <c r="A1306" t="s">
        <v>1310</v>
      </c>
      <c r="B1306">
        <v>0.99193492352474899</v>
      </c>
      <c r="C1306">
        <v>0.83610523363808198</v>
      </c>
      <c r="D1306">
        <v>0.94550678233931396</v>
      </c>
      <c r="E1306">
        <v>0.771202950862239</v>
      </c>
      <c r="F1306">
        <v>0.54950217798835799</v>
      </c>
      <c r="G1306">
        <v>0.34916273490449701</v>
      </c>
      <c r="H1306">
        <v>0.19736812264126299</v>
      </c>
      <c r="I1306">
        <v>0.256000575115784</v>
      </c>
      <c r="J1306">
        <v>0.208121654204004</v>
      </c>
      <c r="K1306">
        <v>0.26237775105811201</v>
      </c>
      <c r="L1306">
        <v>903.39188082167902</v>
      </c>
      <c r="M1306">
        <v>17.3547914833497</v>
      </c>
      <c r="N1306">
        <v>53.6853596709214</v>
      </c>
      <c r="O1306">
        <v>51.377916895663503</v>
      </c>
      <c r="P1306">
        <v>-6.7148172422073896E-2</v>
      </c>
      <c r="Q1306">
        <v>0.204891121179469</v>
      </c>
      <c r="R1306">
        <v>0.96840298542856296</v>
      </c>
      <c r="S1306" t="s">
        <v>7976</v>
      </c>
      <c r="T1306" t="s">
        <v>13338</v>
      </c>
      <c r="U1306" t="s">
        <v>13338</v>
      </c>
      <c r="V1306" t="s">
        <v>13338</v>
      </c>
      <c r="W1306" t="s">
        <v>14613</v>
      </c>
      <c r="X1306">
        <v>2</v>
      </c>
      <c r="Y1306" t="s">
        <v>21212</v>
      </c>
      <c r="Z1306" t="s">
        <v>27721</v>
      </c>
      <c r="AA1306">
        <v>0.53843378288711286</v>
      </c>
      <c r="AB1306" t="str">
        <f>HYPERLINK("Melting_Curves/meltCurve_O14763_2_TNFRSF10B.pdf", "Melting_Curves/meltCurve_O14763_2_TNFRSF10B.pdf")</f>
        <v>Melting_Curves/meltCurve_O14763_2_TNFRSF10B.pdf</v>
      </c>
    </row>
    <row r="1307" spans="1:28" x14ac:dyDescent="0.25">
      <c r="A1307" t="s">
        <v>1311</v>
      </c>
      <c r="B1307">
        <v>0.99193492352474899</v>
      </c>
      <c r="C1307">
        <v>0.98070745191258502</v>
      </c>
      <c r="D1307">
        <v>0.77404701030168799</v>
      </c>
      <c r="E1307">
        <v>0.69265719939410497</v>
      </c>
      <c r="F1307">
        <v>0.36429208815041803</v>
      </c>
      <c r="G1307">
        <v>0.124847160641158</v>
      </c>
      <c r="H1307">
        <v>6.0614763307390802E-2</v>
      </c>
      <c r="I1307">
        <v>8.1118735710001694E-2</v>
      </c>
      <c r="J1307">
        <v>8.2855056717902706E-2</v>
      </c>
      <c r="K1307">
        <v>0.16198864595561399</v>
      </c>
      <c r="L1307">
        <v>928.15161818928595</v>
      </c>
      <c r="M1307">
        <v>18.313910756398801</v>
      </c>
      <c r="N1307">
        <v>51.107755209075698</v>
      </c>
      <c r="O1307">
        <v>50.087472865713103</v>
      </c>
      <c r="P1307">
        <v>-8.4920370755448393E-2</v>
      </c>
      <c r="Q1307">
        <v>7.1033861596933104E-2</v>
      </c>
      <c r="R1307">
        <v>0.97879976879197095</v>
      </c>
      <c r="S1307" t="s">
        <v>7977</v>
      </c>
      <c r="T1307" t="s">
        <v>13338</v>
      </c>
      <c r="U1307" t="s">
        <v>13338</v>
      </c>
      <c r="V1307" t="s">
        <v>13338</v>
      </c>
      <c r="W1307" t="s">
        <v>14614</v>
      </c>
      <c r="X1307">
        <v>2</v>
      </c>
      <c r="Y1307" t="s">
        <v>21213</v>
      </c>
      <c r="Z1307" t="s">
        <v>27722</v>
      </c>
      <c r="AA1307">
        <v>0.41696926109900673</v>
      </c>
      <c r="AB1307" t="str">
        <f>HYPERLINK("Melting_Curves/meltCurve_O14772_FPGT.pdf", "Melting_Curves/meltCurve_O14772_FPGT.pdf")</f>
        <v>Melting_Curves/meltCurve_O14772_FPGT.pdf</v>
      </c>
    </row>
    <row r="1308" spans="1:28" x14ac:dyDescent="0.25">
      <c r="A1308" t="s">
        <v>1312</v>
      </c>
      <c r="B1308">
        <v>0.99193492352474899</v>
      </c>
      <c r="C1308">
        <v>0.83595190538515596</v>
      </c>
      <c r="D1308">
        <v>0.87554745898591102</v>
      </c>
      <c r="E1308">
        <v>0.57808224558307097</v>
      </c>
      <c r="F1308">
        <v>0.395661932053684</v>
      </c>
      <c r="G1308">
        <v>0.18234029640682201</v>
      </c>
      <c r="H1308">
        <v>9.8469892710738194E-2</v>
      </c>
      <c r="I1308">
        <v>0.131616672581503</v>
      </c>
      <c r="J1308">
        <v>0.20121193458869099</v>
      </c>
      <c r="K1308">
        <v>0.209977053133656</v>
      </c>
      <c r="L1308">
        <v>865.34318847563804</v>
      </c>
      <c r="M1308">
        <v>17.387304906014901</v>
      </c>
      <c r="N1308">
        <v>50.736936545762099</v>
      </c>
      <c r="O1308">
        <v>49.124329871113098</v>
      </c>
      <c r="P1308">
        <v>-7.5997113853244605E-2</v>
      </c>
      <c r="Q1308">
        <v>0.14119008783603601</v>
      </c>
      <c r="R1308">
        <v>0.96942476586570303</v>
      </c>
      <c r="S1308" t="s">
        <v>7978</v>
      </c>
      <c r="T1308" t="s">
        <v>13338</v>
      </c>
      <c r="U1308" t="s">
        <v>13338</v>
      </c>
      <c r="V1308" t="s">
        <v>13338</v>
      </c>
      <c r="W1308" t="s">
        <v>14615</v>
      </c>
      <c r="X1308">
        <v>5</v>
      </c>
      <c r="Y1308" t="s">
        <v>21214</v>
      </c>
      <c r="Z1308" t="s">
        <v>27723</v>
      </c>
      <c r="AA1308">
        <v>0.43653486460401247</v>
      </c>
      <c r="AB1308" t="str">
        <f>HYPERLINK("Melting_Curves/meltCurve_O14773_2_TPP1.pdf", "Melting_Curves/meltCurve_O14773_2_TPP1.pdf")</f>
        <v>Melting_Curves/meltCurve_O14773_2_TPP1.pdf</v>
      </c>
    </row>
    <row r="1309" spans="1:28" x14ac:dyDescent="0.25">
      <c r="A1309" t="s">
        <v>1313</v>
      </c>
      <c r="B1309">
        <v>0.99193492352474899</v>
      </c>
      <c r="C1309">
        <v>0.988608298487196</v>
      </c>
      <c r="D1309">
        <v>0.82793466477085498</v>
      </c>
      <c r="E1309">
        <v>0.56174404845082604</v>
      </c>
      <c r="F1309">
        <v>0.45178932262197902</v>
      </c>
      <c r="G1309">
        <v>0.21287063053041899</v>
      </c>
      <c r="H1309">
        <v>0.158451922644503</v>
      </c>
      <c r="I1309">
        <v>0.18099320063306101</v>
      </c>
      <c r="J1309">
        <v>0.20696828544811799</v>
      </c>
      <c r="K1309">
        <v>0.21279950098301501</v>
      </c>
      <c r="L1309">
        <v>872.17975376711502</v>
      </c>
      <c r="M1309">
        <v>17.539492990868599</v>
      </c>
      <c r="N1309">
        <v>50.977277602625698</v>
      </c>
      <c r="O1309">
        <v>49.093746462923299</v>
      </c>
      <c r="P1309">
        <v>-7.3704023095970198E-2</v>
      </c>
      <c r="Q1309">
        <v>0.17484335295932199</v>
      </c>
      <c r="R1309">
        <v>0.98592071645686097</v>
      </c>
      <c r="S1309" t="s">
        <v>7979</v>
      </c>
      <c r="T1309" t="s">
        <v>13338</v>
      </c>
      <c r="U1309" t="s">
        <v>13338</v>
      </c>
      <c r="V1309" t="s">
        <v>13338</v>
      </c>
      <c r="W1309" t="s">
        <v>14616</v>
      </c>
      <c r="X1309">
        <v>3</v>
      </c>
      <c r="Y1309" t="s">
        <v>21215</v>
      </c>
      <c r="Z1309" t="s">
        <v>27724</v>
      </c>
      <c r="AA1309">
        <v>0.45722021531542612</v>
      </c>
      <c r="AB1309" t="str">
        <f>HYPERLINK("Melting_Curves/meltCurve_O14775_3_GNB5.pdf", "Melting_Curves/meltCurve_O14775_3_GNB5.pdf")</f>
        <v>Melting_Curves/meltCurve_O14775_3_GNB5.pdf</v>
      </c>
    </row>
    <row r="1310" spans="1:28" x14ac:dyDescent="0.25">
      <c r="A1310" t="s">
        <v>1314</v>
      </c>
      <c r="B1310">
        <v>0.99193492352474899</v>
      </c>
      <c r="C1310">
        <v>0.86326935330246501</v>
      </c>
      <c r="D1310">
        <v>0.71784389299291695</v>
      </c>
      <c r="E1310">
        <v>0.29448977748753702</v>
      </c>
      <c r="F1310">
        <v>0.15512476112253701</v>
      </c>
      <c r="G1310">
        <v>9.21481065500728E-2</v>
      </c>
      <c r="H1310">
        <v>6.5246937844393796E-2</v>
      </c>
      <c r="I1310">
        <v>7.2165486947049898E-2</v>
      </c>
      <c r="J1310">
        <v>7.5273548037250004E-2</v>
      </c>
      <c r="K1310">
        <v>7.9086666511025305E-2</v>
      </c>
      <c r="L1310">
        <v>1041.9366079086799</v>
      </c>
      <c r="M1310">
        <v>22.004318561433401</v>
      </c>
      <c r="N1310">
        <v>47.675186384488001</v>
      </c>
      <c r="O1310">
        <v>46.965581141403803</v>
      </c>
      <c r="P1310">
        <v>-0.109004856734725</v>
      </c>
      <c r="Q1310">
        <v>6.9389540850501696E-2</v>
      </c>
      <c r="R1310">
        <v>0.99589189974911596</v>
      </c>
      <c r="S1310" t="s">
        <v>7980</v>
      </c>
      <c r="T1310" t="s">
        <v>13338</v>
      </c>
      <c r="U1310" t="s">
        <v>13338</v>
      </c>
      <c r="V1310" t="s">
        <v>13338</v>
      </c>
      <c r="W1310" t="s">
        <v>14617</v>
      </c>
      <c r="X1310">
        <v>48</v>
      </c>
      <c r="Y1310" t="s">
        <v>21216</v>
      </c>
      <c r="Z1310" t="s">
        <v>27725</v>
      </c>
      <c r="AA1310">
        <v>0.30835232088906511</v>
      </c>
      <c r="AB1310" t="str">
        <f>HYPERLINK("Melting_Curves/meltCurve_O14776_2_TCERG1.pdf", "Melting_Curves/meltCurve_O14776_2_TCERG1.pdf")</f>
        <v>Melting_Curves/meltCurve_O14776_2_TCERG1.pdf</v>
      </c>
    </row>
    <row r="1311" spans="1:28" x14ac:dyDescent="0.25">
      <c r="A1311" t="s">
        <v>1315</v>
      </c>
      <c r="B1311">
        <v>0.99193492352474899</v>
      </c>
      <c r="C1311">
        <v>0.61142071879045601</v>
      </c>
      <c r="D1311">
        <v>0.45552159053014502</v>
      </c>
      <c r="E1311">
        <v>0.190218326856058</v>
      </c>
      <c r="F1311">
        <v>0.15495491929734401</v>
      </c>
      <c r="G1311">
        <v>0.114451204733379</v>
      </c>
      <c r="H1311">
        <v>6.3071232127977606E-2</v>
      </c>
      <c r="I1311">
        <v>7.0354272157311007E-2</v>
      </c>
      <c r="J1311">
        <v>7.1103956179014105E-2</v>
      </c>
      <c r="K1311">
        <v>6.9189568713853497E-2</v>
      </c>
      <c r="L1311">
        <v>800.02457821294104</v>
      </c>
      <c r="M1311">
        <v>17.9344291055002</v>
      </c>
      <c r="N1311">
        <v>45.019214393497698</v>
      </c>
      <c r="O1311">
        <v>44.064765247063498</v>
      </c>
      <c r="P1311">
        <v>-9.4072827057592096E-2</v>
      </c>
      <c r="Q1311">
        <v>7.5500750045590995E-2</v>
      </c>
      <c r="R1311">
        <v>0.97700547072574495</v>
      </c>
      <c r="S1311" t="s">
        <v>7981</v>
      </c>
      <c r="T1311" t="s">
        <v>13338</v>
      </c>
      <c r="U1311" t="s">
        <v>13338</v>
      </c>
      <c r="V1311" t="s">
        <v>13338</v>
      </c>
      <c r="W1311" t="s">
        <v>14618</v>
      </c>
      <c r="X1311">
        <v>8</v>
      </c>
      <c r="Y1311" t="s">
        <v>21217</v>
      </c>
      <c r="Z1311" t="s">
        <v>27726</v>
      </c>
      <c r="AA1311">
        <v>0.23858842092648541</v>
      </c>
      <c r="AB1311" t="str">
        <f>HYPERLINK("Melting_Curves/meltCurve_O14777_NDC80.pdf", "Melting_Curves/meltCurve_O14777_NDC80.pdf")</f>
        <v>Melting_Curves/meltCurve_O14777_NDC80.pdf</v>
      </c>
    </row>
    <row r="1312" spans="1:28" x14ac:dyDescent="0.25">
      <c r="A1312" t="s">
        <v>1316</v>
      </c>
      <c r="B1312">
        <v>0.99193492352474899</v>
      </c>
      <c r="C1312">
        <v>0.82584194067261296</v>
      </c>
      <c r="D1312">
        <v>0.71272194935012001</v>
      </c>
      <c r="E1312">
        <v>0.22052606770118299</v>
      </c>
      <c r="F1312">
        <v>0.136476603560473</v>
      </c>
      <c r="G1312">
        <v>7.8716596796491206E-2</v>
      </c>
      <c r="H1312">
        <v>4.9488829425688101E-2</v>
      </c>
      <c r="I1312">
        <v>5.3161111490560103E-2</v>
      </c>
      <c r="J1312">
        <v>5.48268276908392E-2</v>
      </c>
      <c r="K1312">
        <v>4.4938867006559198E-2</v>
      </c>
      <c r="L1312">
        <v>1073.6836351883601</v>
      </c>
      <c r="M1312">
        <v>22.814630243413902</v>
      </c>
      <c r="N1312">
        <v>47.278817848800898</v>
      </c>
      <c r="O1312">
        <v>46.704098124024</v>
      </c>
      <c r="P1312">
        <v>-0.11603844540501</v>
      </c>
      <c r="Q1312">
        <v>4.9843699063842201E-2</v>
      </c>
      <c r="R1312">
        <v>0.98838682157249103</v>
      </c>
      <c r="S1312" t="s">
        <v>7982</v>
      </c>
      <c r="T1312" t="s">
        <v>13338</v>
      </c>
      <c r="U1312" t="s">
        <v>13338</v>
      </c>
      <c r="V1312" t="s">
        <v>13338</v>
      </c>
      <c r="W1312" t="s">
        <v>14619</v>
      </c>
      <c r="X1312">
        <v>16</v>
      </c>
      <c r="Y1312" t="s">
        <v>21218</v>
      </c>
      <c r="Z1312" t="s">
        <v>27727</v>
      </c>
      <c r="AA1312">
        <v>0.28385463094056212</v>
      </c>
      <c r="AB1312" t="str">
        <f>HYPERLINK("Melting_Curves/meltCurve_O14787_2_TNPO2.pdf", "Melting_Curves/meltCurve_O14787_2_TNPO2.pdf")</f>
        <v>Melting_Curves/meltCurve_O14787_2_TNPO2.pdf</v>
      </c>
    </row>
    <row r="1313" spans="1:28" x14ac:dyDescent="0.25">
      <c r="A1313" t="s">
        <v>1317</v>
      </c>
      <c r="B1313">
        <v>0.99193492352474899</v>
      </c>
      <c r="C1313">
        <v>0.57608183345046504</v>
      </c>
      <c r="D1313">
        <v>0.75494705487963698</v>
      </c>
      <c r="E1313">
        <v>0.28820703164613298</v>
      </c>
      <c r="F1313">
        <v>0.183614689708232</v>
      </c>
      <c r="G1313">
        <v>5.8980428445062801E-2</v>
      </c>
      <c r="H1313">
        <v>4.7719604201209798E-2</v>
      </c>
      <c r="I1313">
        <v>6.5477219434527098E-2</v>
      </c>
      <c r="J1313">
        <v>5.5831890642707702E-2</v>
      </c>
      <c r="K1313">
        <v>3.1791700524065401E-2</v>
      </c>
      <c r="L1313">
        <v>613.76293936662705</v>
      </c>
      <c r="M1313">
        <v>13.063085034944701</v>
      </c>
      <c r="N1313">
        <v>47.071370804003102</v>
      </c>
      <c r="O1313">
        <v>45.924376146672898</v>
      </c>
      <c r="P1313">
        <v>-7.0277606187015396E-2</v>
      </c>
      <c r="Q1313">
        <v>1.1904129859043299E-2</v>
      </c>
      <c r="R1313">
        <v>0.919606490444425</v>
      </c>
      <c r="S1313" t="s">
        <v>7983</v>
      </c>
      <c r="T1313" t="s">
        <v>13338</v>
      </c>
      <c r="U1313" t="s">
        <v>13338</v>
      </c>
      <c r="V1313" t="s">
        <v>13338</v>
      </c>
      <c r="W1313" t="s">
        <v>14620</v>
      </c>
      <c r="X1313">
        <v>5</v>
      </c>
      <c r="Y1313" t="s">
        <v>21219</v>
      </c>
      <c r="Z1313" t="s">
        <v>27728</v>
      </c>
      <c r="AA1313">
        <v>0.27735731556272808</v>
      </c>
      <c r="AB1313" t="str">
        <f>HYPERLINK("Melting_Curves/meltCurve_O14802_POLR3A.pdf", "Melting_Curves/meltCurve_O14802_POLR3A.pdf")</f>
        <v>Melting_Curves/meltCurve_O14802_POLR3A.pdf</v>
      </c>
    </row>
    <row r="1314" spans="1:28" x14ac:dyDescent="0.25">
      <c r="A1314" t="s">
        <v>1318</v>
      </c>
      <c r="B1314">
        <v>0.99193492352474899</v>
      </c>
      <c r="C1314">
        <v>0.82224592663868501</v>
      </c>
      <c r="D1314">
        <v>1.0078573089993801</v>
      </c>
      <c r="E1314">
        <v>0.79920847225389002</v>
      </c>
      <c r="F1314">
        <v>1.0722976265278501</v>
      </c>
      <c r="G1314">
        <v>0.80270533145720102</v>
      </c>
      <c r="H1314">
        <v>0.623285502168479</v>
      </c>
      <c r="I1314">
        <v>0.533270126805102</v>
      </c>
      <c r="J1314">
        <v>0.56915588150324303</v>
      </c>
      <c r="K1314">
        <v>0.31012211295368702</v>
      </c>
      <c r="L1314">
        <v>594.67697550029595</v>
      </c>
      <c r="M1314">
        <v>9.0244654234397395</v>
      </c>
      <c r="N1314">
        <v>65.896086725674706</v>
      </c>
      <c r="O1314">
        <v>62.901814156405599</v>
      </c>
      <c r="P1314">
        <v>-3.5893051307394397E-2</v>
      </c>
      <c r="Q1314">
        <v>0</v>
      </c>
      <c r="R1314">
        <v>0.80345990099730002</v>
      </c>
      <c r="S1314" t="s">
        <v>7984</v>
      </c>
      <c r="T1314" t="s">
        <v>13338</v>
      </c>
      <c r="U1314" t="s">
        <v>13338</v>
      </c>
      <c r="V1314" t="s">
        <v>13338</v>
      </c>
      <c r="W1314" t="s">
        <v>14621</v>
      </c>
      <c r="X1314">
        <v>20</v>
      </c>
      <c r="Y1314" t="s">
        <v>21220</v>
      </c>
      <c r="Z1314" t="s">
        <v>27729</v>
      </c>
      <c r="AA1314">
        <v>0.78710608764763057</v>
      </c>
      <c r="AB1314" t="str">
        <f>HYPERLINK("Melting_Curves/meltCurve_O14818_PSMA7.pdf", "Melting_Curves/meltCurve_O14818_PSMA7.pdf")</f>
        <v>Melting_Curves/meltCurve_O14818_PSMA7.pdf</v>
      </c>
    </row>
    <row r="1315" spans="1:28" x14ac:dyDescent="0.25">
      <c r="A1315" t="s">
        <v>1319</v>
      </c>
      <c r="B1315">
        <v>0.99193492352474899</v>
      </c>
      <c r="C1315">
        <v>1.05429374898543</v>
      </c>
      <c r="D1315">
        <v>0.89018805482753405</v>
      </c>
      <c r="E1315">
        <v>0.919174647308584</v>
      </c>
      <c r="F1315">
        <v>0.62653486452195295</v>
      </c>
      <c r="G1315">
        <v>0.55896249552186394</v>
      </c>
      <c r="H1315">
        <v>0.44568303170342599</v>
      </c>
      <c r="I1315">
        <v>0.47045029952224499</v>
      </c>
      <c r="J1315">
        <v>0.47301567242459602</v>
      </c>
      <c r="K1315">
        <v>0.34930893722114997</v>
      </c>
      <c r="L1315">
        <v>988.46175583212096</v>
      </c>
      <c r="M1315">
        <v>18.7957776364089</v>
      </c>
      <c r="N1315">
        <v>58.114857100764297</v>
      </c>
      <c r="O1315">
        <v>52.005120325542599</v>
      </c>
      <c r="P1315">
        <v>-5.2745350338786703E-2</v>
      </c>
      <c r="Q1315">
        <v>0.416270131837016</v>
      </c>
      <c r="R1315">
        <v>0.95875003069553899</v>
      </c>
      <c r="S1315" t="s">
        <v>7985</v>
      </c>
      <c r="T1315" t="s">
        <v>13338</v>
      </c>
      <c r="U1315" t="s">
        <v>13338</v>
      </c>
      <c r="V1315" t="s">
        <v>13338</v>
      </c>
      <c r="W1315" t="s">
        <v>14622</v>
      </c>
      <c r="X1315">
        <v>10</v>
      </c>
      <c r="Y1315" t="s">
        <v>21221</v>
      </c>
      <c r="Z1315" t="s">
        <v>27730</v>
      </c>
      <c r="AA1315">
        <v>0.67019194169582508</v>
      </c>
      <c r="AB1315" t="str">
        <f>HYPERLINK("Melting_Curves/meltCurve_O14828_SCAMP3.pdf", "Melting_Curves/meltCurve_O14828_SCAMP3.pdf")</f>
        <v>Melting_Curves/meltCurve_O14828_SCAMP3.pdf</v>
      </c>
    </row>
    <row r="1316" spans="1:28" x14ac:dyDescent="0.25">
      <c r="A1316" t="s">
        <v>1320</v>
      </c>
      <c r="B1316">
        <v>0.99193492352474899</v>
      </c>
      <c r="C1316">
        <v>1.0490976260884299</v>
      </c>
      <c r="D1316">
        <v>0.94200308434424596</v>
      </c>
      <c r="E1316">
        <v>0.84769210225565494</v>
      </c>
      <c r="F1316">
        <v>0.55449330070431502</v>
      </c>
      <c r="G1316">
        <v>0.204210636092753</v>
      </c>
      <c r="H1316">
        <v>0.13828986327523199</v>
      </c>
      <c r="I1316">
        <v>0.177148150903468</v>
      </c>
      <c r="J1316">
        <v>0.226103208525957</v>
      </c>
      <c r="K1316">
        <v>0.26140145282638999</v>
      </c>
      <c r="L1316">
        <v>1607.0946583002101</v>
      </c>
      <c r="M1316">
        <v>30.625053032226301</v>
      </c>
      <c r="N1316">
        <v>53.302838298172901</v>
      </c>
      <c r="O1316">
        <v>52.254255271071898</v>
      </c>
      <c r="P1316">
        <v>-0.118829199525435</v>
      </c>
      <c r="Q1316">
        <v>0.18899177784093901</v>
      </c>
      <c r="R1316">
        <v>0.98329582084559697</v>
      </c>
      <c r="S1316" t="s">
        <v>7986</v>
      </c>
      <c r="T1316" t="s">
        <v>13338</v>
      </c>
      <c r="U1316" t="s">
        <v>13338</v>
      </c>
      <c r="V1316" t="s">
        <v>13338</v>
      </c>
      <c r="W1316" t="s">
        <v>14623</v>
      </c>
      <c r="X1316">
        <v>11</v>
      </c>
      <c r="Y1316" t="s">
        <v>21222</v>
      </c>
      <c r="Z1316" t="s">
        <v>27731</v>
      </c>
      <c r="AA1316">
        <v>0.53128715572620966</v>
      </c>
      <c r="AB1316" t="str">
        <f>HYPERLINK("Melting_Curves/meltCurve_O14841_OPLAH.pdf", "Melting_Curves/meltCurve_O14841_OPLAH.pdf")</f>
        <v>Melting_Curves/meltCurve_O14841_OPLAH.pdf</v>
      </c>
    </row>
    <row r="1317" spans="1:28" x14ac:dyDescent="0.25">
      <c r="A1317" t="s">
        <v>1321</v>
      </c>
      <c r="B1317">
        <v>0.99193492352474899</v>
      </c>
      <c r="C1317">
        <v>0.80011069962185299</v>
      </c>
      <c r="D1317">
        <v>0.82532861095810295</v>
      </c>
      <c r="E1317">
        <v>0.59494300569189196</v>
      </c>
      <c r="F1317">
        <v>0.50361475138614897</v>
      </c>
      <c r="G1317">
        <v>0.37227172528577201</v>
      </c>
      <c r="H1317">
        <v>0.27115985111074498</v>
      </c>
      <c r="I1317">
        <v>0.30370422831510202</v>
      </c>
      <c r="J1317">
        <v>0.29358225764149798</v>
      </c>
      <c r="K1317">
        <v>0.25070238486026902</v>
      </c>
      <c r="L1317">
        <v>543.437620030473</v>
      </c>
      <c r="M1317">
        <v>10.943786345945799</v>
      </c>
      <c r="N1317">
        <v>52.534900597346201</v>
      </c>
      <c r="O1317">
        <v>48.085494746436602</v>
      </c>
      <c r="P1317">
        <v>-4.4085265284856699E-2</v>
      </c>
      <c r="Q1317">
        <v>0.225448137554836</v>
      </c>
      <c r="R1317">
        <v>0.97569847877844995</v>
      </c>
      <c r="S1317" t="s">
        <v>7987</v>
      </c>
      <c r="T1317" t="s">
        <v>13338</v>
      </c>
      <c r="U1317" t="s">
        <v>13338</v>
      </c>
      <c r="V1317" t="s">
        <v>13338</v>
      </c>
      <c r="W1317" t="s">
        <v>14624</v>
      </c>
      <c r="X1317">
        <v>1</v>
      </c>
      <c r="Y1317" t="s">
        <v>21223</v>
      </c>
      <c r="Z1317" t="s">
        <v>27732</v>
      </c>
      <c r="AA1317">
        <v>0.50634968103202549</v>
      </c>
      <c r="AB1317" t="str">
        <f>HYPERLINK("Melting_Curves/meltCurve_O14867_BACH1.pdf", "Melting_Curves/meltCurve_O14867_BACH1.pdf")</f>
        <v>Melting_Curves/meltCurve_O14867_BACH1.pdf</v>
      </c>
    </row>
    <row r="1318" spans="1:28" x14ac:dyDescent="0.25">
      <c r="A1318" t="s">
        <v>1322</v>
      </c>
      <c r="B1318">
        <v>0.99193492352474899</v>
      </c>
      <c r="C1318">
        <v>0.60813150715405895</v>
      </c>
      <c r="D1318">
        <v>0.75038937340380496</v>
      </c>
      <c r="E1318">
        <v>0.55859735770299901</v>
      </c>
      <c r="F1318">
        <v>0.51226666672072196</v>
      </c>
      <c r="G1318">
        <v>0.24880255784356101</v>
      </c>
      <c r="H1318">
        <v>0.196138138255638</v>
      </c>
      <c r="I1318">
        <v>0.21527877863112899</v>
      </c>
      <c r="J1318">
        <v>0.33025193891319898</v>
      </c>
      <c r="K1318">
        <v>0.34823195812551999</v>
      </c>
      <c r="L1318">
        <v>476.335944400237</v>
      </c>
      <c r="M1318">
        <v>10.0690871156489</v>
      </c>
      <c r="N1318">
        <v>50.344734964381502</v>
      </c>
      <c r="O1318">
        <v>45.554519549475998</v>
      </c>
      <c r="P1318">
        <v>-4.2697861358563599E-2</v>
      </c>
      <c r="Q1318">
        <v>0.227672387383481</v>
      </c>
      <c r="R1318">
        <v>0.83382785447077001</v>
      </c>
      <c r="S1318" t="s">
        <v>7988</v>
      </c>
      <c r="T1318" t="s">
        <v>13338</v>
      </c>
      <c r="U1318" t="s">
        <v>13338</v>
      </c>
      <c r="V1318" t="s">
        <v>13338</v>
      </c>
      <c r="W1318" t="s">
        <v>14625</v>
      </c>
      <c r="X1318">
        <v>2</v>
      </c>
      <c r="Y1318" t="s">
        <v>21224</v>
      </c>
      <c r="Z1318" t="s">
        <v>27733</v>
      </c>
      <c r="AA1318">
        <v>0.45856671362061141</v>
      </c>
      <c r="AB1318" t="str">
        <f>HYPERLINK("Melting_Curves/meltCurve_O14893_2_GEMIN2.pdf", "Melting_Curves/meltCurve_O14893_2_GEMIN2.pdf")</f>
        <v>Melting_Curves/meltCurve_O14893_2_GEMIN2.pdf</v>
      </c>
    </row>
    <row r="1319" spans="1:28" x14ac:dyDescent="0.25">
      <c r="A1319" t="s">
        <v>1323</v>
      </c>
      <c r="B1319">
        <v>0.99193492352474899</v>
      </c>
      <c r="C1319">
        <v>0.48789444374063101</v>
      </c>
      <c r="D1319">
        <v>0.41336939842347198</v>
      </c>
      <c r="E1319">
        <v>0.10154124366485</v>
      </c>
      <c r="F1319">
        <v>9.7612135711208206E-2</v>
      </c>
      <c r="G1319">
        <v>4.7082376510106098E-2</v>
      </c>
      <c r="H1319">
        <v>4.4934191445037602E-2</v>
      </c>
      <c r="I1319">
        <v>4.1583012309045903E-2</v>
      </c>
      <c r="J1319">
        <v>7.8549181358449099E-2</v>
      </c>
      <c r="K1319">
        <v>7.5886449223064006E-2</v>
      </c>
      <c r="L1319">
        <v>880.57925320761001</v>
      </c>
      <c r="M1319">
        <v>20.148138482952302</v>
      </c>
      <c r="N1319">
        <v>43.976783879739699</v>
      </c>
      <c r="O1319">
        <v>43.281533226652499</v>
      </c>
      <c r="P1319">
        <v>-0.109574511817427</v>
      </c>
      <c r="Q1319">
        <v>5.8493081950025803E-2</v>
      </c>
      <c r="R1319">
        <v>0.94866229668137103</v>
      </c>
      <c r="S1319" t="s">
        <v>7989</v>
      </c>
      <c r="T1319" t="s">
        <v>13338</v>
      </c>
      <c r="U1319" t="s">
        <v>13338</v>
      </c>
      <c r="V1319" t="s">
        <v>13338</v>
      </c>
      <c r="W1319" t="s">
        <v>14626</v>
      </c>
      <c r="X1319">
        <v>1</v>
      </c>
      <c r="Y1319" t="s">
        <v>21225</v>
      </c>
      <c r="Z1319" t="s">
        <v>27734</v>
      </c>
      <c r="AA1319">
        <v>0.19371610480463569</v>
      </c>
      <c r="AB1319" t="str">
        <f>HYPERLINK("Melting_Curves/meltCurve_O14907_TAX1BP3.pdf", "Melting_Curves/meltCurve_O14907_TAX1BP3.pdf")</f>
        <v>Melting_Curves/meltCurve_O14907_TAX1BP3.pdf</v>
      </c>
    </row>
    <row r="1320" spans="1:28" x14ac:dyDescent="0.25">
      <c r="A1320" t="s">
        <v>1324</v>
      </c>
      <c r="B1320">
        <v>0.99193492352474899</v>
      </c>
      <c r="C1320">
        <v>0.79679624887247402</v>
      </c>
      <c r="D1320">
        <v>0.69313122634428204</v>
      </c>
      <c r="E1320">
        <v>0.29661750245650897</v>
      </c>
      <c r="F1320">
        <v>0.17848180103651401</v>
      </c>
      <c r="G1320">
        <v>9.0468363235275406E-2</v>
      </c>
      <c r="H1320">
        <v>5.4165030559521397E-2</v>
      </c>
      <c r="I1320">
        <v>7.1504082722683104E-2</v>
      </c>
      <c r="J1320">
        <v>8.4049604464595695E-2</v>
      </c>
      <c r="K1320">
        <v>0.11010351078213799</v>
      </c>
      <c r="L1320">
        <v>878.79436052083304</v>
      </c>
      <c r="M1320">
        <v>18.6727890530899</v>
      </c>
      <c r="N1320">
        <v>47.4469178768829</v>
      </c>
      <c r="O1320">
        <v>46.533026448536397</v>
      </c>
      <c r="P1320">
        <v>-9.3287004316223901E-2</v>
      </c>
      <c r="Q1320">
        <v>7.0146122850782797E-2</v>
      </c>
      <c r="R1320">
        <v>0.98815377064509102</v>
      </c>
      <c r="S1320" t="s">
        <v>7990</v>
      </c>
      <c r="T1320" t="s">
        <v>13338</v>
      </c>
      <c r="U1320" t="s">
        <v>13338</v>
      </c>
      <c r="V1320" t="s">
        <v>13338</v>
      </c>
      <c r="W1320" t="s">
        <v>14627</v>
      </c>
      <c r="X1320">
        <v>7</v>
      </c>
      <c r="Y1320" t="s">
        <v>21226</v>
      </c>
      <c r="Z1320" t="s">
        <v>27735</v>
      </c>
      <c r="AA1320">
        <v>0.3048485928494753</v>
      </c>
      <c r="AB1320" t="str">
        <f>HYPERLINK("Melting_Curves/meltCurve_O14908_GIPC1.pdf", "Melting_Curves/meltCurve_O14908_GIPC1.pdf")</f>
        <v>Melting_Curves/meltCurve_O14908_GIPC1.pdf</v>
      </c>
    </row>
    <row r="1321" spans="1:28" x14ac:dyDescent="0.25">
      <c r="A1321" t="s">
        <v>1325</v>
      </c>
      <c r="B1321">
        <v>0.99193492352474899</v>
      </c>
      <c r="C1321">
        <v>1.1430684136239999</v>
      </c>
      <c r="D1321">
        <v>0.77327503593396796</v>
      </c>
      <c r="E1321">
        <v>0.40617746719074999</v>
      </c>
      <c r="F1321">
        <v>0.28384722206101798</v>
      </c>
      <c r="G1321">
        <v>0.23721071534364699</v>
      </c>
      <c r="H1321">
        <v>0.18503441093115799</v>
      </c>
      <c r="I1321">
        <v>0.273345636134671</v>
      </c>
      <c r="J1321">
        <v>0.22221554061111301</v>
      </c>
      <c r="K1321">
        <v>0.28928034523781498</v>
      </c>
      <c r="L1321">
        <v>1646.7729495620399</v>
      </c>
      <c r="M1321">
        <v>34.694348109802597</v>
      </c>
      <c r="N1321">
        <v>48.415291426019003</v>
      </c>
      <c r="O1321">
        <v>47.3083044138004</v>
      </c>
      <c r="P1321">
        <v>-0.13807407633980301</v>
      </c>
      <c r="Q1321">
        <v>0.24690601711195401</v>
      </c>
      <c r="R1321">
        <v>0.96831296733913796</v>
      </c>
      <c r="S1321" t="s">
        <v>7991</v>
      </c>
      <c r="T1321" t="s">
        <v>13338</v>
      </c>
      <c r="U1321" t="s">
        <v>13338</v>
      </c>
      <c r="V1321" t="s">
        <v>13338</v>
      </c>
      <c r="W1321" t="s">
        <v>14628</v>
      </c>
      <c r="X1321">
        <v>5</v>
      </c>
      <c r="Y1321" t="s">
        <v>21227</v>
      </c>
      <c r="Z1321" t="s">
        <v>27736</v>
      </c>
      <c r="AA1321">
        <v>0.43763474591008211</v>
      </c>
      <c r="AB1321" t="str">
        <f>HYPERLINK("Melting_Curves/meltCurve_O14920_IKBKB.pdf", "Melting_Curves/meltCurve_O14920_IKBKB.pdf")</f>
        <v>Melting_Curves/meltCurve_O14920_IKBKB.pdf</v>
      </c>
    </row>
    <row r="1322" spans="1:28" x14ac:dyDescent="0.25">
      <c r="A1322" t="s">
        <v>1326</v>
      </c>
      <c r="B1322">
        <v>0.99193492352474899</v>
      </c>
      <c r="C1322">
        <v>1.89146632376108</v>
      </c>
      <c r="D1322">
        <v>1.0792465527892099</v>
      </c>
      <c r="E1322">
        <v>1.1052816954762099</v>
      </c>
      <c r="F1322">
        <v>0.77163726384415798</v>
      </c>
      <c r="G1322">
        <v>0.69928131051481401</v>
      </c>
      <c r="H1322">
        <v>0.50738833111721005</v>
      </c>
      <c r="I1322">
        <v>0.35962396801895302</v>
      </c>
      <c r="J1322">
        <v>0.30577328043472002</v>
      </c>
      <c r="K1322">
        <v>0.13423434469818499</v>
      </c>
      <c r="L1322">
        <v>936.03558944482097</v>
      </c>
      <c r="M1322">
        <v>15.7111932185316</v>
      </c>
      <c r="N1322">
        <v>60.6373915655602</v>
      </c>
      <c r="O1322">
        <v>58.637475447786599</v>
      </c>
      <c r="P1322">
        <v>-5.8947482731997097E-2</v>
      </c>
      <c r="Q1322">
        <v>0.120056541178282</v>
      </c>
      <c r="R1322">
        <v>0.64348653532864697</v>
      </c>
      <c r="S1322" t="s">
        <v>7992</v>
      </c>
      <c r="T1322" t="s">
        <v>13338</v>
      </c>
      <c r="U1322" t="s">
        <v>13338</v>
      </c>
      <c r="V1322" t="s">
        <v>13338</v>
      </c>
      <c r="W1322" t="s">
        <v>14629</v>
      </c>
      <c r="X1322">
        <v>4</v>
      </c>
      <c r="Y1322" t="s">
        <v>21228</v>
      </c>
      <c r="Z1322" t="s">
        <v>27737</v>
      </c>
      <c r="AA1322">
        <v>0.70209226707764427</v>
      </c>
      <c r="AB1322" t="str">
        <f>HYPERLINK("Melting_Curves/meltCurve_O14925_TIMM23.pdf", "Melting_Curves/meltCurve_O14925_TIMM23.pdf")</f>
        <v>Melting_Curves/meltCurve_O14925_TIMM23.pdf</v>
      </c>
    </row>
    <row r="1323" spans="1:28" x14ac:dyDescent="0.25">
      <c r="A1323" t="s">
        <v>1327</v>
      </c>
      <c r="B1323">
        <v>0.99193492352474899</v>
      </c>
      <c r="C1323">
        <v>1.08857745473337</v>
      </c>
      <c r="D1323">
        <v>0.90094186396606402</v>
      </c>
      <c r="E1323">
        <v>0.87814987572635494</v>
      </c>
      <c r="F1323">
        <v>0.25116452421152302</v>
      </c>
      <c r="G1323">
        <v>0.14142156019216101</v>
      </c>
      <c r="H1323">
        <v>0.11030862661334501</v>
      </c>
      <c r="I1323">
        <v>0.123760695240824</v>
      </c>
      <c r="J1323">
        <v>0.104823910501472</v>
      </c>
      <c r="K1323">
        <v>0.114390094737639</v>
      </c>
      <c r="L1323">
        <v>2530.3008032957</v>
      </c>
      <c r="M1323">
        <v>49.238385789314798</v>
      </c>
      <c r="N1323">
        <v>51.6672867104351</v>
      </c>
      <c r="O1323">
        <v>51.304238830544101</v>
      </c>
      <c r="P1323">
        <v>-0.21196991930482201</v>
      </c>
      <c r="Q1323">
        <v>0.11654747786686601</v>
      </c>
      <c r="R1323">
        <v>0.98937081533204796</v>
      </c>
      <c r="S1323" t="s">
        <v>7993</v>
      </c>
      <c r="T1323" t="s">
        <v>13338</v>
      </c>
      <c r="U1323" t="s">
        <v>13338</v>
      </c>
      <c r="V1323" t="s">
        <v>13338</v>
      </c>
      <c r="W1323" t="s">
        <v>14630</v>
      </c>
      <c r="X1323">
        <v>17</v>
      </c>
      <c r="Y1323" t="s">
        <v>21229</v>
      </c>
      <c r="Z1323" t="s">
        <v>27738</v>
      </c>
      <c r="AA1323">
        <v>0.45399444023854341</v>
      </c>
      <c r="AB1323" t="str">
        <f>HYPERLINK("Melting_Curves/meltCurve_O14929_HAT1.pdf", "Melting_Curves/meltCurve_O14929_HAT1.pdf")</f>
        <v>Melting_Curves/meltCurve_O14929_HAT1.pdf</v>
      </c>
    </row>
    <row r="1324" spans="1:28" x14ac:dyDescent="0.25">
      <c r="A1324" t="s">
        <v>1328</v>
      </c>
      <c r="B1324">
        <v>0.99193492352474899</v>
      </c>
      <c r="C1324">
        <v>0.83624932152700704</v>
      </c>
      <c r="D1324">
        <v>0.737097553857743</v>
      </c>
      <c r="E1324">
        <v>0.34225949616557999</v>
      </c>
      <c r="F1324">
        <v>0.142013174960822</v>
      </c>
      <c r="G1324">
        <v>8.8835679180584201E-2</v>
      </c>
      <c r="H1324">
        <v>5.1566417631866E-2</v>
      </c>
      <c r="I1324">
        <v>7.4782529874451095E-2</v>
      </c>
      <c r="J1324">
        <v>9.2079658487432103E-2</v>
      </c>
      <c r="K1324">
        <v>8.11467535291059E-2</v>
      </c>
      <c r="L1324">
        <v>975.73610388678003</v>
      </c>
      <c r="M1324">
        <v>20.499067525597599</v>
      </c>
      <c r="N1324">
        <v>47.921965021719501</v>
      </c>
      <c r="O1324">
        <v>47.153026133536798</v>
      </c>
      <c r="P1324">
        <v>-0.101675720227766</v>
      </c>
      <c r="Q1324">
        <v>6.4508689693028406E-2</v>
      </c>
      <c r="R1324">
        <v>0.99210064290363498</v>
      </c>
      <c r="S1324" t="s">
        <v>7994</v>
      </c>
      <c r="T1324" t="s">
        <v>13338</v>
      </c>
      <c r="U1324" t="s">
        <v>13338</v>
      </c>
      <c r="V1324" t="s">
        <v>13338</v>
      </c>
      <c r="W1324" t="s">
        <v>14631</v>
      </c>
      <c r="X1324">
        <v>9</v>
      </c>
      <c r="Y1324" t="s">
        <v>21230</v>
      </c>
      <c r="Z1324" t="s">
        <v>27739</v>
      </c>
      <c r="AA1324">
        <v>0.314197326160922</v>
      </c>
      <c r="AB1324" t="str">
        <f>HYPERLINK("Melting_Curves/meltCurve_O14933_UBE2L6.pdf", "Melting_Curves/meltCurve_O14933_UBE2L6.pdf")</f>
        <v>Melting_Curves/meltCurve_O14933_UBE2L6.pdf</v>
      </c>
    </row>
    <row r="1325" spans="1:28" x14ac:dyDescent="0.25">
      <c r="A1325" t="s">
        <v>1329</v>
      </c>
      <c r="B1325">
        <v>0.99193492352474899</v>
      </c>
      <c r="C1325">
        <v>1.0729546493397299</v>
      </c>
      <c r="D1325">
        <v>0.93879541267737099</v>
      </c>
      <c r="E1325">
        <v>0.87019220954415299</v>
      </c>
      <c r="F1325">
        <v>0.61626614068235397</v>
      </c>
      <c r="G1325">
        <v>0.43988173488677601</v>
      </c>
      <c r="H1325">
        <v>0.31184271662191099</v>
      </c>
      <c r="I1325">
        <v>0.25580903505067198</v>
      </c>
      <c r="J1325">
        <v>0.24117680522218399</v>
      </c>
      <c r="K1325">
        <v>0.18022749327871701</v>
      </c>
      <c r="L1325">
        <v>918.42647736132801</v>
      </c>
      <c r="M1325">
        <v>17.047042402221201</v>
      </c>
      <c r="N1325">
        <v>55.512660103219702</v>
      </c>
      <c r="O1325">
        <v>53.150994034714699</v>
      </c>
      <c r="P1325">
        <v>-6.4348352336315501E-2</v>
      </c>
      <c r="Q1325">
        <v>0.19752177954594299</v>
      </c>
      <c r="R1325">
        <v>0.99083144300019599</v>
      </c>
      <c r="S1325" t="s">
        <v>7995</v>
      </c>
      <c r="T1325" t="s">
        <v>13338</v>
      </c>
      <c r="U1325" t="s">
        <v>13338</v>
      </c>
      <c r="V1325" t="s">
        <v>13338</v>
      </c>
      <c r="W1325" t="s">
        <v>14632</v>
      </c>
      <c r="X1325">
        <v>5</v>
      </c>
      <c r="Y1325" t="s">
        <v>21231</v>
      </c>
      <c r="Z1325" t="s">
        <v>27740</v>
      </c>
      <c r="AA1325">
        <v>0.58264647621066012</v>
      </c>
      <c r="AB1325" t="str">
        <f>HYPERLINK("Melting_Curves/meltCurve_O14949_UQCRQ.pdf", "Melting_Curves/meltCurve_O14949_UQCRQ.pdf")</f>
        <v>Melting_Curves/meltCurve_O14949_UQCRQ.pdf</v>
      </c>
    </row>
    <row r="1326" spans="1:28" x14ac:dyDescent="0.25">
      <c r="A1326" t="s">
        <v>1330</v>
      </c>
      <c r="B1326">
        <v>0.99193492352474899</v>
      </c>
      <c r="C1326">
        <v>0.88680016043621601</v>
      </c>
      <c r="D1326">
        <v>0.80113161561637103</v>
      </c>
      <c r="E1326">
        <v>0.49487414333442398</v>
      </c>
      <c r="F1326">
        <v>0.15726493542550599</v>
      </c>
      <c r="G1326">
        <v>9.8985371791663002E-2</v>
      </c>
      <c r="H1326">
        <v>5.9566585532737998E-2</v>
      </c>
      <c r="I1326">
        <v>8.5816548453908306E-2</v>
      </c>
      <c r="J1326">
        <v>8.9952544043527705E-2</v>
      </c>
      <c r="K1326">
        <v>9.2267168494901394E-2</v>
      </c>
      <c r="L1326">
        <v>1041.921371942</v>
      </c>
      <c r="M1326">
        <v>21.3488020379727</v>
      </c>
      <c r="N1326">
        <v>49.140806838098896</v>
      </c>
      <c r="O1326">
        <v>48.382514553090502</v>
      </c>
      <c r="P1326">
        <v>-0.10282124602859501</v>
      </c>
      <c r="Q1326">
        <v>6.7933637431098898E-2</v>
      </c>
      <c r="R1326">
        <v>0.99242528724485302</v>
      </c>
      <c r="S1326" t="s">
        <v>7996</v>
      </c>
      <c r="T1326" t="s">
        <v>13338</v>
      </c>
      <c r="U1326" t="s">
        <v>13338</v>
      </c>
      <c r="V1326" t="s">
        <v>13338</v>
      </c>
      <c r="W1326" t="s">
        <v>14633</v>
      </c>
      <c r="X1326">
        <v>20</v>
      </c>
      <c r="Y1326" t="s">
        <v>21232</v>
      </c>
      <c r="Z1326" t="s">
        <v>27741</v>
      </c>
      <c r="AA1326">
        <v>0.35292377962295529</v>
      </c>
      <c r="AB1326" t="str">
        <f>HYPERLINK("Melting_Curves/meltCurve_O14964_HGS.pdf", "Melting_Curves/meltCurve_O14964_HGS.pdf")</f>
        <v>Melting_Curves/meltCurve_O14964_HGS.pdf</v>
      </c>
    </row>
    <row r="1327" spans="1:28" x14ac:dyDescent="0.25">
      <c r="A1327" t="s">
        <v>1331</v>
      </c>
      <c r="B1327">
        <v>0.99193492352474899</v>
      </c>
      <c r="C1327">
        <v>0.613390093407717</v>
      </c>
      <c r="D1327">
        <v>0.93555290910674904</v>
      </c>
      <c r="E1327">
        <v>0.63786221099917795</v>
      </c>
      <c r="F1327">
        <v>0.33922868414052398</v>
      </c>
      <c r="G1327">
        <v>0.11518790125887</v>
      </c>
      <c r="H1327">
        <v>4.6153781948197699E-2</v>
      </c>
      <c r="I1327">
        <v>6.4001651834091802E-2</v>
      </c>
      <c r="J1327">
        <v>7.6035854852204002E-2</v>
      </c>
      <c r="K1327">
        <v>8.1968453178050502E-2</v>
      </c>
      <c r="L1327">
        <v>705.08486651273802</v>
      </c>
      <c r="M1327">
        <v>13.9261959860413</v>
      </c>
      <c r="N1327">
        <v>50.711071392083397</v>
      </c>
      <c r="O1327">
        <v>49.620376691314497</v>
      </c>
      <c r="P1327">
        <v>-6.9401475344328001E-2</v>
      </c>
      <c r="Q1327">
        <v>1.09966742305812E-2</v>
      </c>
      <c r="R1327">
        <v>0.89691047354100895</v>
      </c>
      <c r="S1327" t="s">
        <v>7997</v>
      </c>
      <c r="T1327" t="s">
        <v>13338</v>
      </c>
      <c r="U1327" t="s">
        <v>13338</v>
      </c>
      <c r="V1327" t="s">
        <v>13338</v>
      </c>
      <c r="W1327" t="s">
        <v>14634</v>
      </c>
      <c r="X1327">
        <v>3</v>
      </c>
      <c r="Y1327" t="s">
        <v>21233</v>
      </c>
      <c r="Z1327" t="s">
        <v>27742</v>
      </c>
      <c r="AA1327">
        <v>0.38759757570895192</v>
      </c>
      <c r="AB1327" t="str">
        <f>HYPERLINK("Melting_Curves/meltCurve_O14965_AURKA.pdf", "Melting_Curves/meltCurve_O14965_AURKA.pdf")</f>
        <v>Melting_Curves/meltCurve_O14965_AURKA.pdf</v>
      </c>
    </row>
    <row r="1328" spans="1:28" x14ac:dyDescent="0.25">
      <c r="A1328" t="s">
        <v>1332</v>
      </c>
      <c r="B1328">
        <v>0.99193492352474899</v>
      </c>
      <c r="C1328">
        <v>0.85868104088392205</v>
      </c>
      <c r="D1328">
        <v>0.93372820623337704</v>
      </c>
      <c r="E1328">
        <v>0.79391697968720698</v>
      </c>
      <c r="F1328">
        <v>0.50967109980405301</v>
      </c>
      <c r="G1328">
        <v>0.22845659935982099</v>
      </c>
      <c r="H1328">
        <v>9.1986044086786997E-2</v>
      </c>
      <c r="I1328">
        <v>0.136951888342533</v>
      </c>
      <c r="J1328">
        <v>0.113185301343716</v>
      </c>
      <c r="K1328">
        <v>0.110328910191859</v>
      </c>
      <c r="L1328">
        <v>1069.82132352023</v>
      </c>
      <c r="M1328">
        <v>20.377115234804201</v>
      </c>
      <c r="N1328">
        <v>53.014498912565699</v>
      </c>
      <c r="O1328">
        <v>52.003332077518998</v>
      </c>
      <c r="P1328">
        <v>-8.9192024359734501E-2</v>
      </c>
      <c r="Q1328">
        <v>8.9538988865328004E-2</v>
      </c>
      <c r="R1328">
        <v>0.98288506590503399</v>
      </c>
      <c r="S1328" t="s">
        <v>7998</v>
      </c>
      <c r="T1328" t="s">
        <v>13338</v>
      </c>
      <c r="U1328" t="s">
        <v>13338</v>
      </c>
      <c r="V1328" t="s">
        <v>13338</v>
      </c>
      <c r="W1328" t="s">
        <v>14635</v>
      </c>
      <c r="X1328">
        <v>5</v>
      </c>
      <c r="Y1328" t="s">
        <v>21234</v>
      </c>
      <c r="Z1328" t="s">
        <v>27743</v>
      </c>
      <c r="AA1328">
        <v>0.48109334647583391</v>
      </c>
      <c r="AB1328" t="str">
        <f>HYPERLINK("Melting_Curves/meltCurve_O14966_RAB7L1.pdf", "Melting_Curves/meltCurve_O14966_RAB7L1.pdf")</f>
        <v>Melting_Curves/meltCurve_O14966_RAB7L1.pdf</v>
      </c>
    </row>
    <row r="1329" spans="1:28" x14ac:dyDescent="0.25">
      <c r="A1329" t="s">
        <v>1333</v>
      </c>
      <c r="B1329">
        <v>0.99193492352474899</v>
      </c>
      <c r="C1329">
        <v>1.2582668998009301</v>
      </c>
      <c r="D1329">
        <v>0.86616094575925195</v>
      </c>
      <c r="E1329">
        <v>0.79992881043347397</v>
      </c>
      <c r="F1329">
        <v>0.35900910739633202</v>
      </c>
      <c r="G1329">
        <v>0.28764658218511602</v>
      </c>
      <c r="H1329">
        <v>0.15317347977118401</v>
      </c>
      <c r="I1329">
        <v>0.16462210964882801</v>
      </c>
      <c r="J1329">
        <v>0.101342941041401</v>
      </c>
      <c r="K1329">
        <v>0.10881079346197001</v>
      </c>
      <c r="L1329">
        <v>1237.73359822567</v>
      </c>
      <c r="M1329">
        <v>23.9959105973623</v>
      </c>
      <c r="N1329">
        <v>52.246794193032898</v>
      </c>
      <c r="O1329">
        <v>51.22679279426</v>
      </c>
      <c r="P1329">
        <v>-0.10168213979176199</v>
      </c>
      <c r="Q1329">
        <v>0.13172413875363101</v>
      </c>
      <c r="R1329">
        <v>0.94540466092963005</v>
      </c>
      <c r="S1329" t="s">
        <v>7999</v>
      </c>
      <c r="T1329" t="s">
        <v>13338</v>
      </c>
      <c r="U1329" t="s">
        <v>13338</v>
      </c>
      <c r="V1329" t="s">
        <v>13338</v>
      </c>
      <c r="W1329" t="s">
        <v>14636</v>
      </c>
      <c r="X1329">
        <v>7</v>
      </c>
      <c r="Y1329" t="s">
        <v>21235</v>
      </c>
      <c r="Z1329" t="s">
        <v>27744</v>
      </c>
      <c r="AA1329">
        <v>0.47545272701885088</v>
      </c>
      <c r="AB1329" t="str">
        <f>HYPERLINK("Melting_Curves/meltCurve_O14967_CLGN.pdf", "Melting_Curves/meltCurve_O14967_CLGN.pdf")</f>
        <v>Melting_Curves/meltCurve_O14967_CLGN.pdf</v>
      </c>
    </row>
    <row r="1330" spans="1:28" x14ac:dyDescent="0.25">
      <c r="A1330" t="s">
        <v>1334</v>
      </c>
      <c r="B1330">
        <v>0.99193492352474899</v>
      </c>
      <c r="C1330">
        <v>0.77323286996829999</v>
      </c>
      <c r="D1330">
        <v>0.76558450528772504</v>
      </c>
      <c r="E1330">
        <v>0.38485012687186698</v>
      </c>
      <c r="F1330">
        <v>0.153777822125019</v>
      </c>
      <c r="G1330">
        <v>9.2472347029172994E-2</v>
      </c>
      <c r="H1330">
        <v>6.7176831764610506E-2</v>
      </c>
      <c r="I1330">
        <v>0.112063788922557</v>
      </c>
      <c r="J1330">
        <v>0.13283015151508901</v>
      </c>
      <c r="K1330">
        <v>0.19318283678179701</v>
      </c>
      <c r="L1330">
        <v>936.69279201972904</v>
      </c>
      <c r="M1330">
        <v>19.7196355830641</v>
      </c>
      <c r="N1330">
        <v>48.069724067996198</v>
      </c>
      <c r="O1330">
        <v>47.020097534309897</v>
      </c>
      <c r="P1330">
        <v>-9.3933019733371995E-2</v>
      </c>
      <c r="Q1330">
        <v>0.104123454555307</v>
      </c>
      <c r="R1330">
        <v>0.96487490476271898</v>
      </c>
      <c r="S1330" t="s">
        <v>8000</v>
      </c>
      <c r="T1330" t="s">
        <v>13338</v>
      </c>
      <c r="U1330" t="s">
        <v>13338</v>
      </c>
      <c r="V1330" t="s">
        <v>13338</v>
      </c>
      <c r="W1330" t="s">
        <v>14637</v>
      </c>
      <c r="X1330">
        <v>30</v>
      </c>
      <c r="Y1330" t="s">
        <v>21236</v>
      </c>
      <c r="Z1330" t="s">
        <v>27745</v>
      </c>
      <c r="AA1330">
        <v>0.34139805766513409</v>
      </c>
      <c r="AB1330" t="str">
        <f>HYPERLINK("Melting_Curves/meltCurve_O14974_4_PPP1R12A.pdf", "Melting_Curves/meltCurve_O14974_4_PPP1R12A.pdf")</f>
        <v>Melting_Curves/meltCurve_O14974_4_PPP1R12A.pdf</v>
      </c>
    </row>
    <row r="1331" spans="1:28" x14ac:dyDescent="0.25">
      <c r="A1331" t="s">
        <v>1335</v>
      </c>
      <c r="B1331">
        <v>0.99193492352474899</v>
      </c>
      <c r="C1331">
        <v>0.86138501803017098</v>
      </c>
      <c r="D1331">
        <v>0.693706564647528</v>
      </c>
      <c r="E1331">
        <v>0.27770942028709</v>
      </c>
      <c r="F1331">
        <v>0.17269951924393501</v>
      </c>
      <c r="G1331">
        <v>0.110692219289152</v>
      </c>
      <c r="H1331">
        <v>7.723410796164E-2</v>
      </c>
      <c r="I1331">
        <v>9.4288258213836199E-2</v>
      </c>
      <c r="J1331">
        <v>0.104418144548638</v>
      </c>
      <c r="K1331">
        <v>0.14100555826060299</v>
      </c>
      <c r="L1331">
        <v>1082.36757744801</v>
      </c>
      <c r="M1331">
        <v>23.0435611955489</v>
      </c>
      <c r="N1331">
        <v>47.434997413066803</v>
      </c>
      <c r="O1331">
        <v>46.621056226224702</v>
      </c>
      <c r="P1331">
        <v>-0.111089953160418</v>
      </c>
      <c r="Q1331">
        <v>0.101000996227279</v>
      </c>
      <c r="R1331">
        <v>0.99366244986016805</v>
      </c>
      <c r="S1331" t="s">
        <v>8001</v>
      </c>
      <c r="T1331" t="s">
        <v>13338</v>
      </c>
      <c r="U1331" t="s">
        <v>13338</v>
      </c>
      <c r="V1331" t="s">
        <v>13338</v>
      </c>
      <c r="W1331" t="s">
        <v>14638</v>
      </c>
      <c r="X1331">
        <v>5</v>
      </c>
      <c r="Y1331" t="s">
        <v>21237</v>
      </c>
      <c r="Z1331" t="s">
        <v>27746</v>
      </c>
      <c r="AA1331">
        <v>0.31950396599763331</v>
      </c>
      <c r="AB1331" t="str">
        <f>HYPERLINK("Melting_Curves/meltCurve_O14975_2_SLC27A2.pdf", "Melting_Curves/meltCurve_O14975_2_SLC27A2.pdf")</f>
        <v>Melting_Curves/meltCurve_O14975_2_SLC27A2.pdf</v>
      </c>
    </row>
    <row r="1332" spans="1:28" x14ac:dyDescent="0.25">
      <c r="A1332" t="s">
        <v>1336</v>
      </c>
      <c r="B1332">
        <v>0.99193492352474899</v>
      </c>
      <c r="C1332">
        <v>0.93144182391019603</v>
      </c>
      <c r="D1332">
        <v>0.718793943847165</v>
      </c>
      <c r="E1332">
        <v>0.25937693350355101</v>
      </c>
      <c r="F1332">
        <v>0.19095908685255</v>
      </c>
      <c r="G1332">
        <v>9.1576951615847196E-2</v>
      </c>
      <c r="H1332">
        <v>5.75073981714204E-2</v>
      </c>
      <c r="I1332">
        <v>7.2480232376708198E-2</v>
      </c>
      <c r="J1332">
        <v>8.4629500367158494E-2</v>
      </c>
      <c r="K1332">
        <v>9.0859678509782896E-2</v>
      </c>
      <c r="L1332">
        <v>1242.9101753222301</v>
      </c>
      <c r="M1332">
        <v>26.285100170865501</v>
      </c>
      <c r="N1332">
        <v>47.617901075607797</v>
      </c>
      <c r="O1332">
        <v>47.014601885095303</v>
      </c>
      <c r="P1332">
        <v>-0.128064495813935</v>
      </c>
      <c r="Q1332">
        <v>8.3764949592929794E-2</v>
      </c>
      <c r="R1332">
        <v>0.99527230044869197</v>
      </c>
      <c r="S1332" t="s">
        <v>8002</v>
      </c>
      <c r="T1332" t="s">
        <v>13338</v>
      </c>
      <c r="U1332" t="s">
        <v>13338</v>
      </c>
      <c r="V1332" t="s">
        <v>13338</v>
      </c>
      <c r="W1332" t="s">
        <v>14639</v>
      </c>
      <c r="X1332">
        <v>19</v>
      </c>
      <c r="Y1332" t="s">
        <v>21238</v>
      </c>
      <c r="Z1332" t="s">
        <v>27747</v>
      </c>
      <c r="AA1332">
        <v>0.3135805545797144</v>
      </c>
      <c r="AB1332" t="str">
        <f>HYPERLINK("Melting_Curves/meltCurve_O14976_GAK.pdf", "Melting_Curves/meltCurve_O14976_GAK.pdf")</f>
        <v>Melting_Curves/meltCurve_O14976_GAK.pdf</v>
      </c>
    </row>
    <row r="1333" spans="1:28" x14ac:dyDescent="0.25">
      <c r="A1333" t="s">
        <v>1337</v>
      </c>
      <c r="B1333">
        <v>0.99193492352474899</v>
      </c>
      <c r="C1333">
        <v>0.69047534406460198</v>
      </c>
      <c r="D1333">
        <v>0.76195289414226197</v>
      </c>
      <c r="E1333">
        <v>0.69163252969982303</v>
      </c>
      <c r="F1333">
        <v>0.58164738559686902</v>
      </c>
      <c r="G1333">
        <v>0.61849488142917597</v>
      </c>
      <c r="H1333">
        <v>0.66414372184194104</v>
      </c>
      <c r="I1333">
        <v>0.89451857142311697</v>
      </c>
      <c r="J1333">
        <v>0.97736189461950795</v>
      </c>
      <c r="K1333">
        <v>1.4363554145719</v>
      </c>
      <c r="L1333">
        <v>15000</v>
      </c>
      <c r="M1333">
        <v>216.20844734895101</v>
      </c>
      <c r="O1333">
        <v>69.371559119144294</v>
      </c>
      <c r="P1333">
        <v>0.38958410492088902</v>
      </c>
      <c r="Q1333">
        <v>1.5</v>
      </c>
      <c r="R1333">
        <v>-0.16035511423000501</v>
      </c>
      <c r="S1333" t="s">
        <v>8003</v>
      </c>
      <c r="T1333" t="s">
        <v>13338</v>
      </c>
      <c r="U1333" t="s">
        <v>13338</v>
      </c>
      <c r="V1333" t="s">
        <v>13338</v>
      </c>
      <c r="W1333" t="s">
        <v>14640</v>
      </c>
      <c r="X1333">
        <v>16</v>
      </c>
      <c r="Y1333" t="s">
        <v>21239</v>
      </c>
      <c r="Z1333" t="s">
        <v>27748</v>
      </c>
      <c r="AA1333">
        <v>1.0110439358922261</v>
      </c>
      <c r="AB1333" t="str">
        <f>HYPERLINK("Melting_Curves/meltCurve_O14979_HNRPDL.pdf", "Melting_Curves/meltCurve_O14979_HNRPDL.pdf")</f>
        <v>Melting_Curves/meltCurve_O14979_HNRPDL.pdf</v>
      </c>
    </row>
    <row r="1334" spans="1:28" x14ac:dyDescent="0.25">
      <c r="A1334" t="s">
        <v>1338</v>
      </c>
      <c r="B1334">
        <v>0.99193492352474899</v>
      </c>
      <c r="C1334">
        <v>0.90913294595764904</v>
      </c>
      <c r="D1334">
        <v>0.96841441172004505</v>
      </c>
      <c r="E1334">
        <v>0.32779293021313499</v>
      </c>
      <c r="F1334">
        <v>0.17223169898337401</v>
      </c>
      <c r="G1334">
        <v>0.10394950164427499</v>
      </c>
      <c r="H1334">
        <v>6.7288074184285201E-2</v>
      </c>
      <c r="I1334">
        <v>7.4953527700578906E-2</v>
      </c>
      <c r="J1334">
        <v>7.1654288709644701E-2</v>
      </c>
      <c r="K1334">
        <v>7.1847237150675702E-2</v>
      </c>
      <c r="L1334">
        <v>2405.4117496859499</v>
      </c>
      <c r="M1334">
        <v>49.482218011823598</v>
      </c>
      <c r="N1334">
        <v>48.808018399263197</v>
      </c>
      <c r="O1334">
        <v>48.532452897917402</v>
      </c>
      <c r="P1334">
        <v>-0.23188447651622701</v>
      </c>
      <c r="Q1334">
        <v>9.0266363212166204E-2</v>
      </c>
      <c r="R1334">
        <v>0.99000532567017996</v>
      </c>
      <c r="S1334" t="s">
        <v>8004</v>
      </c>
      <c r="T1334" t="s">
        <v>13338</v>
      </c>
      <c r="U1334" t="s">
        <v>13338</v>
      </c>
      <c r="V1334" t="s">
        <v>13338</v>
      </c>
      <c r="W1334" t="s">
        <v>14641</v>
      </c>
      <c r="X1334">
        <v>32</v>
      </c>
      <c r="Y1334" t="s">
        <v>21240</v>
      </c>
      <c r="Z1334" t="s">
        <v>27749</v>
      </c>
      <c r="AA1334">
        <v>0.35340208065832318</v>
      </c>
      <c r="AB1334" t="str">
        <f>HYPERLINK("Melting_Curves/meltCurve_O14980_XPO1.pdf", "Melting_Curves/meltCurve_O14980_XPO1.pdf")</f>
        <v>Melting_Curves/meltCurve_O14980_XPO1.pdf</v>
      </c>
    </row>
    <row r="1335" spans="1:28" x14ac:dyDescent="0.25">
      <c r="A1335" t="s">
        <v>1339</v>
      </c>
      <c r="B1335">
        <v>0.99193492352474899</v>
      </c>
      <c r="C1335">
        <v>0.85441813593636295</v>
      </c>
      <c r="D1335">
        <v>1.0033937688669801</v>
      </c>
      <c r="E1335">
        <v>0.38807862244652902</v>
      </c>
      <c r="F1335">
        <v>0.175968376865003</v>
      </c>
      <c r="G1335">
        <v>9.5169590259493106E-2</v>
      </c>
      <c r="H1335">
        <v>6.4910174850901406E-2</v>
      </c>
      <c r="I1335">
        <v>7.5171050848165305E-2</v>
      </c>
      <c r="J1335">
        <v>0.109333831370625</v>
      </c>
      <c r="K1335">
        <v>0.124742938663195</v>
      </c>
      <c r="L1335">
        <v>2788.9028246983798</v>
      </c>
      <c r="M1335">
        <v>56.971081869387802</v>
      </c>
      <c r="N1335">
        <v>49.156983869861499</v>
      </c>
      <c r="O1335">
        <v>48.892749765191198</v>
      </c>
      <c r="P1335">
        <v>-0.26063436111565302</v>
      </c>
      <c r="Q1335">
        <v>0.105291761898124</v>
      </c>
      <c r="R1335">
        <v>0.98009697820636199</v>
      </c>
      <c r="S1335" t="s">
        <v>8005</v>
      </c>
      <c r="T1335" t="s">
        <v>13338</v>
      </c>
      <c r="U1335" t="s">
        <v>13338</v>
      </c>
      <c r="V1335" t="s">
        <v>13338</v>
      </c>
      <c r="W1335" t="s">
        <v>14642</v>
      </c>
      <c r="X1335">
        <v>11</v>
      </c>
      <c r="Y1335" t="s">
        <v>21241</v>
      </c>
      <c r="Z1335" t="s">
        <v>27750</v>
      </c>
      <c r="AA1335">
        <v>0.37378741782418012</v>
      </c>
      <c r="AB1335" t="str">
        <f>HYPERLINK("Melting_Curves/meltCurve_O14981_BTAF1.pdf", "Melting_Curves/meltCurve_O14981_BTAF1.pdf")</f>
        <v>Melting_Curves/meltCurve_O14981_BTAF1.pdf</v>
      </c>
    </row>
    <row r="1336" spans="1:28" x14ac:dyDescent="0.25">
      <c r="A1336" t="s">
        <v>1340</v>
      </c>
      <c r="B1336">
        <v>0.99193492352474899</v>
      </c>
      <c r="C1336">
        <v>0.55007072441734495</v>
      </c>
      <c r="D1336">
        <v>0.67224290019867206</v>
      </c>
      <c r="E1336">
        <v>0.38485884419310401</v>
      </c>
      <c r="F1336">
        <v>0.34701781847044699</v>
      </c>
      <c r="G1336">
        <v>0.19831578423514201</v>
      </c>
      <c r="H1336">
        <v>0.19479429888661101</v>
      </c>
      <c r="I1336">
        <v>0.30753839163015001</v>
      </c>
      <c r="J1336">
        <v>0.39658431563539498</v>
      </c>
      <c r="K1336">
        <v>0.43369523704841201</v>
      </c>
      <c r="L1336">
        <v>726.457376056214</v>
      </c>
      <c r="M1336">
        <v>16.546938296005401</v>
      </c>
      <c r="N1336">
        <v>46.601391347534502</v>
      </c>
      <c r="O1336">
        <v>43.276636297528697</v>
      </c>
      <c r="P1336">
        <v>-6.6131862133632494E-2</v>
      </c>
      <c r="Q1336">
        <v>0.30820607253509102</v>
      </c>
      <c r="R1336">
        <v>0.78070803657955301</v>
      </c>
      <c r="S1336" t="s">
        <v>8006</v>
      </c>
      <c r="T1336" t="s">
        <v>13338</v>
      </c>
      <c r="U1336" t="s">
        <v>13338</v>
      </c>
      <c r="V1336" t="s">
        <v>13338</v>
      </c>
      <c r="W1336" t="s">
        <v>14643</v>
      </c>
      <c r="X1336">
        <v>5</v>
      </c>
      <c r="Y1336" t="s">
        <v>21242</v>
      </c>
      <c r="Z1336" t="s">
        <v>27751</v>
      </c>
      <c r="AA1336">
        <v>0.41895769386696158</v>
      </c>
      <c r="AB1336" t="str">
        <f>HYPERLINK("Melting_Curves/meltCurve_O15014_ZNF609.pdf", "Melting_Curves/meltCurve_O15014_ZNF609.pdf")</f>
        <v>Melting_Curves/meltCurve_O15014_ZNF609.pdf</v>
      </c>
    </row>
    <row r="1337" spans="1:28" x14ac:dyDescent="0.25">
      <c r="A1337" t="s">
        <v>1341</v>
      </c>
      <c r="B1337">
        <v>0.99193492352474899</v>
      </c>
      <c r="C1337">
        <v>0.80526024820034003</v>
      </c>
      <c r="D1337">
        <v>0.96439999539656995</v>
      </c>
      <c r="E1337">
        <v>0.55793187632002395</v>
      </c>
      <c r="F1337">
        <v>0.40481281069112202</v>
      </c>
      <c r="G1337">
        <v>0.27327582378133702</v>
      </c>
      <c r="H1337">
        <v>0.199602256149715</v>
      </c>
      <c r="I1337">
        <v>0.38526423799077902</v>
      </c>
      <c r="J1337">
        <v>0.63318257796386501</v>
      </c>
      <c r="K1337">
        <v>0.58917634547031605</v>
      </c>
      <c r="L1337">
        <v>2362.75959995011</v>
      </c>
      <c r="M1337">
        <v>48.769443410621498</v>
      </c>
      <c r="N1337">
        <v>50.251535116450803</v>
      </c>
      <c r="O1337">
        <v>48.366291301618297</v>
      </c>
      <c r="P1337">
        <v>-0.147927286450656</v>
      </c>
      <c r="Q1337">
        <v>0.413182763547779</v>
      </c>
      <c r="R1337">
        <v>0.72998779354661403</v>
      </c>
      <c r="S1337" t="s">
        <v>8007</v>
      </c>
      <c r="T1337" t="s">
        <v>13338</v>
      </c>
      <c r="U1337" t="s">
        <v>13338</v>
      </c>
      <c r="V1337" t="s">
        <v>13338</v>
      </c>
      <c r="W1337" t="s">
        <v>14644</v>
      </c>
      <c r="X1337">
        <v>4</v>
      </c>
      <c r="Y1337" t="s">
        <v>21243</v>
      </c>
      <c r="Z1337" t="s">
        <v>27752</v>
      </c>
      <c r="AA1337">
        <v>0.57974045044933009</v>
      </c>
      <c r="AB1337" t="str">
        <f>HYPERLINK("Melting_Curves/meltCurve_O15015_ZNF646.pdf", "Melting_Curves/meltCurve_O15015_ZNF646.pdf")</f>
        <v>Melting_Curves/meltCurve_O15015_ZNF646.pdf</v>
      </c>
    </row>
    <row r="1338" spans="1:28" x14ac:dyDescent="0.25">
      <c r="A1338" t="s">
        <v>1342</v>
      </c>
      <c r="B1338">
        <v>0.99193492352474899</v>
      </c>
      <c r="C1338">
        <v>0.80393044483360998</v>
      </c>
      <c r="D1338">
        <v>0.50292509871248803</v>
      </c>
      <c r="E1338">
        <v>0.26902393131063801</v>
      </c>
      <c r="F1338">
        <v>0.19579275760369499</v>
      </c>
      <c r="G1338">
        <v>0.12562673183810699</v>
      </c>
      <c r="H1338">
        <v>8.9979580723971303E-2</v>
      </c>
      <c r="I1338">
        <v>8.9010333631835803E-2</v>
      </c>
      <c r="J1338">
        <v>0.11164545722163</v>
      </c>
      <c r="K1338">
        <v>0.10358447264392499</v>
      </c>
      <c r="L1338">
        <v>899.96771873201806</v>
      </c>
      <c r="M1338">
        <v>19.694246118029302</v>
      </c>
      <c r="N1338">
        <v>46.248013775291199</v>
      </c>
      <c r="O1338">
        <v>45.233664154798802</v>
      </c>
      <c r="P1338">
        <v>-9.7467821055138307E-2</v>
      </c>
      <c r="Q1338">
        <v>0.10457624947897</v>
      </c>
      <c r="R1338">
        <v>0.99518393108442804</v>
      </c>
      <c r="S1338" t="s">
        <v>8008</v>
      </c>
      <c r="T1338" t="s">
        <v>13338</v>
      </c>
      <c r="U1338" t="s">
        <v>13338</v>
      </c>
      <c r="V1338" t="s">
        <v>13338</v>
      </c>
      <c r="W1338" t="s">
        <v>14645</v>
      </c>
      <c r="X1338">
        <v>28</v>
      </c>
      <c r="Y1338" t="s">
        <v>21244</v>
      </c>
      <c r="Z1338" t="s">
        <v>27753</v>
      </c>
      <c r="AA1338">
        <v>0.28929506089740481</v>
      </c>
      <c r="AB1338" t="str">
        <f>HYPERLINK("Melting_Curves/meltCurve_O15020_2_SPTBN2.pdf", "Melting_Curves/meltCurve_O15020_2_SPTBN2.pdf")</f>
        <v>Melting_Curves/meltCurve_O15020_2_SPTBN2.pdf</v>
      </c>
    </row>
    <row r="1339" spans="1:28" x14ac:dyDescent="0.25">
      <c r="A1339" t="s">
        <v>1343</v>
      </c>
      <c r="B1339">
        <v>0.99193492352474899</v>
      </c>
      <c r="C1339">
        <v>0.85528300403137303</v>
      </c>
      <c r="D1339">
        <v>0.88726770067114402</v>
      </c>
      <c r="E1339">
        <v>0.63878841287063803</v>
      </c>
      <c r="F1339">
        <v>0.52449392081887403</v>
      </c>
      <c r="G1339">
        <v>0.213030047967112</v>
      </c>
      <c r="H1339">
        <v>0.11108094843053699</v>
      </c>
      <c r="I1339">
        <v>0.14157604523938599</v>
      </c>
      <c r="J1339">
        <v>0.139762888384379</v>
      </c>
      <c r="K1339">
        <v>0.123334623658757</v>
      </c>
      <c r="L1339">
        <v>727.64588859034598</v>
      </c>
      <c r="M1339">
        <v>14.1162350290496</v>
      </c>
      <c r="N1339">
        <v>52.1635016507391</v>
      </c>
      <c r="O1339">
        <v>50.545354006100403</v>
      </c>
      <c r="P1339">
        <v>-6.4461570354987605E-2</v>
      </c>
      <c r="Q1339">
        <v>7.6859948712451998E-2</v>
      </c>
      <c r="R1339">
        <v>0.97685191544565397</v>
      </c>
      <c r="S1339" t="s">
        <v>8009</v>
      </c>
      <c r="T1339" t="s">
        <v>13338</v>
      </c>
      <c r="U1339" t="s">
        <v>13338</v>
      </c>
      <c r="V1339" t="s">
        <v>13338</v>
      </c>
      <c r="W1339" t="s">
        <v>14646</v>
      </c>
      <c r="X1339">
        <v>6</v>
      </c>
      <c r="Y1339" t="s">
        <v>21245</v>
      </c>
      <c r="Z1339" t="s">
        <v>27754</v>
      </c>
      <c r="AA1339">
        <v>0.4552022098654237</v>
      </c>
      <c r="AB1339" t="str">
        <f>HYPERLINK("Melting_Curves/meltCurve_O15040_TECPR2.pdf", "Melting_Curves/meltCurve_O15040_TECPR2.pdf")</f>
        <v>Melting_Curves/meltCurve_O15040_TECPR2.pdf</v>
      </c>
    </row>
    <row r="1340" spans="1:28" x14ac:dyDescent="0.25">
      <c r="A1340" t="s">
        <v>1344</v>
      </c>
      <c r="B1340">
        <v>0.99193492352474899</v>
      </c>
      <c r="C1340">
        <v>0.98184154320131101</v>
      </c>
      <c r="D1340">
        <v>0.46230416986422102</v>
      </c>
      <c r="E1340">
        <v>0.251817666836476</v>
      </c>
      <c r="F1340">
        <v>0.159344405584779</v>
      </c>
      <c r="G1340">
        <v>0.121882963910767</v>
      </c>
      <c r="H1340">
        <v>6.7821755161041899E-2</v>
      </c>
      <c r="I1340">
        <v>7.0357058470866998E-2</v>
      </c>
      <c r="J1340">
        <v>8.8110691453708007E-2</v>
      </c>
      <c r="K1340">
        <v>8.4083059972004104E-2</v>
      </c>
      <c r="L1340">
        <v>1537.5944286322899</v>
      </c>
      <c r="M1340">
        <v>33.620390292665498</v>
      </c>
      <c r="N1340">
        <v>46.063290413017697</v>
      </c>
      <c r="O1340">
        <v>45.5730882708433</v>
      </c>
      <c r="P1340">
        <v>-0.16473035963632399</v>
      </c>
      <c r="Q1340">
        <v>0.10682292219490699</v>
      </c>
      <c r="R1340">
        <v>0.98341902342238696</v>
      </c>
      <c r="S1340" t="s">
        <v>8010</v>
      </c>
      <c r="T1340" t="s">
        <v>13338</v>
      </c>
      <c r="U1340" t="s">
        <v>13338</v>
      </c>
      <c r="V1340" t="s">
        <v>13338</v>
      </c>
      <c r="W1340" t="s">
        <v>14647</v>
      </c>
      <c r="X1340">
        <v>5</v>
      </c>
      <c r="Y1340" t="s">
        <v>21246</v>
      </c>
      <c r="Z1340" t="s">
        <v>27755</v>
      </c>
      <c r="AA1340">
        <v>0.28178735728382842</v>
      </c>
      <c r="AB1340" t="str">
        <f>HYPERLINK("Melting_Curves/meltCurve_O15047_SETD1A.pdf", "Melting_Curves/meltCurve_O15047_SETD1A.pdf")</f>
        <v>Melting_Curves/meltCurve_O15047_SETD1A.pdf</v>
      </c>
    </row>
    <row r="1341" spans="1:28" x14ac:dyDescent="0.25">
      <c r="A1341" t="s">
        <v>1345</v>
      </c>
      <c r="B1341">
        <v>0.99193492352474899</v>
      </c>
      <c r="C1341">
        <v>0.92997449436714796</v>
      </c>
      <c r="D1341">
        <v>0.750309051229471</v>
      </c>
      <c r="E1341">
        <v>0.34613951943684901</v>
      </c>
      <c r="F1341">
        <v>0.212514741443111</v>
      </c>
      <c r="G1341">
        <v>0.14373032186915899</v>
      </c>
      <c r="H1341">
        <v>0.124785585788148</v>
      </c>
      <c r="I1341">
        <v>0.16919638043106699</v>
      </c>
      <c r="J1341">
        <v>0.18811495189841901</v>
      </c>
      <c r="K1341">
        <v>0.23963551046443601</v>
      </c>
      <c r="L1341">
        <v>1320.6232065664301</v>
      </c>
      <c r="M1341">
        <v>27.923943665096601</v>
      </c>
      <c r="N1341">
        <v>48.0179594068276</v>
      </c>
      <c r="O1341">
        <v>47.053039342241803</v>
      </c>
      <c r="P1341">
        <v>-0.122863402418584</v>
      </c>
      <c r="Q1341">
        <v>0.171887129377403</v>
      </c>
      <c r="R1341">
        <v>0.99121881730577599</v>
      </c>
      <c r="S1341" t="s">
        <v>8011</v>
      </c>
      <c r="T1341" t="s">
        <v>13338</v>
      </c>
      <c r="U1341" t="s">
        <v>13338</v>
      </c>
      <c r="V1341" t="s">
        <v>13338</v>
      </c>
      <c r="W1341" t="s">
        <v>14648</v>
      </c>
      <c r="X1341">
        <v>9</v>
      </c>
      <c r="Y1341" t="s">
        <v>21247</v>
      </c>
      <c r="Z1341" t="s">
        <v>27756</v>
      </c>
      <c r="AA1341">
        <v>0.37900727776033061</v>
      </c>
      <c r="AB1341" t="str">
        <f>HYPERLINK("Melting_Curves/meltCurve_O15056_SYNJ2.pdf", "Melting_Curves/meltCurve_O15056_SYNJ2.pdf")</f>
        <v>Melting_Curves/meltCurve_O15056_SYNJ2.pdf</v>
      </c>
    </row>
    <row r="1342" spans="1:28" x14ac:dyDescent="0.25">
      <c r="A1342" t="s">
        <v>1346</v>
      </c>
      <c r="B1342">
        <v>0.99193492352474899</v>
      </c>
      <c r="C1342">
        <v>0.83063157616719696</v>
      </c>
      <c r="D1342">
        <v>1.0159818286270601</v>
      </c>
      <c r="E1342">
        <v>0.33619400944771899</v>
      </c>
      <c r="F1342">
        <v>0.14852992773717499</v>
      </c>
      <c r="G1342">
        <v>0.102927965543021</v>
      </c>
      <c r="H1342">
        <v>4.4851482964691498E-2</v>
      </c>
      <c r="I1342">
        <v>5.4804501648879303E-2</v>
      </c>
      <c r="J1342">
        <v>8.8383356532430901E-2</v>
      </c>
      <c r="K1342">
        <v>0.12784979093795301</v>
      </c>
      <c r="L1342">
        <v>4770.4421272604905</v>
      </c>
      <c r="M1342">
        <v>97.186773406576705</v>
      </c>
      <c r="N1342">
        <v>49.191261021957203</v>
      </c>
      <c r="O1342">
        <v>49.064529579232698</v>
      </c>
      <c r="P1342">
        <v>-0.44843173833820099</v>
      </c>
      <c r="Q1342">
        <v>9.4440934859623404E-2</v>
      </c>
      <c r="R1342">
        <v>0.97489047157657505</v>
      </c>
      <c r="S1342" t="s">
        <v>8012</v>
      </c>
      <c r="T1342" t="s">
        <v>13338</v>
      </c>
      <c r="U1342" t="s">
        <v>13338</v>
      </c>
      <c r="V1342" t="s">
        <v>13338</v>
      </c>
      <c r="W1342" t="s">
        <v>14649</v>
      </c>
      <c r="X1342">
        <v>4</v>
      </c>
      <c r="Y1342" t="s">
        <v>21248</v>
      </c>
      <c r="Z1342" t="s">
        <v>27757</v>
      </c>
      <c r="AA1342">
        <v>0.36920035284833269</v>
      </c>
      <c r="AB1342" t="str">
        <f>HYPERLINK("Melting_Curves/meltCurve_O15066_KIF3B.pdf", "Melting_Curves/meltCurve_O15066_KIF3B.pdf")</f>
        <v>Melting_Curves/meltCurve_O15066_KIF3B.pdf</v>
      </c>
    </row>
    <row r="1343" spans="1:28" x14ac:dyDescent="0.25">
      <c r="A1343" t="s">
        <v>1347</v>
      </c>
      <c r="B1343">
        <v>0.99193492352474899</v>
      </c>
      <c r="C1343">
        <v>0.98399002509579403</v>
      </c>
      <c r="D1343">
        <v>0.64866611546207897</v>
      </c>
      <c r="E1343">
        <v>0.47753176351732801</v>
      </c>
      <c r="F1343">
        <v>0.19178322753184801</v>
      </c>
      <c r="G1343">
        <v>0.113011862354918</v>
      </c>
      <c r="H1343">
        <v>6.7726991119811397E-2</v>
      </c>
      <c r="I1343">
        <v>7.3260271695960305E-2</v>
      </c>
      <c r="J1343">
        <v>7.2029501978716007E-2</v>
      </c>
      <c r="K1343">
        <v>0.11766936957400401</v>
      </c>
      <c r="L1343">
        <v>891.56574518431</v>
      </c>
      <c r="M1343">
        <v>18.4966194532985</v>
      </c>
      <c r="N1343">
        <v>48.609300401539997</v>
      </c>
      <c r="O1343">
        <v>47.648736725452203</v>
      </c>
      <c r="P1343">
        <v>-9.00772749586113E-2</v>
      </c>
      <c r="Q1343">
        <v>7.1856744977751394E-2</v>
      </c>
      <c r="R1343">
        <v>0.98593751027337995</v>
      </c>
      <c r="S1343" t="s">
        <v>8013</v>
      </c>
      <c r="T1343" t="s">
        <v>13338</v>
      </c>
      <c r="U1343" t="s">
        <v>13338</v>
      </c>
      <c r="V1343" t="s">
        <v>13338</v>
      </c>
      <c r="W1343" t="s">
        <v>14650</v>
      </c>
      <c r="X1343">
        <v>36</v>
      </c>
      <c r="Y1343" t="s">
        <v>21249</v>
      </c>
      <c r="Z1343" t="s">
        <v>27758</v>
      </c>
      <c r="AA1343">
        <v>0.34107024890333248</v>
      </c>
      <c r="AB1343" t="str">
        <f>HYPERLINK("Melting_Curves/meltCurve_O15067_PFAS.pdf", "Melting_Curves/meltCurve_O15067_PFAS.pdf")</f>
        <v>Melting_Curves/meltCurve_O15067_PFAS.pdf</v>
      </c>
    </row>
    <row r="1344" spans="1:28" x14ac:dyDescent="0.25">
      <c r="A1344" t="s">
        <v>1348</v>
      </c>
      <c r="B1344">
        <v>0.99193492352474899</v>
      </c>
      <c r="C1344">
        <v>1.30777231558647</v>
      </c>
      <c r="D1344">
        <v>1.26305901069462</v>
      </c>
      <c r="E1344">
        <v>0.98307326936012696</v>
      </c>
      <c r="F1344">
        <v>0.32992110795574398</v>
      </c>
      <c r="G1344">
        <v>0.12523359213910601</v>
      </c>
      <c r="H1344">
        <v>8.8513180680225206E-2</v>
      </c>
      <c r="I1344">
        <v>8.9884050397906895E-2</v>
      </c>
      <c r="J1344">
        <v>0.112608578816091</v>
      </c>
      <c r="K1344">
        <v>7.8593311719878295E-2</v>
      </c>
      <c r="L1344">
        <v>3572.2983707938001</v>
      </c>
      <c r="M1344">
        <v>68.203550374122102</v>
      </c>
      <c r="N1344">
        <v>52.544923624033302</v>
      </c>
      <c r="O1344">
        <v>52.332057324223001</v>
      </c>
      <c r="P1344">
        <v>-0.29391833063660899</v>
      </c>
      <c r="Q1344">
        <v>9.7915453630689903E-2</v>
      </c>
      <c r="R1344">
        <v>0.93468785000267196</v>
      </c>
      <c r="S1344" t="s">
        <v>8014</v>
      </c>
      <c r="T1344" t="s">
        <v>13338</v>
      </c>
      <c r="U1344" t="s">
        <v>13338</v>
      </c>
      <c r="V1344" t="s">
        <v>13338</v>
      </c>
      <c r="W1344" t="s">
        <v>14651</v>
      </c>
      <c r="X1344">
        <v>6</v>
      </c>
      <c r="Y1344" t="s">
        <v>21250</v>
      </c>
      <c r="Z1344" t="s">
        <v>27759</v>
      </c>
      <c r="AA1344">
        <v>0.47120310578036101</v>
      </c>
      <c r="AB1344" t="str">
        <f>HYPERLINK("Melting_Curves/meltCurve_O15084_ANKRD28.pdf", "Melting_Curves/meltCurve_O15084_ANKRD28.pdf")</f>
        <v>Melting_Curves/meltCurve_O15084_ANKRD28.pdf</v>
      </c>
    </row>
    <row r="1345" spans="1:28" x14ac:dyDescent="0.25">
      <c r="A1345" t="s">
        <v>1349</v>
      </c>
      <c r="B1345">
        <v>0.99193492352474899</v>
      </c>
      <c r="C1345">
        <v>0.35897368914739802</v>
      </c>
      <c r="D1345">
        <v>0.49916045452135099</v>
      </c>
      <c r="E1345">
        <v>0.16436188955674699</v>
      </c>
      <c r="F1345">
        <v>0.13750206464022399</v>
      </c>
      <c r="G1345">
        <v>8.88752708016666E-2</v>
      </c>
      <c r="H1345">
        <v>8.7081361679002198E-2</v>
      </c>
      <c r="I1345">
        <v>0.185404713067856</v>
      </c>
      <c r="J1345">
        <v>0.38166487252267101</v>
      </c>
      <c r="K1345">
        <v>0.52194330198663297</v>
      </c>
      <c r="L1345">
        <v>3275.3300785624801</v>
      </c>
      <c r="M1345">
        <v>78.152771278508098</v>
      </c>
      <c r="N1345">
        <v>42.301591598237799</v>
      </c>
      <c r="O1345">
        <v>41.881909052066398</v>
      </c>
      <c r="P1345">
        <v>-0.34625696067020501</v>
      </c>
      <c r="Q1345">
        <v>0.25776650270151202</v>
      </c>
      <c r="R1345">
        <v>0.67633921126796903</v>
      </c>
      <c r="S1345" t="s">
        <v>8015</v>
      </c>
      <c r="T1345" t="s">
        <v>13338</v>
      </c>
      <c r="U1345" t="s">
        <v>13338</v>
      </c>
      <c r="V1345" t="s">
        <v>13338</v>
      </c>
      <c r="W1345" t="s">
        <v>14652</v>
      </c>
      <c r="X1345">
        <v>1</v>
      </c>
      <c r="Y1345" t="s">
        <v>21251</v>
      </c>
      <c r="Z1345" t="s">
        <v>27760</v>
      </c>
      <c r="AA1345">
        <v>0.30584478764480222</v>
      </c>
      <c r="AB1345" t="str">
        <f>HYPERLINK("Melting_Curves/meltCurve_O15085_ARHGEF11.pdf", "Melting_Curves/meltCurve_O15085_ARHGEF11.pdf")</f>
        <v>Melting_Curves/meltCurve_O15085_ARHGEF11.pdf</v>
      </c>
    </row>
    <row r="1346" spans="1:28" x14ac:dyDescent="0.25">
      <c r="A1346" t="s">
        <v>1350</v>
      </c>
      <c r="B1346">
        <v>0.99193492352474899</v>
      </c>
      <c r="C1346">
        <v>0.639744092941679</v>
      </c>
      <c r="D1346">
        <v>0.647552935708399</v>
      </c>
      <c r="E1346">
        <v>0.48833919163648198</v>
      </c>
      <c r="F1346">
        <v>0.70417069920417996</v>
      </c>
      <c r="G1346">
        <v>1.0681889946601899</v>
      </c>
      <c r="H1346">
        <v>0.76140908807244001</v>
      </c>
      <c r="I1346">
        <v>1.9263274481616399</v>
      </c>
      <c r="J1346">
        <v>8.8174391938170296E-2</v>
      </c>
      <c r="K1346">
        <v>5.1030029071165499</v>
      </c>
      <c r="L1346">
        <v>15000</v>
      </c>
      <c r="M1346">
        <v>240.83206482612599</v>
      </c>
      <c r="O1346">
        <v>62.2797702266922</v>
      </c>
      <c r="P1346">
        <v>0.48336736130389202</v>
      </c>
      <c r="Q1346">
        <v>1.5</v>
      </c>
      <c r="R1346">
        <v>0.14948854610467599</v>
      </c>
      <c r="S1346" t="s">
        <v>8016</v>
      </c>
      <c r="T1346" t="s">
        <v>13338</v>
      </c>
      <c r="U1346" t="s">
        <v>13338</v>
      </c>
      <c r="V1346" t="s">
        <v>13338</v>
      </c>
      <c r="W1346" t="s">
        <v>14653</v>
      </c>
      <c r="X1346">
        <v>1</v>
      </c>
      <c r="Y1346" t="s">
        <v>21252</v>
      </c>
      <c r="Z1346" t="s">
        <v>27761</v>
      </c>
      <c r="AA1346">
        <v>1.12854002017448</v>
      </c>
      <c r="AB1346" t="str">
        <f>HYPERLINK("Melting_Curves/meltCurve_O15091_2_KIAA0391.pdf", "Melting_Curves/meltCurve_O15091_2_KIAA0391.pdf")</f>
        <v>Melting_Curves/meltCurve_O15091_2_KIAA0391.pdf</v>
      </c>
    </row>
    <row r="1347" spans="1:28" x14ac:dyDescent="0.25">
      <c r="A1347" t="s">
        <v>1351</v>
      </c>
      <c r="B1347">
        <v>0.99193492352474899</v>
      </c>
      <c r="C1347">
        <v>0.83146523058784805</v>
      </c>
      <c r="D1347">
        <v>0.62333692831541798</v>
      </c>
      <c r="E1347">
        <v>0.253505618609214</v>
      </c>
      <c r="F1347">
        <v>0.19773115693746099</v>
      </c>
      <c r="G1347">
        <v>0.142156509889487</v>
      </c>
      <c r="H1347">
        <v>9.5479091876325597E-2</v>
      </c>
      <c r="I1347">
        <v>0.122890126692615</v>
      </c>
      <c r="J1347">
        <v>0.13894966093039099</v>
      </c>
      <c r="K1347">
        <v>0.173054842375337</v>
      </c>
      <c r="L1347">
        <v>1030.9809159067299</v>
      </c>
      <c r="M1347">
        <v>22.302893457115701</v>
      </c>
      <c r="N1347">
        <v>46.866073994600299</v>
      </c>
      <c r="O1347">
        <v>45.859511719875499</v>
      </c>
      <c r="P1347">
        <v>-0.105629202006426</v>
      </c>
      <c r="Q1347">
        <v>0.131233673435938</v>
      </c>
      <c r="R1347">
        <v>0.99188442788221898</v>
      </c>
      <c r="S1347" t="s">
        <v>8017</v>
      </c>
      <c r="T1347" t="s">
        <v>13338</v>
      </c>
      <c r="U1347" t="s">
        <v>13338</v>
      </c>
      <c r="V1347" t="s">
        <v>13338</v>
      </c>
      <c r="W1347" t="s">
        <v>14654</v>
      </c>
      <c r="X1347">
        <v>8</v>
      </c>
      <c r="Y1347" t="s">
        <v>21253</v>
      </c>
      <c r="Z1347" t="s">
        <v>27762</v>
      </c>
      <c r="AA1347">
        <v>0.32185384401055561</v>
      </c>
      <c r="AB1347" t="str">
        <f>HYPERLINK("Melting_Curves/meltCurve_O15111_CHUK.pdf", "Melting_Curves/meltCurve_O15111_CHUK.pdf")</f>
        <v>Melting_Curves/meltCurve_O15111_CHUK.pdf</v>
      </c>
    </row>
    <row r="1348" spans="1:28" x14ac:dyDescent="0.25">
      <c r="A1348" t="s">
        <v>1352</v>
      </c>
      <c r="B1348">
        <v>0.99193492352474899</v>
      </c>
      <c r="C1348">
        <v>1.03578121642133</v>
      </c>
      <c r="D1348">
        <v>0.94141148618207304</v>
      </c>
      <c r="E1348">
        <v>1.04909417859903</v>
      </c>
      <c r="F1348">
        <v>0.85158722314764801</v>
      </c>
      <c r="G1348">
        <v>0.76851223965937498</v>
      </c>
      <c r="H1348">
        <v>0.63815962103384805</v>
      </c>
      <c r="I1348">
        <v>0.81422563837681405</v>
      </c>
      <c r="J1348">
        <v>0.79882292893533202</v>
      </c>
      <c r="K1348">
        <v>0.89904291528872904</v>
      </c>
      <c r="L1348">
        <v>13258.34835835</v>
      </c>
      <c r="M1348">
        <v>250</v>
      </c>
      <c r="O1348">
        <v>53.0299896011255</v>
      </c>
      <c r="P1348">
        <v>-0.25486438772418102</v>
      </c>
      <c r="Q1348">
        <v>0.78375266587118197</v>
      </c>
      <c r="R1348">
        <v>0.71695564979823101</v>
      </c>
      <c r="S1348" t="s">
        <v>8018</v>
      </c>
      <c r="T1348" t="s">
        <v>13338</v>
      </c>
      <c r="U1348" t="s">
        <v>13338</v>
      </c>
      <c r="V1348" t="s">
        <v>13338</v>
      </c>
      <c r="W1348" t="s">
        <v>14655</v>
      </c>
      <c r="X1348">
        <v>7</v>
      </c>
      <c r="Y1348" t="s">
        <v>21254</v>
      </c>
      <c r="Z1348" t="s">
        <v>27763</v>
      </c>
      <c r="AA1348">
        <v>0.87772067876591686</v>
      </c>
      <c r="AB1348" t="str">
        <f>HYPERLINK("Melting_Curves/meltCurve_O15116_LSM1.pdf", "Melting_Curves/meltCurve_O15116_LSM1.pdf")</f>
        <v>Melting_Curves/meltCurve_O15116_LSM1.pdf</v>
      </c>
    </row>
    <row r="1349" spans="1:28" x14ac:dyDescent="0.25">
      <c r="A1349" t="s">
        <v>1353</v>
      </c>
      <c r="B1349">
        <v>0.99193492352474899</v>
      </c>
      <c r="C1349">
        <v>0.88701332939343203</v>
      </c>
      <c r="D1349">
        <v>0.81629245720823895</v>
      </c>
      <c r="E1349">
        <v>0.47777191544017</v>
      </c>
      <c r="F1349">
        <v>0.158466801885389</v>
      </c>
      <c r="G1349">
        <v>9.7050557192685294E-2</v>
      </c>
      <c r="H1349">
        <v>6.1978024249316602E-2</v>
      </c>
      <c r="I1349">
        <v>0.10218691363481899</v>
      </c>
      <c r="J1349">
        <v>0.104552449925518</v>
      </c>
      <c r="K1349">
        <v>0.16779999185851899</v>
      </c>
      <c r="L1349">
        <v>1149.46518582302</v>
      </c>
      <c r="M1349">
        <v>23.637965952838599</v>
      </c>
      <c r="N1349">
        <v>49.064202436078403</v>
      </c>
      <c r="O1349">
        <v>48.283917931533402</v>
      </c>
      <c r="P1349">
        <v>-0.110791656593485</v>
      </c>
      <c r="Q1349">
        <v>9.4784421888956805E-2</v>
      </c>
      <c r="R1349">
        <v>0.98704509802898299</v>
      </c>
      <c r="S1349" t="s">
        <v>8019</v>
      </c>
      <c r="T1349" t="s">
        <v>13338</v>
      </c>
      <c r="U1349" t="s">
        <v>13338</v>
      </c>
      <c r="V1349" t="s">
        <v>13338</v>
      </c>
      <c r="W1349" t="s">
        <v>14656</v>
      </c>
      <c r="X1349">
        <v>22</v>
      </c>
      <c r="Y1349" t="s">
        <v>21255</v>
      </c>
      <c r="Z1349" t="s">
        <v>27764</v>
      </c>
      <c r="AA1349">
        <v>0.36411907771037388</v>
      </c>
      <c r="AB1349" t="str">
        <f>HYPERLINK("Melting_Curves/meltCurve_O15117_FYB.pdf", "Melting_Curves/meltCurve_O15117_FYB.pdf")</f>
        <v>Melting_Curves/meltCurve_O15117_FYB.pdf</v>
      </c>
    </row>
    <row r="1350" spans="1:28" x14ac:dyDescent="0.25">
      <c r="A1350" t="s">
        <v>1354</v>
      </c>
      <c r="B1350">
        <v>0.99193492352474899</v>
      </c>
      <c r="C1350">
        <v>0.95862254013363202</v>
      </c>
      <c r="D1350">
        <v>0.91087746350910104</v>
      </c>
      <c r="E1350">
        <v>0.77902571383632402</v>
      </c>
      <c r="F1350">
        <v>0.61673922343752996</v>
      </c>
      <c r="G1350">
        <v>0.50821010841499803</v>
      </c>
      <c r="H1350">
        <v>0.31318490696628598</v>
      </c>
      <c r="I1350">
        <v>0.28485696072549099</v>
      </c>
      <c r="J1350">
        <v>0.24196511050038599</v>
      </c>
      <c r="K1350">
        <v>0.191027290395204</v>
      </c>
      <c r="L1350">
        <v>598.66910631378096</v>
      </c>
      <c r="M1350">
        <v>10.944477173059401</v>
      </c>
      <c r="N1350">
        <v>56.205176194181902</v>
      </c>
      <c r="O1350">
        <v>52.969455126310798</v>
      </c>
      <c r="P1350">
        <v>-4.5110917293106199E-2</v>
      </c>
      <c r="Q1350">
        <v>0.126982886158582</v>
      </c>
      <c r="R1350">
        <v>0.99690490047130298</v>
      </c>
      <c r="S1350" t="s">
        <v>8020</v>
      </c>
      <c r="T1350" t="s">
        <v>13338</v>
      </c>
      <c r="U1350" t="s">
        <v>13338</v>
      </c>
      <c r="V1350" t="s">
        <v>13338</v>
      </c>
      <c r="W1350" t="s">
        <v>14657</v>
      </c>
      <c r="X1350">
        <v>9</v>
      </c>
      <c r="Y1350" t="s">
        <v>21256</v>
      </c>
      <c r="Z1350" t="s">
        <v>27765</v>
      </c>
      <c r="AA1350">
        <v>0.57737838841270095</v>
      </c>
      <c r="AB1350" t="str">
        <f>HYPERLINK("Melting_Curves/meltCurve_O15118_NPC1.pdf", "Melting_Curves/meltCurve_O15118_NPC1.pdf")</f>
        <v>Melting_Curves/meltCurve_O15118_NPC1.pdf</v>
      </c>
    </row>
    <row r="1351" spans="1:28" x14ac:dyDescent="0.25">
      <c r="A1351" t="s">
        <v>1355</v>
      </c>
      <c r="B1351">
        <v>0.99193492352474899</v>
      </c>
      <c r="C1351">
        <v>0.99254848854078903</v>
      </c>
      <c r="D1351">
        <v>0.97626216954255396</v>
      </c>
      <c r="E1351">
        <v>0.87355544616167902</v>
      </c>
      <c r="F1351">
        <v>0.73397082464014596</v>
      </c>
      <c r="G1351">
        <v>0.65642011929392996</v>
      </c>
      <c r="H1351">
        <v>0.50399389502053704</v>
      </c>
      <c r="I1351">
        <v>0.510950745784016</v>
      </c>
      <c r="J1351">
        <v>0.49725357631707601</v>
      </c>
      <c r="K1351">
        <v>0.41523174056988998</v>
      </c>
      <c r="L1351">
        <v>738.85436787409105</v>
      </c>
      <c r="M1351">
        <v>13.589334275058301</v>
      </c>
      <c r="N1351">
        <v>63.107486612084898</v>
      </c>
      <c r="O1351">
        <v>53.233333698536001</v>
      </c>
      <c r="P1351">
        <v>-3.6777331510589997E-2</v>
      </c>
      <c r="Q1351">
        <v>0.42381626059722</v>
      </c>
      <c r="R1351">
        <v>0.98882015235820098</v>
      </c>
      <c r="S1351" t="s">
        <v>8021</v>
      </c>
      <c r="T1351" t="s">
        <v>13338</v>
      </c>
      <c r="U1351" t="s">
        <v>13338</v>
      </c>
      <c r="V1351" t="s">
        <v>13338</v>
      </c>
      <c r="W1351" t="s">
        <v>14658</v>
      </c>
      <c r="X1351">
        <v>8</v>
      </c>
      <c r="Y1351" t="s">
        <v>21257</v>
      </c>
      <c r="Z1351" t="s">
        <v>27766</v>
      </c>
      <c r="AA1351">
        <v>0.71272122565183704</v>
      </c>
      <c r="AB1351" t="str">
        <f>HYPERLINK("Melting_Curves/meltCurve_O15126_SCAMP1.pdf", "Melting_Curves/meltCurve_O15126_SCAMP1.pdf")</f>
        <v>Melting_Curves/meltCurve_O15126_SCAMP1.pdf</v>
      </c>
    </row>
    <row r="1352" spans="1:28" x14ac:dyDescent="0.25">
      <c r="A1352" t="s">
        <v>1356</v>
      </c>
      <c r="B1352">
        <v>0.99193492352474899</v>
      </c>
      <c r="C1352">
        <v>1.2706087813566</v>
      </c>
      <c r="D1352">
        <v>0.91723932014586396</v>
      </c>
      <c r="E1352">
        <v>1.1534899832226</v>
      </c>
      <c r="F1352">
        <v>0.76605211108760196</v>
      </c>
      <c r="G1352">
        <v>0.73111401329643699</v>
      </c>
      <c r="H1352">
        <v>0.61087793813163704</v>
      </c>
      <c r="I1352">
        <v>0.675766663038742</v>
      </c>
      <c r="J1352">
        <v>0.72506906705201302</v>
      </c>
      <c r="K1352">
        <v>0.54092697181556604</v>
      </c>
      <c r="L1352">
        <v>13259.515304737701</v>
      </c>
      <c r="M1352">
        <v>250</v>
      </c>
      <c r="O1352">
        <v>53.034667944289701</v>
      </c>
      <c r="P1352">
        <v>-0.40451026914935101</v>
      </c>
      <c r="Q1352">
        <v>0.65675092076983999</v>
      </c>
      <c r="R1352">
        <v>0.74660516331981897</v>
      </c>
      <c r="S1352" t="s">
        <v>8022</v>
      </c>
      <c r="T1352" t="s">
        <v>13338</v>
      </c>
      <c r="U1352" t="s">
        <v>13338</v>
      </c>
      <c r="V1352" t="s">
        <v>13338</v>
      </c>
      <c r="W1352" t="s">
        <v>14659</v>
      </c>
      <c r="X1352">
        <v>8</v>
      </c>
      <c r="Y1352" t="s">
        <v>21258</v>
      </c>
      <c r="Z1352" t="s">
        <v>27767</v>
      </c>
      <c r="AA1352">
        <v>0.80595962100614471</v>
      </c>
      <c r="AB1352" t="str">
        <f>HYPERLINK("Melting_Curves/meltCurve_O15127_SCAMP2.pdf", "Melting_Curves/meltCurve_O15127_SCAMP2.pdf")</f>
        <v>Melting_Curves/meltCurve_O15127_SCAMP2.pdf</v>
      </c>
    </row>
    <row r="1353" spans="1:28" x14ac:dyDescent="0.25">
      <c r="A1353" t="s">
        <v>1357</v>
      </c>
      <c r="B1353">
        <v>0.99193492352474899</v>
      </c>
      <c r="C1353">
        <v>0.92084754905097599</v>
      </c>
      <c r="D1353">
        <v>0.91026471870409997</v>
      </c>
      <c r="E1353">
        <v>0.74676369795359598</v>
      </c>
      <c r="F1353">
        <v>0.64334328047996803</v>
      </c>
      <c r="G1353">
        <v>0.46123732775865001</v>
      </c>
      <c r="H1353">
        <v>0.21421860169915499</v>
      </c>
      <c r="I1353">
        <v>0.116984709751365</v>
      </c>
      <c r="J1353">
        <v>0.12721218733694201</v>
      </c>
      <c r="K1353">
        <v>0.105136143324051</v>
      </c>
      <c r="L1353">
        <v>637.422311495136</v>
      </c>
      <c r="M1353">
        <v>11.554261294743799</v>
      </c>
      <c r="N1353">
        <v>55.167725151830901</v>
      </c>
      <c r="O1353">
        <v>53.592861022266</v>
      </c>
      <c r="P1353">
        <v>-5.3913385374370897E-2</v>
      </c>
      <c r="Q1353">
        <v>0</v>
      </c>
      <c r="R1353">
        <v>0.989922885164772</v>
      </c>
      <c r="S1353" t="s">
        <v>8023</v>
      </c>
      <c r="T1353" t="s">
        <v>13338</v>
      </c>
      <c r="U1353" t="s">
        <v>13338</v>
      </c>
      <c r="V1353" t="s">
        <v>13338</v>
      </c>
      <c r="W1353" t="s">
        <v>14660</v>
      </c>
      <c r="X1353">
        <v>19</v>
      </c>
      <c r="Y1353" t="s">
        <v>21259</v>
      </c>
      <c r="Z1353" t="s">
        <v>27768</v>
      </c>
      <c r="AA1353">
        <v>0.52909657155456546</v>
      </c>
      <c r="AB1353" t="str">
        <f>HYPERLINK("Melting_Curves/meltCurve_O15143_ARPC1B.pdf", "Melting_Curves/meltCurve_O15143_ARPC1B.pdf")</f>
        <v>Melting_Curves/meltCurve_O15143_ARPC1B.pdf</v>
      </c>
    </row>
    <row r="1354" spans="1:28" x14ac:dyDescent="0.25">
      <c r="A1354" t="s">
        <v>1358</v>
      </c>
      <c r="B1354">
        <v>0.99193492352474899</v>
      </c>
      <c r="C1354">
        <v>0.82013090379644005</v>
      </c>
      <c r="D1354">
        <v>0.93297037304513697</v>
      </c>
      <c r="E1354">
        <v>0.744312244250801</v>
      </c>
      <c r="F1354">
        <v>0.801989085426559</v>
      </c>
      <c r="G1354">
        <v>0.51468008510715701</v>
      </c>
      <c r="H1354">
        <v>0.25963302357510998</v>
      </c>
      <c r="I1354">
        <v>0.15264229416289701</v>
      </c>
      <c r="J1354">
        <v>0.14632471018222001</v>
      </c>
      <c r="K1354">
        <v>0.13715848239949999</v>
      </c>
      <c r="L1354">
        <v>647.35996015810304</v>
      </c>
      <c r="M1354">
        <v>11.434772316736399</v>
      </c>
      <c r="N1354">
        <v>56.613269553414398</v>
      </c>
      <c r="O1354">
        <v>54.964809181255099</v>
      </c>
      <c r="P1354">
        <v>-5.2024634229203399E-2</v>
      </c>
      <c r="Q1354">
        <v>0</v>
      </c>
      <c r="R1354">
        <v>0.94866633501256503</v>
      </c>
      <c r="S1354" t="s">
        <v>8024</v>
      </c>
      <c r="T1354" t="s">
        <v>13338</v>
      </c>
      <c r="U1354" t="s">
        <v>13338</v>
      </c>
      <c r="V1354" t="s">
        <v>13338</v>
      </c>
      <c r="W1354" t="s">
        <v>14661</v>
      </c>
      <c r="X1354">
        <v>20</v>
      </c>
      <c r="Y1354" t="s">
        <v>21260</v>
      </c>
      <c r="Z1354" t="s">
        <v>27769</v>
      </c>
      <c r="AA1354">
        <v>0.5721186320961319</v>
      </c>
      <c r="AB1354" t="str">
        <f>HYPERLINK("Melting_Curves/meltCurve_O15144_ARPC2.pdf", "Melting_Curves/meltCurve_O15144_ARPC2.pdf")</f>
        <v>Melting_Curves/meltCurve_O15144_ARPC2.pdf</v>
      </c>
    </row>
    <row r="1355" spans="1:28" x14ac:dyDescent="0.25">
      <c r="A1355" t="s">
        <v>1359</v>
      </c>
      <c r="B1355">
        <v>0.99193492352474899</v>
      </c>
      <c r="C1355">
        <v>0.99505783928577696</v>
      </c>
      <c r="D1355">
        <v>0.92274834865983102</v>
      </c>
      <c r="E1355">
        <v>0.83010300097719003</v>
      </c>
      <c r="F1355">
        <v>0.63650195639589002</v>
      </c>
      <c r="G1355">
        <v>0.43176740001445502</v>
      </c>
      <c r="H1355">
        <v>0.19269736187278499</v>
      </c>
      <c r="I1355">
        <v>0.12777641410701701</v>
      </c>
      <c r="J1355">
        <v>0.11482027329193099</v>
      </c>
      <c r="K1355">
        <v>0.121680321656168</v>
      </c>
      <c r="L1355">
        <v>835.62614207054105</v>
      </c>
      <c r="M1355">
        <v>15.2729372699166</v>
      </c>
      <c r="N1355">
        <v>55.170934903019401</v>
      </c>
      <c r="O1355">
        <v>53.800585219711998</v>
      </c>
      <c r="P1355">
        <v>-6.6750235481879597E-2</v>
      </c>
      <c r="Q1355">
        <v>5.9548255172431099E-2</v>
      </c>
      <c r="R1355">
        <v>0.99649782838921797</v>
      </c>
      <c r="S1355" t="s">
        <v>8025</v>
      </c>
      <c r="T1355" t="s">
        <v>13338</v>
      </c>
      <c r="U1355" t="s">
        <v>13338</v>
      </c>
      <c r="V1355" t="s">
        <v>13338</v>
      </c>
      <c r="W1355" t="s">
        <v>14662</v>
      </c>
      <c r="X1355">
        <v>11</v>
      </c>
      <c r="Y1355" t="s">
        <v>21261</v>
      </c>
      <c r="Z1355" t="s">
        <v>27770</v>
      </c>
      <c r="AA1355">
        <v>0.53889377063357247</v>
      </c>
      <c r="AB1355" t="str">
        <f>HYPERLINK("Melting_Curves/meltCurve_O15145_ARPC3.pdf", "Melting_Curves/meltCurve_O15145_ARPC3.pdf")</f>
        <v>Melting_Curves/meltCurve_O15145_ARPC3.pdf</v>
      </c>
    </row>
    <row r="1356" spans="1:28" x14ac:dyDescent="0.25">
      <c r="A1356" t="s">
        <v>1360</v>
      </c>
      <c r="B1356">
        <v>0.99193492352474899</v>
      </c>
      <c r="C1356">
        <v>1.0522001530423599</v>
      </c>
      <c r="D1356">
        <v>0.76270562653592699</v>
      </c>
      <c r="E1356">
        <v>0.72558596057748004</v>
      </c>
      <c r="F1356">
        <v>0.39546356182365699</v>
      </c>
      <c r="G1356">
        <v>0.324861798694565</v>
      </c>
      <c r="H1356">
        <v>0.29559162663031402</v>
      </c>
      <c r="I1356">
        <v>0.35852069740447301</v>
      </c>
      <c r="J1356">
        <v>0.28816433101918398</v>
      </c>
      <c r="K1356">
        <v>0.36175860552613298</v>
      </c>
      <c r="L1356">
        <v>997.89891468129099</v>
      </c>
      <c r="M1356">
        <v>20.2193075658009</v>
      </c>
      <c r="N1356">
        <v>51.840565548901303</v>
      </c>
      <c r="O1356">
        <v>48.878608446116999</v>
      </c>
      <c r="P1356">
        <v>-7.1313303007750295E-2</v>
      </c>
      <c r="Q1356">
        <v>0.31044404927888902</v>
      </c>
      <c r="R1356">
        <v>0.95617404467704603</v>
      </c>
      <c r="S1356" t="s">
        <v>8026</v>
      </c>
      <c r="T1356" t="s">
        <v>13338</v>
      </c>
      <c r="U1356" t="s">
        <v>13338</v>
      </c>
      <c r="V1356" t="s">
        <v>13338</v>
      </c>
      <c r="W1356" t="s">
        <v>14663</v>
      </c>
      <c r="X1356">
        <v>4</v>
      </c>
      <c r="Y1356" t="s">
        <v>21262</v>
      </c>
      <c r="Z1356" t="s">
        <v>27771</v>
      </c>
      <c r="AA1356">
        <v>0.53486553724000852</v>
      </c>
      <c r="AB1356" t="str">
        <f>HYPERLINK("Melting_Curves/meltCurve_O15155_BET1.pdf", "Melting_Curves/meltCurve_O15155_BET1.pdf")</f>
        <v>Melting_Curves/meltCurve_O15155_BET1.pdf</v>
      </c>
    </row>
    <row r="1357" spans="1:28" x14ac:dyDescent="0.25">
      <c r="A1357" t="s">
        <v>1361</v>
      </c>
      <c r="B1357">
        <v>0.99193492352474899</v>
      </c>
      <c r="C1357">
        <v>0.81804240948220097</v>
      </c>
      <c r="D1357">
        <v>0.72616865963294497</v>
      </c>
      <c r="E1357">
        <v>0.28937525303780998</v>
      </c>
      <c r="F1357">
        <v>0.19859706886721501</v>
      </c>
      <c r="G1357">
        <v>0.116410411442934</v>
      </c>
      <c r="H1357">
        <v>7.49673925752945E-2</v>
      </c>
      <c r="I1357">
        <v>8.9176453407435102E-2</v>
      </c>
      <c r="J1357">
        <v>9.6098643269450196E-2</v>
      </c>
      <c r="K1357">
        <v>0.10026032686761201</v>
      </c>
      <c r="L1357">
        <v>939.44454320720502</v>
      </c>
      <c r="M1357">
        <v>19.897109865682399</v>
      </c>
      <c r="N1357">
        <v>47.666337476705898</v>
      </c>
      <c r="O1357">
        <v>46.745959254584299</v>
      </c>
      <c r="P1357">
        <v>-9.7280164010670703E-2</v>
      </c>
      <c r="Q1357">
        <v>8.5836375831926298E-2</v>
      </c>
      <c r="R1357">
        <v>0.98775177544001502</v>
      </c>
      <c r="S1357" t="s">
        <v>8027</v>
      </c>
      <c r="T1357" t="s">
        <v>13338</v>
      </c>
      <c r="U1357" t="s">
        <v>13338</v>
      </c>
      <c r="V1357" t="s">
        <v>13338</v>
      </c>
      <c r="W1357" t="s">
        <v>14664</v>
      </c>
      <c r="X1357">
        <v>7</v>
      </c>
      <c r="Y1357" t="s">
        <v>21263</v>
      </c>
      <c r="Z1357" t="s">
        <v>27772</v>
      </c>
      <c r="AA1357">
        <v>0.3191221254518507</v>
      </c>
      <c r="AB1357" t="str">
        <f>HYPERLINK("Melting_Curves/meltCurve_O15160_POLR1C.pdf", "Melting_Curves/meltCurve_O15160_POLR1C.pdf")</f>
        <v>Melting_Curves/meltCurve_O15160_POLR1C.pdf</v>
      </c>
    </row>
    <row r="1358" spans="1:28" x14ac:dyDescent="0.25">
      <c r="A1358" t="s">
        <v>1362</v>
      </c>
      <c r="B1358">
        <v>0.99193492352474899</v>
      </c>
      <c r="C1358">
        <v>1.3076295266979401</v>
      </c>
      <c r="D1358">
        <v>0.94819664900585199</v>
      </c>
      <c r="E1358">
        <v>0.83626529056110599</v>
      </c>
      <c r="F1358">
        <v>0.54053574101301904</v>
      </c>
      <c r="G1358">
        <v>0.41544546894906198</v>
      </c>
      <c r="H1358">
        <v>0.32522425665230997</v>
      </c>
      <c r="I1358">
        <v>0.27909052863900602</v>
      </c>
      <c r="J1358">
        <v>0.34877311402996602</v>
      </c>
      <c r="K1358">
        <v>0.33915220304231902</v>
      </c>
      <c r="L1358">
        <v>1375.7296908204301</v>
      </c>
      <c r="M1358">
        <v>26.5625943753064</v>
      </c>
      <c r="N1358">
        <v>53.9134466701273</v>
      </c>
      <c r="O1358">
        <v>51.501128176137797</v>
      </c>
      <c r="P1358">
        <v>-8.7140778393791599E-2</v>
      </c>
      <c r="Q1358">
        <v>0.32419248452562999</v>
      </c>
      <c r="R1358">
        <v>0.91296791135817901</v>
      </c>
      <c r="S1358" t="s">
        <v>8028</v>
      </c>
      <c r="T1358" t="s">
        <v>13338</v>
      </c>
      <c r="U1358" t="s">
        <v>13338</v>
      </c>
      <c r="V1358" t="s">
        <v>13338</v>
      </c>
      <c r="W1358" t="s">
        <v>14665</v>
      </c>
      <c r="X1358">
        <v>2</v>
      </c>
      <c r="Y1358" t="s">
        <v>21264</v>
      </c>
      <c r="Z1358" t="s">
        <v>27773</v>
      </c>
      <c r="AA1358">
        <v>0.59530148541519545</v>
      </c>
      <c r="AB1358" t="str">
        <f>HYPERLINK("Melting_Curves/meltCurve_O15165_5_LDLRAD4.pdf", "Melting_Curves/meltCurve_O15165_5_LDLRAD4.pdf")</f>
        <v>Melting_Curves/meltCurve_O15165_5_LDLRAD4.pdf</v>
      </c>
    </row>
    <row r="1359" spans="1:28" x14ac:dyDescent="0.25">
      <c r="A1359" t="s">
        <v>1363</v>
      </c>
      <c r="B1359">
        <v>0.99193492352474899</v>
      </c>
      <c r="C1359">
        <v>0.802527000151811</v>
      </c>
      <c r="D1359">
        <v>0.92834912038580197</v>
      </c>
      <c r="E1359">
        <v>0.67651781780029996</v>
      </c>
      <c r="F1359">
        <v>0.421498147407742</v>
      </c>
      <c r="G1359">
        <v>0.244884226661675</v>
      </c>
      <c r="H1359">
        <v>0.19325915133907401</v>
      </c>
      <c r="I1359">
        <v>0.20130565689412</v>
      </c>
      <c r="J1359">
        <v>0.26673183038375498</v>
      </c>
      <c r="K1359">
        <v>0.26195113147523202</v>
      </c>
      <c r="L1359">
        <v>1001.3453221467</v>
      </c>
      <c r="M1359">
        <v>19.916482017370399</v>
      </c>
      <c r="N1359">
        <v>51.7308341331644</v>
      </c>
      <c r="O1359">
        <v>49.778580136228904</v>
      </c>
      <c r="P1359">
        <v>-7.8593121740159103E-2</v>
      </c>
      <c r="Q1359">
        <v>0.21429405956490999</v>
      </c>
      <c r="R1359">
        <v>0.95620060475411905</v>
      </c>
      <c r="S1359" t="s">
        <v>8029</v>
      </c>
      <c r="T1359" t="s">
        <v>13338</v>
      </c>
      <c r="U1359" t="s">
        <v>13338</v>
      </c>
      <c r="V1359" t="s">
        <v>13338</v>
      </c>
      <c r="W1359" t="s">
        <v>14666</v>
      </c>
      <c r="X1359">
        <v>11</v>
      </c>
      <c r="Y1359" t="s">
        <v>21265</v>
      </c>
      <c r="Z1359" t="s">
        <v>27774</v>
      </c>
      <c r="AA1359">
        <v>0.49447257415888318</v>
      </c>
      <c r="AB1359" t="str">
        <f>HYPERLINK("Melting_Curves/meltCurve_O15173_PGRMC2.pdf", "Melting_Curves/meltCurve_O15173_PGRMC2.pdf")</f>
        <v>Melting_Curves/meltCurve_O15173_PGRMC2.pdf</v>
      </c>
    </row>
    <row r="1360" spans="1:28" x14ac:dyDescent="0.25">
      <c r="A1360" t="s">
        <v>1364</v>
      </c>
      <c r="B1360">
        <v>0.99193492352474899</v>
      </c>
      <c r="C1360">
        <v>1.0756605757003701</v>
      </c>
      <c r="D1360">
        <v>0.84820785521985298</v>
      </c>
      <c r="E1360">
        <v>0.974155983974208</v>
      </c>
      <c r="F1360">
        <v>0.70651181221892501</v>
      </c>
      <c r="G1360">
        <v>0.70669040110166803</v>
      </c>
      <c r="H1360">
        <v>0.46214782014963601</v>
      </c>
      <c r="I1360">
        <v>0.57059226698060495</v>
      </c>
      <c r="J1360">
        <v>0.487450505214723</v>
      </c>
      <c r="K1360">
        <v>0.60715956561198903</v>
      </c>
      <c r="L1360">
        <v>1053.2335275939299</v>
      </c>
      <c r="M1360">
        <v>19.8551327689338</v>
      </c>
      <c r="O1360">
        <v>52.516603860775298</v>
      </c>
      <c r="P1360">
        <v>-4.4505182862809502E-2</v>
      </c>
      <c r="Q1360">
        <v>0.529152901829398</v>
      </c>
      <c r="R1360">
        <v>0.87098137753849703</v>
      </c>
      <c r="S1360" t="s">
        <v>8030</v>
      </c>
      <c r="T1360" t="s">
        <v>13338</v>
      </c>
      <c r="U1360" t="s">
        <v>13338</v>
      </c>
      <c r="V1360" t="s">
        <v>13338</v>
      </c>
      <c r="W1360" t="s">
        <v>14667</v>
      </c>
      <c r="X1360">
        <v>15</v>
      </c>
      <c r="Y1360" t="s">
        <v>21266</v>
      </c>
      <c r="Z1360" t="s">
        <v>27775</v>
      </c>
      <c r="AA1360">
        <v>0.74046097182475734</v>
      </c>
      <c r="AB1360" t="str">
        <f>HYPERLINK("Melting_Curves/meltCurve_O15212_PFDN6.pdf", "Melting_Curves/meltCurve_O15212_PFDN6.pdf")</f>
        <v>Melting_Curves/meltCurve_O15212_PFDN6.pdf</v>
      </c>
    </row>
    <row r="1361" spans="1:28" x14ac:dyDescent="0.25">
      <c r="A1361" t="s">
        <v>1365</v>
      </c>
      <c r="B1361">
        <v>0.99193492352474899</v>
      </c>
      <c r="C1361">
        <v>0.76495130152181001</v>
      </c>
      <c r="D1361">
        <v>0.78512048307939797</v>
      </c>
      <c r="E1361">
        <v>0.61444503446204501</v>
      </c>
      <c r="F1361">
        <v>0.89804865120563404</v>
      </c>
      <c r="G1361">
        <v>0.56166213975531498</v>
      </c>
      <c r="H1361">
        <v>0.377676027688364</v>
      </c>
      <c r="I1361">
        <v>0.35942708347534302</v>
      </c>
      <c r="J1361">
        <v>0.40984545445659298</v>
      </c>
      <c r="K1361">
        <v>0.40151724767341701</v>
      </c>
      <c r="L1361">
        <v>279.30562277969398</v>
      </c>
      <c r="M1361">
        <v>4.7130263734259001</v>
      </c>
      <c r="N1361">
        <v>60.1313542764752</v>
      </c>
      <c r="O1361">
        <v>50.982458517519099</v>
      </c>
      <c r="P1361">
        <v>-2.25176740408978E-2</v>
      </c>
      <c r="Q1361">
        <v>3.2917689305178702E-2</v>
      </c>
      <c r="R1361">
        <v>0.76452581270168296</v>
      </c>
      <c r="S1361" t="s">
        <v>8031</v>
      </c>
      <c r="T1361" t="s">
        <v>13338</v>
      </c>
      <c r="U1361" t="s">
        <v>13338</v>
      </c>
      <c r="V1361" t="s">
        <v>13338</v>
      </c>
      <c r="W1361" t="s">
        <v>14668</v>
      </c>
      <c r="X1361">
        <v>1</v>
      </c>
      <c r="Y1361" t="s">
        <v>21267</v>
      </c>
      <c r="Z1361" t="s">
        <v>27776</v>
      </c>
      <c r="AA1361">
        <v>0.61492548216733978</v>
      </c>
      <c r="AB1361" t="str">
        <f>HYPERLINK("Melting_Curves/meltCurve_O15213_WDR46.pdf", "Melting_Curves/meltCurve_O15213_WDR46.pdf")</f>
        <v>Melting_Curves/meltCurve_O15213_WDR46.pdf</v>
      </c>
    </row>
    <row r="1362" spans="1:28" x14ac:dyDescent="0.25">
      <c r="A1362" t="s">
        <v>1366</v>
      </c>
      <c r="B1362">
        <v>0.99193492352474899</v>
      </c>
      <c r="C1362">
        <v>0.83419169814151795</v>
      </c>
      <c r="D1362">
        <v>0.91147871012470405</v>
      </c>
      <c r="E1362">
        <v>0.42542827128594701</v>
      </c>
      <c r="F1362">
        <v>0.184378172376089</v>
      </c>
      <c r="G1362">
        <v>0.100445842409387</v>
      </c>
      <c r="H1362">
        <v>5.76820721865288E-2</v>
      </c>
      <c r="I1362">
        <v>6.8024052838207894E-2</v>
      </c>
      <c r="J1362">
        <v>7.9083388796604898E-2</v>
      </c>
      <c r="K1362">
        <v>6.9735453968617203E-2</v>
      </c>
      <c r="L1362">
        <v>1277.19129923027</v>
      </c>
      <c r="M1362">
        <v>26.112716847020302</v>
      </c>
      <c r="N1362">
        <v>49.191148401319502</v>
      </c>
      <c r="O1362">
        <v>48.626556116198898</v>
      </c>
      <c r="P1362">
        <v>-0.124967865083819</v>
      </c>
      <c r="Q1362">
        <v>6.9160330800527095E-2</v>
      </c>
      <c r="R1362">
        <v>0.98148759832188004</v>
      </c>
      <c r="S1362" t="s">
        <v>8032</v>
      </c>
      <c r="T1362" t="s">
        <v>13338</v>
      </c>
      <c r="U1362" t="s">
        <v>13338</v>
      </c>
      <c r="V1362" t="s">
        <v>13338</v>
      </c>
      <c r="W1362" t="s">
        <v>14669</v>
      </c>
      <c r="X1362">
        <v>12</v>
      </c>
      <c r="Y1362" t="s">
        <v>21268</v>
      </c>
      <c r="Z1362" t="s">
        <v>27777</v>
      </c>
      <c r="AA1362">
        <v>0.35317654718948249</v>
      </c>
      <c r="AB1362" t="str">
        <f>HYPERLINK("Melting_Curves/meltCurve_O15228_GNPAT.pdf", "Melting_Curves/meltCurve_O15228_GNPAT.pdf")</f>
        <v>Melting_Curves/meltCurve_O15228_GNPAT.pdf</v>
      </c>
    </row>
    <row r="1363" spans="1:28" x14ac:dyDescent="0.25">
      <c r="A1363" t="s">
        <v>1367</v>
      </c>
      <c r="B1363">
        <v>0.99193492352474899</v>
      </c>
      <c r="C1363">
        <v>0.88821539890491996</v>
      </c>
      <c r="D1363">
        <v>0.73107004333612402</v>
      </c>
      <c r="E1363">
        <v>0.60958663952907699</v>
      </c>
      <c r="F1363">
        <v>0.47724991130852001</v>
      </c>
      <c r="G1363">
        <v>0.46126023722598197</v>
      </c>
      <c r="H1363">
        <v>0.52481210803285805</v>
      </c>
      <c r="I1363">
        <v>0.788425939609527</v>
      </c>
      <c r="J1363">
        <v>0.75015600467986898</v>
      </c>
      <c r="K1363">
        <v>1.3416594937617601</v>
      </c>
      <c r="L1363">
        <v>2161.2343411339298</v>
      </c>
      <c r="M1363">
        <v>49.896859135192202</v>
      </c>
      <c r="O1363">
        <v>43.244643465369997</v>
      </c>
      <c r="P1363">
        <v>-8.40766921415598E-2</v>
      </c>
      <c r="Q1363">
        <v>0.70852974868441299</v>
      </c>
      <c r="R1363">
        <v>0.13688607633754099</v>
      </c>
      <c r="S1363" t="s">
        <v>8033</v>
      </c>
      <c r="T1363" t="s">
        <v>13338</v>
      </c>
      <c r="U1363" t="s">
        <v>13338</v>
      </c>
      <c r="V1363" t="s">
        <v>13338</v>
      </c>
      <c r="W1363" t="s">
        <v>14670</v>
      </c>
      <c r="X1363">
        <v>11</v>
      </c>
      <c r="Y1363" t="s">
        <v>21269</v>
      </c>
      <c r="Z1363" t="s">
        <v>27778</v>
      </c>
      <c r="AA1363">
        <v>0.74139732096883459</v>
      </c>
      <c r="AB1363" t="str">
        <f>HYPERLINK("Melting_Curves/meltCurve_O15234_CASC3.pdf", "Melting_Curves/meltCurve_O15234_CASC3.pdf")</f>
        <v>Melting_Curves/meltCurve_O15234_CASC3.pdf</v>
      </c>
    </row>
    <row r="1364" spans="1:28" x14ac:dyDescent="0.25">
      <c r="A1364" t="s">
        <v>1368</v>
      </c>
      <c r="B1364">
        <v>0.99193492352474899</v>
      </c>
      <c r="C1364">
        <v>0.86523975072043502</v>
      </c>
      <c r="D1364">
        <v>0.93212602172387005</v>
      </c>
      <c r="E1364">
        <v>0.78340315549290596</v>
      </c>
      <c r="F1364">
        <v>0.451263761757077</v>
      </c>
      <c r="G1364">
        <v>0.35945105868638799</v>
      </c>
      <c r="H1364">
        <v>0.19774144747595901</v>
      </c>
      <c r="I1364">
        <v>0.35472224011409098</v>
      </c>
      <c r="J1364">
        <v>0.29743164315894099</v>
      </c>
      <c r="K1364">
        <v>0.29570456518555299</v>
      </c>
      <c r="L1364">
        <v>1243.6061099815499</v>
      </c>
      <c r="M1364">
        <v>24.416208014395298</v>
      </c>
      <c r="N1364">
        <v>52.752077801402898</v>
      </c>
      <c r="O1364">
        <v>50.595664910396799</v>
      </c>
      <c r="P1364">
        <v>-8.6321443353615995E-2</v>
      </c>
      <c r="Q1364">
        <v>0.28450390895150102</v>
      </c>
      <c r="R1364">
        <v>0.96053161183197999</v>
      </c>
      <c r="S1364" t="s">
        <v>8034</v>
      </c>
      <c r="T1364" t="s">
        <v>13338</v>
      </c>
      <c r="U1364" t="s">
        <v>13338</v>
      </c>
      <c r="V1364" t="s">
        <v>13338</v>
      </c>
      <c r="W1364" t="s">
        <v>14671</v>
      </c>
      <c r="X1364">
        <v>2</v>
      </c>
      <c r="Y1364" t="s">
        <v>21270</v>
      </c>
      <c r="Z1364" t="s">
        <v>27779</v>
      </c>
      <c r="AA1364">
        <v>0.55203592242988719</v>
      </c>
      <c r="AB1364" t="str">
        <f>HYPERLINK("Melting_Curves/meltCurve_O15235_MRPS12.pdf", "Melting_Curves/meltCurve_O15235_MRPS12.pdf")</f>
        <v>Melting_Curves/meltCurve_O15235_MRPS12.pdf</v>
      </c>
    </row>
    <row r="1365" spans="1:28" x14ac:dyDescent="0.25">
      <c r="A1365" t="s">
        <v>1369</v>
      </c>
      <c r="B1365">
        <v>0.99193492352474899</v>
      </c>
      <c r="C1365">
        <v>1.4511309117223301</v>
      </c>
      <c r="D1365">
        <v>0.80916012675087401</v>
      </c>
      <c r="E1365">
        <v>1.05932701936775</v>
      </c>
      <c r="F1365">
        <v>0.47849322620419998</v>
      </c>
      <c r="G1365">
        <v>0.56523032504369897</v>
      </c>
      <c r="H1365">
        <v>0.35463309802605603</v>
      </c>
      <c r="I1365">
        <v>0.35025838846376001</v>
      </c>
      <c r="J1365">
        <v>0.32186789133510202</v>
      </c>
      <c r="K1365">
        <v>0.44469930565122601</v>
      </c>
      <c r="L1365">
        <v>13194.033371871201</v>
      </c>
      <c r="M1365">
        <v>250</v>
      </c>
      <c r="N1365">
        <v>53.134397543796602</v>
      </c>
      <c r="O1365">
        <v>52.772756166110703</v>
      </c>
      <c r="P1365">
        <v>-0.701903620103561</v>
      </c>
      <c r="Q1365">
        <v>0.40733778317380798</v>
      </c>
      <c r="R1365">
        <v>0.78290278778268796</v>
      </c>
      <c r="S1365" t="s">
        <v>8035</v>
      </c>
      <c r="T1365" t="s">
        <v>13338</v>
      </c>
      <c r="U1365" t="s">
        <v>13338</v>
      </c>
      <c r="V1365" t="s">
        <v>13338</v>
      </c>
      <c r="W1365" t="s">
        <v>14672</v>
      </c>
      <c r="X1365">
        <v>1</v>
      </c>
      <c r="Y1365" t="s">
        <v>21271</v>
      </c>
      <c r="Z1365" t="s">
        <v>27780</v>
      </c>
      <c r="AA1365">
        <v>0.65979039615324864</v>
      </c>
      <c r="AB1365" t="str">
        <f>HYPERLINK("Melting_Curves/meltCurve_O15239_NDUFA1.pdf", "Melting_Curves/meltCurve_O15239_NDUFA1.pdf")</f>
        <v>Melting_Curves/meltCurve_O15239_NDUFA1.pdf</v>
      </c>
    </row>
    <row r="1366" spans="1:28" x14ac:dyDescent="0.25">
      <c r="A1366" t="s">
        <v>1370</v>
      </c>
      <c r="B1366">
        <v>0.99193492352474899</v>
      </c>
      <c r="C1366">
        <v>0.89547433423574396</v>
      </c>
      <c r="D1366">
        <v>1.0655121369527001</v>
      </c>
      <c r="E1366">
        <v>0.84691406567479799</v>
      </c>
      <c r="F1366">
        <v>0.93673162125527798</v>
      </c>
      <c r="G1366">
        <v>0.495821352307244</v>
      </c>
      <c r="H1366">
        <v>0.23214273047932399</v>
      </c>
      <c r="I1366">
        <v>0.16002298228015899</v>
      </c>
      <c r="J1366">
        <v>0.16897659136776799</v>
      </c>
      <c r="K1366">
        <v>0.16376395128687499</v>
      </c>
      <c r="L1366">
        <v>2038.94227403474</v>
      </c>
      <c r="M1366">
        <v>36.257865171655098</v>
      </c>
      <c r="N1366">
        <v>56.856531797812501</v>
      </c>
      <c r="O1366">
        <v>56.0642416553315</v>
      </c>
      <c r="P1366">
        <v>-0.13520896139236299</v>
      </c>
      <c r="Q1366">
        <v>0.163727415075757</v>
      </c>
      <c r="R1366">
        <v>0.97154018064644998</v>
      </c>
      <c r="S1366" t="s">
        <v>8036</v>
      </c>
      <c r="T1366" t="s">
        <v>13338</v>
      </c>
      <c r="U1366" t="s">
        <v>13338</v>
      </c>
      <c r="V1366" t="s">
        <v>13338</v>
      </c>
      <c r="W1366" t="s">
        <v>14673</v>
      </c>
      <c r="X1366">
        <v>3</v>
      </c>
      <c r="Y1366" t="s">
        <v>21272</v>
      </c>
      <c r="Z1366" t="s">
        <v>27781</v>
      </c>
      <c r="AA1366">
        <v>0.6201832196211633</v>
      </c>
      <c r="AB1366" t="str">
        <f>HYPERLINK("Melting_Curves/meltCurve_O15254_ACOX3.pdf", "Melting_Curves/meltCurve_O15254_ACOX3.pdf")</f>
        <v>Melting_Curves/meltCurve_O15254_ACOX3.pdf</v>
      </c>
    </row>
    <row r="1367" spans="1:28" x14ac:dyDescent="0.25">
      <c r="A1367" t="s">
        <v>1371</v>
      </c>
      <c r="B1367">
        <v>0.99193492352474899</v>
      </c>
      <c r="C1367">
        <v>0.89300259446737396</v>
      </c>
      <c r="D1367">
        <v>1.1425079984547299</v>
      </c>
      <c r="E1367">
        <v>0.81523942632273105</v>
      </c>
      <c r="F1367">
        <v>0.80981718999174201</v>
      </c>
      <c r="G1367">
        <v>0.46927347519443202</v>
      </c>
      <c r="H1367">
        <v>0.38430478394476397</v>
      </c>
      <c r="I1367">
        <v>0.42328402846506102</v>
      </c>
      <c r="J1367">
        <v>0.45531379102756597</v>
      </c>
      <c r="K1367">
        <v>0.55938994477005</v>
      </c>
      <c r="L1367">
        <v>1597.25375066589</v>
      </c>
      <c r="M1367">
        <v>29.933311596947298</v>
      </c>
      <c r="N1367">
        <v>57.633288441040897</v>
      </c>
      <c r="O1367">
        <v>53.123947799285702</v>
      </c>
      <c r="P1367">
        <v>-7.8088691019351703E-2</v>
      </c>
      <c r="Q1367">
        <v>0.445654046476059</v>
      </c>
      <c r="R1367">
        <v>0.87977484672176098</v>
      </c>
      <c r="S1367" t="s">
        <v>8037</v>
      </c>
      <c r="T1367" t="s">
        <v>13338</v>
      </c>
      <c r="U1367" t="s">
        <v>13338</v>
      </c>
      <c r="V1367" t="s">
        <v>13338</v>
      </c>
      <c r="W1367" t="s">
        <v>14674</v>
      </c>
      <c r="X1367">
        <v>3</v>
      </c>
      <c r="Y1367" t="s">
        <v>21273</v>
      </c>
      <c r="Z1367" t="s">
        <v>27782</v>
      </c>
      <c r="AA1367">
        <v>0.69615865062727023</v>
      </c>
      <c r="AB1367" t="str">
        <f>HYPERLINK("Melting_Curves/meltCurve_O15258_RER1.pdf", "Melting_Curves/meltCurve_O15258_RER1.pdf")</f>
        <v>Melting_Curves/meltCurve_O15258_RER1.pdf</v>
      </c>
    </row>
    <row r="1368" spans="1:28" x14ac:dyDescent="0.25">
      <c r="A1368" t="s">
        <v>1372</v>
      </c>
      <c r="B1368">
        <v>0.99193492352474899</v>
      </c>
      <c r="C1368">
        <v>0.93752954379210196</v>
      </c>
      <c r="D1368">
        <v>0.98866749341377902</v>
      </c>
      <c r="E1368">
        <v>0.75269454607035702</v>
      </c>
      <c r="F1368">
        <v>0.242807713094842</v>
      </c>
      <c r="G1368">
        <v>0.12627854592273199</v>
      </c>
      <c r="H1368">
        <v>8.5305763729632E-2</v>
      </c>
      <c r="I1368">
        <v>0.107599652832449</v>
      </c>
      <c r="J1368">
        <v>0.117808971997129</v>
      </c>
      <c r="K1368">
        <v>0.12988884067085199</v>
      </c>
      <c r="L1368">
        <v>1978.3311204535601</v>
      </c>
      <c r="M1368">
        <v>38.930320531958003</v>
      </c>
      <c r="N1368">
        <v>51.144104431341503</v>
      </c>
      <c r="O1368">
        <v>50.683710206720399</v>
      </c>
      <c r="P1368">
        <v>-0.17087678529911801</v>
      </c>
      <c r="Q1368">
        <v>0.110138593432773</v>
      </c>
      <c r="R1368">
        <v>0.99668857728501203</v>
      </c>
      <c r="S1368" t="s">
        <v>8038</v>
      </c>
      <c r="T1368" t="s">
        <v>13338</v>
      </c>
      <c r="U1368" t="s">
        <v>13338</v>
      </c>
      <c r="V1368" t="s">
        <v>13338</v>
      </c>
      <c r="W1368" t="s">
        <v>14675</v>
      </c>
      <c r="X1368">
        <v>9</v>
      </c>
      <c r="Y1368" t="s">
        <v>21274</v>
      </c>
      <c r="Z1368" t="s">
        <v>27783</v>
      </c>
      <c r="AA1368">
        <v>0.43430108117501431</v>
      </c>
      <c r="AB1368" t="str">
        <f>HYPERLINK("Melting_Curves/meltCurve_O15269_SPTLC1.pdf", "Melting_Curves/meltCurve_O15269_SPTLC1.pdf")</f>
        <v>Melting_Curves/meltCurve_O15269_SPTLC1.pdf</v>
      </c>
    </row>
    <row r="1369" spans="1:28" x14ac:dyDescent="0.25">
      <c r="A1369" t="s">
        <v>1373</v>
      </c>
      <c r="B1369">
        <v>0.99193492352474899</v>
      </c>
      <c r="C1369">
        <v>1.03735629642982</v>
      </c>
      <c r="D1369">
        <v>1.1399714311104101</v>
      </c>
      <c r="E1369">
        <v>0.93688007704675702</v>
      </c>
      <c r="F1369">
        <v>0.28796906669461197</v>
      </c>
      <c r="G1369">
        <v>0.12638932164511099</v>
      </c>
      <c r="H1369">
        <v>7.73046613473726E-2</v>
      </c>
      <c r="I1369">
        <v>8.9014768091438004E-2</v>
      </c>
      <c r="J1369">
        <v>9.8364721214982104E-2</v>
      </c>
      <c r="K1369">
        <v>0.118677234958164</v>
      </c>
      <c r="L1369">
        <v>2888.9481098828501</v>
      </c>
      <c r="M1369">
        <v>55.630555451788901</v>
      </c>
      <c r="N1369">
        <v>52.140585389606699</v>
      </c>
      <c r="O1369">
        <v>51.8639738050963</v>
      </c>
      <c r="P1369">
        <v>-0.24128572034875401</v>
      </c>
      <c r="Q1369">
        <v>0.100204462063747</v>
      </c>
      <c r="R1369">
        <v>0.98852063316327299</v>
      </c>
      <c r="S1369" t="s">
        <v>8039</v>
      </c>
      <c r="T1369" t="s">
        <v>13338</v>
      </c>
      <c r="U1369" t="s">
        <v>13338</v>
      </c>
      <c r="V1369" t="s">
        <v>13338</v>
      </c>
      <c r="W1369" t="s">
        <v>14676</v>
      </c>
      <c r="X1369">
        <v>14</v>
      </c>
      <c r="Y1369" t="s">
        <v>21275</v>
      </c>
      <c r="Z1369" t="s">
        <v>27784</v>
      </c>
      <c r="AA1369">
        <v>0.4597151371171973</v>
      </c>
      <c r="AB1369" t="str">
        <f>HYPERLINK("Melting_Curves/meltCurve_O15270_SPTLC2.pdf", "Melting_Curves/meltCurve_O15270_SPTLC2.pdf")</f>
        <v>Melting_Curves/meltCurve_O15270_SPTLC2.pdf</v>
      </c>
    </row>
    <row r="1370" spans="1:28" x14ac:dyDescent="0.25">
      <c r="A1370" t="s">
        <v>1374</v>
      </c>
      <c r="B1370">
        <v>0.99193492352474899</v>
      </c>
      <c r="C1370">
        <v>0.57115825515959695</v>
      </c>
      <c r="D1370">
        <v>0.47593542007213502</v>
      </c>
      <c r="E1370">
        <v>0.29925916461938301</v>
      </c>
      <c r="F1370">
        <v>0.30546609995548801</v>
      </c>
      <c r="G1370">
        <v>0.38658440131180399</v>
      </c>
      <c r="H1370">
        <v>0.15911371353342901</v>
      </c>
      <c r="I1370">
        <v>8.8244443776532594E-2</v>
      </c>
      <c r="J1370">
        <v>8.2088903129967E-2</v>
      </c>
      <c r="K1370">
        <v>8.5745720500334396E-2</v>
      </c>
      <c r="L1370">
        <v>503.64116754203798</v>
      </c>
      <c r="M1370">
        <v>11.160328219282199</v>
      </c>
      <c r="N1370">
        <v>46.198436431824597</v>
      </c>
      <c r="O1370">
        <v>43.751620219002497</v>
      </c>
      <c r="P1370">
        <v>-5.6522418340609698E-2</v>
      </c>
      <c r="Q1370">
        <v>0.113947723694502</v>
      </c>
      <c r="R1370">
        <v>0.87590558004816998</v>
      </c>
      <c r="S1370" t="s">
        <v>8040</v>
      </c>
      <c r="T1370" t="s">
        <v>13338</v>
      </c>
      <c r="U1370" t="s">
        <v>13338</v>
      </c>
      <c r="V1370" t="s">
        <v>13338</v>
      </c>
      <c r="W1370" t="s">
        <v>14677</v>
      </c>
      <c r="X1370">
        <v>8</v>
      </c>
      <c r="Y1370" t="s">
        <v>21276</v>
      </c>
      <c r="Z1370" t="s">
        <v>27785</v>
      </c>
      <c r="AA1370">
        <v>0.31522481317952161</v>
      </c>
      <c r="AB1370" t="str">
        <f>HYPERLINK("Melting_Curves/meltCurve_O15294_3_OGT.pdf", "Melting_Curves/meltCurve_O15294_3_OGT.pdf")</f>
        <v>Melting_Curves/meltCurve_O15294_3_OGT.pdf</v>
      </c>
    </row>
    <row r="1371" spans="1:28" x14ac:dyDescent="0.25">
      <c r="A1371" t="s">
        <v>1375</v>
      </c>
      <c r="B1371">
        <v>0.99193492352474899</v>
      </c>
      <c r="C1371">
        <v>0.73716737286159395</v>
      </c>
      <c r="D1371">
        <v>0.856483766702963</v>
      </c>
      <c r="E1371">
        <v>0.60604522697341601</v>
      </c>
      <c r="F1371">
        <v>0.43917018896740201</v>
      </c>
      <c r="G1371">
        <v>0.238685030281308</v>
      </c>
      <c r="H1371">
        <v>0.103770739971146</v>
      </c>
      <c r="I1371">
        <v>0.115368610920074</v>
      </c>
      <c r="J1371">
        <v>0.103793740727742</v>
      </c>
      <c r="K1371">
        <v>0.13834054652890401</v>
      </c>
      <c r="L1371">
        <v>575.77060943035497</v>
      </c>
      <c r="M1371">
        <v>11.3058627263687</v>
      </c>
      <c r="N1371">
        <v>51.2946956111658</v>
      </c>
      <c r="O1371">
        <v>49.411497187913902</v>
      </c>
      <c r="P1371">
        <v>-5.4991201431623803E-2</v>
      </c>
      <c r="Q1371">
        <v>3.8950858200119801E-2</v>
      </c>
      <c r="R1371">
        <v>0.95970702747315495</v>
      </c>
      <c r="S1371" t="s">
        <v>8041</v>
      </c>
      <c r="T1371" t="s">
        <v>13338</v>
      </c>
      <c r="U1371" t="s">
        <v>13338</v>
      </c>
      <c r="V1371" t="s">
        <v>13338</v>
      </c>
      <c r="W1371" t="s">
        <v>14678</v>
      </c>
      <c r="X1371">
        <v>12</v>
      </c>
      <c r="Y1371" t="s">
        <v>21277</v>
      </c>
      <c r="Z1371" t="s">
        <v>27786</v>
      </c>
      <c r="AA1371">
        <v>0.42323069408901848</v>
      </c>
      <c r="AB1371" t="str">
        <f>HYPERLINK("Melting_Curves/meltCurve_O15305_PMM2.pdf", "Melting_Curves/meltCurve_O15305_PMM2.pdf")</f>
        <v>Melting_Curves/meltCurve_O15305_PMM2.pdf</v>
      </c>
    </row>
    <row r="1372" spans="1:28" x14ac:dyDescent="0.25">
      <c r="A1372" t="s">
        <v>1376</v>
      </c>
      <c r="B1372">
        <v>0.99193492352474899</v>
      </c>
      <c r="C1372">
        <v>1.1509555921007499</v>
      </c>
      <c r="D1372">
        <v>0.88235615555777602</v>
      </c>
      <c r="E1372">
        <v>0.98034374946371206</v>
      </c>
      <c r="F1372">
        <v>0.58404760321709503</v>
      </c>
      <c r="G1372">
        <v>0.48710192429539301</v>
      </c>
      <c r="H1372">
        <v>0.199378184522469</v>
      </c>
      <c r="I1372">
        <v>0.15735254382788699</v>
      </c>
      <c r="J1372">
        <v>0.118562645101167</v>
      </c>
      <c r="K1372">
        <v>0.103378257024394</v>
      </c>
      <c r="L1372">
        <v>976.71758954538905</v>
      </c>
      <c r="M1372">
        <v>17.747530425371501</v>
      </c>
      <c r="N1372">
        <v>55.605173138635699</v>
      </c>
      <c r="O1372">
        <v>54.349547601835198</v>
      </c>
      <c r="P1372">
        <v>-7.4837655233501804E-2</v>
      </c>
      <c r="Q1372">
        <v>8.3324847964544604E-2</v>
      </c>
      <c r="R1372">
        <v>0.96298759108126397</v>
      </c>
      <c r="S1372" t="s">
        <v>8042</v>
      </c>
      <c r="T1372" t="s">
        <v>13338</v>
      </c>
      <c r="U1372" t="s">
        <v>13338</v>
      </c>
      <c r="V1372" t="s">
        <v>13338</v>
      </c>
      <c r="W1372" t="s">
        <v>14679</v>
      </c>
      <c r="X1372">
        <v>2</v>
      </c>
      <c r="Y1372" t="s">
        <v>21278</v>
      </c>
      <c r="Z1372" t="s">
        <v>27787</v>
      </c>
      <c r="AA1372">
        <v>0.55713197826879179</v>
      </c>
      <c r="AB1372" t="str">
        <f>HYPERLINK("Melting_Curves/meltCurve_O15344_MID1.pdf", "Melting_Curves/meltCurve_O15344_MID1.pdf")</f>
        <v>Melting_Curves/meltCurve_O15344_MID1.pdf</v>
      </c>
    </row>
    <row r="1373" spans="1:28" x14ac:dyDescent="0.25">
      <c r="A1373" t="s">
        <v>1377</v>
      </c>
      <c r="B1373">
        <v>0.99193492352474899</v>
      </c>
      <c r="C1373">
        <v>0.722658118079469</v>
      </c>
      <c r="D1373">
        <v>0.95943703983184603</v>
      </c>
      <c r="E1373">
        <v>0.70454802888540002</v>
      </c>
      <c r="F1373">
        <v>0.57658607865019396</v>
      </c>
      <c r="G1373">
        <v>0.33806641673588</v>
      </c>
      <c r="H1373">
        <v>0.33187911273021398</v>
      </c>
      <c r="I1373">
        <v>0.26911398186253099</v>
      </c>
      <c r="J1373">
        <v>0.37292496208766002</v>
      </c>
      <c r="K1373">
        <v>0.357051576062553</v>
      </c>
      <c r="L1373">
        <v>684.34664623526101</v>
      </c>
      <c r="M1373">
        <v>13.531108282142</v>
      </c>
      <c r="N1373">
        <v>54.038063903419797</v>
      </c>
      <c r="O1373">
        <v>49.509484054440797</v>
      </c>
      <c r="P1373">
        <v>-4.8526595534713397E-2</v>
      </c>
      <c r="Q1373">
        <v>0.28988412594193003</v>
      </c>
      <c r="R1373">
        <v>0.87964946897504803</v>
      </c>
      <c r="S1373" t="s">
        <v>8043</v>
      </c>
      <c r="T1373" t="s">
        <v>13338</v>
      </c>
      <c r="U1373" t="s">
        <v>13338</v>
      </c>
      <c r="V1373" t="s">
        <v>13338</v>
      </c>
      <c r="W1373" t="s">
        <v>14680</v>
      </c>
      <c r="X1373">
        <v>16</v>
      </c>
      <c r="Y1373" t="s">
        <v>21279</v>
      </c>
      <c r="Z1373" t="s">
        <v>27788</v>
      </c>
      <c r="AA1373">
        <v>0.55994391089209539</v>
      </c>
      <c r="AB1373" t="str">
        <f>HYPERLINK("Melting_Curves/meltCurve_O15347_HMGB3.pdf", "Melting_Curves/meltCurve_O15347_HMGB3.pdf")</f>
        <v>Melting_Curves/meltCurve_O15347_HMGB3.pdf</v>
      </c>
    </row>
    <row r="1374" spans="1:28" x14ac:dyDescent="0.25">
      <c r="A1374" t="s">
        <v>1378</v>
      </c>
      <c r="B1374">
        <v>0.99193492352474899</v>
      </c>
      <c r="C1374">
        <v>0.95337227385285495</v>
      </c>
      <c r="D1374">
        <v>0.62444032162526397</v>
      </c>
      <c r="E1374">
        <v>0.217087589129105</v>
      </c>
      <c r="F1374">
        <v>0.12145489580503099</v>
      </c>
      <c r="G1374">
        <v>7.6120070013528301E-2</v>
      </c>
      <c r="H1374">
        <v>5.3745303083797803E-2</v>
      </c>
      <c r="I1374">
        <v>6.4681446997700107E-2</v>
      </c>
      <c r="J1374">
        <v>6.6263375137868105E-2</v>
      </c>
      <c r="K1374">
        <v>7.5374091091237799E-2</v>
      </c>
      <c r="L1374">
        <v>1343.9236198128301</v>
      </c>
      <c r="M1374">
        <v>28.783550783577802</v>
      </c>
      <c r="N1374">
        <v>46.9380190063508</v>
      </c>
      <c r="O1374">
        <v>46.467054594735302</v>
      </c>
      <c r="P1374">
        <v>-0.143964449632977</v>
      </c>
      <c r="Q1374">
        <v>7.0364511146445693E-2</v>
      </c>
      <c r="R1374">
        <v>0.99883333604046698</v>
      </c>
      <c r="S1374" t="s">
        <v>8044</v>
      </c>
      <c r="T1374" t="s">
        <v>13338</v>
      </c>
      <c r="U1374" t="s">
        <v>13338</v>
      </c>
      <c r="V1374" t="s">
        <v>13338</v>
      </c>
      <c r="W1374" t="s">
        <v>14681</v>
      </c>
      <c r="X1374">
        <v>24</v>
      </c>
      <c r="Y1374" t="s">
        <v>21280</v>
      </c>
      <c r="Z1374" t="s">
        <v>27789</v>
      </c>
      <c r="AA1374">
        <v>0.28381228357336979</v>
      </c>
      <c r="AB1374" t="str">
        <f>HYPERLINK("Melting_Curves/meltCurve_O15355_PPM1G.pdf", "Melting_Curves/meltCurve_O15355_PPM1G.pdf")</f>
        <v>Melting_Curves/meltCurve_O15355_PPM1G.pdf</v>
      </c>
    </row>
    <row r="1375" spans="1:28" x14ac:dyDescent="0.25">
      <c r="A1375" t="s">
        <v>1379</v>
      </c>
      <c r="B1375">
        <v>0.99193492352474899</v>
      </c>
      <c r="C1375">
        <v>0.875847155392662</v>
      </c>
      <c r="D1375">
        <v>0.71898924828668598</v>
      </c>
      <c r="E1375">
        <v>0.52410438269724902</v>
      </c>
      <c r="F1375">
        <v>0.29982763947035701</v>
      </c>
      <c r="G1375">
        <v>0.19099625921857299</v>
      </c>
      <c r="H1375">
        <v>8.4822408039330596E-2</v>
      </c>
      <c r="I1375">
        <v>7.6527944371780704E-2</v>
      </c>
      <c r="J1375">
        <v>9.1384376530514205E-2</v>
      </c>
      <c r="K1375">
        <v>0.10462623243118201</v>
      </c>
      <c r="L1375">
        <v>684.71036972304296</v>
      </c>
      <c r="M1375">
        <v>13.931009680286699</v>
      </c>
      <c r="N1375">
        <v>49.600619442211503</v>
      </c>
      <c r="O1375">
        <v>48.170544306358501</v>
      </c>
      <c r="P1375">
        <v>-6.8012856093350796E-2</v>
      </c>
      <c r="Q1375">
        <v>5.9429451443408901E-2</v>
      </c>
      <c r="R1375">
        <v>0.99583252358235097</v>
      </c>
      <c r="S1375" t="s">
        <v>8045</v>
      </c>
      <c r="T1375" t="s">
        <v>13338</v>
      </c>
      <c r="U1375" t="s">
        <v>13338</v>
      </c>
      <c r="V1375" t="s">
        <v>13338</v>
      </c>
      <c r="W1375" t="s">
        <v>14682</v>
      </c>
      <c r="X1375">
        <v>3</v>
      </c>
      <c r="Y1375" t="s">
        <v>21281</v>
      </c>
      <c r="Z1375" t="s">
        <v>27790</v>
      </c>
      <c r="AA1375">
        <v>0.37274667716788351</v>
      </c>
      <c r="AB1375" t="str">
        <f>HYPERLINK("Melting_Curves/meltCurve_O15379_HDAC3.pdf", "Melting_Curves/meltCurve_O15379_HDAC3.pdf")</f>
        <v>Melting_Curves/meltCurve_O15379_HDAC3.pdf</v>
      </c>
    </row>
    <row r="1376" spans="1:28" x14ac:dyDescent="0.25">
      <c r="A1376" t="s">
        <v>1380</v>
      </c>
      <c r="B1376">
        <v>0.99193492352474899</v>
      </c>
      <c r="C1376">
        <v>0.76555263394284601</v>
      </c>
      <c r="D1376">
        <v>0.65729603032837502</v>
      </c>
      <c r="E1376">
        <v>0.57030527103546602</v>
      </c>
      <c r="F1376">
        <v>0.34656066741185898</v>
      </c>
      <c r="G1376">
        <v>0.28030750452033099</v>
      </c>
      <c r="H1376">
        <v>0.119826935916268</v>
      </c>
      <c r="I1376">
        <v>0.12346247876611</v>
      </c>
      <c r="J1376">
        <v>0.34300617824249502</v>
      </c>
      <c r="K1376">
        <v>0.17077357111006</v>
      </c>
      <c r="L1376">
        <v>572.17326344363596</v>
      </c>
      <c r="M1376">
        <v>11.9486609662499</v>
      </c>
      <c r="N1376">
        <v>49.497913723462098</v>
      </c>
      <c r="O1376">
        <v>46.603812727418102</v>
      </c>
      <c r="P1376">
        <v>-5.37795129823836E-2</v>
      </c>
      <c r="Q1376">
        <v>0.161172558815522</v>
      </c>
      <c r="R1376">
        <v>0.92973964747598403</v>
      </c>
      <c r="S1376" t="s">
        <v>8046</v>
      </c>
      <c r="T1376" t="s">
        <v>13338</v>
      </c>
      <c r="U1376" t="s">
        <v>13338</v>
      </c>
      <c r="V1376" t="s">
        <v>13338</v>
      </c>
      <c r="W1376" t="s">
        <v>14683</v>
      </c>
      <c r="X1376">
        <v>3</v>
      </c>
      <c r="Y1376" t="s">
        <v>21282</v>
      </c>
      <c r="Z1376" t="s">
        <v>27791</v>
      </c>
      <c r="AA1376">
        <v>0.41499934202115107</v>
      </c>
      <c r="AB1376" t="str">
        <f>HYPERLINK("Melting_Curves/meltCurve_O15381_NVL.pdf", "Melting_Curves/meltCurve_O15381_NVL.pdf")</f>
        <v>Melting_Curves/meltCurve_O15381_NVL.pdf</v>
      </c>
    </row>
    <row r="1377" spans="1:28" x14ac:dyDescent="0.25">
      <c r="A1377" t="s">
        <v>1381</v>
      </c>
      <c r="B1377">
        <v>0.99193492352474899</v>
      </c>
      <c r="C1377">
        <v>1.0202415218331999</v>
      </c>
      <c r="D1377">
        <v>0.93725403986427802</v>
      </c>
      <c r="E1377">
        <v>0.88576959157856705</v>
      </c>
      <c r="F1377">
        <v>0.76738384198209098</v>
      </c>
      <c r="G1377">
        <v>0.49404184527053702</v>
      </c>
      <c r="H1377">
        <v>0.35024019490396602</v>
      </c>
      <c r="I1377">
        <v>0.24863776056326301</v>
      </c>
      <c r="J1377">
        <v>0.24199431842734001</v>
      </c>
      <c r="K1377">
        <v>0.17401226147905199</v>
      </c>
      <c r="L1377">
        <v>876.63867112622495</v>
      </c>
      <c r="M1377">
        <v>15.7077565505219</v>
      </c>
      <c r="N1377">
        <v>57.199763407818097</v>
      </c>
      <c r="O1377">
        <v>54.928222361898698</v>
      </c>
      <c r="P1377">
        <v>-6.0151579652330298E-2</v>
      </c>
      <c r="Q1377">
        <v>0.15869819567416199</v>
      </c>
      <c r="R1377">
        <v>0.99502004588120296</v>
      </c>
      <c r="S1377" t="s">
        <v>8047</v>
      </c>
      <c r="T1377" t="s">
        <v>13338</v>
      </c>
      <c r="U1377" t="s">
        <v>13338</v>
      </c>
      <c r="V1377" t="s">
        <v>13338</v>
      </c>
      <c r="W1377" t="s">
        <v>14684</v>
      </c>
      <c r="X1377">
        <v>13</v>
      </c>
      <c r="Y1377" t="s">
        <v>21283</v>
      </c>
      <c r="Z1377" t="s">
        <v>27792</v>
      </c>
      <c r="AA1377">
        <v>0.61659877034024546</v>
      </c>
      <c r="AB1377" t="str">
        <f>HYPERLINK("Melting_Curves/meltCurve_O15382_BCAT2.pdf", "Melting_Curves/meltCurve_O15382_BCAT2.pdf")</f>
        <v>Melting_Curves/meltCurve_O15382_BCAT2.pdf</v>
      </c>
    </row>
    <row r="1378" spans="1:28" x14ac:dyDescent="0.25">
      <c r="A1378" t="s">
        <v>1382</v>
      </c>
      <c r="B1378">
        <v>0.99193492352474899</v>
      </c>
      <c r="C1378">
        <v>0.79626353745140699</v>
      </c>
      <c r="D1378">
        <v>0.69446381551852499</v>
      </c>
      <c r="E1378">
        <v>0.52038243644210203</v>
      </c>
      <c r="F1378">
        <v>0.45914483403828399</v>
      </c>
      <c r="G1378">
        <v>0.26177729040556402</v>
      </c>
      <c r="H1378">
        <v>0.272583795797748</v>
      </c>
      <c r="I1378">
        <v>0.30637015624720099</v>
      </c>
      <c r="J1378">
        <v>0.49997224318754702</v>
      </c>
      <c r="K1378">
        <v>0.56746234879062896</v>
      </c>
      <c r="L1378">
        <v>840.087190120591</v>
      </c>
      <c r="M1378">
        <v>18.443980644268802</v>
      </c>
      <c r="N1378">
        <v>49.555891911975202</v>
      </c>
      <c r="O1378">
        <v>45.022725486354297</v>
      </c>
      <c r="P1378">
        <v>-6.2731792476807893E-2</v>
      </c>
      <c r="Q1378">
        <v>0.387500981446597</v>
      </c>
      <c r="R1378">
        <v>0.81730109837152798</v>
      </c>
      <c r="S1378" t="s">
        <v>8048</v>
      </c>
      <c r="T1378" t="s">
        <v>13338</v>
      </c>
      <c r="U1378" t="s">
        <v>13338</v>
      </c>
      <c r="V1378" t="s">
        <v>13338</v>
      </c>
      <c r="W1378" t="s">
        <v>14685</v>
      </c>
      <c r="X1378">
        <v>6</v>
      </c>
      <c r="Y1378" t="s">
        <v>21284</v>
      </c>
      <c r="Z1378" t="s">
        <v>27793</v>
      </c>
      <c r="AA1378">
        <v>0.51259296599736126</v>
      </c>
      <c r="AB1378" t="str">
        <f>HYPERLINK("Melting_Curves/meltCurve_O15392_4_BIRC5.pdf", "Melting_Curves/meltCurve_O15392_4_BIRC5.pdf")</f>
        <v>Melting_Curves/meltCurve_O15392_4_BIRC5.pdf</v>
      </c>
    </row>
    <row r="1379" spans="1:28" x14ac:dyDescent="0.25">
      <c r="A1379" t="s">
        <v>1383</v>
      </c>
      <c r="B1379">
        <v>0.99193492352474899</v>
      </c>
      <c r="C1379">
        <v>0.760082871889045</v>
      </c>
      <c r="D1379">
        <v>0.64776005514311996</v>
      </c>
      <c r="E1379">
        <v>0.23649156968728599</v>
      </c>
      <c r="F1379">
        <v>0.18848663185869999</v>
      </c>
      <c r="G1379">
        <v>7.0237656152812897E-2</v>
      </c>
      <c r="H1379">
        <v>4.57342095379661E-2</v>
      </c>
      <c r="I1379">
        <v>4.57908656708634E-2</v>
      </c>
      <c r="J1379">
        <v>6.13348749561448E-2</v>
      </c>
      <c r="K1379">
        <v>0.12551364978239099</v>
      </c>
      <c r="L1379">
        <v>848.01282059800803</v>
      </c>
      <c r="M1379">
        <v>18.226709100467399</v>
      </c>
      <c r="N1379">
        <v>46.862516153556598</v>
      </c>
      <c r="O1379">
        <v>45.976628139139102</v>
      </c>
      <c r="P1379">
        <v>-9.3030731142159595E-2</v>
      </c>
      <c r="Q1379">
        <v>6.1369023470847703E-2</v>
      </c>
      <c r="R1379">
        <v>0.97995044706946299</v>
      </c>
      <c r="S1379" t="s">
        <v>8049</v>
      </c>
      <c r="T1379" t="s">
        <v>13338</v>
      </c>
      <c r="U1379" t="s">
        <v>13338</v>
      </c>
      <c r="V1379" t="s">
        <v>13338</v>
      </c>
      <c r="W1379" t="s">
        <v>14686</v>
      </c>
      <c r="X1379">
        <v>14</v>
      </c>
      <c r="Y1379" t="s">
        <v>21285</v>
      </c>
      <c r="Z1379" t="s">
        <v>27794</v>
      </c>
      <c r="AA1379">
        <v>0.28283569511455497</v>
      </c>
      <c r="AB1379" t="str">
        <f>HYPERLINK("Melting_Curves/meltCurve_O15397_IPO8.pdf", "Melting_Curves/meltCurve_O15397_IPO8.pdf")</f>
        <v>Melting_Curves/meltCurve_O15397_IPO8.pdf</v>
      </c>
    </row>
    <row r="1380" spans="1:28" x14ac:dyDescent="0.25">
      <c r="A1380" t="s">
        <v>1384</v>
      </c>
      <c r="B1380">
        <v>0.99193492352474899</v>
      </c>
      <c r="C1380">
        <v>1.08962548728636</v>
      </c>
      <c r="D1380">
        <v>0.91023479349682401</v>
      </c>
      <c r="E1380">
        <v>1.02847685303771</v>
      </c>
      <c r="F1380">
        <v>0.76069184524088795</v>
      </c>
      <c r="G1380">
        <v>0.63402562079328595</v>
      </c>
      <c r="H1380">
        <v>0.46984285013162502</v>
      </c>
      <c r="I1380">
        <v>0.51663385059615097</v>
      </c>
      <c r="J1380">
        <v>0.44985256092508802</v>
      </c>
      <c r="K1380">
        <v>0.63748706246277398</v>
      </c>
      <c r="L1380">
        <v>1815.89727646754</v>
      </c>
      <c r="M1380">
        <v>33.893210362437699</v>
      </c>
      <c r="O1380">
        <v>53.391541065322798</v>
      </c>
      <c r="P1380">
        <v>-7.5500421254341199E-2</v>
      </c>
      <c r="Q1380">
        <v>0.52426252401095597</v>
      </c>
      <c r="R1380">
        <v>0.91461446659375101</v>
      </c>
      <c r="S1380" t="s">
        <v>8050</v>
      </c>
      <c r="T1380" t="s">
        <v>13338</v>
      </c>
      <c r="U1380" t="s">
        <v>13338</v>
      </c>
      <c r="V1380" t="s">
        <v>13338</v>
      </c>
      <c r="W1380" t="s">
        <v>14687</v>
      </c>
      <c r="X1380">
        <v>12</v>
      </c>
      <c r="Y1380" t="s">
        <v>21286</v>
      </c>
      <c r="Z1380" t="s">
        <v>27795</v>
      </c>
      <c r="AA1380">
        <v>0.7420128541720753</v>
      </c>
      <c r="AB1380" t="str">
        <f>HYPERLINK("Melting_Curves/meltCurve_O15400_2_STX7.pdf", "Melting_Curves/meltCurve_O15400_2_STX7.pdf")</f>
        <v>Melting_Curves/meltCurve_O15400_2_STX7.pdf</v>
      </c>
    </row>
    <row r="1381" spans="1:28" x14ac:dyDescent="0.25">
      <c r="A1381" t="s">
        <v>1385</v>
      </c>
      <c r="B1381">
        <v>0.99193492352474899</v>
      </c>
      <c r="C1381">
        <v>0.87020789961813205</v>
      </c>
      <c r="D1381">
        <v>1.0104881945984701</v>
      </c>
      <c r="E1381">
        <v>0.850578564477109</v>
      </c>
      <c r="F1381">
        <v>0.80078138869295301</v>
      </c>
      <c r="G1381">
        <v>0.69877696676492496</v>
      </c>
      <c r="H1381">
        <v>0.46489670296337798</v>
      </c>
      <c r="I1381">
        <v>0.51284580222276499</v>
      </c>
      <c r="J1381">
        <v>0.673063928854711</v>
      </c>
      <c r="K1381">
        <v>0.88679898176027105</v>
      </c>
      <c r="L1381">
        <v>1177.16853851155</v>
      </c>
      <c r="M1381">
        <v>22.973209692055999</v>
      </c>
      <c r="O1381">
        <v>50.857427078818198</v>
      </c>
      <c r="P1381">
        <v>-4.0305939052693501E-2</v>
      </c>
      <c r="Q1381">
        <v>0.64309439834625404</v>
      </c>
      <c r="R1381">
        <v>0.56888172287515404</v>
      </c>
      <c r="S1381" t="s">
        <v>8051</v>
      </c>
      <c r="T1381" t="s">
        <v>13338</v>
      </c>
      <c r="U1381" t="s">
        <v>13338</v>
      </c>
      <c r="V1381" t="s">
        <v>13338</v>
      </c>
      <c r="W1381" t="s">
        <v>14688</v>
      </c>
      <c r="X1381">
        <v>3</v>
      </c>
      <c r="Y1381" t="s">
        <v>21287</v>
      </c>
      <c r="Z1381" t="s">
        <v>27796</v>
      </c>
      <c r="AA1381">
        <v>0.7806356710283463</v>
      </c>
      <c r="AB1381" t="str">
        <f>HYPERLINK("Melting_Curves/meltCurve_O15427_SLC16A3.pdf", "Melting_Curves/meltCurve_O15427_SLC16A3.pdf")</f>
        <v>Melting_Curves/meltCurve_O15427_SLC16A3.pdf</v>
      </c>
    </row>
    <row r="1382" spans="1:28" x14ac:dyDescent="0.25">
      <c r="A1382" t="s">
        <v>1386</v>
      </c>
      <c r="B1382">
        <v>0.99193492352474899</v>
      </c>
      <c r="C1382">
        <v>1.1987301292736601</v>
      </c>
      <c r="D1382">
        <v>0.98079356745403101</v>
      </c>
      <c r="E1382">
        <v>1.02402659163439</v>
      </c>
      <c r="F1382">
        <v>0.93099926952227896</v>
      </c>
      <c r="G1382">
        <v>0.75976257399700198</v>
      </c>
      <c r="H1382">
        <v>0.671614902316782</v>
      </c>
      <c r="I1382">
        <v>0.86154340179261502</v>
      </c>
      <c r="J1382">
        <v>0.74291648405835198</v>
      </c>
      <c r="K1382">
        <v>0.82454462631018599</v>
      </c>
      <c r="L1382">
        <v>13344.3848488563</v>
      </c>
      <c r="M1382">
        <v>250</v>
      </c>
      <c r="O1382">
        <v>53.374120080470703</v>
      </c>
      <c r="P1382">
        <v>-0.26689386009481098</v>
      </c>
      <c r="Q1382">
        <v>0.77207638627892095</v>
      </c>
      <c r="R1382">
        <v>0.72189501700444803</v>
      </c>
      <c r="S1382" t="s">
        <v>8052</v>
      </c>
      <c r="T1382" t="s">
        <v>13338</v>
      </c>
      <c r="U1382" t="s">
        <v>13338</v>
      </c>
      <c r="V1382" t="s">
        <v>13338</v>
      </c>
      <c r="W1382" t="s">
        <v>14689</v>
      </c>
      <c r="X1382">
        <v>1</v>
      </c>
      <c r="Y1382" t="s">
        <v>21288</v>
      </c>
      <c r="Z1382" t="s">
        <v>27797</v>
      </c>
      <c r="AA1382">
        <v>0.87373297481255485</v>
      </c>
      <c r="AB1382" t="str">
        <f>HYPERLINK("Melting_Curves/meltCurve_O15431_SLC31A1.pdf", "Melting_Curves/meltCurve_O15431_SLC31A1.pdf")</f>
        <v>Melting_Curves/meltCurve_O15431_SLC31A1.pdf</v>
      </c>
    </row>
    <row r="1383" spans="1:28" x14ac:dyDescent="0.25">
      <c r="A1383" t="s">
        <v>1387</v>
      </c>
      <c r="B1383">
        <v>0.99193492352474899</v>
      </c>
      <c r="C1383">
        <v>1.0281677811165699</v>
      </c>
      <c r="D1383">
        <v>0.95222460023692501</v>
      </c>
      <c r="E1383">
        <v>0.851262901144623</v>
      </c>
      <c r="F1383">
        <v>0.82221220975146303</v>
      </c>
      <c r="G1383">
        <v>0.60969716646162297</v>
      </c>
      <c r="H1383">
        <v>0.38366171008890199</v>
      </c>
      <c r="I1383">
        <v>0.16463646668765899</v>
      </c>
      <c r="J1383">
        <v>0.17771324134511901</v>
      </c>
      <c r="K1383">
        <v>0.12982961903661699</v>
      </c>
      <c r="L1383">
        <v>815.37017525863598</v>
      </c>
      <c r="M1383">
        <v>14.034788755326399</v>
      </c>
      <c r="N1383">
        <v>58.334207831407802</v>
      </c>
      <c r="O1383">
        <v>56.9550285356597</v>
      </c>
      <c r="P1383">
        <v>-5.9899400375413102E-2</v>
      </c>
      <c r="Q1383">
        <v>2.78086733648433E-2</v>
      </c>
      <c r="R1383">
        <v>0.98823464196014099</v>
      </c>
      <c r="S1383" t="s">
        <v>8053</v>
      </c>
      <c r="T1383" t="s">
        <v>13338</v>
      </c>
      <c r="U1383" t="s">
        <v>13338</v>
      </c>
      <c r="V1383" t="s">
        <v>13338</v>
      </c>
      <c r="W1383" t="s">
        <v>14690</v>
      </c>
      <c r="X1383">
        <v>7</v>
      </c>
      <c r="Y1383" t="s">
        <v>21289</v>
      </c>
      <c r="Z1383" t="s">
        <v>27798</v>
      </c>
      <c r="AA1383">
        <v>0.62706161747550537</v>
      </c>
      <c r="AB1383" t="str">
        <f>HYPERLINK("Melting_Curves/meltCurve_O15439_2_ABCC4.pdf", "Melting_Curves/meltCurve_O15439_2_ABCC4.pdf")</f>
        <v>Melting_Curves/meltCurve_O15439_2_ABCC4.pdf</v>
      </c>
    </row>
    <row r="1384" spans="1:28" x14ac:dyDescent="0.25">
      <c r="A1384" t="s">
        <v>1388</v>
      </c>
      <c r="B1384">
        <v>0.99193492352474899</v>
      </c>
      <c r="C1384">
        <v>0.53798712647380198</v>
      </c>
      <c r="D1384">
        <v>0.70723319908871296</v>
      </c>
      <c r="E1384">
        <v>0.56599408839054499</v>
      </c>
      <c r="F1384">
        <v>0.71909050377631401</v>
      </c>
      <c r="G1384">
        <v>0.34603432772408699</v>
      </c>
      <c r="H1384">
        <v>0.601567244868082</v>
      </c>
      <c r="I1384">
        <v>0.65502660516413802</v>
      </c>
      <c r="J1384">
        <v>1.10004566956419</v>
      </c>
      <c r="K1384">
        <v>1.552355579266</v>
      </c>
      <c r="L1384">
        <v>10135.3556723241</v>
      </c>
      <c r="M1384">
        <v>250</v>
      </c>
      <c r="O1384">
        <v>40.538828327279703</v>
      </c>
      <c r="P1384">
        <v>-0.37938001507290797</v>
      </c>
      <c r="Q1384">
        <v>0.75392605958116099</v>
      </c>
      <c r="R1384">
        <v>4.6645978918794899E-2</v>
      </c>
      <c r="S1384" t="s">
        <v>8054</v>
      </c>
      <c r="T1384" t="s">
        <v>13338</v>
      </c>
      <c r="U1384" t="s">
        <v>13338</v>
      </c>
      <c r="V1384" t="s">
        <v>13338</v>
      </c>
      <c r="W1384" t="s">
        <v>13778</v>
      </c>
      <c r="X1384">
        <v>7</v>
      </c>
      <c r="Y1384" t="s">
        <v>21290</v>
      </c>
      <c r="Z1384" t="s">
        <v>27799</v>
      </c>
      <c r="AA1384">
        <v>0.75842741582345097</v>
      </c>
      <c r="AB1384" t="str">
        <f>HYPERLINK("Melting_Curves/meltCurve_O15446_CD3EAP.pdf", "Melting_Curves/meltCurve_O15446_CD3EAP.pdf")</f>
        <v>Melting_Curves/meltCurve_O15446_CD3EAP.pdf</v>
      </c>
    </row>
    <row r="1385" spans="1:28" x14ac:dyDescent="0.25">
      <c r="A1385" t="s">
        <v>1389</v>
      </c>
      <c r="B1385">
        <v>0.99193492352474899</v>
      </c>
      <c r="C1385">
        <v>0.92063663902869497</v>
      </c>
      <c r="D1385">
        <v>1.11237690780544</v>
      </c>
      <c r="E1385">
        <v>0.96202482624278196</v>
      </c>
      <c r="F1385">
        <v>0.81982141054448099</v>
      </c>
      <c r="G1385">
        <v>0.42145416388349499</v>
      </c>
      <c r="H1385">
        <v>0.14478504490375299</v>
      </c>
      <c r="I1385">
        <v>0.10696953903544899</v>
      </c>
      <c r="J1385">
        <v>0.10380834382024701</v>
      </c>
      <c r="K1385">
        <v>0.13043198335293699</v>
      </c>
      <c r="L1385">
        <v>1739.20459865413</v>
      </c>
      <c r="M1385">
        <v>31.269924752502899</v>
      </c>
      <c r="N1385">
        <v>56.034728909582697</v>
      </c>
      <c r="O1385">
        <v>55.393104236520401</v>
      </c>
      <c r="P1385">
        <v>-0.12652047120446699</v>
      </c>
      <c r="Q1385">
        <v>0.103506354210345</v>
      </c>
      <c r="R1385">
        <v>0.98729025611796695</v>
      </c>
      <c r="S1385" t="s">
        <v>8055</v>
      </c>
      <c r="T1385" t="s">
        <v>13338</v>
      </c>
      <c r="U1385" t="s">
        <v>13338</v>
      </c>
      <c r="V1385" t="s">
        <v>13338</v>
      </c>
      <c r="W1385" t="s">
        <v>14691</v>
      </c>
      <c r="X1385">
        <v>10</v>
      </c>
      <c r="Y1385" t="s">
        <v>21291</v>
      </c>
      <c r="Z1385" t="s">
        <v>27800</v>
      </c>
      <c r="AA1385">
        <v>0.57577827123444547</v>
      </c>
      <c r="AB1385" t="str">
        <f>HYPERLINK("Melting_Curves/meltCurve_O15498_YKT6.pdf", "Melting_Curves/meltCurve_O15498_YKT6.pdf")</f>
        <v>Melting_Curves/meltCurve_O15498_YKT6.pdf</v>
      </c>
    </row>
    <row r="1386" spans="1:28" x14ac:dyDescent="0.25">
      <c r="A1386" t="s">
        <v>1390</v>
      </c>
      <c r="B1386">
        <v>0.99193492352474899</v>
      </c>
      <c r="C1386">
        <v>0.67417023234893003</v>
      </c>
      <c r="D1386">
        <v>0.97709132973835</v>
      </c>
      <c r="E1386">
        <v>0.63922767601346997</v>
      </c>
      <c r="F1386">
        <v>0.76909801154964097</v>
      </c>
      <c r="G1386">
        <v>0.479084356880355</v>
      </c>
      <c r="H1386">
        <v>0.31581957414360701</v>
      </c>
      <c r="I1386">
        <v>0.20570695086577301</v>
      </c>
      <c r="J1386">
        <v>0.216292243055874</v>
      </c>
      <c r="K1386">
        <v>0.172903558517604</v>
      </c>
      <c r="L1386">
        <v>447.24850599987298</v>
      </c>
      <c r="M1386">
        <v>7.9754561128649302</v>
      </c>
      <c r="N1386">
        <v>56.078110098386801</v>
      </c>
      <c r="O1386">
        <v>52.881697373799497</v>
      </c>
      <c r="P1386">
        <v>-3.7747380357672597E-2</v>
      </c>
      <c r="Q1386">
        <v>0</v>
      </c>
      <c r="R1386">
        <v>0.86437382471866597</v>
      </c>
      <c r="S1386" t="s">
        <v>8056</v>
      </c>
      <c r="T1386" t="s">
        <v>13338</v>
      </c>
      <c r="U1386" t="s">
        <v>13338</v>
      </c>
      <c r="V1386" t="s">
        <v>13338</v>
      </c>
      <c r="W1386" t="s">
        <v>14692</v>
      </c>
      <c r="X1386">
        <v>6</v>
      </c>
      <c r="Y1386" t="s">
        <v>21292</v>
      </c>
      <c r="Z1386" t="s">
        <v>27801</v>
      </c>
      <c r="AA1386">
        <v>0.55512094912758125</v>
      </c>
      <c r="AB1386" t="str">
        <f>HYPERLINK("Melting_Curves/meltCurve_O15511_ARPC5.pdf", "Melting_Curves/meltCurve_O15511_ARPC5.pdf")</f>
        <v>Melting_Curves/meltCurve_O15511_ARPC5.pdf</v>
      </c>
    </row>
    <row r="1387" spans="1:28" x14ac:dyDescent="0.25">
      <c r="A1387" t="s">
        <v>1391</v>
      </c>
      <c r="B1387">
        <v>0.99193492352474899</v>
      </c>
      <c r="C1387">
        <v>0.93229479746698096</v>
      </c>
      <c r="D1387">
        <v>0.88158818741143496</v>
      </c>
      <c r="E1387">
        <v>0.95341529516968504</v>
      </c>
      <c r="F1387">
        <v>0.91580714739778202</v>
      </c>
      <c r="G1387">
        <v>0.72593464562369303</v>
      </c>
      <c r="H1387">
        <v>0.58267386312195302</v>
      </c>
      <c r="I1387">
        <v>0.41658279861457598</v>
      </c>
      <c r="J1387">
        <v>0.31750617999848402</v>
      </c>
      <c r="K1387">
        <v>0.291004592705358</v>
      </c>
      <c r="L1387">
        <v>740.84052925616004</v>
      </c>
      <c r="M1387">
        <v>12.1623348128212</v>
      </c>
      <c r="N1387">
        <v>62.318378730617603</v>
      </c>
      <c r="O1387">
        <v>59.336120382776002</v>
      </c>
      <c r="P1387">
        <v>-4.5106374708760201E-2</v>
      </c>
      <c r="Q1387">
        <v>0.119963397557603</v>
      </c>
      <c r="R1387">
        <v>0.97401453785423198</v>
      </c>
      <c r="S1387" t="s">
        <v>8057</v>
      </c>
      <c r="T1387" t="s">
        <v>13338</v>
      </c>
      <c r="U1387" t="s">
        <v>13338</v>
      </c>
      <c r="V1387" t="s">
        <v>13338</v>
      </c>
      <c r="W1387" t="s">
        <v>14693</v>
      </c>
      <c r="X1387">
        <v>4</v>
      </c>
      <c r="Y1387" t="s">
        <v>21293</v>
      </c>
      <c r="Z1387" t="s">
        <v>27802</v>
      </c>
      <c r="AA1387">
        <v>0.73084182235861184</v>
      </c>
      <c r="AB1387" t="str">
        <f>HYPERLINK("Melting_Curves/meltCurve_O15514_POLR2D.pdf", "Melting_Curves/meltCurve_O15514_POLR2D.pdf")</f>
        <v>Melting_Curves/meltCurve_O15514_POLR2D.pdf</v>
      </c>
    </row>
    <row r="1388" spans="1:28" x14ac:dyDescent="0.25">
      <c r="A1388" t="s">
        <v>1392</v>
      </c>
      <c r="B1388">
        <v>0.99193492352474899</v>
      </c>
      <c r="C1388">
        <v>1.03561559336917</v>
      </c>
      <c r="D1388">
        <v>1.0004962631377501</v>
      </c>
      <c r="E1388">
        <v>0.60846507330991895</v>
      </c>
      <c r="F1388">
        <v>0.218580088015637</v>
      </c>
      <c r="G1388">
        <v>0.146795189798336</v>
      </c>
      <c r="H1388">
        <v>7.8593590214717596E-2</v>
      </c>
      <c r="I1388">
        <v>7.7417351857296396E-2</v>
      </c>
      <c r="J1388">
        <v>9.3983873270775203E-2</v>
      </c>
      <c r="K1388">
        <v>9.7808797153983204E-2</v>
      </c>
      <c r="L1388">
        <v>1711.2871441310399</v>
      </c>
      <c r="M1388">
        <v>34.160640648944899</v>
      </c>
      <c r="N1388">
        <v>50.411928443034498</v>
      </c>
      <c r="O1388">
        <v>49.924551869881299</v>
      </c>
      <c r="P1388">
        <v>-0.15454532452865999</v>
      </c>
      <c r="Q1388">
        <v>9.65537470169716E-2</v>
      </c>
      <c r="R1388">
        <v>0.99649854830674001</v>
      </c>
      <c r="S1388" t="s">
        <v>8058</v>
      </c>
      <c r="T1388" t="s">
        <v>13338</v>
      </c>
      <c r="U1388" t="s">
        <v>13338</v>
      </c>
      <c r="V1388" t="s">
        <v>13338</v>
      </c>
      <c r="W1388" t="s">
        <v>14694</v>
      </c>
      <c r="X1388">
        <v>9</v>
      </c>
      <c r="Y1388" t="s">
        <v>21294</v>
      </c>
      <c r="Z1388" t="s">
        <v>27803</v>
      </c>
      <c r="AA1388">
        <v>0.40487611036872118</v>
      </c>
      <c r="AB1388" t="str">
        <f>HYPERLINK("Melting_Curves/meltCurve_O15530_PDPK1.pdf", "Melting_Curves/meltCurve_O15530_PDPK1.pdf")</f>
        <v>Melting_Curves/meltCurve_O15530_PDPK1.pdf</v>
      </c>
    </row>
    <row r="1389" spans="1:28" x14ac:dyDescent="0.25">
      <c r="A1389" t="s">
        <v>1393</v>
      </c>
      <c r="B1389">
        <v>0.99193492352474899</v>
      </c>
      <c r="C1389">
        <v>0.83297261054307303</v>
      </c>
      <c r="D1389">
        <v>0.95705096165829995</v>
      </c>
      <c r="E1389">
        <v>0.79027493772495405</v>
      </c>
      <c r="F1389">
        <v>0.71701819271062195</v>
      </c>
      <c r="G1389">
        <v>0.49031679949448898</v>
      </c>
      <c r="H1389">
        <v>0.32999635617997702</v>
      </c>
      <c r="I1389">
        <v>0.34908645070320599</v>
      </c>
      <c r="J1389">
        <v>0.41672935567352698</v>
      </c>
      <c r="K1389">
        <v>0.52385167669050003</v>
      </c>
      <c r="L1389">
        <v>896.043297205557</v>
      </c>
      <c r="M1389">
        <v>17.217693188118002</v>
      </c>
      <c r="N1389">
        <v>57.067137782666002</v>
      </c>
      <c r="O1389">
        <v>51.355172676392399</v>
      </c>
      <c r="P1389">
        <v>-5.1112818799158202E-2</v>
      </c>
      <c r="Q1389">
        <v>0.39021925110462802</v>
      </c>
      <c r="R1389">
        <v>0.88808393797358798</v>
      </c>
      <c r="S1389" t="s">
        <v>8059</v>
      </c>
      <c r="T1389" t="s">
        <v>13338</v>
      </c>
      <c r="U1389" t="s">
        <v>13338</v>
      </c>
      <c r="V1389" t="s">
        <v>13338</v>
      </c>
      <c r="W1389" t="s">
        <v>14695</v>
      </c>
      <c r="X1389">
        <v>14</v>
      </c>
      <c r="Y1389" t="s">
        <v>21295</v>
      </c>
      <c r="Z1389" t="s">
        <v>27804</v>
      </c>
      <c r="AA1389">
        <v>0.64591342331467028</v>
      </c>
      <c r="AB1389" t="str">
        <f>HYPERLINK("Melting_Curves/meltCurve_O15541_RNF113A.pdf", "Melting_Curves/meltCurve_O15541_RNF113A.pdf")</f>
        <v>Melting_Curves/meltCurve_O15541_RNF113A.pdf</v>
      </c>
    </row>
    <row r="1390" spans="1:28" x14ac:dyDescent="0.25">
      <c r="A1390" t="s">
        <v>1394</v>
      </c>
      <c r="B1390">
        <v>0.99193492352474899</v>
      </c>
      <c r="C1390">
        <v>0.78395302693021196</v>
      </c>
      <c r="D1390">
        <v>0.92133919777485096</v>
      </c>
      <c r="E1390">
        <v>0.73898656197433799</v>
      </c>
      <c r="F1390">
        <v>0.63531954430044102</v>
      </c>
      <c r="G1390">
        <v>0.30847501588561799</v>
      </c>
      <c r="H1390">
        <v>9.3185289888054607E-2</v>
      </c>
      <c r="I1390">
        <v>9.5335950987931906E-2</v>
      </c>
      <c r="J1390">
        <v>0.103466486751723</v>
      </c>
      <c r="K1390">
        <v>0.114653547636593</v>
      </c>
      <c r="L1390">
        <v>736.36486568958901</v>
      </c>
      <c r="M1390">
        <v>13.7314807843916</v>
      </c>
      <c r="N1390">
        <v>53.801572459408099</v>
      </c>
      <c r="O1390">
        <v>52.5270578803189</v>
      </c>
      <c r="P1390">
        <v>-6.3931800098057906E-2</v>
      </c>
      <c r="Q1390">
        <v>2.1905881736681999E-2</v>
      </c>
      <c r="R1390">
        <v>0.95399792774213699</v>
      </c>
      <c r="S1390" t="s">
        <v>8060</v>
      </c>
      <c r="T1390" t="s">
        <v>13338</v>
      </c>
      <c r="U1390" t="s">
        <v>13338</v>
      </c>
      <c r="V1390" t="s">
        <v>13338</v>
      </c>
      <c r="W1390" t="s">
        <v>14696</v>
      </c>
      <c r="X1390">
        <v>45</v>
      </c>
      <c r="Y1390" t="s">
        <v>21296</v>
      </c>
      <c r="Z1390" t="s">
        <v>27805</v>
      </c>
      <c r="AA1390">
        <v>0.48898323916187703</v>
      </c>
      <c r="AB1390" t="str">
        <f>HYPERLINK("Melting_Curves/meltCurve_O43143_DHX15.pdf", "Melting_Curves/meltCurve_O43143_DHX15.pdf")</f>
        <v>Melting_Curves/meltCurve_O43143_DHX15.pdf</v>
      </c>
    </row>
    <row r="1391" spans="1:28" x14ac:dyDescent="0.25">
      <c r="A1391" t="s">
        <v>1395</v>
      </c>
      <c r="B1391">
        <v>0.99193492352474899</v>
      </c>
      <c r="C1391">
        <v>0.61077803952149901</v>
      </c>
      <c r="D1391">
        <v>0.94183208158172405</v>
      </c>
      <c r="E1391">
        <v>0.69592621182482095</v>
      </c>
      <c r="F1391">
        <v>0.67460965110205395</v>
      </c>
      <c r="G1391">
        <v>0.37584521757939299</v>
      </c>
      <c r="H1391">
        <v>0.13415382938845799</v>
      </c>
      <c r="I1391">
        <v>8.8972337774382695E-2</v>
      </c>
      <c r="J1391">
        <v>9.3484602801865005E-2</v>
      </c>
      <c r="K1391">
        <v>0.11717518904829401</v>
      </c>
      <c r="L1391">
        <v>571.86659161719399</v>
      </c>
      <c r="M1391">
        <v>10.6152874550923</v>
      </c>
      <c r="N1391">
        <v>53.871983246399701</v>
      </c>
      <c r="O1391">
        <v>52.0656170928942</v>
      </c>
      <c r="P1391">
        <v>-5.0990438106865398E-2</v>
      </c>
      <c r="Q1391">
        <v>0</v>
      </c>
      <c r="R1391">
        <v>0.86874387394271602</v>
      </c>
      <c r="S1391" t="s">
        <v>8061</v>
      </c>
      <c r="T1391" t="s">
        <v>13338</v>
      </c>
      <c r="U1391" t="s">
        <v>13338</v>
      </c>
      <c r="V1391" t="s">
        <v>13338</v>
      </c>
      <c r="W1391" t="s">
        <v>14697</v>
      </c>
      <c r="X1391">
        <v>21</v>
      </c>
      <c r="Y1391" t="s">
        <v>21297</v>
      </c>
      <c r="Z1391" t="s">
        <v>27806</v>
      </c>
      <c r="AA1391">
        <v>0.4917985436862542</v>
      </c>
      <c r="AB1391" t="str">
        <f>HYPERLINK("Melting_Curves/meltCurve_O43148_RNMT.pdf", "Melting_Curves/meltCurve_O43148_RNMT.pdf")</f>
        <v>Melting_Curves/meltCurve_O43148_RNMT.pdf</v>
      </c>
    </row>
    <row r="1392" spans="1:28" x14ac:dyDescent="0.25">
      <c r="A1392" t="s">
        <v>1396</v>
      </c>
      <c r="B1392">
        <v>0.99193492352474899</v>
      </c>
      <c r="C1392">
        <v>0.86430432576735405</v>
      </c>
      <c r="D1392">
        <v>0.83065089193015595</v>
      </c>
      <c r="E1392">
        <v>0.50749465681573602</v>
      </c>
      <c r="F1392">
        <v>0.23661382875920201</v>
      </c>
      <c r="G1392">
        <v>0.16001036476455199</v>
      </c>
      <c r="H1392">
        <v>0.102720000944127</v>
      </c>
      <c r="I1392">
        <v>9.3963011037930796E-2</v>
      </c>
      <c r="J1392">
        <v>0.109275580854214</v>
      </c>
      <c r="K1392">
        <v>0.13247194616784799</v>
      </c>
      <c r="L1392">
        <v>940.397003357274</v>
      </c>
      <c r="M1392">
        <v>19.194351413274301</v>
      </c>
      <c r="N1392">
        <v>49.555167222714502</v>
      </c>
      <c r="O1392">
        <v>48.470927827652901</v>
      </c>
      <c r="P1392">
        <v>-8.9323667146040703E-2</v>
      </c>
      <c r="Q1392">
        <v>9.7768894024254399E-2</v>
      </c>
      <c r="R1392">
        <v>0.99185759195585999</v>
      </c>
      <c r="S1392" t="s">
        <v>8062</v>
      </c>
      <c r="T1392" t="s">
        <v>13338</v>
      </c>
      <c r="U1392" t="s">
        <v>13338</v>
      </c>
      <c r="V1392" t="s">
        <v>13338</v>
      </c>
      <c r="W1392" t="s">
        <v>14698</v>
      </c>
      <c r="X1392">
        <v>5</v>
      </c>
      <c r="Y1392" t="s">
        <v>21298</v>
      </c>
      <c r="Z1392" t="s">
        <v>27807</v>
      </c>
      <c r="AA1392">
        <v>0.38197806498863429</v>
      </c>
      <c r="AB1392" t="str">
        <f>HYPERLINK("Melting_Curves/meltCurve_O43149_ZZEF1.pdf", "Melting_Curves/meltCurve_O43149_ZZEF1.pdf")</f>
        <v>Melting_Curves/meltCurve_O43149_ZZEF1.pdf</v>
      </c>
    </row>
    <row r="1393" spans="1:28" x14ac:dyDescent="0.25">
      <c r="A1393" t="s">
        <v>1397</v>
      </c>
      <c r="B1393">
        <v>0.99193492352474899</v>
      </c>
      <c r="C1393">
        <v>0.862827094860671</v>
      </c>
      <c r="D1393">
        <v>0.65082670982244895</v>
      </c>
      <c r="E1393">
        <v>0.21800051162603501</v>
      </c>
      <c r="F1393">
        <v>0.139579351256746</v>
      </c>
      <c r="G1393">
        <v>8.2786841130590705E-2</v>
      </c>
      <c r="H1393">
        <v>4.46093326355897E-2</v>
      </c>
      <c r="I1393">
        <v>5.2684792066394898E-2</v>
      </c>
      <c r="J1393">
        <v>5.6155366237502599E-2</v>
      </c>
      <c r="K1393">
        <v>5.7258102703560999E-2</v>
      </c>
      <c r="L1393">
        <v>1085.8802987393401</v>
      </c>
      <c r="M1393">
        <v>23.212775026232201</v>
      </c>
      <c r="N1393">
        <v>47.018703924192501</v>
      </c>
      <c r="O1393">
        <v>46.436399001084702</v>
      </c>
      <c r="P1393">
        <v>-0.11801087281212699</v>
      </c>
      <c r="Q1393">
        <v>5.5709467087329698E-2</v>
      </c>
      <c r="R1393">
        <v>0.99606254043312004</v>
      </c>
      <c r="S1393" t="s">
        <v>8063</v>
      </c>
      <c r="T1393" t="s">
        <v>13338</v>
      </c>
      <c r="U1393" t="s">
        <v>13338</v>
      </c>
      <c r="V1393" t="s">
        <v>13338</v>
      </c>
      <c r="W1393" t="s">
        <v>14699</v>
      </c>
      <c r="X1393">
        <v>11</v>
      </c>
      <c r="Y1393" t="s">
        <v>21299</v>
      </c>
      <c r="Z1393" t="s">
        <v>27808</v>
      </c>
      <c r="AA1393">
        <v>0.27910032312033001</v>
      </c>
      <c r="AB1393" t="str">
        <f>HYPERLINK("Melting_Curves/meltCurve_O43156_TTI1.pdf", "Melting_Curves/meltCurve_O43156_TTI1.pdf")</f>
        <v>Melting_Curves/meltCurve_O43156_TTI1.pdf</v>
      </c>
    </row>
    <row r="1394" spans="1:28" x14ac:dyDescent="0.25">
      <c r="A1394" t="s">
        <v>1398</v>
      </c>
      <c r="B1394">
        <v>0.99193492352474899</v>
      </c>
      <c r="C1394">
        <v>0.94555042777029497</v>
      </c>
      <c r="D1394">
        <v>0.79398990294242899</v>
      </c>
      <c r="E1394">
        <v>0.65681804515636999</v>
      </c>
      <c r="F1394">
        <v>0.38262220699351501</v>
      </c>
      <c r="G1394">
        <v>0.25145892005103898</v>
      </c>
      <c r="H1394">
        <v>0.22264462594437701</v>
      </c>
      <c r="I1394">
        <v>0.159775680019587</v>
      </c>
      <c r="J1394">
        <v>0.22125565265140501</v>
      </c>
      <c r="K1394">
        <v>0.21263431848907199</v>
      </c>
      <c r="L1394">
        <v>824.13013507240203</v>
      </c>
      <c r="M1394">
        <v>16.526146992349499</v>
      </c>
      <c r="N1394">
        <v>51.253920439825997</v>
      </c>
      <c r="O1394">
        <v>49.1552418452358</v>
      </c>
      <c r="P1394">
        <v>-6.8913068093542598E-2</v>
      </c>
      <c r="Q1394">
        <v>0.18015884928898299</v>
      </c>
      <c r="R1394">
        <v>0.99162531891335703</v>
      </c>
      <c r="S1394" t="s">
        <v>8064</v>
      </c>
      <c r="T1394" t="s">
        <v>13338</v>
      </c>
      <c r="U1394" t="s">
        <v>13338</v>
      </c>
      <c r="V1394" t="s">
        <v>13338</v>
      </c>
      <c r="W1394" t="s">
        <v>14700</v>
      </c>
      <c r="X1394">
        <v>2</v>
      </c>
      <c r="Y1394" t="s">
        <v>21300</v>
      </c>
      <c r="Z1394" t="s">
        <v>27809</v>
      </c>
      <c r="AA1394">
        <v>0.46629304925979648</v>
      </c>
      <c r="AB1394" t="str">
        <f>HYPERLINK("Melting_Curves/meltCurve_O43157_2_PLXNB1.pdf", "Melting_Curves/meltCurve_O43157_2_PLXNB1.pdf")</f>
        <v>Melting_Curves/meltCurve_O43157_2_PLXNB1.pdf</v>
      </c>
    </row>
    <row r="1395" spans="1:28" x14ac:dyDescent="0.25">
      <c r="A1395" t="s">
        <v>1399</v>
      </c>
      <c r="B1395">
        <v>0.99193492352474899</v>
      </c>
      <c r="C1395">
        <v>0.87155310118927998</v>
      </c>
      <c r="D1395">
        <v>0.83689825417783603</v>
      </c>
      <c r="E1395">
        <v>0.62981002421285504</v>
      </c>
      <c r="F1395">
        <v>0.49514121736392303</v>
      </c>
      <c r="G1395">
        <v>0.29968269971263201</v>
      </c>
      <c r="H1395">
        <v>0.24679033309323001</v>
      </c>
      <c r="I1395">
        <v>0.33712213679179598</v>
      </c>
      <c r="J1395">
        <v>0.53599240525087199</v>
      </c>
      <c r="K1395">
        <v>0.526745871800401</v>
      </c>
      <c r="L1395">
        <v>967.27293607866795</v>
      </c>
      <c r="M1395">
        <v>20.137359394694901</v>
      </c>
      <c r="N1395">
        <v>51.954003430698499</v>
      </c>
      <c r="O1395">
        <v>47.567590288984299</v>
      </c>
      <c r="P1395">
        <v>-6.4499463752043407E-2</v>
      </c>
      <c r="Q1395">
        <v>0.39058804988740897</v>
      </c>
      <c r="R1395">
        <v>0.85088261975875801</v>
      </c>
      <c r="S1395" t="s">
        <v>8065</v>
      </c>
      <c r="T1395" t="s">
        <v>13338</v>
      </c>
      <c r="U1395" t="s">
        <v>13338</v>
      </c>
      <c r="V1395" t="s">
        <v>13338</v>
      </c>
      <c r="W1395" t="s">
        <v>14701</v>
      </c>
      <c r="X1395">
        <v>3</v>
      </c>
      <c r="Y1395" t="s">
        <v>21301</v>
      </c>
      <c r="Z1395" t="s">
        <v>27810</v>
      </c>
      <c r="AA1395">
        <v>0.56231357835830054</v>
      </c>
      <c r="AB1395" t="str">
        <f>HYPERLINK("Melting_Curves/meltCurve_O43164_2_PJA2.pdf", "Melting_Curves/meltCurve_O43164_2_PJA2.pdf")</f>
        <v>Melting_Curves/meltCurve_O43164_2_PJA2.pdf</v>
      </c>
    </row>
    <row r="1396" spans="1:28" x14ac:dyDescent="0.25">
      <c r="A1396" t="s">
        <v>1400</v>
      </c>
      <c r="B1396">
        <v>0.99193492352474899</v>
      </c>
      <c r="C1396">
        <v>0.972477979814664</v>
      </c>
      <c r="D1396">
        <v>1.01289626410353</v>
      </c>
      <c r="E1396">
        <v>0.56773517808560703</v>
      </c>
      <c r="F1396">
        <v>0.26499309958207001</v>
      </c>
      <c r="G1396">
        <v>0.157967139585179</v>
      </c>
      <c r="H1396">
        <v>8.8062872467066095E-2</v>
      </c>
      <c r="I1396">
        <v>0.105881864763148</v>
      </c>
      <c r="J1396">
        <v>0.120849236990349</v>
      </c>
      <c r="K1396">
        <v>0.12577664020726301</v>
      </c>
      <c r="L1396">
        <v>1583.4144667897499</v>
      </c>
      <c r="M1396">
        <v>31.7346207433716</v>
      </c>
      <c r="N1396">
        <v>50.329152311826697</v>
      </c>
      <c r="O1396">
        <v>49.698632288702299</v>
      </c>
      <c r="P1396">
        <v>-0.14054022575435601</v>
      </c>
      <c r="Q1396">
        <v>0.119621662829367</v>
      </c>
      <c r="R1396">
        <v>0.99342377733475395</v>
      </c>
      <c r="S1396" t="s">
        <v>8066</v>
      </c>
      <c r="T1396" t="s">
        <v>13338</v>
      </c>
      <c r="U1396" t="s">
        <v>13338</v>
      </c>
      <c r="V1396" t="s">
        <v>13338</v>
      </c>
      <c r="W1396" t="s">
        <v>14702</v>
      </c>
      <c r="X1396">
        <v>20</v>
      </c>
      <c r="Y1396" t="s">
        <v>21302</v>
      </c>
      <c r="Z1396" t="s">
        <v>27811</v>
      </c>
      <c r="AA1396">
        <v>0.41486517549491009</v>
      </c>
      <c r="AB1396" t="str">
        <f>HYPERLINK("Melting_Curves/meltCurve_O43172_2_PRPF4.pdf", "Melting_Curves/meltCurve_O43172_2_PRPF4.pdf")</f>
        <v>Melting_Curves/meltCurve_O43172_2_PRPF4.pdf</v>
      </c>
    </row>
    <row r="1397" spans="1:28" x14ac:dyDescent="0.25">
      <c r="A1397" t="s">
        <v>1401</v>
      </c>
      <c r="B1397">
        <v>0.99193492352474899</v>
      </c>
      <c r="C1397">
        <v>0.97112468158435195</v>
      </c>
      <c r="D1397">
        <v>0.84270244990586896</v>
      </c>
      <c r="E1397">
        <v>0.89924532431797799</v>
      </c>
      <c r="F1397">
        <v>0.76261066087270701</v>
      </c>
      <c r="G1397">
        <v>0.576337507233743</v>
      </c>
      <c r="H1397">
        <v>0.21387698272882499</v>
      </c>
      <c r="I1397">
        <v>6.4957685756393796E-2</v>
      </c>
      <c r="J1397">
        <v>5.9790998597092401E-2</v>
      </c>
      <c r="K1397">
        <v>6.5513367955333801E-2</v>
      </c>
      <c r="L1397">
        <v>1001.58891420651</v>
      </c>
      <c r="M1397">
        <v>17.603933548791002</v>
      </c>
      <c r="N1397">
        <v>56.895745238871797</v>
      </c>
      <c r="O1397">
        <v>56.176768919067896</v>
      </c>
      <c r="P1397">
        <v>-7.8345897075573295E-2</v>
      </c>
      <c r="Q1397">
        <v>0</v>
      </c>
      <c r="R1397">
        <v>0.97790102295678605</v>
      </c>
      <c r="S1397" t="s">
        <v>8067</v>
      </c>
      <c r="T1397" t="s">
        <v>13338</v>
      </c>
      <c r="U1397" t="s">
        <v>13338</v>
      </c>
      <c r="V1397" t="s">
        <v>13338</v>
      </c>
      <c r="W1397" t="s">
        <v>14703</v>
      </c>
      <c r="X1397">
        <v>32</v>
      </c>
      <c r="Y1397" t="s">
        <v>21303</v>
      </c>
      <c r="Z1397" t="s">
        <v>27812</v>
      </c>
      <c r="AA1397">
        <v>0.57733879526536047</v>
      </c>
      <c r="AB1397" t="str">
        <f>HYPERLINK("Melting_Curves/meltCurve_O43175_PHGDH.pdf", "Melting_Curves/meltCurve_O43175_PHGDH.pdf")</f>
        <v>Melting_Curves/meltCurve_O43175_PHGDH.pdf</v>
      </c>
    </row>
    <row r="1398" spans="1:28" x14ac:dyDescent="0.25">
      <c r="A1398" t="s">
        <v>1402</v>
      </c>
      <c r="B1398">
        <v>0.99193492352474899</v>
      </c>
      <c r="C1398">
        <v>0.67360991356929401</v>
      </c>
      <c r="D1398">
        <v>1.0081373474922399</v>
      </c>
      <c r="E1398">
        <v>0.71243421374068305</v>
      </c>
      <c r="F1398">
        <v>0.63493426682635401</v>
      </c>
      <c r="G1398">
        <v>0.332449392815098</v>
      </c>
      <c r="H1398">
        <v>0.311644156258855</v>
      </c>
      <c r="I1398">
        <v>0.35959961724510597</v>
      </c>
      <c r="J1398">
        <v>0.64729519069778796</v>
      </c>
      <c r="K1398">
        <v>0.81647274320108498</v>
      </c>
      <c r="L1398">
        <v>1404.83322046393</v>
      </c>
      <c r="M1398">
        <v>28.491033359362799</v>
      </c>
      <c r="O1398">
        <v>49.0669123198413</v>
      </c>
      <c r="P1398">
        <v>-7.2042757822721806E-2</v>
      </c>
      <c r="Q1398">
        <v>0.50371934102008498</v>
      </c>
      <c r="R1398">
        <v>0.440702415248163</v>
      </c>
      <c r="S1398" t="s">
        <v>8068</v>
      </c>
      <c r="T1398" t="s">
        <v>13338</v>
      </c>
      <c r="U1398" t="s">
        <v>13338</v>
      </c>
      <c r="V1398" t="s">
        <v>13338</v>
      </c>
      <c r="W1398" t="s">
        <v>14704</v>
      </c>
      <c r="X1398">
        <v>3</v>
      </c>
      <c r="Y1398" t="s">
        <v>21304</v>
      </c>
      <c r="Z1398" t="s">
        <v>27813</v>
      </c>
      <c r="AA1398">
        <v>0.66107097456144137</v>
      </c>
      <c r="AB1398" t="str">
        <f>HYPERLINK("Melting_Curves/meltCurve_O43181_NDUFS4.pdf", "Melting_Curves/meltCurve_O43181_NDUFS4.pdf")</f>
        <v>Melting_Curves/meltCurve_O43181_NDUFS4.pdf</v>
      </c>
    </row>
    <row r="1399" spans="1:28" x14ac:dyDescent="0.25">
      <c r="A1399" t="s">
        <v>1403</v>
      </c>
      <c r="B1399">
        <v>0.99193492352474899</v>
      </c>
      <c r="C1399">
        <v>0.84037245245063297</v>
      </c>
      <c r="D1399">
        <v>0.882383172609712</v>
      </c>
      <c r="E1399">
        <v>0.72291807592252499</v>
      </c>
      <c r="F1399">
        <v>0.25475180142861797</v>
      </c>
      <c r="G1399">
        <v>0.190333740831472</v>
      </c>
      <c r="H1399">
        <v>0.116347027048829</v>
      </c>
      <c r="I1399">
        <v>0.16309009222071899</v>
      </c>
      <c r="J1399">
        <v>0.14413913647343801</v>
      </c>
      <c r="K1399">
        <v>0.23214607831154199</v>
      </c>
      <c r="L1399">
        <v>1565.6665222911499</v>
      </c>
      <c r="M1399">
        <v>31.070522092141701</v>
      </c>
      <c r="N1399">
        <v>51.017402866704003</v>
      </c>
      <c r="O1399">
        <v>50.183390393062602</v>
      </c>
      <c r="P1399">
        <v>-0.13023169101863699</v>
      </c>
      <c r="Q1399">
        <v>0.15863288308343099</v>
      </c>
      <c r="R1399">
        <v>0.96393006324610797</v>
      </c>
      <c r="S1399" t="s">
        <v>8069</v>
      </c>
      <c r="T1399" t="s">
        <v>13338</v>
      </c>
      <c r="U1399" t="s">
        <v>13338</v>
      </c>
      <c r="V1399" t="s">
        <v>13338</v>
      </c>
      <c r="W1399" t="s">
        <v>14705</v>
      </c>
      <c r="X1399">
        <v>2</v>
      </c>
      <c r="Y1399" t="s">
        <v>21305</v>
      </c>
      <c r="Z1399" t="s">
        <v>27814</v>
      </c>
      <c r="AA1399">
        <v>0.45492690655645102</v>
      </c>
      <c r="AB1399" t="str">
        <f>HYPERLINK("Melting_Curves/meltCurve_O43237_DYNC1LI2.pdf", "Melting_Curves/meltCurve_O43237_DYNC1LI2.pdf")</f>
        <v>Melting_Curves/meltCurve_O43237_DYNC1LI2.pdf</v>
      </c>
    </row>
    <row r="1400" spans="1:28" x14ac:dyDescent="0.25">
      <c r="A1400" t="s">
        <v>1404</v>
      </c>
      <c r="B1400">
        <v>0.99193492352474899</v>
      </c>
      <c r="C1400">
        <v>0.94269343739399702</v>
      </c>
      <c r="D1400">
        <v>1.10474726635777</v>
      </c>
      <c r="E1400">
        <v>0.94750868451398595</v>
      </c>
      <c r="F1400">
        <v>1.06430376817724</v>
      </c>
      <c r="G1400">
        <v>0.39847517088038198</v>
      </c>
      <c r="H1400">
        <v>0.109733832844774</v>
      </c>
      <c r="I1400">
        <v>0.116378505445231</v>
      </c>
      <c r="J1400">
        <v>0.113679519752008</v>
      </c>
      <c r="K1400">
        <v>0.113157673762268</v>
      </c>
      <c r="L1400">
        <v>14157.6189960707</v>
      </c>
      <c r="M1400">
        <v>250</v>
      </c>
      <c r="N1400">
        <v>56.688706000573198</v>
      </c>
      <c r="O1400">
        <v>56.626859654297597</v>
      </c>
      <c r="P1400">
        <v>-0.97873468864450097</v>
      </c>
      <c r="Q1400">
        <v>0.113237370861496</v>
      </c>
      <c r="R1400">
        <v>0.98851981405295297</v>
      </c>
      <c r="S1400" t="s">
        <v>8070</v>
      </c>
      <c r="T1400" t="s">
        <v>13338</v>
      </c>
      <c r="U1400" t="s">
        <v>13338</v>
      </c>
      <c r="V1400" t="s">
        <v>13338</v>
      </c>
      <c r="W1400" t="s">
        <v>14706</v>
      </c>
      <c r="X1400">
        <v>31</v>
      </c>
      <c r="Y1400" t="s">
        <v>21306</v>
      </c>
      <c r="Z1400" t="s">
        <v>27815</v>
      </c>
      <c r="AA1400">
        <v>0.60490165588923139</v>
      </c>
      <c r="AB1400" t="str">
        <f>HYPERLINK("Melting_Curves/meltCurve_O43242_PSMD3.pdf", "Melting_Curves/meltCurve_O43242_PSMD3.pdf")</f>
        <v>Melting_Curves/meltCurve_O43242_PSMD3.pdf</v>
      </c>
    </row>
    <row r="1401" spans="1:28" x14ac:dyDescent="0.25">
      <c r="A1401" t="s">
        <v>1405</v>
      </c>
      <c r="B1401">
        <v>0.99193492352474899</v>
      </c>
      <c r="C1401">
        <v>0.99700558720468102</v>
      </c>
      <c r="D1401">
        <v>0.95297978571348496</v>
      </c>
      <c r="E1401">
        <v>0.82076326521714704</v>
      </c>
      <c r="F1401">
        <v>0.73113189671953305</v>
      </c>
      <c r="G1401">
        <v>0.293438445895571</v>
      </c>
      <c r="H1401">
        <v>0.10647812193289299</v>
      </c>
      <c r="I1401">
        <v>0.1096560348791</v>
      </c>
      <c r="J1401">
        <v>0.107502645928853</v>
      </c>
      <c r="K1401">
        <v>0.101223601371382</v>
      </c>
      <c r="L1401">
        <v>1298.06462356576</v>
      </c>
      <c r="M1401">
        <v>23.865771999584702</v>
      </c>
      <c r="N1401">
        <v>54.782483233051302</v>
      </c>
      <c r="O1401">
        <v>54.012658616301401</v>
      </c>
      <c r="P1401">
        <v>-0.101789415613586</v>
      </c>
      <c r="Q1401">
        <v>7.85416959139002E-2</v>
      </c>
      <c r="R1401">
        <v>0.98744299784941303</v>
      </c>
      <c r="S1401" t="s">
        <v>8071</v>
      </c>
      <c r="T1401" t="s">
        <v>13338</v>
      </c>
      <c r="U1401" t="s">
        <v>13338</v>
      </c>
      <c r="V1401" t="s">
        <v>13338</v>
      </c>
      <c r="W1401" t="s">
        <v>14707</v>
      </c>
      <c r="X1401">
        <v>30</v>
      </c>
      <c r="Y1401" t="s">
        <v>21307</v>
      </c>
      <c r="Z1401" t="s">
        <v>27816</v>
      </c>
      <c r="AA1401">
        <v>0.52980725043880106</v>
      </c>
      <c r="AB1401" t="str">
        <f>HYPERLINK("Melting_Curves/meltCurve_O43252_PAPSS1.pdf", "Melting_Curves/meltCurve_O43252_PAPSS1.pdf")</f>
        <v>Melting_Curves/meltCurve_O43252_PAPSS1.pdf</v>
      </c>
    </row>
    <row r="1402" spans="1:28" x14ac:dyDescent="0.25">
      <c r="A1402" t="s">
        <v>1406</v>
      </c>
      <c r="B1402">
        <v>0.99193492352474899</v>
      </c>
      <c r="C1402">
        <v>0.83687364534629405</v>
      </c>
      <c r="D1402">
        <v>0.63926794750773797</v>
      </c>
      <c r="E1402">
        <v>0.23279259345641301</v>
      </c>
      <c r="F1402">
        <v>0.100596581034711</v>
      </c>
      <c r="G1402">
        <v>6.4428403383848407E-2</v>
      </c>
      <c r="H1402">
        <v>4.44780169459532E-2</v>
      </c>
      <c r="I1402">
        <v>5.8817634970976002E-2</v>
      </c>
      <c r="J1402">
        <v>7.0671352696075093E-2</v>
      </c>
      <c r="K1402">
        <v>9.2712483417545802E-2</v>
      </c>
      <c r="L1402">
        <v>1063.08274487576</v>
      </c>
      <c r="M1402">
        <v>22.7926565733868</v>
      </c>
      <c r="N1402">
        <v>46.897105085160298</v>
      </c>
      <c r="O1402">
        <v>46.286895666348499</v>
      </c>
      <c r="P1402">
        <v>-0.115915894748884</v>
      </c>
      <c r="Q1402">
        <v>5.8419411363700602E-2</v>
      </c>
      <c r="R1402">
        <v>0.99492473536903803</v>
      </c>
      <c r="S1402" t="s">
        <v>8072</v>
      </c>
      <c r="T1402" t="s">
        <v>13338</v>
      </c>
      <c r="U1402" t="s">
        <v>13338</v>
      </c>
      <c r="V1402" t="s">
        <v>13338</v>
      </c>
      <c r="W1402" t="s">
        <v>14708</v>
      </c>
      <c r="X1402">
        <v>10</v>
      </c>
      <c r="Y1402" t="s">
        <v>21308</v>
      </c>
      <c r="Z1402" t="s">
        <v>27817</v>
      </c>
      <c r="AA1402">
        <v>0.27730696626471479</v>
      </c>
      <c r="AB1402" t="str">
        <f>HYPERLINK("Melting_Curves/meltCurve_O43264_ZW10.pdf", "Melting_Curves/meltCurve_O43264_ZW10.pdf")</f>
        <v>Melting_Curves/meltCurve_O43264_ZW10.pdf</v>
      </c>
    </row>
    <row r="1403" spans="1:28" x14ac:dyDescent="0.25">
      <c r="A1403" t="s">
        <v>1407</v>
      </c>
      <c r="B1403">
        <v>0.99193492352474899</v>
      </c>
      <c r="C1403">
        <v>0.37833150643845198</v>
      </c>
      <c r="D1403">
        <v>0.63881062463792604</v>
      </c>
      <c r="E1403">
        <v>0.30275656401249601</v>
      </c>
      <c r="F1403">
        <v>0.24532141180839101</v>
      </c>
      <c r="G1403">
        <v>0.137719781997137</v>
      </c>
      <c r="H1403">
        <v>0.18139518639760499</v>
      </c>
      <c r="I1403">
        <v>0.242852991179833</v>
      </c>
      <c r="J1403">
        <v>0.36172522622269498</v>
      </c>
      <c r="K1403">
        <v>0.48734886722991</v>
      </c>
      <c r="S1403" t="s">
        <v>8073</v>
      </c>
      <c r="T1403" t="s">
        <v>13338</v>
      </c>
      <c r="U1403" t="s">
        <v>13339</v>
      </c>
      <c r="V1403" t="s">
        <v>13338</v>
      </c>
      <c r="W1403" t="s">
        <v>14709</v>
      </c>
      <c r="X1403">
        <v>42</v>
      </c>
      <c r="Y1403" t="s">
        <v>21309</v>
      </c>
      <c r="Z1403" t="s">
        <v>27818</v>
      </c>
      <c r="AB1403" t="str">
        <f>HYPERLINK("Melting_Curves/meltCurve_O43290_SART1.pdf", "Melting_Curves/meltCurve_O43290_SART1.pdf")</f>
        <v>Melting_Curves/meltCurve_O43290_SART1.pdf</v>
      </c>
    </row>
    <row r="1404" spans="1:28" x14ac:dyDescent="0.25">
      <c r="A1404" t="s">
        <v>1408</v>
      </c>
      <c r="B1404">
        <v>0.99193492352474899</v>
      </c>
      <c r="C1404">
        <v>0.92879184728233299</v>
      </c>
      <c r="D1404">
        <v>0.91709402834584397</v>
      </c>
      <c r="E1404">
        <v>0.77754400327148998</v>
      </c>
      <c r="F1404">
        <v>0.56660208429319803</v>
      </c>
      <c r="G1404">
        <v>0.42870372164653398</v>
      </c>
      <c r="H1404">
        <v>0.28211945044897901</v>
      </c>
      <c r="I1404">
        <v>0.24624555007703999</v>
      </c>
      <c r="J1404">
        <v>0.28538652813598903</v>
      </c>
      <c r="K1404">
        <v>0.28067252013192201</v>
      </c>
      <c r="L1404">
        <v>810.79958903323904</v>
      </c>
      <c r="M1404">
        <v>15.5212037529888</v>
      </c>
      <c r="N1404">
        <v>54.529530755923297</v>
      </c>
      <c r="O1404">
        <v>51.394088797590598</v>
      </c>
      <c r="P1404">
        <v>-5.7419608037206901E-2</v>
      </c>
      <c r="Q1404">
        <v>0.239551732513656</v>
      </c>
      <c r="R1404">
        <v>0.99267574228057298</v>
      </c>
      <c r="S1404" t="s">
        <v>8074</v>
      </c>
      <c r="T1404" t="s">
        <v>13338</v>
      </c>
      <c r="U1404" t="s">
        <v>13338</v>
      </c>
      <c r="V1404" t="s">
        <v>13338</v>
      </c>
      <c r="W1404" t="s">
        <v>14710</v>
      </c>
      <c r="X1404">
        <v>2</v>
      </c>
      <c r="Y1404" t="s">
        <v>21310</v>
      </c>
      <c r="Z1404" t="s">
        <v>27819</v>
      </c>
      <c r="AA1404">
        <v>0.56577610736083606</v>
      </c>
      <c r="AB1404" t="str">
        <f>HYPERLINK("Melting_Curves/meltCurve_O43291_SPINT2.pdf", "Melting_Curves/meltCurve_O43291_SPINT2.pdf")</f>
        <v>Melting_Curves/meltCurve_O43291_SPINT2.pdf</v>
      </c>
    </row>
    <row r="1405" spans="1:28" x14ac:dyDescent="0.25">
      <c r="A1405" t="s">
        <v>1409</v>
      </c>
      <c r="B1405">
        <v>0.99193492352474899</v>
      </c>
      <c r="C1405">
        <v>0.86347151617706397</v>
      </c>
      <c r="D1405">
        <v>0.80254211113836404</v>
      </c>
      <c r="E1405">
        <v>0.34147919786384401</v>
      </c>
      <c r="F1405">
        <v>0.26400481294602302</v>
      </c>
      <c r="G1405">
        <v>0.14117185659435699</v>
      </c>
      <c r="H1405">
        <v>0.11162268900239999</v>
      </c>
      <c r="I1405">
        <v>0.128089645259958</v>
      </c>
      <c r="J1405">
        <v>0.20643616916725299</v>
      </c>
      <c r="K1405">
        <v>0.12174032286481901</v>
      </c>
      <c r="L1405">
        <v>1106.5675885308599</v>
      </c>
      <c r="M1405">
        <v>23.1942601710102</v>
      </c>
      <c r="N1405">
        <v>48.397653865745298</v>
      </c>
      <c r="O1405">
        <v>47.358285324126498</v>
      </c>
      <c r="P1405">
        <v>-0.105226369708185</v>
      </c>
      <c r="Q1405">
        <v>0.140606267147075</v>
      </c>
      <c r="R1405">
        <v>0.98081752162122704</v>
      </c>
      <c r="S1405" t="s">
        <v>8075</v>
      </c>
      <c r="T1405" t="s">
        <v>13338</v>
      </c>
      <c r="U1405" t="s">
        <v>13338</v>
      </c>
      <c r="V1405" t="s">
        <v>13338</v>
      </c>
      <c r="W1405" t="s">
        <v>14711</v>
      </c>
      <c r="X1405">
        <v>4</v>
      </c>
      <c r="Y1405" t="s">
        <v>21311</v>
      </c>
      <c r="Z1405" t="s">
        <v>27820</v>
      </c>
      <c r="AA1405">
        <v>0.37036851680338051</v>
      </c>
      <c r="AB1405" t="str">
        <f>HYPERLINK("Melting_Curves/meltCurve_O43295_SRGAP3.pdf", "Melting_Curves/meltCurve_O43295_SRGAP3.pdf")</f>
        <v>Melting_Curves/meltCurve_O43295_SRGAP3.pdf</v>
      </c>
    </row>
    <row r="1406" spans="1:28" x14ac:dyDescent="0.25">
      <c r="A1406" t="s">
        <v>1410</v>
      </c>
      <c r="B1406">
        <v>0.99193492352474899</v>
      </c>
      <c r="C1406">
        <v>1.03606874431451</v>
      </c>
      <c r="D1406">
        <v>0.95860683970398897</v>
      </c>
      <c r="E1406">
        <v>0.76286684423680395</v>
      </c>
      <c r="F1406">
        <v>0.604845926678376</v>
      </c>
      <c r="G1406">
        <v>0.28123453132964599</v>
      </c>
      <c r="H1406">
        <v>0.192895013613924</v>
      </c>
      <c r="I1406">
        <v>0.18212196819589099</v>
      </c>
      <c r="J1406">
        <v>0.271228506913472</v>
      </c>
      <c r="K1406">
        <v>0.17178659111364999</v>
      </c>
      <c r="L1406">
        <v>1087.6213428721201</v>
      </c>
      <c r="M1406">
        <v>20.707153599133399</v>
      </c>
      <c r="N1406">
        <v>53.704231585144903</v>
      </c>
      <c r="O1406">
        <v>52.0414492385881</v>
      </c>
      <c r="P1406">
        <v>-8.1292176343060796E-2</v>
      </c>
      <c r="Q1406">
        <v>0.18280557950527501</v>
      </c>
      <c r="R1406">
        <v>0.98403836619182605</v>
      </c>
      <c r="S1406" t="s">
        <v>8076</v>
      </c>
      <c r="T1406" t="s">
        <v>13338</v>
      </c>
      <c r="U1406" t="s">
        <v>13338</v>
      </c>
      <c r="V1406" t="s">
        <v>13338</v>
      </c>
      <c r="W1406" t="s">
        <v>14712</v>
      </c>
      <c r="X1406">
        <v>3</v>
      </c>
      <c r="Y1406" t="s">
        <v>21312</v>
      </c>
      <c r="Z1406" t="s">
        <v>27821</v>
      </c>
      <c r="AA1406">
        <v>0.53456406328604378</v>
      </c>
      <c r="AB1406" t="str">
        <f>HYPERLINK("Melting_Curves/meltCurve_O43298_ZBTB43.pdf", "Melting_Curves/meltCurve_O43298_ZBTB43.pdf")</f>
        <v>Melting_Curves/meltCurve_O43298_ZBTB43.pdf</v>
      </c>
    </row>
    <row r="1407" spans="1:28" x14ac:dyDescent="0.25">
      <c r="A1407" t="s">
        <v>1411</v>
      </c>
      <c r="B1407">
        <v>0.99193492352474899</v>
      </c>
      <c r="C1407">
        <v>0.78718123417472896</v>
      </c>
      <c r="D1407">
        <v>1.0204842745536999</v>
      </c>
      <c r="E1407">
        <v>0.63410685703436798</v>
      </c>
      <c r="F1407">
        <v>0.45357088664505102</v>
      </c>
      <c r="G1407">
        <v>0.22937706215568399</v>
      </c>
      <c r="H1407">
        <v>0.173469420665259</v>
      </c>
      <c r="I1407">
        <v>0.187914233928554</v>
      </c>
      <c r="J1407">
        <v>0.149642775390079</v>
      </c>
      <c r="K1407">
        <v>0.101886898823737</v>
      </c>
      <c r="L1407">
        <v>893.39362896917203</v>
      </c>
      <c r="M1407">
        <v>17.4448303925986</v>
      </c>
      <c r="N1407">
        <v>52.067561974716703</v>
      </c>
      <c r="O1407">
        <v>50.553762616356501</v>
      </c>
      <c r="P1407">
        <v>-7.5528371996811103E-2</v>
      </c>
      <c r="Q1407">
        <v>0.124547464650183</v>
      </c>
      <c r="R1407">
        <v>0.95154545711369098</v>
      </c>
      <c r="S1407" t="s">
        <v>8077</v>
      </c>
      <c r="T1407" t="s">
        <v>13338</v>
      </c>
      <c r="U1407" t="s">
        <v>13338</v>
      </c>
      <c r="V1407" t="s">
        <v>13338</v>
      </c>
      <c r="W1407" t="s">
        <v>14713</v>
      </c>
      <c r="X1407">
        <v>3</v>
      </c>
      <c r="Y1407" t="s">
        <v>21313</v>
      </c>
      <c r="Z1407" t="s">
        <v>27822</v>
      </c>
      <c r="AA1407">
        <v>0.46730189474939671</v>
      </c>
      <c r="AB1407" t="str">
        <f>HYPERLINK("Melting_Curves/meltCurve_O43310_CTIF.pdf", "Melting_Curves/meltCurve_O43310_CTIF.pdf")</f>
        <v>Melting_Curves/meltCurve_O43310_CTIF.pdf</v>
      </c>
    </row>
    <row r="1408" spans="1:28" x14ac:dyDescent="0.25">
      <c r="A1408" t="s">
        <v>1412</v>
      </c>
      <c r="B1408">
        <v>0.99193492352474899</v>
      </c>
      <c r="C1408">
        <v>0.894483366397409</v>
      </c>
      <c r="D1408">
        <v>0.98206937563194896</v>
      </c>
      <c r="E1408">
        <v>0.78238445356296604</v>
      </c>
      <c r="F1408">
        <v>0.61946791196697304</v>
      </c>
      <c r="G1408">
        <v>0.19548681510312299</v>
      </c>
      <c r="H1408">
        <v>8.3992503666707102E-2</v>
      </c>
      <c r="I1408">
        <v>8.7371261881104403E-2</v>
      </c>
      <c r="J1408">
        <v>9.1983382811220898E-2</v>
      </c>
      <c r="K1408">
        <v>0.110757433468562</v>
      </c>
      <c r="L1408">
        <v>1202.13263652762</v>
      </c>
      <c r="M1408">
        <v>22.573599374849898</v>
      </c>
      <c r="N1408">
        <v>53.602018745788001</v>
      </c>
      <c r="O1408">
        <v>52.841274965200398</v>
      </c>
      <c r="P1408">
        <v>-9.9519664756083204E-2</v>
      </c>
      <c r="Q1408">
        <v>6.8178742600942296E-2</v>
      </c>
      <c r="R1408">
        <v>0.98114760340483798</v>
      </c>
      <c r="S1408" t="s">
        <v>8078</v>
      </c>
      <c r="T1408" t="s">
        <v>13338</v>
      </c>
      <c r="U1408" t="s">
        <v>13338</v>
      </c>
      <c r="V1408" t="s">
        <v>13338</v>
      </c>
      <c r="W1408" t="s">
        <v>14714</v>
      </c>
      <c r="X1408">
        <v>22</v>
      </c>
      <c r="Y1408" t="s">
        <v>20782</v>
      </c>
      <c r="Z1408" t="s">
        <v>27823</v>
      </c>
      <c r="AA1408">
        <v>0.49021327590576019</v>
      </c>
      <c r="AB1408" t="str">
        <f>HYPERLINK("Melting_Curves/meltCurve_O43314_2_PPIP5K2.pdf", "Melting_Curves/meltCurve_O43314_2_PPIP5K2.pdf")</f>
        <v>Melting_Curves/meltCurve_O43314_2_PPIP5K2.pdf</v>
      </c>
    </row>
    <row r="1409" spans="1:28" x14ac:dyDescent="0.25">
      <c r="A1409" t="s">
        <v>1413</v>
      </c>
      <c r="B1409">
        <v>0.99193492352474899</v>
      </c>
      <c r="C1409">
        <v>0.88317461975039901</v>
      </c>
      <c r="D1409">
        <v>0.74268294412265601</v>
      </c>
      <c r="E1409">
        <v>0.216955065653685</v>
      </c>
      <c r="F1409">
        <v>0.122092338363817</v>
      </c>
      <c r="G1409">
        <v>9.7435113336779497E-2</v>
      </c>
      <c r="H1409">
        <v>6.1456361364640902E-2</v>
      </c>
      <c r="I1409">
        <v>0.120205058980673</v>
      </c>
      <c r="J1409">
        <v>0.10086489699984</v>
      </c>
      <c r="K1409">
        <v>0.16233191561285501</v>
      </c>
      <c r="L1409">
        <v>1582.6009024198499</v>
      </c>
      <c r="M1409">
        <v>33.641468968462</v>
      </c>
      <c r="N1409">
        <v>47.374987038299203</v>
      </c>
      <c r="O1409">
        <v>46.8778630095564</v>
      </c>
      <c r="P1409">
        <v>-0.16057893515206101</v>
      </c>
      <c r="Q1409">
        <v>0.104965818128998</v>
      </c>
      <c r="R1409">
        <v>0.98866175674819101</v>
      </c>
      <c r="S1409" t="s">
        <v>8079</v>
      </c>
      <c r="T1409" t="s">
        <v>13338</v>
      </c>
      <c r="U1409" t="s">
        <v>13338</v>
      </c>
      <c r="V1409" t="s">
        <v>13338</v>
      </c>
      <c r="W1409" t="s">
        <v>14715</v>
      </c>
      <c r="X1409">
        <v>8</v>
      </c>
      <c r="Y1409" t="s">
        <v>21314</v>
      </c>
      <c r="Z1409" t="s">
        <v>27824</v>
      </c>
      <c r="AA1409">
        <v>0.31930094749083671</v>
      </c>
      <c r="AB1409" t="str">
        <f>HYPERLINK("Melting_Curves/meltCurve_O43318_2_MAP3K7.pdf", "Melting_Curves/meltCurve_O43318_2_MAP3K7.pdf")</f>
        <v>Melting_Curves/meltCurve_O43318_2_MAP3K7.pdf</v>
      </c>
    </row>
    <row r="1410" spans="1:28" x14ac:dyDescent="0.25">
      <c r="A1410" t="s">
        <v>1414</v>
      </c>
      <c r="B1410">
        <v>0.99193492352474899</v>
      </c>
      <c r="C1410">
        <v>0.56975727922775099</v>
      </c>
      <c r="D1410">
        <v>0.71854032953618796</v>
      </c>
      <c r="E1410">
        <v>0.21598519694048099</v>
      </c>
      <c r="F1410">
        <v>0.194246851608458</v>
      </c>
      <c r="G1410">
        <v>9.3457107283149904E-2</v>
      </c>
      <c r="H1410">
        <v>7.4311276240230206E-2</v>
      </c>
      <c r="I1410">
        <v>9.7407023615621993E-2</v>
      </c>
      <c r="J1410">
        <v>0.11950981704473899</v>
      </c>
      <c r="K1410">
        <v>0.10908933286414201</v>
      </c>
      <c r="L1410">
        <v>677.48195620442198</v>
      </c>
      <c r="M1410">
        <v>14.758582249868899</v>
      </c>
      <c r="N1410">
        <v>46.431595924678</v>
      </c>
      <c r="O1410">
        <v>45.086196030691298</v>
      </c>
      <c r="P1410">
        <v>-7.5529087112784402E-2</v>
      </c>
      <c r="Q1410">
        <v>7.7159821268953099E-2</v>
      </c>
      <c r="R1410">
        <v>0.90473773835482296</v>
      </c>
      <c r="S1410" t="s">
        <v>8080</v>
      </c>
      <c r="T1410" t="s">
        <v>13338</v>
      </c>
      <c r="U1410" t="s">
        <v>13338</v>
      </c>
      <c r="V1410" t="s">
        <v>13338</v>
      </c>
      <c r="W1410" t="s">
        <v>14716</v>
      </c>
      <c r="X1410">
        <v>4</v>
      </c>
      <c r="Y1410" t="s">
        <v>21315</v>
      </c>
      <c r="Z1410" t="s">
        <v>27825</v>
      </c>
      <c r="AA1410">
        <v>0.28689345891211132</v>
      </c>
      <c r="AB1410" t="str">
        <f>HYPERLINK("Melting_Curves/meltCurve_O43324_EEF1E1.pdf", "Melting_Curves/meltCurve_O43324_EEF1E1.pdf")</f>
        <v>Melting_Curves/meltCurve_O43324_EEF1E1.pdf</v>
      </c>
    </row>
    <row r="1411" spans="1:28" x14ac:dyDescent="0.25">
      <c r="A1411" t="s">
        <v>1415</v>
      </c>
      <c r="B1411">
        <v>0.99193492352474899</v>
      </c>
      <c r="C1411">
        <v>0.46044915573088202</v>
      </c>
      <c r="D1411">
        <v>0.72871195039970604</v>
      </c>
      <c r="E1411">
        <v>0.27888046011050999</v>
      </c>
      <c r="F1411">
        <v>0.15773989389989099</v>
      </c>
      <c r="G1411">
        <v>9.8276865258401597E-2</v>
      </c>
      <c r="H1411">
        <v>7.5181576195041705E-2</v>
      </c>
      <c r="I1411">
        <v>8.4074526772260905E-2</v>
      </c>
      <c r="J1411">
        <v>0.12755003844464199</v>
      </c>
      <c r="K1411">
        <v>8.5933407985544594E-2</v>
      </c>
      <c r="L1411">
        <v>574.01440325328997</v>
      </c>
      <c r="M1411">
        <v>12.5451417973029</v>
      </c>
      <c r="N1411">
        <v>46.215627174126702</v>
      </c>
      <c r="O1411">
        <v>44.639964397087702</v>
      </c>
      <c r="P1411">
        <v>-6.6149603549082003E-2</v>
      </c>
      <c r="Q1411">
        <v>5.8658350378261698E-2</v>
      </c>
      <c r="R1411">
        <v>0.854033547171552</v>
      </c>
      <c r="S1411" t="s">
        <v>8081</v>
      </c>
      <c r="T1411" t="s">
        <v>13338</v>
      </c>
      <c r="U1411" t="s">
        <v>13338</v>
      </c>
      <c r="V1411" t="s">
        <v>13338</v>
      </c>
      <c r="W1411" t="s">
        <v>14717</v>
      </c>
      <c r="X1411">
        <v>15</v>
      </c>
      <c r="Y1411" t="s">
        <v>21316</v>
      </c>
      <c r="Z1411" t="s">
        <v>27826</v>
      </c>
      <c r="AA1411">
        <v>0.27951015157733139</v>
      </c>
      <c r="AB1411" t="str">
        <f>HYPERLINK("Melting_Curves/meltCurve_O43390_HNRNPR.pdf", "Melting_Curves/meltCurve_O43390_HNRNPR.pdf")</f>
        <v>Melting_Curves/meltCurve_O43390_HNRNPR.pdf</v>
      </c>
    </row>
    <row r="1412" spans="1:28" x14ac:dyDescent="0.25">
      <c r="A1412" t="s">
        <v>1416</v>
      </c>
      <c r="B1412">
        <v>0.99193492352474899</v>
      </c>
      <c r="C1412">
        <v>0.54767283250448495</v>
      </c>
      <c r="D1412">
        <v>0.73199600204244197</v>
      </c>
      <c r="E1412">
        <v>0.32589574280559802</v>
      </c>
      <c r="F1412">
        <v>0.196469045852078</v>
      </c>
      <c r="G1412">
        <v>0.109098645868677</v>
      </c>
      <c r="H1412">
        <v>8.42877991432191E-2</v>
      </c>
      <c r="I1412">
        <v>0.10598606580103299</v>
      </c>
      <c r="J1412">
        <v>0.13701136479039999</v>
      </c>
      <c r="K1412">
        <v>0.14068954183205801</v>
      </c>
      <c r="L1412">
        <v>608.86513950499602</v>
      </c>
      <c r="M1412">
        <v>13.169316861545999</v>
      </c>
      <c r="N1412">
        <v>46.892920016821797</v>
      </c>
      <c r="O1412">
        <v>45.206532641713899</v>
      </c>
      <c r="P1412">
        <v>-6.6684809231382106E-2</v>
      </c>
      <c r="Q1412">
        <v>8.4513370938952198E-2</v>
      </c>
      <c r="R1412">
        <v>0.89693557487987496</v>
      </c>
      <c r="S1412" t="s">
        <v>8082</v>
      </c>
      <c r="T1412" t="s">
        <v>13338</v>
      </c>
      <c r="U1412" t="s">
        <v>13338</v>
      </c>
      <c r="V1412" t="s">
        <v>13338</v>
      </c>
      <c r="W1412" t="s">
        <v>14718</v>
      </c>
      <c r="X1412">
        <v>15</v>
      </c>
      <c r="Y1412" t="s">
        <v>21317</v>
      </c>
      <c r="Z1412" t="s">
        <v>27827</v>
      </c>
      <c r="AA1412">
        <v>0.30892720634306292</v>
      </c>
      <c r="AB1412" t="str">
        <f>HYPERLINK("Melting_Curves/meltCurve_O43395_PRPF3.pdf", "Melting_Curves/meltCurve_O43395_PRPF3.pdf")</f>
        <v>Melting_Curves/meltCurve_O43395_PRPF3.pdf</v>
      </c>
    </row>
    <row r="1413" spans="1:28" x14ac:dyDescent="0.25">
      <c r="A1413" t="s">
        <v>1417</v>
      </c>
      <c r="B1413">
        <v>0.99193492352474899</v>
      </c>
      <c r="C1413">
        <v>0.889321404742618</v>
      </c>
      <c r="D1413">
        <v>0.83185093547065103</v>
      </c>
      <c r="E1413">
        <v>0.64227518656036897</v>
      </c>
      <c r="F1413">
        <v>0.197831922568941</v>
      </c>
      <c r="G1413">
        <v>0.12029972531444399</v>
      </c>
      <c r="H1413">
        <v>8.2593491027893304E-2</v>
      </c>
      <c r="I1413">
        <v>0.103787220526263</v>
      </c>
      <c r="J1413">
        <v>0.111441905231871</v>
      </c>
      <c r="K1413">
        <v>0.12668344178493099</v>
      </c>
      <c r="L1413">
        <v>1157.8915032277</v>
      </c>
      <c r="M1413">
        <v>23.2407912280548</v>
      </c>
      <c r="N1413">
        <v>50.2510545851706</v>
      </c>
      <c r="O1413">
        <v>49.457052088427602</v>
      </c>
      <c r="P1413">
        <v>-0.106898547550579</v>
      </c>
      <c r="Q1413">
        <v>9.0083982367441695E-2</v>
      </c>
      <c r="R1413">
        <v>0.98261228926219701</v>
      </c>
      <c r="S1413" t="s">
        <v>8083</v>
      </c>
      <c r="T1413" t="s">
        <v>13338</v>
      </c>
      <c r="U1413" t="s">
        <v>13338</v>
      </c>
      <c r="V1413" t="s">
        <v>13338</v>
      </c>
      <c r="W1413" t="s">
        <v>14719</v>
      </c>
      <c r="X1413">
        <v>14</v>
      </c>
      <c r="Y1413" t="s">
        <v>21318</v>
      </c>
      <c r="Z1413" t="s">
        <v>27828</v>
      </c>
      <c r="AA1413">
        <v>0.39737916888614871</v>
      </c>
      <c r="AB1413" t="str">
        <f>HYPERLINK("Melting_Curves/meltCurve_O43396_TXNL1.pdf", "Melting_Curves/meltCurve_O43396_TXNL1.pdf")</f>
        <v>Melting_Curves/meltCurve_O43396_TXNL1.pdf</v>
      </c>
    </row>
    <row r="1414" spans="1:28" x14ac:dyDescent="0.25">
      <c r="A1414" t="s">
        <v>1418</v>
      </c>
      <c r="B1414">
        <v>0.99193492352474899</v>
      </c>
      <c r="C1414">
        <v>0.90970326824978498</v>
      </c>
      <c r="D1414">
        <v>0.93857509404203798</v>
      </c>
      <c r="E1414">
        <v>0.77743305714542699</v>
      </c>
      <c r="F1414">
        <v>0.63950183585118303</v>
      </c>
      <c r="G1414">
        <v>0.51326312379286099</v>
      </c>
      <c r="H1414">
        <v>0.46012615249384198</v>
      </c>
      <c r="I1414">
        <v>0.558557333246398</v>
      </c>
      <c r="J1414">
        <v>0.69518919572305704</v>
      </c>
      <c r="K1414">
        <v>0.83616246841814501</v>
      </c>
      <c r="L1414">
        <v>1457.58827558802</v>
      </c>
      <c r="M1414">
        <v>29.885213817927301</v>
      </c>
      <c r="O1414">
        <v>48.556084584992902</v>
      </c>
      <c r="P1414">
        <v>-5.9569135853170599E-2</v>
      </c>
      <c r="Q1414">
        <v>0.61286219150451904</v>
      </c>
      <c r="R1414">
        <v>0.67838653839092899</v>
      </c>
      <c r="S1414" t="s">
        <v>8084</v>
      </c>
      <c r="T1414" t="s">
        <v>13338</v>
      </c>
      <c r="U1414" t="s">
        <v>13338</v>
      </c>
      <c r="V1414" t="s">
        <v>13338</v>
      </c>
      <c r="W1414" t="s">
        <v>14720</v>
      </c>
      <c r="X1414">
        <v>15</v>
      </c>
      <c r="Y1414" t="s">
        <v>21319</v>
      </c>
      <c r="Z1414" t="s">
        <v>27829</v>
      </c>
      <c r="AA1414">
        <v>0.72844192541522312</v>
      </c>
      <c r="AB1414" t="str">
        <f>HYPERLINK("Melting_Curves/meltCurve_O43399_TPD52L2.pdf", "Melting_Curves/meltCurve_O43399_TPD52L2.pdf")</f>
        <v>Melting_Curves/meltCurve_O43399_TPD52L2.pdf</v>
      </c>
    </row>
    <row r="1415" spans="1:28" x14ac:dyDescent="0.25">
      <c r="A1415" t="s">
        <v>1419</v>
      </c>
      <c r="B1415">
        <v>0.99193492352474899</v>
      </c>
      <c r="C1415">
        <v>0.92385646070063399</v>
      </c>
      <c r="D1415">
        <v>0.98542540853337501</v>
      </c>
      <c r="E1415">
        <v>0.90106095312936896</v>
      </c>
      <c r="F1415">
        <v>0.68602948389991802</v>
      </c>
      <c r="G1415">
        <v>0.13789044251457599</v>
      </c>
      <c r="H1415">
        <v>6.9642689082542994E-2</v>
      </c>
      <c r="I1415">
        <v>9.3012301497713196E-2</v>
      </c>
      <c r="J1415">
        <v>9.34501637520367E-2</v>
      </c>
      <c r="K1415">
        <v>0.19924703563753801</v>
      </c>
      <c r="L1415">
        <v>2900.4042673853</v>
      </c>
      <c r="M1415">
        <v>53.952675964675997</v>
      </c>
      <c r="N1415">
        <v>54.005775422819497</v>
      </c>
      <c r="O1415">
        <v>53.684599198655299</v>
      </c>
      <c r="P1415">
        <v>-0.22373198620033799</v>
      </c>
      <c r="Q1415">
        <v>0.109519278112421</v>
      </c>
      <c r="R1415">
        <v>0.98440436292876698</v>
      </c>
      <c r="S1415" t="s">
        <v>8085</v>
      </c>
      <c r="T1415" t="s">
        <v>13338</v>
      </c>
      <c r="U1415" t="s">
        <v>13338</v>
      </c>
      <c r="V1415" t="s">
        <v>13338</v>
      </c>
      <c r="W1415" t="s">
        <v>14721</v>
      </c>
      <c r="X1415">
        <v>7</v>
      </c>
      <c r="Y1415" t="s">
        <v>21320</v>
      </c>
      <c r="Z1415" t="s">
        <v>27830</v>
      </c>
      <c r="AA1415">
        <v>0.51971461165684818</v>
      </c>
      <c r="AB1415" t="str">
        <f>HYPERLINK("Melting_Curves/meltCurve_O43402_EMC8.pdf", "Melting_Curves/meltCurve_O43402_EMC8.pdf")</f>
        <v>Melting_Curves/meltCurve_O43402_EMC8.pdf</v>
      </c>
    </row>
    <row r="1416" spans="1:28" x14ac:dyDescent="0.25">
      <c r="A1416" t="s">
        <v>1420</v>
      </c>
      <c r="B1416">
        <v>0.99193492352474899</v>
      </c>
      <c r="C1416">
        <v>0.91015116131289597</v>
      </c>
      <c r="D1416">
        <v>0.97047873964213105</v>
      </c>
      <c r="E1416">
        <v>0.49797646593825101</v>
      </c>
      <c r="F1416">
        <v>0.22469220503409201</v>
      </c>
      <c r="G1416">
        <v>0.16284186852369001</v>
      </c>
      <c r="H1416">
        <v>0.103452271839635</v>
      </c>
      <c r="I1416">
        <v>0.12494979346065101</v>
      </c>
      <c r="J1416">
        <v>0.103379517509208</v>
      </c>
      <c r="K1416">
        <v>0.14484270027216101</v>
      </c>
      <c r="L1416">
        <v>1667.16783896983</v>
      </c>
      <c r="M1416">
        <v>33.8286317687528</v>
      </c>
      <c r="N1416">
        <v>49.722269929441801</v>
      </c>
      <c r="O1416">
        <v>49.1114649166459</v>
      </c>
      <c r="P1416">
        <v>-0.14995050374430999</v>
      </c>
      <c r="Q1416">
        <v>0.129227373798912</v>
      </c>
      <c r="R1416">
        <v>0.99078797611678104</v>
      </c>
      <c r="S1416" t="s">
        <v>8086</v>
      </c>
      <c r="T1416" t="s">
        <v>13338</v>
      </c>
      <c r="U1416" t="s">
        <v>13338</v>
      </c>
      <c r="V1416" t="s">
        <v>13338</v>
      </c>
      <c r="W1416" t="s">
        <v>14722</v>
      </c>
      <c r="X1416">
        <v>4</v>
      </c>
      <c r="Y1416" t="s">
        <v>21321</v>
      </c>
      <c r="Z1416" t="s">
        <v>27831</v>
      </c>
      <c r="AA1416">
        <v>0.40283562985729199</v>
      </c>
      <c r="AB1416" t="str">
        <f>HYPERLINK("Melting_Curves/meltCurve_O43422_PRKRIR.pdf", "Melting_Curves/meltCurve_O43422_PRKRIR.pdf")</f>
        <v>Melting_Curves/meltCurve_O43422_PRKRIR.pdf</v>
      </c>
    </row>
    <row r="1417" spans="1:28" x14ac:dyDescent="0.25">
      <c r="A1417" t="s">
        <v>1421</v>
      </c>
      <c r="B1417">
        <v>0.99193492352474899</v>
      </c>
      <c r="C1417">
        <v>0.92595260297494497</v>
      </c>
      <c r="D1417">
        <v>0.81189634139778999</v>
      </c>
      <c r="E1417">
        <v>0.59933258526331001</v>
      </c>
      <c r="F1417">
        <v>0.29224133572912903</v>
      </c>
      <c r="G1417">
        <v>0.17567858734816899</v>
      </c>
      <c r="H1417">
        <v>0.11233215469857399</v>
      </c>
      <c r="I1417">
        <v>0.12172035452897</v>
      </c>
      <c r="J1417">
        <v>0.14246102879386599</v>
      </c>
      <c r="K1417">
        <v>0.13241152456900099</v>
      </c>
      <c r="L1417">
        <v>916.91391176835498</v>
      </c>
      <c r="M1417">
        <v>18.4639100442676</v>
      </c>
      <c r="N1417">
        <v>50.3389290192194</v>
      </c>
      <c r="O1417">
        <v>49.088271178835399</v>
      </c>
      <c r="P1417">
        <v>-8.3670729197884805E-2</v>
      </c>
      <c r="Q1417">
        <v>0.11024953249056001</v>
      </c>
      <c r="R1417">
        <v>0.99573125404610296</v>
      </c>
      <c r="S1417" t="s">
        <v>8087</v>
      </c>
      <c r="T1417" t="s">
        <v>13338</v>
      </c>
      <c r="U1417" t="s">
        <v>13338</v>
      </c>
      <c r="V1417" t="s">
        <v>13338</v>
      </c>
      <c r="W1417" t="s">
        <v>14723</v>
      </c>
      <c r="X1417">
        <v>4</v>
      </c>
      <c r="Y1417" t="s">
        <v>21322</v>
      </c>
      <c r="Z1417" t="s">
        <v>27832</v>
      </c>
      <c r="AA1417">
        <v>0.41125403740067229</v>
      </c>
      <c r="AB1417" t="str">
        <f>HYPERLINK("Melting_Curves/meltCurve_O43427_2_FIBP.pdf", "Melting_Curves/meltCurve_O43427_2_FIBP.pdf")</f>
        <v>Melting_Curves/meltCurve_O43427_2_FIBP.pdf</v>
      </c>
    </row>
    <row r="1418" spans="1:28" x14ac:dyDescent="0.25">
      <c r="A1418" t="s">
        <v>1422</v>
      </c>
      <c r="B1418">
        <v>0.99193492352474899</v>
      </c>
      <c r="C1418">
        <v>0.63277802136678896</v>
      </c>
      <c r="D1418">
        <v>0.44968312251211701</v>
      </c>
      <c r="E1418">
        <v>0.26563672045143</v>
      </c>
      <c r="F1418">
        <v>0.21955248608435499</v>
      </c>
      <c r="G1418">
        <v>0.17052325455096801</v>
      </c>
      <c r="H1418">
        <v>0.111755951286229</v>
      </c>
      <c r="I1418">
        <v>0.18079962201510999</v>
      </c>
      <c r="J1418">
        <v>0.16055858018558899</v>
      </c>
      <c r="K1418">
        <v>0.24281282216604999</v>
      </c>
      <c r="L1418">
        <v>912.22235329774298</v>
      </c>
      <c r="M1418">
        <v>20.7101985214344</v>
      </c>
      <c r="N1418">
        <v>45.004307087806197</v>
      </c>
      <c r="O1418">
        <v>43.642504443863899</v>
      </c>
      <c r="P1418">
        <v>-9.7503021240131299E-2</v>
      </c>
      <c r="Q1418">
        <v>0.17815264259149999</v>
      </c>
      <c r="R1418">
        <v>0.96785989348325496</v>
      </c>
      <c r="S1418" t="s">
        <v>8088</v>
      </c>
      <c r="T1418" t="s">
        <v>13338</v>
      </c>
      <c r="U1418" t="s">
        <v>13338</v>
      </c>
      <c r="V1418" t="s">
        <v>13338</v>
      </c>
      <c r="W1418" t="s">
        <v>13451</v>
      </c>
      <c r="X1418">
        <v>16</v>
      </c>
      <c r="Y1418" t="s">
        <v>20053</v>
      </c>
      <c r="Z1418" t="s">
        <v>27833</v>
      </c>
      <c r="AA1418">
        <v>0.30364614659294642</v>
      </c>
      <c r="AB1418" t="str">
        <f>HYPERLINK("Melting_Curves/meltCurve_O43432_EIF4G3.pdf", "Melting_Curves/meltCurve_O43432_EIF4G3.pdf")</f>
        <v>Melting_Curves/meltCurve_O43432_EIF4G3.pdf</v>
      </c>
    </row>
    <row r="1419" spans="1:28" x14ac:dyDescent="0.25">
      <c r="A1419" t="s">
        <v>1423</v>
      </c>
      <c r="B1419">
        <v>0.99193492352474899</v>
      </c>
      <c r="C1419">
        <v>0.83158738396397003</v>
      </c>
      <c r="D1419">
        <v>0.91901951690728101</v>
      </c>
      <c r="E1419">
        <v>0.62507971721079802</v>
      </c>
      <c r="F1419">
        <v>0.247601388560655</v>
      </c>
      <c r="G1419">
        <v>0.119854620057726</v>
      </c>
      <c r="H1419">
        <v>6.3935635718866596E-2</v>
      </c>
      <c r="I1419">
        <v>7.0062147961921603E-2</v>
      </c>
      <c r="J1419">
        <v>7.1443843997748405E-2</v>
      </c>
      <c r="K1419">
        <v>8.4490445486253798E-2</v>
      </c>
      <c r="L1419">
        <v>1160.7518984047499</v>
      </c>
      <c r="M1419">
        <v>23.0891438153803</v>
      </c>
      <c r="N1419">
        <v>50.565387970894498</v>
      </c>
      <c r="O1419">
        <v>49.900072413497</v>
      </c>
      <c r="P1419">
        <v>-0.108441543550075</v>
      </c>
      <c r="Q1419">
        <v>6.2565297832644404E-2</v>
      </c>
      <c r="R1419">
        <v>0.98219073469861296</v>
      </c>
      <c r="S1419" t="s">
        <v>8089</v>
      </c>
      <c r="T1419" t="s">
        <v>13338</v>
      </c>
      <c r="U1419" t="s">
        <v>13338</v>
      </c>
      <c r="V1419" t="s">
        <v>13338</v>
      </c>
      <c r="W1419" t="s">
        <v>14724</v>
      </c>
      <c r="X1419">
        <v>12</v>
      </c>
      <c r="Y1419" t="s">
        <v>21323</v>
      </c>
      <c r="Z1419" t="s">
        <v>27834</v>
      </c>
      <c r="AA1419">
        <v>0.39340549440143802</v>
      </c>
      <c r="AB1419" t="str">
        <f>HYPERLINK("Melting_Curves/meltCurve_O43447_PPIH.pdf", "Melting_Curves/meltCurve_O43447_PPIH.pdf")</f>
        <v>Melting_Curves/meltCurve_O43447_PPIH.pdf</v>
      </c>
    </row>
    <row r="1420" spans="1:28" x14ac:dyDescent="0.25">
      <c r="A1420" t="s">
        <v>1424</v>
      </c>
      <c r="B1420">
        <v>0.99193492352474899</v>
      </c>
      <c r="C1420">
        <v>0.76588963733437099</v>
      </c>
      <c r="D1420">
        <v>0.73401600370154896</v>
      </c>
      <c r="E1420">
        <v>0.56563261482193805</v>
      </c>
      <c r="F1420">
        <v>0.54937596783679699</v>
      </c>
      <c r="G1420">
        <v>0.377881904219667</v>
      </c>
      <c r="H1420">
        <v>0.24120232724812299</v>
      </c>
      <c r="I1420">
        <v>0.16696232238912201</v>
      </c>
      <c r="J1420">
        <v>0.15406659891369601</v>
      </c>
      <c r="K1420">
        <v>9.4159570326078496E-2</v>
      </c>
      <c r="L1420">
        <v>404.60531749894102</v>
      </c>
      <c r="M1420">
        <v>7.7319647689698598</v>
      </c>
      <c r="N1420">
        <v>52.328912511228403</v>
      </c>
      <c r="O1420">
        <v>49.173983546686301</v>
      </c>
      <c r="P1420">
        <v>-3.9359703450964602E-2</v>
      </c>
      <c r="Q1420">
        <v>0</v>
      </c>
      <c r="R1420">
        <v>0.97265387411414395</v>
      </c>
      <c r="S1420" t="s">
        <v>8090</v>
      </c>
      <c r="T1420" t="s">
        <v>13338</v>
      </c>
      <c r="U1420" t="s">
        <v>13338</v>
      </c>
      <c r="V1420" t="s">
        <v>13338</v>
      </c>
      <c r="W1420" t="s">
        <v>14725</v>
      </c>
      <c r="X1420">
        <v>6</v>
      </c>
      <c r="Y1420" t="s">
        <v>21324</v>
      </c>
      <c r="Z1420" t="s">
        <v>27835</v>
      </c>
      <c r="AA1420">
        <v>0.45721332373576662</v>
      </c>
      <c r="AB1420" t="str">
        <f>HYPERLINK("Melting_Curves/meltCurve_O43464_3_HTRA2.pdf", "Melting_Curves/meltCurve_O43464_3_HTRA2.pdf")</f>
        <v>Melting_Curves/meltCurve_O43464_3_HTRA2.pdf</v>
      </c>
    </row>
    <row r="1421" spans="1:28" x14ac:dyDescent="0.25">
      <c r="A1421" t="s">
        <v>1425</v>
      </c>
      <c r="B1421">
        <v>0.99193492352474899</v>
      </c>
      <c r="C1421">
        <v>1.01867464220191</v>
      </c>
      <c r="D1421">
        <v>0.93117583723081698</v>
      </c>
      <c r="E1421">
        <v>0.76145058385550202</v>
      </c>
      <c r="F1421">
        <v>0.396410994815178</v>
      </c>
      <c r="G1421">
        <v>0.17609185358274301</v>
      </c>
      <c r="H1421">
        <v>6.9666109295405204E-2</v>
      </c>
      <c r="I1421">
        <v>9.9390656237574398E-2</v>
      </c>
      <c r="J1421">
        <v>9.0921500516999598E-2</v>
      </c>
      <c r="K1421">
        <v>9.2454794312239297E-2</v>
      </c>
      <c r="L1421">
        <v>1240.9243718724999</v>
      </c>
      <c r="M1421">
        <v>23.989029445436799</v>
      </c>
      <c r="N1421">
        <v>52.102958546251202</v>
      </c>
      <c r="O1421">
        <v>51.373396843028303</v>
      </c>
      <c r="P1421">
        <v>-0.107504587806702</v>
      </c>
      <c r="Q1421">
        <v>7.9114600753904099E-2</v>
      </c>
      <c r="R1421">
        <v>0.99816516133446598</v>
      </c>
      <c r="S1421" t="s">
        <v>8091</v>
      </c>
      <c r="T1421" t="s">
        <v>13338</v>
      </c>
      <c r="U1421" t="s">
        <v>13338</v>
      </c>
      <c r="V1421" t="s">
        <v>13338</v>
      </c>
      <c r="W1421" t="s">
        <v>14726</v>
      </c>
      <c r="X1421">
        <v>3</v>
      </c>
      <c r="Y1421" t="s">
        <v>21325</v>
      </c>
      <c r="Z1421" t="s">
        <v>27836</v>
      </c>
      <c r="AA1421">
        <v>0.44822336238165478</v>
      </c>
      <c r="AB1421" t="str">
        <f>HYPERLINK("Melting_Curves/meltCurve_O43482_OIP5.pdf", "Melting_Curves/meltCurve_O43482_OIP5.pdf")</f>
        <v>Melting_Curves/meltCurve_O43482_OIP5.pdf</v>
      </c>
    </row>
    <row r="1422" spans="1:28" x14ac:dyDescent="0.25">
      <c r="A1422" t="s">
        <v>1426</v>
      </c>
      <c r="B1422">
        <v>0.99193492352474899</v>
      </c>
      <c r="C1422">
        <v>1.04990103307923</v>
      </c>
      <c r="D1422">
        <v>0.68970869402795298</v>
      </c>
      <c r="E1422">
        <v>0.67995016868805003</v>
      </c>
      <c r="F1422">
        <v>0.22494173413085</v>
      </c>
      <c r="G1422">
        <v>6.1132777218179002E-2</v>
      </c>
      <c r="H1422">
        <v>3.4546776157966301E-2</v>
      </c>
      <c r="I1422">
        <v>6.4525800490558893E-2</v>
      </c>
      <c r="J1422">
        <v>5.5312475419656802E-2</v>
      </c>
      <c r="K1422">
        <v>9.2303340705520598E-2</v>
      </c>
      <c r="L1422">
        <v>973.14940380181599</v>
      </c>
      <c r="M1422">
        <v>19.456430580939202</v>
      </c>
      <c r="N1422">
        <v>50.207617409088897</v>
      </c>
      <c r="O1422">
        <v>49.497486305904303</v>
      </c>
      <c r="P1422">
        <v>-9.4771960213016093E-2</v>
      </c>
      <c r="Q1422">
        <v>3.5629516571877198E-2</v>
      </c>
      <c r="R1422">
        <v>0.96233103471022996</v>
      </c>
      <c r="S1422" t="s">
        <v>8092</v>
      </c>
      <c r="T1422" t="s">
        <v>13338</v>
      </c>
      <c r="U1422" t="s">
        <v>13338</v>
      </c>
      <c r="V1422" t="s">
        <v>13338</v>
      </c>
      <c r="W1422" t="s">
        <v>14727</v>
      </c>
      <c r="X1422">
        <v>7</v>
      </c>
      <c r="Y1422" t="s">
        <v>21326</v>
      </c>
      <c r="Z1422" t="s">
        <v>27837</v>
      </c>
      <c r="AA1422">
        <v>0.371790973124072</v>
      </c>
      <c r="AB1422" t="str">
        <f>HYPERLINK("Melting_Curves/meltCurve_O43488_AKR7A2.pdf", "Melting_Curves/meltCurve_O43488_AKR7A2.pdf")</f>
        <v>Melting_Curves/meltCurve_O43488_AKR7A2.pdf</v>
      </c>
    </row>
    <row r="1423" spans="1:28" x14ac:dyDescent="0.25">
      <c r="A1423" t="s">
        <v>1427</v>
      </c>
      <c r="B1423">
        <v>0.99193492352474899</v>
      </c>
      <c r="C1423">
        <v>0.79161451583037401</v>
      </c>
      <c r="D1423">
        <v>0.96585900381490797</v>
      </c>
      <c r="E1423">
        <v>0.62860737826822299</v>
      </c>
      <c r="F1423">
        <v>0.45499466355193402</v>
      </c>
      <c r="G1423">
        <v>0.13458326457679301</v>
      </c>
      <c r="H1423">
        <v>5.3557934593887198E-2</v>
      </c>
      <c r="I1423">
        <v>4.6415788979048397E-2</v>
      </c>
      <c r="J1423">
        <v>6.7837359918433301E-2</v>
      </c>
      <c r="K1423">
        <v>4.4906652785351199E-2</v>
      </c>
      <c r="L1423">
        <v>855.74251706808298</v>
      </c>
      <c r="M1423">
        <v>16.579850662892699</v>
      </c>
      <c r="N1423">
        <v>51.699396860787097</v>
      </c>
      <c r="O1423">
        <v>50.880085360480102</v>
      </c>
      <c r="P1423">
        <v>-8.0362829180601003E-2</v>
      </c>
      <c r="Q1423">
        <v>1.36005547483535E-2</v>
      </c>
      <c r="R1423">
        <v>0.96545104524811198</v>
      </c>
      <c r="S1423" t="s">
        <v>8093</v>
      </c>
      <c r="T1423" t="s">
        <v>13338</v>
      </c>
      <c r="U1423" t="s">
        <v>13338</v>
      </c>
      <c r="V1423" t="s">
        <v>13338</v>
      </c>
      <c r="W1423" t="s">
        <v>14728</v>
      </c>
      <c r="X1423">
        <v>4</v>
      </c>
      <c r="Y1423" t="s">
        <v>21327</v>
      </c>
      <c r="Z1423" t="s">
        <v>27838</v>
      </c>
      <c r="AA1423">
        <v>0.41443543103386299</v>
      </c>
      <c r="AB1423" t="str">
        <f>HYPERLINK("Melting_Curves/meltCurve_O43502_RAD51C.pdf", "Melting_Curves/meltCurve_O43502_RAD51C.pdf")</f>
        <v>Melting_Curves/meltCurve_O43502_RAD51C.pdf</v>
      </c>
    </row>
    <row r="1424" spans="1:28" x14ac:dyDescent="0.25">
      <c r="A1424" t="s">
        <v>1428</v>
      </c>
      <c r="B1424">
        <v>0.99193492352474899</v>
      </c>
      <c r="C1424">
        <v>0.92947837598177296</v>
      </c>
      <c r="D1424">
        <v>0.85009050083708604</v>
      </c>
      <c r="E1424">
        <v>0.74502384678496802</v>
      </c>
      <c r="F1424">
        <v>0.56677292957636805</v>
      </c>
      <c r="G1424">
        <v>0.39062853542974901</v>
      </c>
      <c r="H1424">
        <v>0.29385942159682799</v>
      </c>
      <c r="I1424">
        <v>0.23242433688554401</v>
      </c>
      <c r="J1424">
        <v>0.19267001562721001</v>
      </c>
      <c r="K1424">
        <v>0.30811916468491701</v>
      </c>
      <c r="L1424">
        <v>681.69110367849703</v>
      </c>
      <c r="M1424">
        <v>13.0973355664328</v>
      </c>
      <c r="N1424">
        <v>54.165405697584497</v>
      </c>
      <c r="O1424">
        <v>50.879562091693401</v>
      </c>
      <c r="P1424">
        <v>-5.1470313760808802E-2</v>
      </c>
      <c r="Q1424">
        <v>0.20034493155536301</v>
      </c>
      <c r="R1424">
        <v>0.98524901442425505</v>
      </c>
      <c r="S1424" t="s">
        <v>8094</v>
      </c>
      <c r="T1424" t="s">
        <v>13338</v>
      </c>
      <c r="U1424" t="s">
        <v>13338</v>
      </c>
      <c r="V1424" t="s">
        <v>13338</v>
      </c>
      <c r="W1424" t="s">
        <v>14729</v>
      </c>
      <c r="X1424">
        <v>5</v>
      </c>
      <c r="Y1424" t="s">
        <v>21328</v>
      </c>
      <c r="Z1424" t="s">
        <v>27839</v>
      </c>
      <c r="AA1424">
        <v>0.5432109248456205</v>
      </c>
      <c r="AB1424" t="str">
        <f>HYPERLINK("Melting_Curves/meltCurve_O43504_LAMTOR5.pdf", "Melting_Curves/meltCurve_O43504_LAMTOR5.pdf")</f>
        <v>Melting_Curves/meltCurve_O43504_LAMTOR5.pdf</v>
      </c>
    </row>
    <row r="1425" spans="1:28" x14ac:dyDescent="0.25">
      <c r="A1425" t="s">
        <v>1429</v>
      </c>
      <c r="B1425">
        <v>0.99193492352474899</v>
      </c>
      <c r="C1425">
        <v>0.88987825606356896</v>
      </c>
      <c r="D1425">
        <v>0.88122243915889598</v>
      </c>
      <c r="E1425">
        <v>0.67645026207416903</v>
      </c>
      <c r="F1425">
        <v>0.46895750498019101</v>
      </c>
      <c r="G1425">
        <v>0.18072338071462599</v>
      </c>
      <c r="H1425">
        <v>6.3865808710593996E-2</v>
      </c>
      <c r="I1425">
        <v>9.4198660708366702E-2</v>
      </c>
      <c r="J1425">
        <v>0.101697854142994</v>
      </c>
      <c r="K1425">
        <v>0.15970636932356799</v>
      </c>
      <c r="L1425">
        <v>884.77933226146297</v>
      </c>
      <c r="M1425">
        <v>17.2122613070376</v>
      </c>
      <c r="N1425">
        <v>51.901146843563701</v>
      </c>
      <c r="O1425">
        <v>50.725195351945601</v>
      </c>
      <c r="P1425">
        <v>-7.8388714912391202E-2</v>
      </c>
      <c r="Q1425">
        <v>7.5996012492544701E-2</v>
      </c>
      <c r="R1425">
        <v>0.98159354652139996</v>
      </c>
      <c r="S1425" t="s">
        <v>8095</v>
      </c>
      <c r="T1425" t="s">
        <v>13338</v>
      </c>
      <c r="U1425" t="s">
        <v>13338</v>
      </c>
      <c r="V1425" t="s">
        <v>13338</v>
      </c>
      <c r="W1425" t="s">
        <v>14730</v>
      </c>
      <c r="X1425">
        <v>7</v>
      </c>
      <c r="Y1425" t="s">
        <v>21329</v>
      </c>
      <c r="Z1425" t="s">
        <v>27840</v>
      </c>
      <c r="AA1425">
        <v>0.44399543471445307</v>
      </c>
      <c r="AB1425" t="str">
        <f>HYPERLINK("Melting_Curves/meltCurve_O43505_B3GNT1.pdf", "Melting_Curves/meltCurve_O43505_B3GNT1.pdf")</f>
        <v>Melting_Curves/meltCurve_O43505_B3GNT1.pdf</v>
      </c>
    </row>
    <row r="1426" spans="1:28" x14ac:dyDescent="0.25">
      <c r="A1426" t="s">
        <v>1430</v>
      </c>
      <c r="B1426">
        <v>0.99193492352474899</v>
      </c>
      <c r="C1426">
        <v>0.86558156738215197</v>
      </c>
      <c r="D1426">
        <v>0.60727666263227098</v>
      </c>
      <c r="E1426">
        <v>0.69955803326398103</v>
      </c>
      <c r="F1426">
        <v>0.27873701237055998</v>
      </c>
      <c r="G1426">
        <v>0.17260210126417899</v>
      </c>
      <c r="H1426">
        <v>0.125214308723329</v>
      </c>
      <c r="I1426">
        <v>0.133951781451769</v>
      </c>
      <c r="J1426">
        <v>0.109619117234333</v>
      </c>
      <c r="K1426">
        <v>0.14334190697855501</v>
      </c>
      <c r="L1426">
        <v>615.14553741849397</v>
      </c>
      <c r="M1426">
        <v>12.477908054966001</v>
      </c>
      <c r="N1426">
        <v>49.948257738562802</v>
      </c>
      <c r="O1426">
        <v>48.083918407092497</v>
      </c>
      <c r="P1426">
        <v>-6.00297629956675E-2</v>
      </c>
      <c r="Q1426">
        <v>7.4886745736237506E-2</v>
      </c>
      <c r="R1426">
        <v>0.94453862399007305</v>
      </c>
      <c r="S1426" t="s">
        <v>8096</v>
      </c>
      <c r="T1426" t="s">
        <v>13338</v>
      </c>
      <c r="U1426" t="s">
        <v>13338</v>
      </c>
      <c r="V1426" t="s">
        <v>13338</v>
      </c>
      <c r="W1426" t="s">
        <v>14731</v>
      </c>
      <c r="X1426">
        <v>4</v>
      </c>
      <c r="Y1426" t="s">
        <v>21330</v>
      </c>
      <c r="Z1426" t="s">
        <v>27841</v>
      </c>
      <c r="AA1426">
        <v>0.39291638843009929</v>
      </c>
      <c r="AB1426" t="str">
        <f>HYPERLINK("Melting_Curves/meltCurve_O43513_MED7.pdf", "Melting_Curves/meltCurve_O43513_MED7.pdf")</f>
        <v>Melting_Curves/meltCurve_O43513_MED7.pdf</v>
      </c>
    </row>
    <row r="1427" spans="1:28" x14ac:dyDescent="0.25">
      <c r="A1427" t="s">
        <v>1431</v>
      </c>
      <c r="B1427">
        <v>0.99193492352474899</v>
      </c>
      <c r="C1427">
        <v>0.79853417383536596</v>
      </c>
      <c r="D1427">
        <v>0.77937055082306905</v>
      </c>
      <c r="E1427">
        <v>0.66522080286071394</v>
      </c>
      <c r="F1427">
        <v>0.60631226671153804</v>
      </c>
      <c r="G1427">
        <v>0.34923177748444301</v>
      </c>
      <c r="H1427">
        <v>0.257689958477619</v>
      </c>
      <c r="I1427">
        <v>0.25186687093634802</v>
      </c>
      <c r="J1427">
        <v>0.34355532556830298</v>
      </c>
      <c r="K1427">
        <v>0.35128283175820002</v>
      </c>
      <c r="L1427">
        <v>523.89191512248203</v>
      </c>
      <c r="M1427">
        <v>10.477097970026101</v>
      </c>
      <c r="N1427">
        <v>53.419629393626003</v>
      </c>
      <c r="O1427">
        <v>48.284865802651701</v>
      </c>
      <c r="P1427">
        <v>-4.1019130033777301E-2</v>
      </c>
      <c r="Q1427">
        <v>0.244142742400839</v>
      </c>
      <c r="R1427">
        <v>0.93022439377208399</v>
      </c>
      <c r="S1427" t="s">
        <v>8097</v>
      </c>
      <c r="T1427" t="s">
        <v>13338</v>
      </c>
      <c r="U1427" t="s">
        <v>13338</v>
      </c>
      <c r="V1427" t="s">
        <v>13338</v>
      </c>
      <c r="W1427" t="s">
        <v>14732</v>
      </c>
      <c r="X1427">
        <v>3</v>
      </c>
      <c r="Y1427" t="s">
        <v>21331</v>
      </c>
      <c r="Z1427" t="s">
        <v>27842</v>
      </c>
      <c r="AA1427">
        <v>0.52820102711906247</v>
      </c>
      <c r="AB1427" t="str">
        <f>HYPERLINK("Melting_Curves/meltCurve_O43516_WIPF1.pdf", "Melting_Curves/meltCurve_O43516_WIPF1.pdf")</f>
        <v>Melting_Curves/meltCurve_O43516_WIPF1.pdf</v>
      </c>
    </row>
    <row r="1428" spans="1:28" x14ac:dyDescent="0.25">
      <c r="A1428" t="s">
        <v>1432</v>
      </c>
      <c r="B1428">
        <v>0.99193492352474899</v>
      </c>
      <c r="C1428">
        <v>0.82653845901716705</v>
      </c>
      <c r="D1428">
        <v>0.70965639228579602</v>
      </c>
      <c r="E1428">
        <v>0.43952709190483003</v>
      </c>
      <c r="F1428">
        <v>0.19395889886536</v>
      </c>
      <c r="G1428">
        <v>0.12682738542951699</v>
      </c>
      <c r="H1428">
        <v>0.173400464752725</v>
      </c>
      <c r="I1428">
        <v>0.32313765807822198</v>
      </c>
      <c r="J1428">
        <v>0.26313588157526902</v>
      </c>
      <c r="K1428">
        <v>0.70613720036665995</v>
      </c>
      <c r="L1428">
        <v>1150.2514877557901</v>
      </c>
      <c r="M1428">
        <v>24.919538322140401</v>
      </c>
      <c r="N1428">
        <v>47.918540841476897</v>
      </c>
      <c r="O1428">
        <v>45.864446612524297</v>
      </c>
      <c r="P1428">
        <v>-9.5112623259606302E-2</v>
      </c>
      <c r="Q1428">
        <v>0.29978985003184599</v>
      </c>
      <c r="R1428">
        <v>0.71789712092079006</v>
      </c>
      <c r="S1428" t="s">
        <v>8098</v>
      </c>
      <c r="T1428" t="s">
        <v>13338</v>
      </c>
      <c r="U1428" t="s">
        <v>13338</v>
      </c>
      <c r="V1428" t="s">
        <v>13338</v>
      </c>
      <c r="W1428" t="s">
        <v>14733</v>
      </c>
      <c r="X1428">
        <v>4</v>
      </c>
      <c r="Y1428" t="s">
        <v>21332</v>
      </c>
      <c r="Z1428" t="s">
        <v>27843</v>
      </c>
      <c r="AA1428">
        <v>0.45000093714885347</v>
      </c>
      <c r="AB1428" t="str">
        <f>HYPERLINK("Melting_Curves/meltCurve_O43524_FOXO3.pdf", "Melting_Curves/meltCurve_O43524_FOXO3.pdf")</f>
        <v>Melting_Curves/meltCurve_O43524_FOXO3.pdf</v>
      </c>
    </row>
    <row r="1429" spans="1:28" x14ac:dyDescent="0.25">
      <c r="A1429" t="s">
        <v>1433</v>
      </c>
      <c r="B1429">
        <v>0.99193492352474899</v>
      </c>
      <c r="C1429">
        <v>1.05590000428408</v>
      </c>
      <c r="D1429">
        <v>1.1701549697586899</v>
      </c>
      <c r="E1429">
        <v>0.90457295732546295</v>
      </c>
      <c r="F1429">
        <v>0.75455704697418802</v>
      </c>
      <c r="G1429">
        <v>0.25025657949088498</v>
      </c>
      <c r="H1429">
        <v>0.120482666923871</v>
      </c>
      <c r="I1429">
        <v>0.119213363568428</v>
      </c>
      <c r="J1429">
        <v>0.150740156958937</v>
      </c>
      <c r="K1429">
        <v>0.17287719108143701</v>
      </c>
      <c r="L1429">
        <v>2249.0164863572199</v>
      </c>
      <c r="M1429">
        <v>41.419781780325899</v>
      </c>
      <c r="N1429">
        <v>54.721138422561097</v>
      </c>
      <c r="O1429">
        <v>54.172027002586198</v>
      </c>
      <c r="P1429">
        <v>-0.16496420428144701</v>
      </c>
      <c r="Q1429">
        <v>0.13698942587412299</v>
      </c>
      <c r="R1429">
        <v>0.97658361655116299</v>
      </c>
      <c r="S1429" t="s">
        <v>8099</v>
      </c>
      <c r="T1429" t="s">
        <v>13338</v>
      </c>
      <c r="U1429" t="s">
        <v>13338</v>
      </c>
      <c r="V1429" t="s">
        <v>13338</v>
      </c>
      <c r="W1429" t="s">
        <v>14734</v>
      </c>
      <c r="X1429">
        <v>3</v>
      </c>
      <c r="Y1429" t="s">
        <v>21333</v>
      </c>
      <c r="Z1429" t="s">
        <v>27844</v>
      </c>
      <c r="AA1429">
        <v>0.55131758103007111</v>
      </c>
      <c r="AB1429" t="str">
        <f>HYPERLINK("Melting_Curves/meltCurve_O43542_XRCC3.pdf", "Melting_Curves/meltCurve_O43542_XRCC3.pdf")</f>
        <v>Melting_Curves/meltCurve_O43542_XRCC3.pdf</v>
      </c>
    </row>
    <row r="1430" spans="1:28" x14ac:dyDescent="0.25">
      <c r="A1430" t="s">
        <v>1434</v>
      </c>
      <c r="B1430">
        <v>0.99193492352474899</v>
      </c>
      <c r="C1430">
        <v>0.96679909938735298</v>
      </c>
      <c r="D1430">
        <v>0.85972174943637003</v>
      </c>
      <c r="E1430">
        <v>0.69742055348989396</v>
      </c>
      <c r="F1430">
        <v>0.45277850559956301</v>
      </c>
      <c r="G1430">
        <v>0.20172877220465399</v>
      </c>
      <c r="H1430">
        <v>8.5329694845212106E-2</v>
      </c>
      <c r="I1430">
        <v>0.150948206735708</v>
      </c>
      <c r="J1430">
        <v>0.133534364222824</v>
      </c>
      <c r="K1430">
        <v>0.16449282350300001</v>
      </c>
      <c r="L1430">
        <v>942.407928639999</v>
      </c>
      <c r="M1430">
        <v>18.389369508910399</v>
      </c>
      <c r="N1430">
        <v>51.959757861756003</v>
      </c>
      <c r="O1430">
        <v>50.652939738652698</v>
      </c>
      <c r="P1430">
        <v>-8.0652673192239996E-2</v>
      </c>
      <c r="Q1430">
        <v>0.111419291556967</v>
      </c>
      <c r="R1430">
        <v>0.98962256967324003</v>
      </c>
      <c r="S1430" t="s">
        <v>8100</v>
      </c>
      <c r="T1430" t="s">
        <v>13338</v>
      </c>
      <c r="U1430" t="s">
        <v>13338</v>
      </c>
      <c r="V1430" t="s">
        <v>13338</v>
      </c>
      <c r="W1430" t="s">
        <v>14735</v>
      </c>
      <c r="X1430">
        <v>1</v>
      </c>
      <c r="Y1430" t="s">
        <v>21334</v>
      </c>
      <c r="Z1430" t="s">
        <v>27845</v>
      </c>
      <c r="AA1430">
        <v>0.45892909481697491</v>
      </c>
      <c r="AB1430" t="str">
        <f>HYPERLINK("Melting_Curves/meltCurve_O43543_XRCC2.pdf", "Melting_Curves/meltCurve_O43543_XRCC2.pdf")</f>
        <v>Melting_Curves/meltCurve_O43543_XRCC2.pdf</v>
      </c>
    </row>
    <row r="1431" spans="1:28" x14ac:dyDescent="0.25">
      <c r="A1431" t="s">
        <v>1435</v>
      </c>
      <c r="B1431">
        <v>0.99193492352474899</v>
      </c>
      <c r="C1431">
        <v>0.71571929386502198</v>
      </c>
      <c r="D1431">
        <v>0.41989944829757903</v>
      </c>
      <c r="E1431">
        <v>0.18026245532825799</v>
      </c>
      <c r="F1431">
        <v>0.10048621371380299</v>
      </c>
      <c r="G1431">
        <v>5.5456397903586502E-2</v>
      </c>
      <c r="H1431">
        <v>3.90193300909355E-2</v>
      </c>
      <c r="I1431">
        <v>4.1462662074926999E-2</v>
      </c>
      <c r="J1431">
        <v>3.8155530937382602E-2</v>
      </c>
      <c r="K1431">
        <v>3.32343285748311E-2</v>
      </c>
      <c r="L1431">
        <v>917.68672053478997</v>
      </c>
      <c r="M1431">
        <v>20.374325860625099</v>
      </c>
      <c r="N1431">
        <v>45.233999618007303</v>
      </c>
      <c r="O1431">
        <v>44.614161244788498</v>
      </c>
      <c r="P1431">
        <v>-0.10942783053268</v>
      </c>
      <c r="Q1431">
        <v>4.1561837850731802E-2</v>
      </c>
      <c r="R1431">
        <v>0.995060558313838</v>
      </c>
      <c r="S1431" t="s">
        <v>8101</v>
      </c>
      <c r="T1431" t="s">
        <v>13338</v>
      </c>
      <c r="U1431" t="s">
        <v>13338</v>
      </c>
      <c r="V1431" t="s">
        <v>13338</v>
      </c>
      <c r="W1431" t="s">
        <v>14736</v>
      </c>
      <c r="X1431">
        <v>11</v>
      </c>
      <c r="Y1431" t="s">
        <v>20779</v>
      </c>
      <c r="Z1431" t="s">
        <v>27846</v>
      </c>
      <c r="AA1431">
        <v>0.218087682030814</v>
      </c>
      <c r="AB1431" t="str">
        <f>HYPERLINK("Melting_Curves/meltCurve_O43566_RGS14.pdf", "Melting_Curves/meltCurve_O43566_RGS14.pdf")</f>
        <v>Melting_Curves/meltCurve_O43566_RGS14.pdf</v>
      </c>
    </row>
    <row r="1432" spans="1:28" x14ac:dyDescent="0.25">
      <c r="A1432" t="s">
        <v>1436</v>
      </c>
      <c r="B1432">
        <v>0.99193492352474899</v>
      </c>
      <c r="C1432">
        <v>0.74835456040297799</v>
      </c>
      <c r="D1432">
        <v>0.74328472555740199</v>
      </c>
      <c r="E1432">
        <v>0.36820239283498202</v>
      </c>
      <c r="F1432">
        <v>0.35657382573053598</v>
      </c>
      <c r="G1432">
        <v>0.254391658018633</v>
      </c>
      <c r="H1432">
        <v>0.17566273906333699</v>
      </c>
      <c r="I1432">
        <v>0.23838728952978999</v>
      </c>
      <c r="J1432">
        <v>0.242501271473375</v>
      </c>
      <c r="K1432">
        <v>0.208442259562683</v>
      </c>
      <c r="L1432">
        <v>717.994159450908</v>
      </c>
      <c r="M1432">
        <v>15.361012402139099</v>
      </c>
      <c r="N1432">
        <v>48.429671784457298</v>
      </c>
      <c r="O1432">
        <v>45.970659054431401</v>
      </c>
      <c r="P1432">
        <v>-6.6224663229538003E-2</v>
      </c>
      <c r="Q1432">
        <v>0.20731500867574601</v>
      </c>
      <c r="R1432">
        <v>0.95983468547774298</v>
      </c>
      <c r="S1432" t="s">
        <v>8102</v>
      </c>
      <c r="T1432" t="s">
        <v>13338</v>
      </c>
      <c r="U1432" t="s">
        <v>13338</v>
      </c>
      <c r="V1432" t="s">
        <v>13338</v>
      </c>
      <c r="W1432" t="s">
        <v>14737</v>
      </c>
      <c r="X1432">
        <v>3</v>
      </c>
      <c r="Y1432" t="s">
        <v>21335</v>
      </c>
      <c r="Z1432" t="s">
        <v>27847</v>
      </c>
      <c r="AA1432">
        <v>0.40628210100359519</v>
      </c>
      <c r="AB1432" t="str">
        <f>HYPERLINK("Melting_Curves/meltCurve_O43567_RNF13.pdf", "Melting_Curves/meltCurve_O43567_RNF13.pdf")</f>
        <v>Melting_Curves/meltCurve_O43567_RNF13.pdf</v>
      </c>
    </row>
    <row r="1433" spans="1:28" x14ac:dyDescent="0.25">
      <c r="A1433" t="s">
        <v>1437</v>
      </c>
      <c r="B1433">
        <v>0.99193492352474899</v>
      </c>
      <c r="C1433">
        <v>0.91665993986602301</v>
      </c>
      <c r="D1433">
        <v>0.94558462555491796</v>
      </c>
      <c r="E1433">
        <v>0.92793032504651196</v>
      </c>
      <c r="F1433">
        <v>0.77454980978412402</v>
      </c>
      <c r="G1433">
        <v>0.56462157751971098</v>
      </c>
      <c r="H1433">
        <v>0.38414474990293701</v>
      </c>
      <c r="I1433">
        <v>0.27425243078172201</v>
      </c>
      <c r="J1433">
        <v>0.219054077841082</v>
      </c>
      <c r="K1433">
        <v>0.195043253934649</v>
      </c>
      <c r="L1433">
        <v>813.63138353862996</v>
      </c>
      <c r="M1433">
        <v>14.2936033585554</v>
      </c>
      <c r="N1433">
        <v>58.1735546622577</v>
      </c>
      <c r="O1433">
        <v>55.843358902297197</v>
      </c>
      <c r="P1433">
        <v>-5.5531091215390301E-2</v>
      </c>
      <c r="Q1433">
        <v>0.13229318147194599</v>
      </c>
      <c r="R1433">
        <v>0.99269294422511001</v>
      </c>
      <c r="S1433" t="s">
        <v>8103</v>
      </c>
      <c r="T1433" t="s">
        <v>13338</v>
      </c>
      <c r="U1433" t="s">
        <v>13338</v>
      </c>
      <c r="V1433" t="s">
        <v>13338</v>
      </c>
      <c r="W1433" t="s">
        <v>14738</v>
      </c>
      <c r="X1433">
        <v>13</v>
      </c>
      <c r="Y1433" t="s">
        <v>21336</v>
      </c>
      <c r="Z1433" t="s">
        <v>27848</v>
      </c>
      <c r="AA1433">
        <v>0.63599227693666616</v>
      </c>
      <c r="AB1433" t="str">
        <f>HYPERLINK("Melting_Curves/meltCurve_O43583_DENR.pdf", "Melting_Curves/meltCurve_O43583_DENR.pdf")</f>
        <v>Melting_Curves/meltCurve_O43583_DENR.pdf</v>
      </c>
    </row>
    <row r="1434" spans="1:28" x14ac:dyDescent="0.25">
      <c r="A1434" t="s">
        <v>1438</v>
      </c>
      <c r="B1434">
        <v>0.99193492352474899</v>
      </c>
      <c r="C1434">
        <v>0.91381941203316297</v>
      </c>
      <c r="D1434">
        <v>0.98505517463808001</v>
      </c>
      <c r="E1434">
        <v>0.34655797461503401</v>
      </c>
      <c r="F1434">
        <v>0.17795623625191401</v>
      </c>
      <c r="G1434">
        <v>0.142710853264744</v>
      </c>
      <c r="H1434">
        <v>7.9005153913304704E-2</v>
      </c>
      <c r="I1434">
        <v>0.121185662686247</v>
      </c>
      <c r="J1434">
        <v>9.7274879950986506E-2</v>
      </c>
      <c r="K1434">
        <v>0.10325150642103301</v>
      </c>
      <c r="L1434">
        <v>2803.1523667090901</v>
      </c>
      <c r="M1434">
        <v>57.543603874705099</v>
      </c>
      <c r="N1434">
        <v>48.943672410032903</v>
      </c>
      <c r="O1434">
        <v>48.654807894485501</v>
      </c>
      <c r="P1434">
        <v>-0.26062375248420699</v>
      </c>
      <c r="Q1434">
        <v>0.11854027209328601</v>
      </c>
      <c r="R1434">
        <v>0.990783594240363</v>
      </c>
      <c r="S1434" t="s">
        <v>8104</v>
      </c>
      <c r="T1434" t="s">
        <v>13338</v>
      </c>
      <c r="U1434" t="s">
        <v>13338</v>
      </c>
      <c r="V1434" t="s">
        <v>13338</v>
      </c>
      <c r="W1434" t="s">
        <v>14739</v>
      </c>
      <c r="X1434">
        <v>15</v>
      </c>
      <c r="Y1434" t="s">
        <v>21337</v>
      </c>
      <c r="Z1434" t="s">
        <v>27849</v>
      </c>
      <c r="AA1434">
        <v>0.37598938066198251</v>
      </c>
      <c r="AB1434" t="str">
        <f>HYPERLINK("Melting_Curves/meltCurve_O43592_XPOT.pdf", "Melting_Curves/meltCurve_O43592_XPOT.pdf")</f>
        <v>Melting_Curves/meltCurve_O43592_XPOT.pdf</v>
      </c>
    </row>
    <row r="1435" spans="1:28" x14ac:dyDescent="0.25">
      <c r="A1435" t="s">
        <v>1439</v>
      </c>
      <c r="B1435">
        <v>0.99193492352474899</v>
      </c>
      <c r="C1435">
        <v>0.76976032415853501</v>
      </c>
      <c r="D1435">
        <v>0.82823751432630699</v>
      </c>
      <c r="E1435">
        <v>0.69601487684093999</v>
      </c>
      <c r="F1435">
        <v>0.58460575070752596</v>
      </c>
      <c r="G1435">
        <v>0.396837410412411</v>
      </c>
      <c r="H1435">
        <v>0.33120731916178398</v>
      </c>
      <c r="I1435">
        <v>0.292900151902735</v>
      </c>
      <c r="J1435">
        <v>0.17344639892166</v>
      </c>
      <c r="K1435">
        <v>0.12463500883965099</v>
      </c>
      <c r="L1435">
        <v>408.471203664364</v>
      </c>
      <c r="M1435">
        <v>7.4752677385569504</v>
      </c>
      <c r="N1435">
        <v>54.643019838678597</v>
      </c>
      <c r="O1435">
        <v>51.142232951963003</v>
      </c>
      <c r="P1435">
        <v>-3.65947418911855E-2</v>
      </c>
      <c r="Q1435">
        <v>0</v>
      </c>
      <c r="R1435">
        <v>0.97065934386367703</v>
      </c>
      <c r="S1435" t="s">
        <v>8105</v>
      </c>
      <c r="T1435" t="s">
        <v>13338</v>
      </c>
      <c r="U1435" t="s">
        <v>13338</v>
      </c>
      <c r="V1435" t="s">
        <v>13338</v>
      </c>
      <c r="W1435" t="s">
        <v>14740</v>
      </c>
      <c r="X1435">
        <v>7</v>
      </c>
      <c r="Y1435" t="s">
        <v>21338</v>
      </c>
      <c r="Z1435" t="s">
        <v>27850</v>
      </c>
      <c r="AA1435">
        <v>0.5181097244232189</v>
      </c>
      <c r="AB1435" t="str">
        <f>HYPERLINK("Melting_Curves/meltCurve_O43598_DNPH1.pdf", "Melting_Curves/meltCurve_O43598_DNPH1.pdf")</f>
        <v>Melting_Curves/meltCurve_O43598_DNPH1.pdf</v>
      </c>
    </row>
    <row r="1436" spans="1:28" x14ac:dyDescent="0.25">
      <c r="A1436" t="s">
        <v>1440</v>
      </c>
      <c r="B1436">
        <v>0.99193492352474899</v>
      </c>
      <c r="C1436">
        <v>0.884706084842381</v>
      </c>
      <c r="D1436">
        <v>0.94947226400672302</v>
      </c>
      <c r="E1436">
        <v>0.480507933149045</v>
      </c>
      <c r="F1436">
        <v>0.19731709005606299</v>
      </c>
      <c r="G1436">
        <v>0.104852637124573</v>
      </c>
      <c r="H1436">
        <v>6.8525462116753505E-2</v>
      </c>
      <c r="I1436">
        <v>8.9795713711017799E-2</v>
      </c>
      <c r="J1436">
        <v>9.6484366025552507E-2</v>
      </c>
      <c r="K1436">
        <v>0.10714769240694701</v>
      </c>
      <c r="L1436">
        <v>1538.89377415843</v>
      </c>
      <c r="M1436">
        <v>31.241941580731702</v>
      </c>
      <c r="N1436">
        <v>49.582904120479903</v>
      </c>
      <c r="O1436">
        <v>49.056808813202899</v>
      </c>
      <c r="P1436">
        <v>-0.14444729372333101</v>
      </c>
      <c r="Q1436">
        <v>9.2747298457478894E-2</v>
      </c>
      <c r="R1436">
        <v>0.98955157479100297</v>
      </c>
      <c r="S1436" t="s">
        <v>8106</v>
      </c>
      <c r="T1436" t="s">
        <v>13338</v>
      </c>
      <c r="U1436" t="s">
        <v>13338</v>
      </c>
      <c r="V1436" t="s">
        <v>13338</v>
      </c>
      <c r="W1436" t="s">
        <v>14741</v>
      </c>
      <c r="X1436">
        <v>22</v>
      </c>
      <c r="Y1436" t="s">
        <v>21339</v>
      </c>
      <c r="Z1436" t="s">
        <v>27851</v>
      </c>
      <c r="AA1436">
        <v>0.37781027906869541</v>
      </c>
      <c r="AB1436" t="str">
        <f>HYPERLINK("Melting_Curves/meltCurve_O43615_TIMM44.pdf", "Melting_Curves/meltCurve_O43615_TIMM44.pdf")</f>
        <v>Melting_Curves/meltCurve_O43615_TIMM44.pdf</v>
      </c>
    </row>
    <row r="1437" spans="1:28" x14ac:dyDescent="0.25">
      <c r="A1437" t="s">
        <v>1441</v>
      </c>
      <c r="B1437">
        <v>0.99193492352474899</v>
      </c>
      <c r="C1437">
        <v>0.67800854748106099</v>
      </c>
      <c r="D1437">
        <v>0.91007150557183403</v>
      </c>
      <c r="E1437">
        <v>0.61908891738281902</v>
      </c>
      <c r="F1437">
        <v>0.51717449886690803</v>
      </c>
      <c r="G1437">
        <v>0.17995315738956799</v>
      </c>
      <c r="H1437">
        <v>7.6064644819043001E-2</v>
      </c>
      <c r="I1437">
        <v>7.2841985668390202E-2</v>
      </c>
      <c r="J1437">
        <v>8.62237063827061E-2</v>
      </c>
      <c r="K1437">
        <v>8.7852679682486001E-2</v>
      </c>
      <c r="L1437">
        <v>601.36969688072395</v>
      </c>
      <c r="M1437">
        <v>11.639762519143201</v>
      </c>
      <c r="N1437">
        <v>51.6651173965639</v>
      </c>
      <c r="O1437">
        <v>50.2108168629793</v>
      </c>
      <c r="P1437">
        <v>-5.79701815321325E-2</v>
      </c>
      <c r="Q1437">
        <v>0</v>
      </c>
      <c r="R1437">
        <v>0.92366916646575703</v>
      </c>
      <c r="S1437" t="s">
        <v>8107</v>
      </c>
      <c r="T1437" t="s">
        <v>13338</v>
      </c>
      <c r="U1437" t="s">
        <v>13338</v>
      </c>
      <c r="V1437" t="s">
        <v>13338</v>
      </c>
      <c r="W1437" t="s">
        <v>14742</v>
      </c>
      <c r="X1437">
        <v>9</v>
      </c>
      <c r="Y1437" t="s">
        <v>21340</v>
      </c>
      <c r="Z1437" t="s">
        <v>27852</v>
      </c>
      <c r="AA1437">
        <v>0.4214050695352311</v>
      </c>
      <c r="AB1437" t="str">
        <f>HYPERLINK("Melting_Curves/meltCurve_O43617_TRAPPC3.pdf", "Melting_Curves/meltCurve_O43617_TRAPPC3.pdf")</f>
        <v>Melting_Curves/meltCurve_O43617_TRAPPC3.pdf</v>
      </c>
    </row>
    <row r="1438" spans="1:28" x14ac:dyDescent="0.25">
      <c r="A1438" t="s">
        <v>1442</v>
      </c>
      <c r="B1438">
        <v>0.99193492352474899</v>
      </c>
      <c r="C1438">
        <v>1.04826212210684</v>
      </c>
      <c r="D1438">
        <v>0.91218238685928499</v>
      </c>
      <c r="E1438">
        <v>0.83095980023515104</v>
      </c>
      <c r="F1438">
        <v>0.53044902261891202</v>
      </c>
      <c r="G1438">
        <v>0.33351440021863499</v>
      </c>
      <c r="H1438">
        <v>0.171348415330075</v>
      </c>
      <c r="I1438">
        <v>0.244463100564904</v>
      </c>
      <c r="J1438">
        <v>0.230139673333011</v>
      </c>
      <c r="K1438">
        <v>0.29061560422638499</v>
      </c>
      <c r="L1438">
        <v>1253.7707583010999</v>
      </c>
      <c r="M1438">
        <v>24.053075661046201</v>
      </c>
      <c r="N1438">
        <v>53.484962750445099</v>
      </c>
      <c r="O1438">
        <v>51.768887922576198</v>
      </c>
      <c r="P1438">
        <v>-8.9588429643144299E-2</v>
      </c>
      <c r="Q1438">
        <v>0.22873552683599799</v>
      </c>
      <c r="R1438">
        <v>0.98490072165583598</v>
      </c>
      <c r="S1438" t="s">
        <v>8108</v>
      </c>
      <c r="T1438" t="s">
        <v>13338</v>
      </c>
      <c r="U1438" t="s">
        <v>13338</v>
      </c>
      <c r="V1438" t="s">
        <v>13338</v>
      </c>
      <c r="W1438" t="s">
        <v>14743</v>
      </c>
      <c r="X1438">
        <v>8</v>
      </c>
      <c r="Y1438" t="s">
        <v>21341</v>
      </c>
      <c r="Z1438" t="s">
        <v>27853</v>
      </c>
      <c r="AA1438">
        <v>0.54804833097594785</v>
      </c>
      <c r="AB1438" t="str">
        <f>HYPERLINK("Melting_Curves/meltCurve_O43633_CHMP2A.pdf", "Melting_Curves/meltCurve_O43633_CHMP2A.pdf")</f>
        <v>Melting_Curves/meltCurve_O43633_CHMP2A.pdf</v>
      </c>
    </row>
    <row r="1439" spans="1:28" x14ac:dyDescent="0.25">
      <c r="A1439" t="s">
        <v>1443</v>
      </c>
      <c r="B1439">
        <v>0.99193492352474899</v>
      </c>
      <c r="C1439">
        <v>0.74987927216556105</v>
      </c>
      <c r="D1439">
        <v>0.73895943346909698</v>
      </c>
      <c r="E1439">
        <v>0.28840912427545601</v>
      </c>
      <c r="F1439">
        <v>0.24021092025120999</v>
      </c>
      <c r="G1439">
        <v>0.133305378869187</v>
      </c>
      <c r="H1439">
        <v>6.4381255885424593E-2</v>
      </c>
      <c r="I1439">
        <v>0.116982326836103</v>
      </c>
      <c r="J1439">
        <v>0.15387537792957401</v>
      </c>
      <c r="K1439">
        <v>0.16306995704311</v>
      </c>
      <c r="L1439">
        <v>844.87171012639999</v>
      </c>
      <c r="M1439">
        <v>18.016648030251801</v>
      </c>
      <c r="N1439">
        <v>47.584679796708002</v>
      </c>
      <c r="O1439">
        <v>46.327669581299702</v>
      </c>
      <c r="P1439">
        <v>-8.6041375212620799E-2</v>
      </c>
      <c r="Q1439">
        <v>0.11506277363893</v>
      </c>
      <c r="R1439">
        <v>0.96215982449924797</v>
      </c>
      <c r="S1439" t="s">
        <v>8109</v>
      </c>
      <c r="T1439" t="s">
        <v>13338</v>
      </c>
      <c r="U1439" t="s">
        <v>13338</v>
      </c>
      <c r="V1439" t="s">
        <v>13338</v>
      </c>
      <c r="W1439" t="s">
        <v>14744</v>
      </c>
      <c r="X1439">
        <v>4</v>
      </c>
      <c r="Y1439" t="s">
        <v>21342</v>
      </c>
      <c r="Z1439" t="s">
        <v>27854</v>
      </c>
      <c r="AA1439">
        <v>0.33480074990080749</v>
      </c>
      <c r="AB1439" t="str">
        <f>HYPERLINK("Melting_Curves/meltCurve_O43639_NCK2.pdf", "Melting_Curves/meltCurve_O43639_NCK2.pdf")</f>
        <v>Melting_Curves/meltCurve_O43639_NCK2.pdf</v>
      </c>
    </row>
    <row r="1440" spans="1:28" x14ac:dyDescent="0.25">
      <c r="A1440" t="s">
        <v>1444</v>
      </c>
      <c r="B1440">
        <v>0.99193492352474899</v>
      </c>
      <c r="C1440">
        <v>1.15411601492981</v>
      </c>
      <c r="D1440">
        <v>0.78834482992267696</v>
      </c>
      <c r="E1440">
        <v>0.76493302956373599</v>
      </c>
      <c r="F1440">
        <v>0.33960833494051501</v>
      </c>
      <c r="G1440">
        <v>0.15887515273963901</v>
      </c>
      <c r="H1440">
        <v>0.10035056114881601</v>
      </c>
      <c r="I1440">
        <v>0.120835270119189</v>
      </c>
      <c r="J1440">
        <v>0.115694575762229</v>
      </c>
      <c r="K1440">
        <v>0.15991256784365199</v>
      </c>
      <c r="L1440">
        <v>1239.51955577329</v>
      </c>
      <c r="M1440">
        <v>24.2816648013114</v>
      </c>
      <c r="N1440">
        <v>51.586572813911999</v>
      </c>
      <c r="O1440">
        <v>50.705080475892899</v>
      </c>
      <c r="P1440">
        <v>-0.10630781127708901</v>
      </c>
      <c r="Q1440">
        <v>0.112043326410888</v>
      </c>
      <c r="R1440">
        <v>0.96232547990653305</v>
      </c>
      <c r="S1440" t="s">
        <v>8110</v>
      </c>
      <c r="T1440" t="s">
        <v>13338</v>
      </c>
      <c r="U1440" t="s">
        <v>13338</v>
      </c>
      <c r="V1440" t="s">
        <v>13338</v>
      </c>
      <c r="W1440" t="s">
        <v>14745</v>
      </c>
      <c r="X1440">
        <v>9</v>
      </c>
      <c r="Y1440" t="s">
        <v>21343</v>
      </c>
      <c r="Z1440" t="s">
        <v>27855</v>
      </c>
      <c r="AA1440">
        <v>0.447533081523733</v>
      </c>
      <c r="AB1440" t="str">
        <f>HYPERLINK("Melting_Curves/meltCurve_O43665_2_RGS10.pdf", "Melting_Curves/meltCurve_O43665_2_RGS10.pdf")</f>
        <v>Melting_Curves/meltCurve_O43665_2_RGS10.pdf</v>
      </c>
    </row>
    <row r="1441" spans="1:28" x14ac:dyDescent="0.25">
      <c r="A1441" t="s">
        <v>1445</v>
      </c>
      <c r="B1441">
        <v>0.99193492352474899</v>
      </c>
      <c r="C1441">
        <v>0.90157370961079597</v>
      </c>
      <c r="D1441">
        <v>0.92098055411675195</v>
      </c>
      <c r="E1441">
        <v>0.72710239715260805</v>
      </c>
      <c r="F1441">
        <v>0.629526441449897</v>
      </c>
      <c r="G1441">
        <v>0.37098182613946501</v>
      </c>
      <c r="H1441">
        <v>0.23154441668753201</v>
      </c>
      <c r="I1441">
        <v>0.15959780747520699</v>
      </c>
      <c r="J1441">
        <v>0.160304620375296</v>
      </c>
      <c r="K1441">
        <v>0.16108939628983701</v>
      </c>
      <c r="L1441">
        <v>679.33910477161203</v>
      </c>
      <c r="M1441">
        <v>12.6573481598199</v>
      </c>
      <c r="N1441">
        <v>54.470595235281102</v>
      </c>
      <c r="O1441">
        <v>52.384696999663397</v>
      </c>
      <c r="P1441">
        <v>-5.5298256503754098E-2</v>
      </c>
      <c r="Q1441">
        <v>8.4732544529361006E-2</v>
      </c>
      <c r="R1441">
        <v>0.98894075701529105</v>
      </c>
      <c r="S1441" t="s">
        <v>8111</v>
      </c>
      <c r="T1441" t="s">
        <v>13338</v>
      </c>
      <c r="U1441" t="s">
        <v>13338</v>
      </c>
      <c r="V1441" t="s">
        <v>13338</v>
      </c>
      <c r="W1441" t="s">
        <v>14746</v>
      </c>
      <c r="X1441">
        <v>6</v>
      </c>
      <c r="Y1441" t="s">
        <v>21344</v>
      </c>
      <c r="Z1441" t="s">
        <v>27856</v>
      </c>
      <c r="AA1441">
        <v>0.52516306488894549</v>
      </c>
      <c r="AB1441" t="str">
        <f>HYPERLINK("Melting_Curves/meltCurve_O43674_NDUFB5.pdf", "Melting_Curves/meltCurve_O43674_NDUFB5.pdf")</f>
        <v>Melting_Curves/meltCurve_O43674_NDUFB5.pdf</v>
      </c>
    </row>
    <row r="1442" spans="1:28" x14ac:dyDescent="0.25">
      <c r="A1442" t="s">
        <v>1446</v>
      </c>
      <c r="B1442">
        <v>0.99193492352474899</v>
      </c>
      <c r="C1442">
        <v>1.2139652062667801</v>
      </c>
      <c r="D1442">
        <v>0.82964298637199396</v>
      </c>
      <c r="E1442">
        <v>0.88297113211624301</v>
      </c>
      <c r="F1442">
        <v>0.55737948390549896</v>
      </c>
      <c r="G1442">
        <v>0.54060768951319504</v>
      </c>
      <c r="H1442">
        <v>0.50744860035820705</v>
      </c>
      <c r="I1442">
        <v>0.58063655395732305</v>
      </c>
      <c r="J1442">
        <v>0.67958857050740495</v>
      </c>
      <c r="K1442">
        <v>0.90303361698234796</v>
      </c>
      <c r="L1442">
        <v>12438.6024524363</v>
      </c>
      <c r="M1442">
        <v>250</v>
      </c>
      <c r="O1442">
        <v>49.751225869677299</v>
      </c>
      <c r="P1442">
        <v>-0.46717975878652201</v>
      </c>
      <c r="Q1442">
        <v>0.62811574930861802</v>
      </c>
      <c r="R1442">
        <v>0.62827874222793301</v>
      </c>
      <c r="S1442" t="s">
        <v>8112</v>
      </c>
      <c r="T1442" t="s">
        <v>13338</v>
      </c>
      <c r="U1442" t="s">
        <v>13338</v>
      </c>
      <c r="V1442" t="s">
        <v>13338</v>
      </c>
      <c r="W1442" t="s">
        <v>14747</v>
      </c>
      <c r="X1442">
        <v>4</v>
      </c>
      <c r="Y1442" t="s">
        <v>21345</v>
      </c>
      <c r="Z1442" t="s">
        <v>27857</v>
      </c>
      <c r="AA1442">
        <v>0.74906526767865067</v>
      </c>
      <c r="AB1442" t="str">
        <f>HYPERLINK("Melting_Curves/meltCurve_O43676_NDUFB3.pdf", "Melting_Curves/meltCurve_O43676_NDUFB3.pdf")</f>
        <v>Melting_Curves/meltCurve_O43676_NDUFB3.pdf</v>
      </c>
    </row>
    <row r="1443" spans="1:28" x14ac:dyDescent="0.25">
      <c r="A1443" t="s">
        <v>1447</v>
      </c>
      <c r="B1443">
        <v>0.99193492352474899</v>
      </c>
      <c r="C1443">
        <v>0.79585762220416201</v>
      </c>
      <c r="D1443">
        <v>0.64066361983235798</v>
      </c>
      <c r="E1443">
        <v>0.68951915775957295</v>
      </c>
      <c r="F1443">
        <v>0.579534523666278</v>
      </c>
      <c r="G1443">
        <v>0.43980673149407601</v>
      </c>
      <c r="H1443">
        <v>0.34399720327384598</v>
      </c>
      <c r="I1443">
        <v>0.31877622492271002</v>
      </c>
      <c r="J1443">
        <v>0.18643860554823599</v>
      </c>
      <c r="K1443">
        <v>0.49912658347754202</v>
      </c>
      <c r="L1443">
        <v>429.91223375128999</v>
      </c>
      <c r="M1443">
        <v>8.7730422637885592</v>
      </c>
      <c r="N1443">
        <v>53.896796895151198</v>
      </c>
      <c r="O1443">
        <v>46.657734812480598</v>
      </c>
      <c r="P1443">
        <v>-3.4129398316095898E-2</v>
      </c>
      <c r="Q1443">
        <v>0.27453809685807601</v>
      </c>
      <c r="R1443">
        <v>0.84128873606835497</v>
      </c>
      <c r="S1443" t="s">
        <v>8113</v>
      </c>
      <c r="T1443" t="s">
        <v>13338</v>
      </c>
      <c r="U1443" t="s">
        <v>13338</v>
      </c>
      <c r="V1443" t="s">
        <v>13338</v>
      </c>
      <c r="W1443" t="s">
        <v>14748</v>
      </c>
      <c r="X1443">
        <v>1</v>
      </c>
      <c r="Y1443" t="s">
        <v>21346</v>
      </c>
      <c r="Z1443" t="s">
        <v>27858</v>
      </c>
      <c r="AA1443">
        <v>0.53487131670968147</v>
      </c>
      <c r="AB1443" t="str">
        <f>HYPERLINK("Melting_Curves/meltCurve_O43677_NDUFC1.pdf", "Melting_Curves/meltCurve_O43677_NDUFC1.pdf")</f>
        <v>Melting_Curves/meltCurve_O43677_NDUFC1.pdf</v>
      </c>
    </row>
    <row r="1444" spans="1:28" x14ac:dyDescent="0.25">
      <c r="A1444" t="s">
        <v>1448</v>
      </c>
      <c r="B1444">
        <v>0.99193492352474899</v>
      </c>
      <c r="C1444">
        <v>0.78118554120759998</v>
      </c>
      <c r="D1444">
        <v>0.79066602457603896</v>
      </c>
      <c r="E1444">
        <v>0.53943278601788303</v>
      </c>
      <c r="F1444">
        <v>0.178548707421159</v>
      </c>
      <c r="G1444">
        <v>0.10537659805261899</v>
      </c>
      <c r="H1444">
        <v>7.7269315789476906E-2</v>
      </c>
      <c r="I1444">
        <v>8.9745272018236302E-2</v>
      </c>
      <c r="J1444">
        <v>0.12033355630970601</v>
      </c>
      <c r="K1444">
        <v>0.150497826679482</v>
      </c>
      <c r="L1444">
        <v>856.62193288923595</v>
      </c>
      <c r="M1444">
        <v>17.6045033651415</v>
      </c>
      <c r="N1444">
        <v>49.160021602956299</v>
      </c>
      <c r="O1444">
        <v>48.044407122644898</v>
      </c>
      <c r="P1444">
        <v>-8.4090503899139996E-2</v>
      </c>
      <c r="Q1444">
        <v>8.2084679151161105E-2</v>
      </c>
      <c r="R1444">
        <v>0.96539666048056105</v>
      </c>
      <c r="S1444" t="s">
        <v>8114</v>
      </c>
      <c r="T1444" t="s">
        <v>13338</v>
      </c>
      <c r="U1444" t="s">
        <v>13338</v>
      </c>
      <c r="V1444" t="s">
        <v>13338</v>
      </c>
      <c r="W1444" t="s">
        <v>14749</v>
      </c>
      <c r="X1444">
        <v>3</v>
      </c>
      <c r="Y1444" t="s">
        <v>21347</v>
      </c>
      <c r="Z1444" t="s">
        <v>27859</v>
      </c>
      <c r="AA1444">
        <v>0.36377856813972148</v>
      </c>
      <c r="AB1444" t="str">
        <f>HYPERLINK("Melting_Curves/meltCurve_O43678_NDUFA2.pdf", "Melting_Curves/meltCurve_O43678_NDUFA2.pdf")</f>
        <v>Melting_Curves/meltCurve_O43678_NDUFA2.pdf</v>
      </c>
    </row>
    <row r="1445" spans="1:28" x14ac:dyDescent="0.25">
      <c r="A1445" t="s">
        <v>1449</v>
      </c>
      <c r="B1445">
        <v>0.99193492352474899</v>
      </c>
      <c r="C1445">
        <v>0.78851592361581901</v>
      </c>
      <c r="D1445">
        <v>0.93553580568600303</v>
      </c>
      <c r="E1445">
        <v>0.76676289191035296</v>
      </c>
      <c r="F1445">
        <v>0.73573900489989896</v>
      </c>
      <c r="G1445">
        <v>0.53369786776772599</v>
      </c>
      <c r="H1445">
        <v>0.37803216935360201</v>
      </c>
      <c r="I1445">
        <v>0.21770471163284399</v>
      </c>
      <c r="J1445">
        <v>0.24830186444975999</v>
      </c>
      <c r="K1445">
        <v>0.25081435276784098</v>
      </c>
      <c r="L1445">
        <v>472.95520127930098</v>
      </c>
      <c r="M1445">
        <v>8.2545206923468193</v>
      </c>
      <c r="N1445">
        <v>57.523479857976703</v>
      </c>
      <c r="O1445">
        <v>54.228887374434102</v>
      </c>
      <c r="P1445">
        <v>-3.7482063286322399E-2</v>
      </c>
      <c r="Q1445">
        <v>1.60213488755464E-2</v>
      </c>
      <c r="R1445">
        <v>0.94429322552615103</v>
      </c>
      <c r="S1445" t="s">
        <v>8115</v>
      </c>
      <c r="T1445" t="s">
        <v>13338</v>
      </c>
      <c r="U1445" t="s">
        <v>13338</v>
      </c>
      <c r="V1445" t="s">
        <v>13338</v>
      </c>
      <c r="W1445" t="s">
        <v>14750</v>
      </c>
      <c r="X1445">
        <v>10</v>
      </c>
      <c r="Y1445" t="s">
        <v>21348</v>
      </c>
      <c r="Z1445" t="s">
        <v>27860</v>
      </c>
      <c r="AA1445">
        <v>0.59353708162880026</v>
      </c>
      <c r="AB1445" t="str">
        <f>HYPERLINK("Melting_Curves/meltCurve_O43681_ASNA1.pdf", "Melting_Curves/meltCurve_O43681_ASNA1.pdf")</f>
        <v>Melting_Curves/meltCurve_O43681_ASNA1.pdf</v>
      </c>
    </row>
    <row r="1446" spans="1:28" x14ac:dyDescent="0.25">
      <c r="A1446" t="s">
        <v>1450</v>
      </c>
      <c r="B1446">
        <v>0.99193492352474899</v>
      </c>
      <c r="C1446">
        <v>1.11879701659144</v>
      </c>
      <c r="D1446">
        <v>0.99298840627068996</v>
      </c>
      <c r="E1446">
        <v>0.90415943748905203</v>
      </c>
      <c r="F1446">
        <v>0.63338566457173895</v>
      </c>
      <c r="G1446">
        <v>0.40537692170859302</v>
      </c>
      <c r="H1446">
        <v>0.17041133856775201</v>
      </c>
      <c r="I1446">
        <v>9.4162678737688299E-2</v>
      </c>
      <c r="J1446">
        <v>0.10422528081662499</v>
      </c>
      <c r="K1446">
        <v>9.8249141154890599E-2</v>
      </c>
      <c r="L1446">
        <v>1107.2439448390801</v>
      </c>
      <c r="M1446">
        <v>20.2506922993113</v>
      </c>
      <c r="N1446">
        <v>55.117591259845398</v>
      </c>
      <c r="O1446">
        <v>54.1520395881113</v>
      </c>
      <c r="P1446">
        <v>-8.6504201029925898E-2</v>
      </c>
      <c r="Q1446">
        <v>7.4750882342018002E-2</v>
      </c>
      <c r="R1446">
        <v>0.98861293940839601</v>
      </c>
      <c r="S1446" t="s">
        <v>8116</v>
      </c>
      <c r="T1446" t="s">
        <v>13338</v>
      </c>
      <c r="U1446" t="s">
        <v>13338</v>
      </c>
      <c r="V1446" t="s">
        <v>13338</v>
      </c>
      <c r="W1446" t="s">
        <v>14751</v>
      </c>
      <c r="X1446">
        <v>22</v>
      </c>
      <c r="Y1446" t="s">
        <v>21349</v>
      </c>
      <c r="Z1446" t="s">
        <v>27861</v>
      </c>
      <c r="AA1446">
        <v>0.53958822260304506</v>
      </c>
      <c r="AB1446" t="str">
        <f>HYPERLINK("Melting_Curves/meltCurve_O43684_BUB3.pdf", "Melting_Curves/meltCurve_O43684_BUB3.pdf")</f>
        <v>Melting_Curves/meltCurve_O43684_BUB3.pdf</v>
      </c>
    </row>
    <row r="1447" spans="1:28" x14ac:dyDescent="0.25">
      <c r="A1447" t="s">
        <v>1451</v>
      </c>
      <c r="B1447">
        <v>0.99193492352474899</v>
      </c>
      <c r="C1447">
        <v>0.88415707966773005</v>
      </c>
      <c r="D1447">
        <v>0.71315250234942795</v>
      </c>
      <c r="E1447">
        <v>0.62208243492315296</v>
      </c>
      <c r="F1447">
        <v>0.439726687719312</v>
      </c>
      <c r="G1447">
        <v>0.35348586700177398</v>
      </c>
      <c r="H1447">
        <v>8.7513407576560495E-2</v>
      </c>
      <c r="I1447">
        <v>8.9118954570651901E-2</v>
      </c>
      <c r="J1447">
        <v>9.2523210773171105E-2</v>
      </c>
      <c r="K1447">
        <v>9.4608015436126694E-2</v>
      </c>
      <c r="L1447">
        <v>525.44302007061003</v>
      </c>
      <c r="M1447">
        <v>10.1837539583767</v>
      </c>
      <c r="N1447">
        <v>51.596188482258498</v>
      </c>
      <c r="O1447">
        <v>49.725306034202099</v>
      </c>
      <c r="P1447">
        <v>-5.1223284327537998E-2</v>
      </c>
      <c r="Q1447">
        <v>0</v>
      </c>
      <c r="R1447">
        <v>0.98072985488063802</v>
      </c>
      <c r="S1447" t="s">
        <v>8117</v>
      </c>
      <c r="T1447" t="s">
        <v>13338</v>
      </c>
      <c r="U1447" t="s">
        <v>13338</v>
      </c>
      <c r="V1447" t="s">
        <v>13338</v>
      </c>
      <c r="W1447" t="s">
        <v>14752</v>
      </c>
      <c r="X1447">
        <v>60</v>
      </c>
      <c r="Y1447" t="s">
        <v>21350</v>
      </c>
      <c r="Z1447" t="s">
        <v>27862</v>
      </c>
      <c r="AA1447">
        <v>0.42515722244805992</v>
      </c>
      <c r="AB1447" t="str">
        <f>HYPERLINK("Melting_Curves/meltCurve_O43707_ACTN4.pdf", "Melting_Curves/meltCurve_O43707_ACTN4.pdf")</f>
        <v>Melting_Curves/meltCurve_O43707_ACTN4.pdf</v>
      </c>
    </row>
    <row r="1448" spans="1:28" x14ac:dyDescent="0.25">
      <c r="A1448" t="s">
        <v>1452</v>
      </c>
      <c r="B1448">
        <v>0.99193492352474899</v>
      </c>
      <c r="C1448">
        <v>0.85010428328084797</v>
      </c>
      <c r="D1448">
        <v>1.0450261383763799</v>
      </c>
      <c r="E1448">
        <v>0.86567483719210203</v>
      </c>
      <c r="F1448">
        <v>0.48257920682399702</v>
      </c>
      <c r="G1448">
        <v>0.12099374211283601</v>
      </c>
      <c r="H1448">
        <v>3.2723726384067203E-2</v>
      </c>
      <c r="I1448">
        <v>0</v>
      </c>
      <c r="J1448">
        <v>0</v>
      </c>
      <c r="K1448">
        <v>0</v>
      </c>
      <c r="L1448">
        <v>1526.6935746500101</v>
      </c>
      <c r="M1448">
        <v>28.7931662892167</v>
      </c>
      <c r="N1448">
        <v>53.022774738366202</v>
      </c>
      <c r="O1448">
        <v>52.768991935103301</v>
      </c>
      <c r="P1448">
        <v>-0.136412447571896</v>
      </c>
      <c r="Q1448">
        <v>0</v>
      </c>
      <c r="R1448">
        <v>0.98616164936389905</v>
      </c>
      <c r="S1448" t="s">
        <v>8118</v>
      </c>
      <c r="T1448" t="s">
        <v>13338</v>
      </c>
      <c r="U1448" t="s">
        <v>13338</v>
      </c>
      <c r="V1448" t="s">
        <v>13338</v>
      </c>
      <c r="W1448" t="s">
        <v>14122</v>
      </c>
      <c r="X1448">
        <v>6</v>
      </c>
      <c r="Y1448" t="s">
        <v>20727</v>
      </c>
      <c r="Z1448" t="s">
        <v>27863</v>
      </c>
      <c r="AA1448">
        <v>0.44112074105979482</v>
      </c>
      <c r="AB1448" t="str">
        <f>HYPERLINK("Melting_Curves/meltCurve_O43708_GSTZ1.pdf", "Melting_Curves/meltCurve_O43708_GSTZ1.pdf")</f>
        <v>Melting_Curves/meltCurve_O43708_GSTZ1.pdf</v>
      </c>
    </row>
    <row r="1449" spans="1:28" x14ac:dyDescent="0.25">
      <c r="A1449" t="s">
        <v>1453</v>
      </c>
      <c r="B1449">
        <v>0.99193492352474899</v>
      </c>
      <c r="C1449">
        <v>0.54810531284359398</v>
      </c>
      <c r="D1449">
        <v>0.83493545702820604</v>
      </c>
      <c r="E1449">
        <v>0.47529398291632302</v>
      </c>
      <c r="F1449">
        <v>0.33472515511918199</v>
      </c>
      <c r="G1449">
        <v>0.15043077135383401</v>
      </c>
      <c r="H1449">
        <v>5.1860904339901003E-2</v>
      </c>
      <c r="I1449">
        <v>5.9037033942938098E-2</v>
      </c>
      <c r="J1449">
        <v>6.4948852590650294E-2</v>
      </c>
      <c r="K1449">
        <v>4.50664642260847E-2</v>
      </c>
      <c r="L1449">
        <v>511.289857106417</v>
      </c>
      <c r="M1449">
        <v>10.442883738186801</v>
      </c>
      <c r="N1449">
        <v>48.960598242052399</v>
      </c>
      <c r="O1449">
        <v>47.267358989483498</v>
      </c>
      <c r="P1449">
        <v>-5.5255817291326198E-2</v>
      </c>
      <c r="Q1449">
        <v>0</v>
      </c>
      <c r="R1449">
        <v>0.89516604520559395</v>
      </c>
      <c r="S1449" t="s">
        <v>8119</v>
      </c>
      <c r="T1449" t="s">
        <v>13338</v>
      </c>
      <c r="U1449" t="s">
        <v>13338</v>
      </c>
      <c r="V1449" t="s">
        <v>13338</v>
      </c>
      <c r="W1449" t="s">
        <v>14753</v>
      </c>
      <c r="X1449">
        <v>6</v>
      </c>
      <c r="Y1449" t="s">
        <v>21351</v>
      </c>
      <c r="Z1449" t="s">
        <v>27864</v>
      </c>
      <c r="AA1449">
        <v>0.34469716673210338</v>
      </c>
      <c r="AB1449" t="str">
        <f>HYPERLINK("Melting_Curves/meltCurve_O43709_WBSCR22.pdf", "Melting_Curves/meltCurve_O43709_WBSCR22.pdf")</f>
        <v>Melting_Curves/meltCurve_O43709_WBSCR22.pdf</v>
      </c>
    </row>
    <row r="1450" spans="1:28" x14ac:dyDescent="0.25">
      <c r="A1450" t="s">
        <v>1454</v>
      </c>
      <c r="B1450">
        <v>0.99193492352474899</v>
      </c>
      <c r="C1450">
        <v>0.74122115349268103</v>
      </c>
      <c r="D1450">
        <v>0.73147309570040497</v>
      </c>
      <c r="E1450">
        <v>0.64232091235863098</v>
      </c>
      <c r="F1450">
        <v>0.52205121589883796</v>
      </c>
      <c r="G1450">
        <v>0.38761162025541301</v>
      </c>
      <c r="H1450">
        <v>0.36612863420040898</v>
      </c>
      <c r="I1450">
        <v>0.48553024237726</v>
      </c>
      <c r="J1450">
        <v>0.51234967827263</v>
      </c>
      <c r="K1450">
        <v>0.82252045329104995</v>
      </c>
      <c r="L1450">
        <v>774.18339315142202</v>
      </c>
      <c r="M1450">
        <v>17.4952266705711</v>
      </c>
      <c r="O1450">
        <v>43.685119459624801</v>
      </c>
      <c r="P1450">
        <v>-4.8065223519250501E-2</v>
      </c>
      <c r="Q1450">
        <v>0.51995611428731103</v>
      </c>
      <c r="R1450">
        <v>0.57737776215994197</v>
      </c>
      <c r="S1450" t="s">
        <v>8120</v>
      </c>
      <c r="T1450" t="s">
        <v>13338</v>
      </c>
      <c r="U1450" t="s">
        <v>13338</v>
      </c>
      <c r="V1450" t="s">
        <v>13338</v>
      </c>
      <c r="W1450" t="s">
        <v>14754</v>
      </c>
      <c r="X1450">
        <v>9</v>
      </c>
      <c r="Y1450" t="s">
        <v>21352</v>
      </c>
      <c r="Z1450" t="s">
        <v>27865</v>
      </c>
      <c r="AA1450">
        <v>0.60011595566067344</v>
      </c>
      <c r="AB1450" t="str">
        <f>HYPERLINK("Melting_Curves/meltCurve_O43715_TRIAP1.pdf", "Melting_Curves/meltCurve_O43715_TRIAP1.pdf")</f>
        <v>Melting_Curves/meltCurve_O43715_TRIAP1.pdf</v>
      </c>
    </row>
    <row r="1451" spans="1:28" x14ac:dyDescent="0.25">
      <c r="A1451" t="s">
        <v>1455</v>
      </c>
      <c r="B1451">
        <v>0.99193492352474899</v>
      </c>
      <c r="C1451">
        <v>0.63668806658461397</v>
      </c>
      <c r="D1451">
        <v>0.45701672015808298</v>
      </c>
      <c r="E1451">
        <v>0.172660525302503</v>
      </c>
      <c r="F1451">
        <v>0.118904337879919</v>
      </c>
      <c r="G1451">
        <v>6.8582093909845904E-2</v>
      </c>
      <c r="H1451">
        <v>4.7057973063510103E-2</v>
      </c>
      <c r="I1451">
        <v>5.6569018579651402E-2</v>
      </c>
      <c r="J1451">
        <v>6.9470637587679795E-2</v>
      </c>
      <c r="K1451">
        <v>6.4526323201763394E-2</v>
      </c>
      <c r="L1451">
        <v>841.78706348891103</v>
      </c>
      <c r="M1451">
        <v>18.800923812390302</v>
      </c>
      <c r="N1451">
        <v>45.0688486800737</v>
      </c>
      <c r="O1451">
        <v>44.276391201766103</v>
      </c>
      <c r="P1451">
        <v>-0.100011654301669</v>
      </c>
      <c r="Q1451">
        <v>5.79247773941848E-2</v>
      </c>
      <c r="R1451">
        <v>0.98369138602833905</v>
      </c>
      <c r="S1451" t="s">
        <v>8121</v>
      </c>
      <c r="T1451" t="s">
        <v>13338</v>
      </c>
      <c r="U1451" t="s">
        <v>13338</v>
      </c>
      <c r="V1451" t="s">
        <v>13338</v>
      </c>
      <c r="W1451" t="s">
        <v>14755</v>
      </c>
      <c r="X1451">
        <v>31</v>
      </c>
      <c r="Y1451" t="s">
        <v>21353</v>
      </c>
      <c r="Z1451" t="s">
        <v>27866</v>
      </c>
      <c r="AA1451">
        <v>0.22672864721944591</v>
      </c>
      <c r="AB1451" t="str">
        <f>HYPERLINK("Melting_Curves/meltCurve_O43719_HTATSF1.pdf", "Melting_Curves/meltCurve_O43719_HTATSF1.pdf")</f>
        <v>Melting_Curves/meltCurve_O43719_HTATSF1.pdf</v>
      </c>
    </row>
    <row r="1452" spans="1:28" x14ac:dyDescent="0.25">
      <c r="A1452" t="s">
        <v>1456</v>
      </c>
      <c r="B1452">
        <v>0.99193492352474899</v>
      </c>
      <c r="C1452">
        <v>0.920116073341953</v>
      </c>
      <c r="D1452">
        <v>1.0873723808251301</v>
      </c>
      <c r="E1452">
        <v>0.721005274191167</v>
      </c>
      <c r="F1452">
        <v>0.54675828806098403</v>
      </c>
      <c r="G1452">
        <v>0.31314190671745801</v>
      </c>
      <c r="H1452">
        <v>0.21866740247942201</v>
      </c>
      <c r="I1452">
        <v>0.22694417825907501</v>
      </c>
      <c r="J1452">
        <v>0.332432678086304</v>
      </c>
      <c r="K1452">
        <v>0.39374577205780298</v>
      </c>
      <c r="L1452">
        <v>1352.1064713390699</v>
      </c>
      <c r="M1452">
        <v>26.396762265494001</v>
      </c>
      <c r="N1452">
        <v>52.968838045354403</v>
      </c>
      <c r="O1452">
        <v>50.931170737146601</v>
      </c>
      <c r="P1452">
        <v>-9.1920120231358995E-2</v>
      </c>
      <c r="Q1452">
        <v>0.29058745314582701</v>
      </c>
      <c r="R1452">
        <v>0.94587958086282498</v>
      </c>
      <c r="S1452" t="s">
        <v>8122</v>
      </c>
      <c r="T1452" t="s">
        <v>13338</v>
      </c>
      <c r="U1452" t="s">
        <v>13338</v>
      </c>
      <c r="V1452" t="s">
        <v>13338</v>
      </c>
      <c r="W1452" t="s">
        <v>14756</v>
      </c>
      <c r="X1452">
        <v>6</v>
      </c>
      <c r="Y1452" t="s">
        <v>21354</v>
      </c>
      <c r="Z1452" t="s">
        <v>27867</v>
      </c>
      <c r="AA1452">
        <v>0.56173833862346223</v>
      </c>
      <c r="AB1452" t="str">
        <f>HYPERLINK("Melting_Curves/meltCurve_O43736_2_ITM2A.pdf", "Melting_Curves/meltCurve_O43736_2_ITM2A.pdf")</f>
        <v>Melting_Curves/meltCurve_O43736_2_ITM2A.pdf</v>
      </c>
    </row>
    <row r="1453" spans="1:28" x14ac:dyDescent="0.25">
      <c r="A1453" t="s">
        <v>1457</v>
      </c>
      <c r="B1453">
        <v>0.99193492352474899</v>
      </c>
      <c r="C1453">
        <v>0.82316297984684605</v>
      </c>
      <c r="D1453">
        <v>0.93814548085042404</v>
      </c>
      <c r="E1453">
        <v>0.68684932163912404</v>
      </c>
      <c r="F1453">
        <v>0.46259776845822298</v>
      </c>
      <c r="G1453">
        <v>0.261533546645215</v>
      </c>
      <c r="H1453">
        <v>0.17810017171062101</v>
      </c>
      <c r="I1453">
        <v>0.133504704696292</v>
      </c>
      <c r="J1453">
        <v>0.16262875990594799</v>
      </c>
      <c r="K1453">
        <v>0.20175857877027001</v>
      </c>
      <c r="L1453">
        <v>852.414545856725</v>
      </c>
      <c r="M1453">
        <v>16.626179950517098</v>
      </c>
      <c r="N1453">
        <v>52.298305847485203</v>
      </c>
      <c r="O1453">
        <v>50.544946293663898</v>
      </c>
      <c r="P1453">
        <v>-7.0768308601027993E-2</v>
      </c>
      <c r="Q1453">
        <v>0.139492267581379</v>
      </c>
      <c r="R1453">
        <v>0.97322488026100495</v>
      </c>
      <c r="S1453" t="s">
        <v>8123</v>
      </c>
      <c r="T1453" t="s">
        <v>13338</v>
      </c>
      <c r="U1453" t="s">
        <v>13338</v>
      </c>
      <c r="V1453" t="s">
        <v>13338</v>
      </c>
      <c r="W1453" t="s">
        <v>14757</v>
      </c>
      <c r="X1453">
        <v>6</v>
      </c>
      <c r="Y1453" t="s">
        <v>21355</v>
      </c>
      <c r="Z1453" t="s">
        <v>27868</v>
      </c>
      <c r="AA1453">
        <v>0.47934206848868771</v>
      </c>
      <c r="AB1453" t="str">
        <f>HYPERLINK("Melting_Curves/meltCurve_O43752_STX6.pdf", "Melting_Curves/meltCurve_O43752_STX6.pdf")</f>
        <v>Melting_Curves/meltCurve_O43752_STX6.pdf</v>
      </c>
    </row>
    <row r="1454" spans="1:28" x14ac:dyDescent="0.25">
      <c r="A1454" t="s">
        <v>1458</v>
      </c>
      <c r="B1454">
        <v>0.99193492352474899</v>
      </c>
      <c r="C1454">
        <v>0.92976525101194496</v>
      </c>
      <c r="D1454">
        <v>0.830201373803647</v>
      </c>
      <c r="E1454">
        <v>0.68133087476093201</v>
      </c>
      <c r="F1454">
        <v>0.48065374581991899</v>
      </c>
      <c r="G1454">
        <v>0.46736947659820799</v>
      </c>
      <c r="H1454">
        <v>0.32653372721860002</v>
      </c>
      <c r="I1454">
        <v>0.44114136132076298</v>
      </c>
      <c r="J1454">
        <v>0.54548943899170399</v>
      </c>
      <c r="K1454">
        <v>0.81240322438915602</v>
      </c>
      <c r="L1454">
        <v>1154.39272605721</v>
      </c>
      <c r="M1454">
        <v>24.400315724946601</v>
      </c>
      <c r="O1454">
        <v>46.996225352631299</v>
      </c>
      <c r="P1454">
        <v>-6.3393814289854994E-2</v>
      </c>
      <c r="Q1454">
        <v>0.51160863662373701</v>
      </c>
      <c r="R1454">
        <v>0.70207334499625096</v>
      </c>
      <c r="S1454" t="s">
        <v>8124</v>
      </c>
      <c r="T1454" t="s">
        <v>13338</v>
      </c>
      <c r="U1454" t="s">
        <v>13338</v>
      </c>
      <c r="V1454" t="s">
        <v>13338</v>
      </c>
      <c r="W1454" t="s">
        <v>14758</v>
      </c>
      <c r="X1454">
        <v>3</v>
      </c>
      <c r="Y1454" t="s">
        <v>21356</v>
      </c>
      <c r="Z1454" t="s">
        <v>27869</v>
      </c>
      <c r="AA1454">
        <v>0.63519689620447961</v>
      </c>
      <c r="AB1454" t="str">
        <f>HYPERLINK("Melting_Curves/meltCurve_O43760_SYNGR2.pdf", "Melting_Curves/meltCurve_O43760_SYNGR2.pdf")</f>
        <v>Melting_Curves/meltCurve_O43760_SYNGR2.pdf</v>
      </c>
    </row>
    <row r="1455" spans="1:28" x14ac:dyDescent="0.25">
      <c r="A1455" t="s">
        <v>1459</v>
      </c>
      <c r="B1455">
        <v>0.99193492352474899</v>
      </c>
      <c r="C1455">
        <v>0.94948274891069695</v>
      </c>
      <c r="D1455">
        <v>0.87584014851824799</v>
      </c>
      <c r="E1455">
        <v>0.509349557391094</v>
      </c>
      <c r="F1455">
        <v>0.20764846872673801</v>
      </c>
      <c r="G1455">
        <v>0.12376702728773201</v>
      </c>
      <c r="H1455">
        <v>6.6860967789766898E-2</v>
      </c>
      <c r="I1455">
        <v>8.4310392149387098E-2</v>
      </c>
      <c r="J1455">
        <v>9.2897263130753402E-2</v>
      </c>
      <c r="K1455">
        <v>0.14850001685383199</v>
      </c>
      <c r="L1455">
        <v>1266.39502907005</v>
      </c>
      <c r="M1455">
        <v>25.719750258226199</v>
      </c>
      <c r="N1455">
        <v>49.646132330940198</v>
      </c>
      <c r="O1455">
        <v>48.943463811717599</v>
      </c>
      <c r="P1455">
        <v>-0.118864074203249</v>
      </c>
      <c r="Q1455">
        <v>9.5240107470959304E-2</v>
      </c>
      <c r="R1455">
        <v>0.99618951147847601</v>
      </c>
      <c r="S1455" t="s">
        <v>8125</v>
      </c>
      <c r="T1455" t="s">
        <v>13338</v>
      </c>
      <c r="U1455" t="s">
        <v>13338</v>
      </c>
      <c r="V1455" t="s">
        <v>13338</v>
      </c>
      <c r="W1455" t="s">
        <v>14759</v>
      </c>
      <c r="X1455">
        <v>16</v>
      </c>
      <c r="Y1455" t="s">
        <v>21357</v>
      </c>
      <c r="Z1455" t="s">
        <v>27870</v>
      </c>
      <c r="AA1455">
        <v>0.38143021243549152</v>
      </c>
      <c r="AB1455" t="str">
        <f>HYPERLINK("Melting_Curves/meltCurve_O43765_SGTA.pdf", "Melting_Curves/meltCurve_O43765_SGTA.pdf")</f>
        <v>Melting_Curves/meltCurve_O43765_SGTA.pdf</v>
      </c>
    </row>
    <row r="1456" spans="1:28" x14ac:dyDescent="0.25">
      <c r="A1456" t="s">
        <v>1460</v>
      </c>
      <c r="B1456">
        <v>0.99193492352474899</v>
      </c>
      <c r="C1456">
        <v>0.84128329046714401</v>
      </c>
      <c r="D1456">
        <v>0.83593059080459897</v>
      </c>
      <c r="E1456">
        <v>0.56846519642089799</v>
      </c>
      <c r="F1456">
        <v>0.28271807136175398</v>
      </c>
      <c r="G1456">
        <v>0.34590019907618602</v>
      </c>
      <c r="H1456">
        <v>0.23337484399986599</v>
      </c>
      <c r="I1456">
        <v>0</v>
      </c>
      <c r="J1456">
        <v>3.9286148462700302E-2</v>
      </c>
      <c r="K1456">
        <v>0</v>
      </c>
      <c r="L1456">
        <v>579.69243745712902</v>
      </c>
      <c r="M1456">
        <v>11.3642830840533</v>
      </c>
      <c r="N1456">
        <v>51.010031477240197</v>
      </c>
      <c r="O1456">
        <v>49.507128032248403</v>
      </c>
      <c r="P1456">
        <v>-5.7404190363993197E-2</v>
      </c>
      <c r="Q1456">
        <v>0</v>
      </c>
      <c r="R1456">
        <v>0.96058604215288801</v>
      </c>
      <c r="S1456" t="s">
        <v>8126</v>
      </c>
      <c r="T1456" t="s">
        <v>13338</v>
      </c>
      <c r="U1456" t="s">
        <v>13338</v>
      </c>
      <c r="V1456" t="s">
        <v>13338</v>
      </c>
      <c r="W1456" t="s">
        <v>14760</v>
      </c>
      <c r="X1456">
        <v>4</v>
      </c>
      <c r="Y1456" t="s">
        <v>21358</v>
      </c>
      <c r="Z1456" t="s">
        <v>27871</v>
      </c>
      <c r="AA1456">
        <v>0.40217778786019942</v>
      </c>
      <c r="AB1456" t="str">
        <f>HYPERLINK("Melting_Curves/meltCurve_O43766_LIAS.pdf", "Melting_Curves/meltCurve_O43766_LIAS.pdf")</f>
        <v>Melting_Curves/meltCurve_O43766_LIAS.pdf</v>
      </c>
    </row>
    <row r="1457" spans="1:28" x14ac:dyDescent="0.25">
      <c r="A1457" t="s">
        <v>1461</v>
      </c>
      <c r="B1457">
        <v>0.99193492352474899</v>
      </c>
      <c r="C1457">
        <v>0.89157356259961695</v>
      </c>
      <c r="D1457">
        <v>0.89832972730472005</v>
      </c>
      <c r="E1457">
        <v>0.86700217953162095</v>
      </c>
      <c r="F1457">
        <v>0.69667829107477097</v>
      </c>
      <c r="G1457">
        <v>0.58332061171560301</v>
      </c>
      <c r="H1457">
        <v>0.56070183450053102</v>
      </c>
      <c r="I1457">
        <v>0.72663543320130897</v>
      </c>
      <c r="J1457">
        <v>0.666765972983138</v>
      </c>
      <c r="K1457">
        <v>1.0880896059165399</v>
      </c>
      <c r="L1457">
        <v>914.37362682758703</v>
      </c>
      <c r="M1457">
        <v>19.601537932423302</v>
      </c>
      <c r="O1457">
        <v>46.170678185709697</v>
      </c>
      <c r="P1457">
        <v>-2.9157117787490999E-2</v>
      </c>
      <c r="Q1457">
        <v>0.72529574744332803</v>
      </c>
      <c r="R1457">
        <v>0.29172374701678599</v>
      </c>
      <c r="S1457" t="s">
        <v>8127</v>
      </c>
      <c r="T1457" t="s">
        <v>13338</v>
      </c>
      <c r="U1457" t="s">
        <v>13338</v>
      </c>
      <c r="V1457" t="s">
        <v>13338</v>
      </c>
      <c r="W1457" t="s">
        <v>14761</v>
      </c>
      <c r="X1457">
        <v>14</v>
      </c>
      <c r="Y1457" t="s">
        <v>21359</v>
      </c>
      <c r="Z1457" t="s">
        <v>27872</v>
      </c>
      <c r="AA1457">
        <v>0.79044439946246969</v>
      </c>
      <c r="AB1457" t="str">
        <f>HYPERLINK("Melting_Curves/meltCurve_O43768_2_ENSA.pdf", "Melting_Curves/meltCurve_O43768_2_ENSA.pdf")</f>
        <v>Melting_Curves/meltCurve_O43768_2_ENSA.pdf</v>
      </c>
    </row>
    <row r="1458" spans="1:28" x14ac:dyDescent="0.25">
      <c r="A1458" t="s">
        <v>1462</v>
      </c>
      <c r="B1458">
        <v>0.99193492352474899</v>
      </c>
      <c r="C1458">
        <v>0.93181363783532301</v>
      </c>
      <c r="D1458">
        <v>1.0734924805950099</v>
      </c>
      <c r="E1458">
        <v>0.90505952531312694</v>
      </c>
      <c r="F1458">
        <v>0.782372472642757</v>
      </c>
      <c r="G1458">
        <v>0.569261442365668</v>
      </c>
      <c r="H1458">
        <v>0.292395658255234</v>
      </c>
      <c r="I1458">
        <v>0.173703889582043</v>
      </c>
      <c r="J1458">
        <v>0.173645847351141</v>
      </c>
      <c r="K1458">
        <v>0.16622486325767399</v>
      </c>
      <c r="L1458">
        <v>1084.77398936027</v>
      </c>
      <c r="M1458">
        <v>19.205473303986501</v>
      </c>
      <c r="N1458">
        <v>57.341058220146799</v>
      </c>
      <c r="O1458">
        <v>55.880863704656903</v>
      </c>
      <c r="P1458">
        <v>-7.5188568532709402E-2</v>
      </c>
      <c r="Q1458">
        <v>0.124949107726994</v>
      </c>
      <c r="R1458">
        <v>0.98742791053780699</v>
      </c>
      <c r="S1458" t="s">
        <v>8128</v>
      </c>
      <c r="T1458" t="s">
        <v>13338</v>
      </c>
      <c r="U1458" t="s">
        <v>13338</v>
      </c>
      <c r="V1458" t="s">
        <v>13338</v>
      </c>
      <c r="W1458" t="s">
        <v>14762</v>
      </c>
      <c r="X1458">
        <v>8</v>
      </c>
      <c r="Y1458" t="s">
        <v>21360</v>
      </c>
      <c r="Z1458" t="s">
        <v>27873</v>
      </c>
      <c r="AA1458">
        <v>0.61731638406414624</v>
      </c>
      <c r="AB1458" t="str">
        <f>HYPERLINK("Melting_Curves/meltCurve_O43772_SLC25A20.pdf", "Melting_Curves/meltCurve_O43772_SLC25A20.pdf")</f>
        <v>Melting_Curves/meltCurve_O43772_SLC25A20.pdf</v>
      </c>
    </row>
    <row r="1459" spans="1:28" x14ac:dyDescent="0.25">
      <c r="A1459" t="s">
        <v>1463</v>
      </c>
      <c r="B1459">
        <v>0.99193492352474899</v>
      </c>
      <c r="C1459">
        <v>0.92093559603042197</v>
      </c>
      <c r="D1459">
        <v>0.89113499019720099</v>
      </c>
      <c r="E1459">
        <v>0.71793652309778799</v>
      </c>
      <c r="F1459">
        <v>0.54826481275612504</v>
      </c>
      <c r="G1459">
        <v>0.38539339270244</v>
      </c>
      <c r="H1459">
        <v>7.4994092769082005E-2</v>
      </c>
      <c r="I1459">
        <v>7.1079028899614302E-2</v>
      </c>
      <c r="J1459">
        <v>8.2906387678384097E-2</v>
      </c>
      <c r="K1459">
        <v>6.6238750302898802E-2</v>
      </c>
      <c r="L1459">
        <v>711.15659830996299</v>
      </c>
      <c r="M1459">
        <v>13.280018626235799</v>
      </c>
      <c r="N1459">
        <v>53.550875404431302</v>
      </c>
      <c r="O1459">
        <v>52.380278407730799</v>
      </c>
      <c r="P1459">
        <v>-6.3393017006740104E-2</v>
      </c>
      <c r="Q1459">
        <v>0</v>
      </c>
      <c r="R1459">
        <v>0.98621243243887802</v>
      </c>
      <c r="S1459" t="s">
        <v>8129</v>
      </c>
      <c r="T1459" t="s">
        <v>13338</v>
      </c>
      <c r="U1459" t="s">
        <v>13338</v>
      </c>
      <c r="V1459" t="s">
        <v>13338</v>
      </c>
      <c r="W1459" t="s">
        <v>14480</v>
      </c>
      <c r="X1459">
        <v>33</v>
      </c>
      <c r="Y1459" t="s">
        <v>21081</v>
      </c>
      <c r="Z1459" t="s">
        <v>27874</v>
      </c>
      <c r="AA1459">
        <v>0.47607946878035229</v>
      </c>
      <c r="AB1459" t="str">
        <f>HYPERLINK("Melting_Curves/meltCurve_O43776_NARS.pdf", "Melting_Curves/meltCurve_O43776_NARS.pdf")</f>
        <v>Melting_Curves/meltCurve_O43776_NARS.pdf</v>
      </c>
    </row>
    <row r="1460" spans="1:28" x14ac:dyDescent="0.25">
      <c r="A1460" t="s">
        <v>1464</v>
      </c>
      <c r="B1460">
        <v>0.99193492352474899</v>
      </c>
      <c r="C1460">
        <v>0.883103605914076</v>
      </c>
      <c r="D1460">
        <v>0.97934407727394601</v>
      </c>
      <c r="E1460">
        <v>0.75112264514760596</v>
      </c>
      <c r="F1460">
        <v>0.47200080172613201</v>
      </c>
      <c r="G1460">
        <v>0.35488500941978501</v>
      </c>
      <c r="H1460">
        <v>0.29470559626943499</v>
      </c>
      <c r="I1460">
        <v>0.41108700721183</v>
      </c>
      <c r="J1460">
        <v>0.51516454564566705</v>
      </c>
      <c r="K1460">
        <v>0.75159026754215696</v>
      </c>
      <c r="L1460">
        <v>3023.25184258534</v>
      </c>
      <c r="M1460">
        <v>60.820231799198702</v>
      </c>
      <c r="N1460">
        <v>51.9802448075583</v>
      </c>
      <c r="O1460">
        <v>49.654319725948902</v>
      </c>
      <c r="P1460">
        <v>-0.16383308660853199</v>
      </c>
      <c r="Q1460">
        <v>0.464979294194587</v>
      </c>
      <c r="R1460">
        <v>0.76961707182740702</v>
      </c>
      <c r="S1460" t="s">
        <v>8130</v>
      </c>
      <c r="T1460" t="s">
        <v>13338</v>
      </c>
      <c r="U1460" t="s">
        <v>13338</v>
      </c>
      <c r="V1460" t="s">
        <v>13338</v>
      </c>
      <c r="W1460" t="s">
        <v>14763</v>
      </c>
      <c r="X1460">
        <v>6</v>
      </c>
      <c r="Y1460" t="s">
        <v>21361</v>
      </c>
      <c r="Z1460" t="s">
        <v>27875</v>
      </c>
      <c r="AA1460">
        <v>0.63890331804629452</v>
      </c>
      <c r="AB1460" t="str">
        <f>HYPERLINK("Melting_Curves/meltCurve_O43805_SSNA1.pdf", "Melting_Curves/meltCurve_O43805_SSNA1.pdf")</f>
        <v>Melting_Curves/meltCurve_O43805_SSNA1.pdf</v>
      </c>
    </row>
    <row r="1461" spans="1:28" x14ac:dyDescent="0.25">
      <c r="A1461" t="s">
        <v>1465</v>
      </c>
      <c r="B1461">
        <v>0.99193492352474899</v>
      </c>
      <c r="C1461">
        <v>0.53179841267704997</v>
      </c>
      <c r="D1461">
        <v>0.83249002521752502</v>
      </c>
      <c r="E1461">
        <v>0.52494903119728897</v>
      </c>
      <c r="F1461">
        <v>0.493789587583363</v>
      </c>
      <c r="G1461">
        <v>0.181847113430367</v>
      </c>
      <c r="H1461">
        <v>4.8073886668761397E-2</v>
      </c>
      <c r="I1461">
        <v>4.0682311247652501E-2</v>
      </c>
      <c r="J1461">
        <v>4.4595509974875401E-2</v>
      </c>
      <c r="K1461">
        <v>3.9744916975008301E-2</v>
      </c>
      <c r="L1461">
        <v>492.73531331722103</v>
      </c>
      <c r="M1461">
        <v>9.8852788762428396</v>
      </c>
      <c r="N1461">
        <v>49.845363345806199</v>
      </c>
      <c r="O1461">
        <v>47.934108057483698</v>
      </c>
      <c r="P1461">
        <v>-5.1582808980327799E-2</v>
      </c>
      <c r="Q1461">
        <v>0</v>
      </c>
      <c r="R1461">
        <v>0.86576786400963301</v>
      </c>
      <c r="S1461" t="s">
        <v>8131</v>
      </c>
      <c r="T1461" t="s">
        <v>13338</v>
      </c>
      <c r="U1461" t="s">
        <v>13338</v>
      </c>
      <c r="V1461" t="s">
        <v>13338</v>
      </c>
      <c r="W1461" t="s">
        <v>14764</v>
      </c>
      <c r="X1461">
        <v>13</v>
      </c>
      <c r="Y1461" t="s">
        <v>21362</v>
      </c>
      <c r="Z1461" t="s">
        <v>27876</v>
      </c>
      <c r="AA1461">
        <v>0.37468367987305579</v>
      </c>
      <c r="AB1461" t="str">
        <f>HYPERLINK("Melting_Curves/meltCurve_O43809_NUDT21.pdf", "Melting_Curves/meltCurve_O43809_NUDT21.pdf")</f>
        <v>Melting_Curves/meltCurve_O43809_NUDT21.pdf</v>
      </c>
    </row>
    <row r="1462" spans="1:28" x14ac:dyDescent="0.25">
      <c r="A1462" t="s">
        <v>1466</v>
      </c>
      <c r="B1462">
        <v>0.99193492352474899</v>
      </c>
      <c r="C1462">
        <v>0.89448854607305095</v>
      </c>
      <c r="D1462">
        <v>0.88261055808355204</v>
      </c>
      <c r="E1462">
        <v>0.73686427369548302</v>
      </c>
      <c r="F1462">
        <v>0.62310447520480206</v>
      </c>
      <c r="G1462">
        <v>0.48645681836822802</v>
      </c>
      <c r="H1462">
        <v>0.29829708699508101</v>
      </c>
      <c r="I1462">
        <v>0.150218763912879</v>
      </c>
      <c r="J1462">
        <v>0.145960023858727</v>
      </c>
      <c r="K1462">
        <v>0.137609595196093</v>
      </c>
      <c r="L1462">
        <v>541.40132964647103</v>
      </c>
      <c r="M1462">
        <v>9.7630250479488794</v>
      </c>
      <c r="N1462">
        <v>55.454260021161303</v>
      </c>
      <c r="O1462">
        <v>53.277789969150099</v>
      </c>
      <c r="P1462">
        <v>-4.5836309421331801E-2</v>
      </c>
      <c r="Q1462">
        <v>0</v>
      </c>
      <c r="R1462">
        <v>0.98993043572939599</v>
      </c>
      <c r="S1462" t="s">
        <v>8132</v>
      </c>
      <c r="T1462" t="s">
        <v>13338</v>
      </c>
      <c r="U1462" t="s">
        <v>13338</v>
      </c>
      <c r="V1462" t="s">
        <v>13338</v>
      </c>
      <c r="W1462" t="s">
        <v>14765</v>
      </c>
      <c r="X1462">
        <v>15</v>
      </c>
      <c r="Y1462" t="s">
        <v>21363</v>
      </c>
      <c r="Z1462" t="s">
        <v>27877</v>
      </c>
      <c r="AA1462">
        <v>0.53902067205641413</v>
      </c>
      <c r="AB1462" t="str">
        <f>HYPERLINK("Melting_Curves/meltCurve_O43813_LANCL1.pdf", "Melting_Curves/meltCurve_O43813_LANCL1.pdf")</f>
        <v>Melting_Curves/meltCurve_O43813_LANCL1.pdf</v>
      </c>
    </row>
    <row r="1463" spans="1:28" x14ac:dyDescent="0.25">
      <c r="A1463" t="s">
        <v>1467</v>
      </c>
      <c r="B1463">
        <v>0.99193492352474899</v>
      </c>
      <c r="C1463">
        <v>1.0299453476576299</v>
      </c>
      <c r="D1463">
        <v>1.1475552411396199</v>
      </c>
      <c r="E1463">
        <v>0.83444891139128696</v>
      </c>
      <c r="F1463">
        <v>0.91894534715786202</v>
      </c>
      <c r="G1463">
        <v>0.29017510328254298</v>
      </c>
      <c r="H1463">
        <v>0.131199251462291</v>
      </c>
      <c r="I1463">
        <v>0.13113231871397099</v>
      </c>
      <c r="J1463">
        <v>0.17077968175183</v>
      </c>
      <c r="K1463">
        <v>0.12681976002855899</v>
      </c>
      <c r="L1463">
        <v>3131.9150526440399</v>
      </c>
      <c r="M1463">
        <v>56.674855888412303</v>
      </c>
      <c r="N1463">
        <v>55.579264786320302</v>
      </c>
      <c r="O1463">
        <v>55.192419312809697</v>
      </c>
      <c r="P1463">
        <v>-0.22115183254375501</v>
      </c>
      <c r="Q1463">
        <v>0.138531531621813</v>
      </c>
      <c r="R1463">
        <v>0.970512995170002</v>
      </c>
      <c r="S1463" t="s">
        <v>8133</v>
      </c>
      <c r="T1463" t="s">
        <v>13338</v>
      </c>
      <c r="U1463" t="s">
        <v>13338</v>
      </c>
      <c r="V1463" t="s">
        <v>13338</v>
      </c>
      <c r="W1463" t="s">
        <v>14766</v>
      </c>
      <c r="X1463">
        <v>13</v>
      </c>
      <c r="Y1463" t="s">
        <v>21364</v>
      </c>
      <c r="Z1463" t="s">
        <v>27878</v>
      </c>
      <c r="AA1463">
        <v>0.57839555946920662</v>
      </c>
      <c r="AB1463" t="str">
        <f>HYPERLINK("Melting_Curves/meltCurve_O43815_STRN.pdf", "Melting_Curves/meltCurve_O43815_STRN.pdf")</f>
        <v>Melting_Curves/meltCurve_O43815_STRN.pdf</v>
      </c>
    </row>
    <row r="1464" spans="1:28" x14ac:dyDescent="0.25">
      <c r="A1464" t="s">
        <v>1468</v>
      </c>
      <c r="B1464">
        <v>0.99193492352474899</v>
      </c>
      <c r="C1464">
        <v>0.80402140900598795</v>
      </c>
      <c r="D1464">
        <v>0.955053267509965</v>
      </c>
      <c r="E1464">
        <v>0.84006039400600296</v>
      </c>
      <c r="F1464">
        <v>0.85300119273130404</v>
      </c>
      <c r="G1464">
        <v>0.66333433580745105</v>
      </c>
      <c r="H1464">
        <v>0.33992812485172202</v>
      </c>
      <c r="I1464">
        <v>0.228288088987952</v>
      </c>
      <c r="J1464">
        <v>0.187173519896634</v>
      </c>
      <c r="K1464">
        <v>0.18047545894116801</v>
      </c>
      <c r="L1464">
        <v>840.32410407170698</v>
      </c>
      <c r="M1464">
        <v>14.482315221131801</v>
      </c>
      <c r="N1464">
        <v>58.655931317700698</v>
      </c>
      <c r="O1464">
        <v>56.951484378234198</v>
      </c>
      <c r="P1464">
        <v>-5.8988948222708802E-2</v>
      </c>
      <c r="Q1464">
        <v>7.2214982434120098E-2</v>
      </c>
      <c r="R1464">
        <v>0.94513099363663899</v>
      </c>
      <c r="S1464" t="s">
        <v>8134</v>
      </c>
      <c r="T1464" t="s">
        <v>13338</v>
      </c>
      <c r="U1464" t="s">
        <v>13338</v>
      </c>
      <c r="V1464" t="s">
        <v>13338</v>
      </c>
      <c r="W1464" t="s">
        <v>14767</v>
      </c>
      <c r="X1464">
        <v>16</v>
      </c>
      <c r="Y1464" t="s">
        <v>21365</v>
      </c>
      <c r="Z1464" t="s">
        <v>27879</v>
      </c>
      <c r="AA1464">
        <v>0.64208061242679149</v>
      </c>
      <c r="AB1464" t="str">
        <f>HYPERLINK("Melting_Curves/meltCurve_O43818_RRP9.pdf", "Melting_Curves/meltCurve_O43818_RRP9.pdf")</f>
        <v>Melting_Curves/meltCurve_O43818_RRP9.pdf</v>
      </c>
    </row>
    <row r="1465" spans="1:28" x14ac:dyDescent="0.25">
      <c r="A1465" t="s">
        <v>1469</v>
      </c>
      <c r="B1465">
        <v>0.99193492352474899</v>
      </c>
      <c r="C1465">
        <v>0.94237383893385696</v>
      </c>
      <c r="D1465">
        <v>0.80374812466001</v>
      </c>
      <c r="E1465">
        <v>0.49240884970647802</v>
      </c>
      <c r="F1465">
        <v>0.22123978731772101</v>
      </c>
      <c r="G1465">
        <v>0.13579387218214101</v>
      </c>
      <c r="H1465">
        <v>9.4367475086148803E-2</v>
      </c>
      <c r="I1465">
        <v>0.11458017391391299</v>
      </c>
      <c r="J1465">
        <v>0.122566965770898</v>
      </c>
      <c r="K1465">
        <v>0.13396553795218499</v>
      </c>
      <c r="L1465">
        <v>1061.2740040803201</v>
      </c>
      <c r="M1465">
        <v>21.754423093402298</v>
      </c>
      <c r="N1465">
        <v>49.335117928525698</v>
      </c>
      <c r="O1465">
        <v>48.377677870837601</v>
      </c>
      <c r="P1465">
        <v>-0.10030086794679401</v>
      </c>
      <c r="Q1465">
        <v>0.107821109600368</v>
      </c>
      <c r="R1465">
        <v>0.998150331980724</v>
      </c>
      <c r="S1465" t="s">
        <v>8135</v>
      </c>
      <c r="T1465" t="s">
        <v>13338</v>
      </c>
      <c r="U1465" t="s">
        <v>13338</v>
      </c>
      <c r="V1465" t="s">
        <v>13338</v>
      </c>
      <c r="W1465" t="s">
        <v>14768</v>
      </c>
      <c r="X1465">
        <v>3</v>
      </c>
      <c r="Y1465" t="s">
        <v>21366</v>
      </c>
      <c r="Z1465" t="s">
        <v>27880</v>
      </c>
      <c r="AA1465">
        <v>0.37959244644128681</v>
      </c>
      <c r="AB1465" t="str">
        <f>HYPERLINK("Melting_Curves/meltCurve_O43819_SCO2.pdf", "Melting_Curves/meltCurve_O43819_SCO2.pdf")</f>
        <v>Melting_Curves/meltCurve_O43819_SCO2.pdf</v>
      </c>
    </row>
    <row r="1466" spans="1:28" x14ac:dyDescent="0.25">
      <c r="A1466" t="s">
        <v>1470</v>
      </c>
      <c r="B1466">
        <v>0.99193492352474899</v>
      </c>
      <c r="C1466">
        <v>0.81259995339036395</v>
      </c>
      <c r="D1466">
        <v>0.53485123552824598</v>
      </c>
      <c r="E1466">
        <v>0.43054093456360099</v>
      </c>
      <c r="F1466">
        <v>0.250870253420726</v>
      </c>
      <c r="G1466">
        <v>0.10160791862587</v>
      </c>
      <c r="H1466">
        <v>7.7713216828381004E-2</v>
      </c>
      <c r="I1466">
        <v>4.0376042484408001E-2</v>
      </c>
      <c r="J1466">
        <v>1.7319468532144201E-2</v>
      </c>
      <c r="K1466">
        <v>2.0559519239839001E-2</v>
      </c>
      <c r="L1466">
        <v>591.05503883685606</v>
      </c>
      <c r="M1466">
        <v>12.3701270666031</v>
      </c>
      <c r="N1466">
        <v>47.791060147321403</v>
      </c>
      <c r="O1466">
        <v>46.5836533832382</v>
      </c>
      <c r="P1466">
        <v>-6.6313135630564596E-2</v>
      </c>
      <c r="Q1466">
        <v>1.3210714145965501E-3</v>
      </c>
      <c r="R1466">
        <v>0.98588880690603797</v>
      </c>
      <c r="S1466" t="s">
        <v>8136</v>
      </c>
      <c r="T1466" t="s">
        <v>13338</v>
      </c>
      <c r="U1466" t="s">
        <v>13338</v>
      </c>
      <c r="V1466" t="s">
        <v>13338</v>
      </c>
      <c r="W1466" t="s">
        <v>14769</v>
      </c>
      <c r="X1466">
        <v>1</v>
      </c>
      <c r="Y1466" t="s">
        <v>21367</v>
      </c>
      <c r="Z1466" t="s">
        <v>27881</v>
      </c>
      <c r="AA1466">
        <v>0.29788891034019821</v>
      </c>
      <c r="AB1466" t="str">
        <f>HYPERLINK("Melting_Curves/meltCurve_O43820_4_HYAL3.pdf", "Melting_Curves/meltCurve_O43820_4_HYAL3.pdf")</f>
        <v>Melting_Curves/meltCurve_O43820_4_HYAL3.pdf</v>
      </c>
    </row>
    <row r="1467" spans="1:28" x14ac:dyDescent="0.25">
      <c r="A1467" t="s">
        <v>1471</v>
      </c>
      <c r="B1467">
        <v>0.99193492352474899</v>
      </c>
      <c r="C1467">
        <v>0.77157920288896797</v>
      </c>
      <c r="D1467">
        <v>0.85782531815702401</v>
      </c>
      <c r="E1467">
        <v>0.57396622264698105</v>
      </c>
      <c r="F1467">
        <v>0.42512345746138502</v>
      </c>
      <c r="G1467">
        <v>0.34062113340807898</v>
      </c>
      <c r="H1467">
        <v>0.31101395301714202</v>
      </c>
      <c r="I1467">
        <v>0.41858709859210003</v>
      </c>
      <c r="J1467">
        <v>0.48379233344667</v>
      </c>
      <c r="K1467">
        <v>0.71269345124527606</v>
      </c>
      <c r="L1467">
        <v>930.65374785702102</v>
      </c>
      <c r="M1467">
        <v>19.997540592891301</v>
      </c>
      <c r="N1467">
        <v>52.245664281457998</v>
      </c>
      <c r="O1467">
        <v>46.0805257906189</v>
      </c>
      <c r="P1467">
        <v>-6.03526407182386E-2</v>
      </c>
      <c r="Q1467">
        <v>0.44373342532070698</v>
      </c>
      <c r="R1467">
        <v>0.71010041341664698</v>
      </c>
      <c r="S1467" t="s">
        <v>8137</v>
      </c>
      <c r="T1467" t="s">
        <v>13338</v>
      </c>
      <c r="U1467" t="s">
        <v>13338</v>
      </c>
      <c r="V1467" t="s">
        <v>13338</v>
      </c>
      <c r="W1467" t="s">
        <v>14770</v>
      </c>
      <c r="X1467">
        <v>11</v>
      </c>
      <c r="Y1467" t="s">
        <v>21368</v>
      </c>
      <c r="Z1467" t="s">
        <v>27882</v>
      </c>
      <c r="AA1467">
        <v>0.57329183794346406</v>
      </c>
      <c r="AB1467" t="str">
        <f>HYPERLINK("Melting_Curves/meltCurve_O43823_AKAP8.pdf", "Melting_Curves/meltCurve_O43823_AKAP8.pdf")</f>
        <v>Melting_Curves/meltCurve_O43823_AKAP8.pdf</v>
      </c>
    </row>
    <row r="1468" spans="1:28" x14ac:dyDescent="0.25">
      <c r="A1468" t="s">
        <v>1472</v>
      </c>
      <c r="B1468">
        <v>0.99193492352474899</v>
      </c>
      <c r="C1468">
        <v>0.842607284275527</v>
      </c>
      <c r="D1468">
        <v>0.92662254486371898</v>
      </c>
      <c r="E1468">
        <v>0.71750322235070596</v>
      </c>
      <c r="F1468">
        <v>0.40463680587053302</v>
      </c>
      <c r="G1468">
        <v>0.276491607855816</v>
      </c>
      <c r="H1468">
        <v>0.17631344663769399</v>
      </c>
      <c r="I1468">
        <v>0.17136730625020699</v>
      </c>
      <c r="J1468">
        <v>0.10846719880219099</v>
      </c>
      <c r="K1468">
        <v>9.0875632223206507E-2</v>
      </c>
      <c r="L1468">
        <v>794.05068977810197</v>
      </c>
      <c r="M1468">
        <v>15.375735408162599</v>
      </c>
      <c r="N1468">
        <v>52.337175389682699</v>
      </c>
      <c r="O1468">
        <v>50.793194855360603</v>
      </c>
      <c r="P1468">
        <v>-6.8704625480873305E-2</v>
      </c>
      <c r="Q1468">
        <v>9.2230133193461503E-2</v>
      </c>
      <c r="R1468">
        <v>0.98229876244508696</v>
      </c>
      <c r="S1468" t="s">
        <v>8138</v>
      </c>
      <c r="T1468" t="s">
        <v>13338</v>
      </c>
      <c r="U1468" t="s">
        <v>13338</v>
      </c>
      <c r="V1468" t="s">
        <v>13338</v>
      </c>
      <c r="W1468" t="s">
        <v>14771</v>
      </c>
      <c r="X1468">
        <v>1</v>
      </c>
      <c r="Y1468" t="s">
        <v>21369</v>
      </c>
      <c r="Z1468" t="s">
        <v>27883</v>
      </c>
      <c r="AA1468">
        <v>0.46429089786396871</v>
      </c>
      <c r="AB1468" t="str">
        <f>HYPERLINK("Melting_Curves/meltCurve_O43824_GTPBP6.pdf", "Melting_Curves/meltCurve_O43824_GTPBP6.pdf")</f>
        <v>Melting_Curves/meltCurve_O43824_GTPBP6.pdf</v>
      </c>
    </row>
    <row r="1469" spans="1:28" x14ac:dyDescent="0.25">
      <c r="A1469" t="s">
        <v>1473</v>
      </c>
      <c r="B1469">
        <v>0.99193492352474899</v>
      </c>
      <c r="C1469">
        <v>1.0816826530467001</v>
      </c>
      <c r="D1469">
        <v>0.79893353881457296</v>
      </c>
      <c r="E1469">
        <v>0.76943124022059095</v>
      </c>
      <c r="F1469">
        <v>0.60413937693743802</v>
      </c>
      <c r="G1469">
        <v>0.51578259342125898</v>
      </c>
      <c r="H1469">
        <v>0.31169480618256701</v>
      </c>
      <c r="I1469">
        <v>0.31122810381583599</v>
      </c>
      <c r="J1469">
        <v>0.250084502052629</v>
      </c>
      <c r="K1469">
        <v>0.29464332895702999</v>
      </c>
      <c r="L1469">
        <v>638.45106263578305</v>
      </c>
      <c r="M1469">
        <v>12.0250706164431</v>
      </c>
      <c r="N1469">
        <v>55.776088406482501</v>
      </c>
      <c r="O1469">
        <v>51.688967550538599</v>
      </c>
      <c r="P1469">
        <v>-4.5399424541844098E-2</v>
      </c>
      <c r="Q1469">
        <v>0.21960096807079399</v>
      </c>
      <c r="R1469">
        <v>0.96265120914198798</v>
      </c>
      <c r="S1469" t="s">
        <v>8139</v>
      </c>
      <c r="T1469" t="s">
        <v>13338</v>
      </c>
      <c r="U1469" t="s">
        <v>13338</v>
      </c>
      <c r="V1469" t="s">
        <v>13338</v>
      </c>
      <c r="W1469" t="s">
        <v>14772</v>
      </c>
      <c r="X1469">
        <v>9</v>
      </c>
      <c r="Y1469" t="s">
        <v>21370</v>
      </c>
      <c r="Z1469" t="s">
        <v>27884</v>
      </c>
      <c r="AA1469">
        <v>0.58220682951544989</v>
      </c>
      <c r="AB1469" t="str">
        <f>HYPERLINK("Melting_Curves/meltCurve_O43829_ZBTB14.pdf", "Melting_Curves/meltCurve_O43829_ZBTB14.pdf")</f>
        <v>Melting_Curves/meltCurve_O43829_ZBTB14.pdf</v>
      </c>
    </row>
    <row r="1470" spans="1:28" x14ac:dyDescent="0.25">
      <c r="A1470" t="s">
        <v>1474</v>
      </c>
      <c r="B1470">
        <v>0.99193492352474899</v>
      </c>
      <c r="C1470">
        <v>0.90747968989661798</v>
      </c>
      <c r="D1470">
        <v>0.93921371832709</v>
      </c>
      <c r="E1470">
        <v>0.73394150770105104</v>
      </c>
      <c r="F1470">
        <v>0.26214062761903201</v>
      </c>
      <c r="G1470">
        <v>0.160508152692387</v>
      </c>
      <c r="H1470">
        <v>0.102065658022453</v>
      </c>
      <c r="I1470">
        <v>0.12961675047436499</v>
      </c>
      <c r="J1470">
        <v>0.13049981853015399</v>
      </c>
      <c r="K1470">
        <v>0.16563117603288099</v>
      </c>
      <c r="L1470">
        <v>1740.4758105163601</v>
      </c>
      <c r="M1470">
        <v>34.340166716151501</v>
      </c>
      <c r="N1470">
        <v>51.136738085958697</v>
      </c>
      <c r="O1470">
        <v>50.512414314500397</v>
      </c>
      <c r="P1470">
        <v>-0.14765524921971299</v>
      </c>
      <c r="Q1470">
        <v>0.13123343816906699</v>
      </c>
      <c r="R1470">
        <v>0.99100086363470197</v>
      </c>
      <c r="S1470" t="s">
        <v>8140</v>
      </c>
      <c r="T1470" t="s">
        <v>13338</v>
      </c>
      <c r="U1470" t="s">
        <v>13338</v>
      </c>
      <c r="V1470" t="s">
        <v>13338</v>
      </c>
      <c r="W1470" t="s">
        <v>14773</v>
      </c>
      <c r="X1470">
        <v>19</v>
      </c>
      <c r="Y1470" t="s">
        <v>21371</v>
      </c>
      <c r="Z1470" t="s">
        <v>27885</v>
      </c>
      <c r="AA1470">
        <v>0.4447521208791535</v>
      </c>
      <c r="AB1470" t="str">
        <f>HYPERLINK("Melting_Curves/meltCurve_O43837_IDH3B.pdf", "Melting_Curves/meltCurve_O43837_IDH3B.pdf")</f>
        <v>Melting_Curves/meltCurve_O43837_IDH3B.pdf</v>
      </c>
    </row>
    <row r="1471" spans="1:28" x14ac:dyDescent="0.25">
      <c r="A1471" t="s">
        <v>1475</v>
      </c>
      <c r="B1471">
        <v>0.99193492352474899</v>
      </c>
      <c r="C1471">
        <v>0.926680202784254</v>
      </c>
      <c r="D1471">
        <v>0.90518357598744303</v>
      </c>
      <c r="E1471">
        <v>0.71948114780140404</v>
      </c>
      <c r="F1471">
        <v>0.62532775324229495</v>
      </c>
      <c r="G1471">
        <v>0.41294957239069302</v>
      </c>
      <c r="H1471">
        <v>0.37809257737298801</v>
      </c>
      <c r="I1471">
        <v>0.47369148583113302</v>
      </c>
      <c r="J1471">
        <v>0.56429862972090505</v>
      </c>
      <c r="K1471">
        <v>0.73584669987740603</v>
      </c>
      <c r="L1471">
        <v>1166.3183572326</v>
      </c>
      <c r="M1471">
        <v>23.925694619845501</v>
      </c>
      <c r="O1471">
        <v>48.410785742481302</v>
      </c>
      <c r="P1471">
        <v>-5.9457918983611399E-2</v>
      </c>
      <c r="Q1471">
        <v>0.51878349363465404</v>
      </c>
      <c r="R1471">
        <v>0.78703955125296998</v>
      </c>
      <c r="S1471" t="s">
        <v>8141</v>
      </c>
      <c r="T1471" t="s">
        <v>13338</v>
      </c>
      <c r="U1471" t="s">
        <v>13338</v>
      </c>
      <c r="V1471" t="s">
        <v>13338</v>
      </c>
      <c r="W1471" t="s">
        <v>14774</v>
      </c>
      <c r="X1471">
        <v>19</v>
      </c>
      <c r="Y1471" t="s">
        <v>21372</v>
      </c>
      <c r="Z1471" t="s">
        <v>27886</v>
      </c>
      <c r="AA1471">
        <v>0.66376323337038912</v>
      </c>
      <c r="AB1471" t="str">
        <f>HYPERLINK("Melting_Curves/meltCurve_O43852_CALU.pdf", "Melting_Curves/meltCurve_O43852_CALU.pdf")</f>
        <v>Melting_Curves/meltCurve_O43852_CALU.pdf</v>
      </c>
    </row>
    <row r="1472" spans="1:28" x14ac:dyDescent="0.25">
      <c r="A1472" t="s">
        <v>1476</v>
      </c>
      <c r="B1472">
        <v>0.99193492352474899</v>
      </c>
      <c r="C1472">
        <v>0.90390001371330497</v>
      </c>
      <c r="D1472">
        <v>0.85622743019264003</v>
      </c>
      <c r="E1472">
        <v>0.75149673395157102</v>
      </c>
      <c r="F1472">
        <v>0.66597748496882603</v>
      </c>
      <c r="G1472">
        <v>0.38816822282166802</v>
      </c>
      <c r="H1472">
        <v>0.13718776110031</v>
      </c>
      <c r="I1472">
        <v>8.4660967060972203E-2</v>
      </c>
      <c r="J1472">
        <v>0.11534421533696899</v>
      </c>
      <c r="K1472">
        <v>9.0271514946506495E-2</v>
      </c>
      <c r="L1472">
        <v>685.21164464550998</v>
      </c>
      <c r="M1472">
        <v>12.5739579016128</v>
      </c>
      <c r="N1472">
        <v>54.4945075605836</v>
      </c>
      <c r="O1472">
        <v>53.1712608129194</v>
      </c>
      <c r="P1472">
        <v>-5.9131974861485699E-2</v>
      </c>
      <c r="Q1472">
        <v>0</v>
      </c>
      <c r="R1472">
        <v>0.97926168426126803</v>
      </c>
      <c r="S1472" t="s">
        <v>8142</v>
      </c>
      <c r="T1472" t="s">
        <v>13338</v>
      </c>
      <c r="U1472" t="s">
        <v>13338</v>
      </c>
      <c r="V1472" t="s">
        <v>13338</v>
      </c>
      <c r="W1472" t="s">
        <v>14775</v>
      </c>
      <c r="X1472">
        <v>3</v>
      </c>
      <c r="Y1472" t="s">
        <v>21373</v>
      </c>
      <c r="Z1472" t="s">
        <v>27887</v>
      </c>
      <c r="AA1472">
        <v>0.50702683562976092</v>
      </c>
      <c r="AB1472" t="str">
        <f>HYPERLINK("Melting_Curves/meltCurve_O43861_2_ATP9B.pdf", "Melting_Curves/meltCurve_O43861_2_ATP9B.pdf")</f>
        <v>Melting_Curves/meltCurve_O43861_2_ATP9B.pdf</v>
      </c>
    </row>
    <row r="1473" spans="1:28" x14ac:dyDescent="0.25">
      <c r="A1473" t="s">
        <v>1477</v>
      </c>
      <c r="B1473">
        <v>0.99193492352474899</v>
      </c>
      <c r="C1473">
        <v>1.0707329589909</v>
      </c>
      <c r="D1473">
        <v>1.02059975203486</v>
      </c>
      <c r="E1473">
        <v>0.93034694220478098</v>
      </c>
      <c r="F1473">
        <v>0.66740290548280401</v>
      </c>
      <c r="G1473">
        <v>0.45824063073426302</v>
      </c>
      <c r="H1473">
        <v>0.29858982476173201</v>
      </c>
      <c r="I1473">
        <v>0.23159096870982901</v>
      </c>
      <c r="J1473">
        <v>0.16848343157962001</v>
      </c>
      <c r="K1473">
        <v>0.14102498455592399</v>
      </c>
      <c r="L1473">
        <v>1019.62762675627</v>
      </c>
      <c r="M1473">
        <v>18.529085997086899</v>
      </c>
      <c r="N1473">
        <v>56.108196906050601</v>
      </c>
      <c r="O1473">
        <v>54.399547107633303</v>
      </c>
      <c r="P1473">
        <v>-7.2386435859807599E-2</v>
      </c>
      <c r="Q1473">
        <v>0.14996001223838001</v>
      </c>
      <c r="R1473">
        <v>0.99109127788280404</v>
      </c>
      <c r="S1473" t="s">
        <v>8143</v>
      </c>
      <c r="T1473" t="s">
        <v>13338</v>
      </c>
      <c r="U1473" t="s">
        <v>13338</v>
      </c>
      <c r="V1473" t="s">
        <v>13338</v>
      </c>
      <c r="W1473" t="s">
        <v>14776</v>
      </c>
      <c r="X1473">
        <v>24</v>
      </c>
      <c r="Y1473" t="s">
        <v>21374</v>
      </c>
      <c r="Z1473" t="s">
        <v>27888</v>
      </c>
      <c r="AA1473">
        <v>0.58841267818707621</v>
      </c>
      <c r="AB1473" t="str">
        <f>HYPERLINK("Melting_Curves/meltCurve_O43865_AHCYL1.pdf", "Melting_Curves/meltCurve_O43865_AHCYL1.pdf")</f>
        <v>Melting_Curves/meltCurve_O43865_AHCYL1.pdf</v>
      </c>
    </row>
    <row r="1474" spans="1:28" x14ac:dyDescent="0.25">
      <c r="A1474" t="s">
        <v>1478</v>
      </c>
      <c r="B1474">
        <v>0.99193492352474899</v>
      </c>
      <c r="C1474">
        <v>1.27840922223286</v>
      </c>
      <c r="D1474">
        <v>1.08496846546842</v>
      </c>
      <c r="E1474">
        <v>1.25331162413963</v>
      </c>
      <c r="F1474">
        <v>0.54506747664241395</v>
      </c>
      <c r="G1474">
        <v>0.40787092832464</v>
      </c>
      <c r="H1474">
        <v>0.21571360749719401</v>
      </c>
      <c r="I1474">
        <v>0.22230602587998699</v>
      </c>
      <c r="J1474">
        <v>0.30759958688621702</v>
      </c>
      <c r="K1474">
        <v>0.362354381448737</v>
      </c>
      <c r="L1474">
        <v>13266.397236491101</v>
      </c>
      <c r="M1474">
        <v>250</v>
      </c>
      <c r="N1474">
        <v>53.264214691868098</v>
      </c>
      <c r="O1474">
        <v>53.0621932206938</v>
      </c>
      <c r="P1474">
        <v>-0.82077166880822705</v>
      </c>
      <c r="Q1474">
        <v>0.303168884312493</v>
      </c>
      <c r="R1474">
        <v>0.89570904103806104</v>
      </c>
      <c r="S1474" t="s">
        <v>8144</v>
      </c>
      <c r="T1474" t="s">
        <v>13338</v>
      </c>
      <c r="U1474" t="s">
        <v>13338</v>
      </c>
      <c r="V1474" t="s">
        <v>13338</v>
      </c>
      <c r="W1474" t="s">
        <v>14777</v>
      </c>
      <c r="X1474">
        <v>3</v>
      </c>
      <c r="Y1474" t="s">
        <v>21375</v>
      </c>
      <c r="Z1474" t="s">
        <v>27889</v>
      </c>
      <c r="AA1474">
        <v>0.60671741043882954</v>
      </c>
      <c r="AB1474" t="str">
        <f>HYPERLINK("Melting_Curves/meltCurve_O43896_KIF1C.pdf", "Melting_Curves/meltCurve_O43896_KIF1C.pdf")</f>
        <v>Melting_Curves/meltCurve_O43896_KIF1C.pdf</v>
      </c>
    </row>
    <row r="1475" spans="1:28" x14ac:dyDescent="0.25">
      <c r="A1475" t="s">
        <v>1479</v>
      </c>
      <c r="B1475">
        <v>0.99193492352474899</v>
      </c>
      <c r="C1475">
        <v>0.74555634861206099</v>
      </c>
      <c r="D1475">
        <v>0.82516388846588695</v>
      </c>
      <c r="E1475">
        <v>0.31111196077674302</v>
      </c>
      <c r="F1475">
        <v>0.19328678867450599</v>
      </c>
      <c r="G1475">
        <v>9.0858783311531202E-2</v>
      </c>
      <c r="H1475">
        <v>5.8882919343835098E-2</v>
      </c>
      <c r="I1475">
        <v>6.5922654286489399E-2</v>
      </c>
      <c r="J1475">
        <v>8.6811303948816698E-2</v>
      </c>
      <c r="K1475">
        <v>7.0304319631203802E-2</v>
      </c>
      <c r="L1475">
        <v>898.97559926845497</v>
      </c>
      <c r="M1475">
        <v>18.797974579838201</v>
      </c>
      <c r="N1475">
        <v>48.138385522154998</v>
      </c>
      <c r="O1475">
        <v>47.291652712021097</v>
      </c>
      <c r="P1475">
        <v>-9.3619042686223994E-2</v>
      </c>
      <c r="Q1475">
        <v>5.79378124653517E-2</v>
      </c>
      <c r="R1475">
        <v>0.96099007960359295</v>
      </c>
      <c r="S1475" t="s">
        <v>8145</v>
      </c>
      <c r="T1475" t="s">
        <v>13338</v>
      </c>
      <c r="U1475" t="s">
        <v>13338</v>
      </c>
      <c r="V1475" t="s">
        <v>13338</v>
      </c>
      <c r="W1475" t="s">
        <v>14778</v>
      </c>
      <c r="X1475">
        <v>10</v>
      </c>
      <c r="Y1475" t="s">
        <v>21376</v>
      </c>
      <c r="Z1475" t="s">
        <v>27890</v>
      </c>
      <c r="AA1475">
        <v>0.31893281791725259</v>
      </c>
      <c r="AB1475" t="str">
        <f>HYPERLINK("Melting_Curves/meltCurve_O43913_ORC5.pdf", "Melting_Curves/meltCurve_O43913_ORC5.pdf")</f>
        <v>Melting_Curves/meltCurve_O43913_ORC5.pdf</v>
      </c>
    </row>
    <row r="1476" spans="1:28" x14ac:dyDescent="0.25">
      <c r="A1476" t="s">
        <v>1480</v>
      </c>
      <c r="B1476">
        <v>0.99193492352474899</v>
      </c>
      <c r="C1476">
        <v>0.73461227756415304</v>
      </c>
      <c r="D1476">
        <v>0.94053803291585802</v>
      </c>
      <c r="E1476">
        <v>0.72393060755740701</v>
      </c>
      <c r="F1476">
        <v>0.46951587685361401</v>
      </c>
      <c r="G1476">
        <v>0.25540954408726702</v>
      </c>
      <c r="H1476">
        <v>0.26665472586349898</v>
      </c>
      <c r="I1476">
        <v>0.22509632827135401</v>
      </c>
      <c r="J1476">
        <v>0.31857037977812402</v>
      </c>
      <c r="K1476">
        <v>0.34888028239959101</v>
      </c>
      <c r="L1476">
        <v>1024.6010863503</v>
      </c>
      <c r="M1476">
        <v>20.333134908012699</v>
      </c>
      <c r="N1476">
        <v>52.365693848871203</v>
      </c>
      <c r="O1476">
        <v>49.910896656458299</v>
      </c>
      <c r="P1476">
        <v>-7.4578106954295897E-2</v>
      </c>
      <c r="Q1476">
        <v>0.26776727305162501</v>
      </c>
      <c r="R1476">
        <v>0.89724879618275899</v>
      </c>
      <c r="S1476" t="s">
        <v>8146</v>
      </c>
      <c r="T1476" t="s">
        <v>13338</v>
      </c>
      <c r="U1476" t="s">
        <v>13338</v>
      </c>
      <c r="V1476" t="s">
        <v>13338</v>
      </c>
      <c r="W1476" t="s">
        <v>14779</v>
      </c>
      <c r="X1476">
        <v>7</v>
      </c>
      <c r="Y1476" t="s">
        <v>21377</v>
      </c>
      <c r="Z1476" t="s">
        <v>27891</v>
      </c>
      <c r="AA1476">
        <v>0.53124322506785249</v>
      </c>
      <c r="AB1476" t="str">
        <f>HYPERLINK("Melting_Curves/meltCurve_O43920_NDUFS5.pdf", "Melting_Curves/meltCurve_O43920_NDUFS5.pdf")</f>
        <v>Melting_Curves/meltCurve_O43920_NDUFS5.pdf</v>
      </c>
    </row>
    <row r="1477" spans="1:28" x14ac:dyDescent="0.25">
      <c r="A1477" t="s">
        <v>1481</v>
      </c>
      <c r="B1477">
        <v>0.99193492352474899</v>
      </c>
      <c r="C1477">
        <v>0.77296323883765505</v>
      </c>
      <c r="D1477">
        <v>0.99652402686867403</v>
      </c>
      <c r="E1477">
        <v>0.86580743230630397</v>
      </c>
      <c r="F1477">
        <v>0.78373271161687297</v>
      </c>
      <c r="G1477">
        <v>0.41667883409330098</v>
      </c>
      <c r="H1477">
        <v>0.20641199939740201</v>
      </c>
      <c r="I1477">
        <v>0.16043351443844101</v>
      </c>
      <c r="J1477">
        <v>0.19345616654678199</v>
      </c>
      <c r="K1477">
        <v>0.237875229682183</v>
      </c>
      <c r="L1477">
        <v>1421.1272535102501</v>
      </c>
      <c r="M1477">
        <v>25.911026797537399</v>
      </c>
      <c r="N1477">
        <v>55.8021731691517</v>
      </c>
      <c r="O1477">
        <v>54.522850954703799</v>
      </c>
      <c r="P1477">
        <v>-9.7518906466692507E-2</v>
      </c>
      <c r="Q1477">
        <v>0.17919911465063201</v>
      </c>
      <c r="R1477">
        <v>0.940845180043833</v>
      </c>
      <c r="S1477" t="s">
        <v>8147</v>
      </c>
      <c r="T1477" t="s">
        <v>13338</v>
      </c>
      <c r="U1477" t="s">
        <v>13338</v>
      </c>
      <c r="V1477" t="s">
        <v>13338</v>
      </c>
      <c r="W1477" t="s">
        <v>14780</v>
      </c>
      <c r="X1477">
        <v>6</v>
      </c>
      <c r="Y1477" t="s">
        <v>21378</v>
      </c>
      <c r="Z1477" t="s">
        <v>27892</v>
      </c>
      <c r="AA1477">
        <v>0.59252656739611964</v>
      </c>
      <c r="AB1477" t="str">
        <f>HYPERLINK("Melting_Curves/meltCurve_O43924_PDE6D.pdf", "Melting_Curves/meltCurve_O43924_PDE6D.pdf")</f>
        <v>Melting_Curves/meltCurve_O43924_PDE6D.pdf</v>
      </c>
    </row>
    <row r="1478" spans="1:28" x14ac:dyDescent="0.25">
      <c r="A1478" t="s">
        <v>1482</v>
      </c>
      <c r="B1478">
        <v>0.99193492352474899</v>
      </c>
      <c r="C1478">
        <v>0.83384003077722602</v>
      </c>
      <c r="D1478">
        <v>0.98483577930777899</v>
      </c>
      <c r="E1478">
        <v>0.65914875264147699</v>
      </c>
      <c r="F1478">
        <v>0.58605548713278799</v>
      </c>
      <c r="G1478">
        <v>0.272705563914797</v>
      </c>
      <c r="H1478">
        <v>0.108964565092285</v>
      </c>
      <c r="I1478">
        <v>0.118587784172537</v>
      </c>
      <c r="J1478">
        <v>0.169659792084392</v>
      </c>
      <c r="K1478">
        <v>0.14351989895009001</v>
      </c>
      <c r="L1478">
        <v>817.99829301142802</v>
      </c>
      <c r="M1478">
        <v>15.6206503176276</v>
      </c>
      <c r="N1478">
        <v>53.067655348401601</v>
      </c>
      <c r="O1478">
        <v>51.530778169215402</v>
      </c>
      <c r="P1478">
        <v>-6.8722679549413995E-2</v>
      </c>
      <c r="Q1478">
        <v>9.3244755724240402E-2</v>
      </c>
      <c r="R1478">
        <v>0.95826116915392501</v>
      </c>
      <c r="S1478" t="s">
        <v>8148</v>
      </c>
      <c r="T1478" t="s">
        <v>13338</v>
      </c>
      <c r="U1478" t="s">
        <v>13338</v>
      </c>
      <c r="V1478" t="s">
        <v>13338</v>
      </c>
      <c r="W1478" t="s">
        <v>14781</v>
      </c>
      <c r="X1478">
        <v>5</v>
      </c>
      <c r="Y1478" t="s">
        <v>21379</v>
      </c>
      <c r="Z1478" t="s">
        <v>27893</v>
      </c>
      <c r="AA1478">
        <v>0.48584816679118059</v>
      </c>
      <c r="AB1478" t="str">
        <f>HYPERLINK("Melting_Curves/meltCurve_O43933_PEX1.pdf", "Melting_Curves/meltCurve_O43933_PEX1.pdf")</f>
        <v>Melting_Curves/meltCurve_O43933_PEX1.pdf</v>
      </c>
    </row>
    <row r="1479" spans="1:28" x14ac:dyDescent="0.25">
      <c r="A1479" t="s">
        <v>1483</v>
      </c>
      <c r="B1479">
        <v>0.99193492352474899</v>
      </c>
      <c r="C1479">
        <v>0.92007384174187301</v>
      </c>
      <c r="D1479">
        <v>0.84553316820134095</v>
      </c>
      <c r="E1479">
        <v>0.75374452616660104</v>
      </c>
      <c r="F1479">
        <v>0.465311666068223</v>
      </c>
      <c r="G1479">
        <v>0.20537576448071099</v>
      </c>
      <c r="H1479">
        <v>0.102399871820454</v>
      </c>
      <c r="I1479">
        <v>0.13371666924096001</v>
      </c>
      <c r="J1479">
        <v>0.179868004950755</v>
      </c>
      <c r="K1479">
        <v>0.16682241030734801</v>
      </c>
      <c r="L1479">
        <v>968.94181841987995</v>
      </c>
      <c r="M1479">
        <v>18.8077624378165</v>
      </c>
      <c r="N1479">
        <v>52.2913351417127</v>
      </c>
      <c r="O1479">
        <v>50.946365173561702</v>
      </c>
      <c r="P1479">
        <v>-8.1092753989595506E-2</v>
      </c>
      <c r="Q1479">
        <v>0.121381995904133</v>
      </c>
      <c r="R1479">
        <v>0.98177095844045303</v>
      </c>
      <c r="S1479" t="s">
        <v>8149</v>
      </c>
      <c r="T1479" t="s">
        <v>13338</v>
      </c>
      <c r="U1479" t="s">
        <v>13338</v>
      </c>
      <c r="V1479" t="s">
        <v>13338</v>
      </c>
      <c r="W1479" t="s">
        <v>14782</v>
      </c>
      <c r="X1479">
        <v>14</v>
      </c>
      <c r="Y1479" t="s">
        <v>21380</v>
      </c>
      <c r="Z1479" t="s">
        <v>27894</v>
      </c>
      <c r="AA1479">
        <v>0.47233080430043239</v>
      </c>
      <c r="AB1479" t="str">
        <f>HYPERLINK("Melting_Curves/meltCurve_O60216_RAD21.pdf", "Melting_Curves/meltCurve_O60216_RAD21.pdf")</f>
        <v>Melting_Curves/meltCurve_O60216_RAD21.pdf</v>
      </c>
    </row>
    <row r="1480" spans="1:28" x14ac:dyDescent="0.25">
      <c r="A1480" t="s">
        <v>1484</v>
      </c>
      <c r="B1480">
        <v>0.99193492352474899</v>
      </c>
      <c r="C1480">
        <v>1.0410793180978699</v>
      </c>
      <c r="D1480">
        <v>0.86598128058337298</v>
      </c>
      <c r="E1480">
        <v>0.893265126678086</v>
      </c>
      <c r="F1480">
        <v>0.62538665338263699</v>
      </c>
      <c r="G1480">
        <v>0.185306780519925</v>
      </c>
      <c r="H1480">
        <v>7.4680078892543703E-2</v>
      </c>
      <c r="I1480">
        <v>0.108294821140411</v>
      </c>
      <c r="J1480">
        <v>7.8637758847421801E-2</v>
      </c>
      <c r="K1480">
        <v>7.4036125796021202E-2</v>
      </c>
      <c r="L1480">
        <v>1617.7428864947599</v>
      </c>
      <c r="M1480">
        <v>30.157704650989199</v>
      </c>
      <c r="N1480">
        <v>53.9161893735563</v>
      </c>
      <c r="O1480">
        <v>53.408561345019201</v>
      </c>
      <c r="P1480">
        <v>-0.131156336805586</v>
      </c>
      <c r="Q1480">
        <v>7.0907189605927803E-2</v>
      </c>
      <c r="R1480">
        <v>0.98604708962296705</v>
      </c>
      <c r="S1480" t="s">
        <v>8150</v>
      </c>
      <c r="T1480" t="s">
        <v>13338</v>
      </c>
      <c r="U1480" t="s">
        <v>13338</v>
      </c>
      <c r="V1480" t="s">
        <v>13338</v>
      </c>
      <c r="W1480" t="s">
        <v>14783</v>
      </c>
      <c r="X1480">
        <v>2</v>
      </c>
      <c r="Y1480" t="s">
        <v>21381</v>
      </c>
      <c r="Z1480" t="s">
        <v>27895</v>
      </c>
      <c r="AA1480">
        <v>0.49943587435016401</v>
      </c>
      <c r="AB1480" t="str">
        <f>HYPERLINK("Melting_Curves/meltCurve_O60218_AKR1B10.pdf", "Melting_Curves/meltCurve_O60218_AKR1B10.pdf")</f>
        <v>Melting_Curves/meltCurve_O60218_AKR1B10.pdf</v>
      </c>
    </row>
    <row r="1481" spans="1:28" x14ac:dyDescent="0.25">
      <c r="A1481" t="s">
        <v>1485</v>
      </c>
      <c r="B1481">
        <v>0.99193492352474899</v>
      </c>
      <c r="C1481">
        <v>1.1204040078067099</v>
      </c>
      <c r="D1481">
        <v>0.93359225333726503</v>
      </c>
      <c r="E1481">
        <v>0.90911918074864595</v>
      </c>
      <c r="F1481">
        <v>0.66699835600106805</v>
      </c>
      <c r="G1481">
        <v>0.57827493232806204</v>
      </c>
      <c r="H1481">
        <v>0.45292906649263998</v>
      </c>
      <c r="I1481">
        <v>0.56275350070185204</v>
      </c>
      <c r="J1481">
        <v>0.48884899884152799</v>
      </c>
      <c r="K1481">
        <v>0.796414222751475</v>
      </c>
      <c r="L1481">
        <v>1890.0440485484701</v>
      </c>
      <c r="M1481">
        <v>36.856298726749301</v>
      </c>
      <c r="O1481">
        <v>51.131169346793001</v>
      </c>
      <c r="P1481">
        <v>-7.6776261793965198E-2</v>
      </c>
      <c r="Q1481">
        <v>0.57395083951875403</v>
      </c>
      <c r="R1481">
        <v>0.81395708975446002</v>
      </c>
      <c r="S1481" t="s">
        <v>8151</v>
      </c>
      <c r="T1481" t="s">
        <v>13338</v>
      </c>
      <c r="U1481" t="s">
        <v>13338</v>
      </c>
      <c r="V1481" t="s">
        <v>13338</v>
      </c>
      <c r="W1481" t="s">
        <v>14784</v>
      </c>
      <c r="X1481">
        <v>6</v>
      </c>
      <c r="Y1481" t="s">
        <v>21382</v>
      </c>
      <c r="Z1481" t="s">
        <v>27896</v>
      </c>
      <c r="AA1481">
        <v>0.73594621556790918</v>
      </c>
      <c r="AB1481" t="str">
        <f>HYPERLINK("Melting_Curves/meltCurve_O60220_TIMM8A.pdf", "Melting_Curves/meltCurve_O60220_TIMM8A.pdf")</f>
        <v>Melting_Curves/meltCurve_O60220_TIMM8A.pdf</v>
      </c>
    </row>
    <row r="1482" spans="1:28" x14ac:dyDescent="0.25">
      <c r="A1482" t="s">
        <v>1486</v>
      </c>
      <c r="B1482">
        <v>0.99193492352474899</v>
      </c>
      <c r="C1482">
        <v>0.89076089306280504</v>
      </c>
      <c r="D1482">
        <v>0.84063352951595205</v>
      </c>
      <c r="E1482">
        <v>0.54811777841753895</v>
      </c>
      <c r="F1482">
        <v>0.22608447241500099</v>
      </c>
      <c r="G1482">
        <v>0.112949233446329</v>
      </c>
      <c r="H1482">
        <v>7.6075057427517495E-2</v>
      </c>
      <c r="I1482">
        <v>9.3243843340848898E-2</v>
      </c>
      <c r="J1482">
        <v>0.112351251383532</v>
      </c>
      <c r="K1482">
        <v>0.154746666242396</v>
      </c>
      <c r="L1482">
        <v>1075.70270615654</v>
      </c>
      <c r="M1482">
        <v>21.824659071604799</v>
      </c>
      <c r="N1482">
        <v>49.769773837167698</v>
      </c>
      <c r="O1482">
        <v>48.880194997889902</v>
      </c>
      <c r="P1482">
        <v>-0.10100494978765499</v>
      </c>
      <c r="Q1482">
        <v>9.5146832161732503E-2</v>
      </c>
      <c r="R1482">
        <v>0.98986491786282305</v>
      </c>
      <c r="S1482" t="s">
        <v>8152</v>
      </c>
      <c r="T1482" t="s">
        <v>13338</v>
      </c>
      <c r="U1482" t="s">
        <v>13338</v>
      </c>
      <c r="V1482" t="s">
        <v>13338</v>
      </c>
      <c r="W1482" t="s">
        <v>14785</v>
      </c>
      <c r="X1482">
        <v>34</v>
      </c>
      <c r="Y1482" t="s">
        <v>21383</v>
      </c>
      <c r="Z1482" t="s">
        <v>27897</v>
      </c>
      <c r="AA1482">
        <v>0.38590151003855122</v>
      </c>
      <c r="AB1482" t="str">
        <f>HYPERLINK("Melting_Curves/meltCurve_O60231_DHX16.pdf", "Melting_Curves/meltCurve_O60231_DHX16.pdf")</f>
        <v>Melting_Curves/meltCurve_O60231_DHX16.pdf</v>
      </c>
    </row>
    <row r="1483" spans="1:28" x14ac:dyDescent="0.25">
      <c r="A1483" t="s">
        <v>1487</v>
      </c>
      <c r="B1483">
        <v>0.99193492352474899</v>
      </c>
      <c r="C1483">
        <v>0.99455756366053905</v>
      </c>
      <c r="D1483">
        <v>0.90240343726192795</v>
      </c>
      <c r="E1483">
        <v>0.69625302476838502</v>
      </c>
      <c r="F1483">
        <v>0.26851588416666999</v>
      </c>
      <c r="G1483">
        <v>0.13743036705388301</v>
      </c>
      <c r="H1483">
        <v>8.28350934536254E-2</v>
      </c>
      <c r="I1483">
        <v>9.75446129267213E-2</v>
      </c>
      <c r="J1483">
        <v>0.10644439781374</v>
      </c>
      <c r="K1483">
        <v>0.13489759444632701</v>
      </c>
      <c r="L1483">
        <v>1427.26321747117</v>
      </c>
      <c r="M1483">
        <v>28.206659775573399</v>
      </c>
      <c r="N1483">
        <v>51.006468368110397</v>
      </c>
      <c r="O1483">
        <v>50.347914139649497</v>
      </c>
      <c r="P1483">
        <v>-0.12596939024328399</v>
      </c>
      <c r="Q1483">
        <v>0.100603025071999</v>
      </c>
      <c r="R1483">
        <v>0.99673695779420701</v>
      </c>
      <c r="S1483" t="s">
        <v>8153</v>
      </c>
      <c r="T1483" t="s">
        <v>13338</v>
      </c>
      <c r="U1483" t="s">
        <v>13338</v>
      </c>
      <c r="V1483" t="s">
        <v>13338</v>
      </c>
      <c r="W1483" t="s">
        <v>14786</v>
      </c>
      <c r="X1483">
        <v>10</v>
      </c>
      <c r="Y1483" t="s">
        <v>21384</v>
      </c>
      <c r="Z1483" t="s">
        <v>27898</v>
      </c>
      <c r="AA1483">
        <v>0.42475468609898293</v>
      </c>
      <c r="AB1483" t="str">
        <f>HYPERLINK("Melting_Curves/meltCurve_O60234_GMFG.pdf", "Melting_Curves/meltCurve_O60234_GMFG.pdf")</f>
        <v>Melting_Curves/meltCurve_O60234_GMFG.pdf</v>
      </c>
    </row>
    <row r="1484" spans="1:28" x14ac:dyDescent="0.25">
      <c r="A1484" t="s">
        <v>1488</v>
      </c>
      <c r="B1484">
        <v>0.99193492352474899</v>
      </c>
      <c r="C1484">
        <v>0.77430371785941599</v>
      </c>
      <c r="D1484">
        <v>0.88988139994883098</v>
      </c>
      <c r="E1484">
        <v>0.63251691132367704</v>
      </c>
      <c r="F1484">
        <v>0.40149193802938299</v>
      </c>
      <c r="G1484">
        <v>0.217854653539271</v>
      </c>
      <c r="H1484">
        <v>0.102033708090966</v>
      </c>
      <c r="I1484">
        <v>0.100456083736539</v>
      </c>
      <c r="J1484">
        <v>0.12352664012848399</v>
      </c>
      <c r="K1484">
        <v>0.11220288527748901</v>
      </c>
      <c r="L1484">
        <v>701.98055424937297</v>
      </c>
      <c r="M1484">
        <v>13.7983532291468</v>
      </c>
      <c r="N1484">
        <v>51.357074206815199</v>
      </c>
      <c r="O1484">
        <v>49.8413917826174</v>
      </c>
      <c r="P1484">
        <v>-6.5010076494246796E-2</v>
      </c>
      <c r="Q1484">
        <v>6.0833231259784702E-2</v>
      </c>
      <c r="R1484">
        <v>0.969323931168797</v>
      </c>
      <c r="S1484" t="s">
        <v>8154</v>
      </c>
      <c r="T1484" t="s">
        <v>13338</v>
      </c>
      <c r="U1484" t="s">
        <v>13338</v>
      </c>
      <c r="V1484" t="s">
        <v>13338</v>
      </c>
      <c r="W1484" t="s">
        <v>14787</v>
      </c>
      <c r="X1484">
        <v>2</v>
      </c>
      <c r="Y1484" t="s">
        <v>21385</v>
      </c>
      <c r="Z1484" t="s">
        <v>27899</v>
      </c>
      <c r="AA1484">
        <v>0.42621897000693798</v>
      </c>
      <c r="AB1484" t="str">
        <f>HYPERLINK("Melting_Curves/meltCurve_O60239_SH3BP5.pdf", "Melting_Curves/meltCurve_O60239_SH3BP5.pdf")</f>
        <v>Melting_Curves/meltCurve_O60239_SH3BP5.pdf</v>
      </c>
    </row>
    <row r="1485" spans="1:28" x14ac:dyDescent="0.25">
      <c r="A1485" t="s">
        <v>1489</v>
      </c>
      <c r="B1485">
        <v>0.99193492352474899</v>
      </c>
      <c r="C1485">
        <v>0.55947197884137301</v>
      </c>
      <c r="D1485">
        <v>0.90581913839717598</v>
      </c>
      <c r="E1485">
        <v>0.414280494758204</v>
      </c>
      <c r="F1485">
        <v>0.18899471286799799</v>
      </c>
      <c r="G1485">
        <v>8.1973646036118397E-2</v>
      </c>
      <c r="H1485">
        <v>4.1549861091489199E-2</v>
      </c>
      <c r="I1485">
        <v>5.67506637820493E-2</v>
      </c>
      <c r="J1485">
        <v>7.9651341330551698E-2</v>
      </c>
      <c r="K1485">
        <v>6.8141126230927496E-2</v>
      </c>
      <c r="L1485">
        <v>649.01556011481398</v>
      </c>
      <c r="M1485">
        <v>13.4184156235175</v>
      </c>
      <c r="N1485">
        <v>48.475554428453002</v>
      </c>
      <c r="O1485">
        <v>47.331196302998698</v>
      </c>
      <c r="P1485">
        <v>-6.9842039574681394E-2</v>
      </c>
      <c r="Q1485">
        <v>1.4730276787654199E-2</v>
      </c>
      <c r="R1485">
        <v>0.87411753815460003</v>
      </c>
      <c r="S1485" t="s">
        <v>8155</v>
      </c>
      <c r="T1485" t="s">
        <v>13338</v>
      </c>
      <c r="U1485" t="s">
        <v>13338</v>
      </c>
      <c r="V1485" t="s">
        <v>13338</v>
      </c>
      <c r="W1485" t="s">
        <v>14788</v>
      </c>
      <c r="X1485">
        <v>4</v>
      </c>
      <c r="Y1485" t="s">
        <v>21386</v>
      </c>
      <c r="Z1485" t="s">
        <v>27900</v>
      </c>
      <c r="AA1485">
        <v>0.3203524811800823</v>
      </c>
      <c r="AB1485" t="str">
        <f>HYPERLINK("Melting_Curves/meltCurve_O60244_MED14.pdf", "Melting_Curves/meltCurve_O60244_MED14.pdf")</f>
        <v>Melting_Curves/meltCurve_O60244_MED14.pdf</v>
      </c>
    </row>
    <row r="1486" spans="1:28" x14ac:dyDescent="0.25">
      <c r="A1486" t="s">
        <v>1490</v>
      </c>
      <c r="B1486">
        <v>0.99193492352474899</v>
      </c>
      <c r="C1486">
        <v>0.90945724558812002</v>
      </c>
      <c r="D1486">
        <v>0.85748477278089297</v>
      </c>
      <c r="E1486">
        <v>0.78440283444980996</v>
      </c>
      <c r="F1486">
        <v>0.75003050491921097</v>
      </c>
      <c r="G1486">
        <v>0.62691841018515104</v>
      </c>
      <c r="H1486">
        <v>0.35082136669693198</v>
      </c>
      <c r="I1486">
        <v>0.150161401215164</v>
      </c>
      <c r="J1486">
        <v>0.12546345356478</v>
      </c>
      <c r="K1486">
        <v>8.1038446790219806E-2</v>
      </c>
      <c r="L1486">
        <v>675.52000710012896</v>
      </c>
      <c r="M1486">
        <v>11.7797270774086</v>
      </c>
      <c r="N1486">
        <v>57.345976883173599</v>
      </c>
      <c r="O1486">
        <v>55.768162339034397</v>
      </c>
      <c r="P1486">
        <v>-5.2820348701132003E-2</v>
      </c>
      <c r="Q1486">
        <v>0</v>
      </c>
      <c r="R1486">
        <v>0.96601398375705405</v>
      </c>
      <c r="S1486" t="s">
        <v>8156</v>
      </c>
      <c r="T1486" t="s">
        <v>13338</v>
      </c>
      <c r="U1486" t="s">
        <v>13338</v>
      </c>
      <c r="V1486" t="s">
        <v>13338</v>
      </c>
      <c r="W1486" t="s">
        <v>14789</v>
      </c>
      <c r="X1486">
        <v>17</v>
      </c>
      <c r="Y1486" t="s">
        <v>21387</v>
      </c>
      <c r="Z1486" t="s">
        <v>27901</v>
      </c>
      <c r="AA1486">
        <v>0.59359376042417178</v>
      </c>
      <c r="AB1486" t="str">
        <f>HYPERLINK("Melting_Curves/meltCurve_O60256_PRPSAP2.pdf", "Melting_Curves/meltCurve_O60256_PRPSAP2.pdf")</f>
        <v>Melting_Curves/meltCurve_O60256_PRPSAP2.pdf</v>
      </c>
    </row>
    <row r="1487" spans="1:28" x14ac:dyDescent="0.25">
      <c r="A1487" t="s">
        <v>1491</v>
      </c>
      <c r="B1487">
        <v>0.99193492352474899</v>
      </c>
      <c r="C1487">
        <v>1.08622877345281</v>
      </c>
      <c r="D1487">
        <v>1.02701282695986</v>
      </c>
      <c r="E1487">
        <v>0.971656904581501</v>
      </c>
      <c r="F1487">
        <v>0.95258516916180702</v>
      </c>
      <c r="G1487">
        <v>0.67663866702488096</v>
      </c>
      <c r="H1487">
        <v>0.45261443520525002</v>
      </c>
      <c r="I1487">
        <v>0.38987436469000902</v>
      </c>
      <c r="J1487">
        <v>0.71265956833655297</v>
      </c>
      <c r="K1487">
        <v>0.49172136000368399</v>
      </c>
      <c r="L1487">
        <v>2983.8089109096099</v>
      </c>
      <c r="M1487">
        <v>53.295113739761902</v>
      </c>
      <c r="O1487">
        <v>55.907891958752003</v>
      </c>
      <c r="P1487">
        <v>-0.116432005021966</v>
      </c>
      <c r="Q1487">
        <v>0.51144023166311203</v>
      </c>
      <c r="R1487">
        <v>0.888420962286807</v>
      </c>
      <c r="S1487" t="s">
        <v>8157</v>
      </c>
      <c r="T1487" t="s">
        <v>13338</v>
      </c>
      <c r="U1487" t="s">
        <v>13338</v>
      </c>
      <c r="V1487" t="s">
        <v>13338</v>
      </c>
      <c r="W1487" t="s">
        <v>14790</v>
      </c>
      <c r="X1487">
        <v>3</v>
      </c>
      <c r="Y1487" t="s">
        <v>21388</v>
      </c>
      <c r="Z1487" t="s">
        <v>27902</v>
      </c>
      <c r="AA1487">
        <v>0.77284679850751581</v>
      </c>
      <c r="AB1487" t="str">
        <f>HYPERLINK("Melting_Curves/meltCurve_O60262_GNG7.pdf", "Melting_Curves/meltCurve_O60262_GNG7.pdf")</f>
        <v>Melting_Curves/meltCurve_O60262_GNG7.pdf</v>
      </c>
    </row>
    <row r="1488" spans="1:28" x14ac:dyDescent="0.25">
      <c r="A1488" t="s">
        <v>1492</v>
      </c>
      <c r="B1488">
        <v>0.99193492352474899</v>
      </c>
      <c r="C1488">
        <v>0.40661147977796802</v>
      </c>
      <c r="D1488">
        <v>0.61213975105311502</v>
      </c>
      <c r="E1488">
        <v>0.173950951970888</v>
      </c>
      <c r="F1488">
        <v>0.126197192213859</v>
      </c>
      <c r="G1488">
        <v>7.3626438395250501E-2</v>
      </c>
      <c r="H1488">
        <v>3.8261723162230803E-2</v>
      </c>
      <c r="I1488">
        <v>5.2365800643660899E-2</v>
      </c>
      <c r="J1488">
        <v>6.5055694474984493E-2</v>
      </c>
      <c r="K1488">
        <v>0.26299357826268299</v>
      </c>
      <c r="L1488">
        <v>685.516260099752</v>
      </c>
      <c r="M1488">
        <v>15.530060877024599</v>
      </c>
      <c r="N1488">
        <v>44.697210024947204</v>
      </c>
      <c r="O1488">
        <v>43.428766463969403</v>
      </c>
      <c r="P1488">
        <v>-8.1554764961083701E-2</v>
      </c>
      <c r="Q1488">
        <v>8.7830559166820199E-2</v>
      </c>
      <c r="R1488">
        <v>0.81382791173481706</v>
      </c>
      <c r="S1488" t="s">
        <v>8158</v>
      </c>
      <c r="T1488" t="s">
        <v>13338</v>
      </c>
      <c r="U1488" t="s">
        <v>13338</v>
      </c>
      <c r="V1488" t="s">
        <v>13338</v>
      </c>
      <c r="W1488" t="s">
        <v>14791</v>
      </c>
      <c r="X1488">
        <v>31</v>
      </c>
      <c r="Y1488" t="s">
        <v>21389</v>
      </c>
      <c r="Z1488" t="s">
        <v>27903</v>
      </c>
      <c r="AA1488">
        <v>0.2439731218951183</v>
      </c>
      <c r="AB1488" t="str">
        <f>HYPERLINK("Melting_Curves/meltCurve_O60264_SMARCA5.pdf", "Melting_Curves/meltCurve_O60264_SMARCA5.pdf")</f>
        <v>Melting_Curves/meltCurve_O60264_SMARCA5.pdf</v>
      </c>
    </row>
    <row r="1489" spans="1:28" x14ac:dyDescent="0.25">
      <c r="A1489" t="s">
        <v>1493</v>
      </c>
      <c r="B1489">
        <v>0.99193492352474899</v>
      </c>
      <c r="C1489">
        <v>0.82574176391444198</v>
      </c>
      <c r="D1489">
        <v>0.93947163030300795</v>
      </c>
      <c r="E1489">
        <v>0.372714310676236</v>
      </c>
      <c r="F1489">
        <v>0.19082149615831601</v>
      </c>
      <c r="G1489">
        <v>0.105285315995802</v>
      </c>
      <c r="H1489">
        <v>7.4951880217296402E-2</v>
      </c>
      <c r="I1489">
        <v>8.7904805811790498E-2</v>
      </c>
      <c r="J1489">
        <v>0.10155220104299099</v>
      </c>
      <c r="K1489">
        <v>0.122079615458717</v>
      </c>
      <c r="L1489">
        <v>1759.2274310822399</v>
      </c>
      <c r="M1489">
        <v>36.201663996088001</v>
      </c>
      <c r="N1489">
        <v>48.911455809954496</v>
      </c>
      <c r="O1489">
        <v>48.447640324180398</v>
      </c>
      <c r="P1489">
        <v>-0.16731587933764</v>
      </c>
      <c r="Q1489">
        <v>0.10434674452619</v>
      </c>
      <c r="R1489">
        <v>0.974125082074487</v>
      </c>
      <c r="S1489" t="s">
        <v>8159</v>
      </c>
      <c r="T1489" t="s">
        <v>13338</v>
      </c>
      <c r="U1489" t="s">
        <v>13338</v>
      </c>
      <c r="V1489" t="s">
        <v>13338</v>
      </c>
      <c r="W1489" t="s">
        <v>14792</v>
      </c>
      <c r="X1489">
        <v>28</v>
      </c>
      <c r="Y1489" t="s">
        <v>21390</v>
      </c>
      <c r="Z1489" t="s">
        <v>27904</v>
      </c>
      <c r="AA1489">
        <v>0.36464840733521908</v>
      </c>
      <c r="AB1489" t="str">
        <f>HYPERLINK("Melting_Curves/meltCurve_O60271_4_SPAG9.pdf", "Melting_Curves/meltCurve_O60271_4_SPAG9.pdf")</f>
        <v>Melting_Curves/meltCurve_O60271_4_SPAG9.pdf</v>
      </c>
    </row>
    <row r="1490" spans="1:28" x14ac:dyDescent="0.25">
      <c r="A1490" t="s">
        <v>1494</v>
      </c>
      <c r="B1490">
        <v>0.99193492352474899</v>
      </c>
      <c r="C1490">
        <v>0.84968550012118405</v>
      </c>
      <c r="D1490">
        <v>0.72156744368217496</v>
      </c>
      <c r="E1490">
        <v>0.41233382471702301</v>
      </c>
      <c r="F1490">
        <v>0.23385293346578701</v>
      </c>
      <c r="G1490">
        <v>0.105662510995414</v>
      </c>
      <c r="H1490">
        <v>0.36982898052296198</v>
      </c>
      <c r="I1490">
        <v>0.18018374026525899</v>
      </c>
      <c r="J1490">
        <v>0.12248196073974101</v>
      </c>
      <c r="K1490">
        <v>1.9865400365795E-2</v>
      </c>
      <c r="L1490">
        <v>840.42048562692696</v>
      </c>
      <c r="M1490">
        <v>17.690684254237102</v>
      </c>
      <c r="N1490">
        <v>48.413094122139498</v>
      </c>
      <c r="O1490">
        <v>46.911848993122497</v>
      </c>
      <c r="P1490">
        <v>-8.0986416747340098E-2</v>
      </c>
      <c r="Q1490">
        <v>0.14101234467951301</v>
      </c>
      <c r="R1490">
        <v>0.93160936075747303</v>
      </c>
      <c r="S1490" t="s">
        <v>8160</v>
      </c>
      <c r="T1490" t="s">
        <v>13338</v>
      </c>
      <c r="U1490" t="s">
        <v>13338</v>
      </c>
      <c r="V1490" t="s">
        <v>13338</v>
      </c>
      <c r="W1490" t="s">
        <v>14793</v>
      </c>
      <c r="X1490">
        <v>3</v>
      </c>
      <c r="Y1490" t="s">
        <v>21391</v>
      </c>
      <c r="Z1490" t="s">
        <v>27905</v>
      </c>
      <c r="AA1490">
        <v>0.37202602602598411</v>
      </c>
      <c r="AB1490" t="str">
        <f>HYPERLINK("Melting_Curves/meltCurve_O60287_URB1.pdf", "Melting_Curves/meltCurve_O60287_URB1.pdf")</f>
        <v>Melting_Curves/meltCurve_O60287_URB1.pdf</v>
      </c>
    </row>
    <row r="1491" spans="1:28" x14ac:dyDescent="0.25">
      <c r="A1491" t="s">
        <v>1495</v>
      </c>
      <c r="B1491">
        <v>0.99193492352474899</v>
      </c>
      <c r="C1491">
        <v>1.0547391869384299</v>
      </c>
      <c r="D1491">
        <v>0.80374440952693904</v>
      </c>
      <c r="E1491">
        <v>0.35612384307464201</v>
      </c>
      <c r="F1491">
        <v>0.17192438784035999</v>
      </c>
      <c r="G1491">
        <v>0.10246970564676899</v>
      </c>
      <c r="H1491">
        <v>8.4103817828840799E-2</v>
      </c>
      <c r="I1491">
        <v>9.5006376237909307E-2</v>
      </c>
      <c r="J1491">
        <v>0.120315016928877</v>
      </c>
      <c r="K1491">
        <v>0.17301510108811299</v>
      </c>
      <c r="L1491">
        <v>1519.0437932535499</v>
      </c>
      <c r="M1491">
        <v>31.642036895432099</v>
      </c>
      <c r="N1491">
        <v>48.414304048302597</v>
      </c>
      <c r="O1491">
        <v>47.816613859526399</v>
      </c>
      <c r="P1491">
        <v>-0.14610878540573</v>
      </c>
      <c r="Q1491">
        <v>0.11682160888068401</v>
      </c>
      <c r="R1491">
        <v>0.99181858552556001</v>
      </c>
      <c r="S1491" t="s">
        <v>8161</v>
      </c>
      <c r="T1491" t="s">
        <v>13338</v>
      </c>
      <c r="U1491" t="s">
        <v>13338</v>
      </c>
      <c r="V1491" t="s">
        <v>13338</v>
      </c>
      <c r="W1491" t="s">
        <v>14794</v>
      </c>
      <c r="X1491">
        <v>5</v>
      </c>
      <c r="Y1491" t="s">
        <v>21392</v>
      </c>
      <c r="Z1491" t="s">
        <v>27906</v>
      </c>
      <c r="AA1491">
        <v>0.35730347468408369</v>
      </c>
      <c r="AB1491" t="str">
        <f>HYPERLINK("Melting_Curves/meltCurve_O60294_LCMT2.pdf", "Melting_Curves/meltCurve_O60294_LCMT2.pdf")</f>
        <v>Melting_Curves/meltCurve_O60294_LCMT2.pdf</v>
      </c>
    </row>
    <row r="1492" spans="1:28" x14ac:dyDescent="0.25">
      <c r="A1492" t="s">
        <v>1496</v>
      </c>
      <c r="B1492">
        <v>0.99193492352474899</v>
      </c>
      <c r="C1492">
        <v>0.73288266602371999</v>
      </c>
      <c r="D1492">
        <v>0.56973919258428996</v>
      </c>
      <c r="E1492">
        <v>0.387059412728055</v>
      </c>
      <c r="F1492">
        <v>0.25764190934616998</v>
      </c>
      <c r="G1492">
        <v>0.118246568078923</v>
      </c>
      <c r="H1492">
        <v>6.5686627159100203E-2</v>
      </c>
      <c r="I1492">
        <v>8.7698670427379097E-2</v>
      </c>
      <c r="J1492">
        <v>9.2025353332490706E-2</v>
      </c>
      <c r="K1492">
        <v>8.9399684455014394E-2</v>
      </c>
      <c r="L1492">
        <v>621.02985944032002</v>
      </c>
      <c r="M1492">
        <v>13.2622762685958</v>
      </c>
      <c r="N1492">
        <v>47.299639540088997</v>
      </c>
      <c r="O1492">
        <v>45.800573917517099</v>
      </c>
      <c r="P1492">
        <v>-6.79082188774697E-2</v>
      </c>
      <c r="Q1492">
        <v>6.2083950944584597E-2</v>
      </c>
      <c r="R1492">
        <v>0.98534352952382098</v>
      </c>
      <c r="S1492" t="s">
        <v>8162</v>
      </c>
      <c r="T1492" t="s">
        <v>13338</v>
      </c>
      <c r="U1492" t="s">
        <v>13338</v>
      </c>
      <c r="V1492" t="s">
        <v>13338</v>
      </c>
      <c r="W1492" t="s">
        <v>14795</v>
      </c>
      <c r="X1492">
        <v>22</v>
      </c>
      <c r="Y1492" t="s">
        <v>21393</v>
      </c>
      <c r="Z1492" t="s">
        <v>27907</v>
      </c>
      <c r="AA1492">
        <v>0.308523277054713</v>
      </c>
      <c r="AB1492" t="str">
        <f>HYPERLINK("Melting_Curves/meltCurve_O60306_AQR.pdf", "Melting_Curves/meltCurve_O60306_AQR.pdf")</f>
        <v>Melting_Curves/meltCurve_O60306_AQR.pdf</v>
      </c>
    </row>
    <row r="1493" spans="1:28" x14ac:dyDescent="0.25">
      <c r="A1493" t="s">
        <v>1497</v>
      </c>
      <c r="B1493">
        <v>0.99193492352474899</v>
      </c>
      <c r="C1493">
        <v>0.86664199921646401</v>
      </c>
      <c r="D1493">
        <v>0.763392630592165</v>
      </c>
      <c r="E1493">
        <v>0.347137201197523</v>
      </c>
      <c r="F1493">
        <v>0.27772696704630301</v>
      </c>
      <c r="G1493">
        <v>0.142902257326432</v>
      </c>
      <c r="H1493">
        <v>0.10937640285736799</v>
      </c>
      <c r="I1493">
        <v>0.14975543075050901</v>
      </c>
      <c r="J1493">
        <v>0.173431173066736</v>
      </c>
      <c r="K1493">
        <v>0.134200020664931</v>
      </c>
      <c r="L1493">
        <v>988.33636520963398</v>
      </c>
      <c r="M1493">
        <v>20.779942167939598</v>
      </c>
      <c r="N1493">
        <v>48.314740634718198</v>
      </c>
      <c r="O1493">
        <v>47.128151417510502</v>
      </c>
      <c r="P1493">
        <v>-9.4991017715858994E-2</v>
      </c>
      <c r="Q1493">
        <v>0.13827978884335401</v>
      </c>
      <c r="R1493">
        <v>0.98716697245219198</v>
      </c>
      <c r="S1493" t="s">
        <v>8163</v>
      </c>
      <c r="T1493" t="s">
        <v>13338</v>
      </c>
      <c r="U1493" t="s">
        <v>13338</v>
      </c>
      <c r="V1493" t="s">
        <v>13338</v>
      </c>
      <c r="W1493" t="s">
        <v>14796</v>
      </c>
      <c r="X1493">
        <v>3</v>
      </c>
      <c r="Y1493" t="s">
        <v>21394</v>
      </c>
      <c r="Z1493" t="s">
        <v>27908</v>
      </c>
      <c r="AA1493">
        <v>0.36688569997273701</v>
      </c>
      <c r="AB1493" t="str">
        <f>HYPERLINK("Melting_Curves/meltCurve_O60307_MAST3.pdf", "Melting_Curves/meltCurve_O60307_MAST3.pdf")</f>
        <v>Melting_Curves/meltCurve_O60307_MAST3.pdf</v>
      </c>
    </row>
    <row r="1494" spans="1:28" x14ac:dyDescent="0.25">
      <c r="A1494" t="s">
        <v>1498</v>
      </c>
      <c r="B1494">
        <v>0.99193492352474899</v>
      </c>
      <c r="C1494">
        <v>0.99870994980837302</v>
      </c>
      <c r="D1494">
        <v>0.97789262000825095</v>
      </c>
      <c r="E1494">
        <v>0.566661260258572</v>
      </c>
      <c r="F1494">
        <v>0.238406647633118</v>
      </c>
      <c r="G1494">
        <v>0.14909065894790699</v>
      </c>
      <c r="H1494">
        <v>9.4937012334661702E-2</v>
      </c>
      <c r="I1494">
        <v>0.110613989486525</v>
      </c>
      <c r="J1494">
        <v>0.12055773952339401</v>
      </c>
      <c r="K1494">
        <v>0.114829860579905</v>
      </c>
      <c r="L1494">
        <v>1605.3346058980101</v>
      </c>
      <c r="M1494">
        <v>32.242847573635899</v>
      </c>
      <c r="N1494">
        <v>50.202768975713099</v>
      </c>
      <c r="O1494">
        <v>49.598509853541799</v>
      </c>
      <c r="P1494">
        <v>-0.14355119093683999</v>
      </c>
      <c r="Q1494">
        <v>0.116716930427604</v>
      </c>
      <c r="R1494">
        <v>0.99788535934292799</v>
      </c>
      <c r="S1494" t="s">
        <v>8164</v>
      </c>
      <c r="T1494" t="s">
        <v>13338</v>
      </c>
      <c r="U1494" t="s">
        <v>13338</v>
      </c>
      <c r="V1494" t="s">
        <v>13338</v>
      </c>
      <c r="W1494" t="s">
        <v>14797</v>
      </c>
      <c r="X1494">
        <v>37</v>
      </c>
      <c r="Y1494" t="s">
        <v>21395</v>
      </c>
      <c r="Z1494" t="s">
        <v>27909</v>
      </c>
      <c r="AA1494">
        <v>0.40963216698885763</v>
      </c>
      <c r="AB1494" t="str">
        <f>HYPERLINK("Melting_Curves/meltCurve_O60313_2_OPA1.pdf", "Melting_Curves/meltCurve_O60313_2_OPA1.pdf")</f>
        <v>Melting_Curves/meltCurve_O60313_2_OPA1.pdf</v>
      </c>
    </row>
    <row r="1495" spans="1:28" x14ac:dyDescent="0.25">
      <c r="A1495" t="s">
        <v>1499</v>
      </c>
      <c r="B1495">
        <v>0.99193492352474899</v>
      </c>
      <c r="C1495">
        <v>1.0744029767829399</v>
      </c>
      <c r="D1495">
        <v>0.96346562391052903</v>
      </c>
      <c r="E1495">
        <v>0.53427074366053795</v>
      </c>
      <c r="F1495">
        <v>0.20907665454973301</v>
      </c>
      <c r="G1495">
        <v>0.106167382869483</v>
      </c>
      <c r="H1495">
        <v>4.0140062954440198E-2</v>
      </c>
      <c r="I1495">
        <v>9.6867431969313699E-3</v>
      </c>
      <c r="J1495">
        <v>3.2342173406679497E-2</v>
      </c>
      <c r="K1495">
        <v>0</v>
      </c>
      <c r="L1495">
        <v>1383.5874280502301</v>
      </c>
      <c r="M1495">
        <v>27.668950281846001</v>
      </c>
      <c r="N1495">
        <v>50.118048665909598</v>
      </c>
      <c r="O1495">
        <v>49.746039846556798</v>
      </c>
      <c r="P1495">
        <v>-0.134847745491468</v>
      </c>
      <c r="Q1495">
        <v>3.0237002427154699E-2</v>
      </c>
      <c r="R1495">
        <v>0.992350065959828</v>
      </c>
      <c r="S1495" t="s">
        <v>8165</v>
      </c>
      <c r="T1495" t="s">
        <v>13338</v>
      </c>
      <c r="U1495" t="s">
        <v>13338</v>
      </c>
      <c r="V1495" t="s">
        <v>13338</v>
      </c>
      <c r="W1495" t="s">
        <v>14798</v>
      </c>
      <c r="X1495">
        <v>2</v>
      </c>
      <c r="Y1495" t="s">
        <v>21396</v>
      </c>
      <c r="Z1495" t="s">
        <v>27910</v>
      </c>
      <c r="AA1495">
        <v>0.36071949051817831</v>
      </c>
      <c r="AB1495" t="str">
        <f>HYPERLINK("Melting_Curves/meltCurve_O60331_4_PIP5K1C.pdf", "Melting_Curves/meltCurve_O60331_4_PIP5K1C.pdf")</f>
        <v>Melting_Curves/meltCurve_O60331_4_PIP5K1C.pdf</v>
      </c>
    </row>
    <row r="1496" spans="1:28" x14ac:dyDescent="0.25">
      <c r="A1496" t="s">
        <v>1500</v>
      </c>
      <c r="B1496">
        <v>0.99193492352474899</v>
      </c>
      <c r="C1496">
        <v>0.92850623222836404</v>
      </c>
      <c r="D1496">
        <v>0.79292334384072205</v>
      </c>
      <c r="E1496">
        <v>0.58180652892207296</v>
      </c>
      <c r="F1496">
        <v>0.28247608863289098</v>
      </c>
      <c r="G1496">
        <v>0.12663574389021401</v>
      </c>
      <c r="H1496">
        <v>7.6298611867510802E-2</v>
      </c>
      <c r="I1496">
        <v>9.6570112185367402E-2</v>
      </c>
      <c r="J1496">
        <v>0.12653198469646401</v>
      </c>
      <c r="K1496">
        <v>0.124991526609161</v>
      </c>
      <c r="L1496">
        <v>919.86315088786398</v>
      </c>
      <c r="M1496">
        <v>18.563022469781501</v>
      </c>
      <c r="N1496">
        <v>50.068560123753201</v>
      </c>
      <c r="O1496">
        <v>48.989192670249601</v>
      </c>
      <c r="P1496">
        <v>-8.6500660010404198E-2</v>
      </c>
      <c r="Q1496">
        <v>8.69134239399664E-2</v>
      </c>
      <c r="R1496">
        <v>0.99315005049018901</v>
      </c>
      <c r="S1496" t="s">
        <v>8166</v>
      </c>
      <c r="T1496" t="s">
        <v>13338</v>
      </c>
      <c r="U1496" t="s">
        <v>13338</v>
      </c>
      <c r="V1496" t="s">
        <v>13338</v>
      </c>
      <c r="W1496" t="s">
        <v>14799</v>
      </c>
      <c r="X1496">
        <v>9</v>
      </c>
      <c r="Y1496" t="s">
        <v>21397</v>
      </c>
      <c r="Z1496" t="s">
        <v>27911</v>
      </c>
      <c r="AA1496">
        <v>0.3924425252002518</v>
      </c>
      <c r="AB1496" t="str">
        <f>HYPERLINK("Melting_Curves/meltCurve_O60333_2_KIF1B.pdf", "Melting_Curves/meltCurve_O60333_2_KIF1B.pdf")</f>
        <v>Melting_Curves/meltCurve_O60333_2_KIF1B.pdf</v>
      </c>
    </row>
    <row r="1497" spans="1:28" x14ac:dyDescent="0.25">
      <c r="A1497" t="s">
        <v>1501</v>
      </c>
      <c r="B1497">
        <v>0.99193492352474899</v>
      </c>
      <c r="C1497">
        <v>0.67053849853005099</v>
      </c>
      <c r="D1497">
        <v>0.58728673222231298</v>
      </c>
      <c r="E1497">
        <v>0.29330356161465199</v>
      </c>
      <c r="F1497">
        <v>0.136448926213836</v>
      </c>
      <c r="G1497">
        <v>8.0206539400233604E-2</v>
      </c>
      <c r="H1497">
        <v>4.9348141963209399E-2</v>
      </c>
      <c r="I1497">
        <v>5.4023620334111899E-2</v>
      </c>
      <c r="J1497">
        <v>6.8576392485165297E-2</v>
      </c>
      <c r="K1497">
        <v>7.0778228621264802E-2</v>
      </c>
      <c r="L1497">
        <v>702.49054721447601</v>
      </c>
      <c r="M1497">
        <v>15.230593672083801</v>
      </c>
      <c r="N1497">
        <v>46.403149601978697</v>
      </c>
      <c r="O1497">
        <v>45.350431411944399</v>
      </c>
      <c r="P1497">
        <v>-8.0288353275938196E-2</v>
      </c>
      <c r="Q1497">
        <v>4.3828297130549802E-2</v>
      </c>
      <c r="R1497">
        <v>0.97970306178136302</v>
      </c>
      <c r="S1497" t="s">
        <v>8167</v>
      </c>
      <c r="T1497" t="s">
        <v>13338</v>
      </c>
      <c r="U1497" t="s">
        <v>13338</v>
      </c>
      <c r="V1497" t="s">
        <v>13338</v>
      </c>
      <c r="W1497" t="s">
        <v>14800</v>
      </c>
      <c r="X1497">
        <v>27</v>
      </c>
      <c r="Y1497" t="s">
        <v>21398</v>
      </c>
      <c r="Z1497" t="s">
        <v>27912</v>
      </c>
      <c r="AA1497">
        <v>0.26577413311933451</v>
      </c>
      <c r="AB1497" t="str">
        <f>HYPERLINK("Melting_Curves/meltCurve_O60341_KDM1A.pdf", "Melting_Curves/meltCurve_O60341_KDM1A.pdf")</f>
        <v>Melting_Curves/meltCurve_O60341_KDM1A.pdf</v>
      </c>
    </row>
    <row r="1498" spans="1:28" x14ac:dyDescent="0.25">
      <c r="A1498" t="s">
        <v>1502</v>
      </c>
      <c r="B1498">
        <v>0.99193492352474899</v>
      </c>
      <c r="C1498">
        <v>0.80417185058139096</v>
      </c>
      <c r="D1498">
        <v>0.88246347105029099</v>
      </c>
      <c r="E1498">
        <v>0.508158725392995</v>
      </c>
      <c r="F1498">
        <v>0.27992306051617799</v>
      </c>
      <c r="G1498">
        <v>0.15724201930392201</v>
      </c>
      <c r="H1498">
        <v>8.7202741725854405E-2</v>
      </c>
      <c r="I1498">
        <v>0.107661305507259</v>
      </c>
      <c r="J1498">
        <v>0.13241995437238399</v>
      </c>
      <c r="K1498">
        <v>0.15693252148682099</v>
      </c>
      <c r="L1498">
        <v>931.80054431182498</v>
      </c>
      <c r="M1498">
        <v>18.949031329488101</v>
      </c>
      <c r="N1498">
        <v>49.811097431318402</v>
      </c>
      <c r="O1498">
        <v>48.6362073474995</v>
      </c>
      <c r="P1498">
        <v>-8.6924224358505706E-2</v>
      </c>
      <c r="Q1498">
        <v>0.10760735530731499</v>
      </c>
      <c r="R1498">
        <v>0.97323331662895496</v>
      </c>
      <c r="S1498" t="s">
        <v>8168</v>
      </c>
      <c r="T1498" t="s">
        <v>13338</v>
      </c>
      <c r="U1498" t="s">
        <v>13338</v>
      </c>
      <c r="V1498" t="s">
        <v>13338</v>
      </c>
      <c r="W1498" t="s">
        <v>14801</v>
      </c>
      <c r="X1498">
        <v>10</v>
      </c>
      <c r="Y1498" t="s">
        <v>21399</v>
      </c>
      <c r="Z1498" t="s">
        <v>27913</v>
      </c>
      <c r="AA1498">
        <v>0.39441383462615093</v>
      </c>
      <c r="AB1498" t="str">
        <f>HYPERLINK("Melting_Curves/meltCurve_O60343_2_TBC1D4.pdf", "Melting_Curves/meltCurve_O60343_2_TBC1D4.pdf")</f>
        <v>Melting_Curves/meltCurve_O60343_2_TBC1D4.pdf</v>
      </c>
    </row>
    <row r="1499" spans="1:28" x14ac:dyDescent="0.25">
      <c r="A1499" t="s">
        <v>1503</v>
      </c>
      <c r="B1499">
        <v>0.99193492352474899</v>
      </c>
      <c r="C1499">
        <v>0.70824719363959798</v>
      </c>
      <c r="D1499">
        <v>0.374776775006814</v>
      </c>
      <c r="E1499">
        <v>0.24187019210675301</v>
      </c>
      <c r="F1499">
        <v>0.18331941225060699</v>
      </c>
      <c r="G1499">
        <v>0.110662993775897</v>
      </c>
      <c r="H1499">
        <v>8.7812592788787003E-2</v>
      </c>
      <c r="I1499">
        <v>9.3265418640895395E-2</v>
      </c>
      <c r="J1499">
        <v>9.6118637637893398E-2</v>
      </c>
      <c r="K1499">
        <v>0.102771170409694</v>
      </c>
      <c r="L1499">
        <v>967.58948786829205</v>
      </c>
      <c r="M1499">
        <v>21.746966197480099</v>
      </c>
      <c r="N1499">
        <v>45.005919005281299</v>
      </c>
      <c r="O1499">
        <v>44.1219810079835</v>
      </c>
      <c r="P1499">
        <v>-0.109700570728993</v>
      </c>
      <c r="Q1499">
        <v>0.109743703432675</v>
      </c>
      <c r="R1499">
        <v>0.987586242099603</v>
      </c>
      <c r="S1499" t="s">
        <v>8169</v>
      </c>
      <c r="T1499" t="s">
        <v>13338</v>
      </c>
      <c r="U1499" t="s">
        <v>13338</v>
      </c>
      <c r="V1499" t="s">
        <v>13338</v>
      </c>
      <c r="W1499" t="s">
        <v>14802</v>
      </c>
      <c r="X1499">
        <v>2</v>
      </c>
      <c r="Y1499" t="s">
        <v>21400</v>
      </c>
      <c r="Z1499" t="s">
        <v>27914</v>
      </c>
      <c r="AA1499">
        <v>0.25626745762926861</v>
      </c>
      <c r="AB1499" t="str">
        <f>HYPERLINK("Melting_Curves/meltCurve_O60344_4_ECE2.pdf", "Melting_Curves/meltCurve_O60344_4_ECE2.pdf")</f>
        <v>Melting_Curves/meltCurve_O60344_4_ECE2.pdf</v>
      </c>
    </row>
    <row r="1500" spans="1:28" x14ac:dyDescent="0.25">
      <c r="A1500" t="s">
        <v>1504</v>
      </c>
      <c r="B1500">
        <v>0.99193492352474899</v>
      </c>
      <c r="C1500">
        <v>1.3796495066282599</v>
      </c>
      <c r="D1500">
        <v>0.93622858474390802</v>
      </c>
      <c r="E1500">
        <v>0.72770517320425399</v>
      </c>
      <c r="F1500">
        <v>0.48484560461846499</v>
      </c>
      <c r="G1500">
        <v>0.388717666672726</v>
      </c>
      <c r="H1500">
        <v>0.31375865556431598</v>
      </c>
      <c r="I1500">
        <v>0.41914391294091902</v>
      </c>
      <c r="J1500">
        <v>0.34171970105200999</v>
      </c>
      <c r="K1500">
        <v>0.41426977063637699</v>
      </c>
      <c r="L1500">
        <v>1597.8301695677801</v>
      </c>
      <c r="M1500">
        <v>31.878906294374101</v>
      </c>
      <c r="N1500">
        <v>52.404527756730502</v>
      </c>
      <c r="O1500">
        <v>49.925858613910101</v>
      </c>
      <c r="P1500">
        <v>-9.9724221803975596E-2</v>
      </c>
      <c r="Q1500">
        <v>0.37528685943448598</v>
      </c>
      <c r="R1500">
        <v>0.863653006701248</v>
      </c>
      <c r="S1500" t="s">
        <v>8170</v>
      </c>
      <c r="T1500" t="s">
        <v>13338</v>
      </c>
      <c r="U1500" t="s">
        <v>13338</v>
      </c>
      <c r="V1500" t="s">
        <v>13338</v>
      </c>
      <c r="W1500" t="s">
        <v>14803</v>
      </c>
      <c r="X1500">
        <v>4</v>
      </c>
      <c r="Y1500" t="s">
        <v>21401</v>
      </c>
      <c r="Z1500" t="s">
        <v>27915</v>
      </c>
      <c r="AA1500">
        <v>0.58948642159807962</v>
      </c>
      <c r="AB1500" t="str">
        <f>HYPERLINK("Melting_Curves/meltCurve_O60353_2_FZD6.pdf", "Melting_Curves/meltCurve_O60353_2_FZD6.pdf")</f>
        <v>Melting_Curves/meltCurve_O60353_2_FZD6.pdf</v>
      </c>
    </row>
    <row r="1501" spans="1:28" x14ac:dyDescent="0.25">
      <c r="A1501" t="s">
        <v>1505</v>
      </c>
      <c r="B1501">
        <v>0.99193492352474899</v>
      </c>
      <c r="C1501">
        <v>0.77572707142548603</v>
      </c>
      <c r="D1501">
        <v>0.658512492420256</v>
      </c>
      <c r="E1501">
        <v>0.67404096958397697</v>
      </c>
      <c r="F1501">
        <v>0.455111729482648</v>
      </c>
      <c r="G1501">
        <v>0.36818077060620502</v>
      </c>
      <c r="H1501">
        <v>0.31302970307067102</v>
      </c>
      <c r="I1501">
        <v>0.67451156222754005</v>
      </c>
      <c r="J1501">
        <v>1.4548219294114799</v>
      </c>
      <c r="K1501">
        <v>4.0669246024991397</v>
      </c>
      <c r="L1501">
        <v>15000</v>
      </c>
      <c r="M1501">
        <v>225.84464051089699</v>
      </c>
      <c r="O1501">
        <v>66.412139227471002</v>
      </c>
      <c r="P1501">
        <v>0.42508167943822001</v>
      </c>
      <c r="Q1501">
        <v>1.5</v>
      </c>
      <c r="R1501">
        <v>0.26971293494971099</v>
      </c>
      <c r="S1501" t="s">
        <v>8171</v>
      </c>
      <c r="T1501" t="s">
        <v>13338</v>
      </c>
      <c r="U1501" t="s">
        <v>13338</v>
      </c>
      <c r="V1501" t="s">
        <v>13338</v>
      </c>
      <c r="W1501" t="s">
        <v>14804</v>
      </c>
      <c r="X1501">
        <v>12</v>
      </c>
      <c r="Y1501" t="s">
        <v>21402</v>
      </c>
      <c r="Z1501" t="s">
        <v>27916</v>
      </c>
      <c r="AA1501">
        <v>1.059639654994847</v>
      </c>
      <c r="AB1501" t="str">
        <f>HYPERLINK("Melting_Curves/meltCurve_O60361_NME2P1.pdf", "Melting_Curves/meltCurve_O60361_NME2P1.pdf")</f>
        <v>Melting_Curves/meltCurve_O60361_NME2P1.pdf</v>
      </c>
    </row>
    <row r="1502" spans="1:28" x14ac:dyDescent="0.25">
      <c r="A1502" t="s">
        <v>1506</v>
      </c>
      <c r="B1502">
        <v>0.99193492352474899</v>
      </c>
      <c r="C1502">
        <v>1.0153839006874901</v>
      </c>
      <c r="D1502">
        <v>1.0727505135783799</v>
      </c>
      <c r="E1502">
        <v>0.736037712817738</v>
      </c>
      <c r="F1502">
        <v>0.413373110118881</v>
      </c>
      <c r="G1502">
        <v>0.18690072649719899</v>
      </c>
      <c r="H1502">
        <v>0.11262929149933899</v>
      </c>
      <c r="I1502">
        <v>0.11912375904231499</v>
      </c>
      <c r="J1502">
        <v>0.12803388261680201</v>
      </c>
      <c r="K1502">
        <v>0.17309827343801801</v>
      </c>
      <c r="L1502">
        <v>1440.73899064015</v>
      </c>
      <c r="M1502">
        <v>27.9621437790321</v>
      </c>
      <c r="N1502">
        <v>52.090163664841697</v>
      </c>
      <c r="O1502">
        <v>51.263258279351398</v>
      </c>
      <c r="P1502">
        <v>-0.118514075013621</v>
      </c>
      <c r="Q1502">
        <v>0.130915665313622</v>
      </c>
      <c r="R1502">
        <v>0.98927767769114905</v>
      </c>
      <c r="S1502" t="s">
        <v>8172</v>
      </c>
      <c r="T1502" t="s">
        <v>13338</v>
      </c>
      <c r="U1502" t="s">
        <v>13338</v>
      </c>
      <c r="V1502" t="s">
        <v>13338</v>
      </c>
      <c r="W1502" t="s">
        <v>14805</v>
      </c>
      <c r="X1502">
        <v>7</v>
      </c>
      <c r="Y1502" t="s">
        <v>21403</v>
      </c>
      <c r="Z1502" t="s">
        <v>27917</v>
      </c>
      <c r="AA1502">
        <v>0.47111551899926052</v>
      </c>
      <c r="AB1502" t="str">
        <f>HYPERLINK("Melting_Curves/meltCurve_O60427_FADS1.pdf", "Melting_Curves/meltCurve_O60427_FADS1.pdf")</f>
        <v>Melting_Curves/meltCurve_O60427_FADS1.pdf</v>
      </c>
    </row>
    <row r="1503" spans="1:28" x14ac:dyDescent="0.25">
      <c r="A1503" t="s">
        <v>1507</v>
      </c>
      <c r="B1503">
        <v>0.99193492352474899</v>
      </c>
      <c r="C1503">
        <v>0.60431212758251096</v>
      </c>
      <c r="D1503">
        <v>0.94550030419730102</v>
      </c>
      <c r="E1503">
        <v>0.53504665059271195</v>
      </c>
      <c r="F1503">
        <v>0.25528354639835699</v>
      </c>
      <c r="G1503">
        <v>0.21331777723001299</v>
      </c>
      <c r="H1503">
        <v>4.4356839061744299E-2</v>
      </c>
      <c r="I1503">
        <v>0.16446951425443501</v>
      </c>
      <c r="J1503">
        <v>0.105658098371673</v>
      </c>
      <c r="K1503">
        <v>0.20628188298202399</v>
      </c>
      <c r="L1503">
        <v>708.03461765399004</v>
      </c>
      <c r="M1503">
        <v>14.430936848698099</v>
      </c>
      <c r="N1503">
        <v>49.830845408746498</v>
      </c>
      <c r="O1503">
        <v>48.150370241935903</v>
      </c>
      <c r="P1503">
        <v>-6.74707418042476E-2</v>
      </c>
      <c r="Q1503">
        <v>9.9612341047731007E-2</v>
      </c>
      <c r="R1503">
        <v>0.85767035724144902</v>
      </c>
      <c r="S1503" t="s">
        <v>8173</v>
      </c>
      <c r="T1503" t="s">
        <v>13338</v>
      </c>
      <c r="U1503" t="s">
        <v>13338</v>
      </c>
      <c r="V1503" t="s">
        <v>13338</v>
      </c>
      <c r="W1503" t="s">
        <v>14806</v>
      </c>
      <c r="X1503">
        <v>4</v>
      </c>
      <c r="Y1503" t="s">
        <v>21404</v>
      </c>
      <c r="Z1503" t="s">
        <v>27918</v>
      </c>
      <c r="AA1503">
        <v>0.395461527118531</v>
      </c>
      <c r="AB1503" t="str">
        <f>HYPERLINK("Melting_Curves/meltCurve_O60443_DFNA5.pdf", "Melting_Curves/meltCurve_O60443_DFNA5.pdf")</f>
        <v>Melting_Curves/meltCurve_O60443_DFNA5.pdf</v>
      </c>
    </row>
    <row r="1504" spans="1:28" x14ac:dyDescent="0.25">
      <c r="A1504" t="s">
        <v>1508</v>
      </c>
      <c r="B1504">
        <v>0.99193492352474899</v>
      </c>
      <c r="C1504">
        <v>1.0379396592225201</v>
      </c>
      <c r="D1504">
        <v>1.09021594209387</v>
      </c>
      <c r="E1504">
        <v>0.85325705265454399</v>
      </c>
      <c r="F1504">
        <v>0.74490415867682602</v>
      </c>
      <c r="G1504">
        <v>0.24794617029587501</v>
      </c>
      <c r="H1504">
        <v>0.114075896851912</v>
      </c>
      <c r="I1504">
        <v>0.103863047293186</v>
      </c>
      <c r="J1504">
        <v>0.119746891328793</v>
      </c>
      <c r="K1504">
        <v>0.12216845356344901</v>
      </c>
      <c r="L1504">
        <v>1860.1325124086</v>
      </c>
      <c r="M1504">
        <v>34.228625418734602</v>
      </c>
      <c r="N1504">
        <v>54.720206787480898</v>
      </c>
      <c r="O1504">
        <v>54.159868277456198</v>
      </c>
      <c r="P1504">
        <v>-0.14144718352012001</v>
      </c>
      <c r="Q1504">
        <v>0.104757439477866</v>
      </c>
      <c r="R1504">
        <v>0.98507039712376498</v>
      </c>
      <c r="S1504" t="s">
        <v>8174</v>
      </c>
      <c r="T1504" t="s">
        <v>13338</v>
      </c>
      <c r="U1504" t="s">
        <v>13338</v>
      </c>
      <c r="V1504" t="s">
        <v>13338</v>
      </c>
      <c r="W1504" t="s">
        <v>14807</v>
      </c>
      <c r="X1504">
        <v>6</v>
      </c>
      <c r="Y1504" t="s">
        <v>21405</v>
      </c>
      <c r="Z1504" t="s">
        <v>27919</v>
      </c>
      <c r="AA1504">
        <v>0.5373820224960183</v>
      </c>
      <c r="AB1504" t="str">
        <f>HYPERLINK("Melting_Curves/meltCurve_O60476_MAN1A2.pdf", "Melting_Curves/meltCurve_O60476_MAN1A2.pdf")</f>
        <v>Melting_Curves/meltCurve_O60476_MAN1A2.pdf</v>
      </c>
    </row>
    <row r="1505" spans="1:28" x14ac:dyDescent="0.25">
      <c r="A1505" t="s">
        <v>1509</v>
      </c>
      <c r="B1505">
        <v>0.99193492352474899</v>
      </c>
      <c r="C1505">
        <v>0.953880660850559</v>
      </c>
      <c r="D1505">
        <v>0.664647256799622</v>
      </c>
      <c r="E1505">
        <v>0.25962701014406597</v>
      </c>
      <c r="F1505">
        <v>0.12782754960239001</v>
      </c>
      <c r="G1505">
        <v>7.2185588998252698E-2</v>
      </c>
      <c r="H1505">
        <v>3.6648033736821302E-2</v>
      </c>
      <c r="I1505">
        <v>3.8837831534586101E-2</v>
      </c>
      <c r="J1505">
        <v>4.2017192091634001E-2</v>
      </c>
      <c r="K1505">
        <v>3.6698069423667698E-2</v>
      </c>
      <c r="L1505">
        <v>1176.8155532593701</v>
      </c>
      <c r="M1505">
        <v>24.923722605746701</v>
      </c>
      <c r="N1505">
        <v>47.396863698372002</v>
      </c>
      <c r="O1505">
        <v>46.915882758602002</v>
      </c>
      <c r="P1505">
        <v>-0.12680891233052</v>
      </c>
      <c r="Q1505">
        <v>4.5203737011663601E-2</v>
      </c>
      <c r="R1505">
        <v>0.99851065209187195</v>
      </c>
      <c r="S1505" t="s">
        <v>8175</v>
      </c>
      <c r="T1505" t="s">
        <v>13338</v>
      </c>
      <c r="U1505" t="s">
        <v>13338</v>
      </c>
      <c r="V1505" t="s">
        <v>13338</v>
      </c>
      <c r="W1505" t="s">
        <v>14808</v>
      </c>
      <c r="X1505">
        <v>21</v>
      </c>
      <c r="Y1505" t="s">
        <v>21406</v>
      </c>
      <c r="Z1505" t="s">
        <v>27920</v>
      </c>
      <c r="AA1505">
        <v>0.28343564965032558</v>
      </c>
      <c r="AB1505" t="str">
        <f>HYPERLINK("Melting_Curves/meltCurve_O60488_2_ACSL4.pdf", "Melting_Curves/meltCurve_O60488_2_ACSL4.pdf")</f>
        <v>Melting_Curves/meltCurve_O60488_2_ACSL4.pdf</v>
      </c>
    </row>
    <row r="1506" spans="1:28" x14ac:dyDescent="0.25">
      <c r="A1506" t="s">
        <v>1510</v>
      </c>
      <c r="B1506">
        <v>0.99193492352474899</v>
      </c>
      <c r="C1506">
        <v>0.63129930579478999</v>
      </c>
      <c r="D1506">
        <v>0.45974116736015003</v>
      </c>
      <c r="E1506">
        <v>0.17599988255608001</v>
      </c>
      <c r="F1506">
        <v>8.6846053712567206E-2</v>
      </c>
      <c r="G1506">
        <v>3.9799120499776103E-2</v>
      </c>
      <c r="H1506">
        <v>2.3794335048245002E-2</v>
      </c>
      <c r="I1506">
        <v>2.9901681789799801E-2</v>
      </c>
      <c r="J1506">
        <v>2.4764818400776201E-2</v>
      </c>
      <c r="K1506">
        <v>4.62569588224628E-2</v>
      </c>
      <c r="L1506">
        <v>806.33662489181802</v>
      </c>
      <c r="M1506">
        <v>17.9266564198212</v>
      </c>
      <c r="N1506">
        <v>45.116664228239301</v>
      </c>
      <c r="O1506">
        <v>44.431240415462703</v>
      </c>
      <c r="P1506">
        <v>-9.82019773622968E-2</v>
      </c>
      <c r="Q1506">
        <v>2.6473918672882998E-2</v>
      </c>
      <c r="R1506">
        <v>0.98373261128442402</v>
      </c>
      <c r="S1506" t="s">
        <v>8176</v>
      </c>
      <c r="T1506" t="s">
        <v>13338</v>
      </c>
      <c r="U1506" t="s">
        <v>13338</v>
      </c>
      <c r="V1506" t="s">
        <v>13338</v>
      </c>
      <c r="W1506" t="s">
        <v>14809</v>
      </c>
      <c r="X1506">
        <v>10</v>
      </c>
      <c r="Y1506" t="s">
        <v>21407</v>
      </c>
      <c r="Z1506" t="s">
        <v>27921</v>
      </c>
      <c r="AA1506">
        <v>0.2093105565760196</v>
      </c>
      <c r="AB1506" t="str">
        <f>HYPERLINK("Melting_Curves/meltCurve_O60493_SNX3.pdf", "Melting_Curves/meltCurve_O60493_SNX3.pdf")</f>
        <v>Melting_Curves/meltCurve_O60493_SNX3.pdf</v>
      </c>
    </row>
    <row r="1507" spans="1:28" x14ac:dyDescent="0.25">
      <c r="A1507" t="s">
        <v>1511</v>
      </c>
      <c r="B1507">
        <v>0.99193492352474899</v>
      </c>
      <c r="C1507">
        <v>0.801612977930515</v>
      </c>
      <c r="D1507">
        <v>0.54187855910976501</v>
      </c>
      <c r="E1507">
        <v>0.22567132071936</v>
      </c>
      <c r="F1507">
        <v>0.166874134035217</v>
      </c>
      <c r="G1507">
        <v>9.5067829234797896E-2</v>
      </c>
      <c r="H1507">
        <v>6.8225748276749806E-2</v>
      </c>
      <c r="I1507">
        <v>0.10491640491699</v>
      </c>
      <c r="J1507">
        <v>0.12095239090648099</v>
      </c>
      <c r="K1507">
        <v>8.9878439951017297E-2</v>
      </c>
      <c r="L1507">
        <v>971.77499659634498</v>
      </c>
      <c r="M1507">
        <v>21.217946660443499</v>
      </c>
      <c r="N1507">
        <v>46.256176098191901</v>
      </c>
      <c r="O1507">
        <v>45.398670527140602</v>
      </c>
      <c r="P1507">
        <v>-0.105807555003969</v>
      </c>
      <c r="Q1507">
        <v>9.4464951991235904E-2</v>
      </c>
      <c r="R1507">
        <v>0.99527916729451404</v>
      </c>
      <c r="S1507" t="s">
        <v>8177</v>
      </c>
      <c r="T1507" t="s">
        <v>13338</v>
      </c>
      <c r="U1507" t="s">
        <v>13338</v>
      </c>
      <c r="V1507" t="s">
        <v>13338</v>
      </c>
      <c r="W1507" t="s">
        <v>14810</v>
      </c>
      <c r="X1507">
        <v>6</v>
      </c>
      <c r="Y1507" t="s">
        <v>21408</v>
      </c>
      <c r="Z1507" t="s">
        <v>27922</v>
      </c>
      <c r="AA1507">
        <v>0.2819187478891545</v>
      </c>
      <c r="AB1507" t="str">
        <f>HYPERLINK("Melting_Curves/meltCurve_O60496_DOK2.pdf", "Melting_Curves/meltCurve_O60496_DOK2.pdf")</f>
        <v>Melting_Curves/meltCurve_O60496_DOK2.pdf</v>
      </c>
    </row>
    <row r="1508" spans="1:28" x14ac:dyDescent="0.25">
      <c r="A1508" t="s">
        <v>1512</v>
      </c>
      <c r="B1508">
        <v>0.99193492352474899</v>
      </c>
      <c r="C1508">
        <v>0.73405129016109705</v>
      </c>
      <c r="D1508">
        <v>0.82384767700899997</v>
      </c>
      <c r="E1508">
        <v>0.51782576740651598</v>
      </c>
      <c r="F1508">
        <v>0.24704811240302599</v>
      </c>
      <c r="G1508">
        <v>0.108105069762941</v>
      </c>
      <c r="H1508">
        <v>6.7169707233461995E-2</v>
      </c>
      <c r="I1508">
        <v>0.10093549467683</v>
      </c>
      <c r="J1508">
        <v>0.105841506080126</v>
      </c>
      <c r="K1508">
        <v>0.12772374097751299</v>
      </c>
      <c r="L1508">
        <v>754.948020128091</v>
      </c>
      <c r="M1508">
        <v>15.450977744419101</v>
      </c>
      <c r="N1508">
        <v>49.323406339112701</v>
      </c>
      <c r="O1508">
        <v>48.0643376767134</v>
      </c>
      <c r="P1508">
        <v>-7.4952614039570903E-2</v>
      </c>
      <c r="Q1508">
        <v>6.7444465450387597E-2</v>
      </c>
      <c r="R1508">
        <v>0.95903453115937398</v>
      </c>
      <c r="S1508" t="s">
        <v>8178</v>
      </c>
      <c r="T1508" t="s">
        <v>13338</v>
      </c>
      <c r="U1508" t="s">
        <v>13338</v>
      </c>
      <c r="V1508" t="s">
        <v>13338</v>
      </c>
      <c r="W1508" t="s">
        <v>14811</v>
      </c>
      <c r="X1508">
        <v>10</v>
      </c>
      <c r="Y1508" t="s">
        <v>21409</v>
      </c>
      <c r="Z1508" t="s">
        <v>27923</v>
      </c>
      <c r="AA1508">
        <v>0.36475262284548171</v>
      </c>
      <c r="AB1508" t="str">
        <f>HYPERLINK("Melting_Curves/meltCurve_O60504_2_SORBS3.pdf", "Melting_Curves/meltCurve_O60504_2_SORBS3.pdf")</f>
        <v>Melting_Curves/meltCurve_O60504_2_SORBS3.pdf</v>
      </c>
    </row>
    <row r="1509" spans="1:28" x14ac:dyDescent="0.25">
      <c r="A1509" t="s">
        <v>1513</v>
      </c>
      <c r="B1509">
        <v>0.99193492352474899</v>
      </c>
      <c r="C1509">
        <v>0.452009810067526</v>
      </c>
      <c r="D1509">
        <v>0.74327975119146095</v>
      </c>
      <c r="E1509">
        <v>0.40890751925136098</v>
      </c>
      <c r="F1509">
        <v>0.20459939611458899</v>
      </c>
      <c r="G1509">
        <v>0.104648705980372</v>
      </c>
      <c r="H1509">
        <v>5.6796879324628402E-2</v>
      </c>
      <c r="I1509">
        <v>7.1012744031115793E-2</v>
      </c>
      <c r="J1509">
        <v>7.8492935147002396E-2</v>
      </c>
      <c r="K1509">
        <v>7.4128876627512705E-2</v>
      </c>
      <c r="L1509">
        <v>477.81065988967498</v>
      </c>
      <c r="M1509">
        <v>10.149282240640099</v>
      </c>
      <c r="N1509">
        <v>47.124783507936897</v>
      </c>
      <c r="O1509">
        <v>45.3602685170112</v>
      </c>
      <c r="P1509">
        <v>-5.5683882128587103E-2</v>
      </c>
      <c r="Q1509">
        <v>4.98347117512831E-3</v>
      </c>
      <c r="R1509">
        <v>0.85856115930796795</v>
      </c>
      <c r="S1509" t="s">
        <v>8179</v>
      </c>
      <c r="T1509" t="s">
        <v>13338</v>
      </c>
      <c r="U1509" t="s">
        <v>13338</v>
      </c>
      <c r="V1509" t="s">
        <v>13338</v>
      </c>
      <c r="W1509" t="s">
        <v>14812</v>
      </c>
      <c r="X1509">
        <v>23</v>
      </c>
      <c r="Y1509" t="s">
        <v>21410</v>
      </c>
      <c r="Z1509" t="s">
        <v>27924</v>
      </c>
      <c r="AA1509">
        <v>0.29519929865106448</v>
      </c>
      <c r="AB1509" t="str">
        <f>HYPERLINK("Melting_Curves/meltCurve_O60506_3_SYNCRIP.pdf", "Melting_Curves/meltCurve_O60506_3_SYNCRIP.pdf")</f>
        <v>Melting_Curves/meltCurve_O60506_3_SYNCRIP.pdf</v>
      </c>
    </row>
    <row r="1510" spans="1:28" x14ac:dyDescent="0.25">
      <c r="A1510" t="s">
        <v>1514</v>
      </c>
      <c r="B1510">
        <v>0.99193492352474899</v>
      </c>
      <c r="C1510">
        <v>0.63436886096714795</v>
      </c>
      <c r="D1510">
        <v>1.01470640065191</v>
      </c>
      <c r="E1510">
        <v>0.59120806192269804</v>
      </c>
      <c r="F1510">
        <v>0.47352666438931801</v>
      </c>
      <c r="G1510">
        <v>0.11354281672125</v>
      </c>
      <c r="H1510">
        <v>7.4889681776564396E-2</v>
      </c>
      <c r="I1510">
        <v>8.0064716194591906E-2</v>
      </c>
      <c r="J1510">
        <v>9.83888234048102E-2</v>
      </c>
      <c r="K1510">
        <v>0.12589891385611399</v>
      </c>
      <c r="L1510">
        <v>798.14684516391605</v>
      </c>
      <c r="M1510">
        <v>15.6288172714161</v>
      </c>
      <c r="N1510">
        <v>51.423969352670802</v>
      </c>
      <c r="O1510">
        <v>50.254748394215902</v>
      </c>
      <c r="P1510">
        <v>-7.3777951268814507E-2</v>
      </c>
      <c r="Q1510">
        <v>5.1144188069157298E-2</v>
      </c>
      <c r="R1510">
        <v>0.87921398548468899</v>
      </c>
      <c r="S1510" t="s">
        <v>8180</v>
      </c>
      <c r="T1510" t="s">
        <v>13338</v>
      </c>
      <c r="U1510" t="s">
        <v>13338</v>
      </c>
      <c r="V1510" t="s">
        <v>13338</v>
      </c>
      <c r="W1510" t="s">
        <v>14813</v>
      </c>
      <c r="X1510">
        <v>7</v>
      </c>
      <c r="Y1510" t="s">
        <v>21411</v>
      </c>
      <c r="Z1510" t="s">
        <v>27925</v>
      </c>
      <c r="AA1510">
        <v>0.42166834059716002</v>
      </c>
      <c r="AB1510" t="str">
        <f>HYPERLINK("Melting_Curves/meltCurve_O60508_CDC40.pdf", "Melting_Curves/meltCurve_O60508_CDC40.pdf")</f>
        <v>Melting_Curves/meltCurve_O60508_CDC40.pdf</v>
      </c>
    </row>
    <row r="1511" spans="1:28" x14ac:dyDescent="0.25">
      <c r="A1511" t="s">
        <v>1515</v>
      </c>
      <c r="B1511">
        <v>0.99193492352474899</v>
      </c>
      <c r="C1511">
        <v>0.76826273305869597</v>
      </c>
      <c r="D1511">
        <v>0.63011452613497498</v>
      </c>
      <c r="E1511">
        <v>0.48203764752489903</v>
      </c>
      <c r="F1511">
        <v>0.37643538764711998</v>
      </c>
      <c r="G1511">
        <v>0.186351489832071</v>
      </c>
      <c r="H1511">
        <v>0.154471242608478</v>
      </c>
      <c r="I1511">
        <v>9.4318220221264598E-2</v>
      </c>
      <c r="J1511">
        <v>0.17622570505669599</v>
      </c>
      <c r="K1511">
        <v>0.161789607102792</v>
      </c>
      <c r="L1511">
        <v>561.70433756848399</v>
      </c>
      <c r="M1511">
        <v>11.743471640699999</v>
      </c>
      <c r="N1511">
        <v>48.849480150422004</v>
      </c>
      <c r="O1511">
        <v>46.507414336824098</v>
      </c>
      <c r="P1511">
        <v>-5.6287971589443597E-2</v>
      </c>
      <c r="Q1511">
        <v>0.10856955541532699</v>
      </c>
      <c r="R1511">
        <v>0.97605939029786803</v>
      </c>
      <c r="S1511" t="s">
        <v>8181</v>
      </c>
      <c r="T1511" t="s">
        <v>13338</v>
      </c>
      <c r="U1511" t="s">
        <v>13338</v>
      </c>
      <c r="V1511" t="s">
        <v>13338</v>
      </c>
      <c r="W1511" t="s">
        <v>14814</v>
      </c>
      <c r="X1511">
        <v>3</v>
      </c>
      <c r="Y1511" t="s">
        <v>21412</v>
      </c>
      <c r="Z1511" t="s">
        <v>27926</v>
      </c>
      <c r="AA1511">
        <v>0.37792061176041591</v>
      </c>
      <c r="AB1511" t="str">
        <f>HYPERLINK("Melting_Curves/meltCurve_O60518_RANBP6.pdf", "Melting_Curves/meltCurve_O60518_RANBP6.pdf")</f>
        <v>Melting_Curves/meltCurve_O60518_RANBP6.pdf</v>
      </c>
    </row>
    <row r="1512" spans="1:28" x14ac:dyDescent="0.25">
      <c r="A1512" t="s">
        <v>1516</v>
      </c>
      <c r="B1512">
        <v>0.99193492352474899</v>
      </c>
      <c r="C1512">
        <v>0.67141013729671795</v>
      </c>
      <c r="D1512">
        <v>0.80251160336747496</v>
      </c>
      <c r="E1512">
        <v>0.32211979269713897</v>
      </c>
      <c r="F1512">
        <v>0.15296787234343501</v>
      </c>
      <c r="G1512">
        <v>9.6114803953045502E-2</v>
      </c>
      <c r="H1512">
        <v>6.2322598842814797E-2</v>
      </c>
      <c r="I1512">
        <v>7.7763089988312398E-2</v>
      </c>
      <c r="J1512">
        <v>0.10032946058106899</v>
      </c>
      <c r="K1512">
        <v>7.2939389894776704E-2</v>
      </c>
      <c r="L1512">
        <v>772.08671792999201</v>
      </c>
      <c r="M1512">
        <v>16.282583961348902</v>
      </c>
      <c r="N1512">
        <v>47.753468032721202</v>
      </c>
      <c r="O1512">
        <v>46.720044261181101</v>
      </c>
      <c r="P1512">
        <v>-8.2425190025890105E-2</v>
      </c>
      <c r="Q1512">
        <v>5.4050732299522002E-2</v>
      </c>
      <c r="R1512">
        <v>0.94069100208280498</v>
      </c>
      <c r="S1512" t="s">
        <v>8182</v>
      </c>
      <c r="T1512" t="s">
        <v>13338</v>
      </c>
      <c r="U1512" t="s">
        <v>13338</v>
      </c>
      <c r="V1512" t="s">
        <v>13338</v>
      </c>
      <c r="W1512" t="s">
        <v>14815</v>
      </c>
      <c r="X1512">
        <v>13</v>
      </c>
      <c r="Y1512" t="s">
        <v>21413</v>
      </c>
      <c r="Z1512" t="s">
        <v>27927</v>
      </c>
      <c r="AA1512">
        <v>0.30913030167422773</v>
      </c>
      <c r="AB1512" t="str">
        <f>HYPERLINK("Melting_Curves/meltCurve_O60524_4_NEMF.pdf", "Melting_Curves/meltCurve_O60524_4_NEMF.pdf")</f>
        <v>Melting_Curves/meltCurve_O60524_4_NEMF.pdf</v>
      </c>
    </row>
    <row r="1513" spans="1:28" x14ac:dyDescent="0.25">
      <c r="A1513" t="s">
        <v>1517</v>
      </c>
      <c r="B1513">
        <v>0.99193492352474899</v>
      </c>
      <c r="C1513">
        <v>1.0112289576508999</v>
      </c>
      <c r="D1513">
        <v>0.87522189810121798</v>
      </c>
      <c r="E1513">
        <v>0.77600994377357002</v>
      </c>
      <c r="F1513">
        <v>0.46863598298703801</v>
      </c>
      <c r="G1513">
        <v>0.199787202157831</v>
      </c>
      <c r="H1513">
        <v>9.8819757127483504E-2</v>
      </c>
      <c r="I1513">
        <v>0.11097670568047301</v>
      </c>
      <c r="J1513">
        <v>0.1010883274386</v>
      </c>
      <c r="K1513">
        <v>0.111819000355228</v>
      </c>
      <c r="L1513">
        <v>1067.7576460688099</v>
      </c>
      <c r="M1513">
        <v>20.491066787156001</v>
      </c>
      <c r="N1513">
        <v>52.578101397276598</v>
      </c>
      <c r="O1513">
        <v>51.619777706871197</v>
      </c>
      <c r="P1513">
        <v>-9.0943525967901895E-2</v>
      </c>
      <c r="Q1513">
        <v>8.3630766825846095E-2</v>
      </c>
      <c r="R1513">
        <v>0.99421557831656604</v>
      </c>
      <c r="S1513" t="s">
        <v>8183</v>
      </c>
      <c r="T1513" t="s">
        <v>13338</v>
      </c>
      <c r="U1513" t="s">
        <v>13338</v>
      </c>
      <c r="V1513" t="s">
        <v>13338</v>
      </c>
      <c r="W1513" t="s">
        <v>14816</v>
      </c>
      <c r="X1513">
        <v>17</v>
      </c>
      <c r="Y1513" t="s">
        <v>21414</v>
      </c>
      <c r="Z1513" t="s">
        <v>27928</v>
      </c>
      <c r="AA1513">
        <v>0.46562713546856299</v>
      </c>
      <c r="AB1513" t="str">
        <f>HYPERLINK("Melting_Curves/meltCurve_O60547_GMDS.pdf", "Melting_Curves/meltCurve_O60547_GMDS.pdf")</f>
        <v>Melting_Curves/meltCurve_O60547_GMDS.pdf</v>
      </c>
    </row>
    <row r="1514" spans="1:28" x14ac:dyDescent="0.25">
      <c r="A1514" t="s">
        <v>1518</v>
      </c>
      <c r="B1514">
        <v>0.99193492352474899</v>
      </c>
      <c r="C1514">
        <v>0.80912362620585798</v>
      </c>
      <c r="D1514">
        <v>0.76925764933067997</v>
      </c>
      <c r="E1514">
        <v>0.44418081059046</v>
      </c>
      <c r="F1514">
        <v>0.21810781832846499</v>
      </c>
      <c r="G1514">
        <v>0.12744206022320401</v>
      </c>
      <c r="H1514">
        <v>9.2861424528525097E-2</v>
      </c>
      <c r="I1514">
        <v>0.101185680327739</v>
      </c>
      <c r="J1514">
        <v>0.123074567992652</v>
      </c>
      <c r="K1514">
        <v>0.136161556108196</v>
      </c>
      <c r="L1514">
        <v>835.24280321977096</v>
      </c>
      <c r="M1514">
        <v>17.356887269024401</v>
      </c>
      <c r="N1514">
        <v>48.7091041950411</v>
      </c>
      <c r="O1514">
        <v>47.496559059231203</v>
      </c>
      <c r="P1514">
        <v>-8.2736640144648294E-2</v>
      </c>
      <c r="Q1514">
        <v>9.4427296273507794E-2</v>
      </c>
      <c r="R1514">
        <v>0.98590065415513295</v>
      </c>
      <c r="S1514" t="s">
        <v>8184</v>
      </c>
      <c r="T1514" t="s">
        <v>13338</v>
      </c>
      <c r="U1514" t="s">
        <v>13338</v>
      </c>
      <c r="V1514" t="s">
        <v>13338</v>
      </c>
      <c r="W1514" t="s">
        <v>14817</v>
      </c>
      <c r="X1514">
        <v>13</v>
      </c>
      <c r="Y1514" t="s">
        <v>21415</v>
      </c>
      <c r="Z1514" t="s">
        <v>27929</v>
      </c>
      <c r="AA1514">
        <v>0.3568481516137974</v>
      </c>
      <c r="AB1514" t="str">
        <f>HYPERLINK("Melting_Curves/meltCurve_O60551_NMT2.pdf", "Melting_Curves/meltCurve_O60551_NMT2.pdf")</f>
        <v>Melting_Curves/meltCurve_O60551_NMT2.pdf</v>
      </c>
    </row>
    <row r="1515" spans="1:28" x14ac:dyDescent="0.25">
      <c r="A1515" t="s">
        <v>1519</v>
      </c>
      <c r="B1515">
        <v>0.99193492352474899</v>
      </c>
      <c r="C1515">
        <v>0.60403041380620104</v>
      </c>
      <c r="D1515">
        <v>0.81808660478463602</v>
      </c>
      <c r="E1515">
        <v>0.55196951919938997</v>
      </c>
      <c r="F1515">
        <v>0.28458423413894002</v>
      </c>
      <c r="G1515">
        <v>0.10646644215794999</v>
      </c>
      <c r="H1515">
        <v>6.2984220165399701E-2</v>
      </c>
      <c r="I1515">
        <v>0.114993520891379</v>
      </c>
      <c r="J1515">
        <v>0.13742876115300501</v>
      </c>
      <c r="K1515">
        <v>0.13031770628025299</v>
      </c>
      <c r="L1515">
        <v>574.76948640583703</v>
      </c>
      <c r="M1515">
        <v>11.7943981595258</v>
      </c>
      <c r="N1515">
        <v>49.178911836634398</v>
      </c>
      <c r="O1515">
        <v>47.394783159817202</v>
      </c>
      <c r="P1515">
        <v>-5.9069998538605999E-2</v>
      </c>
      <c r="Q1515">
        <v>5.0773658367562903E-2</v>
      </c>
      <c r="R1515">
        <v>0.89920840251378698</v>
      </c>
      <c r="S1515" t="s">
        <v>8185</v>
      </c>
      <c r="T1515" t="s">
        <v>13338</v>
      </c>
      <c r="U1515" t="s">
        <v>13338</v>
      </c>
      <c r="V1515" t="s">
        <v>13338</v>
      </c>
      <c r="W1515" t="s">
        <v>14818</v>
      </c>
      <c r="X1515">
        <v>10</v>
      </c>
      <c r="Y1515" t="s">
        <v>21416</v>
      </c>
      <c r="Z1515" t="s">
        <v>27930</v>
      </c>
      <c r="AA1515">
        <v>0.36357527490500602</v>
      </c>
      <c r="AB1515" t="str">
        <f>HYPERLINK("Melting_Curves/meltCurve_O60563_CCNT1.pdf", "Melting_Curves/meltCurve_O60563_CCNT1.pdf")</f>
        <v>Melting_Curves/meltCurve_O60563_CCNT1.pdf</v>
      </c>
    </row>
    <row r="1516" spans="1:28" x14ac:dyDescent="0.25">
      <c r="A1516" t="s">
        <v>1520</v>
      </c>
      <c r="B1516">
        <v>0.99193492352474899</v>
      </c>
      <c r="C1516">
        <v>0.90047323731189499</v>
      </c>
      <c r="D1516">
        <v>0.72083687304799904</v>
      </c>
      <c r="E1516">
        <v>0.35646926507029097</v>
      </c>
      <c r="F1516">
        <v>0.19658969889927</v>
      </c>
      <c r="G1516">
        <v>0.112734615176276</v>
      </c>
      <c r="H1516">
        <v>7.5787082079945098E-2</v>
      </c>
      <c r="I1516">
        <v>8.4050425084548297E-2</v>
      </c>
      <c r="J1516">
        <v>9.5286266435043301E-2</v>
      </c>
      <c r="K1516">
        <v>8.9174252161964104E-2</v>
      </c>
      <c r="L1516">
        <v>979.24645556373798</v>
      </c>
      <c r="M1516">
        <v>20.527225450301501</v>
      </c>
      <c r="N1516">
        <v>48.127456272572303</v>
      </c>
      <c r="O1516">
        <v>47.258943927906799</v>
      </c>
      <c r="P1516">
        <v>-9.9635158198139701E-2</v>
      </c>
      <c r="Q1516">
        <v>8.2484069333184806E-2</v>
      </c>
      <c r="R1516">
        <v>0.99883903757413395</v>
      </c>
      <c r="S1516" t="s">
        <v>8186</v>
      </c>
      <c r="T1516" t="s">
        <v>13338</v>
      </c>
      <c r="U1516" t="s">
        <v>13338</v>
      </c>
      <c r="V1516" t="s">
        <v>13338</v>
      </c>
      <c r="W1516" t="s">
        <v>14819</v>
      </c>
      <c r="X1516">
        <v>13</v>
      </c>
      <c r="Y1516" t="s">
        <v>21417</v>
      </c>
      <c r="Z1516" t="s">
        <v>27931</v>
      </c>
      <c r="AA1516">
        <v>0.33053956178781169</v>
      </c>
      <c r="AB1516" t="str">
        <f>HYPERLINK("Melting_Curves/meltCurve_O60566_BUB1B.pdf", "Melting_Curves/meltCurve_O60566_BUB1B.pdf")</f>
        <v>Melting_Curves/meltCurve_O60566_BUB1B.pdf</v>
      </c>
    </row>
    <row r="1517" spans="1:28" x14ac:dyDescent="0.25">
      <c r="A1517" t="s">
        <v>1521</v>
      </c>
      <c r="B1517">
        <v>0.99193492352474899</v>
      </c>
      <c r="C1517">
        <v>0.95784806234970699</v>
      </c>
      <c r="D1517">
        <v>0.89857738261912501</v>
      </c>
      <c r="E1517">
        <v>0.71138224046801402</v>
      </c>
      <c r="F1517">
        <v>0.42856636037021001</v>
      </c>
      <c r="G1517">
        <v>0.21356726315055299</v>
      </c>
      <c r="H1517">
        <v>0.14944737944616601</v>
      </c>
      <c r="I1517">
        <v>0.151528667061478</v>
      </c>
      <c r="J1517">
        <v>0.177758617677331</v>
      </c>
      <c r="K1517">
        <v>0.18984698003794401</v>
      </c>
      <c r="L1517">
        <v>1066.0079918793999</v>
      </c>
      <c r="M1517">
        <v>20.876087700503401</v>
      </c>
      <c r="N1517">
        <v>51.964854077187901</v>
      </c>
      <c r="O1517">
        <v>50.601958068365597</v>
      </c>
      <c r="P1517">
        <v>-8.7475844619463297E-2</v>
      </c>
      <c r="Q1517">
        <v>0.151885623330971</v>
      </c>
      <c r="R1517">
        <v>0.99536370337034596</v>
      </c>
      <c r="S1517" t="s">
        <v>8187</v>
      </c>
      <c r="T1517" t="s">
        <v>13338</v>
      </c>
      <c r="U1517" t="s">
        <v>13338</v>
      </c>
      <c r="V1517" t="s">
        <v>13338</v>
      </c>
      <c r="W1517" t="s">
        <v>14820</v>
      </c>
      <c r="X1517">
        <v>7</v>
      </c>
      <c r="Y1517" t="s">
        <v>21418</v>
      </c>
      <c r="Z1517" t="s">
        <v>27932</v>
      </c>
      <c r="AA1517">
        <v>0.47551884594338317</v>
      </c>
      <c r="AB1517" t="str">
        <f>HYPERLINK("Melting_Curves/meltCurve_O60568_PLOD3.pdf", "Melting_Curves/meltCurve_O60568_PLOD3.pdf")</f>
        <v>Melting_Curves/meltCurve_O60568_PLOD3.pdf</v>
      </c>
    </row>
    <row r="1518" spans="1:28" x14ac:dyDescent="0.25">
      <c r="A1518" t="s">
        <v>1522</v>
      </c>
      <c r="B1518">
        <v>0.99193492352474899</v>
      </c>
      <c r="C1518">
        <v>0.72074413126818004</v>
      </c>
      <c r="D1518">
        <v>0.59403763199789195</v>
      </c>
      <c r="E1518">
        <v>0.38960597652919199</v>
      </c>
      <c r="F1518">
        <v>0.134870586157705</v>
      </c>
      <c r="G1518">
        <v>7.1222329265122494E-2</v>
      </c>
      <c r="H1518">
        <v>5.2687186522838901E-2</v>
      </c>
      <c r="I1518">
        <v>6.5964117577944195E-2</v>
      </c>
      <c r="J1518">
        <v>0.14714544367473001</v>
      </c>
      <c r="K1518">
        <v>0.107132266521955</v>
      </c>
      <c r="L1518">
        <v>723.10063078912003</v>
      </c>
      <c r="M1518">
        <v>15.549739874911401</v>
      </c>
      <c r="N1518">
        <v>46.951953392496897</v>
      </c>
      <c r="O1518">
        <v>45.753692995484599</v>
      </c>
      <c r="P1518">
        <v>-7.9095011364123502E-2</v>
      </c>
      <c r="Q1518">
        <v>6.9162132889016098E-2</v>
      </c>
      <c r="R1518">
        <v>0.972299413078203</v>
      </c>
      <c r="S1518" t="s">
        <v>8188</v>
      </c>
      <c r="T1518" t="s">
        <v>13338</v>
      </c>
      <c r="U1518" t="s">
        <v>13338</v>
      </c>
      <c r="V1518" t="s">
        <v>13338</v>
      </c>
      <c r="W1518" t="s">
        <v>14821</v>
      </c>
      <c r="X1518">
        <v>1</v>
      </c>
      <c r="Y1518" t="s">
        <v>21419</v>
      </c>
      <c r="Z1518" t="s">
        <v>27933</v>
      </c>
      <c r="AA1518">
        <v>0.29516310361812143</v>
      </c>
      <c r="AB1518" t="str">
        <f>HYPERLINK("Melting_Curves/meltCurve_O60583_2_CCNT2.pdf", "Melting_Curves/meltCurve_O60583_2_CCNT2.pdf")</f>
        <v>Melting_Curves/meltCurve_O60583_2_CCNT2.pdf</v>
      </c>
    </row>
    <row r="1519" spans="1:28" x14ac:dyDescent="0.25">
      <c r="A1519" t="s">
        <v>1523</v>
      </c>
      <c r="B1519">
        <v>0.99193492352474899</v>
      </c>
      <c r="C1519">
        <v>1.1039092703034299</v>
      </c>
      <c r="D1519">
        <v>0.95129936516110003</v>
      </c>
      <c r="E1519">
        <v>0.98702134290499</v>
      </c>
      <c r="F1519">
        <v>0.39163192039198202</v>
      </c>
      <c r="G1519">
        <v>0.179211684761132</v>
      </c>
      <c r="H1519">
        <v>0.12951572065245201</v>
      </c>
      <c r="I1519">
        <v>0.160709662418382</v>
      </c>
      <c r="J1519">
        <v>0.165654302648126</v>
      </c>
      <c r="K1519">
        <v>0.24269076929816399</v>
      </c>
      <c r="L1519">
        <v>3773.76556293251</v>
      </c>
      <c r="M1519">
        <v>71.967399631223003</v>
      </c>
      <c r="N1519">
        <v>52.752682701042403</v>
      </c>
      <c r="O1519">
        <v>52.396694843374803</v>
      </c>
      <c r="P1519">
        <v>-0.283323707938958</v>
      </c>
      <c r="Q1519">
        <v>0.17489159334228499</v>
      </c>
      <c r="R1519">
        <v>0.987256497678068</v>
      </c>
      <c r="S1519" t="s">
        <v>8189</v>
      </c>
      <c r="T1519" t="s">
        <v>13338</v>
      </c>
      <c r="U1519" t="s">
        <v>13338</v>
      </c>
      <c r="V1519" t="s">
        <v>13338</v>
      </c>
      <c r="W1519" t="s">
        <v>14822</v>
      </c>
      <c r="X1519">
        <v>5</v>
      </c>
      <c r="Y1519" t="s">
        <v>21420</v>
      </c>
      <c r="Z1519" t="s">
        <v>27934</v>
      </c>
      <c r="AA1519">
        <v>0.5178767930818049</v>
      </c>
      <c r="AB1519" t="str">
        <f>HYPERLINK("Melting_Curves/meltCurve_O60613_SEP15.pdf", "Melting_Curves/meltCurve_O60613_SEP15.pdf")</f>
        <v>Melting_Curves/meltCurve_O60613_SEP15.pdf</v>
      </c>
    </row>
    <row r="1520" spans="1:28" x14ac:dyDescent="0.25">
      <c r="A1520" t="s">
        <v>1524</v>
      </c>
      <c r="B1520">
        <v>0.99193492352474899</v>
      </c>
      <c r="C1520">
        <v>0.86935680924416403</v>
      </c>
      <c r="D1520">
        <v>0.76973929064671298</v>
      </c>
      <c r="E1520">
        <v>0.28878989081218098</v>
      </c>
      <c r="F1520">
        <v>0.19642718297804701</v>
      </c>
      <c r="G1520">
        <v>0.101332128690085</v>
      </c>
      <c r="H1520">
        <v>5.9729700736196302E-2</v>
      </c>
      <c r="I1520">
        <v>8.1069348705461203E-2</v>
      </c>
      <c r="J1520">
        <v>9.5732553794322203E-2</v>
      </c>
      <c r="K1520">
        <v>0.105669599699435</v>
      </c>
      <c r="L1520">
        <v>1144.38389852666</v>
      </c>
      <c r="M1520">
        <v>24.063668472491599</v>
      </c>
      <c r="N1520">
        <v>47.938078198961399</v>
      </c>
      <c r="O1520">
        <v>47.2317441039961</v>
      </c>
      <c r="P1520">
        <v>-0.116270768084205</v>
      </c>
      <c r="Q1520">
        <v>8.7157771156149602E-2</v>
      </c>
      <c r="R1520">
        <v>0.98973941440711199</v>
      </c>
      <c r="S1520" t="s">
        <v>8190</v>
      </c>
      <c r="T1520" t="s">
        <v>13338</v>
      </c>
      <c r="U1520" t="s">
        <v>13338</v>
      </c>
      <c r="V1520" t="s">
        <v>13338</v>
      </c>
      <c r="W1520" t="s">
        <v>14823</v>
      </c>
      <c r="X1520">
        <v>10</v>
      </c>
      <c r="Y1520" t="s">
        <v>21421</v>
      </c>
      <c r="Z1520" t="s">
        <v>27935</v>
      </c>
      <c r="AA1520">
        <v>0.32587031995219379</v>
      </c>
      <c r="AB1520" t="str">
        <f>HYPERLINK("Melting_Curves/meltCurve_O60645_3_EXOC3.pdf", "Melting_Curves/meltCurve_O60645_3_EXOC3.pdf")</f>
        <v>Melting_Curves/meltCurve_O60645_3_EXOC3.pdf</v>
      </c>
    </row>
    <row r="1521" spans="1:28" x14ac:dyDescent="0.25">
      <c r="A1521" t="s">
        <v>1525</v>
      </c>
      <c r="B1521">
        <v>0.99193492352474899</v>
      </c>
      <c r="C1521">
        <v>0.98268030106791804</v>
      </c>
      <c r="D1521">
        <v>0.84305558823089399</v>
      </c>
      <c r="E1521">
        <v>0.87128495492659197</v>
      </c>
      <c r="F1521">
        <v>0.49649263952780598</v>
      </c>
      <c r="G1521">
        <v>0.29675267452766002</v>
      </c>
      <c r="H1521">
        <v>0.177751005989016</v>
      </c>
      <c r="I1521">
        <v>0.22067464298152301</v>
      </c>
      <c r="J1521">
        <v>0.22481160789334401</v>
      </c>
      <c r="K1521">
        <v>0.27841925319801902</v>
      </c>
      <c r="L1521">
        <v>1362.7078618692699</v>
      </c>
      <c r="M1521">
        <v>26.180259711846499</v>
      </c>
      <c r="N1521">
        <v>53.222887441455399</v>
      </c>
      <c r="O1521">
        <v>51.750124142407302</v>
      </c>
      <c r="P1521">
        <v>-9.8770294813412804E-2</v>
      </c>
      <c r="Q1521">
        <v>0.21905776175931199</v>
      </c>
      <c r="R1521">
        <v>0.97518842548576901</v>
      </c>
      <c r="S1521" t="s">
        <v>8191</v>
      </c>
      <c r="T1521" t="s">
        <v>13338</v>
      </c>
      <c r="U1521" t="s">
        <v>13338</v>
      </c>
      <c r="V1521" t="s">
        <v>13338</v>
      </c>
      <c r="W1521" t="s">
        <v>14824</v>
      </c>
      <c r="X1521">
        <v>19</v>
      </c>
      <c r="Y1521" t="s">
        <v>21422</v>
      </c>
      <c r="Z1521" t="s">
        <v>27936</v>
      </c>
      <c r="AA1521">
        <v>0.53928593226192767</v>
      </c>
      <c r="AB1521" t="str">
        <f>HYPERLINK("Melting_Curves/meltCurve_O60664_PLIN3.pdf", "Melting_Curves/meltCurve_O60664_PLIN3.pdf")</f>
        <v>Melting_Curves/meltCurve_O60664_PLIN3.pdf</v>
      </c>
    </row>
    <row r="1522" spans="1:28" x14ac:dyDescent="0.25">
      <c r="A1522" t="s">
        <v>1526</v>
      </c>
      <c r="B1522">
        <v>0.99193492352474899</v>
      </c>
      <c r="C1522">
        <v>0.68550944135932901</v>
      </c>
      <c r="D1522">
        <v>0.98086085407869095</v>
      </c>
      <c r="E1522">
        <v>0.60926513297789697</v>
      </c>
      <c r="F1522">
        <v>0.54483163037945004</v>
      </c>
      <c r="G1522">
        <v>0.32767924011925698</v>
      </c>
      <c r="H1522">
        <v>0.123428880511338</v>
      </c>
      <c r="I1522">
        <v>9.5337456664791306E-2</v>
      </c>
      <c r="J1522">
        <v>0.115652455828106</v>
      </c>
      <c r="K1522">
        <v>0.15404919935335301</v>
      </c>
      <c r="L1522">
        <v>561.063698444328</v>
      </c>
      <c r="M1522">
        <v>10.6763776206093</v>
      </c>
      <c r="N1522">
        <v>52.728949411634296</v>
      </c>
      <c r="O1522">
        <v>50.808769293717098</v>
      </c>
      <c r="P1522">
        <v>-5.1626603086902097E-2</v>
      </c>
      <c r="Q1522">
        <v>1.7609527302175101E-2</v>
      </c>
      <c r="R1522">
        <v>0.90899471424621803</v>
      </c>
      <c r="S1522" t="s">
        <v>8192</v>
      </c>
      <c r="T1522" t="s">
        <v>13338</v>
      </c>
      <c r="U1522" t="s">
        <v>13338</v>
      </c>
      <c r="V1522" t="s">
        <v>13338</v>
      </c>
      <c r="W1522" t="s">
        <v>14825</v>
      </c>
      <c r="X1522">
        <v>4</v>
      </c>
      <c r="Y1522" t="s">
        <v>21423</v>
      </c>
      <c r="Z1522" t="s">
        <v>27937</v>
      </c>
      <c r="AA1522">
        <v>0.46163781442846569</v>
      </c>
      <c r="AB1522" t="str">
        <f>HYPERLINK("Melting_Curves/meltCurve_O60671_RAD1.pdf", "Melting_Curves/meltCurve_O60671_RAD1.pdf")</f>
        <v>Melting_Curves/meltCurve_O60671_RAD1.pdf</v>
      </c>
    </row>
    <row r="1523" spans="1:28" x14ac:dyDescent="0.25">
      <c r="A1523" t="s">
        <v>1527</v>
      </c>
      <c r="B1523">
        <v>0.99193492352474899</v>
      </c>
      <c r="C1523">
        <v>0.74647821648918899</v>
      </c>
      <c r="D1523">
        <v>0.76051851114388103</v>
      </c>
      <c r="E1523">
        <v>0.56107460877001403</v>
      </c>
      <c r="F1523">
        <v>0.26337013322578501</v>
      </c>
      <c r="G1523">
        <v>0.103030126429362</v>
      </c>
      <c r="H1523">
        <v>6.0277029168034901E-2</v>
      </c>
      <c r="I1523">
        <v>0.10503745362325501</v>
      </c>
      <c r="J1523">
        <v>0.103901980351165</v>
      </c>
      <c r="K1523">
        <v>8.7756233320903904E-2</v>
      </c>
      <c r="L1523">
        <v>666.34859538906403</v>
      </c>
      <c r="M1523">
        <v>13.5899857826704</v>
      </c>
      <c r="N1523">
        <v>49.361716579988098</v>
      </c>
      <c r="O1523">
        <v>48.007203666849499</v>
      </c>
      <c r="P1523">
        <v>-6.7712893308580005E-2</v>
      </c>
      <c r="Q1523">
        <v>4.33479086077454E-2</v>
      </c>
      <c r="R1523">
        <v>0.96711524389332804</v>
      </c>
      <c r="S1523" t="s">
        <v>8193</v>
      </c>
      <c r="T1523" t="s">
        <v>13338</v>
      </c>
      <c r="U1523" t="s">
        <v>13338</v>
      </c>
      <c r="V1523" t="s">
        <v>13338</v>
      </c>
      <c r="W1523" t="s">
        <v>14826</v>
      </c>
      <c r="X1523">
        <v>5</v>
      </c>
      <c r="Y1523" t="s">
        <v>21424</v>
      </c>
      <c r="Z1523" t="s">
        <v>27938</v>
      </c>
      <c r="AA1523">
        <v>0.35964496797680517</v>
      </c>
      <c r="AB1523" t="str">
        <f>HYPERLINK("Melting_Curves/meltCurve_O60678_PRMT3.pdf", "Melting_Curves/meltCurve_O60678_PRMT3.pdf")</f>
        <v>Melting_Curves/meltCurve_O60678_PRMT3.pdf</v>
      </c>
    </row>
    <row r="1524" spans="1:28" x14ac:dyDescent="0.25">
      <c r="A1524" t="s">
        <v>1528</v>
      </c>
      <c r="B1524">
        <v>0.99193492352474899</v>
      </c>
      <c r="C1524">
        <v>0.85997754851103203</v>
      </c>
      <c r="D1524">
        <v>0.91518749618241002</v>
      </c>
      <c r="E1524">
        <v>0.64241591821697996</v>
      </c>
      <c r="F1524">
        <v>0.40549829863578002</v>
      </c>
      <c r="G1524">
        <v>0.147768122755459</v>
      </c>
      <c r="H1524">
        <v>6.7771889613703395E-2</v>
      </c>
      <c r="I1524">
        <v>7.1414113667535806E-2</v>
      </c>
      <c r="J1524">
        <v>8.7466237170646097E-2</v>
      </c>
      <c r="K1524">
        <v>8.2340286001054294E-2</v>
      </c>
      <c r="L1524">
        <v>904.61980630053404</v>
      </c>
      <c r="M1524">
        <v>17.692913978316302</v>
      </c>
      <c r="N1524">
        <v>51.430081891125603</v>
      </c>
      <c r="O1524">
        <v>50.489190775417804</v>
      </c>
      <c r="P1524">
        <v>-8.3300917344056799E-2</v>
      </c>
      <c r="Q1524">
        <v>4.9207198147286302E-2</v>
      </c>
      <c r="R1524">
        <v>0.98635861305188799</v>
      </c>
      <c r="S1524" t="s">
        <v>8194</v>
      </c>
      <c r="T1524" t="s">
        <v>13338</v>
      </c>
      <c r="U1524" t="s">
        <v>13338</v>
      </c>
      <c r="V1524" t="s">
        <v>13338</v>
      </c>
      <c r="W1524" t="s">
        <v>14827</v>
      </c>
      <c r="X1524">
        <v>17</v>
      </c>
      <c r="Y1524" t="s">
        <v>21425</v>
      </c>
      <c r="Z1524" t="s">
        <v>27939</v>
      </c>
      <c r="AA1524">
        <v>0.41841250324120333</v>
      </c>
      <c r="AB1524" t="str">
        <f>HYPERLINK("Melting_Curves/meltCurve_O60701_UGDH.pdf", "Melting_Curves/meltCurve_O60701_UGDH.pdf")</f>
        <v>Melting_Curves/meltCurve_O60701_UGDH.pdf</v>
      </c>
    </row>
    <row r="1525" spans="1:28" x14ac:dyDescent="0.25">
      <c r="A1525" t="s">
        <v>1529</v>
      </c>
      <c r="B1525">
        <v>0.99193492352474899</v>
      </c>
      <c r="C1525">
        <v>0.97715951356502695</v>
      </c>
      <c r="D1525">
        <v>1.1966245191830001</v>
      </c>
      <c r="E1525">
        <v>0.72443645750360897</v>
      </c>
      <c r="F1525">
        <v>0.87239157207250895</v>
      </c>
      <c r="G1525">
        <v>0.49586409009603</v>
      </c>
      <c r="H1525">
        <v>0.25048196703460701</v>
      </c>
      <c r="I1525">
        <v>0.24662086746004</v>
      </c>
      <c r="J1525">
        <v>0.47088515112171397</v>
      </c>
      <c r="K1525">
        <v>0.23346963214993099</v>
      </c>
      <c r="L1525">
        <v>1460.71799097593</v>
      </c>
      <c r="M1525">
        <v>26.580750008429</v>
      </c>
      <c r="N1525">
        <v>56.7643043817395</v>
      </c>
      <c r="O1525">
        <v>54.645766141637502</v>
      </c>
      <c r="P1525">
        <v>-8.6850717328074298E-2</v>
      </c>
      <c r="Q1525">
        <v>0.28580285501114999</v>
      </c>
      <c r="R1525">
        <v>0.86749818074178298</v>
      </c>
      <c r="S1525" t="s">
        <v>8195</v>
      </c>
      <c r="T1525" t="s">
        <v>13338</v>
      </c>
      <c r="U1525" t="s">
        <v>13338</v>
      </c>
      <c r="V1525" t="s">
        <v>13338</v>
      </c>
      <c r="W1525" t="s">
        <v>14828</v>
      </c>
      <c r="X1525">
        <v>2</v>
      </c>
      <c r="Y1525" t="s">
        <v>21426</v>
      </c>
      <c r="Z1525" t="s">
        <v>27940</v>
      </c>
      <c r="AA1525">
        <v>0.64773059329274396</v>
      </c>
      <c r="AB1525" t="str">
        <f>HYPERLINK("Melting_Curves/meltCurve_O60704_TPST2.pdf", "Melting_Curves/meltCurve_O60704_TPST2.pdf")</f>
        <v>Melting_Curves/meltCurve_O60704_TPST2.pdf</v>
      </c>
    </row>
    <row r="1526" spans="1:28" x14ac:dyDescent="0.25">
      <c r="A1526" t="s">
        <v>1530</v>
      </c>
      <c r="B1526">
        <v>0.99193492352474899</v>
      </c>
      <c r="C1526">
        <v>1.11012519171517</v>
      </c>
      <c r="D1526">
        <v>1.05277168349924</v>
      </c>
      <c r="E1526">
        <v>0.38881115107140202</v>
      </c>
      <c r="F1526">
        <v>0.19168850510048899</v>
      </c>
      <c r="G1526">
        <v>9.3203727673501199E-2</v>
      </c>
      <c r="H1526">
        <v>6.5465501935561402E-2</v>
      </c>
      <c r="I1526">
        <v>0.102727932464759</v>
      </c>
      <c r="J1526">
        <v>0.153489398043823</v>
      </c>
      <c r="K1526">
        <v>0.22388215882392201</v>
      </c>
      <c r="L1526">
        <v>8993.4485994123697</v>
      </c>
      <c r="M1526">
        <v>182.211861356106</v>
      </c>
      <c r="N1526">
        <v>49.445036556079103</v>
      </c>
      <c r="O1526">
        <v>49.351157297226997</v>
      </c>
      <c r="P1526">
        <v>-0.79528068889319203</v>
      </c>
      <c r="Q1526">
        <v>0.138409149436621</v>
      </c>
      <c r="R1526">
        <v>0.97996653234017805</v>
      </c>
      <c r="S1526" t="s">
        <v>8196</v>
      </c>
      <c r="T1526" t="s">
        <v>13338</v>
      </c>
      <c r="U1526" t="s">
        <v>13338</v>
      </c>
      <c r="V1526" t="s">
        <v>13338</v>
      </c>
      <c r="W1526" t="s">
        <v>14829</v>
      </c>
      <c r="X1526">
        <v>5</v>
      </c>
      <c r="Y1526" t="s">
        <v>21427</v>
      </c>
      <c r="Z1526" t="s">
        <v>27941</v>
      </c>
      <c r="AA1526">
        <v>0.40728265391245072</v>
      </c>
      <c r="AB1526" t="str">
        <f>HYPERLINK("Melting_Curves/meltCurve_O60711_LPXN.pdf", "Melting_Curves/meltCurve_O60711_LPXN.pdf")</f>
        <v>Melting_Curves/meltCurve_O60711_LPXN.pdf</v>
      </c>
    </row>
    <row r="1527" spans="1:28" x14ac:dyDescent="0.25">
      <c r="A1527" t="s">
        <v>1531</v>
      </c>
      <c r="B1527">
        <v>0.99193492352474899</v>
      </c>
      <c r="C1527">
        <v>1.0553666685901499</v>
      </c>
      <c r="D1527">
        <v>1.0617053258921001</v>
      </c>
      <c r="E1527">
        <v>0.48097037970433498</v>
      </c>
      <c r="F1527">
        <v>0.16974798261310001</v>
      </c>
      <c r="G1527">
        <v>6.5171660931528805E-2</v>
      </c>
      <c r="H1527">
        <v>3.2965912614180103E-2</v>
      </c>
      <c r="I1527">
        <v>5.4265209635009602E-2</v>
      </c>
      <c r="J1527">
        <v>6.94793227329462E-2</v>
      </c>
      <c r="K1527">
        <v>6.0576620420513698E-2</v>
      </c>
      <c r="L1527">
        <v>2618.0804618278798</v>
      </c>
      <c r="M1527">
        <v>52.961794144830897</v>
      </c>
      <c r="N1527">
        <v>49.575457246442902</v>
      </c>
      <c r="O1527">
        <v>49.363048704719901</v>
      </c>
      <c r="P1527">
        <v>-0.249339644755117</v>
      </c>
      <c r="Q1527">
        <v>7.0412342673773304E-2</v>
      </c>
      <c r="R1527">
        <v>0.99063732382512304</v>
      </c>
      <c r="S1527" t="s">
        <v>8197</v>
      </c>
      <c r="T1527" t="s">
        <v>13338</v>
      </c>
      <c r="U1527" t="s">
        <v>13338</v>
      </c>
      <c r="V1527" t="s">
        <v>13338</v>
      </c>
      <c r="W1527" t="s">
        <v>14830</v>
      </c>
      <c r="X1527">
        <v>2</v>
      </c>
      <c r="Y1527" t="s">
        <v>21428</v>
      </c>
      <c r="Z1527" t="s">
        <v>27942</v>
      </c>
      <c r="AA1527">
        <v>0.3645230157914689</v>
      </c>
      <c r="AB1527" t="str">
        <f>HYPERLINK("Melting_Curves/meltCurve_O60725_ICMT.pdf", "Melting_Curves/meltCurve_O60725_ICMT.pdf")</f>
        <v>Melting_Curves/meltCurve_O60725_ICMT.pdf</v>
      </c>
    </row>
    <row r="1528" spans="1:28" x14ac:dyDescent="0.25">
      <c r="A1528" t="s">
        <v>1532</v>
      </c>
      <c r="B1528">
        <v>0.99193492352474899</v>
      </c>
      <c r="C1528">
        <v>0.99425245050448596</v>
      </c>
      <c r="D1528">
        <v>0.85800724495451397</v>
      </c>
      <c r="E1528">
        <v>0.78364625685790701</v>
      </c>
      <c r="F1528">
        <v>0.59297247126520503</v>
      </c>
      <c r="G1528">
        <v>0.34527443952135101</v>
      </c>
      <c r="H1528">
        <v>0.14581593723542</v>
      </c>
      <c r="I1528">
        <v>9.8494031764599393E-2</v>
      </c>
      <c r="J1528">
        <v>0.123981210169524</v>
      </c>
      <c r="K1528">
        <v>0.115763270206999</v>
      </c>
      <c r="L1528">
        <v>798.64850110825603</v>
      </c>
      <c r="M1528">
        <v>14.898742213451399</v>
      </c>
      <c r="N1528">
        <v>54.028394883924399</v>
      </c>
      <c r="O1528">
        <v>52.667162436811999</v>
      </c>
      <c r="P1528">
        <v>-6.6832548871153696E-2</v>
      </c>
      <c r="Q1528">
        <v>5.5083840041380998E-2</v>
      </c>
      <c r="R1528">
        <v>0.991209159989481</v>
      </c>
      <c r="S1528" t="s">
        <v>8198</v>
      </c>
      <c r="T1528" t="s">
        <v>13338</v>
      </c>
      <c r="U1528" t="s">
        <v>13338</v>
      </c>
      <c r="V1528" t="s">
        <v>13338</v>
      </c>
      <c r="W1528" t="s">
        <v>14831</v>
      </c>
      <c r="X1528">
        <v>8</v>
      </c>
      <c r="Y1528" t="s">
        <v>21429</v>
      </c>
      <c r="Z1528" t="s">
        <v>27943</v>
      </c>
      <c r="AA1528">
        <v>0.50356463818961883</v>
      </c>
      <c r="AB1528" t="str">
        <f>HYPERLINK("Melting_Curves/meltCurve_O60739_EIF1B.pdf", "Melting_Curves/meltCurve_O60739_EIF1B.pdf")</f>
        <v>Melting_Curves/meltCurve_O60739_EIF1B.pdf</v>
      </c>
    </row>
    <row r="1529" spans="1:28" x14ac:dyDescent="0.25">
      <c r="A1529" t="s">
        <v>1533</v>
      </c>
      <c r="B1529">
        <v>0.99193492352474899</v>
      </c>
      <c r="C1529">
        <v>0.85866788804707095</v>
      </c>
      <c r="D1529">
        <v>0.90607827745767699</v>
      </c>
      <c r="E1529">
        <v>0.481153306191201</v>
      </c>
      <c r="F1529">
        <v>0.19537401496707299</v>
      </c>
      <c r="G1529">
        <v>0.11252108579852001</v>
      </c>
      <c r="H1529">
        <v>8.2438892991903795E-2</v>
      </c>
      <c r="I1529">
        <v>8.1844229488875903E-2</v>
      </c>
      <c r="J1529">
        <v>9.0695220271423904E-2</v>
      </c>
      <c r="K1529">
        <v>0.10922302698357</v>
      </c>
      <c r="L1529">
        <v>1275.39541692591</v>
      </c>
      <c r="M1529">
        <v>25.9570639282313</v>
      </c>
      <c r="N1529">
        <v>49.501401913211403</v>
      </c>
      <c r="O1529">
        <v>48.845963116040402</v>
      </c>
      <c r="P1529">
        <v>-0.12123644530337099</v>
      </c>
      <c r="Q1529">
        <v>8.7440342907570301E-2</v>
      </c>
      <c r="R1529">
        <v>0.98731605944437595</v>
      </c>
      <c r="S1529" t="s">
        <v>8199</v>
      </c>
      <c r="T1529" t="s">
        <v>13338</v>
      </c>
      <c r="U1529" t="s">
        <v>13338</v>
      </c>
      <c r="V1529" t="s">
        <v>13338</v>
      </c>
      <c r="W1529" t="s">
        <v>14832</v>
      </c>
      <c r="X1529">
        <v>21</v>
      </c>
      <c r="Y1529" t="s">
        <v>21430</v>
      </c>
      <c r="Z1529" t="s">
        <v>27944</v>
      </c>
      <c r="AA1529">
        <v>0.37280206097020457</v>
      </c>
      <c r="AB1529" t="str">
        <f>HYPERLINK("Melting_Curves/meltCurve_O60749_SNX2.pdf", "Melting_Curves/meltCurve_O60749_SNX2.pdf")</f>
        <v>Melting_Curves/meltCurve_O60749_SNX2.pdf</v>
      </c>
    </row>
    <row r="1530" spans="1:28" x14ac:dyDescent="0.25">
      <c r="A1530" t="s">
        <v>1534</v>
      </c>
      <c r="B1530">
        <v>0.99193492352474899</v>
      </c>
      <c r="C1530">
        <v>1.02889691409267</v>
      </c>
      <c r="D1530">
        <v>0.91455840408123201</v>
      </c>
      <c r="E1530">
        <v>0.51426367735531997</v>
      </c>
      <c r="F1530">
        <v>0.14697049845765101</v>
      </c>
      <c r="G1530">
        <v>8.7974359130468804E-2</v>
      </c>
      <c r="H1530">
        <v>5.1081414842301498E-2</v>
      </c>
      <c r="I1530">
        <v>5.8617148768636197E-2</v>
      </c>
      <c r="J1530">
        <v>6.6243914220580596E-2</v>
      </c>
      <c r="K1530">
        <v>8.0922662532156894E-2</v>
      </c>
      <c r="L1530">
        <v>1599.7034386564001</v>
      </c>
      <c r="M1530">
        <v>32.343966822966401</v>
      </c>
      <c r="N1530">
        <v>49.672369466214697</v>
      </c>
      <c r="O1530">
        <v>49.271182308592998</v>
      </c>
      <c r="P1530">
        <v>-0.15347395491871699</v>
      </c>
      <c r="Q1530">
        <v>6.48263055757584E-2</v>
      </c>
      <c r="R1530">
        <v>0.99871885109821201</v>
      </c>
      <c r="S1530" t="s">
        <v>8200</v>
      </c>
      <c r="T1530" t="s">
        <v>13338</v>
      </c>
      <c r="U1530" t="s">
        <v>13338</v>
      </c>
      <c r="V1530" t="s">
        <v>13338</v>
      </c>
      <c r="W1530" t="s">
        <v>14833</v>
      </c>
      <c r="X1530">
        <v>30</v>
      </c>
      <c r="Y1530" t="s">
        <v>21431</v>
      </c>
      <c r="Z1530" t="s">
        <v>27945</v>
      </c>
      <c r="AA1530">
        <v>0.36461044686005267</v>
      </c>
      <c r="AB1530" t="str">
        <f>HYPERLINK("Melting_Curves/meltCurve_O60763_USO1.pdf", "Melting_Curves/meltCurve_O60763_USO1.pdf")</f>
        <v>Melting_Curves/meltCurve_O60763_USO1.pdf</v>
      </c>
    </row>
    <row r="1531" spans="1:28" x14ac:dyDescent="0.25">
      <c r="A1531" t="s">
        <v>1535</v>
      </c>
      <c r="B1531">
        <v>0.99193492352474899</v>
      </c>
      <c r="C1531">
        <v>0.49309885745695298</v>
      </c>
      <c r="D1531">
        <v>0.67735879097227503</v>
      </c>
      <c r="E1531">
        <v>0.34639106386445001</v>
      </c>
      <c r="F1531">
        <v>0.220001380643323</v>
      </c>
      <c r="G1531">
        <v>0.13985851440700001</v>
      </c>
      <c r="H1531">
        <v>0.11227842824854301</v>
      </c>
      <c r="I1531">
        <v>0.113324739178532</v>
      </c>
      <c r="J1531">
        <v>0.17153277596816799</v>
      </c>
      <c r="K1531">
        <v>0.177635218783154</v>
      </c>
      <c r="L1531">
        <v>569.22320327647697</v>
      </c>
      <c r="M1531">
        <v>12.5256001767188</v>
      </c>
      <c r="N1531">
        <v>46.426734606446701</v>
      </c>
      <c r="O1531">
        <v>44.333069946107202</v>
      </c>
      <c r="P1531">
        <v>-6.2426765886172901E-2</v>
      </c>
      <c r="Q1531">
        <v>0.116367551680594</v>
      </c>
      <c r="R1531">
        <v>0.87404961616548504</v>
      </c>
      <c r="S1531" t="s">
        <v>8201</v>
      </c>
      <c r="T1531" t="s">
        <v>13338</v>
      </c>
      <c r="U1531" t="s">
        <v>13338</v>
      </c>
      <c r="V1531" t="s">
        <v>13338</v>
      </c>
      <c r="W1531" t="s">
        <v>14834</v>
      </c>
      <c r="X1531">
        <v>1</v>
      </c>
      <c r="Y1531" t="s">
        <v>21432</v>
      </c>
      <c r="Z1531" t="s">
        <v>27946</v>
      </c>
      <c r="AA1531">
        <v>0.3157297367285391</v>
      </c>
      <c r="AB1531" t="str">
        <f>HYPERLINK("Melting_Curves/meltCurve_O60783_MRPS14.pdf", "Melting_Curves/meltCurve_O60783_MRPS14.pdf")</f>
        <v>Melting_Curves/meltCurve_O60783_MRPS14.pdf</v>
      </c>
    </row>
    <row r="1532" spans="1:28" x14ac:dyDescent="0.25">
      <c r="A1532" t="s">
        <v>1536</v>
      </c>
      <c r="B1532">
        <v>0.99193492352474899</v>
      </c>
      <c r="C1532">
        <v>0.824548514005495</v>
      </c>
      <c r="D1532">
        <v>0.87591551052073002</v>
      </c>
      <c r="E1532">
        <v>0.46785378323923599</v>
      </c>
      <c r="F1532">
        <v>0.21684982062303801</v>
      </c>
      <c r="G1532">
        <v>0.109262956818862</v>
      </c>
      <c r="H1532">
        <v>6.6320038076533097E-2</v>
      </c>
      <c r="I1532">
        <v>6.7845283345915303E-2</v>
      </c>
      <c r="J1532">
        <v>9.9240909761850404E-2</v>
      </c>
      <c r="K1532">
        <v>9.5364717282058004E-2</v>
      </c>
      <c r="L1532">
        <v>1036.2692872155701</v>
      </c>
      <c r="M1532">
        <v>21.1417925740021</v>
      </c>
      <c r="N1532">
        <v>49.3798554230072</v>
      </c>
      <c r="O1532">
        <v>48.5830062204246</v>
      </c>
      <c r="P1532">
        <v>-0.10093201089760501</v>
      </c>
      <c r="Q1532">
        <v>7.2273275617994501E-2</v>
      </c>
      <c r="R1532">
        <v>0.98199430039776203</v>
      </c>
      <c r="S1532" t="s">
        <v>8202</v>
      </c>
      <c r="T1532" t="s">
        <v>13338</v>
      </c>
      <c r="U1532" t="s">
        <v>13338</v>
      </c>
      <c r="V1532" t="s">
        <v>13338</v>
      </c>
      <c r="W1532" t="s">
        <v>14835</v>
      </c>
      <c r="X1532">
        <v>16</v>
      </c>
      <c r="Y1532" t="s">
        <v>21433</v>
      </c>
      <c r="Z1532" t="s">
        <v>27947</v>
      </c>
      <c r="AA1532">
        <v>0.36266450934191058</v>
      </c>
      <c r="AB1532" t="str">
        <f>HYPERLINK("Melting_Curves/meltCurve_O60826_CCDC22.pdf", "Melting_Curves/meltCurve_O60826_CCDC22.pdf")</f>
        <v>Melting_Curves/meltCurve_O60826_CCDC22.pdf</v>
      </c>
    </row>
    <row r="1533" spans="1:28" x14ac:dyDescent="0.25">
      <c r="A1533" t="s">
        <v>1537</v>
      </c>
      <c r="B1533">
        <v>0.99193492352474899</v>
      </c>
      <c r="C1533">
        <v>0.77165735307705796</v>
      </c>
      <c r="D1533">
        <v>0.97963746441666699</v>
      </c>
      <c r="E1533">
        <v>0.68190749179648402</v>
      </c>
      <c r="F1533">
        <v>0.54764464697912896</v>
      </c>
      <c r="G1533">
        <v>0.412091920658052</v>
      </c>
      <c r="H1533">
        <v>0.38476049771590498</v>
      </c>
      <c r="I1533">
        <v>0.58054795595906294</v>
      </c>
      <c r="J1533">
        <v>0.72711417949309498</v>
      </c>
      <c r="K1533">
        <v>0.93132147565962797</v>
      </c>
      <c r="L1533">
        <v>2745.1155158706802</v>
      </c>
      <c r="M1533">
        <v>56.719537644107902</v>
      </c>
      <c r="O1533">
        <v>48.338007609649402</v>
      </c>
      <c r="P1533">
        <v>-0.11813155195960399</v>
      </c>
      <c r="Q1533">
        <v>0.597299899070175</v>
      </c>
      <c r="R1533">
        <v>0.40612254454465901</v>
      </c>
      <c r="S1533" t="s">
        <v>8203</v>
      </c>
      <c r="T1533" t="s">
        <v>13338</v>
      </c>
      <c r="U1533" t="s">
        <v>13338</v>
      </c>
      <c r="V1533" t="s">
        <v>13338</v>
      </c>
      <c r="W1533" t="s">
        <v>14836</v>
      </c>
      <c r="X1533">
        <v>6</v>
      </c>
      <c r="Y1533" t="s">
        <v>21434</v>
      </c>
      <c r="Z1533" t="s">
        <v>27948</v>
      </c>
      <c r="AA1533">
        <v>0.71069715868230887</v>
      </c>
      <c r="AB1533" t="str">
        <f>HYPERLINK("Melting_Curves/meltCurve_O60828_PQBP1.pdf", "Melting_Curves/meltCurve_O60828_PQBP1.pdf")</f>
        <v>Melting_Curves/meltCurve_O60828_PQBP1.pdf</v>
      </c>
    </row>
    <row r="1534" spans="1:28" x14ac:dyDescent="0.25">
      <c r="A1534" t="s">
        <v>1538</v>
      </c>
      <c r="B1534">
        <v>0.99193492352474899</v>
      </c>
      <c r="C1534">
        <v>0.95167831926972302</v>
      </c>
      <c r="D1534">
        <v>0.95969840991234001</v>
      </c>
      <c r="E1534">
        <v>0.85394395930403899</v>
      </c>
      <c r="F1534">
        <v>0.68478850680418701</v>
      </c>
      <c r="G1534">
        <v>0.54850829841137005</v>
      </c>
      <c r="H1534">
        <v>0.51057985699727604</v>
      </c>
      <c r="I1534">
        <v>0.41367565350701002</v>
      </c>
      <c r="J1534">
        <v>0.36354978984075897</v>
      </c>
      <c r="K1534">
        <v>0.14431932648981199</v>
      </c>
      <c r="L1534">
        <v>474.14567356757402</v>
      </c>
      <c r="M1534">
        <v>7.9252881782976399</v>
      </c>
      <c r="N1534">
        <v>59.826931539227502</v>
      </c>
      <c r="O1534">
        <v>56.377558069857201</v>
      </c>
      <c r="P1534">
        <v>-3.5184970938802802E-2</v>
      </c>
      <c r="Q1534">
        <v>0</v>
      </c>
      <c r="R1534">
        <v>0.96835055192534503</v>
      </c>
      <c r="S1534" t="s">
        <v>8204</v>
      </c>
      <c r="T1534" t="s">
        <v>13338</v>
      </c>
      <c r="U1534" t="s">
        <v>13338</v>
      </c>
      <c r="V1534" t="s">
        <v>13338</v>
      </c>
      <c r="W1534" t="s">
        <v>14837</v>
      </c>
      <c r="X1534">
        <v>5</v>
      </c>
      <c r="Y1534" t="s">
        <v>21435</v>
      </c>
      <c r="Z1534" t="s">
        <v>27949</v>
      </c>
      <c r="AA1534">
        <v>0.64698368658584804</v>
      </c>
      <c r="AB1534" t="str">
        <f>HYPERLINK("Melting_Curves/meltCurve_O60830_TIMM17B.pdf", "Melting_Curves/meltCurve_O60830_TIMM17B.pdf")</f>
        <v>Melting_Curves/meltCurve_O60830_TIMM17B.pdf</v>
      </c>
    </row>
    <row r="1535" spans="1:28" x14ac:dyDescent="0.25">
      <c r="A1535" t="s">
        <v>1539</v>
      </c>
      <c r="B1535">
        <v>0.99193492352474899</v>
      </c>
      <c r="C1535">
        <v>0.85214039403688602</v>
      </c>
      <c r="D1535">
        <v>0.88429754720753795</v>
      </c>
      <c r="E1535">
        <v>0.62351252694221804</v>
      </c>
      <c r="F1535">
        <v>0.53831502481555704</v>
      </c>
      <c r="G1535">
        <v>0.40595813376597201</v>
      </c>
      <c r="H1535">
        <v>0.286648944813576</v>
      </c>
      <c r="I1535">
        <v>0.26242318560088401</v>
      </c>
      <c r="J1535">
        <v>0.271358335050644</v>
      </c>
      <c r="K1535">
        <v>0.25509944382774202</v>
      </c>
      <c r="L1535">
        <v>586.25810850657194</v>
      </c>
      <c r="M1535">
        <v>11.504835900350599</v>
      </c>
      <c r="N1535">
        <v>53.487844974488297</v>
      </c>
      <c r="O1535">
        <v>49.490919515927899</v>
      </c>
      <c r="P1535">
        <v>-4.5932635415084702E-2</v>
      </c>
      <c r="Q1535">
        <v>0.209861645575672</v>
      </c>
      <c r="R1535">
        <v>0.98241153860161301</v>
      </c>
      <c r="S1535" t="s">
        <v>8205</v>
      </c>
      <c r="T1535" t="s">
        <v>13338</v>
      </c>
      <c r="U1535" t="s">
        <v>13338</v>
      </c>
      <c r="V1535" t="s">
        <v>13338</v>
      </c>
      <c r="W1535" t="s">
        <v>14838</v>
      </c>
      <c r="X1535">
        <v>3</v>
      </c>
      <c r="Y1535" t="s">
        <v>21436</v>
      </c>
      <c r="Z1535" t="s">
        <v>27950</v>
      </c>
      <c r="AA1535">
        <v>0.52588413137882961</v>
      </c>
      <c r="AB1535" t="str">
        <f>HYPERLINK("Melting_Curves/meltCurve_O60831_PRAF2.pdf", "Melting_Curves/meltCurve_O60831_PRAF2.pdf")</f>
        <v>Melting_Curves/meltCurve_O60831_PRAF2.pdf</v>
      </c>
    </row>
    <row r="1536" spans="1:28" x14ac:dyDescent="0.25">
      <c r="A1536" t="s">
        <v>1540</v>
      </c>
      <c r="B1536">
        <v>0.99193492352474899</v>
      </c>
      <c r="C1536">
        <v>0.77370002168603003</v>
      </c>
      <c r="D1536">
        <v>0.99352512743301702</v>
      </c>
      <c r="E1536">
        <v>0.72278230576648805</v>
      </c>
      <c r="F1536">
        <v>0.82209024656473295</v>
      </c>
      <c r="G1536">
        <v>0.57530293013545897</v>
      </c>
      <c r="H1536">
        <v>0.53177445017436997</v>
      </c>
      <c r="I1536">
        <v>0.27808501618860099</v>
      </c>
      <c r="J1536">
        <v>0.22791098873974899</v>
      </c>
      <c r="K1536">
        <v>0.185498319067188</v>
      </c>
      <c r="L1536">
        <v>507.54811591182403</v>
      </c>
      <c r="M1536">
        <v>8.5939396011665092</v>
      </c>
      <c r="N1536">
        <v>59.058841316386399</v>
      </c>
      <c r="O1536">
        <v>56.1219340359794</v>
      </c>
      <c r="P1536">
        <v>-3.8315543197829802E-2</v>
      </c>
      <c r="Q1536">
        <v>0</v>
      </c>
      <c r="R1536">
        <v>0.90406826492178305</v>
      </c>
      <c r="S1536" t="s">
        <v>8206</v>
      </c>
      <c r="T1536" t="s">
        <v>13338</v>
      </c>
      <c r="U1536" t="s">
        <v>13338</v>
      </c>
      <c r="V1536" t="s">
        <v>13338</v>
      </c>
      <c r="W1536" t="s">
        <v>14839</v>
      </c>
      <c r="X1536">
        <v>19</v>
      </c>
      <c r="Y1536" t="s">
        <v>21437</v>
      </c>
      <c r="Z1536" t="s">
        <v>27951</v>
      </c>
      <c r="AA1536">
        <v>0.6325424946546957</v>
      </c>
      <c r="AB1536" t="str">
        <f>HYPERLINK("Melting_Curves/meltCurve_O60832_DKC1.pdf", "Melting_Curves/meltCurve_O60832_DKC1.pdf")</f>
        <v>Melting_Curves/meltCurve_O60832_DKC1.pdf</v>
      </c>
    </row>
    <row r="1537" spans="1:28" x14ac:dyDescent="0.25">
      <c r="A1537" t="s">
        <v>1541</v>
      </c>
      <c r="B1537">
        <v>0.99193492352474899</v>
      </c>
      <c r="C1537">
        <v>0.69820578969810798</v>
      </c>
      <c r="D1537">
        <v>0.86432763405388102</v>
      </c>
      <c r="E1537">
        <v>0.56060543071630697</v>
      </c>
      <c r="F1537">
        <v>0.27586865454667497</v>
      </c>
      <c r="G1537">
        <v>0.108632607057188</v>
      </c>
      <c r="H1537">
        <v>7.4744925963168202E-2</v>
      </c>
      <c r="I1537">
        <v>8.7815938079869205E-2</v>
      </c>
      <c r="J1537">
        <v>9.6691582877897503E-2</v>
      </c>
      <c r="K1537">
        <v>0.12401763259166899</v>
      </c>
      <c r="L1537">
        <v>735.618750064604</v>
      </c>
      <c r="M1537">
        <v>14.887193450658801</v>
      </c>
      <c r="N1537">
        <v>49.8080622416363</v>
      </c>
      <c r="O1537">
        <v>48.546970632327401</v>
      </c>
      <c r="P1537">
        <v>-7.2400690784445901E-2</v>
      </c>
      <c r="Q1537">
        <v>5.5706881012137797E-2</v>
      </c>
      <c r="R1537">
        <v>0.94140274922247003</v>
      </c>
      <c r="S1537" t="s">
        <v>8207</v>
      </c>
      <c r="T1537" t="s">
        <v>13338</v>
      </c>
      <c r="U1537" t="s">
        <v>13338</v>
      </c>
      <c r="V1537" t="s">
        <v>13338</v>
      </c>
      <c r="W1537" t="s">
        <v>14840</v>
      </c>
      <c r="X1537">
        <v>59</v>
      </c>
      <c r="Y1537" t="s">
        <v>21438</v>
      </c>
      <c r="Z1537" t="s">
        <v>27952</v>
      </c>
      <c r="AA1537">
        <v>0.37527297037644047</v>
      </c>
      <c r="AB1537" t="str">
        <f>HYPERLINK("Melting_Curves/meltCurve_O60841_EIF5B.pdf", "Melting_Curves/meltCurve_O60841_EIF5B.pdf")</f>
        <v>Melting_Curves/meltCurve_O60841_EIF5B.pdf</v>
      </c>
    </row>
    <row r="1538" spans="1:28" x14ac:dyDescent="0.25">
      <c r="A1538" t="s">
        <v>1542</v>
      </c>
      <c r="B1538">
        <v>0.99193492352474899</v>
      </c>
      <c r="C1538">
        <v>0.88474383834338599</v>
      </c>
      <c r="D1538">
        <v>0.487313720774182</v>
      </c>
      <c r="E1538">
        <v>0.26984332316696402</v>
      </c>
      <c r="F1538">
        <v>0.25816695656886401</v>
      </c>
      <c r="G1538">
        <v>0.12642859422435501</v>
      </c>
      <c r="H1538">
        <v>0.11736360934347299</v>
      </c>
      <c r="I1538">
        <v>0.103270077076591</v>
      </c>
      <c r="J1538">
        <v>0.12093255867948501</v>
      </c>
      <c r="K1538">
        <v>7.85290628288835E-2</v>
      </c>
      <c r="L1538">
        <v>1021.34406749178</v>
      </c>
      <c r="M1538">
        <v>22.3041491338249</v>
      </c>
      <c r="N1538">
        <v>46.378767093943999</v>
      </c>
      <c r="O1538">
        <v>45.428326647392602</v>
      </c>
      <c r="P1538">
        <v>-0.107649200729104</v>
      </c>
      <c r="Q1538">
        <v>0.12299368349173399</v>
      </c>
      <c r="R1538">
        <v>0.98276829504719498</v>
      </c>
      <c r="S1538" t="s">
        <v>8208</v>
      </c>
      <c r="T1538" t="s">
        <v>13338</v>
      </c>
      <c r="U1538" t="s">
        <v>13338</v>
      </c>
      <c r="V1538" t="s">
        <v>13338</v>
      </c>
      <c r="W1538" t="s">
        <v>14841</v>
      </c>
      <c r="X1538">
        <v>1</v>
      </c>
      <c r="Y1538" t="s">
        <v>21439</v>
      </c>
      <c r="Z1538" t="s">
        <v>27953</v>
      </c>
      <c r="AA1538">
        <v>0.30299836348585951</v>
      </c>
      <c r="AB1538" t="str">
        <f>HYPERLINK("Melting_Curves/meltCurve_O60858_TRIM13.pdf", "Melting_Curves/meltCurve_O60858_TRIM13.pdf")</f>
        <v>Melting_Curves/meltCurve_O60858_TRIM13.pdf</v>
      </c>
    </row>
    <row r="1539" spans="1:28" x14ac:dyDescent="0.25">
      <c r="A1539" t="s">
        <v>1543</v>
      </c>
      <c r="B1539">
        <v>0.99193492352474899</v>
      </c>
      <c r="C1539">
        <v>0.88682235931741904</v>
      </c>
      <c r="D1539">
        <v>0.33844623164561699</v>
      </c>
      <c r="E1539">
        <v>0.20980888649572599</v>
      </c>
      <c r="F1539">
        <v>0.13504054050233599</v>
      </c>
      <c r="G1539">
        <v>9.3921972749878901E-2</v>
      </c>
      <c r="H1539">
        <v>5.1563905539057701E-2</v>
      </c>
      <c r="I1539">
        <v>7.86364623960919E-2</v>
      </c>
      <c r="J1539">
        <v>7.1813504972710399E-2</v>
      </c>
      <c r="K1539">
        <v>7.8487543545622804E-2</v>
      </c>
      <c r="L1539">
        <v>1660.5981638634801</v>
      </c>
      <c r="M1539">
        <v>36.963922110612302</v>
      </c>
      <c r="N1539">
        <v>45.185239334659997</v>
      </c>
      <c r="O1539">
        <v>44.793958841759199</v>
      </c>
      <c r="P1539">
        <v>-0.18650967346911301</v>
      </c>
      <c r="Q1539">
        <v>9.5931190629647001E-2</v>
      </c>
      <c r="R1539">
        <v>0.98819515467175001</v>
      </c>
      <c r="S1539" t="s">
        <v>8209</v>
      </c>
      <c r="T1539" t="s">
        <v>13338</v>
      </c>
      <c r="U1539" t="s">
        <v>13338</v>
      </c>
      <c r="V1539" t="s">
        <v>13338</v>
      </c>
      <c r="W1539" t="s">
        <v>14842</v>
      </c>
      <c r="X1539">
        <v>5</v>
      </c>
      <c r="Y1539" t="s">
        <v>21440</v>
      </c>
      <c r="Z1539" t="s">
        <v>27954</v>
      </c>
      <c r="AA1539">
        <v>0.2479287488785604</v>
      </c>
      <c r="AB1539" t="str">
        <f>HYPERLINK("Melting_Curves/meltCurve_O60861_GAS7.pdf", "Melting_Curves/meltCurve_O60861_GAS7.pdf")</f>
        <v>Melting_Curves/meltCurve_O60861_GAS7.pdf</v>
      </c>
    </row>
    <row r="1540" spans="1:28" x14ac:dyDescent="0.25">
      <c r="A1540" t="s">
        <v>1544</v>
      </c>
      <c r="B1540">
        <v>0.99193492352474899</v>
      </c>
      <c r="C1540">
        <v>1.2042165459758001</v>
      </c>
      <c r="D1540">
        <v>0.84454158545841096</v>
      </c>
      <c r="E1540">
        <v>1.0188139556951901</v>
      </c>
      <c r="F1540">
        <v>0.64208377476156497</v>
      </c>
      <c r="G1540">
        <v>0.57484277521606297</v>
      </c>
      <c r="H1540">
        <v>0.54117389356689904</v>
      </c>
      <c r="I1540">
        <v>0.83158977625999897</v>
      </c>
      <c r="J1540">
        <v>0.69839780324368295</v>
      </c>
      <c r="K1540">
        <v>0.86204093461918796</v>
      </c>
      <c r="L1540">
        <v>6466.5103017586998</v>
      </c>
      <c r="M1540">
        <v>126.339865737807</v>
      </c>
      <c r="O1540">
        <v>51.1706295788087</v>
      </c>
      <c r="P1540">
        <v>-0.190479364794643</v>
      </c>
      <c r="Q1540">
        <v>0.69140543981862501</v>
      </c>
      <c r="R1540">
        <v>0.61787290680822404</v>
      </c>
      <c r="S1540" t="s">
        <v>8210</v>
      </c>
      <c r="T1540" t="s">
        <v>13338</v>
      </c>
      <c r="U1540" t="s">
        <v>13338</v>
      </c>
      <c r="V1540" t="s">
        <v>13338</v>
      </c>
      <c r="W1540" t="s">
        <v>14843</v>
      </c>
      <c r="X1540">
        <v>10</v>
      </c>
      <c r="Y1540" t="s">
        <v>21441</v>
      </c>
      <c r="Z1540" t="s">
        <v>27955</v>
      </c>
      <c r="AA1540">
        <v>0.80655245272996312</v>
      </c>
      <c r="AB1540" t="str">
        <f>HYPERLINK("Melting_Curves/meltCurve_O60869_EDF1.pdf", "Melting_Curves/meltCurve_O60869_EDF1.pdf")</f>
        <v>Melting_Curves/meltCurve_O60869_EDF1.pdf</v>
      </c>
    </row>
    <row r="1541" spans="1:28" x14ac:dyDescent="0.25">
      <c r="A1541" t="s">
        <v>1545</v>
      </c>
      <c r="B1541">
        <v>0.99193492352474899</v>
      </c>
      <c r="C1541">
        <v>0.48229425867313902</v>
      </c>
      <c r="D1541">
        <v>0.68142969172478496</v>
      </c>
      <c r="E1541">
        <v>0.191500283795801</v>
      </c>
      <c r="F1541">
        <v>0.113383863727058</v>
      </c>
      <c r="G1541">
        <v>6.0222371955702798E-2</v>
      </c>
      <c r="H1541">
        <v>3.8854886607779499E-2</v>
      </c>
      <c r="I1541">
        <v>7.2026262352066897E-2</v>
      </c>
      <c r="J1541">
        <v>4.2356260827150202E-2</v>
      </c>
      <c r="K1541">
        <v>4.2049245702496199E-2</v>
      </c>
      <c r="L1541">
        <v>627.58717651152597</v>
      </c>
      <c r="M1541">
        <v>13.777743934192401</v>
      </c>
      <c r="N1541">
        <v>45.698352746751098</v>
      </c>
      <c r="O1541">
        <v>44.623355121870702</v>
      </c>
      <c r="P1541">
        <v>-7.5520364420907996E-2</v>
      </c>
      <c r="Q1541">
        <v>2.1756435708756801E-2</v>
      </c>
      <c r="R1541">
        <v>0.887288169979082</v>
      </c>
      <c r="S1541" t="s">
        <v>8211</v>
      </c>
      <c r="T1541" t="s">
        <v>13338</v>
      </c>
      <c r="U1541" t="s">
        <v>13338</v>
      </c>
      <c r="V1541" t="s">
        <v>13338</v>
      </c>
      <c r="W1541" t="s">
        <v>14844</v>
      </c>
      <c r="X1541">
        <v>8</v>
      </c>
      <c r="Y1541" t="s">
        <v>21442</v>
      </c>
      <c r="Z1541" t="s">
        <v>27956</v>
      </c>
      <c r="AA1541">
        <v>0.23818902200441239</v>
      </c>
      <c r="AB1541" t="str">
        <f>HYPERLINK("Melting_Curves/meltCurve_O60870_KIN.pdf", "Melting_Curves/meltCurve_O60870_KIN.pdf")</f>
        <v>Melting_Curves/meltCurve_O60870_KIN.pdf</v>
      </c>
    </row>
    <row r="1542" spans="1:28" x14ac:dyDescent="0.25">
      <c r="A1542" t="s">
        <v>1546</v>
      </c>
      <c r="B1542">
        <v>0.99193492352474899</v>
      </c>
      <c r="C1542">
        <v>0.74188896739464805</v>
      </c>
      <c r="D1542">
        <v>0.85451990348042195</v>
      </c>
      <c r="E1542">
        <v>0.39314455588633501</v>
      </c>
      <c r="F1542">
        <v>0.16082301611868799</v>
      </c>
      <c r="G1542">
        <v>7.7564878300066795E-2</v>
      </c>
      <c r="H1542">
        <v>5.2381566060488702E-2</v>
      </c>
      <c r="I1542">
        <v>6.1889750148236299E-2</v>
      </c>
      <c r="J1542">
        <v>7.3137687658549597E-2</v>
      </c>
      <c r="K1542">
        <v>9.2792808990486794E-2</v>
      </c>
      <c r="L1542">
        <v>957.959317035249</v>
      </c>
      <c r="M1542">
        <v>19.816568697891501</v>
      </c>
      <c r="N1542">
        <v>48.616570546093399</v>
      </c>
      <c r="O1542">
        <v>47.857126731742703</v>
      </c>
      <c r="P1542">
        <v>-9.8029703320033898E-2</v>
      </c>
      <c r="Q1542">
        <v>5.3062792683592298E-2</v>
      </c>
      <c r="R1542">
        <v>0.95983763107731002</v>
      </c>
      <c r="S1542" t="s">
        <v>8212</v>
      </c>
      <c r="T1542" t="s">
        <v>13338</v>
      </c>
      <c r="U1542" t="s">
        <v>13338</v>
      </c>
      <c r="V1542" t="s">
        <v>13338</v>
      </c>
      <c r="W1542" t="s">
        <v>14845</v>
      </c>
      <c r="X1542">
        <v>5</v>
      </c>
      <c r="Y1542" t="s">
        <v>21443</v>
      </c>
      <c r="Z1542" t="s">
        <v>27957</v>
      </c>
      <c r="AA1542">
        <v>0.32998684898801028</v>
      </c>
      <c r="AB1542" t="str">
        <f>HYPERLINK("Melting_Curves/meltCurve_O60880_SH2D1A.pdf", "Melting_Curves/meltCurve_O60880_SH2D1A.pdf")</f>
        <v>Melting_Curves/meltCurve_O60880_SH2D1A.pdf</v>
      </c>
    </row>
    <row r="1543" spans="1:28" x14ac:dyDescent="0.25">
      <c r="A1543" t="s">
        <v>1547</v>
      </c>
      <c r="B1543">
        <v>0.99193492352474899</v>
      </c>
      <c r="C1543">
        <v>0.91642246269610095</v>
      </c>
      <c r="D1543">
        <v>0.76315992776435204</v>
      </c>
      <c r="E1543">
        <v>0.50584592778465098</v>
      </c>
      <c r="F1543">
        <v>0.17807083034718801</v>
      </c>
      <c r="G1543">
        <v>0.119489004927829</v>
      </c>
      <c r="H1543">
        <v>6.5218853968661603E-2</v>
      </c>
      <c r="I1543">
        <v>8.7697257447319002E-2</v>
      </c>
      <c r="J1543">
        <v>7.8073317284234806E-2</v>
      </c>
      <c r="K1543">
        <v>0.101587892185678</v>
      </c>
      <c r="L1543">
        <v>957.17656979717299</v>
      </c>
      <c r="M1543">
        <v>19.6245493033977</v>
      </c>
      <c r="N1543">
        <v>49.150093839286598</v>
      </c>
      <c r="O1543">
        <v>48.276466901061298</v>
      </c>
      <c r="P1543">
        <v>-9.4551927097041993E-2</v>
      </c>
      <c r="Q1543">
        <v>6.9640337374080902E-2</v>
      </c>
      <c r="R1543">
        <v>0.99490619444802497</v>
      </c>
      <c r="S1543" t="s">
        <v>8213</v>
      </c>
      <c r="T1543" t="s">
        <v>13338</v>
      </c>
      <c r="U1543" t="s">
        <v>13338</v>
      </c>
      <c r="V1543" t="s">
        <v>13338</v>
      </c>
      <c r="W1543" t="s">
        <v>14846</v>
      </c>
      <c r="X1543">
        <v>4</v>
      </c>
      <c r="Y1543" t="s">
        <v>21443</v>
      </c>
      <c r="Z1543" t="s">
        <v>27958</v>
      </c>
      <c r="AA1543">
        <v>0.35533332419074881</v>
      </c>
      <c r="AB1543" t="str">
        <f>HYPERLINK("Melting_Curves/meltCurve_O60880_4_SH2D1A.pdf", "Melting_Curves/meltCurve_O60880_4_SH2D1A.pdf")</f>
        <v>Melting_Curves/meltCurve_O60880_4_SH2D1A.pdf</v>
      </c>
    </row>
    <row r="1544" spans="1:28" x14ac:dyDescent="0.25">
      <c r="A1544" t="s">
        <v>1548</v>
      </c>
      <c r="B1544">
        <v>0.99193492352474899</v>
      </c>
      <c r="C1544">
        <v>0.75339713088976401</v>
      </c>
      <c r="D1544">
        <v>0.86458920132284001</v>
      </c>
      <c r="E1544">
        <v>0.64450425272266398</v>
      </c>
      <c r="F1544">
        <v>0.55877881378920802</v>
      </c>
      <c r="G1544">
        <v>0.26547757465893401</v>
      </c>
      <c r="H1544">
        <v>9.7266537854475296E-2</v>
      </c>
      <c r="I1544">
        <v>0.120001607957484</v>
      </c>
      <c r="J1544">
        <v>0.115704160815221</v>
      </c>
      <c r="K1544">
        <v>0.14226238974986299</v>
      </c>
      <c r="L1544">
        <v>559.93130488233896</v>
      </c>
      <c r="M1544">
        <v>10.721147405715101</v>
      </c>
      <c r="N1544">
        <v>52.3958897527516</v>
      </c>
      <c r="O1544">
        <v>50.508184313969601</v>
      </c>
      <c r="P1544">
        <v>-5.21835004240849E-2</v>
      </c>
      <c r="Q1544">
        <v>1.7003936227128199E-2</v>
      </c>
      <c r="R1544">
        <v>0.94954704575437199</v>
      </c>
      <c r="S1544" t="s">
        <v>8214</v>
      </c>
      <c r="T1544" t="s">
        <v>13338</v>
      </c>
      <c r="U1544" t="s">
        <v>13338</v>
      </c>
      <c r="V1544" t="s">
        <v>13338</v>
      </c>
      <c r="W1544" t="s">
        <v>14847</v>
      </c>
      <c r="X1544">
        <v>18</v>
      </c>
      <c r="Y1544" t="s">
        <v>21444</v>
      </c>
      <c r="Z1544" t="s">
        <v>27959</v>
      </c>
      <c r="AA1544">
        <v>0.45148338719538572</v>
      </c>
      <c r="AB1544" t="str">
        <f>HYPERLINK("Melting_Curves/meltCurve_O60884_DNAJA2.pdf", "Melting_Curves/meltCurve_O60884_DNAJA2.pdf")</f>
        <v>Melting_Curves/meltCurve_O60884_DNAJA2.pdf</v>
      </c>
    </row>
    <row r="1545" spans="1:28" x14ac:dyDescent="0.25">
      <c r="A1545" t="s">
        <v>1549</v>
      </c>
      <c r="B1545">
        <v>0.99193492352474899</v>
      </c>
      <c r="C1545">
        <v>0.632152192910449</v>
      </c>
      <c r="D1545">
        <v>0.43250430033663001</v>
      </c>
      <c r="E1545">
        <v>0.19865875983641301</v>
      </c>
      <c r="F1545">
        <v>0.13788368322705499</v>
      </c>
      <c r="G1545">
        <v>0.101876199713444</v>
      </c>
      <c r="H1545">
        <v>8.1078536494768205E-2</v>
      </c>
      <c r="I1545">
        <v>0.121564524467771</v>
      </c>
      <c r="J1545">
        <v>0.134394483928925</v>
      </c>
      <c r="K1545">
        <v>0.18332226689930201</v>
      </c>
      <c r="L1545">
        <v>945.57773434085902</v>
      </c>
      <c r="M1545">
        <v>21.391473315150201</v>
      </c>
      <c r="N1545">
        <v>44.795191406717699</v>
      </c>
      <c r="O1545">
        <v>43.822627821248403</v>
      </c>
      <c r="P1545">
        <v>-0.107018005297373</v>
      </c>
      <c r="Q1545">
        <v>0.12307245030493601</v>
      </c>
      <c r="R1545">
        <v>0.97662700498170296</v>
      </c>
      <c r="S1545" t="s">
        <v>8215</v>
      </c>
      <c r="T1545" t="s">
        <v>13338</v>
      </c>
      <c r="U1545" t="s">
        <v>13338</v>
      </c>
      <c r="V1545" t="s">
        <v>13338</v>
      </c>
      <c r="W1545" t="s">
        <v>14848</v>
      </c>
      <c r="X1545">
        <v>16</v>
      </c>
      <c r="Y1545" t="s">
        <v>21445</v>
      </c>
      <c r="Z1545" t="s">
        <v>27960</v>
      </c>
      <c r="AA1545">
        <v>0.26005082569205829</v>
      </c>
      <c r="AB1545" t="str">
        <f>HYPERLINK("Melting_Curves/meltCurve_O60885_BRD4.pdf", "Melting_Curves/meltCurve_O60885_BRD4.pdf")</f>
        <v>Melting_Curves/meltCurve_O60885_BRD4.pdf</v>
      </c>
    </row>
    <row r="1546" spans="1:28" x14ac:dyDescent="0.25">
      <c r="A1546" t="s">
        <v>1550</v>
      </c>
      <c r="B1546">
        <v>0.99193492352474899</v>
      </c>
      <c r="C1546">
        <v>0.68910148936688498</v>
      </c>
      <c r="D1546">
        <v>0.65377800538507103</v>
      </c>
      <c r="E1546">
        <v>0.61249955881556195</v>
      </c>
      <c r="F1546">
        <v>0.24390346292264201</v>
      </c>
      <c r="G1546">
        <v>0.14704465710167999</v>
      </c>
      <c r="H1546">
        <v>0.136170622240564</v>
      </c>
      <c r="I1546">
        <v>0.133880400258823</v>
      </c>
      <c r="J1546">
        <v>0.19370644412577101</v>
      </c>
      <c r="K1546">
        <v>0.24571552109641501</v>
      </c>
      <c r="L1546">
        <v>591.09635386506295</v>
      </c>
      <c r="M1546">
        <v>12.4532862135072</v>
      </c>
      <c r="N1546">
        <v>48.685136327336998</v>
      </c>
      <c r="O1546">
        <v>46.291002421511699</v>
      </c>
      <c r="P1546">
        <v>-5.8252789297658203E-2</v>
      </c>
      <c r="Q1546">
        <v>0.13403833131771201</v>
      </c>
      <c r="R1546">
        <v>0.91259333751627603</v>
      </c>
      <c r="S1546" t="s">
        <v>8216</v>
      </c>
      <c r="T1546" t="s">
        <v>13338</v>
      </c>
      <c r="U1546" t="s">
        <v>13338</v>
      </c>
      <c r="V1546" t="s">
        <v>13338</v>
      </c>
      <c r="W1546" t="s">
        <v>14849</v>
      </c>
      <c r="X1546">
        <v>4</v>
      </c>
      <c r="Y1546" t="s">
        <v>21446</v>
      </c>
      <c r="Z1546" t="s">
        <v>27961</v>
      </c>
      <c r="AA1546">
        <v>0.38236850300752201</v>
      </c>
      <c r="AB1546" t="str">
        <f>HYPERLINK("Melting_Curves/meltCurve_O60888_3_CUTA.pdf", "Melting_Curves/meltCurve_O60888_3_CUTA.pdf")</f>
        <v>Melting_Curves/meltCurve_O60888_3_CUTA.pdf</v>
      </c>
    </row>
    <row r="1547" spans="1:28" x14ac:dyDescent="0.25">
      <c r="A1547" t="s">
        <v>1551</v>
      </c>
      <c r="B1547">
        <v>0.99193492352474899</v>
      </c>
      <c r="C1547">
        <v>0.99466168360584195</v>
      </c>
      <c r="D1547">
        <v>0.93688457682965098</v>
      </c>
      <c r="E1547">
        <v>0.72193962451939997</v>
      </c>
      <c r="F1547">
        <v>0.48719160140562001</v>
      </c>
      <c r="G1547">
        <v>0.35589362648392597</v>
      </c>
      <c r="H1547">
        <v>0.20899244552228999</v>
      </c>
      <c r="I1547">
        <v>0.199977259009335</v>
      </c>
      <c r="J1547">
        <v>0.18998917098404999</v>
      </c>
      <c r="K1547">
        <v>0.12857460158701201</v>
      </c>
      <c r="L1547">
        <v>843.54507484490296</v>
      </c>
      <c r="M1547">
        <v>16.189223834248601</v>
      </c>
      <c r="N1547">
        <v>53.2538044188233</v>
      </c>
      <c r="O1547">
        <v>51.329791496989699</v>
      </c>
      <c r="P1547">
        <v>-6.7235501772022296E-2</v>
      </c>
      <c r="Q1547">
        <v>0.14735270072888701</v>
      </c>
      <c r="R1547">
        <v>0.99613882853316005</v>
      </c>
      <c r="S1547" t="s">
        <v>8217</v>
      </c>
      <c r="T1547" t="s">
        <v>13338</v>
      </c>
      <c r="U1547" t="s">
        <v>13338</v>
      </c>
      <c r="V1547" t="s">
        <v>13338</v>
      </c>
      <c r="W1547" t="s">
        <v>14850</v>
      </c>
      <c r="X1547">
        <v>3</v>
      </c>
      <c r="Y1547" t="s">
        <v>21447</v>
      </c>
      <c r="Z1547" t="s">
        <v>27962</v>
      </c>
      <c r="AA1547">
        <v>0.50827368443655474</v>
      </c>
      <c r="AB1547" t="str">
        <f>HYPERLINK("Melting_Curves/meltCurve_O60906_SMPD2.pdf", "Melting_Curves/meltCurve_O60906_SMPD2.pdf")</f>
        <v>Melting_Curves/meltCurve_O60906_SMPD2.pdf</v>
      </c>
    </row>
    <row r="1548" spans="1:28" x14ac:dyDescent="0.25">
      <c r="A1548" t="s">
        <v>1552</v>
      </c>
      <c r="B1548">
        <v>0.99193492352474899</v>
      </c>
      <c r="C1548">
        <v>1.03191420047747</v>
      </c>
      <c r="D1548">
        <v>0.88308558049430497</v>
      </c>
      <c r="E1548">
        <v>0.90992510445882102</v>
      </c>
      <c r="F1548">
        <v>0.62966696796446198</v>
      </c>
      <c r="G1548">
        <v>0.51647960289053996</v>
      </c>
      <c r="H1548">
        <v>0.26818602655315399</v>
      </c>
      <c r="I1548">
        <v>0.28180012679364003</v>
      </c>
      <c r="J1548">
        <v>0.32427301406046999</v>
      </c>
      <c r="K1548">
        <v>0.36721004519098999</v>
      </c>
      <c r="L1548">
        <v>1090.9646883231201</v>
      </c>
      <c r="M1548">
        <v>20.469398845474601</v>
      </c>
      <c r="N1548">
        <v>55.786060635833699</v>
      </c>
      <c r="O1548">
        <v>52.7964654460758</v>
      </c>
      <c r="P1548">
        <v>-6.79106779326938E-2</v>
      </c>
      <c r="Q1548">
        <v>0.29937583048779998</v>
      </c>
      <c r="R1548">
        <v>0.967398409524446</v>
      </c>
      <c r="S1548" t="s">
        <v>8218</v>
      </c>
      <c r="T1548" t="s">
        <v>13338</v>
      </c>
      <c r="U1548" t="s">
        <v>13338</v>
      </c>
      <c r="V1548" t="s">
        <v>13338</v>
      </c>
      <c r="W1548" t="s">
        <v>14851</v>
      </c>
      <c r="X1548">
        <v>1</v>
      </c>
      <c r="Y1548" t="s">
        <v>21448</v>
      </c>
      <c r="Z1548" t="s">
        <v>27963</v>
      </c>
      <c r="AA1548">
        <v>0.6191635674133078</v>
      </c>
      <c r="AB1548" t="str">
        <f>HYPERLINK("Melting_Curves/meltCurve_O60911_CTSL2.pdf", "Melting_Curves/meltCurve_O60911_CTSL2.pdf")</f>
        <v>Melting_Curves/meltCurve_O60911_CTSL2.pdf</v>
      </c>
    </row>
    <row r="1549" spans="1:28" x14ac:dyDescent="0.25">
      <c r="A1549" t="s">
        <v>1553</v>
      </c>
      <c r="B1549">
        <v>0.99193492352474899</v>
      </c>
      <c r="C1549">
        <v>1.2377950954941701</v>
      </c>
      <c r="D1549">
        <v>0.79944165461347805</v>
      </c>
      <c r="E1549">
        <v>1.0229739694676201</v>
      </c>
      <c r="F1549">
        <v>0.57807714301735003</v>
      </c>
      <c r="G1549">
        <v>0.55865957060114202</v>
      </c>
      <c r="H1549">
        <v>0.26236909197285402</v>
      </c>
      <c r="I1549">
        <v>0.29413980818250701</v>
      </c>
      <c r="J1549">
        <v>0.23976523905330599</v>
      </c>
      <c r="K1549">
        <v>0.40829648870295798</v>
      </c>
      <c r="L1549">
        <v>1258.30601256676</v>
      </c>
      <c r="M1549">
        <v>23.5071387361121</v>
      </c>
      <c r="N1549">
        <v>55.713771516606201</v>
      </c>
      <c r="O1549">
        <v>53.145808935772301</v>
      </c>
      <c r="P1549">
        <v>-7.72814863185768E-2</v>
      </c>
      <c r="Q1549">
        <v>0.30112862653906702</v>
      </c>
      <c r="R1549">
        <v>0.86797891736536903</v>
      </c>
      <c r="S1549" t="s">
        <v>8219</v>
      </c>
      <c r="T1549" t="s">
        <v>13338</v>
      </c>
      <c r="U1549" t="s">
        <v>13338</v>
      </c>
      <c r="V1549" t="s">
        <v>13338</v>
      </c>
      <c r="W1549" t="s">
        <v>14852</v>
      </c>
      <c r="X1549">
        <v>12</v>
      </c>
      <c r="Y1549" t="s">
        <v>21449</v>
      </c>
      <c r="Z1549" t="s">
        <v>27964</v>
      </c>
      <c r="AA1549">
        <v>0.62351277127600568</v>
      </c>
      <c r="AB1549" t="str">
        <f>HYPERLINK("Melting_Curves/meltCurve_O60925_PFDN1.pdf", "Melting_Curves/meltCurve_O60925_PFDN1.pdf")</f>
        <v>Melting_Curves/meltCurve_O60925_PFDN1.pdf</v>
      </c>
    </row>
    <row r="1550" spans="1:28" x14ac:dyDescent="0.25">
      <c r="A1550" t="s">
        <v>1554</v>
      </c>
      <c r="B1550">
        <v>0.99193492352474899</v>
      </c>
      <c r="C1550">
        <v>1.1200109968873999</v>
      </c>
      <c r="D1550">
        <v>0.84162490799945999</v>
      </c>
      <c r="E1550">
        <v>0.64034277632942305</v>
      </c>
      <c r="F1550">
        <v>0.396409246550946</v>
      </c>
      <c r="G1550">
        <v>0.33055831576026301</v>
      </c>
      <c r="H1550">
        <v>0.178876037128438</v>
      </c>
      <c r="I1550">
        <v>0.30354994584586198</v>
      </c>
      <c r="J1550">
        <v>0.30415868940229501</v>
      </c>
      <c r="K1550">
        <v>0.353255011890865</v>
      </c>
      <c r="L1550">
        <v>1216.63121009003</v>
      </c>
      <c r="M1550">
        <v>24.634605711416501</v>
      </c>
      <c r="N1550">
        <v>51.167598528588201</v>
      </c>
      <c r="O1550">
        <v>49.0650713965072</v>
      </c>
      <c r="P1550">
        <v>-8.9392444640954596E-2</v>
      </c>
      <c r="Q1550">
        <v>0.28783345293380602</v>
      </c>
      <c r="R1550">
        <v>0.95857710664460105</v>
      </c>
      <c r="S1550" t="s">
        <v>8220</v>
      </c>
      <c r="T1550" t="s">
        <v>13338</v>
      </c>
      <c r="U1550" t="s">
        <v>13338</v>
      </c>
      <c r="V1550" t="s">
        <v>13338</v>
      </c>
      <c r="W1550" t="s">
        <v>14853</v>
      </c>
      <c r="X1550">
        <v>4</v>
      </c>
      <c r="Y1550" t="s">
        <v>21450</v>
      </c>
      <c r="Z1550" t="s">
        <v>27965</v>
      </c>
      <c r="AA1550">
        <v>0.51719410411184619</v>
      </c>
      <c r="AB1550" t="str">
        <f>HYPERLINK("Melting_Curves/meltCurve_O60927_PPP1R11.pdf", "Melting_Curves/meltCurve_O60927_PPP1R11.pdf")</f>
        <v>Melting_Curves/meltCurve_O60927_PPP1R11.pdf</v>
      </c>
    </row>
    <row r="1551" spans="1:28" x14ac:dyDescent="0.25">
      <c r="A1551" t="s">
        <v>1555</v>
      </c>
      <c r="B1551">
        <v>0.99193492352474899</v>
      </c>
      <c r="C1551">
        <v>0.75667441543274305</v>
      </c>
      <c r="D1551">
        <v>0.76746485815988696</v>
      </c>
      <c r="E1551">
        <v>0.337951717071583</v>
      </c>
      <c r="F1551">
        <v>0.17794630092254701</v>
      </c>
      <c r="G1551">
        <v>0.102565509889468</v>
      </c>
      <c r="H1551">
        <v>6.5471112117745797E-2</v>
      </c>
      <c r="I1551">
        <v>7.8961167011602496E-2</v>
      </c>
      <c r="J1551">
        <v>0.101582994938203</v>
      </c>
      <c r="K1551">
        <v>9.89282976383139E-2</v>
      </c>
      <c r="L1551">
        <v>847.85438184759505</v>
      </c>
      <c r="M1551">
        <v>17.838485381489601</v>
      </c>
      <c r="N1551">
        <v>47.936704362269403</v>
      </c>
      <c r="O1551">
        <v>46.944292353604098</v>
      </c>
      <c r="P1551">
        <v>-8.8323997069122501E-2</v>
      </c>
      <c r="Q1551">
        <v>7.0303677365690598E-2</v>
      </c>
      <c r="R1551">
        <v>0.974019409745286</v>
      </c>
      <c r="S1551" t="s">
        <v>8221</v>
      </c>
      <c r="T1551" t="s">
        <v>13338</v>
      </c>
      <c r="U1551" t="s">
        <v>13338</v>
      </c>
      <c r="V1551" t="s">
        <v>13338</v>
      </c>
      <c r="W1551" t="s">
        <v>14854</v>
      </c>
      <c r="X1551">
        <v>17</v>
      </c>
      <c r="Y1551" t="s">
        <v>21451</v>
      </c>
      <c r="Z1551" t="s">
        <v>27966</v>
      </c>
      <c r="AA1551">
        <v>0.32072905820280567</v>
      </c>
      <c r="AB1551" t="str">
        <f>HYPERLINK("Melting_Curves/meltCurve_O60934_NBN.pdf", "Melting_Curves/meltCurve_O60934_NBN.pdf")</f>
        <v>Melting_Curves/meltCurve_O60934_NBN.pdf</v>
      </c>
    </row>
    <row r="1552" spans="1:28" x14ac:dyDescent="0.25">
      <c r="A1552" t="s">
        <v>1556</v>
      </c>
      <c r="B1552">
        <v>0.99193492352474899</v>
      </c>
      <c r="C1552">
        <v>0.77732079450349301</v>
      </c>
      <c r="D1552">
        <v>0.71804173553082296</v>
      </c>
      <c r="E1552">
        <v>0.33042353106753303</v>
      </c>
      <c r="F1552">
        <v>0.14362925122468201</v>
      </c>
      <c r="G1552">
        <v>0.103630197311424</v>
      </c>
      <c r="H1552">
        <v>6.04225274282746E-2</v>
      </c>
      <c r="I1552">
        <v>7.5495822943936794E-2</v>
      </c>
      <c r="J1552">
        <v>7.5029713055145206E-2</v>
      </c>
      <c r="K1552">
        <v>6.6489985154737599E-2</v>
      </c>
      <c r="L1552">
        <v>841.22962604815905</v>
      </c>
      <c r="M1552">
        <v>17.770074821195699</v>
      </c>
      <c r="N1552">
        <v>47.655324529748903</v>
      </c>
      <c r="O1552">
        <v>46.752368198232197</v>
      </c>
      <c r="P1552">
        <v>-8.9751156543218094E-2</v>
      </c>
      <c r="Q1552">
        <v>5.5521809819421002E-2</v>
      </c>
      <c r="R1552">
        <v>0.98600511404219804</v>
      </c>
      <c r="S1552" t="s">
        <v>8222</v>
      </c>
      <c r="T1552" t="s">
        <v>13338</v>
      </c>
      <c r="U1552" t="s">
        <v>13338</v>
      </c>
      <c r="V1552" t="s">
        <v>13338</v>
      </c>
      <c r="W1552" t="s">
        <v>14855</v>
      </c>
      <c r="X1552">
        <v>10</v>
      </c>
      <c r="Y1552" t="s">
        <v>21452</v>
      </c>
      <c r="Z1552" t="s">
        <v>27967</v>
      </c>
      <c r="AA1552">
        <v>0.30423216098619371</v>
      </c>
      <c r="AB1552" t="str">
        <f>HYPERLINK("Melting_Curves/meltCurve_O60942_RNGTT.pdf", "Melting_Curves/meltCurve_O60942_RNGTT.pdf")</f>
        <v>Melting_Curves/meltCurve_O60942_RNGTT.pdf</v>
      </c>
    </row>
    <row r="1553" spans="1:28" x14ac:dyDescent="0.25">
      <c r="A1553" t="s">
        <v>1557</v>
      </c>
      <c r="B1553">
        <v>0.99193492352474899</v>
      </c>
      <c r="C1553">
        <v>0.93346611158820603</v>
      </c>
      <c r="D1553">
        <v>1.03663502312371</v>
      </c>
      <c r="E1553">
        <v>0.83153880693857496</v>
      </c>
      <c r="F1553">
        <v>0.57006104888990505</v>
      </c>
      <c r="G1553">
        <v>0.30341724638020801</v>
      </c>
      <c r="H1553">
        <v>0.14476320234191301</v>
      </c>
      <c r="I1553">
        <v>0.14096009880060201</v>
      </c>
      <c r="J1553">
        <v>0.14905370246382499</v>
      </c>
      <c r="K1553">
        <v>0.155512971389553</v>
      </c>
      <c r="L1553">
        <v>1225.9025160081401</v>
      </c>
      <c r="M1553">
        <v>23.071128070297501</v>
      </c>
      <c r="N1553">
        <v>53.855398877315501</v>
      </c>
      <c r="O1553">
        <v>52.741407009792098</v>
      </c>
      <c r="P1553">
        <v>-9.4855693558640403E-2</v>
      </c>
      <c r="Q1553">
        <v>0.13264229148315099</v>
      </c>
      <c r="R1553">
        <v>0.99245425799107401</v>
      </c>
      <c r="S1553" t="s">
        <v>8223</v>
      </c>
      <c r="T1553" t="s">
        <v>13338</v>
      </c>
      <c r="U1553" t="s">
        <v>13338</v>
      </c>
      <c r="V1553" t="s">
        <v>13338</v>
      </c>
      <c r="W1553" t="s">
        <v>14856</v>
      </c>
      <c r="X1553">
        <v>10</v>
      </c>
      <c r="Y1553" t="s">
        <v>21453</v>
      </c>
      <c r="Z1553" t="s">
        <v>27968</v>
      </c>
      <c r="AA1553">
        <v>0.52169220287088036</v>
      </c>
      <c r="AB1553" t="str">
        <f>HYPERLINK("Melting_Curves/meltCurve_O75027_ABCB7.pdf", "Melting_Curves/meltCurve_O75027_ABCB7.pdf")</f>
        <v>Melting_Curves/meltCurve_O75027_ABCB7.pdf</v>
      </c>
    </row>
    <row r="1554" spans="1:28" x14ac:dyDescent="0.25">
      <c r="A1554" t="s">
        <v>1558</v>
      </c>
      <c r="B1554">
        <v>0.99193492352474899</v>
      </c>
      <c r="C1554">
        <v>0.92616136541296601</v>
      </c>
      <c r="D1554">
        <v>0.66943352591967498</v>
      </c>
      <c r="E1554">
        <v>0.447331551035065</v>
      </c>
      <c r="F1554">
        <v>0.229524655668573</v>
      </c>
      <c r="G1554">
        <v>0.14184747634468101</v>
      </c>
      <c r="H1554">
        <v>0.100024700641765</v>
      </c>
      <c r="I1554">
        <v>0.10633680943058001</v>
      </c>
      <c r="J1554">
        <v>0.126086157772069</v>
      </c>
      <c r="K1554">
        <v>0.133963446323972</v>
      </c>
      <c r="L1554">
        <v>864.60549507486701</v>
      </c>
      <c r="M1554">
        <v>18.0694166741612</v>
      </c>
      <c r="N1554">
        <v>48.494104592373901</v>
      </c>
      <c r="O1554">
        <v>47.2746013830699</v>
      </c>
      <c r="P1554">
        <v>-8.5352812124696004E-2</v>
      </c>
      <c r="Q1554">
        <v>0.10681691448224299</v>
      </c>
      <c r="R1554">
        <v>0.99535077133428196</v>
      </c>
      <c r="S1554" t="s">
        <v>8224</v>
      </c>
      <c r="T1554" t="s">
        <v>13338</v>
      </c>
      <c r="U1554" t="s">
        <v>13338</v>
      </c>
      <c r="V1554" t="s">
        <v>13338</v>
      </c>
      <c r="W1554" t="s">
        <v>14857</v>
      </c>
      <c r="X1554">
        <v>10</v>
      </c>
      <c r="Y1554" t="s">
        <v>21454</v>
      </c>
      <c r="Z1554" t="s">
        <v>27969</v>
      </c>
      <c r="AA1554">
        <v>0.35630109133656918</v>
      </c>
      <c r="AB1554" t="str">
        <f>HYPERLINK("Melting_Curves/meltCurve_O75044_SRGAP2.pdf", "Melting_Curves/meltCurve_O75044_SRGAP2.pdf")</f>
        <v>Melting_Curves/meltCurve_O75044_SRGAP2.pdf</v>
      </c>
    </row>
    <row r="1555" spans="1:28" x14ac:dyDescent="0.25">
      <c r="A1555" t="s">
        <v>1559</v>
      </c>
      <c r="B1555">
        <v>0.99193492352474899</v>
      </c>
      <c r="C1555">
        <v>0.94359462113564196</v>
      </c>
      <c r="D1555">
        <v>0.83855407188601205</v>
      </c>
      <c r="E1555">
        <v>0.65136446613363397</v>
      </c>
      <c r="F1555">
        <v>0.51587358092776003</v>
      </c>
      <c r="G1555">
        <v>0.31621136751518603</v>
      </c>
      <c r="H1555">
        <v>0.22223921073290001</v>
      </c>
      <c r="I1555">
        <v>0.191265726379793</v>
      </c>
      <c r="J1555">
        <v>0.206617414393474</v>
      </c>
      <c r="K1555">
        <v>0.211677031484234</v>
      </c>
      <c r="L1555">
        <v>699.55692360317198</v>
      </c>
      <c r="M1555">
        <v>13.692266470280201</v>
      </c>
      <c r="N1555">
        <v>52.621304747396699</v>
      </c>
      <c r="O1555">
        <v>50.038559183354899</v>
      </c>
      <c r="P1555">
        <v>-5.7184251655720997E-2</v>
      </c>
      <c r="Q1555">
        <v>0.16419845175248099</v>
      </c>
      <c r="R1555">
        <v>0.99494888300418005</v>
      </c>
      <c r="S1555" t="s">
        <v>8225</v>
      </c>
      <c r="T1555" t="s">
        <v>13338</v>
      </c>
      <c r="U1555" t="s">
        <v>13338</v>
      </c>
      <c r="V1555" t="s">
        <v>13338</v>
      </c>
      <c r="W1555" t="s">
        <v>14858</v>
      </c>
      <c r="X1555">
        <v>5</v>
      </c>
      <c r="Y1555" t="s">
        <v>21455</v>
      </c>
      <c r="Z1555" t="s">
        <v>27970</v>
      </c>
      <c r="AA1555">
        <v>0.49548414884664471</v>
      </c>
      <c r="AB1555" t="str">
        <f>HYPERLINK("Melting_Curves/meltCurve_O75054_IGSF3.pdf", "Melting_Curves/meltCurve_O75054_IGSF3.pdf")</f>
        <v>Melting_Curves/meltCurve_O75054_IGSF3.pdf</v>
      </c>
    </row>
    <row r="1556" spans="1:28" x14ac:dyDescent="0.25">
      <c r="A1556" t="s">
        <v>1560</v>
      </c>
      <c r="B1556">
        <v>0.99193492352474899</v>
      </c>
      <c r="C1556">
        <v>0.93695360415041795</v>
      </c>
      <c r="D1556">
        <v>0.92110233741110004</v>
      </c>
      <c r="E1556">
        <v>0.59660869825252505</v>
      </c>
      <c r="F1556">
        <v>0.227742548627345</v>
      </c>
      <c r="G1556">
        <v>5.5975432541544898E-2</v>
      </c>
      <c r="H1556">
        <v>5.4547236666130497E-2</v>
      </c>
      <c r="I1556">
        <v>3.1629562970126798E-2</v>
      </c>
      <c r="J1556">
        <v>3.0002738142092599E-2</v>
      </c>
      <c r="K1556">
        <v>0</v>
      </c>
      <c r="L1556">
        <v>1233.1701574291001</v>
      </c>
      <c r="M1556">
        <v>24.506258357715598</v>
      </c>
      <c r="N1556">
        <v>50.401702353987197</v>
      </c>
      <c r="O1556">
        <v>49.989137466737297</v>
      </c>
      <c r="P1556">
        <v>-0.120190889523941</v>
      </c>
      <c r="Q1556">
        <v>1.9327857929601899E-2</v>
      </c>
      <c r="R1556">
        <v>0.99760825169959999</v>
      </c>
      <c r="S1556" t="s">
        <v>8226</v>
      </c>
      <c r="T1556" t="s">
        <v>13338</v>
      </c>
      <c r="U1556" t="s">
        <v>13338</v>
      </c>
      <c r="V1556" t="s">
        <v>13338</v>
      </c>
      <c r="W1556" t="s">
        <v>14859</v>
      </c>
      <c r="X1556">
        <v>1</v>
      </c>
      <c r="Y1556" t="s">
        <v>21456</v>
      </c>
      <c r="Z1556" t="s">
        <v>27971</v>
      </c>
      <c r="AA1556">
        <v>0.36585062919021288</v>
      </c>
      <c r="AB1556" t="str">
        <f>HYPERLINK("Melting_Curves/meltCurve_O75061_3_DNAJC6.pdf", "Melting_Curves/meltCurve_O75061_3_DNAJC6.pdf")</f>
        <v>Melting_Curves/meltCurve_O75061_3_DNAJC6.pdf</v>
      </c>
    </row>
    <row r="1557" spans="1:28" x14ac:dyDescent="0.25">
      <c r="A1557" t="s">
        <v>1561</v>
      </c>
      <c r="B1557">
        <v>0.99193492352474899</v>
      </c>
      <c r="C1557">
        <v>0.812490782425625</v>
      </c>
      <c r="D1557">
        <v>0.93086750146150898</v>
      </c>
      <c r="E1557">
        <v>0.62812690200954902</v>
      </c>
      <c r="F1557">
        <v>0.20486134516902299</v>
      </c>
      <c r="G1557">
        <v>9.0905404630858694E-2</v>
      </c>
      <c r="H1557">
        <v>8.1624868258725197E-2</v>
      </c>
      <c r="I1557">
        <v>9.3701300045794397E-2</v>
      </c>
      <c r="J1557">
        <v>0.109948927834711</v>
      </c>
      <c r="K1557">
        <v>7.64968128932344E-2</v>
      </c>
      <c r="L1557">
        <v>1462.44327630311</v>
      </c>
      <c r="M1557">
        <v>29.1866323839395</v>
      </c>
      <c r="N1557">
        <v>50.413956592662103</v>
      </c>
      <c r="O1557">
        <v>49.873151667038201</v>
      </c>
      <c r="P1557">
        <v>-0.134381548007246</v>
      </c>
      <c r="Q1557">
        <v>8.1499621552399398E-2</v>
      </c>
      <c r="R1557">
        <v>0.97463240396774897</v>
      </c>
      <c r="S1557" t="s">
        <v>8227</v>
      </c>
      <c r="T1557" t="s">
        <v>13338</v>
      </c>
      <c r="U1557" t="s">
        <v>13338</v>
      </c>
      <c r="V1557" t="s">
        <v>13338</v>
      </c>
      <c r="W1557" t="s">
        <v>14860</v>
      </c>
      <c r="X1557">
        <v>4</v>
      </c>
      <c r="Y1557" t="s">
        <v>21457</v>
      </c>
      <c r="Z1557" t="s">
        <v>27972</v>
      </c>
      <c r="AA1557">
        <v>0.39694648976137897</v>
      </c>
      <c r="AB1557" t="str">
        <f>HYPERLINK("Melting_Curves/meltCurve_O75063_FAM20B.pdf", "Melting_Curves/meltCurve_O75063_FAM20B.pdf")</f>
        <v>Melting_Curves/meltCurve_O75063_FAM20B.pdf</v>
      </c>
    </row>
    <row r="1558" spans="1:28" x14ac:dyDescent="0.25">
      <c r="A1558" t="s">
        <v>1562</v>
      </c>
      <c r="B1558">
        <v>0.99193492352474899</v>
      </c>
      <c r="C1558">
        <v>0.97023054838077505</v>
      </c>
      <c r="D1558">
        <v>0.89928226771180397</v>
      </c>
      <c r="E1558">
        <v>0.836600503132791</v>
      </c>
      <c r="F1558">
        <v>0.820518923304007</v>
      </c>
      <c r="G1558">
        <v>0.56116395610858905</v>
      </c>
      <c r="H1558">
        <v>0.40165024389507298</v>
      </c>
      <c r="I1558">
        <v>0.36037017381138398</v>
      </c>
      <c r="J1558">
        <v>0.45171646473842297</v>
      </c>
      <c r="K1558">
        <v>0.450248028882198</v>
      </c>
      <c r="L1558">
        <v>908.066562432296</v>
      </c>
      <c r="M1558">
        <v>16.813386835367201</v>
      </c>
      <c r="N1558">
        <v>59.134635839267901</v>
      </c>
      <c r="O1558">
        <v>53.261880250327302</v>
      </c>
      <c r="P1558">
        <v>-4.8649490663033403E-2</v>
      </c>
      <c r="Q1558">
        <v>0.38358731251674999</v>
      </c>
      <c r="R1558">
        <v>0.94889390838968801</v>
      </c>
      <c r="S1558" t="s">
        <v>8228</v>
      </c>
      <c r="T1558" t="s">
        <v>13338</v>
      </c>
      <c r="U1558" t="s">
        <v>13338</v>
      </c>
      <c r="V1558" t="s">
        <v>13338</v>
      </c>
      <c r="W1558" t="s">
        <v>14861</v>
      </c>
      <c r="X1558">
        <v>3</v>
      </c>
      <c r="Y1558" t="s">
        <v>21458</v>
      </c>
      <c r="Z1558" t="s">
        <v>27973</v>
      </c>
      <c r="AA1558">
        <v>0.6822992749576684</v>
      </c>
      <c r="AB1558" t="str">
        <f>HYPERLINK("Melting_Curves/meltCurve_O75071_EFCAB14.pdf", "Melting_Curves/meltCurve_O75071_EFCAB14.pdf")</f>
        <v>Melting_Curves/meltCurve_O75071_EFCAB14.pdf</v>
      </c>
    </row>
    <row r="1559" spans="1:28" x14ac:dyDescent="0.25">
      <c r="A1559" t="s">
        <v>1563</v>
      </c>
      <c r="B1559">
        <v>0.99193492352474899</v>
      </c>
      <c r="C1559">
        <v>1.10658029776675</v>
      </c>
      <c r="D1559">
        <v>0.81095273072625496</v>
      </c>
      <c r="E1559">
        <v>0.74649926847874903</v>
      </c>
      <c r="F1559">
        <v>0.23884502019127199</v>
      </c>
      <c r="G1559">
        <v>0.10715539598036899</v>
      </c>
      <c r="H1559">
        <v>6.14732511498381E-2</v>
      </c>
      <c r="I1559">
        <v>7.5246863562434194E-2</v>
      </c>
      <c r="J1559">
        <v>7.7646228237587905E-2</v>
      </c>
      <c r="K1559">
        <v>8.8021154092866899E-2</v>
      </c>
      <c r="L1559">
        <v>1452.47003612098</v>
      </c>
      <c r="M1559">
        <v>28.574828823281599</v>
      </c>
      <c r="N1559">
        <v>51.091084214344399</v>
      </c>
      <c r="O1559">
        <v>50.583418988106402</v>
      </c>
      <c r="P1559">
        <v>-0.131647569589981</v>
      </c>
      <c r="Q1559">
        <v>6.78327540175125E-2</v>
      </c>
      <c r="R1559">
        <v>0.97704003943387596</v>
      </c>
      <c r="S1559" t="s">
        <v>8229</v>
      </c>
      <c r="T1559" t="s">
        <v>13338</v>
      </c>
      <c r="U1559" t="s">
        <v>13338</v>
      </c>
      <c r="V1559" t="s">
        <v>13338</v>
      </c>
      <c r="W1559" t="s">
        <v>14862</v>
      </c>
      <c r="X1559">
        <v>37</v>
      </c>
      <c r="Y1559" t="s">
        <v>21459</v>
      </c>
      <c r="Z1559" t="s">
        <v>27974</v>
      </c>
      <c r="AA1559">
        <v>0.41080094649409571</v>
      </c>
      <c r="AB1559" t="str">
        <f>HYPERLINK("Melting_Curves/meltCurve_O75083_WDR1.pdf", "Melting_Curves/meltCurve_O75083_WDR1.pdf")</f>
        <v>Melting_Curves/meltCurve_O75083_WDR1.pdf</v>
      </c>
    </row>
    <row r="1560" spans="1:28" x14ac:dyDescent="0.25">
      <c r="A1560" t="s">
        <v>1564</v>
      </c>
      <c r="B1560">
        <v>0.99193492352474899</v>
      </c>
      <c r="C1560">
        <v>0.90476774587273501</v>
      </c>
      <c r="D1560">
        <v>0.740448482005168</v>
      </c>
      <c r="E1560">
        <v>0.34179306393832898</v>
      </c>
      <c r="F1560">
        <v>0.18166225654680401</v>
      </c>
      <c r="G1560">
        <v>0.120223941289715</v>
      </c>
      <c r="H1560">
        <v>6.8614394228990003E-2</v>
      </c>
      <c r="I1560">
        <v>8.4125282189129694E-2</v>
      </c>
      <c r="J1560">
        <v>8.5753134155553995E-2</v>
      </c>
      <c r="K1560">
        <v>0.110435728641643</v>
      </c>
      <c r="L1560">
        <v>1065.3231702217299</v>
      </c>
      <c r="M1560">
        <v>22.339604310203899</v>
      </c>
      <c r="N1560">
        <v>48.1000092869198</v>
      </c>
      <c r="O1560">
        <v>47.310450322039998</v>
      </c>
      <c r="P1560">
        <v>-0.107762352646373</v>
      </c>
      <c r="Q1560">
        <v>8.7149673190681204E-2</v>
      </c>
      <c r="R1560">
        <v>0.99774028516070901</v>
      </c>
      <c r="S1560" t="s">
        <v>8230</v>
      </c>
      <c r="T1560" t="s">
        <v>13338</v>
      </c>
      <c r="U1560" t="s">
        <v>13338</v>
      </c>
      <c r="V1560" t="s">
        <v>13338</v>
      </c>
      <c r="W1560" t="s">
        <v>14863</v>
      </c>
      <c r="X1560">
        <v>13</v>
      </c>
      <c r="Y1560" t="s">
        <v>21460</v>
      </c>
      <c r="Z1560" t="s">
        <v>27975</v>
      </c>
      <c r="AA1560">
        <v>0.33136714155058289</v>
      </c>
      <c r="AB1560" t="str">
        <f>HYPERLINK("Melting_Curves/meltCurve_O75113_N4BP1.pdf", "Melting_Curves/meltCurve_O75113_N4BP1.pdf")</f>
        <v>Melting_Curves/meltCurve_O75113_N4BP1.pdf</v>
      </c>
    </row>
    <row r="1561" spans="1:28" x14ac:dyDescent="0.25">
      <c r="A1561" t="s">
        <v>1565</v>
      </c>
      <c r="B1561">
        <v>0.99193492352474899</v>
      </c>
      <c r="C1561">
        <v>0.782282362905387</v>
      </c>
      <c r="D1561">
        <v>0.92019661271267195</v>
      </c>
      <c r="E1561">
        <v>0.28573443518668401</v>
      </c>
      <c r="F1561">
        <v>0.19764531551631201</v>
      </c>
      <c r="G1561">
        <v>0.110723792438785</v>
      </c>
      <c r="H1561">
        <v>7.4948296100245601E-2</v>
      </c>
      <c r="I1561">
        <v>9.0818322015509406E-2</v>
      </c>
      <c r="J1561">
        <v>0.104898152149659</v>
      </c>
      <c r="K1561">
        <v>0.103694053656489</v>
      </c>
      <c r="L1561">
        <v>2015.16512018292</v>
      </c>
      <c r="M1561">
        <v>41.8778763479107</v>
      </c>
      <c r="N1561">
        <v>48.402340815851097</v>
      </c>
      <c r="O1561">
        <v>48.010703523288498</v>
      </c>
      <c r="P1561">
        <v>-0.194438484530881</v>
      </c>
      <c r="Q1561">
        <v>0.10834903017216301</v>
      </c>
      <c r="R1561">
        <v>0.95784738265337799</v>
      </c>
      <c r="S1561" t="s">
        <v>8231</v>
      </c>
      <c r="T1561" t="s">
        <v>13338</v>
      </c>
      <c r="U1561" t="s">
        <v>13338</v>
      </c>
      <c r="V1561" t="s">
        <v>13338</v>
      </c>
      <c r="W1561" t="s">
        <v>14864</v>
      </c>
      <c r="X1561">
        <v>34</v>
      </c>
      <c r="Y1561" t="s">
        <v>21461</v>
      </c>
      <c r="Z1561" t="s">
        <v>27976</v>
      </c>
      <c r="AA1561">
        <v>0.3523993480832141</v>
      </c>
      <c r="AB1561" t="str">
        <f>HYPERLINK("Melting_Curves/meltCurve_O75116_ROCK2.pdf", "Melting_Curves/meltCurve_O75116_ROCK2.pdf")</f>
        <v>Melting_Curves/meltCurve_O75116_ROCK2.pdf</v>
      </c>
    </row>
    <row r="1562" spans="1:28" x14ac:dyDescent="0.25">
      <c r="A1562" t="s">
        <v>1566</v>
      </c>
      <c r="B1562">
        <v>0.99193492352474899</v>
      </c>
      <c r="C1562">
        <v>0.94204591064150101</v>
      </c>
      <c r="D1562">
        <v>0.93929791552407904</v>
      </c>
      <c r="E1562">
        <v>0.70753005906771604</v>
      </c>
      <c r="F1562">
        <v>0.20981604637852</v>
      </c>
      <c r="G1562">
        <v>0.120708562084014</v>
      </c>
      <c r="H1562">
        <v>7.3620849439035005E-2</v>
      </c>
      <c r="I1562">
        <v>9.9331961699690496E-2</v>
      </c>
      <c r="J1562">
        <v>0.101006797544119</v>
      </c>
      <c r="K1562">
        <v>0.108821713805148</v>
      </c>
      <c r="L1562">
        <v>1830.9990222834299</v>
      </c>
      <c r="M1562">
        <v>36.230832307026901</v>
      </c>
      <c r="N1562">
        <v>50.833676587703799</v>
      </c>
      <c r="O1562">
        <v>50.383828853765301</v>
      </c>
      <c r="P1562">
        <v>-0.16264554844549201</v>
      </c>
      <c r="Q1562">
        <v>9.5281187120281496E-2</v>
      </c>
      <c r="R1562">
        <v>0.99621978766662</v>
      </c>
      <c r="S1562" t="s">
        <v>8232</v>
      </c>
      <c r="T1562" t="s">
        <v>13338</v>
      </c>
      <c r="U1562" t="s">
        <v>13338</v>
      </c>
      <c r="V1562" t="s">
        <v>13338</v>
      </c>
      <c r="W1562" t="s">
        <v>14865</v>
      </c>
      <c r="X1562">
        <v>17</v>
      </c>
      <c r="Y1562" t="s">
        <v>21462</v>
      </c>
      <c r="Z1562" t="s">
        <v>27977</v>
      </c>
      <c r="AA1562">
        <v>0.41690876999661808</v>
      </c>
      <c r="AB1562" t="str">
        <f>HYPERLINK("Melting_Curves/meltCurve_O75131_CPNE3.pdf", "Melting_Curves/meltCurve_O75131_CPNE3.pdf")</f>
        <v>Melting_Curves/meltCurve_O75131_CPNE3.pdf</v>
      </c>
    </row>
    <row r="1563" spans="1:28" x14ac:dyDescent="0.25">
      <c r="A1563" t="s">
        <v>1567</v>
      </c>
      <c r="B1563">
        <v>0.99193492352474899</v>
      </c>
      <c r="C1563">
        <v>0.97868447210742204</v>
      </c>
      <c r="D1563">
        <v>0.79904941201247703</v>
      </c>
      <c r="E1563">
        <v>0.54831047055408499</v>
      </c>
      <c r="F1563">
        <v>0.3816881029475</v>
      </c>
      <c r="G1563">
        <v>0.25891019548163102</v>
      </c>
      <c r="H1563">
        <v>0.23361657024379701</v>
      </c>
      <c r="I1563">
        <v>0.271159079080382</v>
      </c>
      <c r="J1563">
        <v>0.34630231831171798</v>
      </c>
      <c r="K1563">
        <v>0.288691576451091</v>
      </c>
      <c r="L1563">
        <v>1061.0387906672199</v>
      </c>
      <c r="M1563">
        <v>21.963793707934101</v>
      </c>
      <c r="N1563">
        <v>50.146211001426202</v>
      </c>
      <c r="O1563">
        <v>47.913427346107298</v>
      </c>
      <c r="P1563">
        <v>-8.2923762880886806E-2</v>
      </c>
      <c r="Q1563">
        <v>0.276432402668842</v>
      </c>
      <c r="R1563">
        <v>0.98696218332369101</v>
      </c>
      <c r="S1563" t="s">
        <v>8233</v>
      </c>
      <c r="T1563" t="s">
        <v>13338</v>
      </c>
      <c r="U1563" t="s">
        <v>13338</v>
      </c>
      <c r="V1563" t="s">
        <v>13338</v>
      </c>
      <c r="W1563" t="s">
        <v>14866</v>
      </c>
      <c r="X1563">
        <v>5</v>
      </c>
      <c r="Y1563" t="s">
        <v>21463</v>
      </c>
      <c r="Z1563" t="s">
        <v>27978</v>
      </c>
      <c r="AA1563">
        <v>0.48522376539485312</v>
      </c>
      <c r="AB1563" t="str">
        <f>HYPERLINK("Melting_Curves/meltCurve_O75143_2_ATG13.pdf", "Melting_Curves/meltCurve_O75143_2_ATG13.pdf")</f>
        <v>Melting_Curves/meltCurve_O75143_2_ATG13.pdf</v>
      </c>
    </row>
    <row r="1564" spans="1:28" x14ac:dyDescent="0.25">
      <c r="A1564" t="s">
        <v>1568</v>
      </c>
      <c r="B1564">
        <v>0.99193492352474899</v>
      </c>
      <c r="C1564">
        <v>0.94013030780067997</v>
      </c>
      <c r="D1564">
        <v>0.72784209789371401</v>
      </c>
      <c r="E1564">
        <v>0.22420210555158099</v>
      </c>
      <c r="F1564">
        <v>0.11199132964075501</v>
      </c>
      <c r="G1564">
        <v>0.10089693182767399</v>
      </c>
      <c r="H1564">
        <v>2.5898922440608398E-2</v>
      </c>
      <c r="I1564">
        <v>7.4287075211456596E-2</v>
      </c>
      <c r="J1564">
        <v>6.8563357298423194E-2</v>
      </c>
      <c r="K1564">
        <v>3.4737517122927497E-2</v>
      </c>
      <c r="L1564">
        <v>1448.26774411409</v>
      </c>
      <c r="M1564">
        <v>30.648104303145601</v>
      </c>
      <c r="N1564">
        <v>47.457957757169801</v>
      </c>
      <c r="O1564">
        <v>47.054909356110798</v>
      </c>
      <c r="P1564">
        <v>-0.152818494893141</v>
      </c>
      <c r="Q1564">
        <v>6.1499227137787597E-2</v>
      </c>
      <c r="R1564">
        <v>0.99666109607185605</v>
      </c>
      <c r="S1564" t="s">
        <v>8234</v>
      </c>
      <c r="T1564" t="s">
        <v>13338</v>
      </c>
      <c r="U1564" t="s">
        <v>13338</v>
      </c>
      <c r="V1564" t="s">
        <v>13338</v>
      </c>
      <c r="W1564" t="s">
        <v>14867</v>
      </c>
      <c r="X1564">
        <v>5</v>
      </c>
      <c r="Y1564" t="s">
        <v>21464</v>
      </c>
      <c r="Z1564" t="s">
        <v>27979</v>
      </c>
      <c r="AA1564">
        <v>0.29382844666819652</v>
      </c>
      <c r="AB1564" t="str">
        <f>HYPERLINK("Melting_Curves/meltCurve_O75145_2_PPFIA3.pdf", "Melting_Curves/meltCurve_O75145_2_PPFIA3.pdf")</f>
        <v>Melting_Curves/meltCurve_O75145_2_PPFIA3.pdf</v>
      </c>
    </row>
    <row r="1565" spans="1:28" x14ac:dyDescent="0.25">
      <c r="A1565" t="s">
        <v>1569</v>
      </c>
      <c r="B1565">
        <v>0.99193492352474899</v>
      </c>
      <c r="C1565">
        <v>1.0645026618623401</v>
      </c>
      <c r="D1565">
        <v>1.0339644283465901</v>
      </c>
      <c r="E1565">
        <v>0.53187954758271305</v>
      </c>
      <c r="F1565">
        <v>0.139074232844528</v>
      </c>
      <c r="G1565">
        <v>0.102587637565418</v>
      </c>
      <c r="H1565">
        <v>6.8575026113906895E-2</v>
      </c>
      <c r="I1565">
        <v>8.1270323577961795E-2</v>
      </c>
      <c r="J1565">
        <v>0.108818515858287</v>
      </c>
      <c r="K1565">
        <v>0.107949385241721</v>
      </c>
      <c r="L1565">
        <v>3138.0991515423998</v>
      </c>
      <c r="M1565">
        <v>63.334952403469302</v>
      </c>
      <c r="N1565">
        <v>49.721234201510001</v>
      </c>
      <c r="O1565">
        <v>49.498344837068899</v>
      </c>
      <c r="P1565">
        <v>-0.28815930119849398</v>
      </c>
      <c r="Q1565">
        <v>9.9176539485256204E-2</v>
      </c>
      <c r="R1565">
        <v>0.99533172815777105</v>
      </c>
      <c r="S1565" t="s">
        <v>8235</v>
      </c>
      <c r="T1565" t="s">
        <v>13338</v>
      </c>
      <c r="U1565" t="s">
        <v>13338</v>
      </c>
      <c r="V1565" t="s">
        <v>13338</v>
      </c>
      <c r="W1565" t="s">
        <v>14868</v>
      </c>
      <c r="X1565">
        <v>18</v>
      </c>
      <c r="Y1565" t="s">
        <v>21465</v>
      </c>
      <c r="Z1565" t="s">
        <v>27980</v>
      </c>
      <c r="AA1565">
        <v>0.38709307622102868</v>
      </c>
      <c r="AB1565" t="str">
        <f>HYPERLINK("Melting_Curves/meltCurve_O75146_HIP1R.pdf", "Melting_Curves/meltCurve_O75146_HIP1R.pdf")</f>
        <v>Melting_Curves/meltCurve_O75146_HIP1R.pdf</v>
      </c>
    </row>
    <row r="1566" spans="1:28" x14ac:dyDescent="0.25">
      <c r="A1566" t="s">
        <v>1570</v>
      </c>
      <c r="B1566">
        <v>0.99193492352474899</v>
      </c>
      <c r="C1566">
        <v>0.74709649981482995</v>
      </c>
      <c r="D1566">
        <v>0.53306565420585905</v>
      </c>
      <c r="E1566">
        <v>0.17174418625556501</v>
      </c>
      <c r="F1566">
        <v>0.13373952473885201</v>
      </c>
      <c r="G1566">
        <v>8.30434686929135E-2</v>
      </c>
      <c r="H1566">
        <v>5.9254453808274203E-2</v>
      </c>
      <c r="I1566">
        <v>7.5407878536523101E-2</v>
      </c>
      <c r="J1566">
        <v>8.3978763178467294E-2</v>
      </c>
      <c r="K1566">
        <v>7.6418657725710895E-2</v>
      </c>
      <c r="L1566">
        <v>945.69590888663799</v>
      </c>
      <c r="M1566">
        <v>20.765365592147301</v>
      </c>
      <c r="N1566">
        <v>45.8776844666207</v>
      </c>
      <c r="O1566">
        <v>45.125937716355097</v>
      </c>
      <c r="P1566">
        <v>-0.10693542332396699</v>
      </c>
      <c r="Q1566">
        <v>7.0485844318828206E-2</v>
      </c>
      <c r="R1566">
        <v>0.99128455373271995</v>
      </c>
      <c r="S1566" t="s">
        <v>8236</v>
      </c>
      <c r="T1566" t="s">
        <v>13338</v>
      </c>
      <c r="U1566" t="s">
        <v>13338</v>
      </c>
      <c r="V1566" t="s">
        <v>13338</v>
      </c>
      <c r="W1566" t="s">
        <v>14869</v>
      </c>
      <c r="X1566">
        <v>31</v>
      </c>
      <c r="Y1566" t="s">
        <v>21466</v>
      </c>
      <c r="Z1566" t="s">
        <v>27981</v>
      </c>
      <c r="AA1566">
        <v>0.25585390628517662</v>
      </c>
      <c r="AB1566" t="str">
        <f>HYPERLINK("Melting_Curves/meltCurve_O75150_RNF40.pdf", "Melting_Curves/meltCurve_O75150_RNF40.pdf")</f>
        <v>Melting_Curves/meltCurve_O75150_RNF40.pdf</v>
      </c>
    </row>
    <row r="1567" spans="1:28" x14ac:dyDescent="0.25">
      <c r="A1567" t="s">
        <v>1571</v>
      </c>
      <c r="B1567">
        <v>0.99193492352474899</v>
      </c>
      <c r="C1567">
        <v>0.29115787506421198</v>
      </c>
      <c r="D1567">
        <v>0.35814301415106797</v>
      </c>
      <c r="E1567">
        <v>0.18747806287997401</v>
      </c>
      <c r="F1567">
        <v>0.18152392627267</v>
      </c>
      <c r="G1567">
        <v>0.100019532749945</v>
      </c>
      <c r="H1567">
        <v>0.127646408883448</v>
      </c>
      <c r="I1567">
        <v>0.196488402402997</v>
      </c>
      <c r="J1567">
        <v>0.36584759909280501</v>
      </c>
      <c r="K1567">
        <v>0.33041236888053299</v>
      </c>
      <c r="L1567">
        <v>4045.17758993703</v>
      </c>
      <c r="M1567">
        <v>96.748719704972004</v>
      </c>
      <c r="N1567">
        <v>42.080590894652701</v>
      </c>
      <c r="O1567">
        <v>41.793319682246299</v>
      </c>
      <c r="P1567">
        <v>-0.44511957698392801</v>
      </c>
      <c r="Q1567">
        <v>0.230872565720976</v>
      </c>
      <c r="R1567">
        <v>0.86915743971716497</v>
      </c>
      <c r="S1567" t="s">
        <v>8237</v>
      </c>
      <c r="T1567" t="s">
        <v>13338</v>
      </c>
      <c r="U1567" t="s">
        <v>13338</v>
      </c>
      <c r="V1567" t="s">
        <v>13338</v>
      </c>
      <c r="W1567" t="s">
        <v>14870</v>
      </c>
      <c r="X1567">
        <v>1</v>
      </c>
      <c r="Y1567" t="s">
        <v>21467</v>
      </c>
      <c r="Z1567" t="s">
        <v>27982</v>
      </c>
      <c r="AA1567">
        <v>0.27780771084869638</v>
      </c>
      <c r="AB1567" t="str">
        <f>HYPERLINK("Melting_Curves/meltCurve_O75151_PHF2.pdf", "Melting_Curves/meltCurve_O75151_PHF2.pdf")</f>
        <v>Melting_Curves/meltCurve_O75151_PHF2.pdf</v>
      </c>
    </row>
    <row r="1568" spans="1:28" x14ac:dyDescent="0.25">
      <c r="A1568" t="s">
        <v>1572</v>
      </c>
      <c r="B1568">
        <v>0.99193492352474899</v>
      </c>
      <c r="C1568">
        <v>0.393206762072567</v>
      </c>
      <c r="D1568">
        <v>0.42276140725484102</v>
      </c>
      <c r="E1568">
        <v>0.16617799614176801</v>
      </c>
      <c r="F1568">
        <v>0.11093204418432299</v>
      </c>
      <c r="G1568">
        <v>5.72514618382668E-2</v>
      </c>
      <c r="H1568">
        <v>4.0701879590397401E-2</v>
      </c>
      <c r="I1568">
        <v>5.5285989861457899E-2</v>
      </c>
      <c r="J1568">
        <v>6.9594105279463206E-2</v>
      </c>
      <c r="K1568">
        <v>7.8694360461787904E-2</v>
      </c>
      <c r="L1568">
        <v>802.47914025785701</v>
      </c>
      <c r="M1568">
        <v>18.513958915314699</v>
      </c>
      <c r="N1568">
        <v>43.689062114924702</v>
      </c>
      <c r="O1568">
        <v>42.848352198870103</v>
      </c>
      <c r="P1568">
        <v>-0.100688104459332</v>
      </c>
      <c r="Q1568">
        <v>6.7918745232882896E-2</v>
      </c>
      <c r="R1568">
        <v>0.90783229113950303</v>
      </c>
      <c r="S1568" t="s">
        <v>8238</v>
      </c>
      <c r="T1568" t="s">
        <v>13338</v>
      </c>
      <c r="U1568" t="s">
        <v>13338</v>
      </c>
      <c r="V1568" t="s">
        <v>13338</v>
      </c>
      <c r="W1568" t="s">
        <v>14871</v>
      </c>
      <c r="X1568">
        <v>17</v>
      </c>
      <c r="Y1568" t="s">
        <v>21468</v>
      </c>
      <c r="Z1568" t="s">
        <v>27983</v>
      </c>
      <c r="AA1568">
        <v>0.19598681266893611</v>
      </c>
      <c r="AB1568" t="str">
        <f>HYPERLINK("Melting_Curves/meltCurve_O75152_ZC3H11A.pdf", "Melting_Curves/meltCurve_O75152_ZC3H11A.pdf")</f>
        <v>Melting_Curves/meltCurve_O75152_ZC3H11A.pdf</v>
      </c>
    </row>
    <row r="1569" spans="1:28" x14ac:dyDescent="0.25">
      <c r="A1569" t="s">
        <v>1573</v>
      </c>
      <c r="B1569">
        <v>0.99193492352474899</v>
      </c>
      <c r="C1569">
        <v>0.92688001974092904</v>
      </c>
      <c r="D1569">
        <v>0.70831613590306597</v>
      </c>
      <c r="E1569">
        <v>0.230976872188734</v>
      </c>
      <c r="F1569">
        <v>0.168574034084193</v>
      </c>
      <c r="G1569">
        <v>6.4826474272787205E-2</v>
      </c>
      <c r="H1569">
        <v>4.5318825631730897E-2</v>
      </c>
      <c r="I1569">
        <v>3.9779801159661503E-2</v>
      </c>
      <c r="J1569">
        <v>7.8053872318604306E-2</v>
      </c>
      <c r="K1569">
        <v>6.5156121513211596E-2</v>
      </c>
      <c r="L1569">
        <v>1276.0976345080801</v>
      </c>
      <c r="M1569">
        <v>27.032468649771499</v>
      </c>
      <c r="N1569">
        <v>47.445535387847698</v>
      </c>
      <c r="O1569">
        <v>46.950028037892899</v>
      </c>
      <c r="P1569">
        <v>-0.13476625849766899</v>
      </c>
      <c r="Q1569">
        <v>6.3760027159435601E-2</v>
      </c>
      <c r="R1569">
        <v>0.99495836048935105</v>
      </c>
      <c r="S1569" t="s">
        <v>8239</v>
      </c>
      <c r="T1569" t="s">
        <v>13338</v>
      </c>
      <c r="U1569" t="s">
        <v>13338</v>
      </c>
      <c r="V1569" t="s">
        <v>13338</v>
      </c>
      <c r="W1569" t="s">
        <v>14872</v>
      </c>
      <c r="X1569">
        <v>8</v>
      </c>
      <c r="Y1569" t="s">
        <v>21469</v>
      </c>
      <c r="Z1569" t="s">
        <v>27984</v>
      </c>
      <c r="AA1569">
        <v>0.29567337536281879</v>
      </c>
      <c r="AB1569" t="str">
        <f>HYPERLINK("Melting_Curves/meltCurve_O75155_CAND2.pdf", "Melting_Curves/meltCurve_O75155_CAND2.pdf")</f>
        <v>Melting_Curves/meltCurve_O75155_CAND2.pdf</v>
      </c>
    </row>
    <row r="1570" spans="1:28" x14ac:dyDescent="0.25">
      <c r="A1570" t="s">
        <v>1574</v>
      </c>
      <c r="B1570">
        <v>0.99193492352474899</v>
      </c>
      <c r="C1570">
        <v>0.95940440358519496</v>
      </c>
      <c r="D1570">
        <v>0.81218275790409999</v>
      </c>
      <c r="E1570">
        <v>0.60364415362296397</v>
      </c>
      <c r="F1570">
        <v>0.33725270623116299</v>
      </c>
      <c r="G1570">
        <v>0.263965222066877</v>
      </c>
      <c r="H1570">
        <v>0.187695313607636</v>
      </c>
      <c r="I1570">
        <v>0.22232033146261801</v>
      </c>
      <c r="J1570">
        <v>0.22742456444812201</v>
      </c>
      <c r="K1570">
        <v>0.35893806307996701</v>
      </c>
      <c r="L1570">
        <v>1039.50123243335</v>
      </c>
      <c r="M1570">
        <v>21.2513509516826</v>
      </c>
      <c r="N1570">
        <v>50.473120540229502</v>
      </c>
      <c r="O1570">
        <v>48.487657369605799</v>
      </c>
      <c r="P1570">
        <v>-8.3211170333864395E-2</v>
      </c>
      <c r="Q1570">
        <v>0.24059217478034001</v>
      </c>
      <c r="R1570">
        <v>0.97616978688802902</v>
      </c>
      <c r="S1570" t="s">
        <v>8240</v>
      </c>
      <c r="T1570" t="s">
        <v>13338</v>
      </c>
      <c r="U1570" t="s">
        <v>13338</v>
      </c>
      <c r="V1570" t="s">
        <v>13338</v>
      </c>
      <c r="W1570" t="s">
        <v>14873</v>
      </c>
      <c r="X1570">
        <v>6</v>
      </c>
      <c r="Y1570" t="s">
        <v>21470</v>
      </c>
      <c r="Z1570" t="s">
        <v>27985</v>
      </c>
      <c r="AA1570">
        <v>0.47565504590379581</v>
      </c>
      <c r="AB1570" t="str">
        <f>HYPERLINK("Melting_Curves/meltCurve_O75157_2_TSC22D2.pdf", "Melting_Curves/meltCurve_O75157_2_TSC22D2.pdf")</f>
        <v>Melting_Curves/meltCurve_O75157_2_TSC22D2.pdf</v>
      </c>
    </row>
    <row r="1571" spans="1:28" x14ac:dyDescent="0.25">
      <c r="A1571" t="s">
        <v>1575</v>
      </c>
      <c r="B1571">
        <v>0.99193492352474899</v>
      </c>
      <c r="C1571">
        <v>0.85978758583127102</v>
      </c>
      <c r="D1571">
        <v>0.65303656724155501</v>
      </c>
      <c r="E1571">
        <v>0.35230466666629201</v>
      </c>
      <c r="F1571">
        <v>0.25271250646062798</v>
      </c>
      <c r="G1571">
        <v>0.13995870945074201</v>
      </c>
      <c r="H1571">
        <v>0.10016553596417301</v>
      </c>
      <c r="I1571">
        <v>9.6473609411948394E-2</v>
      </c>
      <c r="J1571">
        <v>0.112888979027005</v>
      </c>
      <c r="K1571">
        <v>0.11004381723123</v>
      </c>
      <c r="L1571">
        <v>818.21097901780195</v>
      </c>
      <c r="M1571">
        <v>17.327046170924099</v>
      </c>
      <c r="N1571">
        <v>47.837180609891099</v>
      </c>
      <c r="O1571">
        <v>46.606078393692997</v>
      </c>
      <c r="P1571">
        <v>-8.3661236814096498E-2</v>
      </c>
      <c r="Q1571">
        <v>9.9927578925100694E-2</v>
      </c>
      <c r="R1571">
        <v>0.99656138531628802</v>
      </c>
      <c r="S1571" t="s">
        <v>8241</v>
      </c>
      <c r="T1571" t="s">
        <v>13338</v>
      </c>
      <c r="U1571" t="s">
        <v>13338</v>
      </c>
      <c r="V1571" t="s">
        <v>13338</v>
      </c>
      <c r="W1571" t="s">
        <v>14874</v>
      </c>
      <c r="X1571">
        <v>7</v>
      </c>
      <c r="Y1571" t="s">
        <v>21471</v>
      </c>
      <c r="Z1571" t="s">
        <v>27986</v>
      </c>
      <c r="AA1571">
        <v>0.33443074454234362</v>
      </c>
      <c r="AB1571" t="str">
        <f>HYPERLINK("Melting_Curves/meltCurve_O75164_KDM4A.pdf", "Melting_Curves/meltCurve_O75164_KDM4A.pdf")</f>
        <v>Melting_Curves/meltCurve_O75164_KDM4A.pdf</v>
      </c>
    </row>
    <row r="1572" spans="1:28" x14ac:dyDescent="0.25">
      <c r="A1572" t="s">
        <v>1576</v>
      </c>
      <c r="B1572">
        <v>0.99193492352474899</v>
      </c>
      <c r="C1572">
        <v>0.91744958664786402</v>
      </c>
      <c r="D1572">
        <v>1.0634082145227699</v>
      </c>
      <c r="E1572">
        <v>0.60785019343141999</v>
      </c>
      <c r="F1572">
        <v>0.31871724114153199</v>
      </c>
      <c r="G1572">
        <v>0.19706164689288699</v>
      </c>
      <c r="H1572">
        <v>9.6727432615160994E-2</v>
      </c>
      <c r="I1572">
        <v>0.10265656342049501</v>
      </c>
      <c r="J1572">
        <v>9.4390434602985698E-2</v>
      </c>
      <c r="K1572">
        <v>8.30798451342699E-2</v>
      </c>
      <c r="L1572">
        <v>1327.2215240314999</v>
      </c>
      <c r="M1572">
        <v>26.241382275166998</v>
      </c>
      <c r="N1572">
        <v>51.023055617395499</v>
      </c>
      <c r="O1572">
        <v>50.286442976240501</v>
      </c>
      <c r="P1572">
        <v>-0.11710045124071999</v>
      </c>
      <c r="Q1572">
        <v>0.10241011203179801</v>
      </c>
      <c r="R1572">
        <v>0.98141974151292799</v>
      </c>
      <c r="S1572" t="s">
        <v>8242</v>
      </c>
      <c r="T1572" t="s">
        <v>13338</v>
      </c>
      <c r="U1572" t="s">
        <v>13338</v>
      </c>
      <c r="V1572" t="s">
        <v>13338</v>
      </c>
      <c r="W1572" t="s">
        <v>14875</v>
      </c>
      <c r="X1572">
        <v>22</v>
      </c>
      <c r="Y1572" t="s">
        <v>21472</v>
      </c>
      <c r="Z1572" t="s">
        <v>27987</v>
      </c>
      <c r="AA1572">
        <v>0.4262123417763275</v>
      </c>
      <c r="AB1572" t="str">
        <f>HYPERLINK("Melting_Curves/meltCurve_O75165_DNAJC13.pdf", "Melting_Curves/meltCurve_O75165_DNAJC13.pdf")</f>
        <v>Melting_Curves/meltCurve_O75165_DNAJC13.pdf</v>
      </c>
    </row>
    <row r="1573" spans="1:28" x14ac:dyDescent="0.25">
      <c r="A1573" t="s">
        <v>1577</v>
      </c>
      <c r="B1573">
        <v>0.99193492352474899</v>
      </c>
      <c r="C1573">
        <v>1.0918484238100701</v>
      </c>
      <c r="D1573">
        <v>1.0180972140092099</v>
      </c>
      <c r="E1573">
        <v>0.98186377194958996</v>
      </c>
      <c r="F1573">
        <v>0.68042678061345996</v>
      </c>
      <c r="G1573">
        <v>0.13903364808409199</v>
      </c>
      <c r="H1573">
        <v>8.1065769897143994E-2</v>
      </c>
      <c r="I1573">
        <v>9.4360973568119802E-2</v>
      </c>
      <c r="J1573">
        <v>0.112152604635033</v>
      </c>
      <c r="K1573">
        <v>0.13108732295063999</v>
      </c>
      <c r="L1573">
        <v>3157.4577268666299</v>
      </c>
      <c r="M1573">
        <v>58.764395342158799</v>
      </c>
      <c r="N1573">
        <v>53.9453082397172</v>
      </c>
      <c r="O1573">
        <v>53.668678859676703</v>
      </c>
      <c r="P1573">
        <v>-0.24521627806472501</v>
      </c>
      <c r="Q1573">
        <v>0.10419038750057601</v>
      </c>
      <c r="R1573">
        <v>0.99442899689486197</v>
      </c>
      <c r="S1573" t="s">
        <v>8243</v>
      </c>
      <c r="T1573" t="s">
        <v>13338</v>
      </c>
      <c r="U1573" t="s">
        <v>13338</v>
      </c>
      <c r="V1573" t="s">
        <v>13338</v>
      </c>
      <c r="W1573" t="s">
        <v>14876</v>
      </c>
      <c r="X1573">
        <v>7</v>
      </c>
      <c r="Y1573" t="s">
        <v>21473</v>
      </c>
      <c r="Z1573" t="s">
        <v>27988</v>
      </c>
      <c r="AA1573">
        <v>0.51573097317455852</v>
      </c>
      <c r="AB1573" t="str">
        <f>HYPERLINK("Melting_Curves/meltCurve_O75170_4_PPP6R2.pdf", "Melting_Curves/meltCurve_O75170_4_PPP6R2.pdf")</f>
        <v>Melting_Curves/meltCurve_O75170_4_PPP6R2.pdf</v>
      </c>
    </row>
    <row r="1574" spans="1:28" x14ac:dyDescent="0.25">
      <c r="A1574" t="s">
        <v>1578</v>
      </c>
      <c r="B1574">
        <v>0.99193492352474899</v>
      </c>
      <c r="C1574">
        <v>0.89711831253732999</v>
      </c>
      <c r="D1574">
        <v>0.82572196653051999</v>
      </c>
      <c r="E1574">
        <v>0.48812679952905902</v>
      </c>
      <c r="F1574">
        <v>0.210416882530786</v>
      </c>
      <c r="G1574">
        <v>0.13826770221373699</v>
      </c>
      <c r="H1574">
        <v>9.0261731464376493E-2</v>
      </c>
      <c r="I1574">
        <v>9.6588183037523007E-2</v>
      </c>
      <c r="J1574">
        <v>0.10961273804902801</v>
      </c>
      <c r="K1574">
        <v>0.11565528707613</v>
      </c>
      <c r="L1574">
        <v>1037.7893131712401</v>
      </c>
      <c r="M1574">
        <v>21.238700084111201</v>
      </c>
      <c r="N1574">
        <v>49.349859074675798</v>
      </c>
      <c r="O1574">
        <v>48.436134636346303</v>
      </c>
      <c r="P1574">
        <v>-9.9266027055897599E-2</v>
      </c>
      <c r="Q1574">
        <v>9.4494757731258802E-2</v>
      </c>
      <c r="R1574">
        <v>0.99594041275990297</v>
      </c>
      <c r="S1574" t="s">
        <v>8244</v>
      </c>
      <c r="T1574" t="s">
        <v>13338</v>
      </c>
      <c r="U1574" t="s">
        <v>13338</v>
      </c>
      <c r="V1574" t="s">
        <v>13338</v>
      </c>
      <c r="W1574" t="s">
        <v>14877</v>
      </c>
      <c r="X1574">
        <v>12</v>
      </c>
      <c r="Y1574" t="s">
        <v>21474</v>
      </c>
      <c r="Z1574" t="s">
        <v>27989</v>
      </c>
      <c r="AA1574">
        <v>0.37324313903837542</v>
      </c>
      <c r="AB1574" t="str">
        <f>HYPERLINK("Melting_Curves/meltCurve_O75175_CNOT3.pdf", "Melting_Curves/meltCurve_O75175_CNOT3.pdf")</f>
        <v>Melting_Curves/meltCurve_O75175_CNOT3.pdf</v>
      </c>
    </row>
    <row r="1575" spans="1:28" x14ac:dyDescent="0.25">
      <c r="A1575" t="s">
        <v>1579</v>
      </c>
      <c r="B1575">
        <v>0.99193492352474899</v>
      </c>
      <c r="C1575">
        <v>0.88704340222658595</v>
      </c>
      <c r="D1575">
        <v>0.561546491230138</v>
      </c>
      <c r="E1575">
        <v>0.41171731709758902</v>
      </c>
      <c r="F1575">
        <v>0.30465557688378297</v>
      </c>
      <c r="G1575">
        <v>0.20045623199323501</v>
      </c>
      <c r="H1575">
        <v>0.20481275817877101</v>
      </c>
      <c r="I1575">
        <v>0.44467999869182201</v>
      </c>
      <c r="J1575">
        <v>0.39763922781220001</v>
      </c>
      <c r="K1575">
        <v>0.56366816486651605</v>
      </c>
      <c r="L1575">
        <v>1463.5739861658301</v>
      </c>
      <c r="M1575">
        <v>32.5570420569153</v>
      </c>
      <c r="N1575">
        <v>46.739923397351902</v>
      </c>
      <c r="O1575">
        <v>44.785569084589902</v>
      </c>
      <c r="P1575">
        <v>-0.117063787657104</v>
      </c>
      <c r="Q1575">
        <v>0.35586991267366003</v>
      </c>
      <c r="R1575">
        <v>0.83671820308394196</v>
      </c>
      <c r="S1575" t="s">
        <v>8245</v>
      </c>
      <c r="T1575" t="s">
        <v>13338</v>
      </c>
      <c r="U1575" t="s">
        <v>13338</v>
      </c>
      <c r="V1575" t="s">
        <v>13338</v>
      </c>
      <c r="W1575" t="s">
        <v>14878</v>
      </c>
      <c r="X1575">
        <v>2</v>
      </c>
      <c r="Y1575" t="s">
        <v>21475</v>
      </c>
      <c r="Z1575" t="s">
        <v>27990</v>
      </c>
      <c r="AA1575">
        <v>0.46566735591972402</v>
      </c>
      <c r="AB1575" t="str">
        <f>HYPERLINK("Melting_Curves/meltCurve_O75177_SS18L1.pdf", "Melting_Curves/meltCurve_O75177_SS18L1.pdf")</f>
        <v>Melting_Curves/meltCurve_O75177_SS18L1.pdf</v>
      </c>
    </row>
    <row r="1576" spans="1:28" x14ac:dyDescent="0.25">
      <c r="A1576" t="s">
        <v>1580</v>
      </c>
      <c r="B1576">
        <v>0.99193492352474899</v>
      </c>
      <c r="C1576">
        <v>0.76492092371817899</v>
      </c>
      <c r="D1576">
        <v>0.66080477322255904</v>
      </c>
      <c r="E1576">
        <v>0.30744571823818101</v>
      </c>
      <c r="F1576">
        <v>0.18907048001124999</v>
      </c>
      <c r="G1576">
        <v>0.14796488418711901</v>
      </c>
      <c r="H1576">
        <v>9.4144218293512702E-2</v>
      </c>
      <c r="I1576">
        <v>0.110943607808013</v>
      </c>
      <c r="J1576">
        <v>0.107523710145594</v>
      </c>
      <c r="K1576">
        <v>0.109826447553632</v>
      </c>
      <c r="L1576">
        <v>801.02447564945805</v>
      </c>
      <c r="M1576">
        <v>17.172065128452601</v>
      </c>
      <c r="N1576">
        <v>47.242450870409897</v>
      </c>
      <c r="O1576">
        <v>46.028135443391498</v>
      </c>
      <c r="P1576">
        <v>-8.4197745335859206E-2</v>
      </c>
      <c r="Q1576">
        <v>9.7316491814477504E-2</v>
      </c>
      <c r="R1576">
        <v>0.98837646081689101</v>
      </c>
      <c r="S1576" t="s">
        <v>8246</v>
      </c>
      <c r="T1576" t="s">
        <v>13338</v>
      </c>
      <c r="U1576" t="s">
        <v>13338</v>
      </c>
      <c r="V1576" t="s">
        <v>13338</v>
      </c>
      <c r="W1576" t="s">
        <v>14879</v>
      </c>
      <c r="X1576">
        <v>20</v>
      </c>
      <c r="Y1576" t="s">
        <v>21476</v>
      </c>
      <c r="Z1576" t="s">
        <v>27991</v>
      </c>
      <c r="AA1576">
        <v>0.31613490291934349</v>
      </c>
      <c r="AB1576" t="str">
        <f>HYPERLINK("Melting_Curves/meltCurve_O75179_2_ANKRD17.pdf", "Melting_Curves/meltCurve_O75179_2_ANKRD17.pdf")</f>
        <v>Melting_Curves/meltCurve_O75179_2_ANKRD17.pdf</v>
      </c>
    </row>
    <row r="1577" spans="1:28" x14ac:dyDescent="0.25">
      <c r="A1577" t="s">
        <v>1581</v>
      </c>
      <c r="B1577">
        <v>0.99193492352474899</v>
      </c>
      <c r="C1577">
        <v>0.66697206071769</v>
      </c>
      <c r="D1577">
        <v>0.79579633960756402</v>
      </c>
      <c r="E1577">
        <v>0.56024988374236695</v>
      </c>
      <c r="F1577">
        <v>0.46894538137107</v>
      </c>
      <c r="G1577">
        <v>0.32621842856042199</v>
      </c>
      <c r="H1577">
        <v>0.37374278889900803</v>
      </c>
      <c r="I1577">
        <v>0.64482553281300403</v>
      </c>
      <c r="J1577">
        <v>1.1262308697182299</v>
      </c>
      <c r="K1577">
        <v>1.47439603088822</v>
      </c>
      <c r="L1577">
        <v>10141.4010894851</v>
      </c>
      <c r="M1577">
        <v>250</v>
      </c>
      <c r="O1577">
        <v>40.563008426087897</v>
      </c>
      <c r="P1577">
        <v>-0.43872467065771797</v>
      </c>
      <c r="Q1577">
        <v>0.71526412011608398</v>
      </c>
      <c r="R1577">
        <v>5.8356265810774598E-2</v>
      </c>
      <c r="S1577" t="s">
        <v>8247</v>
      </c>
      <c r="T1577" t="s">
        <v>13338</v>
      </c>
      <c r="U1577" t="s">
        <v>13338</v>
      </c>
      <c r="V1577" t="s">
        <v>13338</v>
      </c>
      <c r="W1577" t="s">
        <v>14880</v>
      </c>
      <c r="X1577">
        <v>4</v>
      </c>
      <c r="Y1577" t="s">
        <v>21477</v>
      </c>
      <c r="Z1577" t="s">
        <v>27992</v>
      </c>
      <c r="AA1577">
        <v>0.72069535212155189</v>
      </c>
      <c r="AB1577" t="str">
        <f>HYPERLINK("Melting_Curves/meltCurve_O75190_DNAJB6.pdf", "Melting_Curves/meltCurve_O75190_DNAJB6.pdf")</f>
        <v>Melting_Curves/meltCurve_O75190_DNAJB6.pdf</v>
      </c>
    </row>
    <row r="1578" spans="1:28" x14ac:dyDescent="0.25">
      <c r="A1578" t="s">
        <v>1582</v>
      </c>
      <c r="B1578">
        <v>0.99193492352474899</v>
      </c>
      <c r="C1578">
        <v>0.96693164168889201</v>
      </c>
      <c r="D1578">
        <v>0.74742221401904996</v>
      </c>
      <c r="E1578">
        <v>0.28140508050143598</v>
      </c>
      <c r="F1578">
        <v>0.147722023884063</v>
      </c>
      <c r="G1578">
        <v>9.2461317871654E-2</v>
      </c>
      <c r="H1578">
        <v>6.0178545343886898E-2</v>
      </c>
      <c r="I1578">
        <v>8.8287932178351305E-2</v>
      </c>
      <c r="J1578">
        <v>0.110433756554337</v>
      </c>
      <c r="K1578">
        <v>0.118210923662115</v>
      </c>
      <c r="L1578">
        <v>1430.9721918120199</v>
      </c>
      <c r="M1578">
        <v>30.165751140368499</v>
      </c>
      <c r="N1578">
        <v>47.771839654027097</v>
      </c>
      <c r="O1578">
        <v>47.229979277264199</v>
      </c>
      <c r="P1578">
        <v>-0.14445967883060401</v>
      </c>
      <c r="Q1578">
        <v>9.52940380741788E-2</v>
      </c>
      <c r="R1578">
        <v>0.99801392244196097</v>
      </c>
      <c r="S1578" t="s">
        <v>8248</v>
      </c>
      <c r="T1578" t="s">
        <v>13338</v>
      </c>
      <c r="U1578" t="s">
        <v>13338</v>
      </c>
      <c r="V1578" t="s">
        <v>13338</v>
      </c>
      <c r="W1578" t="s">
        <v>14881</v>
      </c>
      <c r="X1578">
        <v>8</v>
      </c>
      <c r="Y1578" t="s">
        <v>21478</v>
      </c>
      <c r="Z1578" t="s">
        <v>27993</v>
      </c>
      <c r="AA1578">
        <v>0.32493357335728601</v>
      </c>
      <c r="AB1578" t="str">
        <f>HYPERLINK("Melting_Curves/meltCurve_O75191_XYLB.pdf", "Melting_Curves/meltCurve_O75191_XYLB.pdf")</f>
        <v>Melting_Curves/meltCurve_O75191_XYLB.pdf</v>
      </c>
    </row>
    <row r="1579" spans="1:28" x14ac:dyDescent="0.25">
      <c r="A1579" t="s">
        <v>1583</v>
      </c>
      <c r="B1579">
        <v>0.99193492352474899</v>
      </c>
      <c r="C1579">
        <v>0.872663099954058</v>
      </c>
      <c r="D1579">
        <v>0.885411009481053</v>
      </c>
      <c r="E1579">
        <v>0.61126880631334501</v>
      </c>
      <c r="F1579">
        <v>0.44028619671097402</v>
      </c>
      <c r="G1579">
        <v>0.25686159359851701</v>
      </c>
      <c r="H1579">
        <v>0.198191548705799</v>
      </c>
      <c r="I1579">
        <v>0.267851570257366</v>
      </c>
      <c r="J1579">
        <v>0.197202144300377</v>
      </c>
      <c r="K1579">
        <v>0.286109876779648</v>
      </c>
      <c r="L1579">
        <v>877.71102903219003</v>
      </c>
      <c r="M1579">
        <v>17.645201850313999</v>
      </c>
      <c r="N1579">
        <v>51.427917447576696</v>
      </c>
      <c r="O1579">
        <v>49.1164957040519</v>
      </c>
      <c r="P1579">
        <v>-7.0094045846243805E-2</v>
      </c>
      <c r="Q1579">
        <v>0.219597345125389</v>
      </c>
      <c r="R1579">
        <v>0.97797968392193602</v>
      </c>
      <c r="S1579" t="s">
        <v>8249</v>
      </c>
      <c r="T1579" t="s">
        <v>13338</v>
      </c>
      <c r="U1579" t="s">
        <v>13338</v>
      </c>
      <c r="V1579" t="s">
        <v>13338</v>
      </c>
      <c r="W1579" t="s">
        <v>14882</v>
      </c>
      <c r="X1579">
        <v>4</v>
      </c>
      <c r="Y1579" t="s">
        <v>21479</v>
      </c>
      <c r="Z1579" t="s">
        <v>27994</v>
      </c>
      <c r="AA1579">
        <v>0.48690012069182131</v>
      </c>
      <c r="AB1579" t="str">
        <f>HYPERLINK("Melting_Curves/meltCurve_O75208_COQ9.pdf", "Melting_Curves/meltCurve_O75208_COQ9.pdf")</f>
        <v>Melting_Curves/meltCurve_O75208_COQ9.pdf</v>
      </c>
    </row>
    <row r="1580" spans="1:28" x14ac:dyDescent="0.25">
      <c r="A1580" t="s">
        <v>1584</v>
      </c>
      <c r="B1580">
        <v>0.99193492352474899</v>
      </c>
      <c r="C1580">
        <v>0.81996437745084105</v>
      </c>
      <c r="D1580">
        <v>0.91604852679172499</v>
      </c>
      <c r="E1580">
        <v>0.78439847052784195</v>
      </c>
      <c r="F1580">
        <v>0.60552996782937996</v>
      </c>
      <c r="G1580">
        <v>0.26817466897765102</v>
      </c>
      <c r="H1580">
        <v>7.8300917444014295E-2</v>
      </c>
      <c r="I1580">
        <v>9.2414223241065893E-2</v>
      </c>
      <c r="J1580">
        <v>0.102284264359427</v>
      </c>
      <c r="K1580">
        <v>0.112194655167631</v>
      </c>
      <c r="L1580">
        <v>926.58395505987301</v>
      </c>
      <c r="M1580">
        <v>17.3767894631515</v>
      </c>
      <c r="N1580">
        <v>53.663587183218397</v>
      </c>
      <c r="O1580">
        <v>52.631913130728201</v>
      </c>
      <c r="P1580">
        <v>-7.8234930395319396E-2</v>
      </c>
      <c r="Q1580">
        <v>5.2202191492820002E-2</v>
      </c>
      <c r="R1580">
        <v>0.96761118788692702</v>
      </c>
      <c r="S1580" t="s">
        <v>8250</v>
      </c>
      <c r="T1580" t="s">
        <v>13338</v>
      </c>
      <c r="U1580" t="s">
        <v>13338</v>
      </c>
      <c r="V1580" t="s">
        <v>13338</v>
      </c>
      <c r="W1580" t="s">
        <v>14883</v>
      </c>
      <c r="X1580">
        <v>15</v>
      </c>
      <c r="Y1580" t="s">
        <v>21480</v>
      </c>
      <c r="Z1580" t="s">
        <v>27995</v>
      </c>
      <c r="AA1580">
        <v>0.48940220863667222</v>
      </c>
      <c r="AB1580" t="str">
        <f>HYPERLINK("Melting_Curves/meltCurve_O75223_GGCT.pdf", "Melting_Curves/meltCurve_O75223_GGCT.pdf")</f>
        <v>Melting_Curves/meltCurve_O75223_GGCT.pdf</v>
      </c>
    </row>
    <row r="1581" spans="1:28" x14ac:dyDescent="0.25">
      <c r="A1581" t="s">
        <v>1585</v>
      </c>
      <c r="B1581">
        <v>0.99193492352474899</v>
      </c>
      <c r="C1581">
        <v>0.86829676311280202</v>
      </c>
      <c r="D1581">
        <v>0.91798972624643604</v>
      </c>
      <c r="E1581">
        <v>0.72988881427330699</v>
      </c>
      <c r="F1581">
        <v>0.58156482285296096</v>
      </c>
      <c r="G1581">
        <v>0.366414572656732</v>
      </c>
      <c r="H1581">
        <v>0.32529888680748498</v>
      </c>
      <c r="I1581">
        <v>0.44105477688175299</v>
      </c>
      <c r="J1581">
        <v>0.49986984571482701</v>
      </c>
      <c r="K1581">
        <v>0.64943069558640598</v>
      </c>
      <c r="L1581">
        <v>1165.87899688685</v>
      </c>
      <c r="M1581">
        <v>23.626713119592399</v>
      </c>
      <c r="N1581">
        <v>55.181088793435201</v>
      </c>
      <c r="O1581">
        <v>48.996384143978901</v>
      </c>
      <c r="P1581">
        <v>-6.5233139556603703E-2</v>
      </c>
      <c r="Q1581">
        <v>0.45889498062225298</v>
      </c>
      <c r="R1581">
        <v>0.82609337356885204</v>
      </c>
      <c r="S1581" t="s">
        <v>8251</v>
      </c>
      <c r="T1581" t="s">
        <v>13338</v>
      </c>
      <c r="U1581" t="s">
        <v>13338</v>
      </c>
      <c r="V1581" t="s">
        <v>13338</v>
      </c>
      <c r="W1581" t="s">
        <v>14884</v>
      </c>
      <c r="X1581">
        <v>4</v>
      </c>
      <c r="Y1581" t="s">
        <v>21481</v>
      </c>
      <c r="Z1581" t="s">
        <v>27996</v>
      </c>
      <c r="AA1581">
        <v>0.63285803445029132</v>
      </c>
      <c r="AB1581" t="str">
        <f>HYPERLINK("Melting_Curves/meltCurve_O75264_C19orf77.pdf", "Melting_Curves/meltCurve_O75264_C19orf77.pdf")</f>
        <v>Melting_Curves/meltCurve_O75264_C19orf77.pdf</v>
      </c>
    </row>
    <row r="1582" spans="1:28" x14ac:dyDescent="0.25">
      <c r="A1582" t="s">
        <v>1586</v>
      </c>
      <c r="B1582">
        <v>0.99193492352474899</v>
      </c>
      <c r="C1582">
        <v>0.95781899624493605</v>
      </c>
      <c r="D1582">
        <v>0.986160607065661</v>
      </c>
      <c r="E1582">
        <v>0.78788367960986005</v>
      </c>
      <c r="F1582">
        <v>0.43289001809279198</v>
      </c>
      <c r="G1582">
        <v>0.25413841039451002</v>
      </c>
      <c r="H1582">
        <v>0.111888598578467</v>
      </c>
      <c r="I1582">
        <v>8.3356100252001505E-2</v>
      </c>
      <c r="J1582">
        <v>9.9987520035513797E-2</v>
      </c>
      <c r="K1582">
        <v>7.73994413527576E-2</v>
      </c>
      <c r="L1582">
        <v>1137.11139289894</v>
      </c>
      <c r="M1582">
        <v>21.7434735536565</v>
      </c>
      <c r="N1582">
        <v>52.7206778405139</v>
      </c>
      <c r="O1582">
        <v>51.860354670243602</v>
      </c>
      <c r="P1582">
        <v>-9.6411569805044103E-2</v>
      </c>
      <c r="Q1582">
        <v>8.0216664859743603E-2</v>
      </c>
      <c r="R1582">
        <v>0.99703741081363095</v>
      </c>
      <c r="S1582" t="s">
        <v>8252</v>
      </c>
      <c r="T1582" t="s">
        <v>13338</v>
      </c>
      <c r="U1582" t="s">
        <v>13338</v>
      </c>
      <c r="V1582" t="s">
        <v>13338</v>
      </c>
      <c r="W1582" t="s">
        <v>14885</v>
      </c>
      <c r="X1582">
        <v>11</v>
      </c>
      <c r="Y1582" t="s">
        <v>21482</v>
      </c>
      <c r="Z1582" t="s">
        <v>27997</v>
      </c>
      <c r="AA1582">
        <v>0.46816186943737731</v>
      </c>
      <c r="AB1582" t="str">
        <f>HYPERLINK("Melting_Curves/meltCurve_O75306_NDUFS2.pdf", "Melting_Curves/meltCurve_O75306_NDUFS2.pdf")</f>
        <v>Melting_Curves/meltCurve_O75306_NDUFS2.pdf</v>
      </c>
    </row>
    <row r="1583" spans="1:28" x14ac:dyDescent="0.25">
      <c r="A1583" t="s">
        <v>1587</v>
      </c>
      <c r="B1583">
        <v>0.99193492352474899</v>
      </c>
      <c r="C1583">
        <v>1.0468294315558799</v>
      </c>
      <c r="D1583">
        <v>0.80969225598192995</v>
      </c>
      <c r="E1583">
        <v>0.69650074240953397</v>
      </c>
      <c r="F1583">
        <v>0.317146399689479</v>
      </c>
      <c r="G1583">
        <v>0.13099097008803401</v>
      </c>
      <c r="H1583">
        <v>7.5571891724896603E-2</v>
      </c>
      <c r="I1583">
        <v>0.1012903697289</v>
      </c>
      <c r="J1583">
        <v>0.104421043358041</v>
      </c>
      <c r="K1583">
        <v>0.12791054802487101</v>
      </c>
      <c r="L1583">
        <v>1104.95673214351</v>
      </c>
      <c r="M1583">
        <v>21.822292033700901</v>
      </c>
      <c r="N1583">
        <v>51.079782594443301</v>
      </c>
      <c r="O1583">
        <v>50.2148626023003</v>
      </c>
      <c r="P1583">
        <v>-9.9232804296687793E-2</v>
      </c>
      <c r="Q1583">
        <v>8.6650155598343104E-2</v>
      </c>
      <c r="R1583">
        <v>0.98567600239434605</v>
      </c>
      <c r="S1583" t="s">
        <v>8253</v>
      </c>
      <c r="T1583" t="s">
        <v>13338</v>
      </c>
      <c r="U1583" t="s">
        <v>13338</v>
      </c>
      <c r="V1583" t="s">
        <v>13338</v>
      </c>
      <c r="W1583" t="s">
        <v>14886</v>
      </c>
      <c r="X1583">
        <v>19</v>
      </c>
      <c r="Y1583" t="s">
        <v>21483</v>
      </c>
      <c r="Z1583" t="s">
        <v>27998</v>
      </c>
      <c r="AA1583">
        <v>0.42114440595533831</v>
      </c>
      <c r="AB1583" t="str">
        <f>HYPERLINK("Melting_Curves/meltCurve_O75312_ZNF259.pdf", "Melting_Curves/meltCurve_O75312_ZNF259.pdf")</f>
        <v>Melting_Curves/meltCurve_O75312_ZNF259.pdf</v>
      </c>
    </row>
    <row r="1584" spans="1:28" x14ac:dyDescent="0.25">
      <c r="A1584" t="s">
        <v>1588</v>
      </c>
      <c r="B1584">
        <v>0.99193492352474899</v>
      </c>
      <c r="C1584">
        <v>0.805317629059775</v>
      </c>
      <c r="D1584">
        <v>1.14106340904973</v>
      </c>
      <c r="E1584">
        <v>0.79174012016475703</v>
      </c>
      <c r="F1584">
        <v>0.71840396906057602</v>
      </c>
      <c r="G1584">
        <v>0.25549209576410098</v>
      </c>
      <c r="H1584">
        <v>8.9950949275427294E-2</v>
      </c>
      <c r="I1584">
        <v>0.101781260646786</v>
      </c>
      <c r="J1584">
        <v>0.121461921552661</v>
      </c>
      <c r="K1584">
        <v>7.6789739691088002E-2</v>
      </c>
      <c r="L1584">
        <v>1419.70719201677</v>
      </c>
      <c r="M1584">
        <v>26.198140853269098</v>
      </c>
      <c r="N1584">
        <v>54.537638489116297</v>
      </c>
      <c r="O1584">
        <v>53.878331025555397</v>
      </c>
      <c r="P1584">
        <v>-0.112243208291969</v>
      </c>
      <c r="Q1584">
        <v>7.6665556961968903E-2</v>
      </c>
      <c r="R1584">
        <v>0.94533293422327302</v>
      </c>
      <c r="S1584" t="s">
        <v>8254</v>
      </c>
      <c r="T1584" t="s">
        <v>13338</v>
      </c>
      <c r="U1584" t="s">
        <v>13338</v>
      </c>
      <c r="V1584" t="s">
        <v>13338</v>
      </c>
      <c r="W1584" t="s">
        <v>14887</v>
      </c>
      <c r="X1584">
        <v>4</v>
      </c>
      <c r="Y1584" t="s">
        <v>21484</v>
      </c>
      <c r="Z1584" t="s">
        <v>27999</v>
      </c>
      <c r="AA1584">
        <v>0.52128532100983982</v>
      </c>
      <c r="AB1584" t="str">
        <f>HYPERLINK("Melting_Curves/meltCurve_O75317_USP12.pdf", "Melting_Curves/meltCurve_O75317_USP12.pdf")</f>
        <v>Melting_Curves/meltCurve_O75317_USP12.pdf</v>
      </c>
    </row>
    <row r="1585" spans="1:28" x14ac:dyDescent="0.25">
      <c r="A1585" t="s">
        <v>1589</v>
      </c>
      <c r="B1585">
        <v>0.99193492352474899</v>
      </c>
      <c r="C1585">
        <v>1.15662981138716</v>
      </c>
      <c r="D1585">
        <v>0.93048056323716899</v>
      </c>
      <c r="E1585">
        <v>0.96172755441660296</v>
      </c>
      <c r="F1585">
        <v>0.69260430769608605</v>
      </c>
      <c r="G1585">
        <v>0.51484869056959603</v>
      </c>
      <c r="H1585">
        <v>0.15070338485479401</v>
      </c>
      <c r="I1585">
        <v>0.103738328039389</v>
      </c>
      <c r="J1585">
        <v>0.10937777066375701</v>
      </c>
      <c r="K1585">
        <v>0.113249016902603</v>
      </c>
      <c r="L1585">
        <v>1159.1005930461299</v>
      </c>
      <c r="M1585">
        <v>20.806002535349599</v>
      </c>
      <c r="N1585">
        <v>56.115405353126498</v>
      </c>
      <c r="O1585">
        <v>55.202929170728197</v>
      </c>
      <c r="P1585">
        <v>-8.7651077844870098E-2</v>
      </c>
      <c r="Q1585">
        <v>6.9795049607820597E-2</v>
      </c>
      <c r="R1585">
        <v>0.974085379623713</v>
      </c>
      <c r="S1585" t="s">
        <v>8255</v>
      </c>
      <c r="T1585" t="s">
        <v>13338</v>
      </c>
      <c r="U1585" t="s">
        <v>13338</v>
      </c>
      <c r="V1585" t="s">
        <v>13338</v>
      </c>
      <c r="W1585" t="s">
        <v>14888</v>
      </c>
      <c r="X1585">
        <v>14</v>
      </c>
      <c r="Y1585" t="s">
        <v>21485</v>
      </c>
      <c r="Z1585" t="s">
        <v>28000</v>
      </c>
      <c r="AA1585">
        <v>0.56836043361841226</v>
      </c>
      <c r="AB1585" t="str">
        <f>HYPERLINK("Melting_Curves/meltCurve_O75323_GBAS.pdf", "Melting_Curves/meltCurve_O75323_GBAS.pdf")</f>
        <v>Melting_Curves/meltCurve_O75323_GBAS.pdf</v>
      </c>
    </row>
    <row r="1586" spans="1:28" x14ac:dyDescent="0.25">
      <c r="A1586" t="s">
        <v>1590</v>
      </c>
      <c r="B1586">
        <v>0.99193492352474899</v>
      </c>
      <c r="C1586">
        <v>1.1664242167502199</v>
      </c>
      <c r="D1586">
        <v>0.88309386238935295</v>
      </c>
      <c r="E1586">
        <v>0.86383854273595495</v>
      </c>
      <c r="F1586">
        <v>0.55042519676308899</v>
      </c>
      <c r="G1586">
        <v>0.440067464254143</v>
      </c>
      <c r="H1586">
        <v>0.19279061209724399</v>
      </c>
      <c r="I1586">
        <v>0.211080967477111</v>
      </c>
      <c r="J1586">
        <v>0.19477419210839</v>
      </c>
      <c r="K1586">
        <v>0.19102751590804501</v>
      </c>
      <c r="L1586">
        <v>981.74685447025502</v>
      </c>
      <c r="M1586">
        <v>18.4106414994116</v>
      </c>
      <c r="N1586">
        <v>54.5647221949826</v>
      </c>
      <c r="O1586">
        <v>52.707780624162602</v>
      </c>
      <c r="P1586">
        <v>-7.2401790606291899E-2</v>
      </c>
      <c r="Q1586">
        <v>0.17092183049123599</v>
      </c>
      <c r="R1586">
        <v>0.96353456326388098</v>
      </c>
      <c r="S1586" t="s">
        <v>8256</v>
      </c>
      <c r="T1586" t="s">
        <v>13338</v>
      </c>
      <c r="U1586" t="s">
        <v>13338</v>
      </c>
      <c r="V1586" t="s">
        <v>13338</v>
      </c>
      <c r="W1586" t="s">
        <v>14889</v>
      </c>
      <c r="X1586">
        <v>3</v>
      </c>
      <c r="Y1586" t="s">
        <v>21486</v>
      </c>
      <c r="Z1586" t="s">
        <v>28001</v>
      </c>
      <c r="AA1586">
        <v>0.55218455892384177</v>
      </c>
      <c r="AB1586" t="str">
        <f>HYPERLINK("Melting_Curves/meltCurve_O75326_SEMA7A.pdf", "Melting_Curves/meltCurve_O75326_SEMA7A.pdf")</f>
        <v>Melting_Curves/meltCurve_O75326_SEMA7A.pdf</v>
      </c>
    </row>
    <row r="1587" spans="1:28" x14ac:dyDescent="0.25">
      <c r="A1587" t="s">
        <v>1591</v>
      </c>
      <c r="B1587">
        <v>0.99193492352474899</v>
      </c>
      <c r="C1587">
        <v>0.57419416127479095</v>
      </c>
      <c r="D1587">
        <v>0.44565917274163303</v>
      </c>
      <c r="E1587">
        <v>0.180404336721389</v>
      </c>
      <c r="F1587">
        <v>0.23830504735031899</v>
      </c>
      <c r="G1587">
        <v>7.3526573506854806E-2</v>
      </c>
      <c r="H1587">
        <v>5.4177744516634499E-2</v>
      </c>
      <c r="I1587">
        <v>8.5894375372773904E-2</v>
      </c>
      <c r="J1587">
        <v>9.53340118620533E-2</v>
      </c>
      <c r="K1587">
        <v>0.103084796552267</v>
      </c>
      <c r="L1587">
        <v>791.94358265697701</v>
      </c>
      <c r="M1587">
        <v>17.885383829648401</v>
      </c>
      <c r="N1587">
        <v>44.792140266301899</v>
      </c>
      <c r="O1587">
        <v>43.736403154768503</v>
      </c>
      <c r="P1587">
        <v>-9.2765014441962404E-2</v>
      </c>
      <c r="Q1587">
        <v>9.2666339277134496E-2</v>
      </c>
      <c r="R1587">
        <v>0.95341941238079697</v>
      </c>
      <c r="S1587" t="s">
        <v>8257</v>
      </c>
      <c r="T1587" t="s">
        <v>13338</v>
      </c>
      <c r="U1587" t="s">
        <v>13338</v>
      </c>
      <c r="V1587" t="s">
        <v>13338</v>
      </c>
      <c r="W1587" t="s">
        <v>14890</v>
      </c>
      <c r="X1587">
        <v>6</v>
      </c>
      <c r="Y1587" t="s">
        <v>21487</v>
      </c>
      <c r="Z1587" t="s">
        <v>28002</v>
      </c>
      <c r="AA1587">
        <v>0.24383555245187941</v>
      </c>
      <c r="AB1587" t="str">
        <f>HYPERLINK("Melting_Curves/meltCurve_O75330_2_HMMR.pdf", "Melting_Curves/meltCurve_O75330_2_HMMR.pdf")</f>
        <v>Melting_Curves/meltCurve_O75330_2_HMMR.pdf</v>
      </c>
    </row>
    <row r="1588" spans="1:28" x14ac:dyDescent="0.25">
      <c r="A1588" t="s">
        <v>1592</v>
      </c>
      <c r="B1588">
        <v>0.99193492352474899</v>
      </c>
      <c r="C1588">
        <v>0.85186138236628595</v>
      </c>
      <c r="D1588">
        <v>0.89845643578095902</v>
      </c>
      <c r="E1588">
        <v>0.71235678034601302</v>
      </c>
      <c r="F1588">
        <v>0.292530958959135</v>
      </c>
      <c r="G1588">
        <v>0.14546541230518001</v>
      </c>
      <c r="H1588">
        <v>8.4304862363262595E-2</v>
      </c>
      <c r="I1588">
        <v>7.6610524509699393E-2</v>
      </c>
      <c r="J1588">
        <v>7.9096069304380998E-2</v>
      </c>
      <c r="K1588">
        <v>8.7926107332657696E-2</v>
      </c>
      <c r="L1588">
        <v>1159.05578940084</v>
      </c>
      <c r="M1588">
        <v>22.775981416982798</v>
      </c>
      <c r="N1588">
        <v>51.226582034132797</v>
      </c>
      <c r="O1588">
        <v>50.5019546373127</v>
      </c>
      <c r="P1588">
        <v>-0.104901492334689</v>
      </c>
      <c r="Q1588">
        <v>6.9611570669136202E-2</v>
      </c>
      <c r="R1588">
        <v>0.98398308361331999</v>
      </c>
      <c r="S1588" t="s">
        <v>8258</v>
      </c>
      <c r="T1588" t="s">
        <v>13338</v>
      </c>
      <c r="U1588" t="s">
        <v>13338</v>
      </c>
      <c r="V1588" t="s">
        <v>13338</v>
      </c>
      <c r="W1588" t="s">
        <v>14891</v>
      </c>
      <c r="X1588">
        <v>8</v>
      </c>
      <c r="Y1588" t="s">
        <v>21488</v>
      </c>
      <c r="Z1588" t="s">
        <v>28003</v>
      </c>
      <c r="AA1588">
        <v>0.41739845910675538</v>
      </c>
      <c r="AB1588" t="str">
        <f>HYPERLINK("Melting_Curves/meltCurve_O75340_PDCD6.pdf", "Melting_Curves/meltCurve_O75340_PDCD6.pdf")</f>
        <v>Melting_Curves/meltCurve_O75340_PDCD6.pdf</v>
      </c>
    </row>
    <row r="1589" spans="1:28" x14ac:dyDescent="0.25">
      <c r="A1589" t="s">
        <v>1593</v>
      </c>
      <c r="B1589">
        <v>0.99193492352474899</v>
      </c>
      <c r="C1589">
        <v>0.91545243787902897</v>
      </c>
      <c r="D1589">
        <v>0.87418394773267805</v>
      </c>
      <c r="E1589">
        <v>0.78858105333099804</v>
      </c>
      <c r="F1589">
        <v>0.59088276384234495</v>
      </c>
      <c r="G1589">
        <v>0.45507120065944101</v>
      </c>
      <c r="H1589">
        <v>0.34084697141517201</v>
      </c>
      <c r="I1589">
        <v>0.37068109199631399</v>
      </c>
      <c r="J1589">
        <v>0.38109537846921399</v>
      </c>
      <c r="K1589">
        <v>0.515244602809796</v>
      </c>
      <c r="L1589">
        <v>871.924169705135</v>
      </c>
      <c r="M1589">
        <v>17.2144007033443</v>
      </c>
      <c r="N1589">
        <v>55.494990733314602</v>
      </c>
      <c r="O1589">
        <v>49.982155772333599</v>
      </c>
      <c r="P1589">
        <v>-5.2635224873248003E-2</v>
      </c>
      <c r="Q1589">
        <v>0.38872870582052699</v>
      </c>
      <c r="R1589">
        <v>0.94716436403740101</v>
      </c>
      <c r="S1589" t="s">
        <v>8259</v>
      </c>
      <c r="T1589" t="s">
        <v>13338</v>
      </c>
      <c r="U1589" t="s">
        <v>13338</v>
      </c>
      <c r="V1589" t="s">
        <v>13338</v>
      </c>
      <c r="W1589" t="s">
        <v>14892</v>
      </c>
      <c r="X1589">
        <v>19</v>
      </c>
      <c r="Y1589" t="s">
        <v>21489</v>
      </c>
      <c r="Z1589" t="s">
        <v>28004</v>
      </c>
      <c r="AA1589">
        <v>0.6169648999635855</v>
      </c>
      <c r="AB1589" t="str">
        <f>HYPERLINK("Melting_Curves/meltCurve_O75347_TBCA.pdf", "Melting_Curves/meltCurve_O75347_TBCA.pdf")</f>
        <v>Melting_Curves/meltCurve_O75347_TBCA.pdf</v>
      </c>
    </row>
    <row r="1590" spans="1:28" x14ac:dyDescent="0.25">
      <c r="A1590" t="s">
        <v>1594</v>
      </c>
      <c r="B1590">
        <v>0.99193492352474899</v>
      </c>
      <c r="C1590">
        <v>0.86371393703931898</v>
      </c>
      <c r="D1590">
        <v>0.86959452085227296</v>
      </c>
      <c r="E1590">
        <v>0.80816337198847799</v>
      </c>
      <c r="F1590">
        <v>0.59617641753599404</v>
      </c>
      <c r="G1590">
        <v>0.339553761920041</v>
      </c>
      <c r="H1590">
        <v>0.24441122715786001</v>
      </c>
      <c r="I1590">
        <v>0.24424728441938701</v>
      </c>
      <c r="J1590">
        <v>0.32399872821801601</v>
      </c>
      <c r="K1590">
        <v>0.37379681984435198</v>
      </c>
      <c r="L1590">
        <v>953.53585766502704</v>
      </c>
      <c r="M1590">
        <v>18.4398565717662</v>
      </c>
      <c r="N1590">
        <v>54.054948551018001</v>
      </c>
      <c r="O1590">
        <v>51.113943999957201</v>
      </c>
      <c r="P1590">
        <v>-6.5365660659699495E-2</v>
      </c>
      <c r="Q1590">
        <v>0.27527704188823099</v>
      </c>
      <c r="R1590">
        <v>0.94426733206970503</v>
      </c>
      <c r="S1590" t="s">
        <v>8260</v>
      </c>
      <c r="T1590" t="s">
        <v>13338</v>
      </c>
      <c r="U1590" t="s">
        <v>13338</v>
      </c>
      <c r="V1590" t="s">
        <v>13338</v>
      </c>
      <c r="W1590" t="s">
        <v>14893</v>
      </c>
      <c r="X1590">
        <v>7</v>
      </c>
      <c r="Y1590" t="s">
        <v>21490</v>
      </c>
      <c r="Z1590" t="s">
        <v>28005</v>
      </c>
      <c r="AA1590">
        <v>0.5697820041332603</v>
      </c>
      <c r="AB1590" t="str">
        <f>HYPERLINK("Melting_Curves/meltCurve_O75348_ATP6V1G1.pdf", "Melting_Curves/meltCurve_O75348_ATP6V1G1.pdf")</f>
        <v>Melting_Curves/meltCurve_O75348_ATP6V1G1.pdf</v>
      </c>
    </row>
    <row r="1591" spans="1:28" x14ac:dyDescent="0.25">
      <c r="A1591" t="s">
        <v>1595</v>
      </c>
      <c r="B1591">
        <v>0.99193492352474899</v>
      </c>
      <c r="C1591">
        <v>1.15512931828746</v>
      </c>
      <c r="D1591">
        <v>0.85575015624183604</v>
      </c>
      <c r="E1591">
        <v>0.93422145102403797</v>
      </c>
      <c r="F1591">
        <v>0.202902031553822</v>
      </c>
      <c r="G1591">
        <v>0.13863799802499299</v>
      </c>
      <c r="H1591">
        <v>8.5966718259948893E-2</v>
      </c>
      <c r="I1591">
        <v>0.112448799974188</v>
      </c>
      <c r="J1591">
        <v>9.5843076339411096E-2</v>
      </c>
      <c r="K1591">
        <v>0.111364079714944</v>
      </c>
      <c r="L1591">
        <v>3369.80975987383</v>
      </c>
      <c r="M1591">
        <v>65.449890778838196</v>
      </c>
      <c r="N1591">
        <v>51.679298703995102</v>
      </c>
      <c r="O1591">
        <v>51.438863739906303</v>
      </c>
      <c r="P1591">
        <v>-0.28369879121340802</v>
      </c>
      <c r="Q1591">
        <v>0.108133625831174</v>
      </c>
      <c r="R1591">
        <v>0.974697975895082</v>
      </c>
      <c r="S1591" t="s">
        <v>8261</v>
      </c>
      <c r="T1591" t="s">
        <v>13338</v>
      </c>
      <c r="U1591" t="s">
        <v>13338</v>
      </c>
      <c r="V1591" t="s">
        <v>13338</v>
      </c>
      <c r="W1591" t="s">
        <v>14894</v>
      </c>
      <c r="X1591">
        <v>17</v>
      </c>
      <c r="Y1591" t="s">
        <v>21491</v>
      </c>
      <c r="Z1591" t="s">
        <v>28006</v>
      </c>
      <c r="AA1591">
        <v>0.45080463219422362</v>
      </c>
      <c r="AB1591" t="str">
        <f>HYPERLINK("Melting_Curves/meltCurve_O75351_VPS4B.pdf", "Melting_Curves/meltCurve_O75351_VPS4B.pdf")</f>
        <v>Melting_Curves/meltCurve_O75351_VPS4B.pdf</v>
      </c>
    </row>
    <row r="1592" spans="1:28" x14ac:dyDescent="0.25">
      <c r="A1592" t="s">
        <v>1596</v>
      </c>
      <c r="B1592">
        <v>0.99193492352474899</v>
      </c>
      <c r="C1592">
        <v>0.78021394529323096</v>
      </c>
      <c r="D1592">
        <v>0.90652072251298499</v>
      </c>
      <c r="E1592">
        <v>0.61050360553232597</v>
      </c>
      <c r="F1592">
        <v>0.25903649288737202</v>
      </c>
      <c r="G1592">
        <v>0.104546190626728</v>
      </c>
      <c r="H1592">
        <v>9.1583743811301493E-2</v>
      </c>
      <c r="I1592">
        <v>0.14182366486380801</v>
      </c>
      <c r="J1592">
        <v>0.15581488740662999</v>
      </c>
      <c r="K1592">
        <v>0.25377341223670002</v>
      </c>
      <c r="L1592">
        <v>1288.2020288687199</v>
      </c>
      <c r="M1592">
        <v>25.9303795899304</v>
      </c>
      <c r="N1592">
        <v>50.325172152453703</v>
      </c>
      <c r="O1592">
        <v>49.3866193007132</v>
      </c>
      <c r="P1592">
        <v>-0.11268368895742099</v>
      </c>
      <c r="Q1592">
        <v>0.14154727904914699</v>
      </c>
      <c r="R1592">
        <v>0.94350114970266497</v>
      </c>
      <c r="S1592" t="s">
        <v>8262</v>
      </c>
      <c r="T1592" t="s">
        <v>13338</v>
      </c>
      <c r="U1592" t="s">
        <v>13338</v>
      </c>
      <c r="V1592" t="s">
        <v>13338</v>
      </c>
      <c r="W1592" t="s">
        <v>14895</v>
      </c>
      <c r="X1592">
        <v>8</v>
      </c>
      <c r="Y1592" t="s">
        <v>21492</v>
      </c>
      <c r="Z1592" t="s">
        <v>28007</v>
      </c>
      <c r="AA1592">
        <v>0.42562269711723771</v>
      </c>
      <c r="AB1592" t="str">
        <f>HYPERLINK("Melting_Curves/meltCurve_O75362_ZNF217.pdf", "Melting_Curves/meltCurve_O75362_ZNF217.pdf")</f>
        <v>Melting_Curves/meltCurve_O75362_ZNF217.pdf</v>
      </c>
    </row>
    <row r="1593" spans="1:28" x14ac:dyDescent="0.25">
      <c r="A1593" t="s">
        <v>1597</v>
      </c>
      <c r="B1593">
        <v>0.99193492352474899</v>
      </c>
      <c r="C1593">
        <v>0.462597442925196</v>
      </c>
      <c r="D1593">
        <v>0.631469914359156</v>
      </c>
      <c r="E1593">
        <v>0.51029282006161902</v>
      </c>
      <c r="F1593">
        <v>0.57707211950304504</v>
      </c>
      <c r="G1593">
        <v>0.29103583683009898</v>
      </c>
      <c r="H1593">
        <v>0.14576947663623199</v>
      </c>
      <c r="I1593">
        <v>8.2320407631995898E-2</v>
      </c>
      <c r="J1593">
        <v>0.18118051404818999</v>
      </c>
      <c r="K1593">
        <v>0.103737721120934</v>
      </c>
      <c r="L1593">
        <v>327.01563041964801</v>
      </c>
      <c r="M1593">
        <v>6.6307931928130399</v>
      </c>
      <c r="N1593">
        <v>49.317724484583202</v>
      </c>
      <c r="O1593">
        <v>45.411049404454502</v>
      </c>
      <c r="P1593">
        <v>-3.6586770281519999E-2</v>
      </c>
      <c r="Q1593">
        <v>0</v>
      </c>
      <c r="R1593">
        <v>0.79709429444427604</v>
      </c>
      <c r="S1593" t="s">
        <v>8263</v>
      </c>
      <c r="T1593" t="s">
        <v>13338</v>
      </c>
      <c r="U1593" t="s">
        <v>13338</v>
      </c>
      <c r="V1593" t="s">
        <v>13338</v>
      </c>
      <c r="W1593" t="s">
        <v>14896</v>
      </c>
      <c r="X1593">
        <v>5</v>
      </c>
      <c r="Y1593" t="s">
        <v>21493</v>
      </c>
      <c r="Z1593" t="s">
        <v>28008</v>
      </c>
      <c r="AA1593">
        <v>0.38897419079146611</v>
      </c>
      <c r="AB1593" t="str">
        <f>HYPERLINK("Melting_Curves/meltCurve_O75367_2_H2AFY.pdf", "Melting_Curves/meltCurve_O75367_2_H2AFY.pdf")</f>
        <v>Melting_Curves/meltCurve_O75367_2_H2AFY.pdf</v>
      </c>
    </row>
    <row r="1594" spans="1:28" x14ac:dyDescent="0.25">
      <c r="A1594" t="s">
        <v>1598</v>
      </c>
      <c r="B1594">
        <v>0.99193492352474899</v>
      </c>
      <c r="C1594">
        <v>0.75027067779516798</v>
      </c>
      <c r="D1594">
        <v>0.859476742977621</v>
      </c>
      <c r="E1594">
        <v>0.73022933634098997</v>
      </c>
      <c r="F1594">
        <v>0.47210121876160499</v>
      </c>
      <c r="G1594">
        <v>0.232700462720655</v>
      </c>
      <c r="H1594">
        <v>0.16998661682980901</v>
      </c>
      <c r="I1594">
        <v>0.20231880759687401</v>
      </c>
      <c r="J1594">
        <v>0.229048267576661</v>
      </c>
      <c r="K1594">
        <v>0.33071700345854499</v>
      </c>
      <c r="L1594">
        <v>762.90434118381404</v>
      </c>
      <c r="M1594">
        <v>15.1381987412685</v>
      </c>
      <c r="N1594">
        <v>52.1250560040666</v>
      </c>
      <c r="O1594">
        <v>49.541095545128798</v>
      </c>
      <c r="P1594">
        <v>-6.1319017489349099E-2</v>
      </c>
      <c r="Q1594">
        <v>0.19739057193272699</v>
      </c>
      <c r="R1594">
        <v>0.91056617892924696</v>
      </c>
      <c r="S1594" t="s">
        <v>8264</v>
      </c>
      <c r="T1594" t="s">
        <v>13338</v>
      </c>
      <c r="U1594" t="s">
        <v>13338</v>
      </c>
      <c r="V1594" t="s">
        <v>13338</v>
      </c>
      <c r="W1594" t="s">
        <v>14897</v>
      </c>
      <c r="X1594">
        <v>13</v>
      </c>
      <c r="Y1594" t="s">
        <v>21494</v>
      </c>
      <c r="Z1594" t="s">
        <v>28009</v>
      </c>
      <c r="AA1594">
        <v>0.49412305182443728</v>
      </c>
      <c r="AB1594" t="str">
        <f>HYPERLINK("Melting_Curves/meltCurve_O75368_SH3BGRL.pdf", "Melting_Curves/meltCurve_O75368_SH3BGRL.pdf")</f>
        <v>Melting_Curves/meltCurve_O75368_SH3BGRL.pdf</v>
      </c>
    </row>
    <row r="1595" spans="1:28" x14ac:dyDescent="0.25">
      <c r="A1595" t="s">
        <v>1599</v>
      </c>
      <c r="B1595">
        <v>0.99193492352474899</v>
      </c>
      <c r="C1595">
        <v>0.83769367443298404</v>
      </c>
      <c r="D1595">
        <v>0.83031275462822196</v>
      </c>
      <c r="E1595">
        <v>0.42704665266637298</v>
      </c>
      <c r="F1595">
        <v>0.17678542736255801</v>
      </c>
      <c r="G1595">
        <v>8.5371933008522596E-2</v>
      </c>
      <c r="H1595">
        <v>5.5476282256367797E-2</v>
      </c>
      <c r="I1595">
        <v>6.3853668547075595E-2</v>
      </c>
      <c r="J1595">
        <v>7.9380416077433097E-2</v>
      </c>
      <c r="K1595">
        <v>8.1563116125997301E-2</v>
      </c>
      <c r="L1595">
        <v>1024.3657423766299</v>
      </c>
      <c r="M1595">
        <v>21.0795613387684</v>
      </c>
      <c r="N1595">
        <v>48.884131953101203</v>
      </c>
      <c r="O1595">
        <v>48.164222998209198</v>
      </c>
      <c r="P1595">
        <v>-0.10300944164925201</v>
      </c>
      <c r="Q1595">
        <v>5.8569146873196198E-2</v>
      </c>
      <c r="R1595">
        <v>0.98790304303078202</v>
      </c>
      <c r="S1595" t="s">
        <v>8265</v>
      </c>
      <c r="T1595" t="s">
        <v>13338</v>
      </c>
      <c r="U1595" t="s">
        <v>13338</v>
      </c>
      <c r="V1595" t="s">
        <v>13338</v>
      </c>
      <c r="W1595" t="s">
        <v>14898</v>
      </c>
      <c r="X1595">
        <v>131</v>
      </c>
      <c r="Y1595" t="s">
        <v>21495</v>
      </c>
      <c r="Z1595" t="s">
        <v>28010</v>
      </c>
      <c r="AA1595">
        <v>0.34017470864620591</v>
      </c>
      <c r="AB1595" t="str">
        <f>HYPERLINK("Melting_Curves/meltCurve_O75369_8_FLNB.pdf", "Melting_Curves/meltCurve_O75369_8_FLNB.pdf")</f>
        <v>Melting_Curves/meltCurve_O75369_8_FLNB.pdf</v>
      </c>
    </row>
    <row r="1596" spans="1:28" x14ac:dyDescent="0.25">
      <c r="A1596" t="s">
        <v>1600</v>
      </c>
      <c r="B1596">
        <v>0.99193492352474899</v>
      </c>
      <c r="C1596">
        <v>0.70209797016129205</v>
      </c>
      <c r="D1596">
        <v>0.56134347715737998</v>
      </c>
      <c r="E1596">
        <v>0.389672896451211</v>
      </c>
      <c r="F1596">
        <v>0.30919095497403998</v>
      </c>
      <c r="G1596">
        <v>0.24302431000149999</v>
      </c>
      <c r="H1596">
        <v>0.28340539408274701</v>
      </c>
      <c r="I1596">
        <v>0.51101833547545505</v>
      </c>
      <c r="J1596">
        <v>0.626130191341703</v>
      </c>
      <c r="K1596">
        <v>0.95359528839380203</v>
      </c>
      <c r="L1596">
        <v>1668.3386026696901</v>
      </c>
      <c r="M1596">
        <v>39.056323127940502</v>
      </c>
      <c r="N1596">
        <v>46.515018253665502</v>
      </c>
      <c r="O1596">
        <v>42.604696605671698</v>
      </c>
      <c r="P1596">
        <v>-0.119309026522899</v>
      </c>
      <c r="Q1596">
        <v>0.47940687894433198</v>
      </c>
      <c r="R1596">
        <v>0.39925466745376398</v>
      </c>
      <c r="S1596" t="s">
        <v>8266</v>
      </c>
      <c r="T1596" t="s">
        <v>13338</v>
      </c>
      <c r="U1596" t="s">
        <v>13338</v>
      </c>
      <c r="V1596" t="s">
        <v>13338</v>
      </c>
      <c r="W1596" t="s">
        <v>14899</v>
      </c>
      <c r="X1596">
        <v>15</v>
      </c>
      <c r="Y1596" t="s">
        <v>21496</v>
      </c>
      <c r="Z1596" t="s">
        <v>28011</v>
      </c>
      <c r="AA1596">
        <v>0.52923738508035689</v>
      </c>
      <c r="AB1596" t="str">
        <f>HYPERLINK("Melting_Curves/meltCurve_O75376_NCOR1.pdf", "Melting_Curves/meltCurve_O75376_NCOR1.pdf")</f>
        <v>Melting_Curves/meltCurve_O75376_NCOR1.pdf</v>
      </c>
    </row>
    <row r="1597" spans="1:28" x14ac:dyDescent="0.25">
      <c r="A1597" t="s">
        <v>1601</v>
      </c>
      <c r="B1597">
        <v>0.99193492352474899</v>
      </c>
      <c r="C1597">
        <v>1.1771818695996299</v>
      </c>
      <c r="D1597">
        <v>0.87149587538786899</v>
      </c>
      <c r="E1597">
        <v>1.01954651623516</v>
      </c>
      <c r="F1597">
        <v>0.57112026044251996</v>
      </c>
      <c r="G1597">
        <v>0.482042022716409</v>
      </c>
      <c r="H1597">
        <v>0.36274152327261799</v>
      </c>
      <c r="I1597">
        <v>0.37938010244641601</v>
      </c>
      <c r="J1597">
        <v>0.46513380075362998</v>
      </c>
      <c r="K1597">
        <v>0.52999297831912195</v>
      </c>
      <c r="L1597">
        <v>10962.218085750699</v>
      </c>
      <c r="M1597">
        <v>207.271654698974</v>
      </c>
      <c r="N1597">
        <v>53.452088048675499</v>
      </c>
      <c r="O1597">
        <v>52.883244664486703</v>
      </c>
      <c r="P1597">
        <v>-0.54493856799463403</v>
      </c>
      <c r="Q1597">
        <v>0.44385797511173097</v>
      </c>
      <c r="R1597">
        <v>0.91520895747439102</v>
      </c>
      <c r="S1597" t="s">
        <v>8267</v>
      </c>
      <c r="T1597" t="s">
        <v>13338</v>
      </c>
      <c r="U1597" t="s">
        <v>13338</v>
      </c>
      <c r="V1597" t="s">
        <v>13338</v>
      </c>
      <c r="W1597" t="s">
        <v>14900</v>
      </c>
      <c r="X1597">
        <v>6</v>
      </c>
      <c r="Y1597" t="s">
        <v>21497</v>
      </c>
      <c r="Z1597" t="s">
        <v>28012</v>
      </c>
      <c r="AA1597">
        <v>0.68285480625187778</v>
      </c>
      <c r="AB1597" t="str">
        <f>HYPERLINK("Melting_Curves/meltCurve_O75379_2_VAMP4.pdf", "Melting_Curves/meltCurve_O75379_2_VAMP4.pdf")</f>
        <v>Melting_Curves/meltCurve_O75379_2_VAMP4.pdf</v>
      </c>
    </row>
    <row r="1598" spans="1:28" x14ac:dyDescent="0.25">
      <c r="A1598" t="s">
        <v>1602</v>
      </c>
      <c r="B1598">
        <v>0.99193492352474899</v>
      </c>
      <c r="C1598">
        <v>0.92669542167811803</v>
      </c>
      <c r="D1598">
        <v>0.71225926346278501</v>
      </c>
      <c r="E1598">
        <v>0.70055944348593802</v>
      </c>
      <c r="F1598">
        <v>0.43742991253844798</v>
      </c>
      <c r="G1598">
        <v>0.32942619120933497</v>
      </c>
      <c r="H1598">
        <v>0.26692327313652597</v>
      </c>
      <c r="I1598">
        <v>0.36495951284214401</v>
      </c>
      <c r="J1598">
        <v>0.33936470785094203</v>
      </c>
      <c r="K1598">
        <v>0.53882509756153196</v>
      </c>
      <c r="L1598">
        <v>810.19134967798698</v>
      </c>
      <c r="M1598">
        <v>16.911685290835901</v>
      </c>
      <c r="N1598">
        <v>51.7968373085479</v>
      </c>
      <c r="O1598">
        <v>47.252381085623497</v>
      </c>
      <c r="P1598">
        <v>-5.7305382556813098E-2</v>
      </c>
      <c r="Q1598">
        <v>0.359580064622054</v>
      </c>
      <c r="R1598">
        <v>0.88815394159459005</v>
      </c>
      <c r="S1598" t="s">
        <v>8268</v>
      </c>
      <c r="T1598" t="s">
        <v>13338</v>
      </c>
      <c r="U1598" t="s">
        <v>13338</v>
      </c>
      <c r="V1598" t="s">
        <v>13338</v>
      </c>
      <c r="W1598" t="s">
        <v>14901</v>
      </c>
      <c r="X1598">
        <v>5</v>
      </c>
      <c r="Y1598" t="s">
        <v>21498</v>
      </c>
      <c r="Z1598" t="s">
        <v>28013</v>
      </c>
      <c r="AA1598">
        <v>0.54135367154785408</v>
      </c>
      <c r="AB1598" t="str">
        <f>HYPERLINK("Melting_Curves/meltCurve_O75380_NDUFS6.pdf", "Melting_Curves/meltCurve_O75380_NDUFS6.pdf")</f>
        <v>Melting_Curves/meltCurve_O75380_NDUFS6.pdf</v>
      </c>
    </row>
    <row r="1599" spans="1:28" x14ac:dyDescent="0.25">
      <c r="A1599" t="s">
        <v>1603</v>
      </c>
      <c r="B1599">
        <v>0.99193492352474899</v>
      </c>
      <c r="C1599">
        <v>0.67282700303637999</v>
      </c>
      <c r="D1599">
        <v>0.68061786146699099</v>
      </c>
      <c r="E1599">
        <v>0.51282120706966905</v>
      </c>
      <c r="F1599">
        <v>0.54341097470898003</v>
      </c>
      <c r="G1599">
        <v>0.30548707581297202</v>
      </c>
      <c r="H1599">
        <v>0.22606605601504001</v>
      </c>
      <c r="I1599">
        <v>0.239021469395439</v>
      </c>
      <c r="J1599">
        <v>0.36213780101286203</v>
      </c>
      <c r="K1599">
        <v>0.29152434979798197</v>
      </c>
      <c r="L1599">
        <v>474.60053926821598</v>
      </c>
      <c r="M1599">
        <v>10.102339654749199</v>
      </c>
      <c r="N1599">
        <v>50.331529854017298</v>
      </c>
      <c r="O1599">
        <v>45.249878339392097</v>
      </c>
      <c r="P1599">
        <v>-4.21664355329106E-2</v>
      </c>
      <c r="Q1599">
        <v>0.24487436580351901</v>
      </c>
      <c r="R1599">
        <v>0.89010586092306598</v>
      </c>
      <c r="S1599" t="s">
        <v>8269</v>
      </c>
      <c r="T1599" t="s">
        <v>13338</v>
      </c>
      <c r="U1599" t="s">
        <v>13338</v>
      </c>
      <c r="V1599" t="s">
        <v>13338</v>
      </c>
      <c r="W1599" t="s">
        <v>14902</v>
      </c>
      <c r="X1599">
        <v>8</v>
      </c>
      <c r="Y1599" t="s">
        <v>21499</v>
      </c>
      <c r="Z1599" t="s">
        <v>28014</v>
      </c>
      <c r="AA1599">
        <v>0.46329399389842119</v>
      </c>
      <c r="AB1599" t="str">
        <f>HYPERLINK("Melting_Curves/meltCurve_O75381_2_PEX14.pdf", "Melting_Curves/meltCurve_O75381_2_PEX14.pdf")</f>
        <v>Melting_Curves/meltCurve_O75381_2_PEX14.pdf</v>
      </c>
    </row>
    <row r="1600" spans="1:28" x14ac:dyDescent="0.25">
      <c r="A1600" t="s">
        <v>1604</v>
      </c>
      <c r="B1600">
        <v>0.99193492352474899</v>
      </c>
      <c r="C1600">
        <v>0.77505877550669899</v>
      </c>
      <c r="D1600">
        <v>0.78989866807310904</v>
      </c>
      <c r="E1600">
        <v>0.28559058745753702</v>
      </c>
      <c r="F1600">
        <v>0.22470018816266199</v>
      </c>
      <c r="G1600">
        <v>0.135420091774344</v>
      </c>
      <c r="H1600">
        <v>0.11616599707280099</v>
      </c>
      <c r="I1600">
        <v>0.10931700244558799</v>
      </c>
      <c r="J1600">
        <v>0.13236535971751301</v>
      </c>
      <c r="K1600">
        <v>0.12870898868536901</v>
      </c>
      <c r="L1600">
        <v>961.88405364488995</v>
      </c>
      <c r="M1600">
        <v>20.3428883741033</v>
      </c>
      <c r="N1600">
        <v>47.895696140839597</v>
      </c>
      <c r="O1600">
        <v>46.833752033794802</v>
      </c>
      <c r="P1600">
        <v>-9.6163139961730107E-2</v>
      </c>
      <c r="Q1600">
        <v>0.11447312613958199</v>
      </c>
      <c r="R1600">
        <v>0.96650750541730401</v>
      </c>
      <c r="S1600" t="s">
        <v>8270</v>
      </c>
      <c r="T1600" t="s">
        <v>13338</v>
      </c>
      <c r="U1600" t="s">
        <v>13338</v>
      </c>
      <c r="V1600" t="s">
        <v>13338</v>
      </c>
      <c r="W1600" t="s">
        <v>14903</v>
      </c>
      <c r="X1600">
        <v>1</v>
      </c>
      <c r="Y1600" t="s">
        <v>21500</v>
      </c>
      <c r="Z1600" t="s">
        <v>28015</v>
      </c>
      <c r="AA1600">
        <v>0.34182633146555003</v>
      </c>
      <c r="AB1600" t="str">
        <f>HYPERLINK("Melting_Curves/meltCurve_O75385_ULK1.pdf", "Melting_Curves/meltCurve_O75385_ULK1.pdf")</f>
        <v>Melting_Curves/meltCurve_O75385_ULK1.pdf</v>
      </c>
    </row>
    <row r="1601" spans="1:28" x14ac:dyDescent="0.25">
      <c r="A1601" t="s">
        <v>1605</v>
      </c>
      <c r="B1601">
        <v>0.99193492352474899</v>
      </c>
      <c r="C1601">
        <v>0.72465669576894498</v>
      </c>
      <c r="D1601">
        <v>0.88237639260369605</v>
      </c>
      <c r="E1601">
        <v>0.64565350561059798</v>
      </c>
      <c r="F1601">
        <v>0.54010966211409706</v>
      </c>
      <c r="G1601">
        <v>0.30975958311534302</v>
      </c>
      <c r="H1601">
        <v>0.20979823428098299</v>
      </c>
      <c r="I1601">
        <v>0.24452925918945501</v>
      </c>
      <c r="J1601">
        <v>0.30302791071227603</v>
      </c>
      <c r="K1601">
        <v>0.440806165767747</v>
      </c>
      <c r="L1601">
        <v>637.55205865926496</v>
      </c>
      <c r="M1601">
        <v>12.9130066085082</v>
      </c>
      <c r="N1601">
        <v>52.491965243188503</v>
      </c>
      <c r="O1601">
        <v>48.233737951358201</v>
      </c>
      <c r="P1601">
        <v>-4.9010010320525599E-2</v>
      </c>
      <c r="Q1601">
        <v>0.26786754030093701</v>
      </c>
      <c r="R1601">
        <v>0.86164233060609796</v>
      </c>
      <c r="S1601" t="s">
        <v>8271</v>
      </c>
      <c r="T1601" t="s">
        <v>13338</v>
      </c>
      <c r="U1601" t="s">
        <v>13338</v>
      </c>
      <c r="V1601" t="s">
        <v>13338</v>
      </c>
      <c r="W1601" t="s">
        <v>14331</v>
      </c>
      <c r="X1601">
        <v>16</v>
      </c>
      <c r="Y1601" t="s">
        <v>20933</v>
      </c>
      <c r="Z1601" t="s">
        <v>28016</v>
      </c>
      <c r="AA1601">
        <v>0.51987344694859594</v>
      </c>
      <c r="AB1601" t="str">
        <f>HYPERLINK("Melting_Curves/meltCurve_O75391_SPAG7.pdf", "Melting_Curves/meltCurve_O75391_SPAG7.pdf")</f>
        <v>Melting_Curves/meltCurve_O75391_SPAG7.pdf</v>
      </c>
    </row>
    <row r="1602" spans="1:28" x14ac:dyDescent="0.25">
      <c r="A1602" t="s">
        <v>1606</v>
      </c>
      <c r="B1602">
        <v>0.99193492352474899</v>
      </c>
      <c r="C1602">
        <v>0.86287876419071596</v>
      </c>
      <c r="D1602">
        <v>0.91503626195624399</v>
      </c>
      <c r="E1602">
        <v>0.72628528854669405</v>
      </c>
      <c r="F1602">
        <v>0.33552950218439198</v>
      </c>
      <c r="G1602">
        <v>0.121487865090759</v>
      </c>
      <c r="H1602">
        <v>6.6963397636077907E-2</v>
      </c>
      <c r="I1602">
        <v>5.8492414721167299E-2</v>
      </c>
      <c r="J1602">
        <v>6.2791884535664602E-2</v>
      </c>
      <c r="K1602">
        <v>6.0956007036379399E-2</v>
      </c>
      <c r="L1602">
        <v>1160.3061064527401</v>
      </c>
      <c r="M1602">
        <v>22.6190455025129</v>
      </c>
      <c r="N1602">
        <v>51.522436233443003</v>
      </c>
      <c r="O1602">
        <v>50.901856553475803</v>
      </c>
      <c r="P1602">
        <v>-0.105876204333358</v>
      </c>
      <c r="Q1602">
        <v>4.6965001018777201E-2</v>
      </c>
      <c r="R1602">
        <v>0.98790234682322597</v>
      </c>
      <c r="S1602" t="s">
        <v>8272</v>
      </c>
      <c r="T1602" t="s">
        <v>13338</v>
      </c>
      <c r="U1602" t="s">
        <v>13338</v>
      </c>
      <c r="V1602" t="s">
        <v>13338</v>
      </c>
      <c r="W1602" t="s">
        <v>14904</v>
      </c>
      <c r="X1602">
        <v>10</v>
      </c>
      <c r="Y1602" t="s">
        <v>21501</v>
      </c>
      <c r="Z1602" t="s">
        <v>28017</v>
      </c>
      <c r="AA1602">
        <v>0.41635452911453202</v>
      </c>
      <c r="AB1602" t="str">
        <f>HYPERLINK("Melting_Curves/meltCurve_O75396_SEC22B.pdf", "Melting_Curves/meltCurve_O75396_SEC22B.pdf")</f>
        <v>Melting_Curves/meltCurve_O75396_SEC22B.pdf</v>
      </c>
    </row>
    <row r="1603" spans="1:28" x14ac:dyDescent="0.25">
      <c r="A1603" t="s">
        <v>1607</v>
      </c>
      <c r="B1603">
        <v>0.99193492352474899</v>
      </c>
      <c r="C1603">
        <v>0.63659638333474999</v>
      </c>
      <c r="D1603">
        <v>0.62263845587405897</v>
      </c>
      <c r="E1603">
        <v>0.23413807077493301</v>
      </c>
      <c r="F1603">
        <v>0.13849311647232301</v>
      </c>
      <c r="G1603">
        <v>8.1769239059520396E-2</v>
      </c>
      <c r="H1603">
        <v>6.0300969873798703E-2</v>
      </c>
      <c r="I1603">
        <v>7.5845629532258096E-2</v>
      </c>
      <c r="J1603">
        <v>8.8172772096622706E-2</v>
      </c>
      <c r="K1603">
        <v>0.111187938046761</v>
      </c>
      <c r="L1603">
        <v>743.60786123046103</v>
      </c>
      <c r="M1603">
        <v>16.250034460093602</v>
      </c>
      <c r="N1603">
        <v>46.166548743974602</v>
      </c>
      <c r="O1603">
        <v>45.084199643641902</v>
      </c>
      <c r="P1603">
        <v>-8.4113575924167405E-2</v>
      </c>
      <c r="Q1603">
        <v>6.6607464133805402E-2</v>
      </c>
      <c r="R1603">
        <v>0.96013415302735605</v>
      </c>
      <c r="S1603" t="s">
        <v>8273</v>
      </c>
      <c r="T1603" t="s">
        <v>13338</v>
      </c>
      <c r="U1603" t="s">
        <v>13338</v>
      </c>
      <c r="V1603" t="s">
        <v>13338</v>
      </c>
      <c r="W1603" t="s">
        <v>14905</v>
      </c>
      <c r="X1603">
        <v>28</v>
      </c>
      <c r="Y1603" t="s">
        <v>21502</v>
      </c>
      <c r="Z1603" t="s">
        <v>28018</v>
      </c>
      <c r="AA1603">
        <v>0.26926839384759438</v>
      </c>
      <c r="AB1603" t="str">
        <f>HYPERLINK("Melting_Curves/meltCurve_O75400_PRPF40A.pdf", "Melting_Curves/meltCurve_O75400_PRPF40A.pdf")</f>
        <v>Melting_Curves/meltCurve_O75400_PRPF40A.pdf</v>
      </c>
    </row>
    <row r="1604" spans="1:28" x14ac:dyDescent="0.25">
      <c r="A1604" t="s">
        <v>1608</v>
      </c>
      <c r="B1604">
        <v>0.99193492352474899</v>
      </c>
      <c r="C1604">
        <v>0.91953608765169204</v>
      </c>
      <c r="D1604">
        <v>0.67289155368338605</v>
      </c>
      <c r="E1604">
        <v>0.37608647069997297</v>
      </c>
      <c r="F1604">
        <v>0.298139514607003</v>
      </c>
      <c r="G1604">
        <v>0.22902364963058799</v>
      </c>
      <c r="H1604">
        <v>0.15513041224064</v>
      </c>
      <c r="I1604">
        <v>0.15513224516826599</v>
      </c>
      <c r="J1604">
        <v>0.116234898632623</v>
      </c>
      <c r="K1604">
        <v>0.105647019418489</v>
      </c>
      <c r="L1604">
        <v>825.487205092267</v>
      </c>
      <c r="M1604">
        <v>17.3790635661497</v>
      </c>
      <c r="N1604">
        <v>48.392533082964299</v>
      </c>
      <c r="O1604">
        <v>46.883453245964198</v>
      </c>
      <c r="P1604">
        <v>-7.9956459808778593E-2</v>
      </c>
      <c r="Q1604">
        <v>0.137256024551796</v>
      </c>
      <c r="R1604">
        <v>0.99055340855295304</v>
      </c>
      <c r="S1604" t="s">
        <v>8274</v>
      </c>
      <c r="T1604" t="s">
        <v>13338</v>
      </c>
      <c r="U1604" t="s">
        <v>13338</v>
      </c>
      <c r="V1604" t="s">
        <v>13338</v>
      </c>
      <c r="W1604" t="s">
        <v>14906</v>
      </c>
      <c r="X1604">
        <v>4</v>
      </c>
      <c r="Y1604" t="s">
        <v>21503</v>
      </c>
      <c r="Z1604" t="s">
        <v>28019</v>
      </c>
      <c r="AA1604">
        <v>0.36969186714037661</v>
      </c>
      <c r="AB1604" t="str">
        <f>HYPERLINK("Melting_Curves/meltCurve_O75419_2_CDC45.pdf", "Melting_Curves/meltCurve_O75419_2_CDC45.pdf")</f>
        <v>Melting_Curves/meltCurve_O75419_2_CDC45.pdf</v>
      </c>
    </row>
    <row r="1605" spans="1:28" x14ac:dyDescent="0.25">
      <c r="A1605" t="s">
        <v>1609</v>
      </c>
      <c r="B1605">
        <v>0.99193492352474899</v>
      </c>
      <c r="C1605">
        <v>0.76000200806509299</v>
      </c>
      <c r="D1605">
        <v>0.679710736857847</v>
      </c>
      <c r="E1605">
        <v>0.40773739798251202</v>
      </c>
      <c r="F1605">
        <v>0.34667407200410399</v>
      </c>
      <c r="G1605">
        <v>0.21786797757350401</v>
      </c>
      <c r="H1605">
        <v>0.18638599493682001</v>
      </c>
      <c r="I1605">
        <v>0.192939662859445</v>
      </c>
      <c r="J1605">
        <v>0.25208736868887599</v>
      </c>
      <c r="K1605">
        <v>0.226091557769347</v>
      </c>
      <c r="L1605">
        <v>701.83141143248304</v>
      </c>
      <c r="M1605">
        <v>15.0682856040165</v>
      </c>
      <c r="N1605">
        <v>48.226045481653202</v>
      </c>
      <c r="O1605">
        <v>45.779475931950103</v>
      </c>
      <c r="P1605">
        <v>-6.5725385567859604E-2</v>
      </c>
      <c r="Q1605">
        <v>0.20134882733888701</v>
      </c>
      <c r="R1605">
        <v>0.97745227608701901</v>
      </c>
      <c r="S1605" t="s">
        <v>8275</v>
      </c>
      <c r="T1605" t="s">
        <v>13338</v>
      </c>
      <c r="U1605" t="s">
        <v>13338</v>
      </c>
      <c r="V1605" t="s">
        <v>13338</v>
      </c>
      <c r="W1605" t="s">
        <v>14907</v>
      </c>
      <c r="X1605">
        <v>3</v>
      </c>
      <c r="Y1605" t="s">
        <v>21504</v>
      </c>
      <c r="Z1605" t="s">
        <v>28020</v>
      </c>
      <c r="AA1605">
        <v>0.39853923951575898</v>
      </c>
      <c r="AB1605" t="str">
        <f>HYPERLINK("Melting_Curves/meltCurve_O75420_GIGYF1.pdf", "Melting_Curves/meltCurve_O75420_GIGYF1.pdf")</f>
        <v>Melting_Curves/meltCurve_O75420_GIGYF1.pdf</v>
      </c>
    </row>
    <row r="1606" spans="1:28" x14ac:dyDescent="0.25">
      <c r="A1606" t="s">
        <v>1610</v>
      </c>
      <c r="B1606">
        <v>0.99193492352474899</v>
      </c>
      <c r="C1606">
        <v>0.43370966593787003</v>
      </c>
      <c r="D1606">
        <v>9.3608685332191799E-2</v>
      </c>
      <c r="E1606">
        <v>3.9900807483567599E-2</v>
      </c>
      <c r="F1606">
        <v>1.63469913949661E-2</v>
      </c>
      <c r="G1606">
        <v>9.2496320011706597E-3</v>
      </c>
      <c r="H1606">
        <v>0</v>
      </c>
      <c r="I1606">
        <v>0</v>
      </c>
      <c r="J1606">
        <v>0</v>
      </c>
      <c r="K1606">
        <v>0</v>
      </c>
      <c r="L1606">
        <v>1976.42268885053</v>
      </c>
      <c r="M1606">
        <v>46.321542479667201</v>
      </c>
      <c r="N1606">
        <v>42.694902411056603</v>
      </c>
      <c r="O1606">
        <v>42.5881677948299</v>
      </c>
      <c r="P1606">
        <v>-0.267925522115884</v>
      </c>
      <c r="Q1606">
        <v>1.4674952995605501E-2</v>
      </c>
      <c r="R1606">
        <v>0.99473198660881401</v>
      </c>
      <c r="S1606" t="s">
        <v>8276</v>
      </c>
      <c r="T1606" t="s">
        <v>13338</v>
      </c>
      <c r="U1606" t="s">
        <v>13338</v>
      </c>
      <c r="V1606" t="s">
        <v>13338</v>
      </c>
      <c r="W1606" t="s">
        <v>14908</v>
      </c>
      <c r="X1606">
        <v>1</v>
      </c>
      <c r="Y1606" t="s">
        <v>21505</v>
      </c>
      <c r="Z1606" t="s">
        <v>28021</v>
      </c>
      <c r="AA1606">
        <v>0.10558677257108701</v>
      </c>
      <c r="AB1606" t="str">
        <f>HYPERLINK("Melting_Curves/meltCurve_O75427_LRCH4.pdf", "Melting_Curves/meltCurve_O75427_LRCH4.pdf")</f>
        <v>Melting_Curves/meltCurve_O75427_LRCH4.pdf</v>
      </c>
    </row>
    <row r="1607" spans="1:28" x14ac:dyDescent="0.25">
      <c r="A1607" t="s">
        <v>1611</v>
      </c>
      <c r="B1607">
        <v>0.99193492352474899</v>
      </c>
      <c r="C1607">
        <v>0.844909827697086</v>
      </c>
      <c r="D1607">
        <v>0.99385983878986095</v>
      </c>
      <c r="E1607">
        <v>0.69559044995873898</v>
      </c>
      <c r="F1607">
        <v>0.578636077848528</v>
      </c>
      <c r="G1607">
        <v>0.25623569336244201</v>
      </c>
      <c r="H1607">
        <v>0.120494725689272</v>
      </c>
      <c r="I1607">
        <v>0.13100421178178701</v>
      </c>
      <c r="J1607">
        <v>0.12639252878568399</v>
      </c>
      <c r="K1607">
        <v>0.12715825220572499</v>
      </c>
      <c r="L1607">
        <v>880.05597770347003</v>
      </c>
      <c r="M1607">
        <v>16.726818049688799</v>
      </c>
      <c r="N1607">
        <v>53.208168190875703</v>
      </c>
      <c r="O1607">
        <v>51.878724643948097</v>
      </c>
      <c r="P1607">
        <v>-7.3737978179346894E-2</v>
      </c>
      <c r="Q1607">
        <v>8.5258139415867296E-2</v>
      </c>
      <c r="R1607">
        <v>0.97006251521388498</v>
      </c>
      <c r="S1607" t="s">
        <v>8277</v>
      </c>
      <c r="T1607" t="s">
        <v>13338</v>
      </c>
      <c r="U1607" t="s">
        <v>13338</v>
      </c>
      <c r="V1607" t="s">
        <v>13338</v>
      </c>
      <c r="W1607" t="s">
        <v>14909</v>
      </c>
      <c r="X1607">
        <v>12</v>
      </c>
      <c r="Y1607" t="s">
        <v>21506</v>
      </c>
      <c r="Z1607" t="s">
        <v>28022</v>
      </c>
      <c r="AA1607">
        <v>0.4868267752116065</v>
      </c>
      <c r="AB1607" t="str">
        <f>HYPERLINK("Melting_Curves/meltCurve_O75436_VPS26A.pdf", "Melting_Curves/meltCurve_O75436_VPS26A.pdf")</f>
        <v>Melting_Curves/meltCurve_O75436_VPS26A.pdf</v>
      </c>
    </row>
    <row r="1608" spans="1:28" x14ac:dyDescent="0.25">
      <c r="A1608" t="s">
        <v>1612</v>
      </c>
      <c r="B1608">
        <v>0.99193492352474899</v>
      </c>
      <c r="C1608">
        <v>1.2529349104432499</v>
      </c>
      <c r="D1608">
        <v>0.89217117602625795</v>
      </c>
      <c r="E1608">
        <v>0.949442893424148</v>
      </c>
      <c r="F1608">
        <v>0.63891593616791098</v>
      </c>
      <c r="G1608">
        <v>0.362869403779637</v>
      </c>
      <c r="H1608">
        <v>0.24674232058885301</v>
      </c>
      <c r="I1608">
        <v>0.22388410246913101</v>
      </c>
      <c r="J1608">
        <v>0.26750916470934</v>
      </c>
      <c r="K1608">
        <v>0.25053507433608002</v>
      </c>
      <c r="L1608">
        <v>1597.7215295911401</v>
      </c>
      <c r="M1608">
        <v>29.902578443953601</v>
      </c>
      <c r="N1608">
        <v>54.641261223768097</v>
      </c>
      <c r="O1608">
        <v>53.193653725546099</v>
      </c>
      <c r="P1608">
        <v>-0.10650097453685101</v>
      </c>
      <c r="Q1608">
        <v>0.242187455770948</v>
      </c>
      <c r="R1608">
        <v>0.94302431646868801</v>
      </c>
      <c r="S1608" t="s">
        <v>8278</v>
      </c>
      <c r="T1608" t="s">
        <v>13338</v>
      </c>
      <c r="U1608" t="s">
        <v>13338</v>
      </c>
      <c r="V1608" t="s">
        <v>13338</v>
      </c>
      <c r="W1608" t="s">
        <v>14910</v>
      </c>
      <c r="X1608">
        <v>4</v>
      </c>
      <c r="Y1608" t="s">
        <v>21507</v>
      </c>
      <c r="Z1608" t="s">
        <v>28023</v>
      </c>
      <c r="AA1608">
        <v>0.58643202891702351</v>
      </c>
      <c r="AB1608" t="str">
        <f>HYPERLINK("Melting_Curves/meltCurve_O75438_NDUFB1.pdf", "Melting_Curves/meltCurve_O75438_NDUFB1.pdf")</f>
        <v>Melting_Curves/meltCurve_O75438_NDUFB1.pdf</v>
      </c>
    </row>
    <row r="1609" spans="1:28" x14ac:dyDescent="0.25">
      <c r="A1609" t="s">
        <v>1613</v>
      </c>
      <c r="B1609">
        <v>0.99193492352474899</v>
      </c>
      <c r="C1609">
        <v>0.97364048262229197</v>
      </c>
      <c r="D1609">
        <v>0.94128201336750095</v>
      </c>
      <c r="E1609">
        <v>0.72043152692425205</v>
      </c>
      <c r="F1609">
        <v>0.28423244675728698</v>
      </c>
      <c r="G1609">
        <v>0.135807244660968</v>
      </c>
      <c r="H1609">
        <v>8.2970960867937801E-2</v>
      </c>
      <c r="I1609">
        <v>9.1155842284285998E-2</v>
      </c>
      <c r="J1609">
        <v>0.103347576406222</v>
      </c>
      <c r="K1609">
        <v>0.102809784384196</v>
      </c>
      <c r="L1609">
        <v>1494.7470528962799</v>
      </c>
      <c r="M1609">
        <v>29.373400920118399</v>
      </c>
      <c r="N1609">
        <v>51.244048097878398</v>
      </c>
      <c r="O1609">
        <v>50.653664760377502</v>
      </c>
      <c r="P1609">
        <v>-0.13158349131184199</v>
      </c>
      <c r="Q1609">
        <v>9.2357250978022706E-2</v>
      </c>
      <c r="R1609">
        <v>0.99893130013172304</v>
      </c>
      <c r="S1609" t="s">
        <v>8279</v>
      </c>
      <c r="T1609" t="s">
        <v>13338</v>
      </c>
      <c r="U1609" t="s">
        <v>13338</v>
      </c>
      <c r="V1609" t="s">
        <v>13338</v>
      </c>
      <c r="W1609" t="s">
        <v>14911</v>
      </c>
      <c r="X1609">
        <v>18</v>
      </c>
      <c r="Y1609" t="s">
        <v>21508</v>
      </c>
      <c r="Z1609" t="s">
        <v>28024</v>
      </c>
      <c r="AA1609">
        <v>0.42770665488557191</v>
      </c>
      <c r="AB1609" t="str">
        <f>HYPERLINK("Melting_Curves/meltCurve_O75439_PMPCB.pdf", "Melting_Curves/meltCurve_O75439_PMPCB.pdf")</f>
        <v>Melting_Curves/meltCurve_O75439_PMPCB.pdf</v>
      </c>
    </row>
    <row r="1610" spans="1:28" x14ac:dyDescent="0.25">
      <c r="A1610" t="s">
        <v>1614</v>
      </c>
      <c r="B1610">
        <v>0.99193492352474899</v>
      </c>
      <c r="C1610">
        <v>0.732760779275338</v>
      </c>
      <c r="D1610">
        <v>0.80265907274385395</v>
      </c>
      <c r="E1610">
        <v>0.437575505814636</v>
      </c>
      <c r="F1610">
        <v>0.35994196303728399</v>
      </c>
      <c r="G1610">
        <v>0.40798101563257</v>
      </c>
      <c r="H1610">
        <v>0.15691944952634501</v>
      </c>
      <c r="I1610">
        <v>0.16524330277534</v>
      </c>
      <c r="J1610">
        <v>0.25074904974060902</v>
      </c>
      <c r="K1610">
        <v>0.25306365075892601</v>
      </c>
      <c r="L1610">
        <v>600.67621913838104</v>
      </c>
      <c r="M1610">
        <v>12.576945593938699</v>
      </c>
      <c r="N1610">
        <v>49.746480529787597</v>
      </c>
      <c r="O1610">
        <v>46.600911537252699</v>
      </c>
      <c r="P1610">
        <v>-5.4163582299523498E-2</v>
      </c>
      <c r="Q1610">
        <v>0.197399641271751</v>
      </c>
      <c r="R1610">
        <v>0.91922280843553705</v>
      </c>
      <c r="S1610" t="s">
        <v>8280</v>
      </c>
      <c r="T1610" t="s">
        <v>13338</v>
      </c>
      <c r="U1610" t="s">
        <v>13338</v>
      </c>
      <c r="V1610" t="s">
        <v>13338</v>
      </c>
      <c r="W1610" t="s">
        <v>14912</v>
      </c>
      <c r="X1610">
        <v>2</v>
      </c>
      <c r="Y1610" t="s">
        <v>21509</v>
      </c>
      <c r="Z1610" t="s">
        <v>28025</v>
      </c>
      <c r="AA1610">
        <v>0.43432500584228301</v>
      </c>
      <c r="AB1610" t="str">
        <f>HYPERLINK("Melting_Curves/meltCurve_O75446_SAP30.pdf", "Melting_Curves/meltCurve_O75446_SAP30.pdf")</f>
        <v>Melting_Curves/meltCurve_O75446_SAP30.pdf</v>
      </c>
    </row>
    <row r="1611" spans="1:28" x14ac:dyDescent="0.25">
      <c r="A1611" t="s">
        <v>1615</v>
      </c>
      <c r="B1611">
        <v>0.99193492352474899</v>
      </c>
      <c r="C1611">
        <v>0.87034583656989095</v>
      </c>
      <c r="D1611">
        <v>1.0230017062877099</v>
      </c>
      <c r="E1611">
        <v>0.665257900304565</v>
      </c>
      <c r="F1611">
        <v>0.27012320645819499</v>
      </c>
      <c r="G1611">
        <v>0.133252695464187</v>
      </c>
      <c r="H1611">
        <v>5.31605833468769E-2</v>
      </c>
      <c r="I1611">
        <v>5.4818975463653101E-2</v>
      </c>
      <c r="J1611">
        <v>6.2000797101271397E-2</v>
      </c>
      <c r="K1611">
        <v>6.9493384176703601E-2</v>
      </c>
      <c r="L1611">
        <v>1435.43237855999</v>
      </c>
      <c r="M1611">
        <v>28.262707263061198</v>
      </c>
      <c r="N1611">
        <v>51.030614345922601</v>
      </c>
      <c r="O1611">
        <v>50.536679441288598</v>
      </c>
      <c r="P1611">
        <v>-0.131055635829809</v>
      </c>
      <c r="Q1611">
        <v>6.2642753138996796E-2</v>
      </c>
      <c r="R1611">
        <v>0.98606277445368795</v>
      </c>
      <c r="S1611" t="s">
        <v>8281</v>
      </c>
      <c r="T1611" t="s">
        <v>13338</v>
      </c>
      <c r="U1611" t="s">
        <v>13338</v>
      </c>
      <c r="V1611" t="s">
        <v>13338</v>
      </c>
      <c r="W1611" t="s">
        <v>14913</v>
      </c>
      <c r="X1611">
        <v>10</v>
      </c>
      <c r="Y1611" t="s">
        <v>21510</v>
      </c>
      <c r="Z1611" t="s">
        <v>28026</v>
      </c>
      <c r="AA1611">
        <v>0.406364116647838</v>
      </c>
      <c r="AB1611" t="str">
        <f>HYPERLINK("Melting_Curves/meltCurve_O75449_KATNA1.pdf", "Melting_Curves/meltCurve_O75449_KATNA1.pdf")</f>
        <v>Melting_Curves/meltCurve_O75449_KATNA1.pdf</v>
      </c>
    </row>
    <row r="1612" spans="1:28" x14ac:dyDescent="0.25">
      <c r="A1612" t="s">
        <v>1616</v>
      </c>
      <c r="B1612">
        <v>0.99193492352474899</v>
      </c>
      <c r="C1612">
        <v>0.47131796575405399</v>
      </c>
      <c r="D1612">
        <v>0.85856657259699398</v>
      </c>
      <c r="E1612">
        <v>0.46608273365190001</v>
      </c>
      <c r="F1612">
        <v>0.260895954359042</v>
      </c>
      <c r="G1612">
        <v>0.15121272129800101</v>
      </c>
      <c r="H1612">
        <v>0.14621328430133099</v>
      </c>
      <c r="I1612">
        <v>0.17442740048994801</v>
      </c>
      <c r="J1612">
        <v>0.21197473099563599</v>
      </c>
      <c r="K1612">
        <v>0.29004340788858002</v>
      </c>
      <c r="L1612">
        <v>541.09466028552299</v>
      </c>
      <c r="M1612">
        <v>11.609116221135499</v>
      </c>
      <c r="N1612">
        <v>48.171138261100602</v>
      </c>
      <c r="O1612">
        <v>45.290854092823103</v>
      </c>
      <c r="P1612">
        <v>-5.4046419887826803E-2</v>
      </c>
      <c r="Q1612">
        <v>0.15682197497393499</v>
      </c>
      <c r="R1612">
        <v>0.75961487195168398</v>
      </c>
      <c r="S1612" t="s">
        <v>8282</v>
      </c>
      <c r="T1612" t="s">
        <v>13338</v>
      </c>
      <c r="U1612" t="s">
        <v>13338</v>
      </c>
      <c r="V1612" t="s">
        <v>13338</v>
      </c>
      <c r="W1612" t="s">
        <v>14914</v>
      </c>
      <c r="X1612">
        <v>26</v>
      </c>
      <c r="Y1612" t="s">
        <v>21511</v>
      </c>
      <c r="Z1612" t="s">
        <v>28027</v>
      </c>
      <c r="AA1612">
        <v>0.38134150342565298</v>
      </c>
      <c r="AB1612" t="str">
        <f>HYPERLINK("Melting_Curves/meltCurve_O75475_PSIP1.pdf", "Melting_Curves/meltCurve_O75475_PSIP1.pdf")</f>
        <v>Melting_Curves/meltCurve_O75475_PSIP1.pdf</v>
      </c>
    </row>
    <row r="1613" spans="1:28" x14ac:dyDescent="0.25">
      <c r="A1613" t="s">
        <v>1617</v>
      </c>
      <c r="B1613">
        <v>0.99193492352474899</v>
      </c>
      <c r="C1613">
        <v>1.0521853982004901</v>
      </c>
      <c r="D1613">
        <v>1.3436652034885701</v>
      </c>
      <c r="E1613">
        <v>0.71964789526751105</v>
      </c>
      <c r="F1613">
        <v>0.302143756018666</v>
      </c>
      <c r="G1613">
        <v>0.193418746551105</v>
      </c>
      <c r="H1613">
        <v>0.14334281026363899</v>
      </c>
      <c r="I1613">
        <v>0.16753675024063</v>
      </c>
      <c r="J1613">
        <v>0.19922633425542499</v>
      </c>
      <c r="K1613">
        <v>0.16644283960013601</v>
      </c>
      <c r="L1613">
        <v>2371.3623516846301</v>
      </c>
      <c r="M1613">
        <v>46.954862327277901</v>
      </c>
      <c r="N1613">
        <v>50.991262316563699</v>
      </c>
      <c r="O1613">
        <v>50.411679681865202</v>
      </c>
      <c r="P1613">
        <v>-0.19069704390447201</v>
      </c>
      <c r="Q1613">
        <v>0.18105639412305</v>
      </c>
      <c r="R1613">
        <v>0.92904493623185203</v>
      </c>
      <c r="S1613" t="s">
        <v>8283</v>
      </c>
      <c r="T1613" t="s">
        <v>13338</v>
      </c>
      <c r="U1613" t="s">
        <v>13338</v>
      </c>
      <c r="V1613" t="s">
        <v>13338</v>
      </c>
      <c r="W1613" t="s">
        <v>14915</v>
      </c>
      <c r="X1613">
        <v>6</v>
      </c>
      <c r="Y1613" t="s">
        <v>21512</v>
      </c>
      <c r="Z1613" t="s">
        <v>28028</v>
      </c>
      <c r="AA1613">
        <v>0.46983928688624499</v>
      </c>
      <c r="AB1613" t="str">
        <f>HYPERLINK("Melting_Curves/meltCurve_O75477_ERLIN1.pdf", "Melting_Curves/meltCurve_O75477_ERLIN1.pdf")</f>
        <v>Melting_Curves/meltCurve_O75477_ERLIN1.pdf</v>
      </c>
    </row>
    <row r="1614" spans="1:28" x14ac:dyDescent="0.25">
      <c r="A1614" t="s">
        <v>1618</v>
      </c>
      <c r="B1614">
        <v>0.99193492352474899</v>
      </c>
      <c r="C1614">
        <v>0.80869461648477103</v>
      </c>
      <c r="D1614">
        <v>0.837783006403929</v>
      </c>
      <c r="E1614">
        <v>0.62057909897119801</v>
      </c>
      <c r="F1614">
        <v>0.37318899989782101</v>
      </c>
      <c r="G1614">
        <v>0.209793099853362</v>
      </c>
      <c r="H1614">
        <v>0.102548343503589</v>
      </c>
      <c r="I1614">
        <v>7.5020787358205804E-2</v>
      </c>
      <c r="J1614">
        <v>8.2639568151988196E-2</v>
      </c>
      <c r="K1614">
        <v>7.6379630900915499E-2</v>
      </c>
      <c r="L1614">
        <v>653.14385149645295</v>
      </c>
      <c r="M1614">
        <v>12.842406266972199</v>
      </c>
      <c r="N1614">
        <v>51.049417064019899</v>
      </c>
      <c r="O1614">
        <v>49.672542325536298</v>
      </c>
      <c r="P1614">
        <v>-6.3130565724954804E-2</v>
      </c>
      <c r="Q1614">
        <v>2.3461814850640202E-2</v>
      </c>
      <c r="R1614">
        <v>0.98596651231486199</v>
      </c>
      <c r="S1614" t="s">
        <v>8284</v>
      </c>
      <c r="T1614" t="s">
        <v>13338</v>
      </c>
      <c r="U1614" t="s">
        <v>13338</v>
      </c>
      <c r="V1614" t="s">
        <v>13338</v>
      </c>
      <c r="W1614" t="s">
        <v>14916</v>
      </c>
      <c r="X1614">
        <v>7</v>
      </c>
      <c r="Y1614" t="s">
        <v>21513</v>
      </c>
      <c r="Z1614" t="s">
        <v>28029</v>
      </c>
      <c r="AA1614">
        <v>0.4059594849419158</v>
      </c>
      <c r="AB1614" t="str">
        <f>HYPERLINK("Melting_Curves/meltCurve_O75489_NDUFS3.pdf", "Melting_Curves/meltCurve_O75489_NDUFS3.pdf")</f>
        <v>Melting_Curves/meltCurve_O75489_NDUFS3.pdf</v>
      </c>
    </row>
    <row r="1615" spans="1:28" x14ac:dyDescent="0.25">
      <c r="A1615" t="s">
        <v>1619</v>
      </c>
      <c r="B1615">
        <v>0.99193492352474899</v>
      </c>
      <c r="C1615">
        <v>0.77686089833964</v>
      </c>
      <c r="D1615">
        <v>0.80316889015036097</v>
      </c>
      <c r="E1615">
        <v>0.61076598878065902</v>
      </c>
      <c r="F1615">
        <v>0.37960695052580101</v>
      </c>
      <c r="G1615">
        <v>0.27901408032550001</v>
      </c>
      <c r="H1615">
        <v>0.212645096233086</v>
      </c>
      <c r="I1615">
        <v>0.237061083934267</v>
      </c>
      <c r="J1615">
        <v>0.28720244985798599</v>
      </c>
      <c r="K1615">
        <v>0.35229741782100799</v>
      </c>
      <c r="L1615">
        <v>704.89901275226202</v>
      </c>
      <c r="M1615">
        <v>14.582958104024</v>
      </c>
      <c r="N1615">
        <v>50.705218539073698</v>
      </c>
      <c r="O1615">
        <v>47.455506132190798</v>
      </c>
      <c r="P1615">
        <v>-5.7858456721519902E-2</v>
      </c>
      <c r="Q1615">
        <v>0.246958651617216</v>
      </c>
      <c r="R1615">
        <v>0.94423176234148698</v>
      </c>
      <c r="S1615" t="s">
        <v>8285</v>
      </c>
      <c r="T1615" t="s">
        <v>13338</v>
      </c>
      <c r="U1615" t="s">
        <v>13338</v>
      </c>
      <c r="V1615" t="s">
        <v>13338</v>
      </c>
      <c r="W1615" t="s">
        <v>14917</v>
      </c>
      <c r="X1615">
        <v>7</v>
      </c>
      <c r="Y1615" t="s">
        <v>21514</v>
      </c>
      <c r="Z1615" t="s">
        <v>28030</v>
      </c>
      <c r="AA1615">
        <v>0.47639003750191222</v>
      </c>
      <c r="AB1615" t="str">
        <f>HYPERLINK("Melting_Curves/meltCurve_O75503_CLN5.pdf", "Melting_Curves/meltCurve_O75503_CLN5.pdf")</f>
        <v>Melting_Curves/meltCurve_O75503_CLN5.pdf</v>
      </c>
    </row>
    <row r="1616" spans="1:28" x14ac:dyDescent="0.25">
      <c r="A1616" t="s">
        <v>1620</v>
      </c>
      <c r="B1616">
        <v>0.99193492352474899</v>
      </c>
      <c r="C1616">
        <v>0.68450757898465198</v>
      </c>
      <c r="D1616">
        <v>0.93460859024994902</v>
      </c>
      <c r="E1616">
        <v>0.74985708700124698</v>
      </c>
      <c r="F1616">
        <v>0.81678461590906504</v>
      </c>
      <c r="G1616">
        <v>0.50982335916127697</v>
      </c>
      <c r="H1616">
        <v>0.58171343678921295</v>
      </c>
      <c r="I1616">
        <v>0.52895093603287702</v>
      </c>
      <c r="J1616">
        <v>0.86273796642039802</v>
      </c>
      <c r="K1616">
        <v>0.93345846620626705</v>
      </c>
      <c r="L1616">
        <v>590.91715259082002</v>
      </c>
      <c r="M1616">
        <v>13.8145408605592</v>
      </c>
      <c r="O1616">
        <v>41.908543816286397</v>
      </c>
      <c r="P1616">
        <v>-2.4129436845734601E-2</v>
      </c>
      <c r="Q1616">
        <v>0.70723915030171203</v>
      </c>
      <c r="R1616">
        <v>0.18502083512013201</v>
      </c>
      <c r="S1616" t="s">
        <v>8286</v>
      </c>
      <c r="T1616" t="s">
        <v>13338</v>
      </c>
      <c r="U1616" t="s">
        <v>13338</v>
      </c>
      <c r="V1616" t="s">
        <v>13338</v>
      </c>
      <c r="W1616" t="s">
        <v>14918</v>
      </c>
      <c r="X1616">
        <v>4</v>
      </c>
      <c r="Y1616" t="s">
        <v>21515</v>
      </c>
      <c r="Z1616" t="s">
        <v>28031</v>
      </c>
      <c r="AA1616">
        <v>0.74916585806944469</v>
      </c>
      <c r="AB1616" t="str">
        <f>HYPERLINK("Melting_Curves/meltCurve_O75506_HSBP1.pdf", "Melting_Curves/meltCurve_O75506_HSBP1.pdf")</f>
        <v>Melting_Curves/meltCurve_O75506_HSBP1.pdf</v>
      </c>
    </row>
    <row r="1617" spans="1:28" x14ac:dyDescent="0.25">
      <c r="A1617" t="s">
        <v>1621</v>
      </c>
      <c r="B1617">
        <v>0.99193492352474899</v>
      </c>
      <c r="C1617">
        <v>1.00325487873889</v>
      </c>
      <c r="D1617">
        <v>0.89608180003877602</v>
      </c>
      <c r="E1617">
        <v>0.86318693335869301</v>
      </c>
      <c r="F1617">
        <v>0.49381447149758001</v>
      </c>
      <c r="G1617">
        <v>0.28423422664885301</v>
      </c>
      <c r="H1617">
        <v>0.127515587124789</v>
      </c>
      <c r="I1617">
        <v>9.1586645461437605E-2</v>
      </c>
      <c r="J1617">
        <v>9.7612811698072705E-2</v>
      </c>
      <c r="K1617">
        <v>8.9233622978207805E-2</v>
      </c>
      <c r="L1617">
        <v>1093.3315215309101</v>
      </c>
      <c r="M1617">
        <v>20.628065903202899</v>
      </c>
      <c r="N1617">
        <v>53.439021692746401</v>
      </c>
      <c r="O1617">
        <v>52.511562848371703</v>
      </c>
      <c r="P1617">
        <v>-9.0589776502615793E-2</v>
      </c>
      <c r="Q1617">
        <v>7.7591875413357297E-2</v>
      </c>
      <c r="R1617">
        <v>0.99460597769331804</v>
      </c>
      <c r="S1617" t="s">
        <v>8287</v>
      </c>
      <c r="T1617" t="s">
        <v>13338</v>
      </c>
      <c r="U1617" t="s">
        <v>13338</v>
      </c>
      <c r="V1617" t="s">
        <v>13338</v>
      </c>
      <c r="W1617" t="s">
        <v>14919</v>
      </c>
      <c r="X1617">
        <v>17</v>
      </c>
      <c r="Y1617" t="s">
        <v>21516</v>
      </c>
      <c r="Z1617" t="s">
        <v>28032</v>
      </c>
      <c r="AA1617">
        <v>0.4893967707030441</v>
      </c>
      <c r="AB1617" t="str">
        <f>HYPERLINK("Melting_Curves/meltCurve_O75521_2_ECI2.pdf", "Melting_Curves/meltCurve_O75521_2_ECI2.pdf")</f>
        <v>Melting_Curves/meltCurve_O75521_2_ECI2.pdf</v>
      </c>
    </row>
    <row r="1618" spans="1:28" x14ac:dyDescent="0.25">
      <c r="A1618" t="s">
        <v>1622</v>
      </c>
      <c r="B1618">
        <v>0.99193492352474899</v>
      </c>
      <c r="C1618">
        <v>0.39460166508719602</v>
      </c>
      <c r="D1618">
        <v>0.58659378685846697</v>
      </c>
      <c r="E1618">
        <v>0.43995454861140099</v>
      </c>
      <c r="F1618">
        <v>0.34141964520141799</v>
      </c>
      <c r="G1618">
        <v>0.23446785768330999</v>
      </c>
      <c r="H1618">
        <v>0.24380722273504901</v>
      </c>
      <c r="I1618">
        <v>0.38857603858215001</v>
      </c>
      <c r="J1618">
        <v>0.30013716648802402</v>
      </c>
      <c r="K1618">
        <v>0.833818455046476</v>
      </c>
      <c r="L1618">
        <v>10170.568567968599</v>
      </c>
      <c r="M1618">
        <v>250</v>
      </c>
      <c r="N1618">
        <v>40.978921217814303</v>
      </c>
      <c r="O1618">
        <v>40.679670693539101</v>
      </c>
      <c r="P1618">
        <v>-0.89394653646080602</v>
      </c>
      <c r="Q1618">
        <v>0.41815278653605897</v>
      </c>
      <c r="R1618">
        <v>0.50796813917355599</v>
      </c>
      <c r="S1618" t="s">
        <v>8288</v>
      </c>
      <c r="T1618" t="s">
        <v>13338</v>
      </c>
      <c r="U1618" t="s">
        <v>13338</v>
      </c>
      <c r="V1618" t="s">
        <v>13338</v>
      </c>
      <c r="W1618" t="s">
        <v>14920</v>
      </c>
      <c r="X1618">
        <v>5</v>
      </c>
      <c r="Y1618" t="s">
        <v>21517</v>
      </c>
      <c r="Z1618" t="s">
        <v>28033</v>
      </c>
      <c r="AA1618">
        <v>0.43146925130030112</v>
      </c>
      <c r="AB1618" t="str">
        <f>HYPERLINK("Melting_Curves/meltCurve_O75525_KHDRBS3.pdf", "Melting_Curves/meltCurve_O75525_KHDRBS3.pdf")</f>
        <v>Melting_Curves/meltCurve_O75525_KHDRBS3.pdf</v>
      </c>
    </row>
    <row r="1619" spans="1:28" x14ac:dyDescent="0.25">
      <c r="A1619" t="s">
        <v>1623</v>
      </c>
      <c r="B1619">
        <v>0.99193492352474899</v>
      </c>
      <c r="C1619">
        <v>0.81422002526764403</v>
      </c>
      <c r="D1619">
        <v>0.74580998841883495</v>
      </c>
      <c r="E1619">
        <v>0.53231305306557197</v>
      </c>
      <c r="F1619">
        <v>0.25821468529242098</v>
      </c>
      <c r="G1619">
        <v>0.12365770634823101</v>
      </c>
      <c r="H1619">
        <v>9.6477578273531706E-2</v>
      </c>
      <c r="I1619">
        <v>0.14599430699833801</v>
      </c>
      <c r="J1619">
        <v>0.196114088748743</v>
      </c>
      <c r="K1619">
        <v>0.18247532434455899</v>
      </c>
      <c r="L1619">
        <v>796.52934799650404</v>
      </c>
      <c r="M1619">
        <v>16.501183626105</v>
      </c>
      <c r="N1619">
        <v>49.151664815317503</v>
      </c>
      <c r="O1619">
        <v>47.578815446344997</v>
      </c>
      <c r="P1619">
        <v>-7.5613879877591397E-2</v>
      </c>
      <c r="Q1619">
        <v>0.127973135634188</v>
      </c>
      <c r="R1619">
        <v>0.97239162412951097</v>
      </c>
      <c r="S1619" t="s">
        <v>8289</v>
      </c>
      <c r="T1619" t="s">
        <v>13338</v>
      </c>
      <c r="U1619" t="s">
        <v>13338</v>
      </c>
      <c r="V1619" t="s">
        <v>13338</v>
      </c>
      <c r="W1619" t="s">
        <v>14921</v>
      </c>
      <c r="X1619">
        <v>4</v>
      </c>
      <c r="Y1619" t="s">
        <v>21518</v>
      </c>
      <c r="Z1619" t="s">
        <v>28034</v>
      </c>
      <c r="AA1619">
        <v>0.38672871947442983</v>
      </c>
      <c r="AB1619" t="str">
        <f>HYPERLINK("Melting_Curves/meltCurve_O75528_TADA3.pdf", "Melting_Curves/meltCurve_O75528_TADA3.pdf")</f>
        <v>Melting_Curves/meltCurve_O75528_TADA3.pdf</v>
      </c>
    </row>
    <row r="1620" spans="1:28" x14ac:dyDescent="0.25">
      <c r="A1620" t="s">
        <v>1624</v>
      </c>
      <c r="B1620">
        <v>0.99193492352474899</v>
      </c>
      <c r="C1620">
        <v>0.57435927769869399</v>
      </c>
      <c r="D1620">
        <v>0.78328012593194396</v>
      </c>
      <c r="E1620">
        <v>0.612124659393946</v>
      </c>
      <c r="F1620">
        <v>0.248262371301955</v>
      </c>
      <c r="G1620">
        <v>0.114133232986593</v>
      </c>
      <c r="H1620">
        <v>8.5803724069145298E-2</v>
      </c>
      <c r="I1620">
        <v>8.7391931307731305E-2</v>
      </c>
      <c r="J1620">
        <v>7.8861875309291798E-2</v>
      </c>
      <c r="K1620">
        <v>6.4912258588958702E-2</v>
      </c>
      <c r="L1620">
        <v>517.91543551893994</v>
      </c>
      <c r="M1620">
        <v>10.531845149674099</v>
      </c>
      <c r="N1620">
        <v>49.176145342489299</v>
      </c>
      <c r="O1620">
        <v>47.502454460565502</v>
      </c>
      <c r="P1620">
        <v>-5.5450004804817203E-2</v>
      </c>
      <c r="Q1620">
        <v>0</v>
      </c>
      <c r="R1620">
        <v>0.89757650706902703</v>
      </c>
      <c r="S1620" t="s">
        <v>8290</v>
      </c>
      <c r="T1620" t="s">
        <v>13338</v>
      </c>
      <c r="U1620" t="s">
        <v>13338</v>
      </c>
      <c r="V1620" t="s">
        <v>13338</v>
      </c>
      <c r="W1620" t="s">
        <v>14922</v>
      </c>
      <c r="X1620">
        <v>11</v>
      </c>
      <c r="Y1620" t="s">
        <v>21519</v>
      </c>
      <c r="Z1620" t="s">
        <v>28035</v>
      </c>
      <c r="AA1620">
        <v>0.35057251537025702</v>
      </c>
      <c r="AB1620" t="str">
        <f>HYPERLINK("Melting_Curves/meltCurve_O75530_EED.pdf", "Melting_Curves/meltCurve_O75530_EED.pdf")</f>
        <v>Melting_Curves/meltCurve_O75530_EED.pdf</v>
      </c>
    </row>
    <row r="1621" spans="1:28" x14ac:dyDescent="0.25">
      <c r="A1621" t="s">
        <v>1625</v>
      </c>
      <c r="B1621">
        <v>0.99193492352474899</v>
      </c>
      <c r="C1621">
        <v>1.0435592617163301</v>
      </c>
      <c r="D1621">
        <v>1.96378277425169</v>
      </c>
      <c r="E1621">
        <v>3.04868382860881</v>
      </c>
      <c r="F1621">
        <v>0.85383326087046896</v>
      </c>
      <c r="G1621">
        <v>0.61033390841978297</v>
      </c>
      <c r="H1621">
        <v>0.35684068779843298</v>
      </c>
      <c r="I1621">
        <v>0.387114123672402</v>
      </c>
      <c r="J1621">
        <v>0.36568425369048502</v>
      </c>
      <c r="K1621">
        <v>0.47516127142123199</v>
      </c>
      <c r="L1621">
        <v>2907.4375639376999</v>
      </c>
      <c r="M1621">
        <v>51.941106227779599</v>
      </c>
      <c r="N1621">
        <v>57.723272579008103</v>
      </c>
      <c r="O1621">
        <v>55.892850257146499</v>
      </c>
      <c r="P1621">
        <v>-0.14026756840837601</v>
      </c>
      <c r="Q1621">
        <v>0.396243031886853</v>
      </c>
      <c r="R1621">
        <v>0.23855156070386199</v>
      </c>
      <c r="S1621" t="s">
        <v>8291</v>
      </c>
      <c r="T1621" t="s">
        <v>13338</v>
      </c>
      <c r="U1621" t="s">
        <v>13338</v>
      </c>
      <c r="V1621" t="s">
        <v>13338</v>
      </c>
      <c r="W1621" t="s">
        <v>14923</v>
      </c>
      <c r="X1621">
        <v>8</v>
      </c>
      <c r="Y1621" t="s">
        <v>21520</v>
      </c>
      <c r="Z1621" t="s">
        <v>28036</v>
      </c>
      <c r="AA1621">
        <v>0.71913659983223965</v>
      </c>
      <c r="AB1621" t="str">
        <f>HYPERLINK("Melting_Curves/meltCurve_O75531_BANF1.pdf", "Melting_Curves/meltCurve_O75531_BANF1.pdf")</f>
        <v>Melting_Curves/meltCurve_O75531_BANF1.pdf</v>
      </c>
    </row>
    <row r="1622" spans="1:28" x14ac:dyDescent="0.25">
      <c r="A1622" t="s">
        <v>1626</v>
      </c>
      <c r="B1622">
        <v>0.99193492352474899</v>
      </c>
      <c r="C1622">
        <v>0.56078623948169604</v>
      </c>
      <c r="D1622">
        <v>0.62922288576706098</v>
      </c>
      <c r="E1622">
        <v>0.28621338873920898</v>
      </c>
      <c r="F1622">
        <v>0.15684410720247299</v>
      </c>
      <c r="G1622">
        <v>9.4113297409450306E-2</v>
      </c>
      <c r="H1622">
        <v>7.12453461999773E-2</v>
      </c>
      <c r="I1622">
        <v>0.103219884319382</v>
      </c>
      <c r="J1622">
        <v>0.112049195611196</v>
      </c>
      <c r="K1622">
        <v>0.11348966935711199</v>
      </c>
      <c r="L1622">
        <v>648.439760451246</v>
      </c>
      <c r="M1622">
        <v>14.234719270760801</v>
      </c>
      <c r="N1622">
        <v>46.095927667683597</v>
      </c>
      <c r="O1622">
        <v>44.6826465931453</v>
      </c>
      <c r="P1622">
        <v>-7.3509826657762803E-2</v>
      </c>
      <c r="Q1622">
        <v>7.7127893374323894E-2</v>
      </c>
      <c r="R1622">
        <v>0.93279495241917698</v>
      </c>
      <c r="S1622" t="s">
        <v>8292</v>
      </c>
      <c r="T1622" t="s">
        <v>13338</v>
      </c>
      <c r="U1622" t="s">
        <v>13338</v>
      </c>
      <c r="V1622" t="s">
        <v>13338</v>
      </c>
      <c r="W1622" t="s">
        <v>14924</v>
      </c>
      <c r="X1622">
        <v>60</v>
      </c>
      <c r="Y1622" t="s">
        <v>21521</v>
      </c>
      <c r="Z1622" t="s">
        <v>28037</v>
      </c>
      <c r="AA1622">
        <v>0.27923099110945132</v>
      </c>
      <c r="AB1622" t="str">
        <f>HYPERLINK("Melting_Curves/meltCurve_O75533_SF3B1.pdf", "Melting_Curves/meltCurve_O75533_SF3B1.pdf")</f>
        <v>Melting_Curves/meltCurve_O75533_SF3B1.pdf</v>
      </c>
    </row>
    <row r="1623" spans="1:28" x14ac:dyDescent="0.25">
      <c r="A1623" t="s">
        <v>1627</v>
      </c>
      <c r="B1623">
        <v>0.99193492352474899</v>
      </c>
      <c r="C1623">
        <v>0.64496529536988501</v>
      </c>
      <c r="D1623">
        <v>0.40118607260191802</v>
      </c>
      <c r="E1623">
        <v>0.13024405446204701</v>
      </c>
      <c r="F1623">
        <v>8.5072079525322294E-2</v>
      </c>
      <c r="G1623">
        <v>4.9727112129654999E-2</v>
      </c>
      <c r="H1623">
        <v>3.1464697322393799E-2</v>
      </c>
      <c r="I1623">
        <v>3.6729427071200103E-2</v>
      </c>
      <c r="J1623">
        <v>4.2727191577146502E-2</v>
      </c>
      <c r="K1623">
        <v>4.2946535687895103E-2</v>
      </c>
      <c r="L1623">
        <v>929.56738350192404</v>
      </c>
      <c r="M1623">
        <v>20.863952415285802</v>
      </c>
      <c r="N1623">
        <v>44.731750219992001</v>
      </c>
      <c r="O1623">
        <v>44.150510038234401</v>
      </c>
      <c r="P1623">
        <v>-0.11343807900049099</v>
      </c>
      <c r="Q1623">
        <v>3.9834604174968001E-2</v>
      </c>
      <c r="R1623">
        <v>0.98944759836013396</v>
      </c>
      <c r="S1623" t="s">
        <v>8293</v>
      </c>
      <c r="T1623" t="s">
        <v>13338</v>
      </c>
      <c r="U1623" t="s">
        <v>13338</v>
      </c>
      <c r="V1623" t="s">
        <v>13338</v>
      </c>
      <c r="W1623" t="s">
        <v>14925</v>
      </c>
      <c r="X1623">
        <v>34</v>
      </c>
      <c r="Y1623" t="s">
        <v>21522</v>
      </c>
      <c r="Z1623" t="s">
        <v>28038</v>
      </c>
      <c r="AA1623">
        <v>0.2011400832347339</v>
      </c>
      <c r="AB1623" t="str">
        <f>HYPERLINK("Melting_Curves/meltCurve_O75534_CSDE1.pdf", "Melting_Curves/meltCurve_O75534_CSDE1.pdf")</f>
        <v>Melting_Curves/meltCurve_O75534_CSDE1.pdf</v>
      </c>
    </row>
    <row r="1624" spans="1:28" x14ac:dyDescent="0.25">
      <c r="A1624" t="s">
        <v>1628</v>
      </c>
      <c r="B1624">
        <v>0.99193492352474899</v>
      </c>
      <c r="C1624">
        <v>0.83260144724624896</v>
      </c>
      <c r="D1624">
        <v>0.874341080065559</v>
      </c>
      <c r="E1624">
        <v>0.69070129189728802</v>
      </c>
      <c r="F1624">
        <v>0.61074134050627504</v>
      </c>
      <c r="G1624">
        <v>0.366936343610683</v>
      </c>
      <c r="H1624">
        <v>0.326315141018924</v>
      </c>
      <c r="I1624">
        <v>0.43377178837109298</v>
      </c>
      <c r="J1624">
        <v>0.51112352496822</v>
      </c>
      <c r="K1624">
        <v>0.55012416602584002</v>
      </c>
      <c r="L1624">
        <v>791.58581173040102</v>
      </c>
      <c r="M1624">
        <v>16.2914927643636</v>
      </c>
      <c r="N1624">
        <v>55.535961802329503</v>
      </c>
      <c r="O1624">
        <v>47.874506281630502</v>
      </c>
      <c r="P1624">
        <v>-4.80830243286983E-2</v>
      </c>
      <c r="Q1624">
        <v>0.43485034552623197</v>
      </c>
      <c r="R1624">
        <v>0.85564154808739801</v>
      </c>
      <c r="S1624" t="s">
        <v>8294</v>
      </c>
      <c r="T1624" t="s">
        <v>13338</v>
      </c>
      <c r="U1624" t="s">
        <v>13338</v>
      </c>
      <c r="V1624" t="s">
        <v>13338</v>
      </c>
      <c r="W1624" t="s">
        <v>14926</v>
      </c>
      <c r="X1624">
        <v>9</v>
      </c>
      <c r="Y1624" t="s">
        <v>21523</v>
      </c>
      <c r="Z1624" t="s">
        <v>28039</v>
      </c>
      <c r="AA1624">
        <v>0.60871292232482344</v>
      </c>
      <c r="AB1624" t="str">
        <f>HYPERLINK("Melting_Curves/meltCurve_O75554_WBP4.pdf", "Melting_Curves/meltCurve_O75554_WBP4.pdf")</f>
        <v>Melting_Curves/meltCurve_O75554_WBP4.pdf</v>
      </c>
    </row>
    <row r="1625" spans="1:28" x14ac:dyDescent="0.25">
      <c r="A1625" t="s">
        <v>1629</v>
      </c>
      <c r="B1625">
        <v>0.99193492352474899</v>
      </c>
      <c r="C1625">
        <v>0.79754158895888705</v>
      </c>
      <c r="D1625">
        <v>0.58557600586763303</v>
      </c>
      <c r="E1625">
        <v>0.40677570500743698</v>
      </c>
      <c r="F1625">
        <v>0.31841838806732797</v>
      </c>
      <c r="G1625">
        <v>0.26796502114168202</v>
      </c>
      <c r="H1625">
        <v>0.15467249700381699</v>
      </c>
      <c r="I1625">
        <v>0.209024593517213</v>
      </c>
      <c r="J1625">
        <v>0.27572156688074401</v>
      </c>
      <c r="K1625">
        <v>0.13994151245470299</v>
      </c>
      <c r="L1625">
        <v>717.00156069122102</v>
      </c>
      <c r="M1625">
        <v>15.528123807164899</v>
      </c>
      <c r="N1625">
        <v>47.714240786750203</v>
      </c>
      <c r="O1625">
        <v>45.428920880133099</v>
      </c>
      <c r="P1625">
        <v>-6.8618057470607494E-2</v>
      </c>
      <c r="Q1625">
        <v>0.19707767199038001</v>
      </c>
      <c r="R1625">
        <v>0.97477997085070001</v>
      </c>
      <c r="S1625" t="s">
        <v>8295</v>
      </c>
      <c r="T1625" t="s">
        <v>13338</v>
      </c>
      <c r="U1625" t="s">
        <v>13338</v>
      </c>
      <c r="V1625" t="s">
        <v>13338</v>
      </c>
      <c r="W1625" t="s">
        <v>14927</v>
      </c>
      <c r="X1625">
        <v>1</v>
      </c>
      <c r="Y1625" t="s">
        <v>21524</v>
      </c>
      <c r="Z1625" t="s">
        <v>28040</v>
      </c>
      <c r="AA1625">
        <v>0.38381916077259792</v>
      </c>
      <c r="AB1625" t="str">
        <f>HYPERLINK("Melting_Curves/meltCurve_O75569_3_PRKRA.pdf", "Melting_Curves/meltCurve_O75569_3_PRKRA.pdf")</f>
        <v>Melting_Curves/meltCurve_O75569_3_PRKRA.pdf</v>
      </c>
    </row>
    <row r="1626" spans="1:28" x14ac:dyDescent="0.25">
      <c r="A1626" t="s">
        <v>1630</v>
      </c>
      <c r="B1626">
        <v>0.99193492352474899</v>
      </c>
      <c r="C1626">
        <v>1.0833475743318799</v>
      </c>
      <c r="D1626">
        <v>0.82743741722406705</v>
      </c>
      <c r="E1626">
        <v>0.64124024605698904</v>
      </c>
      <c r="F1626">
        <v>0.26289767100128197</v>
      </c>
      <c r="G1626">
        <v>0.19528919735616401</v>
      </c>
      <c r="H1626">
        <v>0.184145551526051</v>
      </c>
      <c r="I1626">
        <v>0.20479318362145399</v>
      </c>
      <c r="J1626">
        <v>0.22726217973271101</v>
      </c>
      <c r="K1626">
        <v>0.26928790899993799</v>
      </c>
      <c r="L1626">
        <v>1373.5640187041199</v>
      </c>
      <c r="M1626">
        <v>27.761146503232201</v>
      </c>
      <c r="N1626">
        <v>50.4479936429126</v>
      </c>
      <c r="O1626">
        <v>49.223326839706303</v>
      </c>
      <c r="P1626">
        <v>-0.111836190908918</v>
      </c>
      <c r="Q1626">
        <v>0.20681942115551499</v>
      </c>
      <c r="R1626">
        <v>0.97696962179733104</v>
      </c>
      <c r="S1626" t="s">
        <v>8296</v>
      </c>
      <c r="T1626" t="s">
        <v>13338</v>
      </c>
      <c r="U1626" t="s">
        <v>13338</v>
      </c>
      <c r="V1626" t="s">
        <v>13338</v>
      </c>
      <c r="W1626" t="s">
        <v>14928</v>
      </c>
      <c r="X1626">
        <v>3</v>
      </c>
      <c r="Y1626" t="s">
        <v>21525</v>
      </c>
      <c r="Z1626" t="s">
        <v>28041</v>
      </c>
      <c r="AA1626">
        <v>0.46310810335687402</v>
      </c>
      <c r="AB1626" t="str">
        <f>HYPERLINK("Melting_Curves/meltCurve_O75570_MTRF1.pdf", "Melting_Curves/meltCurve_O75570_MTRF1.pdf")</f>
        <v>Melting_Curves/meltCurve_O75570_MTRF1.pdf</v>
      </c>
    </row>
    <row r="1627" spans="1:28" x14ac:dyDescent="0.25">
      <c r="A1627" t="s">
        <v>1631</v>
      </c>
      <c r="B1627">
        <v>0.99193492352474899</v>
      </c>
      <c r="C1627">
        <v>0.78248738127459305</v>
      </c>
      <c r="D1627">
        <v>0.74048813704379701</v>
      </c>
      <c r="E1627">
        <v>0.29251386627053799</v>
      </c>
      <c r="F1627">
        <v>0.41045471408766099</v>
      </c>
      <c r="G1627">
        <v>0.245556196571066</v>
      </c>
      <c r="H1627">
        <v>0.11037136311823199</v>
      </c>
      <c r="I1627">
        <v>0.190806354416581</v>
      </c>
      <c r="J1627">
        <v>0.192526564401717</v>
      </c>
      <c r="K1627">
        <v>0.31601061027938498</v>
      </c>
      <c r="L1627">
        <v>820.05395038413405</v>
      </c>
      <c r="M1627">
        <v>17.6051475417635</v>
      </c>
      <c r="N1627">
        <v>48.066620177798498</v>
      </c>
      <c r="O1627">
        <v>45.991818490191001</v>
      </c>
      <c r="P1627">
        <v>-7.5614910426237206E-2</v>
      </c>
      <c r="Q1627">
        <v>0.20989472717404101</v>
      </c>
      <c r="R1627">
        <v>0.91641999933401497</v>
      </c>
      <c r="S1627" t="s">
        <v>8297</v>
      </c>
      <c r="T1627" t="s">
        <v>13338</v>
      </c>
      <c r="U1627" t="s">
        <v>13338</v>
      </c>
      <c r="V1627" t="s">
        <v>13338</v>
      </c>
      <c r="W1627" t="s">
        <v>14929</v>
      </c>
      <c r="X1627">
        <v>2</v>
      </c>
      <c r="Y1627" t="s">
        <v>21526</v>
      </c>
      <c r="Z1627" t="s">
        <v>28042</v>
      </c>
      <c r="AA1627">
        <v>0.39885953915507089</v>
      </c>
      <c r="AB1627" t="str">
        <f>HYPERLINK("Melting_Curves/meltCurve_O75575_CRCP.pdf", "Melting_Curves/meltCurve_O75575_CRCP.pdf")</f>
        <v>Melting_Curves/meltCurve_O75575_CRCP.pdf</v>
      </c>
    </row>
    <row r="1628" spans="1:28" x14ac:dyDescent="0.25">
      <c r="A1628" t="s">
        <v>1632</v>
      </c>
      <c r="B1628">
        <v>0.99193492352474899</v>
      </c>
      <c r="C1628">
        <v>0.96577857368166198</v>
      </c>
      <c r="D1628">
        <v>0.97749757105060897</v>
      </c>
      <c r="E1628">
        <v>0.39092990137073602</v>
      </c>
      <c r="F1628">
        <v>0.13756093773389599</v>
      </c>
      <c r="G1628">
        <v>7.4720519811965799E-2</v>
      </c>
      <c r="H1628">
        <v>4.5131063148571099E-2</v>
      </c>
      <c r="I1628">
        <v>5.1701311290429798E-2</v>
      </c>
      <c r="J1628">
        <v>6.6461419360039797E-2</v>
      </c>
      <c r="K1628">
        <v>5.3140841911947401E-2</v>
      </c>
      <c r="L1628">
        <v>2235.27877442709</v>
      </c>
      <c r="M1628">
        <v>45.647758144357603</v>
      </c>
      <c r="N1628">
        <v>49.120448443885003</v>
      </c>
      <c r="O1628">
        <v>48.874284494049803</v>
      </c>
      <c r="P1628">
        <v>-0.21807521235539301</v>
      </c>
      <c r="Q1628">
        <v>6.6043343321064304E-2</v>
      </c>
      <c r="R1628">
        <v>0.997012623532051</v>
      </c>
      <c r="S1628" t="s">
        <v>8298</v>
      </c>
      <c r="T1628" t="s">
        <v>13338</v>
      </c>
      <c r="U1628" t="s">
        <v>13338</v>
      </c>
      <c r="V1628" t="s">
        <v>13338</v>
      </c>
      <c r="W1628" t="s">
        <v>14930</v>
      </c>
      <c r="X1628">
        <v>7</v>
      </c>
      <c r="Y1628" t="s">
        <v>21527</v>
      </c>
      <c r="Z1628" t="s">
        <v>28043</v>
      </c>
      <c r="AA1628">
        <v>0.34765747383143453</v>
      </c>
      <c r="AB1628" t="str">
        <f>HYPERLINK("Melting_Curves/meltCurve_O75582_RPS6KA5.pdf", "Melting_Curves/meltCurve_O75582_RPS6KA5.pdf")</f>
        <v>Melting_Curves/meltCurve_O75582_RPS6KA5.pdf</v>
      </c>
    </row>
    <row r="1629" spans="1:28" x14ac:dyDescent="0.25">
      <c r="A1629" t="s">
        <v>1633</v>
      </c>
      <c r="B1629">
        <v>0.99193492352474899</v>
      </c>
      <c r="C1629">
        <v>1.2224965143948701</v>
      </c>
      <c r="D1629">
        <v>1.15827682886753</v>
      </c>
      <c r="E1629">
        <v>0.92022855443638296</v>
      </c>
      <c r="F1629">
        <v>0.48926318143868402</v>
      </c>
      <c r="G1629">
        <v>0.22764761465140099</v>
      </c>
      <c r="H1629">
        <v>9.8050261385216594E-2</v>
      </c>
      <c r="I1629">
        <v>9.1020416759393194E-2</v>
      </c>
      <c r="J1629">
        <v>0.101525611106651</v>
      </c>
      <c r="K1629">
        <v>7.0868594522746201E-2</v>
      </c>
      <c r="L1629">
        <v>1755.3775708200601</v>
      </c>
      <c r="M1629">
        <v>33.149967097409302</v>
      </c>
      <c r="N1629">
        <v>53.288273770481403</v>
      </c>
      <c r="O1629">
        <v>52.761036009015399</v>
      </c>
      <c r="P1629">
        <v>-0.14227698025549201</v>
      </c>
      <c r="Q1629">
        <v>9.4219555113523507E-2</v>
      </c>
      <c r="R1629">
        <v>0.96192045595150599</v>
      </c>
      <c r="S1629" t="s">
        <v>8299</v>
      </c>
      <c r="T1629" t="s">
        <v>13338</v>
      </c>
      <c r="U1629" t="s">
        <v>13338</v>
      </c>
      <c r="V1629" t="s">
        <v>13338</v>
      </c>
      <c r="W1629" t="s">
        <v>14931</v>
      </c>
      <c r="X1629">
        <v>3</v>
      </c>
      <c r="Y1629" t="s">
        <v>21528</v>
      </c>
      <c r="Z1629" t="s">
        <v>28044</v>
      </c>
      <c r="AA1629">
        <v>0.49011405513902861</v>
      </c>
      <c r="AB1629" t="str">
        <f>HYPERLINK("Melting_Curves/meltCurve_O75600_GCAT.pdf", "Melting_Curves/meltCurve_O75600_GCAT.pdf")</f>
        <v>Melting_Curves/meltCurve_O75600_GCAT.pdf</v>
      </c>
    </row>
    <row r="1630" spans="1:28" x14ac:dyDescent="0.25">
      <c r="A1630" t="s">
        <v>1634</v>
      </c>
      <c r="B1630">
        <v>0.99193492352474899</v>
      </c>
      <c r="C1630">
        <v>0.66683105105520002</v>
      </c>
      <c r="D1630">
        <v>0.938917414671538</v>
      </c>
      <c r="E1630">
        <v>0.50384832601306895</v>
      </c>
      <c r="F1630">
        <v>0.50687796237823401</v>
      </c>
      <c r="G1630">
        <v>0.26843360313732001</v>
      </c>
      <c r="H1630">
        <v>0.20938877297372199</v>
      </c>
      <c r="I1630">
        <v>0.171116479636157</v>
      </c>
      <c r="J1630">
        <v>0.22177261445187099</v>
      </c>
      <c r="K1630">
        <v>0.20878507766013901</v>
      </c>
      <c r="L1630">
        <v>535.495532449449</v>
      </c>
      <c r="M1630">
        <v>10.7183074299677</v>
      </c>
      <c r="N1630">
        <v>51.451498681203603</v>
      </c>
      <c r="O1630">
        <v>48.315927531186297</v>
      </c>
      <c r="P1630">
        <v>-4.8075104181362502E-2</v>
      </c>
      <c r="Q1630">
        <v>0.13347230284551601</v>
      </c>
      <c r="R1630">
        <v>0.88441814153539</v>
      </c>
      <c r="S1630" t="s">
        <v>8300</v>
      </c>
      <c r="T1630" t="s">
        <v>13338</v>
      </c>
      <c r="U1630" t="s">
        <v>13338</v>
      </c>
      <c r="V1630" t="s">
        <v>13338</v>
      </c>
      <c r="W1630" t="s">
        <v>14932</v>
      </c>
      <c r="X1630">
        <v>3</v>
      </c>
      <c r="Y1630" t="s">
        <v>21529</v>
      </c>
      <c r="Z1630" t="s">
        <v>28045</v>
      </c>
      <c r="AA1630">
        <v>0.45682460248618162</v>
      </c>
      <c r="AB1630" t="str">
        <f>HYPERLINK("Melting_Curves/meltCurve_O75607_NPM3.pdf", "Melting_Curves/meltCurve_O75607_NPM3.pdf")</f>
        <v>Melting_Curves/meltCurve_O75607_NPM3.pdf</v>
      </c>
    </row>
    <row r="1631" spans="1:28" x14ac:dyDescent="0.25">
      <c r="A1631" t="s">
        <v>1635</v>
      </c>
      <c r="B1631">
        <v>0.99193492352474899</v>
      </c>
      <c r="C1631">
        <v>0.93964728544716103</v>
      </c>
      <c r="D1631">
        <v>1.0117525434506101</v>
      </c>
      <c r="E1631">
        <v>0.84792829785557999</v>
      </c>
      <c r="F1631">
        <v>0.69194431240227705</v>
      </c>
      <c r="G1631">
        <v>0.20169204414466099</v>
      </c>
      <c r="H1631">
        <v>9.5960985917178998E-2</v>
      </c>
      <c r="I1631">
        <v>0.103988286189</v>
      </c>
      <c r="J1631">
        <v>9.1640067591552202E-2</v>
      </c>
      <c r="K1631">
        <v>0.124872592404928</v>
      </c>
      <c r="L1631">
        <v>1742.8087032250801</v>
      </c>
      <c r="M1631">
        <v>32.3125781331117</v>
      </c>
      <c r="N1631">
        <v>54.275518994505497</v>
      </c>
      <c r="O1631">
        <v>53.730604133015497</v>
      </c>
      <c r="P1631">
        <v>-0.13658555619940399</v>
      </c>
      <c r="Q1631">
        <v>9.1525478802654797E-2</v>
      </c>
      <c r="R1631">
        <v>0.98773044759891604</v>
      </c>
      <c r="S1631" t="s">
        <v>8301</v>
      </c>
      <c r="T1631" t="s">
        <v>13338</v>
      </c>
      <c r="U1631" t="s">
        <v>13338</v>
      </c>
      <c r="V1631" t="s">
        <v>13338</v>
      </c>
      <c r="W1631" t="s">
        <v>14933</v>
      </c>
      <c r="X1631">
        <v>7</v>
      </c>
      <c r="Y1631" t="s">
        <v>21530</v>
      </c>
      <c r="Z1631" t="s">
        <v>28046</v>
      </c>
      <c r="AA1631">
        <v>0.51870089692034083</v>
      </c>
      <c r="AB1631" t="str">
        <f>HYPERLINK("Melting_Curves/meltCurve_O75608_2_LYPLA1.pdf", "Melting_Curves/meltCurve_O75608_2_LYPLA1.pdf")</f>
        <v>Melting_Curves/meltCurve_O75608_2_LYPLA1.pdf</v>
      </c>
    </row>
    <row r="1632" spans="1:28" x14ac:dyDescent="0.25">
      <c r="A1632" t="s">
        <v>1636</v>
      </c>
      <c r="B1632">
        <v>0.99193492352474899</v>
      </c>
      <c r="C1632">
        <v>0.72964719041267601</v>
      </c>
      <c r="D1632">
        <v>0.52337178603293999</v>
      </c>
      <c r="E1632">
        <v>0.15993272342992301</v>
      </c>
      <c r="F1632">
        <v>3.6054162480932399E-2</v>
      </c>
      <c r="G1632">
        <v>1.40588046326151E-2</v>
      </c>
      <c r="H1632">
        <v>1.18590934035638E-2</v>
      </c>
      <c r="I1632">
        <v>1.05530314774535E-2</v>
      </c>
      <c r="J1632">
        <v>1.3651612599711101E-2</v>
      </c>
      <c r="K1632">
        <v>1.1944505665747901E-2</v>
      </c>
      <c r="L1632">
        <v>908.74180251108999</v>
      </c>
      <c r="M1632">
        <v>19.8543048367025</v>
      </c>
      <c r="N1632">
        <v>45.775087281277699</v>
      </c>
      <c r="O1632">
        <v>45.313775207965797</v>
      </c>
      <c r="P1632">
        <v>-0.109433122471121</v>
      </c>
      <c r="Q1632">
        <v>9.9010787550243493E-4</v>
      </c>
      <c r="R1632">
        <v>0.99216793004662995</v>
      </c>
      <c r="S1632" t="s">
        <v>8302</v>
      </c>
      <c r="T1632" t="s">
        <v>13338</v>
      </c>
      <c r="U1632" t="s">
        <v>13338</v>
      </c>
      <c r="V1632" t="s">
        <v>13338</v>
      </c>
      <c r="W1632" t="s">
        <v>14934</v>
      </c>
      <c r="X1632">
        <v>2</v>
      </c>
      <c r="Y1632" t="s">
        <v>21531</v>
      </c>
      <c r="Z1632" t="s">
        <v>28047</v>
      </c>
      <c r="AA1632">
        <v>0.20912833314899379</v>
      </c>
      <c r="AB1632" t="str">
        <f>HYPERLINK("Melting_Curves/meltCurve_O75616_ERAL1.pdf", "Melting_Curves/meltCurve_O75616_ERAL1.pdf")</f>
        <v>Melting_Curves/meltCurve_O75616_ERAL1.pdf</v>
      </c>
    </row>
    <row r="1633" spans="1:28" x14ac:dyDescent="0.25">
      <c r="A1633" t="s">
        <v>1637</v>
      </c>
      <c r="B1633">
        <v>0.99193492352474899</v>
      </c>
      <c r="C1633">
        <v>0.94446462935949904</v>
      </c>
      <c r="D1633">
        <v>0.959896949703123</v>
      </c>
      <c r="E1633">
        <v>0.71634070821386697</v>
      </c>
      <c r="F1633">
        <v>0.58212228319067405</v>
      </c>
      <c r="G1633">
        <v>0.51494348789672895</v>
      </c>
      <c r="H1633">
        <v>0.29169563993661102</v>
      </c>
      <c r="I1633">
        <v>0.26604237886384302</v>
      </c>
      <c r="J1633">
        <v>0.26753947618169799</v>
      </c>
      <c r="K1633">
        <v>0.369258777661501</v>
      </c>
      <c r="L1633">
        <v>764.14976841740202</v>
      </c>
      <c r="M1633">
        <v>14.666822940005501</v>
      </c>
      <c r="N1633">
        <v>55.036424833809498</v>
      </c>
      <c r="O1633">
        <v>51.160765240257497</v>
      </c>
      <c r="P1633">
        <v>-5.2228785455195499E-2</v>
      </c>
      <c r="Q1633">
        <v>0.27134324874759302</v>
      </c>
      <c r="R1633">
        <v>0.96847433785871395</v>
      </c>
      <c r="S1633" t="s">
        <v>8303</v>
      </c>
      <c r="T1633" t="s">
        <v>13338</v>
      </c>
      <c r="U1633" t="s">
        <v>13338</v>
      </c>
      <c r="V1633" t="s">
        <v>13338</v>
      </c>
      <c r="W1633" t="s">
        <v>14935</v>
      </c>
      <c r="X1633">
        <v>1</v>
      </c>
      <c r="Y1633" t="s">
        <v>21532</v>
      </c>
      <c r="Z1633" t="s">
        <v>28048</v>
      </c>
      <c r="AA1633">
        <v>0.58203866592536724</v>
      </c>
      <c r="AB1633" t="str">
        <f>HYPERLINK("Melting_Curves/meltCurve_O75629_CREG1.pdf", "Melting_Curves/meltCurve_O75629_CREG1.pdf")</f>
        <v>Melting_Curves/meltCurve_O75629_CREG1.pdf</v>
      </c>
    </row>
    <row r="1634" spans="1:28" x14ac:dyDescent="0.25">
      <c r="A1634" t="s">
        <v>1638</v>
      </c>
      <c r="B1634">
        <v>0.99193492352474899</v>
      </c>
      <c r="C1634">
        <v>0.69440312954484196</v>
      </c>
      <c r="D1634">
        <v>1.05004360756458</v>
      </c>
      <c r="E1634">
        <v>0.76507385585409404</v>
      </c>
      <c r="F1634">
        <v>0.366262760840324</v>
      </c>
      <c r="G1634">
        <v>0.104444903967605</v>
      </c>
      <c r="H1634">
        <v>6.3468482624483694E-2</v>
      </c>
      <c r="I1634">
        <v>6.5322307082648495E-2</v>
      </c>
      <c r="J1634">
        <v>7.7716397959632505E-2</v>
      </c>
      <c r="K1634">
        <v>7.1656295694978694E-2</v>
      </c>
      <c r="L1634">
        <v>1479.9350574115099</v>
      </c>
      <c r="M1634">
        <v>28.635550080547301</v>
      </c>
      <c r="N1634">
        <v>51.921003234238398</v>
      </c>
      <c r="O1634">
        <v>51.431663138500198</v>
      </c>
      <c r="P1634">
        <v>-0.13059006165856599</v>
      </c>
      <c r="Q1634">
        <v>6.1807944183292898E-2</v>
      </c>
      <c r="R1634">
        <v>0.93434092801428004</v>
      </c>
      <c r="S1634" t="s">
        <v>8304</v>
      </c>
      <c r="T1634" t="s">
        <v>13338</v>
      </c>
      <c r="U1634" t="s">
        <v>13338</v>
      </c>
      <c r="V1634" t="s">
        <v>13338</v>
      </c>
      <c r="W1634" t="s">
        <v>14936</v>
      </c>
      <c r="X1634">
        <v>68</v>
      </c>
      <c r="Y1634" t="s">
        <v>21533</v>
      </c>
      <c r="Z1634" t="s">
        <v>28049</v>
      </c>
      <c r="AA1634">
        <v>0.43367348969017899</v>
      </c>
      <c r="AB1634" t="str">
        <f>HYPERLINK("Melting_Curves/meltCurve_O75643_SNRNP200.pdf", "Melting_Curves/meltCurve_O75643_SNRNP200.pdf")</f>
        <v>Melting_Curves/meltCurve_O75643_SNRNP200.pdf</v>
      </c>
    </row>
    <row r="1635" spans="1:28" x14ac:dyDescent="0.25">
      <c r="A1635" t="s">
        <v>1639</v>
      </c>
      <c r="B1635">
        <v>0.99193492352474899</v>
      </c>
      <c r="C1635">
        <v>0.99438043571379697</v>
      </c>
      <c r="D1635">
        <v>1.1896136537886499</v>
      </c>
      <c r="E1635">
        <v>0.76945180471044905</v>
      </c>
      <c r="F1635">
        <v>0.40672702093533197</v>
      </c>
      <c r="G1635">
        <v>0.22634382511227599</v>
      </c>
      <c r="H1635">
        <v>0.12896385051290299</v>
      </c>
      <c r="I1635">
        <v>0.13342310834610599</v>
      </c>
      <c r="J1635">
        <v>0.16393464432896199</v>
      </c>
      <c r="K1635">
        <v>0.23331268302826</v>
      </c>
      <c r="L1635">
        <v>1691.2082348705101</v>
      </c>
      <c r="M1635">
        <v>32.830647898599999</v>
      </c>
      <c r="N1635">
        <v>52.172531410968702</v>
      </c>
      <c r="O1635">
        <v>51.323084873760401</v>
      </c>
      <c r="P1635">
        <v>-0.132763764765229</v>
      </c>
      <c r="Q1635">
        <v>0.169822450395644</v>
      </c>
      <c r="R1635">
        <v>0.96618876554577404</v>
      </c>
      <c r="S1635" t="s">
        <v>8305</v>
      </c>
      <c r="T1635" t="s">
        <v>13338</v>
      </c>
      <c r="U1635" t="s">
        <v>13338</v>
      </c>
      <c r="V1635" t="s">
        <v>13338</v>
      </c>
      <c r="W1635" t="s">
        <v>14937</v>
      </c>
      <c r="X1635">
        <v>4</v>
      </c>
      <c r="Y1635" t="s">
        <v>21534</v>
      </c>
      <c r="Z1635" t="s">
        <v>28050</v>
      </c>
      <c r="AA1635">
        <v>0.49281487812645153</v>
      </c>
      <c r="AB1635" t="str">
        <f>HYPERLINK("Melting_Curves/meltCurve_O75648_TRMU.pdf", "Melting_Curves/meltCurve_O75648_TRMU.pdf")</f>
        <v>Melting_Curves/meltCurve_O75648_TRMU.pdf</v>
      </c>
    </row>
    <row r="1636" spans="1:28" x14ac:dyDescent="0.25">
      <c r="A1636" t="s">
        <v>1640</v>
      </c>
      <c r="B1636">
        <v>0.99193492352474899</v>
      </c>
      <c r="C1636">
        <v>0.74663456225710201</v>
      </c>
      <c r="D1636">
        <v>0.76670917693691998</v>
      </c>
      <c r="E1636">
        <v>0.44885521861295502</v>
      </c>
      <c r="F1636">
        <v>0.16678261779467801</v>
      </c>
      <c r="G1636">
        <v>0.102014718602209</v>
      </c>
      <c r="H1636">
        <v>5.8015723163050398E-2</v>
      </c>
      <c r="I1636">
        <v>6.8941607523445095E-2</v>
      </c>
      <c r="J1636">
        <v>7.23240218962755E-2</v>
      </c>
      <c r="K1636">
        <v>8.1538312486842998E-2</v>
      </c>
      <c r="L1636">
        <v>754.44248295793295</v>
      </c>
      <c r="M1636">
        <v>15.651628223745</v>
      </c>
      <c r="N1636">
        <v>48.476106194228301</v>
      </c>
      <c r="O1636">
        <v>47.435863029649298</v>
      </c>
      <c r="P1636">
        <v>-7.9004186564806206E-2</v>
      </c>
      <c r="Q1636">
        <v>4.2319997149980998E-2</v>
      </c>
      <c r="R1636">
        <v>0.974021258639998</v>
      </c>
      <c r="S1636" t="s">
        <v>8306</v>
      </c>
      <c r="T1636" t="s">
        <v>13338</v>
      </c>
      <c r="U1636" t="s">
        <v>13338</v>
      </c>
      <c r="V1636" t="s">
        <v>13338</v>
      </c>
      <c r="W1636" t="s">
        <v>14938</v>
      </c>
      <c r="X1636">
        <v>15</v>
      </c>
      <c r="Y1636" t="s">
        <v>21535</v>
      </c>
      <c r="Z1636" t="s">
        <v>28051</v>
      </c>
      <c r="AA1636">
        <v>0.32660359678859818</v>
      </c>
      <c r="AB1636" t="str">
        <f>HYPERLINK("Melting_Curves/meltCurve_O75663_TIPRL.pdf", "Melting_Curves/meltCurve_O75663_TIPRL.pdf")</f>
        <v>Melting_Curves/meltCurve_O75663_TIPRL.pdf</v>
      </c>
    </row>
    <row r="1637" spans="1:28" x14ac:dyDescent="0.25">
      <c r="A1637" t="s">
        <v>1641</v>
      </c>
      <c r="B1637">
        <v>0.99193492352474899</v>
      </c>
      <c r="C1637">
        <v>0.98458794605069799</v>
      </c>
      <c r="D1637">
        <v>1.11527541077226</v>
      </c>
      <c r="E1637">
        <v>1.1359447252064201</v>
      </c>
      <c r="F1637">
        <v>1.8711999747583301</v>
      </c>
      <c r="G1637">
        <v>0.81259309775078603</v>
      </c>
      <c r="H1637">
        <v>0.37678032433910502</v>
      </c>
      <c r="I1637">
        <v>0.36606063526181398</v>
      </c>
      <c r="J1637">
        <v>0.41405892301786201</v>
      </c>
      <c r="K1637">
        <v>0.43945970958957298</v>
      </c>
      <c r="L1637">
        <v>14244.950590881101</v>
      </c>
      <c r="M1637">
        <v>250</v>
      </c>
      <c r="N1637">
        <v>57.346915409527902</v>
      </c>
      <c r="O1637">
        <v>56.976137139210103</v>
      </c>
      <c r="P1637">
        <v>-0.659168420801025</v>
      </c>
      <c r="Q1637">
        <v>0.39908987492932002</v>
      </c>
      <c r="R1637">
        <v>0.61269399185880102</v>
      </c>
      <c r="S1637" t="s">
        <v>8307</v>
      </c>
      <c r="T1637" t="s">
        <v>13338</v>
      </c>
      <c r="U1637" t="s">
        <v>13338</v>
      </c>
      <c r="V1637" t="s">
        <v>13338</v>
      </c>
      <c r="W1637" t="s">
        <v>14939</v>
      </c>
      <c r="X1637">
        <v>1</v>
      </c>
      <c r="Y1637" t="s">
        <v>21536</v>
      </c>
      <c r="Z1637" t="s">
        <v>28052</v>
      </c>
      <c r="AA1637">
        <v>0.7392611372051171</v>
      </c>
      <c r="AB1637" t="str">
        <f>HYPERLINK("Melting_Curves/meltCurve_O75683_SURF6.pdf", "Melting_Curves/meltCurve_O75683_SURF6.pdf")</f>
        <v>Melting_Curves/meltCurve_O75683_SURF6.pdf</v>
      </c>
    </row>
    <row r="1638" spans="1:28" x14ac:dyDescent="0.25">
      <c r="A1638" t="s">
        <v>1642</v>
      </c>
      <c r="B1638">
        <v>0.99193492352474899</v>
      </c>
      <c r="C1638">
        <v>0.93910054272682397</v>
      </c>
      <c r="D1638">
        <v>0.85390626910399503</v>
      </c>
      <c r="E1638">
        <v>0.74586568212694204</v>
      </c>
      <c r="F1638">
        <v>0.190933090694512</v>
      </c>
      <c r="G1638">
        <v>0.129674854259795</v>
      </c>
      <c r="H1638">
        <v>8.3030038149876403E-2</v>
      </c>
      <c r="I1638">
        <v>8.8616352873597204E-2</v>
      </c>
      <c r="J1638">
        <v>8.9990208951062203E-2</v>
      </c>
      <c r="K1638">
        <v>0.114388413571008</v>
      </c>
      <c r="L1638">
        <v>1880.7420668315399</v>
      </c>
      <c r="M1638">
        <v>37.136284675340697</v>
      </c>
      <c r="N1638">
        <v>50.927067663044802</v>
      </c>
      <c r="O1638">
        <v>50.498148235820203</v>
      </c>
      <c r="P1638">
        <v>-0.166723594423306</v>
      </c>
      <c r="Q1638">
        <v>9.3155589140634307E-2</v>
      </c>
      <c r="R1638">
        <v>0.98460535521056403</v>
      </c>
      <c r="S1638" t="s">
        <v>8308</v>
      </c>
      <c r="T1638" t="s">
        <v>13338</v>
      </c>
      <c r="U1638" t="s">
        <v>13338</v>
      </c>
      <c r="V1638" t="s">
        <v>13338</v>
      </c>
      <c r="W1638" t="s">
        <v>14940</v>
      </c>
      <c r="X1638">
        <v>13</v>
      </c>
      <c r="Y1638" t="s">
        <v>21537</v>
      </c>
      <c r="Z1638" t="s">
        <v>28053</v>
      </c>
      <c r="AA1638">
        <v>0.4186015007162161</v>
      </c>
      <c r="AB1638" t="str">
        <f>HYPERLINK("Melting_Curves/meltCurve_O75688_PPM1B.pdf", "Melting_Curves/meltCurve_O75688_PPM1B.pdf")</f>
        <v>Melting_Curves/meltCurve_O75688_PPM1B.pdf</v>
      </c>
    </row>
    <row r="1639" spans="1:28" x14ac:dyDescent="0.25">
      <c r="A1639" t="s">
        <v>1643</v>
      </c>
      <c r="B1639">
        <v>0.99193492352474899</v>
      </c>
      <c r="C1639">
        <v>0.56454668361591398</v>
      </c>
      <c r="D1639">
        <v>0.56798309119706603</v>
      </c>
      <c r="E1639">
        <v>0.19202876909469299</v>
      </c>
      <c r="F1639">
        <v>0.14625757590918501</v>
      </c>
      <c r="G1639">
        <v>9.2126747674816295E-2</v>
      </c>
      <c r="H1639">
        <v>6.5747096315585896E-2</v>
      </c>
      <c r="I1639">
        <v>8.7567905450935304E-2</v>
      </c>
      <c r="J1639">
        <v>8.1033321685342399E-2</v>
      </c>
      <c r="K1639">
        <v>9.0140429994438595E-2</v>
      </c>
      <c r="L1639">
        <v>719.75512240579303</v>
      </c>
      <c r="M1639">
        <v>15.99934664904</v>
      </c>
      <c r="N1639">
        <v>45.417119162109003</v>
      </c>
      <c r="O1639">
        <v>44.301337673166302</v>
      </c>
      <c r="P1639">
        <v>-8.3940029981279196E-2</v>
      </c>
      <c r="Q1639">
        <v>7.0371093162473197E-2</v>
      </c>
      <c r="R1639">
        <v>0.94673144841278101</v>
      </c>
      <c r="S1639" t="s">
        <v>8309</v>
      </c>
      <c r="T1639" t="s">
        <v>13338</v>
      </c>
      <c r="U1639" t="s">
        <v>13338</v>
      </c>
      <c r="V1639" t="s">
        <v>13338</v>
      </c>
      <c r="W1639" t="s">
        <v>14941</v>
      </c>
      <c r="X1639">
        <v>8</v>
      </c>
      <c r="Y1639" t="s">
        <v>21538</v>
      </c>
      <c r="Z1639" t="s">
        <v>28054</v>
      </c>
      <c r="AA1639">
        <v>0.25095618478221482</v>
      </c>
      <c r="AB1639" t="str">
        <f>HYPERLINK("Melting_Curves/meltCurve_O75691_UTP20.pdf", "Melting_Curves/meltCurve_O75691_UTP20.pdf")</f>
        <v>Melting_Curves/meltCurve_O75691_UTP20.pdf</v>
      </c>
    </row>
    <row r="1640" spans="1:28" x14ac:dyDescent="0.25">
      <c r="A1640" t="s">
        <v>1644</v>
      </c>
      <c r="B1640">
        <v>0.99193492352474899</v>
      </c>
      <c r="C1640">
        <v>0.88964702139843899</v>
      </c>
      <c r="D1640">
        <v>0.84383505010808002</v>
      </c>
      <c r="E1640">
        <v>0.63613731893573799</v>
      </c>
      <c r="F1640">
        <v>0.166667374622463</v>
      </c>
      <c r="G1640">
        <v>9.8875604516269602E-2</v>
      </c>
      <c r="H1640">
        <v>6.4849544250473096E-2</v>
      </c>
      <c r="I1640">
        <v>7.8699995806968806E-2</v>
      </c>
      <c r="J1640">
        <v>9.6576617093744793E-2</v>
      </c>
      <c r="K1640">
        <v>8.4919286032798996E-2</v>
      </c>
      <c r="L1640">
        <v>1259.8049226415601</v>
      </c>
      <c r="M1640">
        <v>25.243732096674801</v>
      </c>
      <c r="N1640">
        <v>50.194792412675298</v>
      </c>
      <c r="O1640">
        <v>49.595632777332597</v>
      </c>
      <c r="P1640">
        <v>-0.11863880640095199</v>
      </c>
      <c r="Q1640">
        <v>6.7667097193006107E-2</v>
      </c>
      <c r="R1640">
        <v>0.98409072700507705</v>
      </c>
      <c r="S1640" t="s">
        <v>8310</v>
      </c>
      <c r="T1640" t="s">
        <v>13338</v>
      </c>
      <c r="U1640" t="s">
        <v>13338</v>
      </c>
      <c r="V1640" t="s">
        <v>13338</v>
      </c>
      <c r="W1640" t="s">
        <v>14942</v>
      </c>
      <c r="X1640">
        <v>26</v>
      </c>
      <c r="Y1640" t="s">
        <v>21539</v>
      </c>
      <c r="Z1640" t="s">
        <v>28055</v>
      </c>
      <c r="AA1640">
        <v>0.38367646567379671</v>
      </c>
      <c r="AB1640" t="str">
        <f>HYPERLINK("Melting_Curves/meltCurve_O75694_2_NUP155.pdf", "Melting_Curves/meltCurve_O75694_2_NUP155.pdf")</f>
        <v>Melting_Curves/meltCurve_O75694_2_NUP155.pdf</v>
      </c>
    </row>
    <row r="1641" spans="1:28" x14ac:dyDescent="0.25">
      <c r="A1641" t="s">
        <v>1645</v>
      </c>
      <c r="B1641">
        <v>0.99193492352474899</v>
      </c>
      <c r="C1641">
        <v>0.91954777453765002</v>
      </c>
      <c r="D1641">
        <v>0.70732276555220297</v>
      </c>
      <c r="E1641">
        <v>0.24518035312959599</v>
      </c>
      <c r="F1641">
        <v>0.16859551410773399</v>
      </c>
      <c r="G1641">
        <v>0.107870688739263</v>
      </c>
      <c r="H1641">
        <v>6.9687068323317503E-2</v>
      </c>
      <c r="I1641">
        <v>6.6827774858350106E-2</v>
      </c>
      <c r="J1641">
        <v>6.7091351516436498E-2</v>
      </c>
      <c r="K1641">
        <v>5.51675179573295E-2</v>
      </c>
      <c r="L1641">
        <v>1228.0616063286</v>
      </c>
      <c r="M1641">
        <v>26.022854884328201</v>
      </c>
      <c r="N1641">
        <v>47.488143558368499</v>
      </c>
      <c r="O1641">
        <v>46.9155959584659</v>
      </c>
      <c r="P1641">
        <v>-0.12827254816508399</v>
      </c>
      <c r="Q1641">
        <v>7.4979745556960603E-2</v>
      </c>
      <c r="R1641">
        <v>0.99604886242406399</v>
      </c>
      <c r="S1641" t="s">
        <v>8311</v>
      </c>
      <c r="T1641" t="s">
        <v>13338</v>
      </c>
      <c r="U1641" t="s">
        <v>13338</v>
      </c>
      <c r="V1641" t="s">
        <v>13338</v>
      </c>
      <c r="W1641" t="s">
        <v>14943</v>
      </c>
      <c r="X1641">
        <v>7</v>
      </c>
      <c r="Y1641" t="s">
        <v>21540</v>
      </c>
      <c r="Z1641" t="s">
        <v>28056</v>
      </c>
      <c r="AA1641">
        <v>0.3042681910111481</v>
      </c>
      <c r="AB1641" t="str">
        <f>HYPERLINK("Melting_Curves/meltCurve_O75695_RP2.pdf", "Melting_Curves/meltCurve_O75695_RP2.pdf")</f>
        <v>Melting_Curves/meltCurve_O75695_RP2.pdf</v>
      </c>
    </row>
    <row r="1642" spans="1:28" x14ac:dyDescent="0.25">
      <c r="A1642" t="s">
        <v>1646</v>
      </c>
      <c r="B1642">
        <v>0.99193492352474899</v>
      </c>
      <c r="C1642">
        <v>0.858601120339751</v>
      </c>
      <c r="D1642">
        <v>0.72224283078484897</v>
      </c>
      <c r="E1642">
        <v>0.237576691704142</v>
      </c>
      <c r="F1642">
        <v>0.15974603724040601</v>
      </c>
      <c r="G1642">
        <v>8.7967642875643196E-2</v>
      </c>
      <c r="H1642">
        <v>6.0550310362946398E-2</v>
      </c>
      <c r="I1642">
        <v>6.88811437601419E-2</v>
      </c>
      <c r="J1642">
        <v>8.5756237518571199E-2</v>
      </c>
      <c r="K1642">
        <v>9.2029435432367801E-2</v>
      </c>
      <c r="L1642">
        <v>1176.5961955837799</v>
      </c>
      <c r="M1642">
        <v>24.974260443566699</v>
      </c>
      <c r="N1642">
        <v>47.429959973510499</v>
      </c>
      <c r="O1642">
        <v>46.813423277653897</v>
      </c>
      <c r="P1642">
        <v>-0.12310340864425399</v>
      </c>
      <c r="Q1642">
        <v>7.6999823986410199E-2</v>
      </c>
      <c r="R1642">
        <v>0.99115151652528999</v>
      </c>
      <c r="S1642" t="s">
        <v>8312</v>
      </c>
      <c r="T1642" t="s">
        <v>13338</v>
      </c>
      <c r="U1642" t="s">
        <v>13338</v>
      </c>
      <c r="V1642" t="s">
        <v>13338</v>
      </c>
      <c r="W1642" t="s">
        <v>14944</v>
      </c>
      <c r="X1642">
        <v>43</v>
      </c>
      <c r="Y1642" t="s">
        <v>21541</v>
      </c>
      <c r="Z1642" t="s">
        <v>28057</v>
      </c>
      <c r="AA1642">
        <v>0.30406570774110719</v>
      </c>
      <c r="AB1642" t="str">
        <f>HYPERLINK("Melting_Curves/meltCurve_O75717_WDHD1.pdf", "Melting_Curves/meltCurve_O75717_WDHD1.pdf")</f>
        <v>Melting_Curves/meltCurve_O75717_WDHD1.pdf</v>
      </c>
    </row>
    <row r="1643" spans="1:28" x14ac:dyDescent="0.25">
      <c r="A1643" t="s">
        <v>1647</v>
      </c>
      <c r="B1643">
        <v>0.99193492352474899</v>
      </c>
      <c r="C1643">
        <v>1.04624679167973</v>
      </c>
      <c r="D1643">
        <v>1.2046145659707399</v>
      </c>
      <c r="E1643">
        <v>1.0438906008133499</v>
      </c>
      <c r="F1643">
        <v>1.0293165870791801</v>
      </c>
      <c r="G1643">
        <v>0.84592026246914598</v>
      </c>
      <c r="H1643">
        <v>0.55949483617190299</v>
      </c>
      <c r="I1643">
        <v>0.33595572537343699</v>
      </c>
      <c r="J1643">
        <v>0.22067368072228</v>
      </c>
      <c r="K1643">
        <v>0.18193968045611</v>
      </c>
      <c r="L1643">
        <v>1558.2457766222999</v>
      </c>
      <c r="M1643">
        <v>25.736038859443699</v>
      </c>
      <c r="N1643">
        <v>61.469131879974803</v>
      </c>
      <c r="O1643">
        <v>60.185225993065202</v>
      </c>
      <c r="P1643">
        <v>-8.9788290964522899E-2</v>
      </c>
      <c r="Q1643">
        <v>0.16010968758506799</v>
      </c>
      <c r="R1643">
        <v>0.96275153950110004</v>
      </c>
      <c r="S1643" t="s">
        <v>8313</v>
      </c>
      <c r="T1643" t="s">
        <v>13338</v>
      </c>
      <c r="U1643" t="s">
        <v>13338</v>
      </c>
      <c r="V1643" t="s">
        <v>13338</v>
      </c>
      <c r="W1643" t="s">
        <v>14945</v>
      </c>
      <c r="X1643">
        <v>16</v>
      </c>
      <c r="Y1643" t="s">
        <v>21542</v>
      </c>
      <c r="Z1643" t="s">
        <v>28058</v>
      </c>
      <c r="AA1643">
        <v>0.74099430820062984</v>
      </c>
      <c r="AB1643" t="str">
        <f>HYPERLINK("Melting_Curves/meltCurve_O75746_SLC25A12.pdf", "Melting_Curves/meltCurve_O75746_SLC25A12.pdf")</f>
        <v>Melting_Curves/meltCurve_O75746_SLC25A12.pdf</v>
      </c>
    </row>
    <row r="1644" spans="1:28" x14ac:dyDescent="0.25">
      <c r="A1644" t="s">
        <v>1648</v>
      </c>
      <c r="B1644">
        <v>0.99193492352474899</v>
      </c>
      <c r="C1644">
        <v>0.73764801146983405</v>
      </c>
      <c r="D1644">
        <v>0.83614381370115898</v>
      </c>
      <c r="E1644">
        <v>0.54198523513812302</v>
      </c>
      <c r="F1644">
        <v>0.44787724240964599</v>
      </c>
      <c r="G1644">
        <v>0.28629476927133901</v>
      </c>
      <c r="H1644">
        <v>0.16530431274323201</v>
      </c>
      <c r="I1644">
        <v>0.14548733929209501</v>
      </c>
      <c r="J1644">
        <v>0.17543083537502699</v>
      </c>
      <c r="K1644">
        <v>0.214190344961774</v>
      </c>
      <c r="L1644">
        <v>552.09537428375904</v>
      </c>
      <c r="M1644">
        <v>11.0951492890933</v>
      </c>
      <c r="N1644">
        <v>50.991253961624501</v>
      </c>
      <c r="O1644">
        <v>48.225640893206602</v>
      </c>
      <c r="P1644">
        <v>-5.0774898256657902E-2</v>
      </c>
      <c r="Q1644">
        <v>0.11750515519839499</v>
      </c>
      <c r="R1644">
        <v>0.95428432945498498</v>
      </c>
      <c r="S1644" t="s">
        <v>8314</v>
      </c>
      <c r="T1644" t="s">
        <v>13338</v>
      </c>
      <c r="U1644" t="s">
        <v>13338</v>
      </c>
      <c r="V1644" t="s">
        <v>13338</v>
      </c>
      <c r="W1644" t="s">
        <v>14946</v>
      </c>
      <c r="X1644">
        <v>6</v>
      </c>
      <c r="Y1644" t="s">
        <v>21543</v>
      </c>
      <c r="Z1644" t="s">
        <v>28059</v>
      </c>
      <c r="AA1644">
        <v>0.43959521397832269</v>
      </c>
      <c r="AB1644" t="str">
        <f>HYPERLINK("Melting_Curves/meltCurve_O75781_PALM.pdf", "Melting_Curves/meltCurve_O75781_PALM.pdf")</f>
        <v>Melting_Curves/meltCurve_O75781_PALM.pdf</v>
      </c>
    </row>
    <row r="1645" spans="1:28" x14ac:dyDescent="0.25">
      <c r="A1645" t="s">
        <v>1649</v>
      </c>
      <c r="B1645">
        <v>0.99193492352474899</v>
      </c>
      <c r="C1645">
        <v>0.65879430605617995</v>
      </c>
      <c r="D1645">
        <v>0.59356283524764797</v>
      </c>
      <c r="E1645">
        <v>0.22607124158747799</v>
      </c>
      <c r="F1645">
        <v>0.144273176860192</v>
      </c>
      <c r="G1645">
        <v>7.7652712059304796E-2</v>
      </c>
      <c r="H1645">
        <v>5.3309705783660101E-2</v>
      </c>
      <c r="I1645">
        <v>6.23381500049408E-2</v>
      </c>
      <c r="J1645">
        <v>8.1107865499451107E-2</v>
      </c>
      <c r="K1645">
        <v>0.112853324314967</v>
      </c>
      <c r="L1645">
        <v>765.48798215367003</v>
      </c>
      <c r="M1645">
        <v>16.749046243145401</v>
      </c>
      <c r="N1645">
        <v>46.081096227542801</v>
      </c>
      <c r="O1645">
        <v>45.0667716515743</v>
      </c>
      <c r="P1645">
        <v>-8.6958563069985798E-2</v>
      </c>
      <c r="Q1645">
        <v>6.4141147652726604E-2</v>
      </c>
      <c r="R1645">
        <v>0.97063540170555296</v>
      </c>
      <c r="S1645" t="s">
        <v>8315</v>
      </c>
      <c r="T1645" t="s">
        <v>13338</v>
      </c>
      <c r="U1645" t="s">
        <v>13338</v>
      </c>
      <c r="V1645" t="s">
        <v>13338</v>
      </c>
      <c r="W1645" t="s">
        <v>14947</v>
      </c>
      <c r="X1645">
        <v>12</v>
      </c>
      <c r="Y1645" t="s">
        <v>21544</v>
      </c>
      <c r="Z1645" t="s">
        <v>28060</v>
      </c>
      <c r="AA1645">
        <v>0.26416232747497648</v>
      </c>
      <c r="AB1645" t="str">
        <f>HYPERLINK("Melting_Curves/meltCurve_O75791_GRAP2.pdf", "Melting_Curves/meltCurve_O75791_GRAP2.pdf")</f>
        <v>Melting_Curves/meltCurve_O75791_GRAP2.pdf</v>
      </c>
    </row>
    <row r="1646" spans="1:28" x14ac:dyDescent="0.25">
      <c r="A1646" t="s">
        <v>1650</v>
      </c>
      <c r="B1646">
        <v>0.99193492352474899</v>
      </c>
      <c r="C1646">
        <v>1.1093471902336101</v>
      </c>
      <c r="D1646">
        <v>0.85207474524089</v>
      </c>
      <c r="E1646">
        <v>0.59186881741736797</v>
      </c>
      <c r="F1646">
        <v>0.18144064093940701</v>
      </c>
      <c r="G1646">
        <v>9.7351164075823698E-2</v>
      </c>
      <c r="H1646">
        <v>5.1766487533059402E-2</v>
      </c>
      <c r="I1646">
        <v>6.5335032620767494E-2</v>
      </c>
      <c r="J1646">
        <v>8.3954116555988501E-2</v>
      </c>
      <c r="K1646">
        <v>8.8558462190787904E-2</v>
      </c>
      <c r="L1646">
        <v>1389.2378039190501</v>
      </c>
      <c r="M1646">
        <v>27.878335502467099</v>
      </c>
      <c r="N1646">
        <v>50.093046395381798</v>
      </c>
      <c r="O1646">
        <v>49.577884667770299</v>
      </c>
      <c r="P1646">
        <v>-0.13108078936654</v>
      </c>
      <c r="Q1646">
        <v>6.7569856327134095E-2</v>
      </c>
      <c r="R1646">
        <v>0.98739335345214296</v>
      </c>
      <c r="S1646" t="s">
        <v>8316</v>
      </c>
      <c r="T1646" t="s">
        <v>13338</v>
      </c>
      <c r="U1646" t="s">
        <v>13338</v>
      </c>
      <c r="V1646" t="s">
        <v>13338</v>
      </c>
      <c r="W1646" t="s">
        <v>14948</v>
      </c>
      <c r="X1646">
        <v>22</v>
      </c>
      <c r="Y1646" t="s">
        <v>21545</v>
      </c>
      <c r="Z1646" t="s">
        <v>28061</v>
      </c>
      <c r="AA1646">
        <v>0.37983711004063148</v>
      </c>
      <c r="AB1646" t="str">
        <f>HYPERLINK("Melting_Curves/meltCurve_O75792_RNASEH2A.pdf", "Melting_Curves/meltCurve_O75792_RNASEH2A.pdf")</f>
        <v>Melting_Curves/meltCurve_O75792_RNASEH2A.pdf</v>
      </c>
    </row>
    <row r="1647" spans="1:28" x14ac:dyDescent="0.25">
      <c r="A1647" t="s">
        <v>1651</v>
      </c>
      <c r="B1647">
        <v>0.99193492352474899</v>
      </c>
      <c r="C1647">
        <v>0.85327368043712404</v>
      </c>
      <c r="D1647">
        <v>0.88781765856459205</v>
      </c>
      <c r="E1647">
        <v>0.67333691414341901</v>
      </c>
      <c r="F1647">
        <v>0.233089502092972</v>
      </c>
      <c r="G1647">
        <v>9.6569482838036402E-2</v>
      </c>
      <c r="H1647">
        <v>6.4363264217529095E-2</v>
      </c>
      <c r="I1647">
        <v>5.2273571303746998E-2</v>
      </c>
      <c r="J1647">
        <v>6.43586639690997E-2</v>
      </c>
      <c r="K1647">
        <v>5.7439674965259098E-2</v>
      </c>
      <c r="L1647">
        <v>1217.3293775485399</v>
      </c>
      <c r="M1647">
        <v>24.095158441733499</v>
      </c>
      <c r="N1647">
        <v>50.730651480344697</v>
      </c>
      <c r="O1647">
        <v>50.177607056321698</v>
      </c>
      <c r="P1647">
        <v>-0.11438119864474899</v>
      </c>
      <c r="Q1647">
        <v>4.7230086361349399E-2</v>
      </c>
      <c r="R1647">
        <v>0.98458182063381405</v>
      </c>
      <c r="S1647" t="s">
        <v>8317</v>
      </c>
      <c r="T1647" t="s">
        <v>13338</v>
      </c>
      <c r="U1647" t="s">
        <v>13338</v>
      </c>
      <c r="V1647" t="s">
        <v>13338</v>
      </c>
      <c r="W1647" t="s">
        <v>14949</v>
      </c>
      <c r="X1647">
        <v>8</v>
      </c>
      <c r="Y1647" t="s">
        <v>21546</v>
      </c>
      <c r="Z1647" t="s">
        <v>28062</v>
      </c>
      <c r="AA1647">
        <v>0.39060217420014581</v>
      </c>
      <c r="AB1647" t="str">
        <f>HYPERLINK("Melting_Curves/meltCurve_O75794_CDC123.pdf", "Melting_Curves/meltCurve_O75794_CDC123.pdf")</f>
        <v>Melting_Curves/meltCurve_O75794_CDC123.pdf</v>
      </c>
    </row>
    <row r="1648" spans="1:28" x14ac:dyDescent="0.25">
      <c r="A1648" t="s">
        <v>1652</v>
      </c>
      <c r="B1648">
        <v>0.99193492352474899</v>
      </c>
      <c r="C1648">
        <v>0.80631292600567495</v>
      </c>
      <c r="D1648">
        <v>0.73552790164942405</v>
      </c>
      <c r="E1648">
        <v>0.37423985034044199</v>
      </c>
      <c r="F1648">
        <v>0.25565605061191399</v>
      </c>
      <c r="G1648">
        <v>0.122338393160878</v>
      </c>
      <c r="H1648">
        <v>3.8560148408710603E-2</v>
      </c>
      <c r="I1648">
        <v>6.4682473065140605E-2</v>
      </c>
      <c r="J1648">
        <v>0.153479553732702</v>
      </c>
      <c r="K1648">
        <v>0</v>
      </c>
      <c r="L1648">
        <v>735.00674418600795</v>
      </c>
      <c r="M1648">
        <v>15.2889759956145</v>
      </c>
      <c r="N1648">
        <v>48.382293495303003</v>
      </c>
      <c r="O1648">
        <v>47.274362636913303</v>
      </c>
      <c r="P1648">
        <v>-7.7110191994334706E-2</v>
      </c>
      <c r="Q1648">
        <v>4.6373462160870099E-2</v>
      </c>
      <c r="R1648">
        <v>0.97895813170770296</v>
      </c>
      <c r="S1648" t="s">
        <v>8318</v>
      </c>
      <c r="T1648" t="s">
        <v>13338</v>
      </c>
      <c r="U1648" t="s">
        <v>13338</v>
      </c>
      <c r="V1648" t="s">
        <v>13338</v>
      </c>
      <c r="W1648" t="s">
        <v>14950</v>
      </c>
      <c r="X1648">
        <v>2</v>
      </c>
      <c r="Y1648" t="s">
        <v>21547</v>
      </c>
      <c r="Z1648" t="s">
        <v>28063</v>
      </c>
      <c r="AA1648">
        <v>0.32658404789849688</v>
      </c>
      <c r="AB1648" t="str">
        <f>HYPERLINK("Melting_Curves/meltCurve_O75808_SOLH.pdf", "Melting_Curves/meltCurve_O75808_SOLH.pdf")</f>
        <v>Melting_Curves/meltCurve_O75808_SOLH.pdf</v>
      </c>
    </row>
    <row r="1649" spans="1:28" x14ac:dyDescent="0.25">
      <c r="A1649" t="s">
        <v>1653</v>
      </c>
      <c r="B1649">
        <v>0.99193492352474899</v>
      </c>
      <c r="C1649">
        <v>0.62835463464358499</v>
      </c>
      <c r="D1649">
        <v>0.86336244757095604</v>
      </c>
      <c r="E1649">
        <v>0.59483081822647099</v>
      </c>
      <c r="F1649">
        <v>0.61128901716680994</v>
      </c>
      <c r="G1649">
        <v>0.436267343067263</v>
      </c>
      <c r="H1649">
        <v>0.27756112836683999</v>
      </c>
      <c r="I1649">
        <v>0.15625541530274001</v>
      </c>
      <c r="J1649">
        <v>0.16548925712117299</v>
      </c>
      <c r="K1649">
        <v>0.109292357160046</v>
      </c>
      <c r="L1649">
        <v>397.14401123914899</v>
      </c>
      <c r="M1649">
        <v>7.4377815201908799</v>
      </c>
      <c r="N1649">
        <v>53.395492750510797</v>
      </c>
      <c r="O1649">
        <v>49.943694708891897</v>
      </c>
      <c r="P1649">
        <v>-3.7286057643944499E-2</v>
      </c>
      <c r="Q1649">
        <v>0</v>
      </c>
      <c r="R1649">
        <v>0.89453782561322204</v>
      </c>
      <c r="S1649" t="s">
        <v>8319</v>
      </c>
      <c r="T1649" t="s">
        <v>13338</v>
      </c>
      <c r="U1649" t="s">
        <v>13338</v>
      </c>
      <c r="V1649" t="s">
        <v>13338</v>
      </c>
      <c r="W1649" t="s">
        <v>14951</v>
      </c>
      <c r="X1649">
        <v>4</v>
      </c>
      <c r="Y1649" t="s">
        <v>21548</v>
      </c>
      <c r="Z1649" t="s">
        <v>28064</v>
      </c>
      <c r="AA1649">
        <v>0.48619709141465067</v>
      </c>
      <c r="AB1649" t="str">
        <f>HYPERLINK("Melting_Curves/meltCurve_O75818_RPP40.pdf", "Melting_Curves/meltCurve_O75818_RPP40.pdf")</f>
        <v>Melting_Curves/meltCurve_O75818_RPP40.pdf</v>
      </c>
    </row>
    <row r="1650" spans="1:28" x14ac:dyDescent="0.25">
      <c r="A1650" t="s">
        <v>1654</v>
      </c>
      <c r="B1650">
        <v>0.99193492352474899</v>
      </c>
      <c r="C1650">
        <v>0.63024411898616395</v>
      </c>
      <c r="D1650">
        <v>0.80527094262925603</v>
      </c>
      <c r="E1650">
        <v>0.27807531904999699</v>
      </c>
      <c r="F1650">
        <v>0.15494193587316099</v>
      </c>
      <c r="G1650">
        <v>7.6390284371996894E-2</v>
      </c>
      <c r="H1650">
        <v>6.1548359987804301E-2</v>
      </c>
      <c r="I1650">
        <v>6.7483237398202001E-2</v>
      </c>
      <c r="J1650">
        <v>8.62554754745989E-2</v>
      </c>
      <c r="K1650">
        <v>9.6851540119548496E-2</v>
      </c>
      <c r="L1650">
        <v>749.58808193534696</v>
      </c>
      <c r="M1650">
        <v>15.918221932439399</v>
      </c>
      <c r="N1650">
        <v>47.409967076832999</v>
      </c>
      <c r="O1650">
        <v>46.365579567803998</v>
      </c>
      <c r="P1650">
        <v>-8.1464313129952004E-2</v>
      </c>
      <c r="Q1650">
        <v>5.0940134366831903E-2</v>
      </c>
      <c r="R1650">
        <v>0.91937116775526295</v>
      </c>
      <c r="S1650" t="s">
        <v>8320</v>
      </c>
      <c r="T1650" t="s">
        <v>13338</v>
      </c>
      <c r="U1650" t="s">
        <v>13338</v>
      </c>
      <c r="V1650" t="s">
        <v>13338</v>
      </c>
      <c r="W1650" t="s">
        <v>14952</v>
      </c>
      <c r="X1650">
        <v>14</v>
      </c>
      <c r="Y1650" t="s">
        <v>21549</v>
      </c>
      <c r="Z1650" t="s">
        <v>28065</v>
      </c>
      <c r="AA1650">
        <v>0.29790101745398229</v>
      </c>
      <c r="AB1650" t="str">
        <f>HYPERLINK("Melting_Curves/meltCurve_O75821_EIF3G.pdf", "Melting_Curves/meltCurve_O75821_EIF3G.pdf")</f>
        <v>Melting_Curves/meltCurve_O75821_EIF3G.pdf</v>
      </c>
    </row>
    <row r="1651" spans="1:28" x14ac:dyDescent="0.25">
      <c r="A1651" t="s">
        <v>1655</v>
      </c>
      <c r="B1651">
        <v>0.99193492352474899</v>
      </c>
      <c r="C1651">
        <v>0.62030084211929504</v>
      </c>
      <c r="D1651">
        <v>0.97386519473608801</v>
      </c>
      <c r="E1651">
        <v>0.68127834135433996</v>
      </c>
      <c r="F1651">
        <v>0.30894639293649101</v>
      </c>
      <c r="G1651">
        <v>0.113410424998756</v>
      </c>
      <c r="H1651">
        <v>7.5345427300005902E-2</v>
      </c>
      <c r="I1651">
        <v>8.1765269096294196E-2</v>
      </c>
      <c r="J1651">
        <v>0.107342168533134</v>
      </c>
      <c r="K1651">
        <v>0.115880074143083</v>
      </c>
      <c r="L1651">
        <v>1152.50473387848</v>
      </c>
      <c r="M1651">
        <v>22.718296705395399</v>
      </c>
      <c r="N1651">
        <v>51.1131927374878</v>
      </c>
      <c r="O1651">
        <v>50.342094091379899</v>
      </c>
      <c r="P1651">
        <v>-0.103992855614935</v>
      </c>
      <c r="Q1651">
        <v>7.8255894233967699E-2</v>
      </c>
      <c r="R1651">
        <v>0.88873119744058704</v>
      </c>
      <c r="S1651" t="s">
        <v>8321</v>
      </c>
      <c r="T1651" t="s">
        <v>13338</v>
      </c>
      <c r="U1651" t="s">
        <v>13338</v>
      </c>
      <c r="V1651" t="s">
        <v>13338</v>
      </c>
      <c r="W1651" t="s">
        <v>14953</v>
      </c>
      <c r="X1651">
        <v>13</v>
      </c>
      <c r="Y1651" t="s">
        <v>21550</v>
      </c>
      <c r="Z1651" t="s">
        <v>28066</v>
      </c>
      <c r="AA1651">
        <v>0.41796115352403718</v>
      </c>
      <c r="AB1651" t="str">
        <f>HYPERLINK("Melting_Curves/meltCurve_O75822_EIF3J.pdf", "Melting_Curves/meltCurve_O75822_EIF3J.pdf")</f>
        <v>Melting_Curves/meltCurve_O75822_EIF3J.pdf</v>
      </c>
    </row>
    <row r="1652" spans="1:28" x14ac:dyDescent="0.25">
      <c r="A1652" t="s">
        <v>1656</v>
      </c>
      <c r="B1652">
        <v>0.99193492352474899</v>
      </c>
      <c r="C1652">
        <v>0.86401360873374999</v>
      </c>
      <c r="D1652">
        <v>0.77926000813935403</v>
      </c>
      <c r="E1652">
        <v>0.69151601553390396</v>
      </c>
      <c r="F1652">
        <v>0.19039996002190299</v>
      </c>
      <c r="G1652">
        <v>0.12314221381253</v>
      </c>
      <c r="H1652">
        <v>6.9699076480056493E-2</v>
      </c>
      <c r="I1652">
        <v>8.9718887464328406E-2</v>
      </c>
      <c r="J1652">
        <v>6.6170103573087502E-2</v>
      </c>
      <c r="K1652">
        <v>6.8974818866787399E-2</v>
      </c>
      <c r="L1652">
        <v>933.25361321650996</v>
      </c>
      <c r="M1652">
        <v>18.647397566353199</v>
      </c>
      <c r="N1652">
        <v>50.314907634714402</v>
      </c>
      <c r="O1652">
        <v>49.482488072390197</v>
      </c>
      <c r="P1652">
        <v>-8.9769698507265405E-2</v>
      </c>
      <c r="Q1652">
        <v>4.7194307612393203E-2</v>
      </c>
      <c r="R1652">
        <v>0.97006158299053202</v>
      </c>
      <c r="S1652" t="s">
        <v>8322</v>
      </c>
      <c r="T1652" t="s">
        <v>13338</v>
      </c>
      <c r="U1652" t="s">
        <v>13338</v>
      </c>
      <c r="V1652" t="s">
        <v>13338</v>
      </c>
      <c r="W1652" t="s">
        <v>14954</v>
      </c>
      <c r="X1652">
        <v>6</v>
      </c>
      <c r="Y1652" t="s">
        <v>21551</v>
      </c>
      <c r="Z1652" t="s">
        <v>28067</v>
      </c>
      <c r="AA1652">
        <v>0.38148342526265988</v>
      </c>
      <c r="AB1652" t="str">
        <f>HYPERLINK("Melting_Curves/meltCurve_O75828_CBR3.pdf", "Melting_Curves/meltCurve_O75828_CBR3.pdf")</f>
        <v>Melting_Curves/meltCurve_O75828_CBR3.pdf</v>
      </c>
    </row>
    <row r="1653" spans="1:28" x14ac:dyDescent="0.25">
      <c r="A1653" t="s">
        <v>1657</v>
      </c>
      <c r="B1653">
        <v>0.99193492352474899</v>
      </c>
      <c r="C1653">
        <v>0.77788647523375498</v>
      </c>
      <c r="D1653">
        <v>0.46791325505072101</v>
      </c>
      <c r="E1653">
        <v>0.290803115479569</v>
      </c>
      <c r="F1653">
        <v>0.241243439557598</v>
      </c>
      <c r="G1653">
        <v>0.1125202229554</v>
      </c>
      <c r="H1653">
        <v>9.8593050206562102E-2</v>
      </c>
      <c r="I1653">
        <v>5.4756550036216399E-2</v>
      </c>
      <c r="J1653">
        <v>6.4206597997391104E-2</v>
      </c>
      <c r="K1653">
        <v>8.85602404947574E-2</v>
      </c>
      <c r="L1653">
        <v>763.82319209896195</v>
      </c>
      <c r="M1653">
        <v>16.689768157720799</v>
      </c>
      <c r="N1653">
        <v>46.265636017178601</v>
      </c>
      <c r="O1653">
        <v>45.1240572644165</v>
      </c>
      <c r="P1653">
        <v>-8.48459046255053E-2</v>
      </c>
      <c r="Q1653">
        <v>8.2470875925766504E-2</v>
      </c>
      <c r="R1653">
        <v>0.98408290524229003</v>
      </c>
      <c r="S1653" t="s">
        <v>8323</v>
      </c>
      <c r="T1653" t="s">
        <v>13338</v>
      </c>
      <c r="U1653" t="s">
        <v>13338</v>
      </c>
      <c r="V1653" t="s">
        <v>13338</v>
      </c>
      <c r="W1653" t="s">
        <v>14955</v>
      </c>
      <c r="X1653">
        <v>3</v>
      </c>
      <c r="Y1653" t="s">
        <v>21552</v>
      </c>
      <c r="Z1653" t="s">
        <v>28068</v>
      </c>
      <c r="AA1653">
        <v>0.28053893585789258</v>
      </c>
      <c r="AB1653" t="str">
        <f>HYPERLINK("Melting_Curves/meltCurve_O75843_AP1G2.pdf", "Melting_Curves/meltCurve_O75843_AP1G2.pdf")</f>
        <v>Melting_Curves/meltCurve_O75843_AP1G2.pdf</v>
      </c>
    </row>
    <row r="1654" spans="1:28" x14ac:dyDescent="0.25">
      <c r="A1654" t="s">
        <v>1658</v>
      </c>
      <c r="B1654">
        <v>0.99193492352474899</v>
      </c>
      <c r="C1654">
        <v>1.0258664343350301</v>
      </c>
      <c r="D1654">
        <v>0.93316510937619102</v>
      </c>
      <c r="E1654">
        <v>0.866333843186742</v>
      </c>
      <c r="F1654">
        <v>0.64248510354553001</v>
      </c>
      <c r="G1654">
        <v>0.381637739549889</v>
      </c>
      <c r="H1654">
        <v>0.25809142944867097</v>
      </c>
      <c r="I1654">
        <v>0.14915695188872999</v>
      </c>
      <c r="J1654">
        <v>0.119016747377686</v>
      </c>
      <c r="K1654">
        <v>9.4943158253945698E-2</v>
      </c>
      <c r="L1654">
        <v>883.635942128029</v>
      </c>
      <c r="M1654">
        <v>16.155056292911599</v>
      </c>
      <c r="N1654">
        <v>55.255449736528703</v>
      </c>
      <c r="O1654">
        <v>53.879661467671497</v>
      </c>
      <c r="P1654">
        <v>-6.9319887349251097E-2</v>
      </c>
      <c r="Q1654">
        <v>7.5298781277604504E-2</v>
      </c>
      <c r="R1654">
        <v>0.99725947984609697</v>
      </c>
      <c r="S1654" t="s">
        <v>8324</v>
      </c>
      <c r="T1654" t="s">
        <v>13338</v>
      </c>
      <c r="U1654" t="s">
        <v>13338</v>
      </c>
      <c r="V1654" t="s">
        <v>13338</v>
      </c>
      <c r="W1654" t="s">
        <v>14956</v>
      </c>
      <c r="X1654">
        <v>11</v>
      </c>
      <c r="Y1654" t="s">
        <v>21553</v>
      </c>
      <c r="Z1654" t="s">
        <v>28069</v>
      </c>
      <c r="AA1654">
        <v>0.54499644820808735</v>
      </c>
      <c r="AB1654" t="str">
        <f>HYPERLINK("Melting_Curves/meltCurve_O75844_ZMPSTE24.pdf", "Melting_Curves/meltCurve_O75844_ZMPSTE24.pdf")</f>
        <v>Melting_Curves/meltCurve_O75844_ZMPSTE24.pdf</v>
      </c>
    </row>
    <row r="1655" spans="1:28" x14ac:dyDescent="0.25">
      <c r="A1655" t="s">
        <v>1659</v>
      </c>
      <c r="B1655">
        <v>0.99193492352474899</v>
      </c>
      <c r="C1655">
        <v>0.928928440375687</v>
      </c>
      <c r="D1655">
        <v>0.82577844931701905</v>
      </c>
      <c r="E1655">
        <v>0.59123844300566197</v>
      </c>
      <c r="F1655">
        <v>0.214214883883698</v>
      </c>
      <c r="G1655">
        <v>0.12561417650379</v>
      </c>
      <c r="H1655">
        <v>7.6635694909977806E-2</v>
      </c>
      <c r="I1655">
        <v>7.8527174737965E-2</v>
      </c>
      <c r="J1655">
        <v>7.5179853904122004E-2</v>
      </c>
      <c r="K1655">
        <v>6.9030411258772101E-2</v>
      </c>
      <c r="L1655">
        <v>1024.1963234329301</v>
      </c>
      <c r="M1655">
        <v>20.590784199523299</v>
      </c>
      <c r="N1655">
        <v>50.0557662885697</v>
      </c>
      <c r="O1655">
        <v>49.278509533125799</v>
      </c>
      <c r="P1655">
        <v>-9.8111751328838606E-2</v>
      </c>
      <c r="Q1655">
        <v>6.0811037059804798E-2</v>
      </c>
      <c r="R1655">
        <v>0.99547174298170804</v>
      </c>
      <c r="S1655" t="s">
        <v>8325</v>
      </c>
      <c r="T1655" t="s">
        <v>13338</v>
      </c>
      <c r="U1655" t="s">
        <v>13338</v>
      </c>
      <c r="V1655" t="s">
        <v>13338</v>
      </c>
      <c r="W1655" t="s">
        <v>14957</v>
      </c>
      <c r="X1655">
        <v>3</v>
      </c>
      <c r="Y1655" t="s">
        <v>21554</v>
      </c>
      <c r="Z1655" t="s">
        <v>28070</v>
      </c>
      <c r="AA1655">
        <v>0.37810802988746223</v>
      </c>
      <c r="AB1655" t="str">
        <f>HYPERLINK("Melting_Curves/meltCurve_O75865_TRAPPC6A.pdf", "Melting_Curves/meltCurve_O75865_TRAPPC6A.pdf")</f>
        <v>Melting_Curves/meltCurve_O75865_TRAPPC6A.pdf</v>
      </c>
    </row>
    <row r="1656" spans="1:28" x14ac:dyDescent="0.25">
      <c r="A1656" t="s">
        <v>1660</v>
      </c>
      <c r="B1656">
        <v>0.99193492352474899</v>
      </c>
      <c r="C1656">
        <v>0.95680148858830805</v>
      </c>
      <c r="D1656">
        <v>0.95160500366149203</v>
      </c>
      <c r="E1656">
        <v>0.85022592959091503</v>
      </c>
      <c r="F1656">
        <v>0.70839672207696902</v>
      </c>
      <c r="G1656">
        <v>0.354018416997739</v>
      </c>
      <c r="H1656">
        <v>0.114938284126928</v>
      </c>
      <c r="I1656">
        <v>0.111645703955127</v>
      </c>
      <c r="J1656">
        <v>0.131347529961194</v>
      </c>
      <c r="K1656">
        <v>0.13593958978484899</v>
      </c>
      <c r="L1656">
        <v>1233.4456317976901</v>
      </c>
      <c r="M1656">
        <v>22.651422691204498</v>
      </c>
      <c r="N1656">
        <v>54.971481419341401</v>
      </c>
      <c r="O1656">
        <v>54.034259375532798</v>
      </c>
      <c r="P1656">
        <v>-9.4729144074045105E-2</v>
      </c>
      <c r="Q1656">
        <v>9.6124347257006706E-2</v>
      </c>
      <c r="R1656">
        <v>0.99013025056444603</v>
      </c>
      <c r="S1656" t="s">
        <v>8326</v>
      </c>
      <c r="T1656" t="s">
        <v>13338</v>
      </c>
      <c r="U1656" t="s">
        <v>13338</v>
      </c>
      <c r="V1656" t="s">
        <v>13338</v>
      </c>
      <c r="W1656" t="s">
        <v>14958</v>
      </c>
      <c r="X1656">
        <v>29</v>
      </c>
      <c r="Y1656" t="s">
        <v>21555</v>
      </c>
      <c r="Z1656" t="s">
        <v>28071</v>
      </c>
      <c r="AA1656">
        <v>0.54153631736688246</v>
      </c>
      <c r="AB1656" t="str">
        <f>HYPERLINK("Melting_Curves/meltCurve_O75874_IDH1.pdf", "Melting_Curves/meltCurve_O75874_IDH1.pdf")</f>
        <v>Melting_Curves/meltCurve_O75874_IDH1.pdf</v>
      </c>
    </row>
    <row r="1657" spans="1:28" x14ac:dyDescent="0.25">
      <c r="A1657" t="s">
        <v>1661</v>
      </c>
      <c r="B1657">
        <v>0.99193492352474899</v>
      </c>
      <c r="C1657">
        <v>1.07061328243653</v>
      </c>
      <c r="D1657">
        <v>1.00938942335418</v>
      </c>
      <c r="E1657">
        <v>0.82103613673916498</v>
      </c>
      <c r="F1657">
        <v>0.64529165957797197</v>
      </c>
      <c r="G1657">
        <v>0.45406251247287799</v>
      </c>
      <c r="H1657">
        <v>0.32123338912583699</v>
      </c>
      <c r="I1657">
        <v>0.34172371776365801</v>
      </c>
      <c r="J1657">
        <v>0.31423043120495098</v>
      </c>
      <c r="K1657">
        <v>0.24089938079263701</v>
      </c>
      <c r="L1657">
        <v>1008.17470513714</v>
      </c>
      <c r="M1657">
        <v>18.943619317636301</v>
      </c>
      <c r="N1657">
        <v>55.599498477918502</v>
      </c>
      <c r="O1657">
        <v>52.637333628797101</v>
      </c>
      <c r="P1657">
        <v>-6.4984916959617903E-2</v>
      </c>
      <c r="Q1657">
        <v>0.27775264331474803</v>
      </c>
      <c r="R1657">
        <v>0.98604574884046303</v>
      </c>
      <c r="S1657" t="s">
        <v>8327</v>
      </c>
      <c r="T1657" t="s">
        <v>13338</v>
      </c>
      <c r="U1657" t="s">
        <v>13338</v>
      </c>
      <c r="V1657" t="s">
        <v>13338</v>
      </c>
      <c r="W1657" t="s">
        <v>14959</v>
      </c>
      <c r="X1657">
        <v>8</v>
      </c>
      <c r="Y1657" t="s">
        <v>21556</v>
      </c>
      <c r="Z1657" t="s">
        <v>28072</v>
      </c>
      <c r="AA1657">
        <v>0.60686473117023587</v>
      </c>
      <c r="AB1657" t="str">
        <f>HYPERLINK("Melting_Curves/meltCurve_O75882_ATRN.pdf", "Melting_Curves/meltCurve_O75882_ATRN.pdf")</f>
        <v>Melting_Curves/meltCurve_O75882_ATRN.pdf</v>
      </c>
    </row>
    <row r="1658" spans="1:28" x14ac:dyDescent="0.25">
      <c r="A1658" t="s">
        <v>1662</v>
      </c>
      <c r="B1658">
        <v>0.99193492352474899</v>
      </c>
      <c r="C1658">
        <v>0.92519851589550095</v>
      </c>
      <c r="D1658">
        <v>1.0334967171385601</v>
      </c>
      <c r="E1658">
        <v>0.79900923500934895</v>
      </c>
      <c r="F1658">
        <v>0.34850918054767799</v>
      </c>
      <c r="G1658">
        <v>0.15652554832274801</v>
      </c>
      <c r="H1658">
        <v>0.101900268225708</v>
      </c>
      <c r="I1658">
        <v>8.1620487862973198E-2</v>
      </c>
      <c r="J1658">
        <v>8.5777308109748401E-2</v>
      </c>
      <c r="K1658">
        <v>5.16008411429787E-2</v>
      </c>
      <c r="L1658">
        <v>1581.6693870378499</v>
      </c>
      <c r="M1658">
        <v>30.582633850572499</v>
      </c>
      <c r="N1658">
        <v>52.016141386007099</v>
      </c>
      <c r="O1658">
        <v>51.498250435164003</v>
      </c>
      <c r="P1658">
        <v>-0.13652569851072999</v>
      </c>
      <c r="Q1658">
        <v>8.0419893862884506E-2</v>
      </c>
      <c r="R1658">
        <v>0.99399052574041002</v>
      </c>
      <c r="S1658" t="s">
        <v>8328</v>
      </c>
      <c r="T1658" t="s">
        <v>13338</v>
      </c>
      <c r="U1658" t="s">
        <v>13338</v>
      </c>
      <c r="V1658" t="s">
        <v>13338</v>
      </c>
      <c r="W1658" t="s">
        <v>14960</v>
      </c>
      <c r="X1658">
        <v>7</v>
      </c>
      <c r="Y1658" t="s">
        <v>21557</v>
      </c>
      <c r="Z1658" t="s">
        <v>28073</v>
      </c>
      <c r="AA1658">
        <v>0.44523433334799267</v>
      </c>
      <c r="AB1658" t="str">
        <f>HYPERLINK("Melting_Curves/meltCurve_O75884_RBBP9.pdf", "Melting_Curves/meltCurve_O75884_RBBP9.pdf")</f>
        <v>Melting_Curves/meltCurve_O75884_RBBP9.pdf</v>
      </c>
    </row>
    <row r="1659" spans="1:28" x14ac:dyDescent="0.25">
      <c r="A1659" t="s">
        <v>1663</v>
      </c>
      <c r="B1659">
        <v>0.99193492352474899</v>
      </c>
      <c r="C1659">
        <v>0.75258705430040795</v>
      </c>
      <c r="D1659">
        <v>0.80846452839578298</v>
      </c>
      <c r="E1659">
        <v>0.297001510391316</v>
      </c>
      <c r="F1659">
        <v>0.166714623247227</v>
      </c>
      <c r="G1659">
        <v>8.7641380799119303E-2</v>
      </c>
      <c r="H1659">
        <v>6.0193903754757701E-2</v>
      </c>
      <c r="I1659">
        <v>7.9090891206909805E-2</v>
      </c>
      <c r="J1659">
        <v>7.6674917292408495E-2</v>
      </c>
      <c r="K1659">
        <v>7.4944591152115797E-2</v>
      </c>
      <c r="L1659">
        <v>946.01230120145999</v>
      </c>
      <c r="M1659">
        <v>19.859395810163999</v>
      </c>
      <c r="N1659">
        <v>47.949501283243698</v>
      </c>
      <c r="O1659">
        <v>47.160396118481401</v>
      </c>
      <c r="P1659">
        <v>-9.8860029777638705E-2</v>
      </c>
      <c r="Q1659">
        <v>6.0974164170672203E-2</v>
      </c>
      <c r="R1659">
        <v>0.96506631359791495</v>
      </c>
      <c r="S1659" t="s">
        <v>8329</v>
      </c>
      <c r="T1659" t="s">
        <v>13338</v>
      </c>
      <c r="U1659" t="s">
        <v>13338</v>
      </c>
      <c r="V1659" t="s">
        <v>13338</v>
      </c>
      <c r="W1659" t="s">
        <v>14961</v>
      </c>
      <c r="X1659">
        <v>8</v>
      </c>
      <c r="Y1659" t="s">
        <v>21558</v>
      </c>
      <c r="Z1659" t="s">
        <v>28074</v>
      </c>
      <c r="AA1659">
        <v>0.31363811806395231</v>
      </c>
      <c r="AB1659" t="str">
        <f>HYPERLINK("Melting_Curves/meltCurve_O75886_STAM2.pdf", "Melting_Curves/meltCurve_O75886_STAM2.pdf")</f>
        <v>Melting_Curves/meltCurve_O75886_STAM2.pdf</v>
      </c>
    </row>
    <row r="1660" spans="1:28" x14ac:dyDescent="0.25">
      <c r="A1660" t="s">
        <v>1664</v>
      </c>
      <c r="B1660">
        <v>0.99193492352474899</v>
      </c>
      <c r="C1660">
        <v>1.6513951246149701</v>
      </c>
      <c r="D1660">
        <v>1.3036318925861099</v>
      </c>
      <c r="E1660">
        <v>1.2282623087009099</v>
      </c>
      <c r="F1660">
        <v>0.62750403239477404</v>
      </c>
      <c r="G1660">
        <v>0.169855290122673</v>
      </c>
      <c r="H1660">
        <v>7.6941065024067501E-2</v>
      </c>
      <c r="I1660">
        <v>0.16841661648937301</v>
      </c>
      <c r="J1660">
        <v>0.326742628221322</v>
      </c>
      <c r="K1660">
        <v>0.34426959187596801</v>
      </c>
      <c r="L1660">
        <v>13305.137120609799</v>
      </c>
      <c r="M1660">
        <v>250</v>
      </c>
      <c r="N1660">
        <v>53.342174802410902</v>
      </c>
      <c r="O1660">
        <v>53.217163720779702</v>
      </c>
      <c r="P1660">
        <v>-0.91929374218658499</v>
      </c>
      <c r="Q1660">
        <v>0.21724501853678699</v>
      </c>
      <c r="R1660">
        <v>0.78248675052068495</v>
      </c>
      <c r="S1660" t="s">
        <v>8330</v>
      </c>
      <c r="T1660" t="s">
        <v>13338</v>
      </c>
      <c r="U1660" t="s">
        <v>13338</v>
      </c>
      <c r="V1660" t="s">
        <v>13338</v>
      </c>
      <c r="W1660" t="s">
        <v>14962</v>
      </c>
      <c r="X1660">
        <v>2</v>
      </c>
      <c r="Y1660" t="s">
        <v>21559</v>
      </c>
      <c r="Z1660" t="s">
        <v>28075</v>
      </c>
      <c r="AA1660">
        <v>0.56226646822837756</v>
      </c>
      <c r="AB1660" t="str">
        <f>HYPERLINK("Melting_Curves/meltCurve_O75896_TUSC2.pdf", "Melting_Curves/meltCurve_O75896_TUSC2.pdf")</f>
        <v>Melting_Curves/meltCurve_O75896_TUSC2.pdf</v>
      </c>
    </row>
    <row r="1661" spans="1:28" x14ac:dyDescent="0.25">
      <c r="A1661" t="s">
        <v>1665</v>
      </c>
      <c r="B1661">
        <v>0.99193492352474899</v>
      </c>
      <c r="C1661">
        <v>0.79561620936191602</v>
      </c>
      <c r="D1661">
        <v>0.84777886495087595</v>
      </c>
      <c r="E1661">
        <v>0.67808022324541295</v>
      </c>
      <c r="F1661">
        <v>0.40093242640626597</v>
      </c>
      <c r="G1661">
        <v>0.16307199850836801</v>
      </c>
      <c r="H1661">
        <v>8.1073302331617206E-2</v>
      </c>
      <c r="I1661">
        <v>6.82780551455449E-2</v>
      </c>
      <c r="J1661">
        <v>7.7705047348396297E-2</v>
      </c>
      <c r="K1661">
        <v>9.23839307237561E-2</v>
      </c>
      <c r="L1661">
        <v>728.25591988623</v>
      </c>
      <c r="M1661">
        <v>14.2314148586276</v>
      </c>
      <c r="N1661">
        <v>51.368481453148398</v>
      </c>
      <c r="O1661">
        <v>50.193849300923603</v>
      </c>
      <c r="P1661">
        <v>-6.9017111725238597E-2</v>
      </c>
      <c r="Q1661">
        <v>2.64346943008371E-2</v>
      </c>
      <c r="R1661">
        <v>0.97445550571112705</v>
      </c>
      <c r="S1661" t="s">
        <v>8331</v>
      </c>
      <c r="T1661" t="s">
        <v>13338</v>
      </c>
      <c r="U1661" t="s">
        <v>13338</v>
      </c>
      <c r="V1661" t="s">
        <v>13338</v>
      </c>
      <c r="W1661" t="s">
        <v>14963</v>
      </c>
      <c r="X1661">
        <v>6</v>
      </c>
      <c r="Y1661" t="s">
        <v>21560</v>
      </c>
      <c r="Z1661" t="s">
        <v>28076</v>
      </c>
      <c r="AA1661">
        <v>0.41334921095438631</v>
      </c>
      <c r="AB1661" t="str">
        <f>HYPERLINK("Melting_Curves/meltCurve_O75909_CCNK.pdf", "Melting_Curves/meltCurve_O75909_CCNK.pdf")</f>
        <v>Melting_Curves/meltCurve_O75909_CCNK.pdf</v>
      </c>
    </row>
    <row r="1662" spans="1:28" x14ac:dyDescent="0.25">
      <c r="A1662" t="s">
        <v>1666</v>
      </c>
      <c r="B1662">
        <v>0.99193492352474899</v>
      </c>
      <c r="C1662">
        <v>1.08089867156529</v>
      </c>
      <c r="D1662">
        <v>0.92433064747826299</v>
      </c>
      <c r="E1662">
        <v>0.81591751666491397</v>
      </c>
      <c r="F1662">
        <v>0.63024260941517096</v>
      </c>
      <c r="G1662">
        <v>0.50326344390551703</v>
      </c>
      <c r="H1662">
        <v>0.35644559129238301</v>
      </c>
      <c r="I1662">
        <v>0.34149128979593601</v>
      </c>
      <c r="J1662">
        <v>0.37942601561945299</v>
      </c>
      <c r="K1662">
        <v>0.45848774478377302</v>
      </c>
      <c r="L1662">
        <v>1035.0304095860999</v>
      </c>
      <c r="M1662">
        <v>19.910473146232199</v>
      </c>
      <c r="N1662">
        <v>55.927481335008302</v>
      </c>
      <c r="O1662">
        <v>51.468345731221198</v>
      </c>
      <c r="P1662">
        <v>-6.0237096238244997E-2</v>
      </c>
      <c r="Q1662">
        <v>0.37717181494468699</v>
      </c>
      <c r="R1662">
        <v>0.96979658888401798</v>
      </c>
      <c r="S1662" t="s">
        <v>8332</v>
      </c>
      <c r="T1662" t="s">
        <v>13338</v>
      </c>
      <c r="U1662" t="s">
        <v>13338</v>
      </c>
      <c r="V1662" t="s">
        <v>13338</v>
      </c>
      <c r="W1662" t="s">
        <v>14964</v>
      </c>
      <c r="X1662">
        <v>7</v>
      </c>
      <c r="Y1662" t="s">
        <v>21561</v>
      </c>
      <c r="Z1662" t="s">
        <v>28077</v>
      </c>
      <c r="AA1662">
        <v>0.63466476910655778</v>
      </c>
      <c r="AB1662" t="str">
        <f>HYPERLINK("Melting_Curves/meltCurve_O75915_ARL6IP5.pdf", "Melting_Curves/meltCurve_O75915_ARL6IP5.pdf")</f>
        <v>Melting_Curves/meltCurve_O75915_ARL6IP5.pdf</v>
      </c>
    </row>
    <row r="1663" spans="1:28" x14ac:dyDescent="0.25">
      <c r="A1663" t="s">
        <v>1667</v>
      </c>
      <c r="B1663">
        <v>0.99193492352474899</v>
      </c>
      <c r="C1663">
        <v>0.52315593156006701</v>
      </c>
      <c r="D1663">
        <v>0.46966369617450898</v>
      </c>
      <c r="E1663">
        <v>0.19868697506636601</v>
      </c>
      <c r="F1663">
        <v>0.13697118320955501</v>
      </c>
      <c r="G1663">
        <v>5.4411216566741902E-2</v>
      </c>
      <c r="H1663">
        <v>3.5624041586039497E-2</v>
      </c>
      <c r="I1663">
        <v>0</v>
      </c>
      <c r="J1663">
        <v>2.95705597514331E-2</v>
      </c>
      <c r="K1663">
        <v>1.9224007034047901E-2</v>
      </c>
      <c r="L1663">
        <v>668.48663711212896</v>
      </c>
      <c r="M1663">
        <v>14.931252725613399</v>
      </c>
      <c r="N1663">
        <v>44.882335282331297</v>
      </c>
      <c r="O1663">
        <v>43.990911530322897</v>
      </c>
      <c r="P1663">
        <v>-8.3319679822193293E-2</v>
      </c>
      <c r="Q1663">
        <v>1.8184985754838099E-2</v>
      </c>
      <c r="R1663">
        <v>0.95420724075547403</v>
      </c>
      <c r="S1663" t="s">
        <v>8333</v>
      </c>
      <c r="T1663" t="s">
        <v>13338</v>
      </c>
      <c r="U1663" t="s">
        <v>13338</v>
      </c>
      <c r="V1663" t="s">
        <v>13338</v>
      </c>
      <c r="W1663" t="s">
        <v>14965</v>
      </c>
      <c r="X1663">
        <v>4</v>
      </c>
      <c r="Y1663" t="s">
        <v>21562</v>
      </c>
      <c r="Z1663" t="s">
        <v>28078</v>
      </c>
      <c r="AA1663">
        <v>0.2069874968398534</v>
      </c>
      <c r="AB1663" t="str">
        <f>HYPERLINK("Melting_Curves/meltCurve_O75925_PIAS1.pdf", "Melting_Curves/meltCurve_O75925_PIAS1.pdf")</f>
        <v>Melting_Curves/meltCurve_O75925_PIAS1.pdf</v>
      </c>
    </row>
    <row r="1664" spans="1:28" x14ac:dyDescent="0.25">
      <c r="A1664" t="s">
        <v>1668</v>
      </c>
      <c r="B1664">
        <v>0.99193492352474899</v>
      </c>
      <c r="C1664">
        <v>0.64292886797654103</v>
      </c>
      <c r="D1664">
        <v>0.51280773893475096</v>
      </c>
      <c r="E1664">
        <v>0.196810505000205</v>
      </c>
      <c r="F1664">
        <v>9.9593253046137697E-2</v>
      </c>
      <c r="G1664">
        <v>6.8585402478156005E-2</v>
      </c>
      <c r="H1664">
        <v>4.1352123697634399E-2</v>
      </c>
      <c r="I1664">
        <v>8.6309998390444106E-2</v>
      </c>
      <c r="J1664">
        <v>8.2017144741241901E-2</v>
      </c>
      <c r="K1664">
        <v>0.10488478247215299</v>
      </c>
      <c r="L1664">
        <v>825.97427136237195</v>
      </c>
      <c r="M1664">
        <v>18.335532940971898</v>
      </c>
      <c r="N1664">
        <v>45.403975710197798</v>
      </c>
      <c r="O1664">
        <v>44.522152048335698</v>
      </c>
      <c r="P1664">
        <v>-9.6063878107809503E-2</v>
      </c>
      <c r="Q1664">
        <v>6.6997528901251505E-2</v>
      </c>
      <c r="R1664">
        <v>0.97622664656039804</v>
      </c>
      <c r="S1664" t="s">
        <v>8334</v>
      </c>
      <c r="T1664" t="s">
        <v>13338</v>
      </c>
      <c r="U1664" t="s">
        <v>13338</v>
      </c>
      <c r="V1664" t="s">
        <v>13338</v>
      </c>
      <c r="W1664" t="s">
        <v>14966</v>
      </c>
      <c r="X1664">
        <v>5</v>
      </c>
      <c r="Y1664" t="s">
        <v>21563</v>
      </c>
      <c r="Z1664" t="s">
        <v>28079</v>
      </c>
      <c r="AA1664">
        <v>0.24317603191099571</v>
      </c>
      <c r="AB1664" t="str">
        <f>HYPERLINK("Melting_Curves/meltCurve_O75928_2_PIAS2.pdf", "Melting_Curves/meltCurve_O75928_2_PIAS2.pdf")</f>
        <v>Melting_Curves/meltCurve_O75928_2_PIAS2.pdf</v>
      </c>
    </row>
    <row r="1665" spans="1:28" x14ac:dyDescent="0.25">
      <c r="A1665" t="s">
        <v>1669</v>
      </c>
      <c r="B1665">
        <v>0.99193492352474899</v>
      </c>
      <c r="C1665">
        <v>0.82279423602346802</v>
      </c>
      <c r="D1665">
        <v>0.82671960133752498</v>
      </c>
      <c r="E1665">
        <v>0.71336119972511303</v>
      </c>
      <c r="F1665">
        <v>0.378632626783799</v>
      </c>
      <c r="G1665">
        <v>0.213955468246184</v>
      </c>
      <c r="H1665">
        <v>0.16238033767545301</v>
      </c>
      <c r="I1665">
        <v>0.218893951073658</v>
      </c>
      <c r="J1665">
        <v>0.26383436259522097</v>
      </c>
      <c r="K1665">
        <v>0.38592642290295098</v>
      </c>
      <c r="L1665">
        <v>945.82708660124604</v>
      </c>
      <c r="M1665">
        <v>19.05803109487</v>
      </c>
      <c r="N1665">
        <v>51.321808910340799</v>
      </c>
      <c r="O1665">
        <v>49.092057681545299</v>
      </c>
      <c r="P1665">
        <v>-7.4407736963468404E-2</v>
      </c>
      <c r="Q1665">
        <v>0.233355203969729</v>
      </c>
      <c r="R1665">
        <v>0.91888244603053504</v>
      </c>
      <c r="S1665" t="s">
        <v>8335</v>
      </c>
      <c r="T1665" t="s">
        <v>13338</v>
      </c>
      <c r="U1665" t="s">
        <v>13338</v>
      </c>
      <c r="V1665" t="s">
        <v>13338</v>
      </c>
      <c r="W1665" t="s">
        <v>14967</v>
      </c>
      <c r="X1665">
        <v>10</v>
      </c>
      <c r="Y1665" t="s">
        <v>21564</v>
      </c>
      <c r="Z1665" t="s">
        <v>28080</v>
      </c>
      <c r="AA1665">
        <v>0.4911746806369332</v>
      </c>
      <c r="AB1665" t="str">
        <f>HYPERLINK("Melting_Curves/meltCurve_O75934_BCAS2.pdf", "Melting_Curves/meltCurve_O75934_BCAS2.pdf")</f>
        <v>Melting_Curves/meltCurve_O75934_BCAS2.pdf</v>
      </c>
    </row>
    <row r="1666" spans="1:28" x14ac:dyDescent="0.25">
      <c r="A1666" t="s">
        <v>1670</v>
      </c>
      <c r="B1666">
        <v>0.99193492352474899</v>
      </c>
      <c r="C1666">
        <v>0.86314508201811602</v>
      </c>
      <c r="D1666">
        <v>0.86926422669996695</v>
      </c>
      <c r="E1666">
        <v>0.61503668991716798</v>
      </c>
      <c r="F1666">
        <v>0.165931800866813</v>
      </c>
      <c r="G1666">
        <v>9.5936314114078602E-2</v>
      </c>
      <c r="H1666">
        <v>5.9115955548706099E-2</v>
      </c>
      <c r="I1666">
        <v>7.4460007638748493E-2</v>
      </c>
      <c r="J1666">
        <v>7.3221749942219999E-2</v>
      </c>
      <c r="K1666">
        <v>4.3693970799577798E-2</v>
      </c>
      <c r="L1666">
        <v>1234.64537409321</v>
      </c>
      <c r="M1666">
        <v>24.732039555763599</v>
      </c>
      <c r="N1666">
        <v>50.1406072340299</v>
      </c>
      <c r="O1666">
        <v>49.5979476193517</v>
      </c>
      <c r="P1666">
        <v>-0.118262163645927</v>
      </c>
      <c r="Q1666">
        <v>5.1355508865810598E-2</v>
      </c>
      <c r="R1666">
        <v>0.98471592761589599</v>
      </c>
      <c r="S1666" t="s">
        <v>8336</v>
      </c>
      <c r="T1666" t="s">
        <v>13338</v>
      </c>
      <c r="U1666" t="s">
        <v>13338</v>
      </c>
      <c r="V1666" t="s">
        <v>13338</v>
      </c>
      <c r="W1666" t="s">
        <v>14968</v>
      </c>
      <c r="X1666">
        <v>9</v>
      </c>
      <c r="Y1666" t="s">
        <v>21565</v>
      </c>
      <c r="Z1666" t="s">
        <v>28081</v>
      </c>
      <c r="AA1666">
        <v>0.37372655922745618</v>
      </c>
      <c r="AB1666" t="str">
        <f>HYPERLINK("Melting_Curves/meltCurve_O75935_DCTN3.pdf", "Melting_Curves/meltCurve_O75935_DCTN3.pdf")</f>
        <v>Melting_Curves/meltCurve_O75935_DCTN3.pdf</v>
      </c>
    </row>
    <row r="1667" spans="1:28" x14ac:dyDescent="0.25">
      <c r="A1667" t="s">
        <v>1671</v>
      </c>
      <c r="B1667">
        <v>0.99193492352474899</v>
      </c>
      <c r="C1667">
        <v>0.79569209250531803</v>
      </c>
      <c r="D1667">
        <v>0.720178369028456</v>
      </c>
      <c r="E1667">
        <v>0.52601475961257105</v>
      </c>
      <c r="F1667">
        <v>0.18499125611740599</v>
      </c>
      <c r="G1667">
        <v>0.103686036423391</v>
      </c>
      <c r="H1667">
        <v>7.7552441311579096E-2</v>
      </c>
      <c r="I1667">
        <v>0.112142609174801</v>
      </c>
      <c r="J1667">
        <v>0.122015460994384</v>
      </c>
      <c r="K1667">
        <v>0.17750525366709399</v>
      </c>
      <c r="L1667">
        <v>786.98261193006397</v>
      </c>
      <c r="M1667">
        <v>16.357336689449799</v>
      </c>
      <c r="N1667">
        <v>48.724940212732399</v>
      </c>
      <c r="O1667">
        <v>47.410073864819701</v>
      </c>
      <c r="P1667">
        <v>-7.8238580492514601E-2</v>
      </c>
      <c r="Q1667">
        <v>9.2999199680096206E-2</v>
      </c>
      <c r="R1667">
        <v>0.96841620332745504</v>
      </c>
      <c r="S1667" t="s">
        <v>8337</v>
      </c>
      <c r="T1667" t="s">
        <v>13338</v>
      </c>
      <c r="U1667" t="s">
        <v>13338</v>
      </c>
      <c r="V1667" t="s">
        <v>13338</v>
      </c>
      <c r="W1667" t="s">
        <v>14969</v>
      </c>
      <c r="X1667">
        <v>21</v>
      </c>
      <c r="Y1667" t="s">
        <v>21566</v>
      </c>
      <c r="Z1667" t="s">
        <v>28082</v>
      </c>
      <c r="AA1667">
        <v>0.35777461935355692</v>
      </c>
      <c r="AB1667" t="str">
        <f>HYPERLINK("Melting_Curves/meltCurve_O75937_DNAJC8.pdf", "Melting_Curves/meltCurve_O75937_DNAJC8.pdf")</f>
        <v>Melting_Curves/meltCurve_O75937_DNAJC8.pdf</v>
      </c>
    </row>
    <row r="1668" spans="1:28" x14ac:dyDescent="0.25">
      <c r="A1668" t="s">
        <v>1672</v>
      </c>
      <c r="B1668">
        <v>0.99193492352474899</v>
      </c>
      <c r="C1668">
        <v>0.61307096863256805</v>
      </c>
      <c r="D1668">
        <v>0.91014095554628704</v>
      </c>
      <c r="E1668">
        <v>0.70254371935492499</v>
      </c>
      <c r="F1668">
        <v>0.64622613804916196</v>
      </c>
      <c r="G1668">
        <v>0.44339505980437799</v>
      </c>
      <c r="H1668">
        <v>0.43246941839799702</v>
      </c>
      <c r="I1668">
        <v>0.44796777145236599</v>
      </c>
      <c r="J1668">
        <v>0.64162214756984304</v>
      </c>
      <c r="K1668">
        <v>0.86408081348072296</v>
      </c>
      <c r="L1668">
        <v>549.61857699557595</v>
      </c>
      <c r="M1668">
        <v>12.4536699916221</v>
      </c>
      <c r="O1668">
        <v>43.041457973659298</v>
      </c>
      <c r="P1668">
        <v>-3.0674888594875601E-2</v>
      </c>
      <c r="Q1668">
        <v>0.57602333423547702</v>
      </c>
      <c r="R1668">
        <v>0.34419362644934298</v>
      </c>
      <c r="S1668" t="s">
        <v>8338</v>
      </c>
      <c r="T1668" t="s">
        <v>13338</v>
      </c>
      <c r="U1668" t="s">
        <v>13338</v>
      </c>
      <c r="V1668" t="s">
        <v>13338</v>
      </c>
      <c r="W1668" t="s">
        <v>14970</v>
      </c>
      <c r="X1668">
        <v>11</v>
      </c>
      <c r="Y1668" t="s">
        <v>21567</v>
      </c>
      <c r="Z1668" t="s">
        <v>28083</v>
      </c>
      <c r="AA1668">
        <v>0.65613518270150317</v>
      </c>
      <c r="AB1668" t="str">
        <f>HYPERLINK("Melting_Curves/meltCurve_O75940_SMNDC1.pdf", "Melting_Curves/meltCurve_O75940_SMNDC1.pdf")</f>
        <v>Melting_Curves/meltCurve_O75940_SMNDC1.pdf</v>
      </c>
    </row>
    <row r="1669" spans="1:28" x14ac:dyDescent="0.25">
      <c r="A1669" t="s">
        <v>1673</v>
      </c>
      <c r="B1669">
        <v>0.99193492352474899</v>
      </c>
      <c r="C1669">
        <v>0.77227741453971499</v>
      </c>
      <c r="D1669">
        <v>0.81429264267819501</v>
      </c>
      <c r="E1669">
        <v>0.33569440214051399</v>
      </c>
      <c r="F1669">
        <v>0.17874389805725199</v>
      </c>
      <c r="G1669">
        <v>9.7789695400895105E-2</v>
      </c>
      <c r="H1669">
        <v>8.4657805014710694E-2</v>
      </c>
      <c r="I1669">
        <v>0.12237242734593699</v>
      </c>
      <c r="J1669">
        <v>0.10899550844125901</v>
      </c>
      <c r="K1669">
        <v>0.30194479335206298</v>
      </c>
      <c r="L1669">
        <v>1140.1231498270699</v>
      </c>
      <c r="M1669">
        <v>24.008383540156998</v>
      </c>
      <c r="N1669">
        <v>48.116499578905199</v>
      </c>
      <c r="O1669">
        <v>47.162753662144802</v>
      </c>
      <c r="P1669">
        <v>-0.110148942464266</v>
      </c>
      <c r="Q1669">
        <v>0.13449477492120501</v>
      </c>
      <c r="R1669">
        <v>0.93398540367676897</v>
      </c>
      <c r="S1669" t="s">
        <v>8339</v>
      </c>
      <c r="T1669" t="s">
        <v>13338</v>
      </c>
      <c r="U1669" t="s">
        <v>13338</v>
      </c>
      <c r="V1669" t="s">
        <v>13338</v>
      </c>
      <c r="W1669" t="s">
        <v>14971</v>
      </c>
      <c r="X1669">
        <v>3</v>
      </c>
      <c r="Y1669" t="s">
        <v>21568</v>
      </c>
      <c r="Z1669" t="s">
        <v>28084</v>
      </c>
      <c r="AA1669">
        <v>0.35891657054751708</v>
      </c>
      <c r="AB1669" t="str">
        <f>HYPERLINK("Melting_Curves/meltCurve_O75943_4_RAD17.pdf", "Melting_Curves/meltCurve_O75943_4_RAD17.pdf")</f>
        <v>Melting_Curves/meltCurve_O75943_4_RAD17.pdf</v>
      </c>
    </row>
    <row r="1670" spans="1:28" x14ac:dyDescent="0.25">
      <c r="A1670" t="s">
        <v>1674</v>
      </c>
      <c r="B1670">
        <v>0.99193492352474899</v>
      </c>
      <c r="C1670">
        <v>0.81266105827885604</v>
      </c>
      <c r="D1670">
        <v>0.90689302075415401</v>
      </c>
      <c r="E1670">
        <v>0.647945869129681</v>
      </c>
      <c r="F1670">
        <v>0.63706952395829297</v>
      </c>
      <c r="G1670">
        <v>0.43458908253081002</v>
      </c>
      <c r="H1670">
        <v>0.36049114092336998</v>
      </c>
      <c r="I1670">
        <v>0.171054344092892</v>
      </c>
      <c r="J1670">
        <v>0.15764838235298301</v>
      </c>
      <c r="K1670">
        <v>0.13557711622497201</v>
      </c>
      <c r="L1670">
        <v>468.739726844985</v>
      </c>
      <c r="M1670">
        <v>8.5163658079678495</v>
      </c>
      <c r="N1670">
        <v>55.039877011674101</v>
      </c>
      <c r="O1670">
        <v>52.2568719743579</v>
      </c>
      <c r="P1670">
        <v>-4.0779266246652901E-2</v>
      </c>
      <c r="Q1670">
        <v>0</v>
      </c>
      <c r="R1670">
        <v>0.965164216261168</v>
      </c>
      <c r="S1670" t="s">
        <v>8340</v>
      </c>
      <c r="T1670" t="s">
        <v>13338</v>
      </c>
      <c r="U1670" t="s">
        <v>13338</v>
      </c>
      <c r="V1670" t="s">
        <v>13338</v>
      </c>
      <c r="W1670" t="s">
        <v>14972</v>
      </c>
      <c r="X1670">
        <v>14</v>
      </c>
      <c r="Y1670" t="s">
        <v>21569</v>
      </c>
      <c r="Z1670" t="s">
        <v>28085</v>
      </c>
      <c r="AA1670">
        <v>0.52807121282772784</v>
      </c>
      <c r="AB1670" t="str">
        <f>HYPERLINK("Melting_Curves/meltCurve_O75947_ATP5H.pdf", "Melting_Curves/meltCurve_O75947_ATP5H.pdf")</f>
        <v>Melting_Curves/meltCurve_O75947_ATP5H.pdf</v>
      </c>
    </row>
    <row r="1671" spans="1:28" x14ac:dyDescent="0.25">
      <c r="A1671" t="s">
        <v>1675</v>
      </c>
      <c r="B1671">
        <v>0.99193492352474899</v>
      </c>
      <c r="C1671">
        <v>0.89185946934522498</v>
      </c>
      <c r="D1671">
        <v>0.99261119338299098</v>
      </c>
      <c r="E1671">
        <v>0.78764860141967197</v>
      </c>
      <c r="F1671">
        <v>0.84044774786382903</v>
      </c>
      <c r="G1671">
        <v>0.32681291595591</v>
      </c>
      <c r="H1671">
        <v>0.17429068204120399</v>
      </c>
      <c r="I1671">
        <v>0.225066744741725</v>
      </c>
      <c r="J1671">
        <v>0.24307086228163499</v>
      </c>
      <c r="K1671">
        <v>0.222235000245328</v>
      </c>
      <c r="L1671">
        <v>2366.5624664857601</v>
      </c>
      <c r="M1671">
        <v>43.306623357983902</v>
      </c>
      <c r="N1671">
        <v>55.350366576266502</v>
      </c>
      <c r="O1671">
        <v>54.530530327714203</v>
      </c>
      <c r="P1671">
        <v>-0.156513029833763</v>
      </c>
      <c r="Q1671">
        <v>0.211693345545443</v>
      </c>
      <c r="R1671">
        <v>0.94992999421317803</v>
      </c>
      <c r="S1671" t="s">
        <v>8341</v>
      </c>
      <c r="T1671" t="s">
        <v>13338</v>
      </c>
      <c r="U1671" t="s">
        <v>13338</v>
      </c>
      <c r="V1671" t="s">
        <v>13338</v>
      </c>
      <c r="W1671" t="s">
        <v>14973</v>
      </c>
      <c r="X1671">
        <v>13</v>
      </c>
      <c r="Y1671" t="s">
        <v>21570</v>
      </c>
      <c r="Z1671" t="s">
        <v>28086</v>
      </c>
      <c r="AA1671">
        <v>0.5990954992399059</v>
      </c>
      <c r="AB1671" t="str">
        <f>HYPERLINK("Melting_Curves/meltCurve_O75955_FLOT1.pdf", "Melting_Curves/meltCurve_O75955_FLOT1.pdf")</f>
        <v>Melting_Curves/meltCurve_O75955_FLOT1.pdf</v>
      </c>
    </row>
    <row r="1672" spans="1:28" x14ac:dyDescent="0.25">
      <c r="A1672" t="s">
        <v>1676</v>
      </c>
      <c r="B1672">
        <v>0.99193492352474899</v>
      </c>
      <c r="C1672">
        <v>0.89070769550225604</v>
      </c>
      <c r="D1672">
        <v>0.9514318094416</v>
      </c>
      <c r="E1672">
        <v>0.77496020856854697</v>
      </c>
      <c r="F1672">
        <v>0.76256499846585601</v>
      </c>
      <c r="G1672">
        <v>0.52171871316457497</v>
      </c>
      <c r="H1672">
        <v>0.34483666223775</v>
      </c>
      <c r="I1672">
        <v>0.24330610534748701</v>
      </c>
      <c r="J1672">
        <v>0.19963125901342799</v>
      </c>
      <c r="K1672">
        <v>0.23968877030431601</v>
      </c>
      <c r="L1672">
        <v>631.47056778726198</v>
      </c>
      <c r="M1672">
        <v>11.2494644615855</v>
      </c>
      <c r="N1672">
        <v>57.258424271299504</v>
      </c>
      <c r="O1672">
        <v>54.447270308745502</v>
      </c>
      <c r="P1672">
        <v>-4.6545759376885397E-2</v>
      </c>
      <c r="Q1672">
        <v>9.9155168748307806E-2</v>
      </c>
      <c r="R1672">
        <v>0.97601289931587998</v>
      </c>
      <c r="S1672" t="s">
        <v>8342</v>
      </c>
      <c r="T1672" t="s">
        <v>13338</v>
      </c>
      <c r="U1672" t="s">
        <v>13338</v>
      </c>
      <c r="V1672" t="s">
        <v>13338</v>
      </c>
      <c r="W1672" t="s">
        <v>14974</v>
      </c>
      <c r="X1672">
        <v>6</v>
      </c>
      <c r="Y1672" t="s">
        <v>21571</v>
      </c>
      <c r="Z1672" t="s">
        <v>28087</v>
      </c>
      <c r="AA1672">
        <v>0.6018886438545098</v>
      </c>
      <c r="AB1672" t="str">
        <f>HYPERLINK("Melting_Curves/meltCurve_O75964_ATP5L.pdf", "Melting_Curves/meltCurve_O75964_ATP5L.pdf")</f>
        <v>Melting_Curves/meltCurve_O75964_ATP5L.pdf</v>
      </c>
    </row>
    <row r="1673" spans="1:28" x14ac:dyDescent="0.25">
      <c r="A1673" t="s">
        <v>1677</v>
      </c>
      <c r="B1673">
        <v>0.99193492352474899</v>
      </c>
      <c r="C1673">
        <v>1.18033898204262</v>
      </c>
      <c r="D1673">
        <v>1.0152310566316201</v>
      </c>
      <c r="E1673">
        <v>0.88400485893085401</v>
      </c>
      <c r="F1673">
        <v>0.42691935463026798</v>
      </c>
      <c r="G1673">
        <v>0.365698623730074</v>
      </c>
      <c r="H1673">
        <v>0.226516401913268</v>
      </c>
      <c r="I1673">
        <v>0.31605265369355801</v>
      </c>
      <c r="J1673">
        <v>0.28261431793881497</v>
      </c>
      <c r="K1673">
        <v>0.23022288420831899</v>
      </c>
      <c r="L1673">
        <v>2073.2707599759901</v>
      </c>
      <c r="M1673">
        <v>40.201248223504997</v>
      </c>
      <c r="N1673">
        <v>52.635445730710899</v>
      </c>
      <c r="O1673">
        <v>51.445179107043003</v>
      </c>
      <c r="P1673">
        <v>-0.141046583068798</v>
      </c>
      <c r="Q1673">
        <v>0.27801724393366101</v>
      </c>
      <c r="R1673">
        <v>0.96512845305294004</v>
      </c>
      <c r="S1673" t="s">
        <v>8343</v>
      </c>
      <c r="T1673" t="s">
        <v>13338</v>
      </c>
      <c r="U1673" t="s">
        <v>13338</v>
      </c>
      <c r="V1673" t="s">
        <v>13338</v>
      </c>
      <c r="W1673" t="s">
        <v>14975</v>
      </c>
      <c r="X1673">
        <v>2</v>
      </c>
      <c r="Y1673" t="s">
        <v>21572</v>
      </c>
      <c r="Z1673" t="s">
        <v>28088</v>
      </c>
      <c r="AA1673">
        <v>0.55906438987929818</v>
      </c>
      <c r="AB1673" t="str">
        <f>HYPERLINK("Melting_Curves/meltCurve_O75973_C1QL1.pdf", "Melting_Curves/meltCurve_O75973_C1QL1.pdf")</f>
        <v>Melting_Curves/meltCurve_O75973_C1QL1.pdf</v>
      </c>
    </row>
    <row r="1674" spans="1:28" x14ac:dyDescent="0.25">
      <c r="A1674" t="s">
        <v>1678</v>
      </c>
      <c r="B1674">
        <v>0.99193492352474899</v>
      </c>
      <c r="C1674">
        <v>0.86694290399437102</v>
      </c>
      <c r="D1674">
        <v>0.89160107013080003</v>
      </c>
      <c r="E1674">
        <v>0.63899083548619695</v>
      </c>
      <c r="F1674">
        <v>0.44503701941880502</v>
      </c>
      <c r="G1674">
        <v>0.232626667703002</v>
      </c>
      <c r="H1674">
        <v>0.15863478832626601</v>
      </c>
      <c r="I1674">
        <v>0.168616273086336</v>
      </c>
      <c r="J1674">
        <v>0.16693348335365801</v>
      </c>
      <c r="K1674">
        <v>0.173956886805893</v>
      </c>
      <c r="L1674">
        <v>811.41570564760195</v>
      </c>
      <c r="M1674">
        <v>16.006243367104801</v>
      </c>
      <c r="N1674">
        <v>51.726434137090003</v>
      </c>
      <c r="O1674">
        <v>49.922227551887197</v>
      </c>
      <c r="P1674">
        <v>-6.9198510938013796E-2</v>
      </c>
      <c r="Q1674">
        <v>0.136768543754444</v>
      </c>
      <c r="R1674">
        <v>0.98748379376918305</v>
      </c>
      <c r="S1674" t="s">
        <v>8344</v>
      </c>
      <c r="T1674" t="s">
        <v>13338</v>
      </c>
      <c r="U1674" t="s">
        <v>13338</v>
      </c>
      <c r="V1674" t="s">
        <v>13338</v>
      </c>
      <c r="W1674" t="s">
        <v>14976</v>
      </c>
      <c r="X1674">
        <v>14</v>
      </c>
      <c r="Y1674" t="s">
        <v>21573</v>
      </c>
      <c r="Z1674" t="s">
        <v>28089</v>
      </c>
      <c r="AA1674">
        <v>0.46248494287352732</v>
      </c>
      <c r="AB1674" t="str">
        <f>HYPERLINK("Melting_Curves/meltCurve_O75976_CPD.pdf", "Melting_Curves/meltCurve_O75976_CPD.pdf")</f>
        <v>Melting_Curves/meltCurve_O75976_CPD.pdf</v>
      </c>
    </row>
    <row r="1675" spans="1:28" x14ac:dyDescent="0.25">
      <c r="A1675" t="s">
        <v>1679</v>
      </c>
      <c r="B1675">
        <v>0.99193492352474899</v>
      </c>
      <c r="C1675">
        <v>0.98065298360536302</v>
      </c>
      <c r="D1675">
        <v>0.86555045128969699</v>
      </c>
      <c r="E1675">
        <v>0.79668481362092902</v>
      </c>
      <c r="F1675">
        <v>0.52540758042659597</v>
      </c>
      <c r="G1675">
        <v>0.28775084189144201</v>
      </c>
      <c r="H1675">
        <v>0.18688462778328499</v>
      </c>
      <c r="I1675">
        <v>0.23299422423518201</v>
      </c>
      <c r="J1675">
        <v>0.19958887770865699</v>
      </c>
      <c r="K1675">
        <v>0.33654201954584301</v>
      </c>
      <c r="L1675">
        <v>1109.3975078700801</v>
      </c>
      <c r="M1675">
        <v>21.475582938313199</v>
      </c>
      <c r="N1675">
        <v>53.135406555741604</v>
      </c>
      <c r="O1675">
        <v>51.216888042701903</v>
      </c>
      <c r="P1675">
        <v>-8.12696541922803E-2</v>
      </c>
      <c r="Q1675">
        <v>0.22474254803169699</v>
      </c>
      <c r="R1675">
        <v>0.97333881381132004</v>
      </c>
      <c r="S1675" t="s">
        <v>8345</v>
      </c>
      <c r="T1675" t="s">
        <v>13338</v>
      </c>
      <c r="U1675" t="s">
        <v>13338</v>
      </c>
      <c r="V1675" t="s">
        <v>13338</v>
      </c>
      <c r="W1675" t="s">
        <v>14977</v>
      </c>
      <c r="X1675">
        <v>8</v>
      </c>
      <c r="Y1675" t="s">
        <v>21574</v>
      </c>
      <c r="Z1675" t="s">
        <v>28090</v>
      </c>
      <c r="AA1675">
        <v>0.53544315237983431</v>
      </c>
      <c r="AB1675" t="str">
        <f>HYPERLINK("Melting_Curves/meltCurve_O75995_SASH3.pdf", "Melting_Curves/meltCurve_O75995_SASH3.pdf")</f>
        <v>Melting_Curves/meltCurve_O75995_SASH3.pdf</v>
      </c>
    </row>
    <row r="1676" spans="1:28" x14ac:dyDescent="0.25">
      <c r="A1676" t="s">
        <v>1680</v>
      </c>
      <c r="B1676">
        <v>0.99193492352474899</v>
      </c>
      <c r="C1676">
        <v>0.79382751451208</v>
      </c>
      <c r="D1676">
        <v>0.82527049980896505</v>
      </c>
      <c r="E1676">
        <v>0.43175840872673499</v>
      </c>
      <c r="F1676">
        <v>0.168597832073654</v>
      </c>
      <c r="G1676">
        <v>8.4417308651651798E-2</v>
      </c>
      <c r="H1676">
        <v>5.6572923420335701E-2</v>
      </c>
      <c r="I1676">
        <v>6.1791387402855301E-2</v>
      </c>
      <c r="J1676">
        <v>7.8033639008425901E-2</v>
      </c>
      <c r="K1676">
        <v>7.2716488799065102E-2</v>
      </c>
      <c r="L1676">
        <v>936.67480183952603</v>
      </c>
      <c r="M1676">
        <v>19.299966818571001</v>
      </c>
      <c r="N1676">
        <v>48.800398769379001</v>
      </c>
      <c r="O1676">
        <v>48.020424915649699</v>
      </c>
      <c r="P1676">
        <v>-9.5430129668334002E-2</v>
      </c>
      <c r="Q1676">
        <v>5.0273225202946199E-2</v>
      </c>
      <c r="R1676">
        <v>0.97960364870603001</v>
      </c>
      <c r="S1676" t="s">
        <v>8346</v>
      </c>
      <c r="T1676" t="s">
        <v>13338</v>
      </c>
      <c r="U1676" t="s">
        <v>13338</v>
      </c>
      <c r="V1676" t="s">
        <v>13338</v>
      </c>
      <c r="W1676" t="s">
        <v>14978</v>
      </c>
      <c r="X1676">
        <v>17</v>
      </c>
      <c r="Y1676" t="s">
        <v>21575</v>
      </c>
      <c r="Z1676" t="s">
        <v>28091</v>
      </c>
      <c r="AA1676">
        <v>0.33478787146886269</v>
      </c>
      <c r="AB1676" t="str">
        <f>HYPERLINK("Melting_Curves/meltCurve_O76003_GLRX3.pdf", "Melting_Curves/meltCurve_O76003_GLRX3.pdf")</f>
        <v>Melting_Curves/meltCurve_O76003_GLRX3.pdf</v>
      </c>
    </row>
    <row r="1677" spans="1:28" x14ac:dyDescent="0.25">
      <c r="A1677" t="s">
        <v>1681</v>
      </c>
      <c r="B1677">
        <v>0.99193492352474899</v>
      </c>
      <c r="C1677">
        <v>0.76671730335941601</v>
      </c>
      <c r="D1677">
        <v>1.2303787497235801</v>
      </c>
      <c r="E1677">
        <v>1.4427517002215899</v>
      </c>
      <c r="F1677">
        <v>1.19176634855874</v>
      </c>
      <c r="G1677">
        <v>0.24776150611911801</v>
      </c>
      <c r="H1677">
        <v>0.16145412146712301</v>
      </c>
      <c r="I1677">
        <v>0.161059784043215</v>
      </c>
      <c r="J1677">
        <v>0.386590910247123</v>
      </c>
      <c r="K1677">
        <v>0.40834987608864698</v>
      </c>
      <c r="L1677">
        <v>8707.7021448942705</v>
      </c>
      <c r="M1677">
        <v>157.565178771684</v>
      </c>
      <c r="N1677">
        <v>55.539670307647597</v>
      </c>
      <c r="O1677">
        <v>55.255226120688903</v>
      </c>
      <c r="P1677">
        <v>-0.51956968824489203</v>
      </c>
      <c r="Q1677">
        <v>0.27118566318295401</v>
      </c>
      <c r="R1677">
        <v>0.81319560568836602</v>
      </c>
      <c r="S1677" t="s">
        <v>8347</v>
      </c>
      <c r="T1677" t="s">
        <v>13338</v>
      </c>
      <c r="U1677" t="s">
        <v>13338</v>
      </c>
      <c r="V1677" t="s">
        <v>13338</v>
      </c>
      <c r="W1677" t="s">
        <v>14979</v>
      </c>
      <c r="X1677">
        <v>4</v>
      </c>
      <c r="Y1677" t="s">
        <v>21576</v>
      </c>
      <c r="Z1677" t="s">
        <v>28092</v>
      </c>
      <c r="AA1677">
        <v>0.64218750538785063</v>
      </c>
      <c r="AB1677" t="str">
        <f>HYPERLINK("Melting_Curves/meltCurve_O76021_RSL1D1.pdf", "Melting_Curves/meltCurve_O76021_RSL1D1.pdf")</f>
        <v>Melting_Curves/meltCurve_O76021_RSL1D1.pdf</v>
      </c>
    </row>
    <row r="1678" spans="1:28" x14ac:dyDescent="0.25">
      <c r="A1678" t="s">
        <v>1682</v>
      </c>
      <c r="B1678">
        <v>0.99193492352474899</v>
      </c>
      <c r="C1678">
        <v>1.2354532701327099</v>
      </c>
      <c r="D1678">
        <v>0.80431408580613795</v>
      </c>
      <c r="E1678">
        <v>0.66430204370679802</v>
      </c>
      <c r="F1678">
        <v>0.20813810782543099</v>
      </c>
      <c r="G1678">
        <v>0.19483534545540801</v>
      </c>
      <c r="H1678">
        <v>0.171720172976673</v>
      </c>
      <c r="I1678">
        <v>0.189456965612957</v>
      </c>
      <c r="J1678">
        <v>0.40988611338429798</v>
      </c>
      <c r="K1678">
        <v>0.323062917167659</v>
      </c>
      <c r="L1678">
        <v>1760.1001269917399</v>
      </c>
      <c r="M1678">
        <v>35.579320675153902</v>
      </c>
      <c r="N1678">
        <v>50.4158960613264</v>
      </c>
      <c r="O1678">
        <v>49.314252206520301</v>
      </c>
      <c r="P1678">
        <v>-0.13643926624055</v>
      </c>
      <c r="Q1678">
        <v>0.243563047203466</v>
      </c>
      <c r="R1678">
        <v>0.89671073826936798</v>
      </c>
      <c r="S1678" t="s">
        <v>8348</v>
      </c>
      <c r="T1678" t="s">
        <v>13338</v>
      </c>
      <c r="U1678" t="s">
        <v>13338</v>
      </c>
      <c r="V1678" t="s">
        <v>13338</v>
      </c>
      <c r="W1678" t="s">
        <v>14980</v>
      </c>
      <c r="X1678">
        <v>3</v>
      </c>
      <c r="Y1678" t="s">
        <v>21577</v>
      </c>
      <c r="Z1678" t="s">
        <v>28093</v>
      </c>
      <c r="AA1678">
        <v>0.48561927611012129</v>
      </c>
      <c r="AB1678" t="str">
        <f>HYPERLINK("Melting_Curves/meltCurve_O76024_WFS1.pdf", "Melting_Curves/meltCurve_O76024_WFS1.pdf")</f>
        <v>Melting_Curves/meltCurve_O76024_WFS1.pdf</v>
      </c>
    </row>
    <row r="1679" spans="1:28" x14ac:dyDescent="0.25">
      <c r="A1679" t="s">
        <v>1683</v>
      </c>
      <c r="B1679">
        <v>0.99193492352474899</v>
      </c>
      <c r="C1679">
        <v>1.0100482831798701</v>
      </c>
      <c r="D1679">
        <v>0.98134291974625798</v>
      </c>
      <c r="E1679">
        <v>0.91321035695419395</v>
      </c>
      <c r="F1679">
        <v>0.70110323679540099</v>
      </c>
      <c r="G1679">
        <v>0.445208391646298</v>
      </c>
      <c r="H1679">
        <v>0.129451160699846</v>
      </c>
      <c r="I1679">
        <v>0.100947874249097</v>
      </c>
      <c r="J1679">
        <v>0.10524807475523699</v>
      </c>
      <c r="K1679">
        <v>0.13700976310830301</v>
      </c>
      <c r="L1679">
        <v>1222.9298533523299</v>
      </c>
      <c r="M1679">
        <v>22.184291091711899</v>
      </c>
      <c r="N1679">
        <v>55.587797686663599</v>
      </c>
      <c r="O1679">
        <v>54.683879669793001</v>
      </c>
      <c r="P1679">
        <v>-9.2886517568668003E-2</v>
      </c>
      <c r="Q1679">
        <v>8.4165613588551805E-2</v>
      </c>
      <c r="R1679">
        <v>0.99410949183172004</v>
      </c>
      <c r="S1679" t="s">
        <v>8349</v>
      </c>
      <c r="T1679" t="s">
        <v>13338</v>
      </c>
      <c r="U1679" t="s">
        <v>13338</v>
      </c>
      <c r="V1679" t="s">
        <v>13338</v>
      </c>
      <c r="W1679" t="s">
        <v>14981</v>
      </c>
      <c r="X1679">
        <v>20</v>
      </c>
      <c r="Y1679" t="s">
        <v>21578</v>
      </c>
      <c r="Z1679" t="s">
        <v>28094</v>
      </c>
      <c r="AA1679">
        <v>0.55627799389503607</v>
      </c>
      <c r="AB1679" t="str">
        <f>HYPERLINK("Melting_Curves/meltCurve_O76031_CLPX.pdf", "Melting_Curves/meltCurve_O76031_CLPX.pdf")</f>
        <v>Melting_Curves/meltCurve_O76031_CLPX.pdf</v>
      </c>
    </row>
    <row r="1680" spans="1:28" x14ac:dyDescent="0.25">
      <c r="A1680" t="s">
        <v>1684</v>
      </c>
      <c r="B1680">
        <v>0.99193492352474899</v>
      </c>
      <c r="C1680">
        <v>0.95785034766089305</v>
      </c>
      <c r="D1680">
        <v>0.90269186465860096</v>
      </c>
      <c r="E1680">
        <v>0.56586312767332503</v>
      </c>
      <c r="F1680">
        <v>0.508900701599449</v>
      </c>
      <c r="G1680">
        <v>0.29401677902001899</v>
      </c>
      <c r="H1680">
        <v>0.160251357275669</v>
      </c>
      <c r="I1680">
        <v>0.124977445374946</v>
      </c>
      <c r="J1680">
        <v>0.15446918448593999</v>
      </c>
      <c r="K1680">
        <v>8.2661712899352993E-2</v>
      </c>
      <c r="L1680">
        <v>691.05720798617904</v>
      </c>
      <c r="M1680">
        <v>13.386725682553299</v>
      </c>
      <c r="N1680">
        <v>52.263895864203398</v>
      </c>
      <c r="O1680">
        <v>50.5114192635398</v>
      </c>
      <c r="P1680">
        <v>-6.1247220344447198E-2</v>
      </c>
      <c r="Q1680">
        <v>7.5742155624864901E-2</v>
      </c>
      <c r="R1680">
        <v>0.98444030603541799</v>
      </c>
      <c r="S1680" t="s">
        <v>8350</v>
      </c>
      <c r="T1680" t="s">
        <v>13338</v>
      </c>
      <c r="U1680" t="s">
        <v>13338</v>
      </c>
      <c r="V1680" t="s">
        <v>13338</v>
      </c>
      <c r="W1680" t="s">
        <v>14982</v>
      </c>
      <c r="X1680">
        <v>1</v>
      </c>
      <c r="Y1680" t="s">
        <v>21579</v>
      </c>
      <c r="Z1680" t="s">
        <v>28095</v>
      </c>
      <c r="AA1680">
        <v>0.45869491212846047</v>
      </c>
      <c r="AB1680" t="str">
        <f>HYPERLINK("Melting_Curves/meltCurve_O76054_4_SEC14L2.pdf", "Melting_Curves/meltCurve_O76054_4_SEC14L2.pdf")</f>
        <v>Melting_Curves/meltCurve_O76054_4_SEC14L2.pdf</v>
      </c>
    </row>
    <row r="1681" spans="1:28" x14ac:dyDescent="0.25">
      <c r="A1681" t="s">
        <v>1685</v>
      </c>
      <c r="B1681">
        <v>0.99193492352474899</v>
      </c>
      <c r="C1681">
        <v>0.78401649747171798</v>
      </c>
      <c r="D1681">
        <v>0.96559677414223399</v>
      </c>
      <c r="E1681">
        <v>0.72482741829931197</v>
      </c>
      <c r="F1681">
        <v>0.60979292229247795</v>
      </c>
      <c r="G1681">
        <v>0.30887235635471599</v>
      </c>
      <c r="H1681">
        <v>0.17304056929176401</v>
      </c>
      <c r="I1681">
        <v>0.154726174096323</v>
      </c>
      <c r="J1681">
        <v>0.16559546404334799</v>
      </c>
      <c r="K1681">
        <v>0.174122540718289</v>
      </c>
      <c r="L1681">
        <v>764.38567092363598</v>
      </c>
      <c r="M1681">
        <v>14.455868394986901</v>
      </c>
      <c r="N1681">
        <v>53.771691139004503</v>
      </c>
      <c r="O1681">
        <v>51.896197173970698</v>
      </c>
      <c r="P1681">
        <v>-6.2203157895541497E-2</v>
      </c>
      <c r="Q1681">
        <v>0.106873304955011</v>
      </c>
      <c r="R1681">
        <v>0.95279533019692697</v>
      </c>
      <c r="S1681" t="s">
        <v>8351</v>
      </c>
      <c r="T1681" t="s">
        <v>13338</v>
      </c>
      <c r="U1681" t="s">
        <v>13338</v>
      </c>
      <c r="V1681" t="s">
        <v>13338</v>
      </c>
      <c r="W1681" t="s">
        <v>14983</v>
      </c>
      <c r="X1681">
        <v>6</v>
      </c>
      <c r="Y1681" t="s">
        <v>21580</v>
      </c>
      <c r="Z1681" t="s">
        <v>28096</v>
      </c>
      <c r="AA1681">
        <v>0.51057207332035681</v>
      </c>
      <c r="AB1681" t="str">
        <f>HYPERLINK("Melting_Curves/meltCurve_O76071_CIAO1.pdf", "Melting_Curves/meltCurve_O76071_CIAO1.pdf")</f>
        <v>Melting_Curves/meltCurve_O76071_CIAO1.pdf</v>
      </c>
    </row>
    <row r="1682" spans="1:28" x14ac:dyDescent="0.25">
      <c r="A1682" t="s">
        <v>1686</v>
      </c>
      <c r="B1682">
        <v>0.99193492352474899</v>
      </c>
      <c r="C1682">
        <v>0.72622167929825798</v>
      </c>
      <c r="D1682">
        <v>0.84030278374663903</v>
      </c>
      <c r="E1682">
        <v>0.62957928862735102</v>
      </c>
      <c r="F1682">
        <v>0.58120962444735902</v>
      </c>
      <c r="G1682">
        <v>0.46688632324547402</v>
      </c>
      <c r="H1682">
        <v>0.41748061250468899</v>
      </c>
      <c r="I1682">
        <v>0.51937772132508397</v>
      </c>
      <c r="J1682">
        <v>0.58749363580082203</v>
      </c>
      <c r="K1682">
        <v>0.88151640571367396</v>
      </c>
      <c r="L1682">
        <v>740.35051969439303</v>
      </c>
      <c r="M1682">
        <v>16.722092006250499</v>
      </c>
      <c r="O1682">
        <v>43.6551715682617</v>
      </c>
      <c r="P1682">
        <v>-4.0684883082908102E-2</v>
      </c>
      <c r="Q1682">
        <v>0.57517554529838399</v>
      </c>
      <c r="R1682">
        <v>0.48261159758414302</v>
      </c>
      <c r="S1682" t="s">
        <v>8352</v>
      </c>
      <c r="T1682" t="s">
        <v>13338</v>
      </c>
      <c r="U1682" t="s">
        <v>13338</v>
      </c>
      <c r="V1682" t="s">
        <v>13338</v>
      </c>
      <c r="W1682" t="s">
        <v>14984</v>
      </c>
      <c r="X1682">
        <v>8</v>
      </c>
      <c r="Y1682" t="s">
        <v>21581</v>
      </c>
      <c r="Z1682" t="s">
        <v>28097</v>
      </c>
      <c r="AA1682">
        <v>0.64751264928996133</v>
      </c>
      <c r="AB1682" t="str">
        <f>HYPERLINK("Melting_Curves/meltCurve_O76080_ZFAND5.pdf", "Melting_Curves/meltCurve_O76080_ZFAND5.pdf")</f>
        <v>Melting_Curves/meltCurve_O76080_ZFAND5.pdf</v>
      </c>
    </row>
    <row r="1683" spans="1:28" x14ac:dyDescent="0.25">
      <c r="A1683" t="s">
        <v>1687</v>
      </c>
      <c r="B1683">
        <v>0.99193492352474899</v>
      </c>
      <c r="C1683">
        <v>0.71440827339564394</v>
      </c>
      <c r="D1683">
        <v>0.952628011464559</v>
      </c>
      <c r="E1683">
        <v>0.26209154017490399</v>
      </c>
      <c r="F1683">
        <v>0.16627274566943501</v>
      </c>
      <c r="G1683">
        <v>0.10898211438891001</v>
      </c>
      <c r="H1683">
        <v>6.8259717404923106E-2</v>
      </c>
      <c r="I1683">
        <v>8.1717210442542099E-2</v>
      </c>
      <c r="J1683">
        <v>9.5688377329559093E-2</v>
      </c>
      <c r="K1683">
        <v>0.122852230957762</v>
      </c>
      <c r="L1683">
        <v>2577.4101764326301</v>
      </c>
      <c r="M1683">
        <v>53.459832540613299</v>
      </c>
      <c r="N1683">
        <v>48.426472292110503</v>
      </c>
      <c r="O1683">
        <v>48.144759040520903</v>
      </c>
      <c r="P1683">
        <v>-0.24834845000304301</v>
      </c>
      <c r="Q1683">
        <v>0.105371634646672</v>
      </c>
      <c r="R1683">
        <v>0.93204382009797804</v>
      </c>
      <c r="S1683" t="s">
        <v>8353</v>
      </c>
      <c r="T1683" t="s">
        <v>13338</v>
      </c>
      <c r="U1683" t="s">
        <v>13338</v>
      </c>
      <c r="V1683" t="s">
        <v>13338</v>
      </c>
      <c r="W1683" t="s">
        <v>14985</v>
      </c>
      <c r="X1683">
        <v>26</v>
      </c>
      <c r="Y1683" t="s">
        <v>21582</v>
      </c>
      <c r="Z1683" t="s">
        <v>28098</v>
      </c>
      <c r="AA1683">
        <v>0.35192728243716209</v>
      </c>
      <c r="AB1683" t="str">
        <f>HYPERLINK("Melting_Curves/meltCurve_O76094_SRP72.pdf", "Melting_Curves/meltCurve_O76094_SRP72.pdf")</f>
        <v>Melting_Curves/meltCurve_O76094_SRP72.pdf</v>
      </c>
    </row>
    <row r="1684" spans="1:28" x14ac:dyDescent="0.25">
      <c r="A1684" t="s">
        <v>1688</v>
      </c>
      <c r="B1684">
        <v>0.99193492352474899</v>
      </c>
      <c r="C1684">
        <v>1.0812491105641999</v>
      </c>
      <c r="D1684">
        <v>0.99935662273881198</v>
      </c>
      <c r="E1684">
        <v>0.97389010258592501</v>
      </c>
      <c r="F1684">
        <v>0.61365737490973105</v>
      </c>
      <c r="G1684">
        <v>0.60579090862716301</v>
      </c>
      <c r="H1684">
        <v>0.47922087885374898</v>
      </c>
      <c r="I1684">
        <v>0.66601969747732404</v>
      </c>
      <c r="J1684">
        <v>0.53920717505094995</v>
      </c>
      <c r="K1684">
        <v>0.62222074953050799</v>
      </c>
      <c r="L1684">
        <v>3805.31517444153</v>
      </c>
      <c r="M1684">
        <v>74.023286451739907</v>
      </c>
      <c r="O1684">
        <v>51.369508610563699</v>
      </c>
      <c r="P1684">
        <v>-0.15046755945720799</v>
      </c>
      <c r="Q1684">
        <v>0.58232360381207005</v>
      </c>
      <c r="R1684">
        <v>0.93857988167567996</v>
      </c>
      <c r="S1684" t="s">
        <v>8354</v>
      </c>
      <c r="T1684" t="s">
        <v>13338</v>
      </c>
      <c r="U1684" t="s">
        <v>13338</v>
      </c>
      <c r="V1684" t="s">
        <v>13338</v>
      </c>
      <c r="W1684" t="s">
        <v>14986</v>
      </c>
      <c r="X1684">
        <v>2</v>
      </c>
      <c r="Y1684" t="s">
        <v>21583</v>
      </c>
      <c r="Z1684" t="s">
        <v>28099</v>
      </c>
      <c r="AA1684">
        <v>0.74156891568360339</v>
      </c>
      <c r="AB1684" t="str">
        <f>HYPERLINK("Melting_Curves/meltCurve_O76095_2_JTB.pdf", "Melting_Curves/meltCurve_O76095_2_JTB.pdf")</f>
        <v>Melting_Curves/meltCurve_O76095_2_JTB.pdf</v>
      </c>
    </row>
    <row r="1685" spans="1:28" x14ac:dyDescent="0.25">
      <c r="A1685" t="s">
        <v>1689</v>
      </c>
      <c r="B1685">
        <v>0.99193492352474899</v>
      </c>
      <c r="C1685">
        <v>0.95672201407034196</v>
      </c>
      <c r="D1685">
        <v>0.89455683683932696</v>
      </c>
      <c r="E1685">
        <v>0.57959782146599503</v>
      </c>
      <c r="F1685">
        <v>0.55798943166713699</v>
      </c>
      <c r="G1685">
        <v>0.36008543140236898</v>
      </c>
      <c r="H1685">
        <v>0.29666604707349697</v>
      </c>
      <c r="I1685">
        <v>0.33949426581414599</v>
      </c>
      <c r="J1685">
        <v>0.355155606520762</v>
      </c>
      <c r="K1685">
        <v>0.48527323034026199</v>
      </c>
      <c r="L1685">
        <v>1021.68141832053</v>
      </c>
      <c r="M1685">
        <v>20.9181458878497</v>
      </c>
      <c r="N1685">
        <v>52.176706972422402</v>
      </c>
      <c r="O1685">
        <v>48.402075614638399</v>
      </c>
      <c r="P1685">
        <v>-6.8212024011021694E-2</v>
      </c>
      <c r="Q1685">
        <v>0.36867952607759902</v>
      </c>
      <c r="R1685">
        <v>0.94555470843538703</v>
      </c>
      <c r="S1685" t="s">
        <v>8355</v>
      </c>
      <c r="T1685" t="s">
        <v>13338</v>
      </c>
      <c r="U1685" t="s">
        <v>13338</v>
      </c>
      <c r="V1685" t="s">
        <v>13338</v>
      </c>
      <c r="W1685" t="s">
        <v>14987</v>
      </c>
      <c r="X1685">
        <v>2</v>
      </c>
      <c r="Y1685" t="s">
        <v>21584</v>
      </c>
      <c r="Z1685" t="s">
        <v>28100</v>
      </c>
      <c r="AA1685">
        <v>0.56282613790952396</v>
      </c>
      <c r="AB1685" t="str">
        <f>HYPERLINK("Melting_Curves/meltCurve_O76096_CST7.pdf", "Melting_Curves/meltCurve_O76096_CST7.pdf")</f>
        <v>Melting_Curves/meltCurve_O76096_CST7.pdf</v>
      </c>
    </row>
    <row r="1686" spans="1:28" x14ac:dyDescent="0.25">
      <c r="A1686" t="s">
        <v>1690</v>
      </c>
      <c r="B1686">
        <v>0.99193492352474899</v>
      </c>
      <c r="C1686">
        <v>0.87533871949863795</v>
      </c>
      <c r="D1686">
        <v>0.61027462818552503</v>
      </c>
      <c r="E1686">
        <v>0.57721468260361797</v>
      </c>
      <c r="F1686">
        <v>0.220865629425682</v>
      </c>
      <c r="G1686">
        <v>0.15551219788897</v>
      </c>
      <c r="H1686">
        <v>8.7534184189319394E-2</v>
      </c>
      <c r="I1686">
        <v>9.1689137548739599E-2</v>
      </c>
      <c r="J1686">
        <v>7.9968766590823401E-2</v>
      </c>
      <c r="K1686">
        <v>0.10568750109339201</v>
      </c>
      <c r="L1686">
        <v>668.81512046708804</v>
      </c>
      <c r="M1686">
        <v>13.7778677702122</v>
      </c>
      <c r="N1686">
        <v>48.979547279642098</v>
      </c>
      <c r="O1686">
        <v>47.554375957739801</v>
      </c>
      <c r="P1686">
        <v>-6.8254115921595707E-2</v>
      </c>
      <c r="Q1686">
        <v>5.7815094748726203E-2</v>
      </c>
      <c r="R1686">
        <v>0.97476910301043296</v>
      </c>
      <c r="S1686" t="s">
        <v>8356</v>
      </c>
      <c r="T1686" t="s">
        <v>13338</v>
      </c>
      <c r="U1686" t="s">
        <v>13338</v>
      </c>
      <c r="V1686" t="s">
        <v>13338</v>
      </c>
      <c r="W1686" t="s">
        <v>14988</v>
      </c>
      <c r="X1686">
        <v>5</v>
      </c>
      <c r="Y1686" t="s">
        <v>21585</v>
      </c>
      <c r="Z1686" t="s">
        <v>28101</v>
      </c>
      <c r="AA1686">
        <v>0.35391425007703242</v>
      </c>
      <c r="AB1686" t="str">
        <f>HYPERLINK("Melting_Curves/meltCurve_O94762_RECQL5.pdf", "Melting_Curves/meltCurve_O94762_RECQL5.pdf")</f>
        <v>Melting_Curves/meltCurve_O94762_RECQL5.pdf</v>
      </c>
    </row>
    <row r="1687" spans="1:28" x14ac:dyDescent="0.25">
      <c r="A1687" t="s">
        <v>1691</v>
      </c>
      <c r="B1687">
        <v>0.99193492352474899</v>
      </c>
      <c r="C1687">
        <v>0.87232814087368504</v>
      </c>
      <c r="D1687">
        <v>0.81330062677984705</v>
      </c>
      <c r="E1687">
        <v>0.72072779709525803</v>
      </c>
      <c r="F1687">
        <v>0.68167352317309005</v>
      </c>
      <c r="G1687">
        <v>0.464937487395432</v>
      </c>
      <c r="H1687">
        <v>0.25673344838107798</v>
      </c>
      <c r="I1687">
        <v>0.32439741506161801</v>
      </c>
      <c r="J1687">
        <v>0.30188774885310199</v>
      </c>
      <c r="K1687">
        <v>0.51233399006647395</v>
      </c>
      <c r="L1687">
        <v>594.17647459700299</v>
      </c>
      <c r="M1687">
        <v>11.6662433506356</v>
      </c>
      <c r="N1687">
        <v>55.6365256327651</v>
      </c>
      <c r="O1687">
        <v>49.503825956481201</v>
      </c>
      <c r="P1687">
        <v>-4.0451626214180497E-2</v>
      </c>
      <c r="Q1687">
        <v>0.31358485885785198</v>
      </c>
      <c r="R1687">
        <v>0.87973860803153603</v>
      </c>
      <c r="S1687" t="s">
        <v>8357</v>
      </c>
      <c r="T1687" t="s">
        <v>13338</v>
      </c>
      <c r="U1687" t="s">
        <v>13338</v>
      </c>
      <c r="V1687" t="s">
        <v>13338</v>
      </c>
      <c r="W1687" t="s">
        <v>14989</v>
      </c>
      <c r="X1687">
        <v>8</v>
      </c>
      <c r="Y1687" t="s">
        <v>21586</v>
      </c>
      <c r="Z1687" t="s">
        <v>28102</v>
      </c>
      <c r="AA1687">
        <v>0.58710081205373654</v>
      </c>
      <c r="AB1687" t="str">
        <f>HYPERLINK("Melting_Curves/meltCurve_O94763_URI1.pdf", "Melting_Curves/meltCurve_O94763_URI1.pdf")</f>
        <v>Melting_Curves/meltCurve_O94763_URI1.pdf</v>
      </c>
    </row>
    <row r="1688" spans="1:28" x14ac:dyDescent="0.25">
      <c r="A1688" t="s">
        <v>1692</v>
      </c>
      <c r="B1688">
        <v>0.99193492352474899</v>
      </c>
      <c r="C1688">
        <v>0.904297715579641</v>
      </c>
      <c r="D1688">
        <v>0.84954295873226804</v>
      </c>
      <c r="E1688">
        <v>0.59727360976873101</v>
      </c>
      <c r="F1688">
        <v>0.58535677175213996</v>
      </c>
      <c r="G1688">
        <v>0.35192436709776298</v>
      </c>
      <c r="H1688">
        <v>0.17695522108126299</v>
      </c>
      <c r="I1688">
        <v>0.15580399998325301</v>
      </c>
      <c r="J1688">
        <v>0.258108903338166</v>
      </c>
      <c r="K1688">
        <v>0.246881782191294</v>
      </c>
      <c r="L1688">
        <v>640.11836093864304</v>
      </c>
      <c r="M1688">
        <v>12.522097644441301</v>
      </c>
      <c r="N1688">
        <v>52.806673006012197</v>
      </c>
      <c r="O1688">
        <v>49.867927955348698</v>
      </c>
      <c r="P1688">
        <v>-5.2435377490027898E-2</v>
      </c>
      <c r="Q1688">
        <v>0.164897312832088</v>
      </c>
      <c r="R1688">
        <v>0.96200994381105298</v>
      </c>
      <c r="S1688" t="s">
        <v>8358</v>
      </c>
      <c r="T1688" t="s">
        <v>13338</v>
      </c>
      <c r="U1688" t="s">
        <v>13338</v>
      </c>
      <c r="V1688" t="s">
        <v>13338</v>
      </c>
      <c r="W1688" t="s">
        <v>14990</v>
      </c>
      <c r="X1688">
        <v>8</v>
      </c>
      <c r="Y1688" t="s">
        <v>21586</v>
      </c>
      <c r="Z1688" t="s">
        <v>28103</v>
      </c>
      <c r="AA1688">
        <v>0.49985096832548848</v>
      </c>
      <c r="AB1688" t="str">
        <f>HYPERLINK("Melting_Curves/meltCurve_O94763_4_URI1.pdf", "Melting_Curves/meltCurve_O94763_4_URI1.pdf")</f>
        <v>Melting_Curves/meltCurve_O94763_4_URI1.pdf</v>
      </c>
    </row>
    <row r="1689" spans="1:28" x14ac:dyDescent="0.25">
      <c r="A1689" t="s">
        <v>1693</v>
      </c>
      <c r="B1689">
        <v>0.99193492352474899</v>
      </c>
      <c r="C1689">
        <v>1.0073019430240899</v>
      </c>
      <c r="D1689">
        <v>0.936828818495414</v>
      </c>
      <c r="E1689">
        <v>0.76806929827850101</v>
      </c>
      <c r="F1689">
        <v>0.32028413983744403</v>
      </c>
      <c r="G1689">
        <v>0.169026572786066</v>
      </c>
      <c r="H1689">
        <v>0.104986263133606</v>
      </c>
      <c r="I1689">
        <v>9.8245187715900503E-2</v>
      </c>
      <c r="J1689">
        <v>0.16426872585240301</v>
      </c>
      <c r="K1689">
        <v>0.10431305756394101</v>
      </c>
      <c r="L1689">
        <v>1550.35692796326</v>
      </c>
      <c r="M1689">
        <v>30.292719351771801</v>
      </c>
      <c r="N1689">
        <v>51.6325077317072</v>
      </c>
      <c r="O1689">
        <v>50.9577125573514</v>
      </c>
      <c r="P1689">
        <v>-0.131264459088205</v>
      </c>
      <c r="Q1689">
        <v>0.116765387826298</v>
      </c>
      <c r="R1689">
        <v>0.99672651032417803</v>
      </c>
      <c r="S1689" t="s">
        <v>8359</v>
      </c>
      <c r="T1689" t="s">
        <v>13338</v>
      </c>
      <c r="U1689" t="s">
        <v>13338</v>
      </c>
      <c r="V1689" t="s">
        <v>13338</v>
      </c>
      <c r="W1689" t="s">
        <v>14991</v>
      </c>
      <c r="X1689">
        <v>7</v>
      </c>
      <c r="Y1689" t="s">
        <v>21587</v>
      </c>
      <c r="Z1689" t="s">
        <v>28104</v>
      </c>
      <c r="AA1689">
        <v>0.45135620406830401</v>
      </c>
      <c r="AB1689" t="str">
        <f>HYPERLINK("Melting_Curves/meltCurve_O94766_B3GAT3.pdf", "Melting_Curves/meltCurve_O94766_B3GAT3.pdf")</f>
        <v>Melting_Curves/meltCurve_O94766_B3GAT3.pdf</v>
      </c>
    </row>
    <row r="1690" spans="1:28" x14ac:dyDescent="0.25">
      <c r="A1690" t="s">
        <v>1694</v>
      </c>
      <c r="B1690">
        <v>0.99193492352474899</v>
      </c>
      <c r="C1690">
        <v>0.94779317039009103</v>
      </c>
      <c r="D1690">
        <v>0.87405600604636202</v>
      </c>
      <c r="E1690">
        <v>0.47242005533018799</v>
      </c>
      <c r="F1690">
        <v>0.241439382736191</v>
      </c>
      <c r="G1690">
        <v>0.114915291501031</v>
      </c>
      <c r="H1690">
        <v>5.5500049867461598E-2</v>
      </c>
      <c r="I1690">
        <v>6.0711186980988097E-2</v>
      </c>
      <c r="J1690">
        <v>7.3646978121170797E-2</v>
      </c>
      <c r="K1690">
        <v>6.7257688015295802E-2</v>
      </c>
      <c r="L1690">
        <v>1104.5920894247599</v>
      </c>
      <c r="M1690">
        <v>22.401948776001401</v>
      </c>
      <c r="N1690">
        <v>49.605423305972003</v>
      </c>
      <c r="O1690">
        <v>48.9199701714737</v>
      </c>
      <c r="P1690">
        <v>-0.10728710863803199</v>
      </c>
      <c r="Q1690">
        <v>6.2871695238326003E-2</v>
      </c>
      <c r="R1690">
        <v>0.99763207403154996</v>
      </c>
      <c r="S1690" t="s">
        <v>8360</v>
      </c>
      <c r="T1690" t="s">
        <v>13338</v>
      </c>
      <c r="U1690" t="s">
        <v>13338</v>
      </c>
      <c r="V1690" t="s">
        <v>13338</v>
      </c>
      <c r="W1690" t="s">
        <v>14992</v>
      </c>
      <c r="X1690">
        <v>24</v>
      </c>
      <c r="Y1690" t="s">
        <v>21588</v>
      </c>
      <c r="Z1690" t="s">
        <v>28105</v>
      </c>
      <c r="AA1690">
        <v>0.36403766112990221</v>
      </c>
      <c r="AB1690" t="str">
        <f>HYPERLINK("Melting_Curves/meltCurve_O94776_MTA2.pdf", "Melting_Curves/meltCurve_O94776_MTA2.pdf")</f>
        <v>Melting_Curves/meltCurve_O94776_MTA2.pdf</v>
      </c>
    </row>
    <row r="1691" spans="1:28" x14ac:dyDescent="0.25">
      <c r="A1691" t="s">
        <v>1695</v>
      </c>
      <c r="B1691">
        <v>0.99193492352474899</v>
      </c>
      <c r="C1691">
        <v>0.76358410261792897</v>
      </c>
      <c r="D1691">
        <v>0.66289338613402704</v>
      </c>
      <c r="E1691">
        <v>0.28239704092036499</v>
      </c>
      <c r="F1691">
        <v>0.17526377960610401</v>
      </c>
      <c r="G1691">
        <v>0.104620669578086</v>
      </c>
      <c r="H1691">
        <v>6.6556963752404094E-2</v>
      </c>
      <c r="I1691">
        <v>0.116106371122544</v>
      </c>
      <c r="J1691">
        <v>0.12406739259598901</v>
      </c>
      <c r="K1691">
        <v>0.14676377879597099</v>
      </c>
      <c r="L1691">
        <v>872.58246151592402</v>
      </c>
      <c r="M1691">
        <v>18.770562733649498</v>
      </c>
      <c r="N1691">
        <v>47.049986258900503</v>
      </c>
      <c r="O1691">
        <v>45.9687679955194</v>
      </c>
      <c r="P1691">
        <v>-9.1815136895132293E-2</v>
      </c>
      <c r="Q1691">
        <v>0.100623231336343</v>
      </c>
      <c r="R1691">
        <v>0.98168348204364597</v>
      </c>
      <c r="S1691" t="s">
        <v>8361</v>
      </c>
      <c r="T1691" t="s">
        <v>13338</v>
      </c>
      <c r="U1691" t="s">
        <v>13338</v>
      </c>
      <c r="V1691" t="s">
        <v>13338</v>
      </c>
      <c r="W1691" t="s">
        <v>14993</v>
      </c>
      <c r="X1691">
        <v>5</v>
      </c>
      <c r="Y1691" t="s">
        <v>21589</v>
      </c>
      <c r="Z1691" t="s">
        <v>28106</v>
      </c>
      <c r="AA1691">
        <v>0.31064333196669641</v>
      </c>
      <c r="AB1691" t="str">
        <f>HYPERLINK("Melting_Curves/meltCurve_O94782_USP1.pdf", "Melting_Curves/meltCurve_O94782_USP1.pdf")</f>
        <v>Melting_Curves/meltCurve_O94782_USP1.pdf</v>
      </c>
    </row>
    <row r="1692" spans="1:28" x14ac:dyDescent="0.25">
      <c r="A1692" t="s">
        <v>1696</v>
      </c>
      <c r="B1692">
        <v>0.99193492352474899</v>
      </c>
      <c r="C1692">
        <v>0.79687751867094803</v>
      </c>
      <c r="D1692">
        <v>0.58717655244433897</v>
      </c>
      <c r="E1692">
        <v>0.28261514303702601</v>
      </c>
      <c r="F1692">
        <v>0.19623246959229801</v>
      </c>
      <c r="G1692">
        <v>0.13196806213899401</v>
      </c>
      <c r="H1692">
        <v>0.10298678944600401</v>
      </c>
      <c r="I1692">
        <v>0.14504139348546599</v>
      </c>
      <c r="J1692">
        <v>0.16796263068197501</v>
      </c>
      <c r="K1692">
        <v>0.162508941400139</v>
      </c>
      <c r="L1692">
        <v>932.08455592297901</v>
      </c>
      <c r="M1692">
        <v>20.293933442333099</v>
      </c>
      <c r="N1692">
        <v>46.6689289455352</v>
      </c>
      <c r="O1692">
        <v>45.490225951276201</v>
      </c>
      <c r="P1692">
        <v>-9.6193659359946102E-2</v>
      </c>
      <c r="Q1692">
        <v>0.13752809557093101</v>
      </c>
      <c r="R1692">
        <v>0.99247482471612503</v>
      </c>
      <c r="S1692" t="s">
        <v>8362</v>
      </c>
      <c r="T1692" t="s">
        <v>13338</v>
      </c>
      <c r="U1692" t="s">
        <v>13338</v>
      </c>
      <c r="V1692" t="s">
        <v>13338</v>
      </c>
      <c r="W1692" t="s">
        <v>14994</v>
      </c>
      <c r="X1692">
        <v>14</v>
      </c>
      <c r="Y1692" t="s">
        <v>21590</v>
      </c>
      <c r="Z1692" t="s">
        <v>28107</v>
      </c>
      <c r="AA1692">
        <v>0.32094687501271191</v>
      </c>
      <c r="AB1692" t="str">
        <f>HYPERLINK("Melting_Curves/meltCurve_O94804_STK10.pdf", "Melting_Curves/meltCurve_O94804_STK10.pdf")</f>
        <v>Melting_Curves/meltCurve_O94804_STK10.pdf</v>
      </c>
    </row>
    <row r="1693" spans="1:28" x14ac:dyDescent="0.25">
      <c r="A1693" t="s">
        <v>1697</v>
      </c>
      <c r="B1693">
        <v>0.99193492352474899</v>
      </c>
      <c r="C1693">
        <v>0.90104805356365303</v>
      </c>
      <c r="D1693">
        <v>0.78237758394192203</v>
      </c>
      <c r="E1693">
        <v>0.544495840019388</v>
      </c>
      <c r="F1693">
        <v>0.26839905355260002</v>
      </c>
      <c r="G1693">
        <v>0.12568283656204501</v>
      </c>
      <c r="H1693">
        <v>7.7375425451697497E-2</v>
      </c>
      <c r="I1693">
        <v>7.8020677863348098E-2</v>
      </c>
      <c r="J1693">
        <v>7.1613664775216204E-2</v>
      </c>
      <c r="K1693">
        <v>7.4182025215787095E-2</v>
      </c>
      <c r="L1693">
        <v>826.97011734666</v>
      </c>
      <c r="M1693">
        <v>16.714407283056602</v>
      </c>
      <c r="N1693">
        <v>49.798539842019899</v>
      </c>
      <c r="O1693">
        <v>48.784540762704601</v>
      </c>
      <c r="P1693">
        <v>-8.1271635316755894E-2</v>
      </c>
      <c r="Q1693">
        <v>5.1228695741084102E-2</v>
      </c>
      <c r="R1693">
        <v>0.99753481385065101</v>
      </c>
      <c r="S1693" t="s">
        <v>8363</v>
      </c>
      <c r="T1693" t="s">
        <v>13338</v>
      </c>
      <c r="U1693" t="s">
        <v>13338</v>
      </c>
      <c r="V1693" t="s">
        <v>13338</v>
      </c>
      <c r="W1693" t="s">
        <v>14995</v>
      </c>
      <c r="X1693">
        <v>14</v>
      </c>
      <c r="Y1693" t="s">
        <v>21591</v>
      </c>
      <c r="Z1693" t="s">
        <v>28108</v>
      </c>
      <c r="AA1693">
        <v>0.36973341346275068</v>
      </c>
      <c r="AB1693" t="str">
        <f>HYPERLINK("Melting_Curves/meltCurve_O94819_KBTBD11.pdf", "Melting_Curves/meltCurve_O94819_KBTBD11.pdf")</f>
        <v>Melting_Curves/meltCurve_O94819_KBTBD11.pdf</v>
      </c>
    </row>
    <row r="1694" spans="1:28" x14ac:dyDescent="0.25">
      <c r="A1694" t="s">
        <v>1698</v>
      </c>
      <c r="B1694">
        <v>0.99193492352474899</v>
      </c>
      <c r="C1694">
        <v>0.94152869632195402</v>
      </c>
      <c r="D1694">
        <v>0.97902494578737498</v>
      </c>
      <c r="E1694">
        <v>0.70129469520882703</v>
      </c>
      <c r="F1694">
        <v>0.186942371458199</v>
      </c>
      <c r="G1694">
        <v>0.108433495452002</v>
      </c>
      <c r="H1694">
        <v>6.8847647280515206E-2</v>
      </c>
      <c r="I1694">
        <v>7.4097982080656502E-2</v>
      </c>
      <c r="J1694">
        <v>8.8950565206618898E-2</v>
      </c>
      <c r="K1694">
        <v>7.8634582275999301E-2</v>
      </c>
      <c r="L1694">
        <v>1982.6215546036599</v>
      </c>
      <c r="M1694">
        <v>39.249671030553301</v>
      </c>
      <c r="N1694">
        <v>50.7395882472035</v>
      </c>
      <c r="O1694">
        <v>50.382499121595899</v>
      </c>
      <c r="P1694">
        <v>-0.17910754190147599</v>
      </c>
      <c r="Q1694">
        <v>8.0363005494991105E-2</v>
      </c>
      <c r="R1694">
        <v>0.99754386725733002</v>
      </c>
      <c r="S1694" t="s">
        <v>8364</v>
      </c>
      <c r="T1694" t="s">
        <v>13338</v>
      </c>
      <c r="U1694" t="s">
        <v>13338</v>
      </c>
      <c r="V1694" t="s">
        <v>13338</v>
      </c>
      <c r="W1694" t="s">
        <v>14996</v>
      </c>
      <c r="X1694">
        <v>26</v>
      </c>
      <c r="Y1694" t="s">
        <v>21592</v>
      </c>
      <c r="Z1694" t="s">
        <v>28109</v>
      </c>
      <c r="AA1694">
        <v>0.40597312757402082</v>
      </c>
      <c r="AB1694" t="str">
        <f>HYPERLINK("Melting_Curves/meltCurve_O94826_TOMM70A.pdf", "Melting_Curves/meltCurve_O94826_TOMM70A.pdf")</f>
        <v>Melting_Curves/meltCurve_O94826_TOMM70A.pdf</v>
      </c>
    </row>
    <row r="1695" spans="1:28" x14ac:dyDescent="0.25">
      <c r="A1695" t="s">
        <v>1699</v>
      </c>
      <c r="B1695">
        <v>0.99193492352474899</v>
      </c>
      <c r="C1695">
        <v>1.0541605848669899</v>
      </c>
      <c r="D1695">
        <v>0.83198569165976999</v>
      </c>
      <c r="E1695">
        <v>0.37438369592433901</v>
      </c>
      <c r="F1695">
        <v>0.20491760880642901</v>
      </c>
      <c r="G1695">
        <v>0.13986953451623599</v>
      </c>
      <c r="H1695">
        <v>0.13063038645780201</v>
      </c>
      <c r="I1695">
        <v>0.18007402085574101</v>
      </c>
      <c r="J1695">
        <v>0.22188014041669901</v>
      </c>
      <c r="K1695">
        <v>0.55329437081183397</v>
      </c>
      <c r="L1695">
        <v>1936.10743003575</v>
      </c>
      <c r="M1695">
        <v>40.719315571078901</v>
      </c>
      <c r="N1695">
        <v>48.317741465229801</v>
      </c>
      <c r="O1695">
        <v>47.433393123180103</v>
      </c>
      <c r="P1695">
        <v>-0.163383016036795</v>
      </c>
      <c r="Q1695">
        <v>0.23871057519138</v>
      </c>
      <c r="R1695">
        <v>0.89107218008526601</v>
      </c>
      <c r="S1695" t="s">
        <v>8365</v>
      </c>
      <c r="T1695" t="s">
        <v>13338</v>
      </c>
      <c r="U1695" t="s">
        <v>13338</v>
      </c>
      <c r="V1695" t="s">
        <v>13338</v>
      </c>
      <c r="W1695" t="s">
        <v>14997</v>
      </c>
      <c r="X1695">
        <v>3</v>
      </c>
      <c r="Y1695" t="s">
        <v>21593</v>
      </c>
      <c r="Z1695" t="s">
        <v>28110</v>
      </c>
      <c r="AA1695">
        <v>0.43266543381707978</v>
      </c>
      <c r="AB1695" t="str">
        <f>HYPERLINK("Melting_Curves/meltCurve_O94829_IPO13.pdf", "Melting_Curves/meltCurve_O94829_IPO13.pdf")</f>
        <v>Melting_Curves/meltCurve_O94829_IPO13.pdf</v>
      </c>
    </row>
    <row r="1696" spans="1:28" x14ac:dyDescent="0.25">
      <c r="A1696" t="s">
        <v>1700</v>
      </c>
      <c r="B1696">
        <v>0.99193492352474899</v>
      </c>
      <c r="C1696">
        <v>1.0836960843951899</v>
      </c>
      <c r="D1696">
        <v>0.81708662184780301</v>
      </c>
      <c r="E1696">
        <v>0.739990110952639</v>
      </c>
      <c r="F1696">
        <v>0.503115771581368</v>
      </c>
      <c r="G1696">
        <v>0.28965674951014903</v>
      </c>
      <c r="H1696">
        <v>0.129053307625207</v>
      </c>
      <c r="I1696">
        <v>0.148636368215285</v>
      </c>
      <c r="J1696">
        <v>0.14062409760320799</v>
      </c>
      <c r="K1696">
        <v>0.16444202733414801</v>
      </c>
      <c r="L1696">
        <v>867.11289338938002</v>
      </c>
      <c r="M1696">
        <v>16.672695530305099</v>
      </c>
      <c r="N1696">
        <v>52.833958949861</v>
      </c>
      <c r="O1696">
        <v>51.277053927083401</v>
      </c>
      <c r="P1696">
        <v>-7.1966272589824104E-2</v>
      </c>
      <c r="Q1696">
        <v>0.114726886154995</v>
      </c>
      <c r="R1696">
        <v>0.97962927906465602</v>
      </c>
      <c r="S1696" t="s">
        <v>8366</v>
      </c>
      <c r="T1696" t="s">
        <v>13338</v>
      </c>
      <c r="U1696" t="s">
        <v>13338</v>
      </c>
      <c r="V1696" t="s">
        <v>13338</v>
      </c>
      <c r="W1696" t="s">
        <v>14998</v>
      </c>
      <c r="X1696">
        <v>8</v>
      </c>
      <c r="Y1696" t="s">
        <v>21594</v>
      </c>
      <c r="Z1696" t="s">
        <v>28111</v>
      </c>
      <c r="AA1696">
        <v>0.48581120438505021</v>
      </c>
      <c r="AB1696" t="str">
        <f>HYPERLINK("Melting_Curves/meltCurve_O94830_DDHD2.pdf", "Melting_Curves/meltCurve_O94830_DDHD2.pdf")</f>
        <v>Melting_Curves/meltCurve_O94830_DDHD2.pdf</v>
      </c>
    </row>
    <row r="1697" spans="1:28" x14ac:dyDescent="0.25">
      <c r="A1697" t="s">
        <v>1701</v>
      </c>
      <c r="B1697">
        <v>0.99193492352474899</v>
      </c>
      <c r="C1697">
        <v>3.26660203459612</v>
      </c>
      <c r="D1697">
        <v>0.62299105256382603</v>
      </c>
      <c r="E1697">
        <v>0.55169605053441695</v>
      </c>
      <c r="F1697">
        <v>0.24085535104941799</v>
      </c>
      <c r="G1697">
        <v>0.12513007649733901</v>
      </c>
      <c r="H1697">
        <v>0.112967106870846</v>
      </c>
      <c r="I1697">
        <v>0.154449431198389</v>
      </c>
      <c r="J1697">
        <v>0.106304951469402</v>
      </c>
      <c r="K1697">
        <v>0.18103546244294</v>
      </c>
      <c r="L1697">
        <v>1744.91970162914</v>
      </c>
      <c r="M1697">
        <v>35.418244682717798</v>
      </c>
      <c r="N1697">
        <v>49.738388355758502</v>
      </c>
      <c r="O1697">
        <v>49.109863705741901</v>
      </c>
      <c r="P1697">
        <v>-0.15455595764139099</v>
      </c>
      <c r="Q1697">
        <v>0.14279247505657799</v>
      </c>
      <c r="R1697">
        <v>0.378238678666527</v>
      </c>
      <c r="S1697" t="s">
        <v>8367</v>
      </c>
      <c r="T1697" t="s">
        <v>13338</v>
      </c>
      <c r="U1697" t="s">
        <v>13338</v>
      </c>
      <c r="V1697" t="s">
        <v>13338</v>
      </c>
      <c r="W1697" t="s">
        <v>14999</v>
      </c>
      <c r="X1697">
        <v>4</v>
      </c>
      <c r="Y1697" t="s">
        <v>21595</v>
      </c>
      <c r="Z1697" t="s">
        <v>28112</v>
      </c>
      <c r="AA1697">
        <v>0.41129684231077362</v>
      </c>
      <c r="AB1697" t="str">
        <f>HYPERLINK("Melting_Curves/meltCurve_O94832_MYO1D.pdf", "Melting_Curves/meltCurve_O94832_MYO1D.pdf")</f>
        <v>Melting_Curves/meltCurve_O94832_MYO1D.pdf</v>
      </c>
    </row>
    <row r="1698" spans="1:28" x14ac:dyDescent="0.25">
      <c r="A1698" t="s">
        <v>1702</v>
      </c>
      <c r="B1698">
        <v>0.99193492352474899</v>
      </c>
      <c r="C1698">
        <v>0.966551804527638</v>
      </c>
      <c r="D1698">
        <v>0.93611158562390595</v>
      </c>
      <c r="E1698">
        <v>0.60337672949516197</v>
      </c>
      <c r="F1698">
        <v>0.22905891148928201</v>
      </c>
      <c r="G1698">
        <v>0.137603924967799</v>
      </c>
      <c r="H1698">
        <v>9.5600908030638407E-2</v>
      </c>
      <c r="I1698">
        <v>0.110135185938786</v>
      </c>
      <c r="J1698">
        <v>0.10773099375001</v>
      </c>
      <c r="K1698">
        <v>0.106985399569292</v>
      </c>
      <c r="L1698">
        <v>1466.41339052331</v>
      </c>
      <c r="M1698">
        <v>29.344492595937002</v>
      </c>
      <c r="N1698">
        <v>50.374665381275598</v>
      </c>
      <c r="O1698">
        <v>49.741981241089498</v>
      </c>
      <c r="P1698">
        <v>-0.13207797076116901</v>
      </c>
      <c r="Q1698">
        <v>0.104462130245802</v>
      </c>
      <c r="R1698">
        <v>0.99926511178669897</v>
      </c>
      <c r="S1698" t="s">
        <v>8368</v>
      </c>
      <c r="T1698" t="s">
        <v>13338</v>
      </c>
      <c r="U1698" t="s">
        <v>13338</v>
      </c>
      <c r="V1698" t="s">
        <v>13338</v>
      </c>
      <c r="W1698" t="s">
        <v>15000</v>
      </c>
      <c r="X1698">
        <v>20</v>
      </c>
      <c r="Y1698" t="s">
        <v>21596</v>
      </c>
      <c r="Z1698" t="s">
        <v>28113</v>
      </c>
      <c r="AA1698">
        <v>0.40793926322807261</v>
      </c>
      <c r="AB1698" t="str">
        <f>HYPERLINK("Melting_Curves/meltCurve_O94855_SEC24D.pdf", "Melting_Curves/meltCurve_O94855_SEC24D.pdf")</f>
        <v>Melting_Curves/meltCurve_O94855_SEC24D.pdf</v>
      </c>
    </row>
    <row r="1699" spans="1:28" x14ac:dyDescent="0.25">
      <c r="A1699" t="s">
        <v>1703</v>
      </c>
      <c r="B1699">
        <v>0.99193492352474899</v>
      </c>
      <c r="C1699">
        <v>0.68753015798472905</v>
      </c>
      <c r="D1699">
        <v>0.57419292620950602</v>
      </c>
      <c r="E1699">
        <v>0.29872408684598001</v>
      </c>
      <c r="F1699">
        <v>0.27926301477998</v>
      </c>
      <c r="G1699">
        <v>0.154721928189128</v>
      </c>
      <c r="H1699">
        <v>9.7056237029183895E-2</v>
      </c>
      <c r="I1699">
        <v>0.114753891185836</v>
      </c>
      <c r="J1699">
        <v>0.191581685279647</v>
      </c>
      <c r="K1699">
        <v>0.15973945526003899</v>
      </c>
      <c r="L1699">
        <v>716.19154435746998</v>
      </c>
      <c r="M1699">
        <v>15.7182358604868</v>
      </c>
      <c r="N1699">
        <v>46.5176726069163</v>
      </c>
      <c r="O1699">
        <v>44.845985320694801</v>
      </c>
      <c r="P1699">
        <v>-7.55645424477841E-2</v>
      </c>
      <c r="Q1699">
        <v>0.13769428437551601</v>
      </c>
      <c r="R1699">
        <v>0.96865759042892996</v>
      </c>
      <c r="S1699" t="s">
        <v>8369</v>
      </c>
      <c r="T1699" t="s">
        <v>13338</v>
      </c>
      <c r="U1699" t="s">
        <v>13338</v>
      </c>
      <c r="V1699" t="s">
        <v>13338</v>
      </c>
      <c r="W1699" t="s">
        <v>15001</v>
      </c>
      <c r="X1699">
        <v>3</v>
      </c>
      <c r="Y1699" t="s">
        <v>21597</v>
      </c>
      <c r="Z1699" t="s">
        <v>28114</v>
      </c>
      <c r="AA1699">
        <v>0.32132086795492582</v>
      </c>
      <c r="AB1699" t="str">
        <f>HYPERLINK("Melting_Curves/meltCurve_O94864_2_SUPT7L.pdf", "Melting_Curves/meltCurve_O94864_2_SUPT7L.pdf")</f>
        <v>Melting_Curves/meltCurve_O94864_2_SUPT7L.pdf</v>
      </c>
    </row>
    <row r="1700" spans="1:28" x14ac:dyDescent="0.25">
      <c r="A1700" t="s">
        <v>1704</v>
      </c>
      <c r="B1700">
        <v>0.99193492352474899</v>
      </c>
      <c r="C1700">
        <v>0.83913473790690996</v>
      </c>
      <c r="D1700">
        <v>1.0469449442368399</v>
      </c>
      <c r="E1700">
        <v>0.357722043138824</v>
      </c>
      <c r="F1700">
        <v>0.16706936063453001</v>
      </c>
      <c r="G1700">
        <v>9.7016265665944706E-2</v>
      </c>
      <c r="H1700">
        <v>5.8263945034263097E-2</v>
      </c>
      <c r="I1700">
        <v>6.6201735577592E-2</v>
      </c>
      <c r="J1700">
        <v>7.7544006758868203E-2</v>
      </c>
      <c r="K1700">
        <v>8.2137212547282804E-2</v>
      </c>
      <c r="L1700">
        <v>6693.0807063143902</v>
      </c>
      <c r="M1700">
        <v>135.821151511967</v>
      </c>
      <c r="N1700">
        <v>49.351975681335198</v>
      </c>
      <c r="O1700">
        <v>49.267965442360797</v>
      </c>
      <c r="P1700">
        <v>-0.62623018699163102</v>
      </c>
      <c r="Q1700">
        <v>9.1361606857727207E-2</v>
      </c>
      <c r="R1700">
        <v>0.97665145372335505</v>
      </c>
      <c r="S1700" t="s">
        <v>8370</v>
      </c>
      <c r="T1700" t="s">
        <v>13338</v>
      </c>
      <c r="U1700" t="s">
        <v>13338</v>
      </c>
      <c r="V1700" t="s">
        <v>13338</v>
      </c>
      <c r="W1700" t="s">
        <v>15002</v>
      </c>
      <c r="X1700">
        <v>25</v>
      </c>
      <c r="Y1700" t="s">
        <v>21598</v>
      </c>
      <c r="Z1700" t="s">
        <v>28115</v>
      </c>
      <c r="AA1700">
        <v>0.37265872998267069</v>
      </c>
      <c r="AB1700" t="str">
        <f>HYPERLINK("Melting_Curves/meltCurve_O94874_UFL1.pdf", "Melting_Curves/meltCurve_O94874_UFL1.pdf")</f>
        <v>Melting_Curves/meltCurve_O94874_UFL1.pdf</v>
      </c>
    </row>
    <row r="1701" spans="1:28" x14ac:dyDescent="0.25">
      <c r="A1701" t="s">
        <v>1705</v>
      </c>
      <c r="B1701">
        <v>0.99193492352474899</v>
      </c>
      <c r="C1701">
        <v>1.0148834403681</v>
      </c>
      <c r="D1701">
        <v>1.1338964271135901</v>
      </c>
      <c r="E1701">
        <v>0.27969299306115702</v>
      </c>
      <c r="F1701">
        <v>0.26834026472397599</v>
      </c>
      <c r="G1701">
        <v>0.18720582475235101</v>
      </c>
      <c r="H1701">
        <v>0.14623726549580601</v>
      </c>
      <c r="I1701">
        <v>0.20827965402621901</v>
      </c>
      <c r="J1701">
        <v>0.286254299554563</v>
      </c>
      <c r="K1701">
        <v>0.37010219019138801</v>
      </c>
      <c r="L1701">
        <v>12250.4026288367</v>
      </c>
      <c r="M1701">
        <v>250</v>
      </c>
      <c r="N1701">
        <v>49.133488271196697</v>
      </c>
      <c r="O1701">
        <v>48.9984749794842</v>
      </c>
      <c r="P1701">
        <v>-0.963801419366349</v>
      </c>
      <c r="Q1701">
        <v>0.244403208907949</v>
      </c>
      <c r="R1701">
        <v>0.96338097048600602</v>
      </c>
      <c r="S1701" t="s">
        <v>8371</v>
      </c>
      <c r="T1701" t="s">
        <v>13338</v>
      </c>
      <c r="U1701" t="s">
        <v>13338</v>
      </c>
      <c r="V1701" t="s">
        <v>13338</v>
      </c>
      <c r="W1701" t="s">
        <v>15003</v>
      </c>
      <c r="X1701">
        <v>2</v>
      </c>
      <c r="Y1701" t="s">
        <v>21599</v>
      </c>
      <c r="Z1701" t="s">
        <v>28116</v>
      </c>
      <c r="AA1701">
        <v>0.47118778868196559</v>
      </c>
      <c r="AB1701" t="str">
        <f>HYPERLINK("Melting_Curves/meltCurve_O94880_PHF14.pdf", "Melting_Curves/meltCurve_O94880_PHF14.pdf")</f>
        <v>Melting_Curves/meltCurve_O94880_PHF14.pdf</v>
      </c>
    </row>
    <row r="1702" spans="1:28" x14ac:dyDescent="0.25">
      <c r="A1702" t="s">
        <v>1706</v>
      </c>
      <c r="B1702">
        <v>0.99193492352474899</v>
      </c>
      <c r="C1702">
        <v>1.0147554305678801</v>
      </c>
      <c r="D1702">
        <v>0.90658415061560704</v>
      </c>
      <c r="E1702">
        <v>0.75832261042076199</v>
      </c>
      <c r="F1702">
        <v>0.59764113574748001</v>
      </c>
      <c r="G1702">
        <v>0.41392631449210698</v>
      </c>
      <c r="H1702">
        <v>0.18586676024457499</v>
      </c>
      <c r="I1702">
        <v>0.22224896328145399</v>
      </c>
      <c r="J1702">
        <v>0.158540370211636</v>
      </c>
      <c r="K1702">
        <v>0.183506249174887</v>
      </c>
      <c r="L1702">
        <v>781.41317780359498</v>
      </c>
      <c r="M1702">
        <v>14.644265613575399</v>
      </c>
      <c r="N1702">
        <v>54.4847194681414</v>
      </c>
      <c r="O1702">
        <v>52.394278738717098</v>
      </c>
      <c r="P1702">
        <v>-6.0765121110487298E-2</v>
      </c>
      <c r="Q1702">
        <v>0.130474282408337</v>
      </c>
      <c r="R1702">
        <v>0.991156683797078</v>
      </c>
      <c r="S1702" t="s">
        <v>8372</v>
      </c>
      <c r="T1702" t="s">
        <v>13338</v>
      </c>
      <c r="U1702" t="s">
        <v>13338</v>
      </c>
      <c r="V1702" t="s">
        <v>13338</v>
      </c>
      <c r="W1702" t="s">
        <v>15004</v>
      </c>
      <c r="X1702">
        <v>5</v>
      </c>
      <c r="Y1702" t="s">
        <v>21600</v>
      </c>
      <c r="Z1702" t="s">
        <v>28117</v>
      </c>
      <c r="AA1702">
        <v>0.53670568031124355</v>
      </c>
      <c r="AB1702" t="str">
        <f>HYPERLINK("Melting_Curves/meltCurve_O94886_TMEM63A.pdf", "Melting_Curves/meltCurve_O94886_TMEM63A.pdf")</f>
        <v>Melting_Curves/meltCurve_O94886_TMEM63A.pdf</v>
      </c>
    </row>
    <row r="1703" spans="1:28" x14ac:dyDescent="0.25">
      <c r="A1703" t="s">
        <v>1707</v>
      </c>
      <c r="B1703">
        <v>0.99193492352474899</v>
      </c>
      <c r="C1703">
        <v>0.83061789934456398</v>
      </c>
      <c r="D1703">
        <v>0.88509967066018203</v>
      </c>
      <c r="E1703">
        <v>0.65887871725965397</v>
      </c>
      <c r="F1703">
        <v>0.35749706610436499</v>
      </c>
      <c r="G1703">
        <v>0.176232106041153</v>
      </c>
      <c r="H1703">
        <v>0.119356834794418</v>
      </c>
      <c r="I1703">
        <v>0.14810240874119199</v>
      </c>
      <c r="J1703">
        <v>0.15102377797106101</v>
      </c>
      <c r="K1703">
        <v>0.15831770493674099</v>
      </c>
      <c r="L1703">
        <v>937.81428767923796</v>
      </c>
      <c r="M1703">
        <v>18.618468953253199</v>
      </c>
      <c r="N1703">
        <v>51.137337096506002</v>
      </c>
      <c r="O1703">
        <v>49.799818339895303</v>
      </c>
      <c r="P1703">
        <v>-8.2080508418692105E-2</v>
      </c>
      <c r="Q1703">
        <v>0.12185736143765399</v>
      </c>
      <c r="R1703">
        <v>0.97826013344041596</v>
      </c>
      <c r="S1703" t="s">
        <v>8373</v>
      </c>
      <c r="T1703" t="s">
        <v>13338</v>
      </c>
      <c r="U1703" t="s">
        <v>13338</v>
      </c>
      <c r="V1703" t="s">
        <v>13338</v>
      </c>
      <c r="W1703" t="s">
        <v>15005</v>
      </c>
      <c r="X1703">
        <v>19</v>
      </c>
      <c r="Y1703" t="s">
        <v>21601</v>
      </c>
      <c r="Z1703" t="s">
        <v>28118</v>
      </c>
      <c r="AA1703">
        <v>0.43939689515911678</v>
      </c>
      <c r="AB1703" t="str">
        <f>HYPERLINK("Melting_Curves/meltCurve_O94888_UBXN7.pdf", "Melting_Curves/meltCurve_O94888_UBXN7.pdf")</f>
        <v>Melting_Curves/meltCurve_O94888_UBXN7.pdf</v>
      </c>
    </row>
    <row r="1704" spans="1:28" x14ac:dyDescent="0.25">
      <c r="A1704" t="s">
        <v>1708</v>
      </c>
      <c r="B1704">
        <v>0.99193492352474899</v>
      </c>
      <c r="C1704">
        <v>0.72374562864810199</v>
      </c>
      <c r="D1704">
        <v>0.86129914842295396</v>
      </c>
      <c r="E1704">
        <v>0.48120388397371799</v>
      </c>
      <c r="F1704">
        <v>0.41056534907498599</v>
      </c>
      <c r="G1704">
        <v>0.21906597635074401</v>
      </c>
      <c r="H1704">
        <v>0.23198686431956</v>
      </c>
      <c r="I1704">
        <v>0.23531072769181299</v>
      </c>
      <c r="J1704">
        <v>0.33003179761402102</v>
      </c>
      <c r="K1704">
        <v>0.52523646186654205</v>
      </c>
      <c r="L1704">
        <v>827.78282589149705</v>
      </c>
      <c r="M1704">
        <v>17.547277870106299</v>
      </c>
      <c r="N1704">
        <v>49.8209312604532</v>
      </c>
      <c r="O1704">
        <v>46.5745354985715</v>
      </c>
      <c r="P1704">
        <v>-6.5640329688180496E-2</v>
      </c>
      <c r="Q1704">
        <v>0.30313951350644902</v>
      </c>
      <c r="R1704">
        <v>0.81663433565407395</v>
      </c>
      <c r="S1704" t="s">
        <v>8374</v>
      </c>
      <c r="T1704" t="s">
        <v>13338</v>
      </c>
      <c r="U1704" t="s">
        <v>13338</v>
      </c>
      <c r="V1704" t="s">
        <v>13338</v>
      </c>
      <c r="W1704" t="s">
        <v>15006</v>
      </c>
      <c r="X1704">
        <v>7</v>
      </c>
      <c r="Y1704" t="s">
        <v>21602</v>
      </c>
      <c r="Z1704" t="s">
        <v>28119</v>
      </c>
      <c r="AA1704">
        <v>0.48326331701332309</v>
      </c>
      <c r="AB1704" t="str">
        <f>HYPERLINK("Melting_Curves/meltCurve_O94900_TOX.pdf", "Melting_Curves/meltCurve_O94900_TOX.pdf")</f>
        <v>Melting_Curves/meltCurve_O94900_TOX.pdf</v>
      </c>
    </row>
    <row r="1705" spans="1:28" x14ac:dyDescent="0.25">
      <c r="A1705" t="s">
        <v>1709</v>
      </c>
      <c r="B1705">
        <v>0.99193492352474899</v>
      </c>
      <c r="C1705">
        <v>0.77139158444462896</v>
      </c>
      <c r="D1705">
        <v>0.70189384104445796</v>
      </c>
      <c r="E1705">
        <v>0.29703089210077399</v>
      </c>
      <c r="F1705">
        <v>0.16566639541192099</v>
      </c>
      <c r="G1705">
        <v>8.4810467370519796E-2</v>
      </c>
      <c r="H1705">
        <v>5.6849184303760202E-2</v>
      </c>
      <c r="I1705">
        <v>6.3924801434520506E-2</v>
      </c>
      <c r="J1705">
        <v>7.2338374194086494E-2</v>
      </c>
      <c r="K1705">
        <v>8.7474964760742596E-2</v>
      </c>
      <c r="L1705">
        <v>841.08295049263597</v>
      </c>
      <c r="M1705">
        <v>17.855443823039199</v>
      </c>
      <c r="N1705">
        <v>47.427166478708301</v>
      </c>
      <c r="O1705">
        <v>46.526195856112402</v>
      </c>
      <c r="P1705">
        <v>-9.0470281849294801E-2</v>
      </c>
      <c r="Q1705">
        <v>5.7088983925700901E-2</v>
      </c>
      <c r="R1705">
        <v>0.98518958803184398</v>
      </c>
      <c r="S1705" t="s">
        <v>8375</v>
      </c>
      <c r="T1705" t="s">
        <v>13338</v>
      </c>
      <c r="U1705" t="s">
        <v>13338</v>
      </c>
      <c r="V1705" t="s">
        <v>13338</v>
      </c>
      <c r="W1705" t="s">
        <v>15007</v>
      </c>
      <c r="X1705">
        <v>14</v>
      </c>
      <c r="Y1705" t="s">
        <v>21603</v>
      </c>
      <c r="Z1705" t="s">
        <v>28120</v>
      </c>
      <c r="AA1705">
        <v>0.29801941281216049</v>
      </c>
      <c r="AB1705" t="str">
        <f>HYPERLINK("Melting_Curves/meltCurve_O94903_PROSC.pdf", "Melting_Curves/meltCurve_O94903_PROSC.pdf")</f>
        <v>Melting_Curves/meltCurve_O94903_PROSC.pdf</v>
      </c>
    </row>
    <row r="1706" spans="1:28" x14ac:dyDescent="0.25">
      <c r="A1706" t="s">
        <v>1710</v>
      </c>
      <c r="B1706">
        <v>0.99193492352474899</v>
      </c>
      <c r="C1706">
        <v>1.18995516803172</v>
      </c>
      <c r="D1706">
        <v>1.4162759652932</v>
      </c>
      <c r="E1706">
        <v>0.83172542263049898</v>
      </c>
      <c r="F1706">
        <v>0.35863400847101101</v>
      </c>
      <c r="G1706">
        <v>0.176549331321537</v>
      </c>
      <c r="H1706">
        <v>0.100981386017019</v>
      </c>
      <c r="I1706">
        <v>0.15298181221481399</v>
      </c>
      <c r="J1706">
        <v>0.167979020104851</v>
      </c>
      <c r="K1706">
        <v>0.34842686486316798</v>
      </c>
      <c r="L1706">
        <v>2314.7819110067599</v>
      </c>
      <c r="M1706">
        <v>45.025513383242803</v>
      </c>
      <c r="N1706">
        <v>51.962098921806003</v>
      </c>
      <c r="O1706">
        <v>51.309345902516199</v>
      </c>
      <c r="P1706">
        <v>-0.17770206574676201</v>
      </c>
      <c r="Q1706">
        <v>0.18999124580361301</v>
      </c>
      <c r="R1706">
        <v>0.88360394680026999</v>
      </c>
      <c r="S1706" t="s">
        <v>8376</v>
      </c>
      <c r="T1706" t="s">
        <v>13338</v>
      </c>
      <c r="U1706" t="s">
        <v>13338</v>
      </c>
      <c r="V1706" t="s">
        <v>13338</v>
      </c>
      <c r="W1706" t="s">
        <v>15008</v>
      </c>
      <c r="X1706">
        <v>9</v>
      </c>
      <c r="Y1706" t="s">
        <v>21604</v>
      </c>
      <c r="Z1706" t="s">
        <v>28121</v>
      </c>
      <c r="AA1706">
        <v>0.50034456638441049</v>
      </c>
      <c r="AB1706" t="str">
        <f>HYPERLINK("Melting_Curves/meltCurve_O94905_ERLIN2.pdf", "Melting_Curves/meltCurve_O94905_ERLIN2.pdf")</f>
        <v>Melting_Curves/meltCurve_O94905_ERLIN2.pdf</v>
      </c>
    </row>
    <row r="1707" spans="1:28" x14ac:dyDescent="0.25">
      <c r="A1707" t="s">
        <v>1711</v>
      </c>
      <c r="B1707">
        <v>0.99193492352474899</v>
      </c>
      <c r="C1707">
        <v>0.364216890145731</v>
      </c>
      <c r="D1707">
        <v>0.30854502456423799</v>
      </c>
      <c r="E1707">
        <v>0.19301412502975701</v>
      </c>
      <c r="F1707">
        <v>0.14936713753675701</v>
      </c>
      <c r="G1707">
        <v>0.11361558636253601</v>
      </c>
      <c r="H1707">
        <v>9.2960690558124698E-2</v>
      </c>
      <c r="I1707">
        <v>0.121158767792236</v>
      </c>
      <c r="J1707">
        <v>0.124424412738786</v>
      </c>
      <c r="K1707">
        <v>0.147013162614054</v>
      </c>
      <c r="L1707">
        <v>2520.3928704554801</v>
      </c>
      <c r="M1707">
        <v>59.798279392067798</v>
      </c>
      <c r="N1707">
        <v>42.410652068879202</v>
      </c>
      <c r="O1707">
        <v>42.101194589313899</v>
      </c>
      <c r="P1707">
        <v>-0.30018110964169797</v>
      </c>
      <c r="Q1707">
        <v>0.154626055552746</v>
      </c>
      <c r="R1707">
        <v>0.95225886886128297</v>
      </c>
      <c r="S1707" t="s">
        <v>8377</v>
      </c>
      <c r="T1707" t="s">
        <v>13338</v>
      </c>
      <c r="U1707" t="s">
        <v>13338</v>
      </c>
      <c r="V1707" t="s">
        <v>13338</v>
      </c>
      <c r="W1707" t="s">
        <v>15009</v>
      </c>
      <c r="X1707">
        <v>19</v>
      </c>
      <c r="Y1707" t="s">
        <v>21605</v>
      </c>
      <c r="Z1707" t="s">
        <v>28122</v>
      </c>
      <c r="AA1707">
        <v>0.2169439112475082</v>
      </c>
      <c r="AB1707" t="str">
        <f>HYPERLINK("Melting_Curves/meltCurve_O94906_PRPF6.pdf", "Melting_Curves/meltCurve_O94906_PRPF6.pdf")</f>
        <v>Melting_Curves/meltCurve_O94906_PRPF6.pdf</v>
      </c>
    </row>
    <row r="1708" spans="1:28" x14ac:dyDescent="0.25">
      <c r="A1708" t="s">
        <v>1712</v>
      </c>
      <c r="B1708">
        <v>0.99193492352474899</v>
      </c>
      <c r="C1708">
        <v>0.58878345580020996</v>
      </c>
      <c r="D1708">
        <v>0.32207467402045398</v>
      </c>
      <c r="E1708">
        <v>0.16318751457083</v>
      </c>
      <c r="F1708">
        <v>0.10406420809321699</v>
      </c>
      <c r="G1708">
        <v>7.3840934195165894E-2</v>
      </c>
      <c r="H1708">
        <v>5.0426442921451597E-2</v>
      </c>
      <c r="I1708">
        <v>7.9641315195394705E-2</v>
      </c>
      <c r="J1708">
        <v>0.105803105179111</v>
      </c>
      <c r="K1708">
        <v>0.13627115216472699</v>
      </c>
      <c r="L1708">
        <v>1088.7528194829999</v>
      </c>
      <c r="M1708">
        <v>24.9531958421544</v>
      </c>
      <c r="N1708">
        <v>44.003647334172001</v>
      </c>
      <c r="O1708">
        <v>43.354474159734103</v>
      </c>
      <c r="P1708">
        <v>-0.13021433455037401</v>
      </c>
      <c r="Q1708">
        <v>9.5058256088228807E-2</v>
      </c>
      <c r="R1708">
        <v>0.98185246618675004</v>
      </c>
      <c r="S1708" t="s">
        <v>8378</v>
      </c>
      <c r="T1708" t="s">
        <v>13338</v>
      </c>
      <c r="U1708" t="s">
        <v>13338</v>
      </c>
      <c r="V1708" t="s">
        <v>13338</v>
      </c>
      <c r="W1708" t="s">
        <v>15010</v>
      </c>
      <c r="X1708">
        <v>15</v>
      </c>
      <c r="Y1708" t="s">
        <v>21606</v>
      </c>
      <c r="Z1708" t="s">
        <v>28123</v>
      </c>
      <c r="AA1708">
        <v>0.21579325445779671</v>
      </c>
      <c r="AB1708" t="str">
        <f>HYPERLINK("Melting_Curves/meltCurve_O94913_PCF11.pdf", "Melting_Curves/meltCurve_O94913_PCF11.pdf")</f>
        <v>Melting_Curves/meltCurve_O94913_PCF11.pdf</v>
      </c>
    </row>
    <row r="1709" spans="1:28" x14ac:dyDescent="0.25">
      <c r="A1709" t="s">
        <v>1713</v>
      </c>
      <c r="B1709">
        <v>0.99193492352474899</v>
      </c>
      <c r="C1709">
        <v>1.22574758605835</v>
      </c>
      <c r="D1709">
        <v>0.82819207805003703</v>
      </c>
      <c r="E1709">
        <v>0.95454197238749705</v>
      </c>
      <c r="F1709">
        <v>0.63284028979656604</v>
      </c>
      <c r="G1709">
        <v>0.58412149905640498</v>
      </c>
      <c r="H1709">
        <v>0.37022106239681501</v>
      </c>
      <c r="I1709">
        <v>0.194070307135183</v>
      </c>
      <c r="J1709">
        <v>0.18369909148934799</v>
      </c>
      <c r="K1709">
        <v>0.150412787458233</v>
      </c>
      <c r="L1709">
        <v>741.77849938479198</v>
      </c>
      <c r="M1709">
        <v>13.0702673067248</v>
      </c>
      <c r="N1709">
        <v>57.403345435784701</v>
      </c>
      <c r="O1709">
        <v>55.473892947442103</v>
      </c>
      <c r="P1709">
        <v>-5.4859411612096502E-2</v>
      </c>
      <c r="Q1709">
        <v>6.88059654854669E-2</v>
      </c>
      <c r="R1709">
        <v>0.92818843416616204</v>
      </c>
      <c r="S1709" t="s">
        <v>8379</v>
      </c>
      <c r="T1709" t="s">
        <v>13338</v>
      </c>
      <c r="U1709" t="s">
        <v>13338</v>
      </c>
      <c r="V1709" t="s">
        <v>13338</v>
      </c>
      <c r="W1709" t="s">
        <v>15011</v>
      </c>
      <c r="X1709">
        <v>6</v>
      </c>
      <c r="Y1709" t="s">
        <v>21607</v>
      </c>
      <c r="Z1709" t="s">
        <v>28124</v>
      </c>
      <c r="AA1709">
        <v>0.60507544395105906</v>
      </c>
      <c r="AB1709" t="str">
        <f>HYPERLINK("Melting_Curves/meltCurve_O94919_ENDOD1.pdf", "Melting_Curves/meltCurve_O94919_ENDOD1.pdf")</f>
        <v>Melting_Curves/meltCurve_O94919_ENDOD1.pdf</v>
      </c>
    </row>
    <row r="1710" spans="1:28" x14ac:dyDescent="0.25">
      <c r="A1710" t="s">
        <v>1714</v>
      </c>
      <c r="B1710">
        <v>0.99193492352474899</v>
      </c>
      <c r="C1710">
        <v>0.93188167032034297</v>
      </c>
      <c r="D1710">
        <v>0.88490664606082403</v>
      </c>
      <c r="E1710">
        <v>0.57243419654579297</v>
      </c>
      <c r="F1710">
        <v>0.16625927920254599</v>
      </c>
      <c r="G1710">
        <v>9.8712004630850503E-2</v>
      </c>
      <c r="H1710">
        <v>4.7536327339174601E-2</v>
      </c>
      <c r="I1710">
        <v>5.2060228282937999E-2</v>
      </c>
      <c r="J1710">
        <v>6.4829481538018097E-2</v>
      </c>
      <c r="K1710">
        <v>5.1357878729781301E-2</v>
      </c>
      <c r="L1710">
        <v>1301.70811430964</v>
      </c>
      <c r="M1710">
        <v>26.147692395084199</v>
      </c>
      <c r="N1710">
        <v>49.981841402300702</v>
      </c>
      <c r="O1710">
        <v>49.494476479238401</v>
      </c>
      <c r="P1710">
        <v>-0.125548206983921</v>
      </c>
      <c r="Q1710">
        <v>4.9419638093645302E-2</v>
      </c>
      <c r="R1710">
        <v>0.996468425860217</v>
      </c>
      <c r="S1710" t="s">
        <v>8380</v>
      </c>
      <c r="T1710" t="s">
        <v>13338</v>
      </c>
      <c r="U1710" t="s">
        <v>13338</v>
      </c>
      <c r="V1710" t="s">
        <v>13338</v>
      </c>
      <c r="W1710" t="s">
        <v>15012</v>
      </c>
      <c r="X1710">
        <v>20</v>
      </c>
      <c r="Y1710" t="s">
        <v>21608</v>
      </c>
      <c r="Z1710" t="s">
        <v>28125</v>
      </c>
      <c r="AA1710">
        <v>0.36714285291174509</v>
      </c>
      <c r="AB1710" t="str">
        <f>HYPERLINK("Melting_Curves/meltCurve_O94925_GLS.pdf", "Melting_Curves/meltCurve_O94925_GLS.pdf")</f>
        <v>Melting_Curves/meltCurve_O94925_GLS.pdf</v>
      </c>
    </row>
    <row r="1711" spans="1:28" x14ac:dyDescent="0.25">
      <c r="A1711" t="s">
        <v>1715</v>
      </c>
      <c r="B1711">
        <v>0.99193492352474899</v>
      </c>
      <c r="C1711">
        <v>1.16196562610436</v>
      </c>
      <c r="D1711">
        <v>0.96198385410497</v>
      </c>
      <c r="E1711">
        <v>0.57955590407090996</v>
      </c>
      <c r="F1711">
        <v>0.142267862541095</v>
      </c>
      <c r="G1711">
        <v>9.4993365915299E-2</v>
      </c>
      <c r="H1711">
        <v>4.9427971988186797E-2</v>
      </c>
      <c r="I1711">
        <v>6.1466864767212602E-2</v>
      </c>
      <c r="J1711">
        <v>5.7954682212799001E-2</v>
      </c>
      <c r="K1711">
        <v>4.4614636921664098E-2</v>
      </c>
      <c r="L1711">
        <v>1908.3762024620901</v>
      </c>
      <c r="M1711">
        <v>38.251727188231797</v>
      </c>
      <c r="N1711">
        <v>50.0569848763542</v>
      </c>
      <c r="O1711">
        <v>49.754168644917698</v>
      </c>
      <c r="P1711">
        <v>-0.180687449747858</v>
      </c>
      <c r="Q1711">
        <v>5.9918908363676401E-2</v>
      </c>
      <c r="R1711">
        <v>0.98540732076299498</v>
      </c>
      <c r="S1711" t="s">
        <v>8381</v>
      </c>
      <c r="T1711" t="s">
        <v>13338</v>
      </c>
      <c r="U1711" t="s">
        <v>13338</v>
      </c>
      <c r="V1711" t="s">
        <v>13338</v>
      </c>
      <c r="W1711" t="s">
        <v>15013</v>
      </c>
      <c r="X1711">
        <v>21</v>
      </c>
      <c r="Y1711" t="s">
        <v>21608</v>
      </c>
      <c r="Z1711" t="s">
        <v>28126</v>
      </c>
      <c r="AA1711">
        <v>0.37337978355795393</v>
      </c>
      <c r="AB1711" t="str">
        <f>HYPERLINK("Melting_Curves/meltCurve_O94925_3_GLS.pdf", "Melting_Curves/meltCurve_O94925_3_GLS.pdf")</f>
        <v>Melting_Curves/meltCurve_O94925_3_GLS.pdf</v>
      </c>
    </row>
    <row r="1712" spans="1:28" x14ac:dyDescent="0.25">
      <c r="A1712" t="s">
        <v>1716</v>
      </c>
      <c r="B1712">
        <v>0.99193492352474899</v>
      </c>
      <c r="C1712">
        <v>0.70576169291311397</v>
      </c>
      <c r="D1712">
        <v>0.72384289910577804</v>
      </c>
      <c r="E1712">
        <v>0.29144094511697499</v>
      </c>
      <c r="F1712">
        <v>0.129000508244765</v>
      </c>
      <c r="G1712">
        <v>7.4371687197261505E-2</v>
      </c>
      <c r="H1712">
        <v>9.8128987328881895E-2</v>
      </c>
      <c r="I1712">
        <v>0</v>
      </c>
      <c r="J1712">
        <v>0.121797780411665</v>
      </c>
      <c r="K1712">
        <v>0</v>
      </c>
      <c r="L1712">
        <v>767.363107473833</v>
      </c>
      <c r="M1712">
        <v>16.293215294676799</v>
      </c>
      <c r="N1712">
        <v>47.291367092513099</v>
      </c>
      <c r="O1712">
        <v>46.404796536462598</v>
      </c>
      <c r="P1712">
        <v>-8.4942468433744103E-2</v>
      </c>
      <c r="Q1712">
        <v>3.2370724218935498E-2</v>
      </c>
      <c r="R1712">
        <v>0.95959018832805798</v>
      </c>
      <c r="S1712" t="s">
        <v>8382</v>
      </c>
      <c r="T1712" t="s">
        <v>13338</v>
      </c>
      <c r="U1712" t="s">
        <v>13338</v>
      </c>
      <c r="V1712" t="s">
        <v>13338</v>
      </c>
      <c r="W1712" t="s">
        <v>15014</v>
      </c>
      <c r="X1712">
        <v>2</v>
      </c>
      <c r="Y1712" t="s">
        <v>21609</v>
      </c>
      <c r="Z1712" t="s">
        <v>28127</v>
      </c>
      <c r="AA1712">
        <v>0.28327996238117897</v>
      </c>
      <c r="AB1712" t="str">
        <f>HYPERLINK("Melting_Curves/meltCurve_O94927_HAUS5.pdf", "Melting_Curves/meltCurve_O94927_HAUS5.pdf")</f>
        <v>Melting_Curves/meltCurve_O94927_HAUS5.pdf</v>
      </c>
    </row>
    <row r="1713" spans="1:28" x14ac:dyDescent="0.25">
      <c r="A1713" t="s">
        <v>1717</v>
      </c>
      <c r="B1713">
        <v>0.99193492352474899</v>
      </c>
      <c r="C1713">
        <v>1.05878025386001</v>
      </c>
      <c r="D1713">
        <v>0.91375117305765496</v>
      </c>
      <c r="E1713">
        <v>0.69896429026964002</v>
      </c>
      <c r="F1713">
        <v>0.46774230718740301</v>
      </c>
      <c r="G1713">
        <v>0.34581802428332598</v>
      </c>
      <c r="H1713">
        <v>0.23613302916529599</v>
      </c>
      <c r="I1713">
        <v>0.227983834165217</v>
      </c>
      <c r="J1713">
        <v>0.27509820736573798</v>
      </c>
      <c r="K1713">
        <v>0.32628569527755302</v>
      </c>
      <c r="L1713">
        <v>1109.2226025222701</v>
      </c>
      <c r="M1713">
        <v>21.921802486991201</v>
      </c>
      <c r="N1713">
        <v>52.404669224876301</v>
      </c>
      <c r="O1713">
        <v>50.183648399450497</v>
      </c>
      <c r="P1713">
        <v>-8.0262109469211806E-2</v>
      </c>
      <c r="Q1713">
        <v>0.26506877752666502</v>
      </c>
      <c r="R1713">
        <v>0.98572114739369698</v>
      </c>
      <c r="S1713" t="s">
        <v>8383</v>
      </c>
      <c r="T1713" t="s">
        <v>13338</v>
      </c>
      <c r="U1713" t="s">
        <v>13338</v>
      </c>
      <c r="V1713" t="s">
        <v>13338</v>
      </c>
      <c r="W1713" t="s">
        <v>15015</v>
      </c>
      <c r="X1713">
        <v>3</v>
      </c>
      <c r="Y1713" t="s">
        <v>21610</v>
      </c>
      <c r="Z1713" t="s">
        <v>28128</v>
      </c>
      <c r="AA1713">
        <v>0.53328043827326055</v>
      </c>
      <c r="AB1713" t="str">
        <f>HYPERLINK("Melting_Curves/meltCurve_O94952_1_FBXO21.pdf", "Melting_Curves/meltCurve_O94952_1_FBXO21.pdf")</f>
        <v>Melting_Curves/meltCurve_O94952_1_FBXO21.pdf</v>
      </c>
    </row>
    <row r="1714" spans="1:28" x14ac:dyDescent="0.25">
      <c r="A1714" t="s">
        <v>1718</v>
      </c>
      <c r="B1714">
        <v>0.99193492352474899</v>
      </c>
      <c r="C1714">
        <v>0.96169690284957998</v>
      </c>
      <c r="D1714">
        <v>0.88362871720524605</v>
      </c>
      <c r="E1714">
        <v>0.58203065802832599</v>
      </c>
      <c r="F1714">
        <v>0.17037513345970401</v>
      </c>
      <c r="G1714">
        <v>0.107079544234397</v>
      </c>
      <c r="H1714">
        <v>6.3487863880334797E-2</v>
      </c>
      <c r="I1714">
        <v>7.6428067553273499E-2</v>
      </c>
      <c r="J1714">
        <v>9.8845331367142603E-2</v>
      </c>
      <c r="K1714">
        <v>7.9601921897612393E-2</v>
      </c>
      <c r="L1714">
        <v>1397.9926271769</v>
      </c>
      <c r="M1714">
        <v>28.1066976012543</v>
      </c>
      <c r="N1714">
        <v>50.025394446781398</v>
      </c>
      <c r="O1714">
        <v>49.489030876244101</v>
      </c>
      <c r="P1714">
        <v>-0.131426366915737</v>
      </c>
      <c r="Q1714">
        <v>7.4368864574463997E-2</v>
      </c>
      <c r="R1714">
        <v>0.99702335434860501</v>
      </c>
      <c r="S1714" t="s">
        <v>8384</v>
      </c>
      <c r="T1714" t="s">
        <v>13338</v>
      </c>
      <c r="U1714" t="s">
        <v>13338</v>
      </c>
      <c r="V1714" t="s">
        <v>13338</v>
      </c>
      <c r="W1714" t="s">
        <v>15016</v>
      </c>
      <c r="X1714">
        <v>16</v>
      </c>
      <c r="Y1714" t="s">
        <v>21611</v>
      </c>
      <c r="Z1714" t="s">
        <v>28129</v>
      </c>
      <c r="AA1714">
        <v>0.38136034378652689</v>
      </c>
      <c r="AB1714" t="str">
        <f>HYPERLINK("Melting_Curves/meltCurve_O94966_7_USP19.pdf", "Melting_Curves/meltCurve_O94966_7_USP19.pdf")</f>
        <v>Melting_Curves/meltCurve_O94966_7_USP19.pdf</v>
      </c>
    </row>
    <row r="1715" spans="1:28" x14ac:dyDescent="0.25">
      <c r="A1715" t="s">
        <v>1719</v>
      </c>
      <c r="B1715">
        <v>0.99193492352474899</v>
      </c>
      <c r="C1715">
        <v>1.0647674574767301</v>
      </c>
      <c r="D1715">
        <v>1.09745387428857</v>
      </c>
      <c r="E1715">
        <v>0.94028027654433999</v>
      </c>
      <c r="F1715">
        <v>0.79897691376706603</v>
      </c>
      <c r="G1715">
        <v>0.284974176131298</v>
      </c>
      <c r="H1715">
        <v>0.154122908931837</v>
      </c>
      <c r="I1715">
        <v>0.17582530284081799</v>
      </c>
      <c r="J1715">
        <v>0.25189764690587901</v>
      </c>
      <c r="K1715">
        <v>0.25103701823895802</v>
      </c>
      <c r="L1715">
        <v>2761.93281054518</v>
      </c>
      <c r="M1715">
        <v>50.858177839407503</v>
      </c>
      <c r="N1715">
        <v>54.885390920382498</v>
      </c>
      <c r="O1715">
        <v>54.222802248491099</v>
      </c>
      <c r="P1715">
        <v>-0.18581518717526099</v>
      </c>
      <c r="Q1715">
        <v>0.207568080427909</v>
      </c>
      <c r="R1715">
        <v>0.98342384135257199</v>
      </c>
      <c r="S1715" t="s">
        <v>8385</v>
      </c>
      <c r="T1715" t="s">
        <v>13338</v>
      </c>
      <c r="U1715" t="s">
        <v>13338</v>
      </c>
      <c r="V1715" t="s">
        <v>13338</v>
      </c>
      <c r="W1715" t="s">
        <v>15017</v>
      </c>
      <c r="X1715">
        <v>4</v>
      </c>
      <c r="Y1715" t="s">
        <v>21612</v>
      </c>
      <c r="Z1715" t="s">
        <v>28130</v>
      </c>
      <c r="AA1715">
        <v>0.58730114524532151</v>
      </c>
      <c r="AB1715" t="str">
        <f>HYPERLINK("Melting_Curves/meltCurve_O94967_2_WDR47.pdf", "Melting_Curves/meltCurve_O94967_2_WDR47.pdf")</f>
        <v>Melting_Curves/meltCurve_O94967_2_WDR47.pdf</v>
      </c>
    </row>
    <row r="1716" spans="1:28" x14ac:dyDescent="0.25">
      <c r="A1716" t="s">
        <v>1720</v>
      </c>
      <c r="B1716">
        <v>0.99193492352474899</v>
      </c>
      <c r="C1716">
        <v>1.1257531782599399</v>
      </c>
      <c r="D1716">
        <v>1.20416111822418</v>
      </c>
      <c r="E1716">
        <v>0.84379712191387501</v>
      </c>
      <c r="F1716">
        <v>0.48166869034967502</v>
      </c>
      <c r="G1716">
        <v>0.211244076146517</v>
      </c>
      <c r="H1716">
        <v>0.120726346666541</v>
      </c>
      <c r="I1716">
        <v>0.17962495292433001</v>
      </c>
      <c r="J1716">
        <v>0.19198220935497401</v>
      </c>
      <c r="K1716">
        <v>0.15216092161027001</v>
      </c>
      <c r="L1716">
        <v>1778.7527560774899</v>
      </c>
      <c r="M1716">
        <v>33.990349412611501</v>
      </c>
      <c r="N1716">
        <v>52.930213079704998</v>
      </c>
      <c r="O1716">
        <v>52.150976208437498</v>
      </c>
      <c r="P1716">
        <v>-0.136923738462465</v>
      </c>
      <c r="Q1716">
        <v>0.15968177254590599</v>
      </c>
      <c r="R1716">
        <v>0.96231352249423896</v>
      </c>
      <c r="S1716" t="s">
        <v>8386</v>
      </c>
      <c r="T1716" t="s">
        <v>13338</v>
      </c>
      <c r="U1716" t="s">
        <v>13338</v>
      </c>
      <c r="V1716" t="s">
        <v>13338</v>
      </c>
      <c r="W1716" t="s">
        <v>15018</v>
      </c>
      <c r="X1716">
        <v>27</v>
      </c>
      <c r="Y1716" t="s">
        <v>21613</v>
      </c>
      <c r="Z1716" t="s">
        <v>28131</v>
      </c>
      <c r="AA1716">
        <v>0.50929388313279544</v>
      </c>
      <c r="AB1716" t="str">
        <f>HYPERLINK("Melting_Curves/meltCurve_O94973_AP2A2.pdf", "Melting_Curves/meltCurve_O94973_AP2A2.pdf")</f>
        <v>Melting_Curves/meltCurve_O94973_AP2A2.pdf</v>
      </c>
    </row>
    <row r="1717" spans="1:28" x14ac:dyDescent="0.25">
      <c r="A1717" t="s">
        <v>1721</v>
      </c>
      <c r="B1717">
        <v>0.99193492352474899</v>
      </c>
      <c r="C1717">
        <v>0.90214309909313695</v>
      </c>
      <c r="D1717">
        <v>0.98801984837525703</v>
      </c>
      <c r="E1717">
        <v>0.73560586150451401</v>
      </c>
      <c r="F1717">
        <v>0.391975889387145</v>
      </c>
      <c r="G1717">
        <v>0.13140254122243</v>
      </c>
      <c r="H1717">
        <v>7.1639225105748106E-2</v>
      </c>
      <c r="I1717">
        <v>7.0650663664448901E-2</v>
      </c>
      <c r="J1717">
        <v>8.15513090393504E-2</v>
      </c>
      <c r="K1717">
        <v>8.0968554205188295E-2</v>
      </c>
      <c r="L1717">
        <v>1277.0750361667201</v>
      </c>
      <c r="M1717">
        <v>24.729210306234901</v>
      </c>
      <c r="N1717">
        <v>51.935719482366402</v>
      </c>
      <c r="O1717">
        <v>51.308219020964401</v>
      </c>
      <c r="P1717">
        <v>-0.11264137458814701</v>
      </c>
      <c r="Q1717">
        <v>6.5178874129973904E-2</v>
      </c>
      <c r="R1717">
        <v>0.99259422851339896</v>
      </c>
      <c r="S1717" t="s">
        <v>8387</v>
      </c>
      <c r="T1717" t="s">
        <v>13338</v>
      </c>
      <c r="U1717" t="s">
        <v>13338</v>
      </c>
      <c r="V1717" t="s">
        <v>13338</v>
      </c>
      <c r="W1717" t="s">
        <v>15019</v>
      </c>
      <c r="X1717">
        <v>26</v>
      </c>
      <c r="Y1717" t="s">
        <v>21613</v>
      </c>
      <c r="Z1717" t="s">
        <v>28132</v>
      </c>
      <c r="AA1717">
        <v>0.43664804676838881</v>
      </c>
      <c r="AB1717" t="str">
        <f>HYPERLINK("Melting_Curves/meltCurve_O94973_2_AP2A2.pdf", "Melting_Curves/meltCurve_O94973_2_AP2A2.pdf")</f>
        <v>Melting_Curves/meltCurve_O94973_2_AP2A2.pdf</v>
      </c>
    </row>
    <row r="1718" spans="1:28" x14ac:dyDescent="0.25">
      <c r="A1718" t="s">
        <v>1722</v>
      </c>
      <c r="B1718">
        <v>0.99193492352474899</v>
      </c>
      <c r="C1718">
        <v>1.0050623146445801</v>
      </c>
      <c r="D1718">
        <v>0.78582621052825297</v>
      </c>
      <c r="E1718">
        <v>0.75828638177855501</v>
      </c>
      <c r="F1718">
        <v>0.51299589354628805</v>
      </c>
      <c r="G1718">
        <v>0.436090580295874</v>
      </c>
      <c r="H1718">
        <v>0.30409957376573399</v>
      </c>
      <c r="I1718">
        <v>0.39922493884187898</v>
      </c>
      <c r="J1718">
        <v>0.46282162068371502</v>
      </c>
      <c r="K1718">
        <v>0.71606223979535899</v>
      </c>
      <c r="L1718">
        <v>1008.01384983814</v>
      </c>
      <c r="M1718">
        <v>20.7587558855497</v>
      </c>
      <c r="N1718">
        <v>55.2601846948683</v>
      </c>
      <c r="O1718">
        <v>48.1146088342607</v>
      </c>
      <c r="P1718">
        <v>-5.8282116782575701E-2</v>
      </c>
      <c r="Q1718">
        <v>0.45967045708687299</v>
      </c>
      <c r="R1718">
        <v>0.79364646775485104</v>
      </c>
      <c r="S1718" t="s">
        <v>8388</v>
      </c>
      <c r="T1718" t="s">
        <v>13338</v>
      </c>
      <c r="U1718" t="s">
        <v>13338</v>
      </c>
      <c r="V1718" t="s">
        <v>13338</v>
      </c>
      <c r="W1718" t="s">
        <v>15020</v>
      </c>
      <c r="X1718">
        <v>12</v>
      </c>
      <c r="Y1718" t="s">
        <v>21614</v>
      </c>
      <c r="Z1718" t="s">
        <v>28133</v>
      </c>
      <c r="AA1718">
        <v>0.62085842856259632</v>
      </c>
      <c r="AB1718" t="str">
        <f>HYPERLINK("Melting_Curves/meltCurve_O94992_HEXIM1.pdf", "Melting_Curves/meltCurve_O94992_HEXIM1.pdf")</f>
        <v>Melting_Curves/meltCurve_O94992_HEXIM1.pdf</v>
      </c>
    </row>
    <row r="1719" spans="1:28" x14ac:dyDescent="0.25">
      <c r="A1719" t="s">
        <v>1723</v>
      </c>
      <c r="B1719">
        <v>0.99193492352474899</v>
      </c>
      <c r="C1719">
        <v>0.67421530193620904</v>
      </c>
      <c r="D1719">
        <v>0.97624459179454404</v>
      </c>
      <c r="E1719">
        <v>0.687351156476667</v>
      </c>
      <c r="F1719">
        <v>0.85357000004037298</v>
      </c>
      <c r="G1719">
        <v>0.48665737119407798</v>
      </c>
      <c r="H1719">
        <v>0.287505751598013</v>
      </c>
      <c r="I1719">
        <v>0.137042237035716</v>
      </c>
      <c r="J1719">
        <v>0.144808198230098</v>
      </c>
      <c r="K1719">
        <v>3.8731470725464401E-2</v>
      </c>
      <c r="L1719">
        <v>666.75406954877405</v>
      </c>
      <c r="M1719">
        <v>11.811869385296699</v>
      </c>
      <c r="N1719">
        <v>56.447822694000699</v>
      </c>
      <c r="O1719">
        <v>54.9027707286767</v>
      </c>
      <c r="P1719">
        <v>-5.3799181583573302E-2</v>
      </c>
      <c r="Q1719">
        <v>0</v>
      </c>
      <c r="R1719">
        <v>0.86734245887227901</v>
      </c>
      <c r="S1719" t="s">
        <v>8389</v>
      </c>
      <c r="T1719" t="s">
        <v>13338</v>
      </c>
      <c r="U1719" t="s">
        <v>13338</v>
      </c>
      <c r="V1719" t="s">
        <v>13338</v>
      </c>
      <c r="W1719" t="s">
        <v>15021</v>
      </c>
      <c r="X1719">
        <v>3</v>
      </c>
      <c r="Y1719" t="s">
        <v>21615</v>
      </c>
      <c r="Z1719" t="s">
        <v>28134</v>
      </c>
      <c r="AA1719">
        <v>0.56717813041962495</v>
      </c>
      <c r="AB1719" t="str">
        <f>HYPERLINK("Melting_Curves/meltCurve_O95059_RPP14.pdf", "Melting_Curves/meltCurve_O95059_RPP14.pdf")</f>
        <v>Melting_Curves/meltCurve_O95059_RPP14.pdf</v>
      </c>
    </row>
    <row r="1720" spans="1:28" x14ac:dyDescent="0.25">
      <c r="A1720" t="s">
        <v>1724</v>
      </c>
      <c r="B1720">
        <v>0.99193492352474899</v>
      </c>
      <c r="C1720">
        <v>0.85348491450338004</v>
      </c>
      <c r="D1720">
        <v>0.73091105641005605</v>
      </c>
      <c r="E1720">
        <v>0.54745097255376196</v>
      </c>
      <c r="F1720">
        <v>0.317173717962145</v>
      </c>
      <c r="G1720">
        <v>0.18145305049098301</v>
      </c>
      <c r="H1720">
        <v>9.4347978535901197E-2</v>
      </c>
      <c r="I1720">
        <v>0.11744385905988999</v>
      </c>
      <c r="J1720">
        <v>0.11338062291619801</v>
      </c>
      <c r="K1720">
        <v>0.13774972778726899</v>
      </c>
      <c r="L1720">
        <v>688.82937721135897</v>
      </c>
      <c r="M1720">
        <v>14.0321556343529</v>
      </c>
      <c r="N1720">
        <v>49.741514841754999</v>
      </c>
      <c r="O1720">
        <v>48.124618741942903</v>
      </c>
      <c r="P1720">
        <v>-6.67788441834445E-2</v>
      </c>
      <c r="Q1720">
        <v>8.40225617905975E-2</v>
      </c>
      <c r="R1720">
        <v>0.99215114125916204</v>
      </c>
      <c r="S1720" t="s">
        <v>8390</v>
      </c>
      <c r="T1720" t="s">
        <v>13338</v>
      </c>
      <c r="U1720" t="s">
        <v>13338</v>
      </c>
      <c r="V1720" t="s">
        <v>13338</v>
      </c>
      <c r="W1720" t="s">
        <v>15022</v>
      </c>
      <c r="X1720">
        <v>5</v>
      </c>
      <c r="Y1720" t="s">
        <v>21616</v>
      </c>
      <c r="Z1720" t="s">
        <v>28135</v>
      </c>
      <c r="AA1720">
        <v>0.3870258747698116</v>
      </c>
      <c r="AB1720" t="str">
        <f>HYPERLINK("Melting_Curves/meltCurve_O95067_CCNB2.pdf", "Melting_Curves/meltCurve_O95067_CCNB2.pdf")</f>
        <v>Melting_Curves/meltCurve_O95067_CCNB2.pdf</v>
      </c>
    </row>
    <row r="1721" spans="1:28" x14ac:dyDescent="0.25">
      <c r="A1721" t="s">
        <v>1725</v>
      </c>
      <c r="B1721">
        <v>0.99193492352474899</v>
      </c>
      <c r="C1721">
        <v>0.85441140596685505</v>
      </c>
      <c r="D1721">
        <v>0.46901844801790399</v>
      </c>
      <c r="E1721">
        <v>0.23597298194823099</v>
      </c>
      <c r="F1721">
        <v>0.173556751828609</v>
      </c>
      <c r="G1721">
        <v>0.11123210203040799</v>
      </c>
      <c r="H1721">
        <v>4.9646284081616303E-2</v>
      </c>
      <c r="I1721">
        <v>0.14640673115678199</v>
      </c>
      <c r="J1721">
        <v>0.20453008356527</v>
      </c>
      <c r="K1721">
        <v>0.22934315407268999</v>
      </c>
      <c r="L1721">
        <v>1285.0348929209999</v>
      </c>
      <c r="M1721">
        <v>28.408075775840999</v>
      </c>
      <c r="N1721">
        <v>45.820085326253903</v>
      </c>
      <c r="O1721">
        <v>45.012480152215304</v>
      </c>
      <c r="P1721">
        <v>-0.133773552776694</v>
      </c>
      <c r="Q1721">
        <v>0.15215241817314901</v>
      </c>
      <c r="R1721">
        <v>0.97687362414773804</v>
      </c>
      <c r="S1721" t="s">
        <v>8391</v>
      </c>
      <c r="T1721" t="s">
        <v>13338</v>
      </c>
      <c r="U1721" t="s">
        <v>13338</v>
      </c>
      <c r="V1721" t="s">
        <v>13338</v>
      </c>
      <c r="W1721" t="s">
        <v>15023</v>
      </c>
      <c r="X1721">
        <v>5</v>
      </c>
      <c r="Y1721" t="s">
        <v>21617</v>
      </c>
      <c r="Z1721" t="s">
        <v>28136</v>
      </c>
      <c r="AA1721">
        <v>0.30619259693593359</v>
      </c>
      <c r="AB1721" t="str">
        <f>HYPERLINK("Melting_Curves/meltCurve_O95081_AGFG2.pdf", "Melting_Curves/meltCurve_O95081_AGFG2.pdf")</f>
        <v>Melting_Curves/meltCurve_O95081_AGFG2.pdf</v>
      </c>
    </row>
    <row r="1722" spans="1:28" x14ac:dyDescent="0.25">
      <c r="A1722" t="s">
        <v>1726</v>
      </c>
      <c r="B1722">
        <v>0.99193492352474899</v>
      </c>
      <c r="C1722">
        <v>0.75205393697137002</v>
      </c>
      <c r="D1722">
        <v>0.68789533359590904</v>
      </c>
      <c r="E1722">
        <v>0.22421158433083699</v>
      </c>
      <c r="F1722">
        <v>0.17182400852732699</v>
      </c>
      <c r="G1722">
        <v>9.4053724100876507E-2</v>
      </c>
      <c r="H1722">
        <v>0.12554138724183</v>
      </c>
      <c r="I1722">
        <v>0.19265224627302399</v>
      </c>
      <c r="J1722">
        <v>0.221068682441491</v>
      </c>
      <c r="K1722">
        <v>0.24702076528233499</v>
      </c>
      <c r="L1722">
        <v>1057.668043274</v>
      </c>
      <c r="M1722">
        <v>22.9909670186459</v>
      </c>
      <c r="N1722">
        <v>46.806600791355898</v>
      </c>
      <c r="O1722">
        <v>45.659830729915797</v>
      </c>
      <c r="P1722">
        <v>-0.10536995542743501</v>
      </c>
      <c r="Q1722">
        <v>0.16296089330497801</v>
      </c>
      <c r="R1722">
        <v>0.94481273339766803</v>
      </c>
      <c r="S1722" t="s">
        <v>8392</v>
      </c>
      <c r="T1722" t="s">
        <v>13338</v>
      </c>
      <c r="U1722" t="s">
        <v>13338</v>
      </c>
      <c r="V1722" t="s">
        <v>13338</v>
      </c>
      <c r="W1722" t="s">
        <v>15024</v>
      </c>
      <c r="X1722">
        <v>11</v>
      </c>
      <c r="Y1722" t="s">
        <v>21618</v>
      </c>
      <c r="Z1722" t="s">
        <v>28137</v>
      </c>
      <c r="AA1722">
        <v>0.33985224188135188</v>
      </c>
      <c r="AB1722" t="str">
        <f>HYPERLINK("Melting_Curves/meltCurve_O95104_SCAF4.pdf", "Melting_Curves/meltCurve_O95104_SCAF4.pdf")</f>
        <v>Melting_Curves/meltCurve_O95104_SCAF4.pdf</v>
      </c>
    </row>
    <row r="1723" spans="1:28" x14ac:dyDescent="0.25">
      <c r="A1723" t="s">
        <v>1727</v>
      </c>
      <c r="B1723">
        <v>0.99193492352474899</v>
      </c>
      <c r="C1723">
        <v>0.88300043849921495</v>
      </c>
      <c r="D1723">
        <v>0.93469005810996297</v>
      </c>
      <c r="E1723">
        <v>0.72132767555117105</v>
      </c>
      <c r="F1723">
        <v>0.61986778581098301</v>
      </c>
      <c r="G1723">
        <v>0.38583208209144798</v>
      </c>
      <c r="H1723">
        <v>0.354098985065255</v>
      </c>
      <c r="I1723">
        <v>0.372626609889669</v>
      </c>
      <c r="J1723">
        <v>0.55580669072228295</v>
      </c>
      <c r="K1723">
        <v>0.56852570269880198</v>
      </c>
      <c r="L1723">
        <v>1091.0475172362801</v>
      </c>
      <c r="M1723">
        <v>21.961615775469799</v>
      </c>
      <c r="N1723">
        <v>55.4347122874942</v>
      </c>
      <c r="O1723">
        <v>49.273340014373197</v>
      </c>
      <c r="P1723">
        <v>-6.1414041249421701E-2</v>
      </c>
      <c r="Q1723">
        <v>0.44885532185124999</v>
      </c>
      <c r="R1723">
        <v>0.86861717483832801</v>
      </c>
      <c r="S1723" t="s">
        <v>8393</v>
      </c>
      <c r="T1723" t="s">
        <v>13338</v>
      </c>
      <c r="U1723" t="s">
        <v>13338</v>
      </c>
      <c r="V1723" t="s">
        <v>13338</v>
      </c>
      <c r="W1723" t="s">
        <v>15025</v>
      </c>
      <c r="X1723">
        <v>7</v>
      </c>
      <c r="Y1723" t="s">
        <v>21619</v>
      </c>
      <c r="Z1723" t="s">
        <v>28138</v>
      </c>
      <c r="AA1723">
        <v>0.63306393686117335</v>
      </c>
      <c r="AB1723" t="str">
        <f>HYPERLINK("Melting_Curves/meltCurve_O95139_NDUFB6.pdf", "Melting_Curves/meltCurve_O95139_NDUFB6.pdf")</f>
        <v>Melting_Curves/meltCurve_O95139_NDUFB6.pdf</v>
      </c>
    </row>
    <row r="1724" spans="1:28" x14ac:dyDescent="0.25">
      <c r="A1724" t="s">
        <v>1728</v>
      </c>
      <c r="B1724">
        <v>0.99193492352474899</v>
      </c>
      <c r="C1724">
        <v>1.03898573093928</v>
      </c>
      <c r="D1724">
        <v>0.92829684181361705</v>
      </c>
      <c r="E1724">
        <v>0.66020243733084905</v>
      </c>
      <c r="F1724">
        <v>0.44643697913340002</v>
      </c>
      <c r="G1724">
        <v>0.232460093251564</v>
      </c>
      <c r="H1724">
        <v>0.137823679240512</v>
      </c>
      <c r="I1724">
        <v>0.184029735552725</v>
      </c>
      <c r="J1724">
        <v>0.20967081834040499</v>
      </c>
      <c r="K1724">
        <v>0.27305456510551201</v>
      </c>
      <c r="L1724">
        <v>1154.2431004795001</v>
      </c>
      <c r="M1724">
        <v>22.801764293220899</v>
      </c>
      <c r="N1724">
        <v>51.746297703822201</v>
      </c>
      <c r="O1724">
        <v>50.2362512625403</v>
      </c>
      <c r="P1724">
        <v>-9.12899432720259E-2</v>
      </c>
      <c r="Q1724">
        <v>0.19550511550605601</v>
      </c>
      <c r="R1724">
        <v>0.98412787442498595</v>
      </c>
      <c r="S1724" t="s">
        <v>8394</v>
      </c>
      <c r="T1724" t="s">
        <v>13338</v>
      </c>
      <c r="U1724" t="s">
        <v>13338</v>
      </c>
      <c r="V1724" t="s">
        <v>13338</v>
      </c>
      <c r="W1724" t="s">
        <v>15026</v>
      </c>
      <c r="X1724">
        <v>3</v>
      </c>
      <c r="Y1724" t="s">
        <v>21620</v>
      </c>
      <c r="Z1724" t="s">
        <v>28139</v>
      </c>
      <c r="AA1724">
        <v>0.48899483707288982</v>
      </c>
      <c r="AB1724" t="str">
        <f>HYPERLINK("Melting_Curves/meltCurve_O95140_MFN2.pdf", "Melting_Curves/meltCurve_O95140_MFN2.pdf")</f>
        <v>Melting_Curves/meltCurve_O95140_MFN2.pdf</v>
      </c>
    </row>
    <row r="1725" spans="1:28" x14ac:dyDescent="0.25">
      <c r="A1725" t="s">
        <v>1729</v>
      </c>
      <c r="B1725">
        <v>0.99193492352474899</v>
      </c>
      <c r="C1725">
        <v>0.98189185193378103</v>
      </c>
      <c r="D1725">
        <v>1.1052220026714801</v>
      </c>
      <c r="E1725">
        <v>0.59879250550787899</v>
      </c>
      <c r="F1725">
        <v>0.23696674386479399</v>
      </c>
      <c r="G1725">
        <v>0.13765652764559699</v>
      </c>
      <c r="H1725">
        <v>8.5108356614154002E-2</v>
      </c>
      <c r="I1725">
        <v>9.34347516224312E-2</v>
      </c>
      <c r="J1725">
        <v>0.121414161344834</v>
      </c>
      <c r="K1725">
        <v>7.9762086882891103E-2</v>
      </c>
      <c r="L1725">
        <v>1993.24245739924</v>
      </c>
      <c r="M1725">
        <v>39.837674291763797</v>
      </c>
      <c r="N1725">
        <v>50.345605733628702</v>
      </c>
      <c r="O1725">
        <v>49.908527550909803</v>
      </c>
      <c r="P1725">
        <v>-0.177757059014885</v>
      </c>
      <c r="Q1725">
        <v>0.10922767999779499</v>
      </c>
      <c r="R1725">
        <v>0.98585979173663096</v>
      </c>
      <c r="S1725" t="s">
        <v>8395</v>
      </c>
      <c r="T1725" t="s">
        <v>13338</v>
      </c>
      <c r="U1725" t="s">
        <v>13338</v>
      </c>
      <c r="V1725" t="s">
        <v>13338</v>
      </c>
      <c r="W1725" t="s">
        <v>15027</v>
      </c>
      <c r="X1725">
        <v>12</v>
      </c>
      <c r="Y1725" t="s">
        <v>21621</v>
      </c>
      <c r="Z1725" t="s">
        <v>28140</v>
      </c>
      <c r="AA1725">
        <v>0.41027165382599462</v>
      </c>
      <c r="AB1725" t="str">
        <f>HYPERLINK("Melting_Curves/meltCurve_O95155_2_UBE4B.pdf", "Melting_Curves/meltCurve_O95155_2_UBE4B.pdf")</f>
        <v>Melting_Curves/meltCurve_O95155_2_UBE4B.pdf</v>
      </c>
    </row>
    <row r="1726" spans="1:28" x14ac:dyDescent="0.25">
      <c r="A1726" t="s">
        <v>1730</v>
      </c>
      <c r="B1726">
        <v>0.99193492352474899</v>
      </c>
      <c r="C1726">
        <v>0.96440673553971301</v>
      </c>
      <c r="D1726">
        <v>1.27591874488951</v>
      </c>
      <c r="E1726">
        <v>0.66838866370536998</v>
      </c>
      <c r="F1726">
        <v>0.324157234590423</v>
      </c>
      <c r="G1726">
        <v>0.10328122865978399</v>
      </c>
      <c r="H1726">
        <v>8.5804050305187896E-2</v>
      </c>
      <c r="I1726">
        <v>0.13175288623794101</v>
      </c>
      <c r="J1726">
        <v>0.13063732553888299</v>
      </c>
      <c r="K1726">
        <v>0.15902337709179901</v>
      </c>
      <c r="L1726">
        <v>1896.9917368327599</v>
      </c>
      <c r="M1726">
        <v>37.420078345444999</v>
      </c>
      <c r="N1726">
        <v>51.097204415857703</v>
      </c>
      <c r="O1726">
        <v>50.550359799394002</v>
      </c>
      <c r="P1726">
        <v>-0.16143033006183299</v>
      </c>
      <c r="Q1726">
        <v>0.127704737343525</v>
      </c>
      <c r="R1726">
        <v>0.94456789785518702</v>
      </c>
      <c r="S1726" t="s">
        <v>8396</v>
      </c>
      <c r="T1726" t="s">
        <v>13338</v>
      </c>
      <c r="U1726" t="s">
        <v>13338</v>
      </c>
      <c r="V1726" t="s">
        <v>13338</v>
      </c>
      <c r="W1726" t="s">
        <v>15028</v>
      </c>
      <c r="X1726">
        <v>3</v>
      </c>
      <c r="Y1726" t="s">
        <v>21622</v>
      </c>
      <c r="Z1726" t="s">
        <v>28141</v>
      </c>
      <c r="AA1726">
        <v>0.4421596370968377</v>
      </c>
      <c r="AB1726" t="str">
        <f>HYPERLINK("Melting_Curves/meltCurve_O95159_ZFPL1.pdf", "Melting_Curves/meltCurve_O95159_ZFPL1.pdf")</f>
        <v>Melting_Curves/meltCurve_O95159_ZFPL1.pdf</v>
      </c>
    </row>
    <row r="1727" spans="1:28" x14ac:dyDescent="0.25">
      <c r="A1727" t="s">
        <v>1731</v>
      </c>
      <c r="B1727">
        <v>0.99193492352474899</v>
      </c>
      <c r="C1727">
        <v>0.83220791631702695</v>
      </c>
      <c r="D1727">
        <v>0.91941268245367402</v>
      </c>
      <c r="E1727">
        <v>0.65232338077957397</v>
      </c>
      <c r="F1727">
        <v>0.76007773133715195</v>
      </c>
      <c r="G1727">
        <v>0.185850644860792</v>
      </c>
      <c r="H1727">
        <v>8.6479433834271299E-2</v>
      </c>
      <c r="I1727">
        <v>8.9271849793382096E-2</v>
      </c>
      <c r="J1727">
        <v>0.100503357227803</v>
      </c>
      <c r="K1727">
        <v>9.5041089584694802E-2</v>
      </c>
      <c r="L1727">
        <v>776.30245075059304</v>
      </c>
      <c r="M1727">
        <v>14.5027885967913</v>
      </c>
      <c r="N1727">
        <v>53.638053963825101</v>
      </c>
      <c r="O1727">
        <v>52.540986472072902</v>
      </c>
      <c r="P1727">
        <v>-6.8001585405732298E-2</v>
      </c>
      <c r="Q1727">
        <v>1.46841057491649E-2</v>
      </c>
      <c r="R1727">
        <v>0.91907504178443999</v>
      </c>
      <c r="S1727" t="s">
        <v>8397</v>
      </c>
      <c r="T1727" t="s">
        <v>13338</v>
      </c>
      <c r="U1727" t="s">
        <v>13338</v>
      </c>
      <c r="V1727" t="s">
        <v>13338</v>
      </c>
      <c r="W1727" t="s">
        <v>15029</v>
      </c>
      <c r="X1727">
        <v>22</v>
      </c>
      <c r="Y1727" t="s">
        <v>21623</v>
      </c>
      <c r="Z1727" t="s">
        <v>28142</v>
      </c>
      <c r="AA1727">
        <v>0.48061766932273992</v>
      </c>
      <c r="AB1727" t="str">
        <f>HYPERLINK("Melting_Curves/meltCurve_O95163_IKBKAP.pdf", "Melting_Curves/meltCurve_O95163_IKBKAP.pdf")</f>
        <v>Melting_Curves/meltCurve_O95163_IKBKAP.pdf</v>
      </c>
    </row>
    <row r="1728" spans="1:28" x14ac:dyDescent="0.25">
      <c r="A1728" t="s">
        <v>1732</v>
      </c>
      <c r="B1728">
        <v>0.99193492352474899</v>
      </c>
      <c r="C1728">
        <v>0.90624420808912898</v>
      </c>
      <c r="D1728">
        <v>0.91090318057880604</v>
      </c>
      <c r="E1728">
        <v>0.71389562436245702</v>
      </c>
      <c r="F1728">
        <v>0.51963557196721299</v>
      </c>
      <c r="G1728">
        <v>0.43947841900471502</v>
      </c>
      <c r="H1728">
        <v>0.43305485165049501</v>
      </c>
      <c r="I1728">
        <v>0.44899094751282398</v>
      </c>
      <c r="J1728">
        <v>0.436843785262988</v>
      </c>
      <c r="K1728">
        <v>0.49228379380593601</v>
      </c>
      <c r="L1728">
        <v>1087.0322339970201</v>
      </c>
      <c r="M1728">
        <v>22.093713775172201</v>
      </c>
      <c r="N1728">
        <v>54.515034305101501</v>
      </c>
      <c r="O1728">
        <v>48.803207675246298</v>
      </c>
      <c r="P1728">
        <v>-6.3157669172467998E-2</v>
      </c>
      <c r="Q1728">
        <v>0.44197162238112198</v>
      </c>
      <c r="R1728">
        <v>0.97962672883850199</v>
      </c>
      <c r="S1728" t="s">
        <v>8398</v>
      </c>
      <c r="T1728" t="s">
        <v>13338</v>
      </c>
      <c r="U1728" t="s">
        <v>13338</v>
      </c>
      <c r="V1728" t="s">
        <v>13338</v>
      </c>
      <c r="W1728" t="s">
        <v>15030</v>
      </c>
      <c r="X1728">
        <v>2</v>
      </c>
      <c r="Y1728" t="s">
        <v>21624</v>
      </c>
      <c r="Z1728" t="s">
        <v>28143</v>
      </c>
      <c r="AA1728">
        <v>0.61949463157993356</v>
      </c>
      <c r="AB1728" t="str">
        <f>HYPERLINK("Melting_Curves/meltCurve_O95167_NDUFA3.pdf", "Melting_Curves/meltCurve_O95167_NDUFA3.pdf")</f>
        <v>Melting_Curves/meltCurve_O95167_NDUFA3.pdf</v>
      </c>
    </row>
    <row r="1729" spans="1:28" x14ac:dyDescent="0.25">
      <c r="A1729" t="s">
        <v>1733</v>
      </c>
      <c r="B1729">
        <v>0.99193492352474899</v>
      </c>
      <c r="C1729">
        <v>1.1540770830704401</v>
      </c>
      <c r="D1729">
        <v>1.1436664637991201</v>
      </c>
      <c r="E1729">
        <v>0.95220324566812697</v>
      </c>
      <c r="F1729">
        <v>0.57247991176309798</v>
      </c>
      <c r="G1729">
        <v>0.35583264748615201</v>
      </c>
      <c r="H1729">
        <v>0.261119835128172</v>
      </c>
      <c r="I1729">
        <v>0.37084006644572898</v>
      </c>
      <c r="J1729">
        <v>0.734461481098453</v>
      </c>
      <c r="K1729">
        <v>0.51358878958189702</v>
      </c>
      <c r="L1729">
        <v>3008.7337332593802</v>
      </c>
      <c r="M1729">
        <v>57.884171776217997</v>
      </c>
      <c r="N1729">
        <v>54.089232074021197</v>
      </c>
      <c r="O1729">
        <v>51.9165927466846</v>
      </c>
      <c r="P1729">
        <v>-0.153928888168537</v>
      </c>
      <c r="Q1729">
        <v>0.44776201523670101</v>
      </c>
      <c r="R1729">
        <v>0.82272662771106397</v>
      </c>
      <c r="S1729" t="s">
        <v>8399</v>
      </c>
      <c r="T1729" t="s">
        <v>13338</v>
      </c>
      <c r="U1729" t="s">
        <v>13338</v>
      </c>
      <c r="V1729" t="s">
        <v>13338</v>
      </c>
      <c r="W1729" t="s">
        <v>15031</v>
      </c>
      <c r="X1729">
        <v>6</v>
      </c>
      <c r="Y1729" t="s">
        <v>21625</v>
      </c>
      <c r="Z1729" t="s">
        <v>28144</v>
      </c>
      <c r="AA1729">
        <v>0.66920523664121412</v>
      </c>
      <c r="AB1729" t="str">
        <f>HYPERLINK("Melting_Curves/meltCurve_O95168_NDUFB4.pdf", "Melting_Curves/meltCurve_O95168_NDUFB4.pdf")</f>
        <v>Melting_Curves/meltCurve_O95168_NDUFB4.pdf</v>
      </c>
    </row>
    <row r="1730" spans="1:28" x14ac:dyDescent="0.25">
      <c r="A1730" t="s">
        <v>1734</v>
      </c>
      <c r="B1730">
        <v>0.99193492352474899</v>
      </c>
      <c r="C1730">
        <v>0.82420689952676596</v>
      </c>
      <c r="D1730">
        <v>0.92320835355520503</v>
      </c>
      <c r="E1730">
        <v>0.70356030734705099</v>
      </c>
      <c r="F1730">
        <v>0.34686790223626501</v>
      </c>
      <c r="G1730">
        <v>0.254526335066384</v>
      </c>
      <c r="H1730">
        <v>0.24350126163956701</v>
      </c>
      <c r="I1730">
        <v>0.36129823159562902</v>
      </c>
      <c r="J1730">
        <v>0.45496240064451399</v>
      </c>
      <c r="K1730">
        <v>0.55291753652529496</v>
      </c>
      <c r="L1730">
        <v>2987.99876931978</v>
      </c>
      <c r="M1730">
        <v>60.147467598154797</v>
      </c>
      <c r="N1730">
        <v>50.799020128325701</v>
      </c>
      <c r="O1730">
        <v>49.6230552385273</v>
      </c>
      <c r="P1730">
        <v>-0.19168408263067399</v>
      </c>
      <c r="Q1730">
        <v>0.367425008560745</v>
      </c>
      <c r="R1730">
        <v>0.84609325086583698</v>
      </c>
      <c r="S1730" t="s">
        <v>8400</v>
      </c>
      <c r="T1730" t="s">
        <v>13338</v>
      </c>
      <c r="U1730" t="s">
        <v>13338</v>
      </c>
      <c r="V1730" t="s">
        <v>13338</v>
      </c>
      <c r="W1730" t="s">
        <v>15032</v>
      </c>
      <c r="X1730">
        <v>1</v>
      </c>
      <c r="Y1730" t="s">
        <v>21626</v>
      </c>
      <c r="Z1730" t="s">
        <v>28145</v>
      </c>
      <c r="AA1730">
        <v>0.57244744868681152</v>
      </c>
      <c r="AB1730" t="str">
        <f>HYPERLINK("Melting_Curves/meltCurve_O95182_NDUFA7.pdf", "Melting_Curves/meltCurve_O95182_NDUFA7.pdf")</f>
        <v>Melting_Curves/meltCurve_O95182_NDUFA7.pdf</v>
      </c>
    </row>
    <row r="1731" spans="1:28" x14ac:dyDescent="0.25">
      <c r="A1731" t="s">
        <v>1735</v>
      </c>
      <c r="B1731">
        <v>0.99193492352474899</v>
      </c>
      <c r="C1731">
        <v>0.83119787647583698</v>
      </c>
      <c r="D1731">
        <v>0.96615570321594801</v>
      </c>
      <c r="E1731">
        <v>0.69431934536857498</v>
      </c>
      <c r="F1731">
        <v>0.68083892177056304</v>
      </c>
      <c r="G1731">
        <v>0.470969625795778</v>
      </c>
      <c r="H1731">
        <v>0.426722350758652</v>
      </c>
      <c r="I1731">
        <v>0.50477911913203299</v>
      </c>
      <c r="J1731">
        <v>0.77775710725801395</v>
      </c>
      <c r="K1731">
        <v>0.81715959381414005</v>
      </c>
      <c r="L1731">
        <v>1515.33779857635</v>
      </c>
      <c r="M1731">
        <v>31.516647863264701</v>
      </c>
      <c r="O1731">
        <v>47.888234528998296</v>
      </c>
      <c r="P1731">
        <v>-6.4596731837893606E-2</v>
      </c>
      <c r="Q1731">
        <v>0.60739403203063402</v>
      </c>
      <c r="R1731">
        <v>0.53125978683438202</v>
      </c>
      <c r="S1731" t="s">
        <v>8401</v>
      </c>
      <c r="T1731" t="s">
        <v>13338</v>
      </c>
      <c r="U1731" t="s">
        <v>13338</v>
      </c>
      <c r="V1731" t="s">
        <v>13338</v>
      </c>
      <c r="W1731" t="s">
        <v>15033</v>
      </c>
      <c r="X1731">
        <v>4</v>
      </c>
      <c r="Y1731" t="s">
        <v>21627</v>
      </c>
      <c r="Z1731" t="s">
        <v>28146</v>
      </c>
      <c r="AA1731">
        <v>0.71527722938575244</v>
      </c>
      <c r="AB1731" t="str">
        <f>HYPERLINK("Melting_Curves/meltCurve_O95183_VAMP5.pdf", "Melting_Curves/meltCurve_O95183_VAMP5.pdf")</f>
        <v>Melting_Curves/meltCurve_O95183_VAMP5.pdf</v>
      </c>
    </row>
    <row r="1732" spans="1:28" x14ac:dyDescent="0.25">
      <c r="A1732" t="s">
        <v>1736</v>
      </c>
      <c r="B1732">
        <v>0.99193492352474899</v>
      </c>
      <c r="C1732">
        <v>0.90592949694833602</v>
      </c>
      <c r="D1732">
        <v>0.82744004903058099</v>
      </c>
      <c r="E1732">
        <v>0.88909661014015196</v>
      </c>
      <c r="F1732">
        <v>0.74451259103329903</v>
      </c>
      <c r="G1732">
        <v>0.59735077377303403</v>
      </c>
      <c r="H1732">
        <v>0.47145503742127598</v>
      </c>
      <c r="I1732">
        <v>0.51900495019909298</v>
      </c>
      <c r="J1732">
        <v>0.49838953558566601</v>
      </c>
      <c r="K1732">
        <v>0.51064120742601904</v>
      </c>
      <c r="L1732">
        <v>539.40901975147096</v>
      </c>
      <c r="M1732">
        <v>10.196266293815899</v>
      </c>
      <c r="N1732">
        <v>65.588787944389793</v>
      </c>
      <c r="O1732">
        <v>50.988762449818402</v>
      </c>
      <c r="P1732">
        <v>-2.8487598064924201E-2</v>
      </c>
      <c r="Q1732">
        <v>0.43042217185426601</v>
      </c>
      <c r="R1732">
        <v>0.93392180745105602</v>
      </c>
      <c r="S1732" t="s">
        <v>8402</v>
      </c>
      <c r="T1732" t="s">
        <v>13338</v>
      </c>
      <c r="U1732" t="s">
        <v>13338</v>
      </c>
      <c r="V1732" t="s">
        <v>13338</v>
      </c>
      <c r="W1732" t="s">
        <v>15034</v>
      </c>
      <c r="X1732">
        <v>1</v>
      </c>
      <c r="Y1732" t="s">
        <v>21628</v>
      </c>
      <c r="Z1732" t="s">
        <v>28147</v>
      </c>
      <c r="AA1732">
        <v>0.69473541411119666</v>
      </c>
      <c r="AB1732" t="str">
        <f>HYPERLINK("Melting_Curves/meltCurve_O95196_2_CSPG5.pdf", "Melting_Curves/meltCurve_O95196_2_CSPG5.pdf")</f>
        <v>Melting_Curves/meltCurve_O95196_2_CSPG5.pdf</v>
      </c>
    </row>
    <row r="1733" spans="1:28" x14ac:dyDescent="0.25">
      <c r="A1733" t="s">
        <v>1737</v>
      </c>
      <c r="B1733">
        <v>0.99193492352474899</v>
      </c>
      <c r="C1733">
        <v>0.92322669935387602</v>
      </c>
      <c r="D1733">
        <v>0.99387073154165095</v>
      </c>
      <c r="E1733">
        <v>0.602486908904318</v>
      </c>
      <c r="F1733">
        <v>0.51569888385139095</v>
      </c>
      <c r="G1733">
        <v>0.35346475205559102</v>
      </c>
      <c r="H1733">
        <v>0.209054905520072</v>
      </c>
      <c r="I1733">
        <v>0.21013761300332601</v>
      </c>
      <c r="J1733">
        <v>0.29520209190800201</v>
      </c>
      <c r="K1733">
        <v>0.30865209074274202</v>
      </c>
      <c r="L1733">
        <v>982.62182631724897</v>
      </c>
      <c r="M1733">
        <v>19.4890679581763</v>
      </c>
      <c r="N1733">
        <v>52.339009481745499</v>
      </c>
      <c r="O1733">
        <v>49.897289825955099</v>
      </c>
      <c r="P1733">
        <v>-7.2712004922445103E-2</v>
      </c>
      <c r="Q1733">
        <v>0.255377179993863</v>
      </c>
      <c r="R1733">
        <v>0.96202609438509801</v>
      </c>
      <c r="S1733" t="s">
        <v>8403</v>
      </c>
      <c r="T1733" t="s">
        <v>13338</v>
      </c>
      <c r="U1733" t="s">
        <v>13338</v>
      </c>
      <c r="V1733" t="s">
        <v>13338</v>
      </c>
      <c r="W1733" t="s">
        <v>15035</v>
      </c>
      <c r="X1733">
        <v>6</v>
      </c>
      <c r="Y1733" t="s">
        <v>21629</v>
      </c>
      <c r="Z1733" t="s">
        <v>28148</v>
      </c>
      <c r="AA1733">
        <v>0.52486459059386059</v>
      </c>
      <c r="AB1733" t="str">
        <f>HYPERLINK("Melting_Curves/meltCurve_O95197_2_RTN3.pdf", "Melting_Curves/meltCurve_O95197_2_RTN3.pdf")</f>
        <v>Melting_Curves/meltCurve_O95197_2_RTN3.pdf</v>
      </c>
    </row>
    <row r="1734" spans="1:28" x14ac:dyDescent="0.25">
      <c r="A1734" t="s">
        <v>1738</v>
      </c>
      <c r="B1734">
        <v>0.99193492352474899</v>
      </c>
      <c r="C1734">
        <v>0.89151904135986604</v>
      </c>
      <c r="D1734">
        <v>0.86229868754675498</v>
      </c>
      <c r="E1734">
        <v>0.74236768282753096</v>
      </c>
      <c r="F1734">
        <v>0.256756926688047</v>
      </c>
      <c r="G1734">
        <v>0.15414717756419899</v>
      </c>
      <c r="H1734">
        <v>8.9577199613095904E-2</v>
      </c>
      <c r="I1734">
        <v>9.5871705608739005E-2</v>
      </c>
      <c r="J1734">
        <v>8.7177250547497101E-2</v>
      </c>
      <c r="K1734">
        <v>9.53288540245672E-2</v>
      </c>
      <c r="L1734">
        <v>1308.12957330369</v>
      </c>
      <c r="M1734">
        <v>25.741380177786301</v>
      </c>
      <c r="N1734">
        <v>51.186603848376102</v>
      </c>
      <c r="O1734">
        <v>50.514417777541802</v>
      </c>
      <c r="P1734">
        <v>-0.11662397737659599</v>
      </c>
      <c r="Q1734">
        <v>8.4567455155691001E-2</v>
      </c>
      <c r="R1734">
        <v>0.98344103189644105</v>
      </c>
      <c r="S1734" t="s">
        <v>8404</v>
      </c>
      <c r="T1734" t="s">
        <v>13338</v>
      </c>
      <c r="U1734" t="s">
        <v>13338</v>
      </c>
      <c r="V1734" t="s">
        <v>13338</v>
      </c>
      <c r="W1734" t="s">
        <v>15036</v>
      </c>
      <c r="X1734">
        <v>30</v>
      </c>
      <c r="Y1734" t="s">
        <v>21630</v>
      </c>
      <c r="Z1734" t="s">
        <v>28149</v>
      </c>
      <c r="AA1734">
        <v>0.42246711262032799</v>
      </c>
      <c r="AB1734" t="str">
        <f>HYPERLINK("Melting_Curves/meltCurve_O95202_LETM1.pdf", "Melting_Curves/meltCurve_O95202_LETM1.pdf")</f>
        <v>Melting_Curves/meltCurve_O95202_LETM1.pdf</v>
      </c>
    </row>
    <row r="1735" spans="1:28" x14ac:dyDescent="0.25">
      <c r="A1735" t="s">
        <v>1739</v>
      </c>
      <c r="B1735">
        <v>0.99193492352474899</v>
      </c>
      <c r="C1735">
        <v>1.02433393117688</v>
      </c>
      <c r="D1735">
        <v>0.85129093172884995</v>
      </c>
      <c r="E1735">
        <v>0.88077685468155897</v>
      </c>
      <c r="F1735">
        <v>0.65952838468986297</v>
      </c>
      <c r="G1735">
        <v>0.47872033433866401</v>
      </c>
      <c r="H1735">
        <v>0.45052855185782498</v>
      </c>
      <c r="I1735">
        <v>0.606106423820165</v>
      </c>
      <c r="J1735">
        <v>0.67144700123387902</v>
      </c>
      <c r="K1735">
        <v>0.82046547624358901</v>
      </c>
      <c r="L1735">
        <v>1688.6214060096099</v>
      </c>
      <c r="M1735">
        <v>33.604724742039799</v>
      </c>
      <c r="O1735">
        <v>50.072579289046303</v>
      </c>
      <c r="P1735">
        <v>-6.6117030744034494E-2</v>
      </c>
      <c r="Q1735">
        <v>0.60593201837431598</v>
      </c>
      <c r="R1735">
        <v>0.69121048568100396</v>
      </c>
      <c r="S1735" t="s">
        <v>8405</v>
      </c>
      <c r="T1735" t="s">
        <v>13338</v>
      </c>
      <c r="U1735" t="s">
        <v>13338</v>
      </c>
      <c r="V1735" t="s">
        <v>13338</v>
      </c>
      <c r="W1735" t="s">
        <v>15037</v>
      </c>
      <c r="X1735">
        <v>15</v>
      </c>
      <c r="Y1735" t="s">
        <v>21631</v>
      </c>
      <c r="Z1735" t="s">
        <v>28150</v>
      </c>
      <c r="AA1735">
        <v>0.74251176314424305</v>
      </c>
      <c r="AB1735" t="str">
        <f>HYPERLINK("Melting_Curves/meltCurve_O95218_2_ZRANB2.pdf", "Melting_Curves/meltCurve_O95218_2_ZRANB2.pdf")</f>
        <v>Melting_Curves/meltCurve_O95218_2_ZRANB2.pdf</v>
      </c>
    </row>
    <row r="1736" spans="1:28" x14ac:dyDescent="0.25">
      <c r="A1736" t="s">
        <v>1740</v>
      </c>
      <c r="B1736">
        <v>0.99193492352474899</v>
      </c>
      <c r="C1736">
        <v>0.80611785065419295</v>
      </c>
      <c r="D1736">
        <v>0.62837795556728804</v>
      </c>
      <c r="E1736">
        <v>0.31384721929635501</v>
      </c>
      <c r="F1736">
        <v>0.18659942666981899</v>
      </c>
      <c r="G1736">
        <v>0.10629670110202601</v>
      </c>
      <c r="H1736">
        <v>8.2965507458929E-2</v>
      </c>
      <c r="I1736">
        <v>9.3992291691862698E-2</v>
      </c>
      <c r="J1736">
        <v>0.14721028220580101</v>
      </c>
      <c r="K1736">
        <v>0.120049713632029</v>
      </c>
      <c r="L1736">
        <v>868.76005510675202</v>
      </c>
      <c r="M1736">
        <v>18.652558909423099</v>
      </c>
      <c r="N1736">
        <v>47.147325561805303</v>
      </c>
      <c r="O1736">
        <v>46.050485546742401</v>
      </c>
      <c r="P1736">
        <v>-9.1021205177906794E-2</v>
      </c>
      <c r="Q1736">
        <v>0.101165663600566</v>
      </c>
      <c r="R1736">
        <v>0.99275038817633299</v>
      </c>
      <c r="S1736" t="s">
        <v>8406</v>
      </c>
      <c r="T1736" t="s">
        <v>13338</v>
      </c>
      <c r="U1736" t="s">
        <v>13338</v>
      </c>
      <c r="V1736" t="s">
        <v>13338</v>
      </c>
      <c r="W1736" t="s">
        <v>15038</v>
      </c>
      <c r="X1736">
        <v>3</v>
      </c>
      <c r="Y1736" t="s">
        <v>21632</v>
      </c>
      <c r="Z1736" t="s">
        <v>28151</v>
      </c>
      <c r="AA1736">
        <v>0.31386911680087981</v>
      </c>
      <c r="AB1736" t="str">
        <f>HYPERLINK("Melting_Curves/meltCurve_O95219_SNX4.pdf", "Melting_Curves/meltCurve_O95219_SNX4.pdf")</f>
        <v>Melting_Curves/meltCurve_O95219_SNX4.pdf</v>
      </c>
    </row>
    <row r="1737" spans="1:28" x14ac:dyDescent="0.25">
      <c r="A1737" t="s">
        <v>1741</v>
      </c>
      <c r="B1737">
        <v>0.99193492352474899</v>
      </c>
      <c r="C1737">
        <v>0.73595244043779295</v>
      </c>
      <c r="D1737">
        <v>0.59809585184510505</v>
      </c>
      <c r="E1737">
        <v>0.31219010948202902</v>
      </c>
      <c r="F1737">
        <v>0.22133734580186601</v>
      </c>
      <c r="G1737">
        <v>0.140916537020675</v>
      </c>
      <c r="H1737">
        <v>9.8566766251285604E-2</v>
      </c>
      <c r="I1737">
        <v>0.12372363963428699</v>
      </c>
      <c r="J1737">
        <v>0.153066197310954</v>
      </c>
      <c r="K1737">
        <v>0.203697069493185</v>
      </c>
      <c r="L1737">
        <v>794.38875898471201</v>
      </c>
      <c r="M1737">
        <v>17.312949863592699</v>
      </c>
      <c r="N1737">
        <v>46.741425811105501</v>
      </c>
      <c r="O1737">
        <v>45.285036400773897</v>
      </c>
      <c r="P1737">
        <v>-8.258031927442E-2</v>
      </c>
      <c r="Q1737">
        <v>0.13603684913149899</v>
      </c>
      <c r="R1737">
        <v>0.98033125652834396</v>
      </c>
      <c r="S1737" t="s">
        <v>8407</v>
      </c>
      <c r="T1737" t="s">
        <v>13338</v>
      </c>
      <c r="U1737" t="s">
        <v>13338</v>
      </c>
      <c r="V1737" t="s">
        <v>13338</v>
      </c>
      <c r="W1737" t="s">
        <v>15039</v>
      </c>
      <c r="X1737">
        <v>5</v>
      </c>
      <c r="Y1737" t="s">
        <v>21633</v>
      </c>
      <c r="Z1737" t="s">
        <v>28152</v>
      </c>
      <c r="AA1737">
        <v>0.32416355883358361</v>
      </c>
      <c r="AB1737" t="str">
        <f>HYPERLINK("Melting_Curves/meltCurve_O95229_ZWINT.pdf", "Melting_Curves/meltCurve_O95229_ZWINT.pdf")</f>
        <v>Melting_Curves/meltCurve_O95229_ZWINT.pdf</v>
      </c>
    </row>
    <row r="1738" spans="1:28" x14ac:dyDescent="0.25">
      <c r="A1738" t="s">
        <v>1742</v>
      </c>
      <c r="B1738">
        <v>0.99193492352474899</v>
      </c>
      <c r="C1738">
        <v>0.84697206015728199</v>
      </c>
      <c r="D1738">
        <v>0.926367810800512</v>
      </c>
      <c r="E1738">
        <v>0.79219100430493705</v>
      </c>
      <c r="F1738">
        <v>0.38114311202449402</v>
      </c>
      <c r="G1738">
        <v>0.133817271801805</v>
      </c>
      <c r="H1738">
        <v>8.1383408251765293E-2</v>
      </c>
      <c r="I1738">
        <v>8.7856315645956806E-2</v>
      </c>
      <c r="J1738">
        <v>0.11732594130933501</v>
      </c>
      <c r="K1738">
        <v>0.132173286581725</v>
      </c>
      <c r="L1738">
        <v>1427.41523914034</v>
      </c>
      <c r="M1738">
        <v>27.648244062715399</v>
      </c>
      <c r="N1738">
        <v>52.023949730289502</v>
      </c>
      <c r="O1738">
        <v>51.359887662930497</v>
      </c>
      <c r="P1738">
        <v>-0.121804099196601</v>
      </c>
      <c r="Q1738">
        <v>9.4946126317336205E-2</v>
      </c>
      <c r="R1738">
        <v>0.97958723767480504</v>
      </c>
      <c r="S1738" t="s">
        <v>8408</v>
      </c>
      <c r="T1738" t="s">
        <v>13338</v>
      </c>
      <c r="U1738" t="s">
        <v>13338</v>
      </c>
      <c r="V1738" t="s">
        <v>13338</v>
      </c>
      <c r="W1738" t="s">
        <v>15040</v>
      </c>
      <c r="X1738">
        <v>16</v>
      </c>
      <c r="Y1738" t="s">
        <v>21634</v>
      </c>
      <c r="Z1738" t="s">
        <v>28153</v>
      </c>
      <c r="AA1738">
        <v>0.45249445823096868</v>
      </c>
      <c r="AB1738" t="str">
        <f>HYPERLINK("Melting_Curves/meltCurve_O95232_LUC7L3.pdf", "Melting_Curves/meltCurve_O95232_LUC7L3.pdf")</f>
        <v>Melting_Curves/meltCurve_O95232_LUC7L3.pdf</v>
      </c>
    </row>
    <row r="1739" spans="1:28" x14ac:dyDescent="0.25">
      <c r="A1739" t="s">
        <v>1743</v>
      </c>
      <c r="B1739">
        <v>0.99193492352474899</v>
      </c>
      <c r="C1739">
        <v>0.55458461267245895</v>
      </c>
      <c r="D1739">
        <v>0.625438889147793</v>
      </c>
      <c r="E1739">
        <v>0.27405392326402001</v>
      </c>
      <c r="F1739">
        <v>0.19254558599687199</v>
      </c>
      <c r="G1739">
        <v>0.121356417526801</v>
      </c>
      <c r="H1739">
        <v>0.127377599170961</v>
      </c>
      <c r="I1739">
        <v>0.16538366734224599</v>
      </c>
      <c r="J1739">
        <v>0.18014455769629101</v>
      </c>
      <c r="K1739">
        <v>0.35809337060604801</v>
      </c>
      <c r="L1739">
        <v>753.84698361747496</v>
      </c>
      <c r="M1739">
        <v>16.939889921902498</v>
      </c>
      <c r="N1739">
        <v>45.715496608117199</v>
      </c>
      <c r="O1739">
        <v>43.895012767550703</v>
      </c>
      <c r="P1739">
        <v>-7.9006129096545905E-2</v>
      </c>
      <c r="Q1739">
        <v>0.181161658947951</v>
      </c>
      <c r="R1739">
        <v>0.86151238861822799</v>
      </c>
      <c r="S1739" t="s">
        <v>8409</v>
      </c>
      <c r="T1739" t="s">
        <v>13338</v>
      </c>
      <c r="U1739" t="s">
        <v>13338</v>
      </c>
      <c r="V1739" t="s">
        <v>13338</v>
      </c>
      <c r="W1739" t="s">
        <v>15041</v>
      </c>
      <c r="X1739">
        <v>2</v>
      </c>
      <c r="Y1739" t="s">
        <v>21635</v>
      </c>
      <c r="Z1739" t="s">
        <v>28154</v>
      </c>
      <c r="AA1739">
        <v>0.32550491174101281</v>
      </c>
      <c r="AB1739" t="str">
        <f>HYPERLINK("Melting_Curves/meltCurve_O95235_KIF20A.pdf", "Melting_Curves/meltCurve_O95235_KIF20A.pdf")</f>
        <v>Melting_Curves/meltCurve_O95235_KIF20A.pdf</v>
      </c>
    </row>
    <row r="1740" spans="1:28" x14ac:dyDescent="0.25">
      <c r="A1740" t="s">
        <v>1744</v>
      </c>
      <c r="B1740">
        <v>0.99193492352474899</v>
      </c>
      <c r="C1740">
        <v>0.73331451088620803</v>
      </c>
      <c r="D1740">
        <v>0.38153424637314998</v>
      </c>
      <c r="E1740">
        <v>0.19613247920431701</v>
      </c>
      <c r="F1740">
        <v>0.13476119818357499</v>
      </c>
      <c r="G1740">
        <v>6.5234647503001605E-2</v>
      </c>
      <c r="H1740">
        <v>4.8445410615198498E-2</v>
      </c>
      <c r="I1740">
        <v>5.45446742710873E-2</v>
      </c>
      <c r="J1740">
        <v>6.2067703279237003E-2</v>
      </c>
      <c r="K1740">
        <v>5.8102300201497897E-2</v>
      </c>
      <c r="L1740">
        <v>985.48828726557394</v>
      </c>
      <c r="M1740">
        <v>21.9930578597167</v>
      </c>
      <c r="N1740">
        <v>45.097637113368698</v>
      </c>
      <c r="O1740">
        <v>44.443542597292598</v>
      </c>
      <c r="P1740">
        <v>-0.115595201976775</v>
      </c>
      <c r="Q1740">
        <v>6.5642560920952303E-2</v>
      </c>
      <c r="R1740">
        <v>0.99313020949219999</v>
      </c>
      <c r="S1740" t="s">
        <v>8410</v>
      </c>
      <c r="T1740" t="s">
        <v>13338</v>
      </c>
      <c r="U1740" t="s">
        <v>13338</v>
      </c>
      <c r="V1740" t="s">
        <v>13338</v>
      </c>
      <c r="W1740" t="s">
        <v>15042</v>
      </c>
      <c r="X1740">
        <v>26</v>
      </c>
      <c r="Y1740" t="s">
        <v>21636</v>
      </c>
      <c r="Z1740" t="s">
        <v>28155</v>
      </c>
      <c r="AA1740">
        <v>0.22835357256858971</v>
      </c>
      <c r="AB1740" t="str">
        <f>HYPERLINK("Melting_Curves/meltCurve_O95239_KIF4A.pdf", "Melting_Curves/meltCurve_O95239_KIF4A.pdf")</f>
        <v>Melting_Curves/meltCurve_O95239_KIF4A.pdf</v>
      </c>
    </row>
    <row r="1741" spans="1:28" x14ac:dyDescent="0.25">
      <c r="A1741" t="s">
        <v>1745</v>
      </c>
      <c r="B1741">
        <v>0.99193492352474899</v>
      </c>
      <c r="C1741">
        <v>0.45489713143821597</v>
      </c>
      <c r="D1741">
        <v>0.44157916257181501</v>
      </c>
      <c r="E1741">
        <v>0.116688283213668</v>
      </c>
      <c r="F1741">
        <v>0.103328121948579</v>
      </c>
      <c r="G1741">
        <v>4.7309217839092997E-2</v>
      </c>
      <c r="H1741">
        <v>4.0697581489353901E-2</v>
      </c>
      <c r="I1741">
        <v>4.8790869824588301E-2</v>
      </c>
      <c r="J1741">
        <v>7.3710372742790103E-2</v>
      </c>
      <c r="K1741">
        <v>8.3943416020799702E-2</v>
      </c>
      <c r="L1741">
        <v>825.12167737069797</v>
      </c>
      <c r="M1741">
        <v>18.884119978614802</v>
      </c>
      <c r="N1741">
        <v>43.989179114577297</v>
      </c>
      <c r="O1741">
        <v>43.212809860921098</v>
      </c>
      <c r="P1741">
        <v>-0.10275286599738701</v>
      </c>
      <c r="Q1741">
        <v>5.9514822520331301E-2</v>
      </c>
      <c r="R1741">
        <v>0.93042591902842497</v>
      </c>
      <c r="S1741" t="s">
        <v>8411</v>
      </c>
      <c r="T1741" t="s">
        <v>13338</v>
      </c>
      <c r="U1741" t="s">
        <v>13338</v>
      </c>
      <c r="V1741" t="s">
        <v>13338</v>
      </c>
      <c r="W1741" t="s">
        <v>15043</v>
      </c>
      <c r="X1741">
        <v>5</v>
      </c>
      <c r="Y1741" t="s">
        <v>21637</v>
      </c>
      <c r="Z1741" t="s">
        <v>28156</v>
      </c>
      <c r="AA1741">
        <v>0.19723559567832569</v>
      </c>
      <c r="AB1741" t="str">
        <f>HYPERLINK("Melting_Curves/meltCurve_O95251_4_KAT7.pdf", "Melting_Curves/meltCurve_O95251_4_KAT7.pdf")</f>
        <v>Melting_Curves/meltCurve_O95251_4_KAT7.pdf</v>
      </c>
    </row>
    <row r="1742" spans="1:28" x14ac:dyDescent="0.25">
      <c r="A1742" t="s">
        <v>1746</v>
      </c>
      <c r="B1742">
        <v>0.99193492352474899</v>
      </c>
      <c r="C1742">
        <v>0.97041779213366197</v>
      </c>
      <c r="D1742">
        <v>1.0494819090634799</v>
      </c>
      <c r="E1742">
        <v>0.88468719031433896</v>
      </c>
      <c r="F1742">
        <v>0.50881559984802605</v>
      </c>
      <c r="G1742">
        <v>0.23091989553597</v>
      </c>
      <c r="H1742">
        <v>0.122497702339915</v>
      </c>
      <c r="I1742">
        <v>0.160119137678495</v>
      </c>
      <c r="J1742">
        <v>0.214953548936618</v>
      </c>
      <c r="K1742">
        <v>0.280267523964638</v>
      </c>
      <c r="L1742">
        <v>1868.1516636505301</v>
      </c>
      <c r="M1742">
        <v>35.622510168342998</v>
      </c>
      <c r="N1742">
        <v>53.165042081943902</v>
      </c>
      <c r="O1742">
        <v>52.278566488103401</v>
      </c>
      <c r="P1742">
        <v>-0.13768068755438101</v>
      </c>
      <c r="Q1742">
        <v>0.191777907392816</v>
      </c>
      <c r="R1742">
        <v>0.98539091521054201</v>
      </c>
      <c r="S1742" t="s">
        <v>8412</v>
      </c>
      <c r="T1742" t="s">
        <v>13338</v>
      </c>
      <c r="U1742" t="s">
        <v>13338</v>
      </c>
      <c r="V1742" t="s">
        <v>13338</v>
      </c>
      <c r="W1742" t="s">
        <v>15044</v>
      </c>
      <c r="X1742">
        <v>11</v>
      </c>
      <c r="Y1742" t="s">
        <v>21638</v>
      </c>
      <c r="Z1742" t="s">
        <v>28157</v>
      </c>
      <c r="AA1742">
        <v>0.53069583184877145</v>
      </c>
      <c r="AB1742" t="str">
        <f>HYPERLINK("Melting_Curves/meltCurve_O95292_VAPB.pdf", "Melting_Curves/meltCurve_O95292_VAPB.pdf")</f>
        <v>Melting_Curves/meltCurve_O95292_VAPB.pdf</v>
      </c>
    </row>
    <row r="1743" spans="1:28" x14ac:dyDescent="0.25">
      <c r="A1743" t="s">
        <v>1747</v>
      </c>
      <c r="B1743">
        <v>0.99193492352474899</v>
      </c>
      <c r="C1743">
        <v>1.1464396764886</v>
      </c>
      <c r="D1743">
        <v>0.81136226216615803</v>
      </c>
      <c r="E1743">
        <v>0.80634933735445602</v>
      </c>
      <c r="F1743">
        <v>0.53728414112132605</v>
      </c>
      <c r="G1743">
        <v>0.42934452248744998</v>
      </c>
      <c r="H1743">
        <v>0.26976031433423298</v>
      </c>
      <c r="I1743">
        <v>0.25541254772942001</v>
      </c>
      <c r="J1743">
        <v>0.29258188762137299</v>
      </c>
      <c r="K1743">
        <v>0.34205662268304099</v>
      </c>
      <c r="L1743">
        <v>937.85077363374603</v>
      </c>
      <c r="M1743">
        <v>18.143935485390301</v>
      </c>
      <c r="N1743">
        <v>54.092477823352098</v>
      </c>
      <c r="O1743">
        <v>51.073861992844698</v>
      </c>
      <c r="P1743">
        <v>-6.4242286600311005E-2</v>
      </c>
      <c r="Q1743">
        <v>0.276685081167515</v>
      </c>
      <c r="R1743">
        <v>0.94622812929140399</v>
      </c>
      <c r="S1743" t="s">
        <v>8413</v>
      </c>
      <c r="T1743" t="s">
        <v>13338</v>
      </c>
      <c r="U1743" t="s">
        <v>13338</v>
      </c>
      <c r="V1743" t="s">
        <v>13338</v>
      </c>
      <c r="W1743" t="s">
        <v>15045</v>
      </c>
      <c r="X1743">
        <v>8</v>
      </c>
      <c r="Y1743" t="s">
        <v>21639</v>
      </c>
      <c r="Z1743" t="s">
        <v>28158</v>
      </c>
      <c r="AA1743">
        <v>0.5704444014490696</v>
      </c>
      <c r="AB1743" t="str">
        <f>HYPERLINK("Melting_Curves/meltCurve_O95295_SNAPIN.pdf", "Melting_Curves/meltCurve_O95295_SNAPIN.pdf")</f>
        <v>Melting_Curves/meltCurve_O95295_SNAPIN.pdf</v>
      </c>
    </row>
    <row r="1744" spans="1:28" x14ac:dyDescent="0.25">
      <c r="A1744" t="s">
        <v>1748</v>
      </c>
      <c r="B1744">
        <v>0.99193492352474899</v>
      </c>
      <c r="C1744">
        <v>0.881603942669275</v>
      </c>
      <c r="D1744">
        <v>0.96417487525749401</v>
      </c>
      <c r="E1744">
        <v>0.69315011343129496</v>
      </c>
      <c r="F1744">
        <v>0.60077446807018497</v>
      </c>
      <c r="G1744">
        <v>0.44309782360774902</v>
      </c>
      <c r="H1744">
        <v>0.354304835676097</v>
      </c>
      <c r="I1744">
        <v>0.41024836661022801</v>
      </c>
      <c r="J1744">
        <v>0.48406567061800498</v>
      </c>
      <c r="K1744">
        <v>0.55923090285181398</v>
      </c>
      <c r="L1744">
        <v>1101.89669544157</v>
      </c>
      <c r="M1744">
        <v>22.2273995961236</v>
      </c>
      <c r="N1744">
        <v>55.209971787856297</v>
      </c>
      <c r="O1744">
        <v>49.1777507295267</v>
      </c>
      <c r="P1744">
        <v>-6.2341011392073299E-2</v>
      </c>
      <c r="Q1744">
        <v>0.44829777578963298</v>
      </c>
      <c r="R1744">
        <v>0.91285959061450495</v>
      </c>
      <c r="S1744" t="s">
        <v>8414</v>
      </c>
      <c r="T1744" t="s">
        <v>13338</v>
      </c>
      <c r="U1744" t="s">
        <v>13338</v>
      </c>
      <c r="V1744" t="s">
        <v>13338</v>
      </c>
      <c r="W1744" t="s">
        <v>15046</v>
      </c>
      <c r="X1744">
        <v>6</v>
      </c>
      <c r="Y1744" t="s">
        <v>21640</v>
      </c>
      <c r="Z1744" t="s">
        <v>28159</v>
      </c>
      <c r="AA1744">
        <v>0.63059055832671007</v>
      </c>
      <c r="AB1744" t="str">
        <f>HYPERLINK("Melting_Curves/meltCurve_O95297_2_MPZL1.pdf", "Melting_Curves/meltCurve_O95297_2_MPZL1.pdf")</f>
        <v>Melting_Curves/meltCurve_O95297_2_MPZL1.pdf</v>
      </c>
    </row>
    <row r="1745" spans="1:28" x14ac:dyDescent="0.25">
      <c r="A1745" t="s">
        <v>1749</v>
      </c>
      <c r="B1745">
        <v>0.99193492352474899</v>
      </c>
      <c r="C1745">
        <v>0.80634730515211805</v>
      </c>
      <c r="D1745">
        <v>0.87394014430621303</v>
      </c>
      <c r="E1745">
        <v>0.72642687801820804</v>
      </c>
      <c r="F1745">
        <v>0.59011742782031995</v>
      </c>
      <c r="G1745">
        <v>0.40141540346325699</v>
      </c>
      <c r="H1745">
        <v>0.29492250536832398</v>
      </c>
      <c r="I1745">
        <v>0.19581088152277301</v>
      </c>
      <c r="J1745">
        <v>0.166955000833065</v>
      </c>
      <c r="K1745">
        <v>0.14815765651690299</v>
      </c>
      <c r="L1745">
        <v>474.97036716565401</v>
      </c>
      <c r="M1745">
        <v>8.6784743025176301</v>
      </c>
      <c r="N1745">
        <v>54.729708268391803</v>
      </c>
      <c r="O1745">
        <v>52.056671614722198</v>
      </c>
      <c r="P1745">
        <v>-4.1712752059539802E-2</v>
      </c>
      <c r="Q1745">
        <v>0</v>
      </c>
      <c r="R1745">
        <v>0.98161777816806395</v>
      </c>
      <c r="S1745" t="s">
        <v>8415</v>
      </c>
      <c r="T1745" t="s">
        <v>13338</v>
      </c>
      <c r="U1745" t="s">
        <v>13338</v>
      </c>
      <c r="V1745" t="s">
        <v>13338</v>
      </c>
      <c r="W1745" t="s">
        <v>15047</v>
      </c>
      <c r="X1745">
        <v>4</v>
      </c>
      <c r="Y1745" t="s">
        <v>21641</v>
      </c>
      <c r="Z1745" t="s">
        <v>28160</v>
      </c>
      <c r="AA1745">
        <v>0.51954717082660407</v>
      </c>
      <c r="AB1745" t="str">
        <f>HYPERLINK("Melting_Curves/meltCurve_O95298_2_NDUFC2.pdf", "Melting_Curves/meltCurve_O95298_2_NDUFC2.pdf")</f>
        <v>Melting_Curves/meltCurve_O95298_2_NDUFC2.pdf</v>
      </c>
    </row>
    <row r="1746" spans="1:28" x14ac:dyDescent="0.25">
      <c r="A1746" t="s">
        <v>1750</v>
      </c>
      <c r="B1746">
        <v>0.99193492352474899</v>
      </c>
      <c r="C1746">
        <v>1.03077170429281</v>
      </c>
      <c r="D1746">
        <v>0.911860063030414</v>
      </c>
      <c r="E1746">
        <v>0.98174967353988996</v>
      </c>
      <c r="F1746">
        <v>0.74638155337770895</v>
      </c>
      <c r="G1746">
        <v>0.68388556610262297</v>
      </c>
      <c r="H1746">
        <v>0.47784926247999399</v>
      </c>
      <c r="I1746">
        <v>0.33427695942675301</v>
      </c>
      <c r="J1746">
        <v>0.21726591587425101</v>
      </c>
      <c r="K1746">
        <v>1.29720686214713</v>
      </c>
      <c r="L1746">
        <v>1922.71807379354</v>
      </c>
      <c r="M1746">
        <v>36.488487238661499</v>
      </c>
      <c r="O1746">
        <v>52.536306377596297</v>
      </c>
      <c r="P1746">
        <v>-7.0535466816055006E-2</v>
      </c>
      <c r="Q1746">
        <v>0.59377194235586706</v>
      </c>
      <c r="R1746">
        <v>0.30252510109096697</v>
      </c>
      <c r="S1746" t="s">
        <v>8416</v>
      </c>
      <c r="T1746" t="s">
        <v>13338</v>
      </c>
      <c r="U1746" t="s">
        <v>13338</v>
      </c>
      <c r="V1746" t="s">
        <v>13338</v>
      </c>
      <c r="W1746" t="s">
        <v>15048</v>
      </c>
      <c r="X1746">
        <v>9</v>
      </c>
      <c r="Y1746" t="s">
        <v>21642</v>
      </c>
      <c r="Z1746" t="s">
        <v>28161</v>
      </c>
      <c r="AA1746">
        <v>0.7674356746048544</v>
      </c>
      <c r="AB1746" t="str">
        <f>HYPERLINK("Melting_Curves/meltCurve_O95336_PGLS.pdf", "Melting_Curves/meltCurve_O95336_PGLS.pdf")</f>
        <v>Melting_Curves/meltCurve_O95336_PGLS.pdf</v>
      </c>
    </row>
    <row r="1747" spans="1:28" x14ac:dyDescent="0.25">
      <c r="A1747" t="s">
        <v>1751</v>
      </c>
      <c r="B1747">
        <v>0.99193492352474899</v>
      </c>
      <c r="C1747">
        <v>0.78631920650981602</v>
      </c>
      <c r="D1747">
        <v>0.80208388385347296</v>
      </c>
      <c r="E1747">
        <v>0.50532726609564604</v>
      </c>
      <c r="F1747">
        <v>0.163723713924671</v>
      </c>
      <c r="G1747">
        <v>0.107406232710944</v>
      </c>
      <c r="H1747">
        <v>6.8305285050256404E-2</v>
      </c>
      <c r="I1747">
        <v>7.1306714905467194E-2</v>
      </c>
      <c r="J1747">
        <v>7.7467943365970501E-2</v>
      </c>
      <c r="K1747">
        <v>8.0376097580581105E-2</v>
      </c>
      <c r="L1747">
        <v>848.79604311615401</v>
      </c>
      <c r="M1747">
        <v>17.405934380812301</v>
      </c>
      <c r="N1747">
        <v>49.062298723041302</v>
      </c>
      <c r="O1747">
        <v>48.134736795961103</v>
      </c>
      <c r="P1747">
        <v>-8.5878684636952807E-2</v>
      </c>
      <c r="Q1747">
        <v>5.0090599781728903E-2</v>
      </c>
      <c r="R1747">
        <v>0.97662048187627803</v>
      </c>
      <c r="S1747" t="s">
        <v>8417</v>
      </c>
      <c r="T1747" t="s">
        <v>13338</v>
      </c>
      <c r="U1747" t="s">
        <v>13338</v>
      </c>
      <c r="V1747" t="s">
        <v>13338</v>
      </c>
      <c r="W1747" t="s">
        <v>15049</v>
      </c>
      <c r="X1747">
        <v>56</v>
      </c>
      <c r="Y1747" t="s">
        <v>21643</v>
      </c>
      <c r="Z1747" t="s">
        <v>28162</v>
      </c>
      <c r="AA1747">
        <v>0.34529762320843438</v>
      </c>
      <c r="AB1747" t="str">
        <f>HYPERLINK("Melting_Curves/meltCurve_O95347_SMC2.pdf", "Melting_Curves/meltCurve_O95347_SMC2.pdf")</f>
        <v>Melting_Curves/meltCurve_O95347_SMC2.pdf</v>
      </c>
    </row>
    <row r="1748" spans="1:28" x14ac:dyDescent="0.25">
      <c r="A1748" t="s">
        <v>1752</v>
      </c>
      <c r="B1748">
        <v>0.99193492352474899</v>
      </c>
      <c r="C1748">
        <v>1.0351546780819101</v>
      </c>
      <c r="D1748">
        <v>0.91040858041637895</v>
      </c>
      <c r="E1748">
        <v>0.76685127345231896</v>
      </c>
      <c r="F1748">
        <v>0.20599519485561099</v>
      </c>
      <c r="G1748">
        <v>0.109836706605727</v>
      </c>
      <c r="H1748">
        <v>6.91032571342447E-2</v>
      </c>
      <c r="I1748">
        <v>7.0186305664114601E-2</v>
      </c>
      <c r="J1748">
        <v>9.2445236996067104E-2</v>
      </c>
      <c r="K1748">
        <v>8.4339023603080807E-2</v>
      </c>
      <c r="L1748">
        <v>2005.6289895149</v>
      </c>
      <c r="M1748">
        <v>39.428674673872997</v>
      </c>
      <c r="N1748">
        <v>51.093576678894799</v>
      </c>
      <c r="O1748">
        <v>50.736963613949797</v>
      </c>
      <c r="P1748">
        <v>-0.17871431050803799</v>
      </c>
      <c r="Q1748">
        <v>8.0121390372798196E-2</v>
      </c>
      <c r="R1748">
        <v>0.99518836072143702</v>
      </c>
      <c r="S1748" t="s">
        <v>8418</v>
      </c>
      <c r="T1748" t="s">
        <v>13338</v>
      </c>
      <c r="U1748" t="s">
        <v>13338</v>
      </c>
      <c r="V1748" t="s">
        <v>13338</v>
      </c>
      <c r="W1748" t="s">
        <v>15050</v>
      </c>
      <c r="X1748">
        <v>12</v>
      </c>
      <c r="Y1748" t="s">
        <v>21644</v>
      </c>
      <c r="Z1748" t="s">
        <v>28163</v>
      </c>
      <c r="AA1748">
        <v>0.41666977860311699</v>
      </c>
      <c r="AB1748" t="str">
        <f>HYPERLINK("Melting_Curves/meltCurve_O95352_ATG7.pdf", "Melting_Curves/meltCurve_O95352_ATG7.pdf")</f>
        <v>Melting_Curves/meltCurve_O95352_ATG7.pdf</v>
      </c>
    </row>
    <row r="1749" spans="1:28" x14ac:dyDescent="0.25">
      <c r="A1749" t="s">
        <v>1753</v>
      </c>
      <c r="B1749">
        <v>0.99193492352474899</v>
      </c>
      <c r="C1749">
        <v>1.1589211450725501</v>
      </c>
      <c r="D1749">
        <v>0.99445639381155404</v>
      </c>
      <c r="E1749">
        <v>0.67878625067912302</v>
      </c>
      <c r="F1749">
        <v>0.17984438174945599</v>
      </c>
      <c r="G1749">
        <v>0.208479411423866</v>
      </c>
      <c r="H1749">
        <v>0.308796098275329</v>
      </c>
      <c r="I1749">
        <v>0.30854011765261302</v>
      </c>
      <c r="J1749">
        <v>0.15405830953258701</v>
      </c>
      <c r="K1749">
        <v>7.6634619804030302E-2</v>
      </c>
      <c r="L1749">
        <v>12419.1660428467</v>
      </c>
      <c r="M1749">
        <v>250</v>
      </c>
      <c r="N1749">
        <v>49.782447411808398</v>
      </c>
      <c r="O1749">
        <v>49.673480329708802</v>
      </c>
      <c r="P1749">
        <v>-0.99894992071926603</v>
      </c>
      <c r="Q1749">
        <v>0.20605881526276901</v>
      </c>
      <c r="R1749">
        <v>0.95597736166675495</v>
      </c>
      <c r="S1749" t="s">
        <v>8419</v>
      </c>
      <c r="T1749" t="s">
        <v>13338</v>
      </c>
      <c r="U1749" t="s">
        <v>13338</v>
      </c>
      <c r="V1749" t="s">
        <v>13338</v>
      </c>
      <c r="W1749" t="s">
        <v>15051</v>
      </c>
      <c r="X1749">
        <v>2</v>
      </c>
      <c r="Y1749" t="s">
        <v>21645</v>
      </c>
      <c r="Z1749" t="s">
        <v>28164</v>
      </c>
      <c r="AA1749">
        <v>0.46221810634700511</v>
      </c>
      <c r="AB1749" t="str">
        <f>HYPERLINK("Melting_Curves/meltCurve_O95363_FARS2.pdf", "Melting_Curves/meltCurve_O95363_FARS2.pdf")</f>
        <v>Melting_Curves/meltCurve_O95363_FARS2.pdf</v>
      </c>
    </row>
    <row r="1750" spans="1:28" x14ac:dyDescent="0.25">
      <c r="A1750" t="s">
        <v>1754</v>
      </c>
      <c r="B1750">
        <v>0.99193492352474899</v>
      </c>
      <c r="C1750">
        <v>0.82056245178297504</v>
      </c>
      <c r="D1750">
        <v>0.69250058777106205</v>
      </c>
      <c r="E1750">
        <v>0.61996977752946403</v>
      </c>
      <c r="F1750">
        <v>0.48585474697169301</v>
      </c>
      <c r="G1750">
        <v>0.35438384295154901</v>
      </c>
      <c r="H1750">
        <v>0.25197547073862903</v>
      </c>
      <c r="I1750">
        <v>0.247526577556519</v>
      </c>
      <c r="J1750">
        <v>0.25523502185714703</v>
      </c>
      <c r="K1750">
        <v>0.35705822603866899</v>
      </c>
      <c r="L1750">
        <v>544.44554443498896</v>
      </c>
      <c r="M1750">
        <v>11.219095117070999</v>
      </c>
      <c r="N1750">
        <v>51.575173862319303</v>
      </c>
      <c r="O1750">
        <v>47.063276265870797</v>
      </c>
      <c r="P1750">
        <v>-4.51708883819886E-2</v>
      </c>
      <c r="Q1750">
        <v>0.24228277091698999</v>
      </c>
      <c r="R1750">
        <v>0.96134660680194195</v>
      </c>
      <c r="S1750" t="s">
        <v>8420</v>
      </c>
      <c r="T1750" t="s">
        <v>13338</v>
      </c>
      <c r="U1750" t="s">
        <v>13338</v>
      </c>
      <c r="V1750" t="s">
        <v>13338</v>
      </c>
      <c r="W1750" t="s">
        <v>15052</v>
      </c>
      <c r="X1750">
        <v>3</v>
      </c>
      <c r="Y1750" t="s">
        <v>21646</v>
      </c>
      <c r="Z1750" t="s">
        <v>28165</v>
      </c>
      <c r="AA1750">
        <v>0.48978437434275052</v>
      </c>
      <c r="AB1750" t="str">
        <f>HYPERLINK("Melting_Curves/meltCurve_O95365_ZBTB7A.pdf", "Melting_Curves/meltCurve_O95365_ZBTB7A.pdf")</f>
        <v>Melting_Curves/meltCurve_O95365_ZBTB7A.pdf</v>
      </c>
    </row>
    <row r="1751" spans="1:28" x14ac:dyDescent="0.25">
      <c r="A1751" t="s">
        <v>1755</v>
      </c>
      <c r="B1751">
        <v>0.99193492352474899</v>
      </c>
      <c r="C1751">
        <v>1.06375208546806</v>
      </c>
      <c r="D1751">
        <v>1.0132814734206299</v>
      </c>
      <c r="E1751">
        <v>0.85161700603689205</v>
      </c>
      <c r="F1751">
        <v>0.59726624990576305</v>
      </c>
      <c r="G1751">
        <v>0.246407431229546</v>
      </c>
      <c r="H1751">
        <v>0.10837089066583599</v>
      </c>
      <c r="I1751">
        <v>0.111891128472365</v>
      </c>
      <c r="J1751">
        <v>0.106346253369816</v>
      </c>
      <c r="K1751">
        <v>0.11683645420803999</v>
      </c>
      <c r="L1751">
        <v>1375.2951603684101</v>
      </c>
      <c r="M1751">
        <v>25.743350259010999</v>
      </c>
      <c r="N1751">
        <v>53.871475049496802</v>
      </c>
      <c r="O1751">
        <v>53.104075996994098</v>
      </c>
      <c r="P1751">
        <v>-0.109512414487936</v>
      </c>
      <c r="Q1751">
        <v>9.6390209212439501E-2</v>
      </c>
      <c r="R1751">
        <v>0.99482394171505395</v>
      </c>
      <c r="S1751" t="s">
        <v>8421</v>
      </c>
      <c r="T1751" t="s">
        <v>13338</v>
      </c>
      <c r="U1751" t="s">
        <v>13338</v>
      </c>
      <c r="V1751" t="s">
        <v>13338</v>
      </c>
      <c r="W1751" t="s">
        <v>15053</v>
      </c>
      <c r="X1751">
        <v>7</v>
      </c>
      <c r="Y1751" t="s">
        <v>21647</v>
      </c>
      <c r="Z1751" t="s">
        <v>28166</v>
      </c>
      <c r="AA1751">
        <v>0.50860325393229289</v>
      </c>
      <c r="AB1751" t="str">
        <f>HYPERLINK("Melting_Curves/meltCurve_O95372_LYPLA2.pdf", "Melting_Curves/meltCurve_O95372_LYPLA2.pdf")</f>
        <v>Melting_Curves/meltCurve_O95372_LYPLA2.pdf</v>
      </c>
    </row>
    <row r="1752" spans="1:28" x14ac:dyDescent="0.25">
      <c r="A1752" t="s">
        <v>1756</v>
      </c>
      <c r="B1752">
        <v>0.99193492352474899</v>
      </c>
      <c r="C1752">
        <v>0.73052855228853997</v>
      </c>
      <c r="D1752">
        <v>0.74931065962276699</v>
      </c>
      <c r="E1752">
        <v>0.35265605905904801</v>
      </c>
      <c r="F1752">
        <v>0.18575037872440001</v>
      </c>
      <c r="G1752">
        <v>9.0794694631140996E-2</v>
      </c>
      <c r="H1752">
        <v>6.0520838697146598E-2</v>
      </c>
      <c r="I1752">
        <v>6.3833521103449795E-2</v>
      </c>
      <c r="J1752">
        <v>7.4588346831748795E-2</v>
      </c>
      <c r="K1752">
        <v>6.5575058749327397E-2</v>
      </c>
      <c r="L1752">
        <v>746.02902760686095</v>
      </c>
      <c r="M1752">
        <v>15.666288151972401</v>
      </c>
      <c r="N1752">
        <v>47.895343865403198</v>
      </c>
      <c r="O1752">
        <v>46.864372252478198</v>
      </c>
      <c r="P1752">
        <v>-7.9980683957851795E-2</v>
      </c>
      <c r="Q1752">
        <v>4.3059888463130198E-2</v>
      </c>
      <c r="R1752">
        <v>0.97441494276352403</v>
      </c>
      <c r="S1752" t="s">
        <v>8422</v>
      </c>
      <c r="T1752" t="s">
        <v>13338</v>
      </c>
      <c r="U1752" t="s">
        <v>13338</v>
      </c>
      <c r="V1752" t="s">
        <v>13338</v>
      </c>
      <c r="W1752" t="s">
        <v>15054</v>
      </c>
      <c r="X1752">
        <v>20</v>
      </c>
      <c r="Y1752" t="s">
        <v>21648</v>
      </c>
      <c r="Z1752" t="s">
        <v>28167</v>
      </c>
      <c r="AA1752">
        <v>0.30910008400485939</v>
      </c>
      <c r="AB1752" t="str">
        <f>HYPERLINK("Melting_Curves/meltCurve_O95373_IPO7.pdf", "Melting_Curves/meltCurve_O95373_IPO7.pdf")</f>
        <v>Melting_Curves/meltCurve_O95373_IPO7.pdf</v>
      </c>
    </row>
    <row r="1753" spans="1:28" x14ac:dyDescent="0.25">
      <c r="A1753" t="s">
        <v>1757</v>
      </c>
      <c r="B1753">
        <v>0.99193492352474899</v>
      </c>
      <c r="C1753">
        <v>1.17486122514211</v>
      </c>
      <c r="D1753">
        <v>1.2192611928666399</v>
      </c>
      <c r="E1753">
        <v>1.06543209443694</v>
      </c>
      <c r="F1753">
        <v>0.54161552722287298</v>
      </c>
      <c r="G1753">
        <v>0.23267079203479199</v>
      </c>
      <c r="H1753">
        <v>0.15207111488915701</v>
      </c>
      <c r="I1753">
        <v>0.17190460859836601</v>
      </c>
      <c r="J1753">
        <v>0.19769462982505101</v>
      </c>
      <c r="K1753">
        <v>0.16285702997118401</v>
      </c>
      <c r="L1753">
        <v>5419.8901918193296</v>
      </c>
      <c r="M1753">
        <v>102.121368035141</v>
      </c>
      <c r="N1753">
        <v>53.311242894800003</v>
      </c>
      <c r="O1753">
        <v>53.052684388798603</v>
      </c>
      <c r="P1753">
        <v>-0.39307212672342101</v>
      </c>
      <c r="Q1753">
        <v>0.183186405603674</v>
      </c>
      <c r="R1753">
        <v>0.955502070268619</v>
      </c>
      <c r="S1753" t="s">
        <v>8423</v>
      </c>
      <c r="T1753" t="s">
        <v>13338</v>
      </c>
      <c r="U1753" t="s">
        <v>13338</v>
      </c>
      <c r="V1753" t="s">
        <v>13338</v>
      </c>
      <c r="W1753" t="s">
        <v>15055</v>
      </c>
      <c r="X1753">
        <v>11</v>
      </c>
      <c r="Y1753" t="s">
        <v>21649</v>
      </c>
      <c r="Z1753" t="s">
        <v>28168</v>
      </c>
      <c r="AA1753">
        <v>0.5395837509806457</v>
      </c>
      <c r="AB1753" t="str">
        <f>HYPERLINK("Melting_Curves/meltCurve_O95376_ARIH2.pdf", "Melting_Curves/meltCurve_O95376_ARIH2.pdf")</f>
        <v>Melting_Curves/meltCurve_O95376_ARIH2.pdf</v>
      </c>
    </row>
    <row r="1754" spans="1:28" x14ac:dyDescent="0.25">
      <c r="A1754" t="s">
        <v>1758</v>
      </c>
      <c r="B1754">
        <v>0.99193492352474899</v>
      </c>
      <c r="C1754">
        <v>0.54961662724249905</v>
      </c>
      <c r="D1754">
        <v>0.65937903533338005</v>
      </c>
      <c r="E1754">
        <v>0.23278161345513701</v>
      </c>
      <c r="F1754">
        <v>0.18860970411328301</v>
      </c>
      <c r="G1754">
        <v>0.116319046050837</v>
      </c>
      <c r="H1754">
        <v>0.13491394942910601</v>
      </c>
      <c r="I1754">
        <v>0.168895317937821</v>
      </c>
      <c r="J1754">
        <v>0.32356074373388999</v>
      </c>
      <c r="K1754">
        <v>0.36188167687454997</v>
      </c>
      <c r="L1754">
        <v>805.463817174886</v>
      </c>
      <c r="M1754">
        <v>18.185938532826299</v>
      </c>
      <c r="N1754">
        <v>45.638141124261303</v>
      </c>
      <c r="O1754">
        <v>43.765336992387297</v>
      </c>
      <c r="P1754">
        <v>-8.2304697643347302E-2</v>
      </c>
      <c r="Q1754">
        <v>0.207756351672922</v>
      </c>
      <c r="R1754">
        <v>0.81245740764616503</v>
      </c>
      <c r="S1754" t="s">
        <v>8424</v>
      </c>
      <c r="T1754" t="s">
        <v>13338</v>
      </c>
      <c r="U1754" t="s">
        <v>13338</v>
      </c>
      <c r="V1754" t="s">
        <v>13338</v>
      </c>
      <c r="W1754" t="s">
        <v>15056</v>
      </c>
      <c r="X1754">
        <v>6</v>
      </c>
      <c r="Y1754" t="s">
        <v>21650</v>
      </c>
      <c r="Z1754" t="s">
        <v>28169</v>
      </c>
      <c r="AA1754">
        <v>0.3393342547821438</v>
      </c>
      <c r="AB1754" t="str">
        <f>HYPERLINK("Melting_Curves/meltCurve_O95391_SLU7.pdf", "Melting_Curves/meltCurve_O95391_SLU7.pdf")</f>
        <v>Melting_Curves/meltCurve_O95391_SLU7.pdf</v>
      </c>
    </row>
    <row r="1755" spans="1:28" x14ac:dyDescent="0.25">
      <c r="A1755" t="s">
        <v>1759</v>
      </c>
      <c r="B1755">
        <v>0.99193492352474899</v>
      </c>
      <c r="C1755">
        <v>0.97797975503369905</v>
      </c>
      <c r="D1755">
        <v>0.79378066686176396</v>
      </c>
      <c r="E1755">
        <v>0.60193000461801605</v>
      </c>
      <c r="F1755">
        <v>0.195395113438743</v>
      </c>
      <c r="G1755">
        <v>0.11764754295591701</v>
      </c>
      <c r="H1755">
        <v>7.4527369578808705E-2</v>
      </c>
      <c r="I1755">
        <v>0.10383979439728</v>
      </c>
      <c r="J1755">
        <v>0.123866319624205</v>
      </c>
      <c r="K1755">
        <v>0.127193570994525</v>
      </c>
      <c r="L1755">
        <v>1120.5195056902</v>
      </c>
      <c r="M1755">
        <v>22.6484473687511</v>
      </c>
      <c r="N1755">
        <v>49.925523215605097</v>
      </c>
      <c r="O1755">
        <v>49.093584533108597</v>
      </c>
      <c r="P1755">
        <v>-0.104664090432649</v>
      </c>
      <c r="Q1755">
        <v>9.2523454950799097E-2</v>
      </c>
      <c r="R1755">
        <v>0.98859029447220903</v>
      </c>
      <c r="S1755" t="s">
        <v>8425</v>
      </c>
      <c r="T1755" t="s">
        <v>13338</v>
      </c>
      <c r="U1755" t="s">
        <v>13338</v>
      </c>
      <c r="V1755" t="s">
        <v>13338</v>
      </c>
      <c r="W1755" t="s">
        <v>15057</v>
      </c>
      <c r="X1755">
        <v>9</v>
      </c>
      <c r="Y1755" t="s">
        <v>21651</v>
      </c>
      <c r="Z1755" t="s">
        <v>28170</v>
      </c>
      <c r="AA1755">
        <v>0.38898183218675958</v>
      </c>
      <c r="AB1755" t="str">
        <f>HYPERLINK("Melting_Curves/meltCurve_O95394_PGM3.pdf", "Melting_Curves/meltCurve_O95394_PGM3.pdf")</f>
        <v>Melting_Curves/meltCurve_O95394_PGM3.pdf</v>
      </c>
    </row>
    <row r="1756" spans="1:28" x14ac:dyDescent="0.25">
      <c r="A1756" t="s">
        <v>1760</v>
      </c>
      <c r="B1756">
        <v>0.99193492352474899</v>
      </c>
      <c r="C1756">
        <v>0.92294560425946803</v>
      </c>
      <c r="D1756">
        <v>1.0380985621863801</v>
      </c>
      <c r="E1756">
        <v>0.35995743909845002</v>
      </c>
      <c r="F1756">
        <v>0.14441414633492</v>
      </c>
      <c r="G1756">
        <v>6.4709557456748404E-2</v>
      </c>
      <c r="H1756">
        <v>3.8396616285316099E-2</v>
      </c>
      <c r="I1756">
        <v>3.60258270699714E-2</v>
      </c>
      <c r="J1756">
        <v>4.3417311687660602E-2</v>
      </c>
      <c r="K1756">
        <v>9.6320876206546793E-2</v>
      </c>
      <c r="L1756">
        <v>5090.8700645021599</v>
      </c>
      <c r="M1756">
        <v>103.43045540264001</v>
      </c>
      <c r="N1756">
        <v>49.292595776815602</v>
      </c>
      <c r="O1756">
        <v>49.201830701819702</v>
      </c>
      <c r="P1756">
        <v>-0.48851888769555302</v>
      </c>
      <c r="Q1756">
        <v>7.0447004482895703E-2</v>
      </c>
      <c r="R1756">
        <v>0.99017717055754695</v>
      </c>
      <c r="S1756" t="s">
        <v>8426</v>
      </c>
      <c r="T1756" t="s">
        <v>13338</v>
      </c>
      <c r="U1756" t="s">
        <v>13338</v>
      </c>
      <c r="V1756" t="s">
        <v>13338</v>
      </c>
      <c r="W1756" t="s">
        <v>15058</v>
      </c>
      <c r="X1756">
        <v>6</v>
      </c>
      <c r="Y1756" t="s">
        <v>21652</v>
      </c>
      <c r="Z1756" t="s">
        <v>28171</v>
      </c>
      <c r="AA1756">
        <v>0.35660614338569557</v>
      </c>
      <c r="AB1756" t="str">
        <f>HYPERLINK("Melting_Curves/meltCurve_O95396_MOCS3.pdf", "Melting_Curves/meltCurve_O95396_MOCS3.pdf")</f>
        <v>Melting_Curves/meltCurve_O95396_MOCS3.pdf</v>
      </c>
    </row>
    <row r="1757" spans="1:28" x14ac:dyDescent="0.25">
      <c r="A1757" t="s">
        <v>1761</v>
      </c>
      <c r="B1757">
        <v>0.99193492352474899</v>
      </c>
      <c r="C1757">
        <v>0.64598477711778501</v>
      </c>
      <c r="D1757">
        <v>0.52747238816933195</v>
      </c>
      <c r="E1757">
        <v>0.26143183467882303</v>
      </c>
      <c r="F1757">
        <v>0.21810070148636901</v>
      </c>
      <c r="G1757">
        <v>0.16786237660940401</v>
      </c>
      <c r="H1757">
        <v>0.117291716804552</v>
      </c>
      <c r="I1757">
        <v>0.18599139949895699</v>
      </c>
      <c r="J1757">
        <v>0.21489835144383401</v>
      </c>
      <c r="K1757">
        <v>0.375277540631057</v>
      </c>
      <c r="L1757">
        <v>912.84341630392203</v>
      </c>
      <c r="M1757">
        <v>20.630372542747399</v>
      </c>
      <c r="N1757">
        <v>45.434123500882698</v>
      </c>
      <c r="O1757">
        <v>43.8381010857372</v>
      </c>
      <c r="P1757">
        <v>-9.3150075965498402E-2</v>
      </c>
      <c r="Q1757">
        <v>0.208273208593547</v>
      </c>
      <c r="R1757">
        <v>0.91645861973634801</v>
      </c>
      <c r="S1757" t="s">
        <v>8427</v>
      </c>
      <c r="T1757" t="s">
        <v>13338</v>
      </c>
      <c r="U1757" t="s">
        <v>13338</v>
      </c>
      <c r="V1757" t="s">
        <v>13338</v>
      </c>
      <c r="W1757" t="s">
        <v>15059</v>
      </c>
      <c r="X1757">
        <v>5</v>
      </c>
      <c r="Y1757" t="s">
        <v>21653</v>
      </c>
      <c r="Z1757" t="s">
        <v>28172</v>
      </c>
      <c r="AA1757">
        <v>0.33414071165617282</v>
      </c>
      <c r="AB1757" t="str">
        <f>HYPERLINK("Melting_Curves/meltCurve_O95400_CD2BP2.pdf", "Melting_Curves/meltCurve_O95400_CD2BP2.pdf")</f>
        <v>Melting_Curves/meltCurve_O95400_CD2BP2.pdf</v>
      </c>
    </row>
    <row r="1758" spans="1:28" x14ac:dyDescent="0.25">
      <c r="A1758" t="s">
        <v>1762</v>
      </c>
      <c r="B1758">
        <v>0.99193492352474899</v>
      </c>
      <c r="C1758">
        <v>0.78298025883870903</v>
      </c>
      <c r="D1758">
        <v>0.85131149173996601</v>
      </c>
      <c r="E1758">
        <v>0.57800188150730403</v>
      </c>
      <c r="F1758">
        <v>0.43451514338915798</v>
      </c>
      <c r="G1758">
        <v>0.308618350280501</v>
      </c>
      <c r="H1758">
        <v>0.25383632124035699</v>
      </c>
      <c r="I1758">
        <v>0.46963233188686998</v>
      </c>
      <c r="J1758">
        <v>0.54403848164203195</v>
      </c>
      <c r="K1758">
        <v>0.64014079547468505</v>
      </c>
      <c r="L1758">
        <v>956.26578293790101</v>
      </c>
      <c r="M1758">
        <v>20.483828517138601</v>
      </c>
      <c r="N1758">
        <v>51.930862906254099</v>
      </c>
      <c r="O1758">
        <v>46.245835864394699</v>
      </c>
      <c r="P1758">
        <v>-6.2357681533239701E-2</v>
      </c>
      <c r="Q1758">
        <v>0.436883058985782</v>
      </c>
      <c r="R1758">
        <v>0.72503214168543395</v>
      </c>
      <c r="S1758" t="s">
        <v>8428</v>
      </c>
      <c r="T1758" t="s">
        <v>13338</v>
      </c>
      <c r="U1758" t="s">
        <v>13338</v>
      </c>
      <c r="V1758" t="s">
        <v>13338</v>
      </c>
      <c r="W1758" t="s">
        <v>15060</v>
      </c>
      <c r="X1758">
        <v>6</v>
      </c>
      <c r="Y1758" t="s">
        <v>21654</v>
      </c>
      <c r="Z1758" t="s">
        <v>28173</v>
      </c>
      <c r="AA1758">
        <v>0.57026847688727378</v>
      </c>
      <c r="AB1758" t="str">
        <f>HYPERLINK("Melting_Curves/meltCurve_O95402_MED26.pdf", "Melting_Curves/meltCurve_O95402_MED26.pdf")</f>
        <v>Melting_Curves/meltCurve_O95402_MED26.pdf</v>
      </c>
    </row>
    <row r="1759" spans="1:28" x14ac:dyDescent="0.25">
      <c r="A1759" t="s">
        <v>1763</v>
      </c>
      <c r="B1759">
        <v>0.99193492352474899</v>
      </c>
      <c r="C1759">
        <v>1.3710838630233799</v>
      </c>
      <c r="D1759">
        <v>1.0120676309891601</v>
      </c>
      <c r="E1759">
        <v>0.55803267182121896</v>
      </c>
      <c r="F1759">
        <v>0.194918862027326</v>
      </c>
      <c r="G1759">
        <v>0.18132971355452199</v>
      </c>
      <c r="H1759">
        <v>0.15430128250757799</v>
      </c>
      <c r="I1759">
        <v>0.182995664512278</v>
      </c>
      <c r="J1759">
        <v>0.17260861130065</v>
      </c>
      <c r="K1759">
        <v>0.28098194979013402</v>
      </c>
      <c r="L1759">
        <v>12390.306713502599</v>
      </c>
      <c r="M1759">
        <v>250</v>
      </c>
      <c r="N1759">
        <v>49.659100996324398</v>
      </c>
      <c r="O1759">
        <v>49.558064352501098</v>
      </c>
      <c r="P1759">
        <v>-1.01582543023229</v>
      </c>
      <c r="Q1759">
        <v>0.19452267555760999</v>
      </c>
      <c r="R1759">
        <v>0.91946442737345802</v>
      </c>
      <c r="S1759" t="s">
        <v>8429</v>
      </c>
      <c r="T1759" t="s">
        <v>13338</v>
      </c>
      <c r="U1759" t="s">
        <v>13338</v>
      </c>
      <c r="V1759" t="s">
        <v>13338</v>
      </c>
      <c r="W1759" t="s">
        <v>15061</v>
      </c>
      <c r="X1759">
        <v>2</v>
      </c>
      <c r="Y1759" t="s">
        <v>21655</v>
      </c>
      <c r="Z1759" t="s">
        <v>28174</v>
      </c>
      <c r="AA1759">
        <v>0.45130444947473769</v>
      </c>
      <c r="AB1759" t="str">
        <f>HYPERLINK("Melting_Curves/meltCurve_O95405_ZFYVE9.pdf", "Melting_Curves/meltCurve_O95405_ZFYVE9.pdf")</f>
        <v>Melting_Curves/meltCurve_O95405_ZFYVE9.pdf</v>
      </c>
    </row>
    <row r="1760" spans="1:28" x14ac:dyDescent="0.25">
      <c r="A1760" t="s">
        <v>1764</v>
      </c>
      <c r="B1760">
        <v>0.99193492352474899</v>
      </c>
      <c r="C1760">
        <v>0.98131264904539806</v>
      </c>
      <c r="D1760">
        <v>1.0376352492196901</v>
      </c>
      <c r="E1760">
        <v>0.65663402174471897</v>
      </c>
      <c r="F1760">
        <v>0.43551646293958501</v>
      </c>
      <c r="G1760">
        <v>6.3540282713865803E-2</v>
      </c>
      <c r="H1760">
        <v>0</v>
      </c>
      <c r="I1760">
        <v>0.134386517314912</v>
      </c>
      <c r="J1760">
        <v>0</v>
      </c>
      <c r="K1760">
        <v>0</v>
      </c>
      <c r="L1760">
        <v>1188.4675996337201</v>
      </c>
      <c r="M1760">
        <v>22.967400228827</v>
      </c>
      <c r="N1760">
        <v>51.815886018742397</v>
      </c>
      <c r="O1760">
        <v>51.3583514127819</v>
      </c>
      <c r="P1760">
        <v>-0.11009286014945199</v>
      </c>
      <c r="Q1760">
        <v>1.5285786189924299E-2</v>
      </c>
      <c r="R1760">
        <v>0.97859605750607204</v>
      </c>
      <c r="S1760" t="s">
        <v>8430</v>
      </c>
      <c r="T1760" t="s">
        <v>13338</v>
      </c>
      <c r="U1760" t="s">
        <v>13338</v>
      </c>
      <c r="V1760" t="s">
        <v>13338</v>
      </c>
      <c r="W1760" t="s">
        <v>15062</v>
      </c>
      <c r="X1760">
        <v>1</v>
      </c>
      <c r="Y1760" t="s">
        <v>21656</v>
      </c>
      <c r="Z1760" t="s">
        <v>28175</v>
      </c>
      <c r="AA1760">
        <v>0.41137905426650478</v>
      </c>
      <c r="AB1760" t="str">
        <f>HYPERLINK("Melting_Curves/meltCurve_O95427_PIGN.pdf", "Melting_Curves/meltCurve_O95427_PIGN.pdf")</f>
        <v>Melting_Curves/meltCurve_O95427_PIGN.pdf</v>
      </c>
    </row>
    <row r="1761" spans="1:28" x14ac:dyDescent="0.25">
      <c r="A1761" t="s">
        <v>1765</v>
      </c>
      <c r="B1761">
        <v>0.99193492352474899</v>
      </c>
      <c r="C1761">
        <v>0.87118939309760701</v>
      </c>
      <c r="D1761">
        <v>0.90290410876324201</v>
      </c>
      <c r="E1761">
        <v>0.56415122870277501</v>
      </c>
      <c r="F1761">
        <v>0.37816707558295698</v>
      </c>
      <c r="G1761">
        <v>0.21987538084498801</v>
      </c>
      <c r="H1761">
        <v>0.13471700204708001</v>
      </c>
      <c r="I1761">
        <v>0.173554544652752</v>
      </c>
      <c r="J1761">
        <v>0.20939789860010599</v>
      </c>
      <c r="K1761">
        <v>0.28625012767190999</v>
      </c>
      <c r="L1761">
        <v>1027.9881422877199</v>
      </c>
      <c r="M1761">
        <v>20.7939365299416</v>
      </c>
      <c r="N1761">
        <v>50.630655688393702</v>
      </c>
      <c r="O1761">
        <v>48.986500954884498</v>
      </c>
      <c r="P1761">
        <v>-8.5560003020685393E-2</v>
      </c>
      <c r="Q1761">
        <v>0.193770969834132</v>
      </c>
      <c r="R1761">
        <v>0.97199148578733596</v>
      </c>
      <c r="S1761" t="s">
        <v>8431</v>
      </c>
      <c r="T1761" t="s">
        <v>13338</v>
      </c>
      <c r="U1761" t="s">
        <v>13338</v>
      </c>
      <c r="V1761" t="s">
        <v>13338</v>
      </c>
      <c r="W1761" t="s">
        <v>15063</v>
      </c>
      <c r="X1761">
        <v>5</v>
      </c>
      <c r="Y1761" t="s">
        <v>21657</v>
      </c>
      <c r="Z1761" t="s">
        <v>28176</v>
      </c>
      <c r="AA1761">
        <v>0.45779270535186911</v>
      </c>
      <c r="AB1761" t="str">
        <f>HYPERLINK("Melting_Curves/meltCurve_O95429_2_BAG4.pdf", "Melting_Curves/meltCurve_O95429_2_BAG4.pdf")</f>
        <v>Melting_Curves/meltCurve_O95429_2_BAG4.pdf</v>
      </c>
    </row>
    <row r="1762" spans="1:28" x14ac:dyDescent="0.25">
      <c r="A1762" t="s">
        <v>1766</v>
      </c>
      <c r="B1762">
        <v>0.99193492352474899</v>
      </c>
      <c r="C1762">
        <v>0.80572548883842199</v>
      </c>
      <c r="D1762">
        <v>0.97472181349532805</v>
      </c>
      <c r="E1762">
        <v>0.58517913460474102</v>
      </c>
      <c r="F1762">
        <v>0.200482076992996</v>
      </c>
      <c r="G1762">
        <v>0.123885287811197</v>
      </c>
      <c r="H1762">
        <v>7.3662707276238207E-2</v>
      </c>
      <c r="I1762">
        <v>8.9723770073922501E-2</v>
      </c>
      <c r="J1762">
        <v>9.6552706074348002E-2</v>
      </c>
      <c r="K1762">
        <v>9.8442815929095207E-2</v>
      </c>
      <c r="L1762">
        <v>1559.7541526749801</v>
      </c>
      <c r="M1762">
        <v>31.258064256137001</v>
      </c>
      <c r="N1762">
        <v>50.220684253883398</v>
      </c>
      <c r="O1762">
        <v>49.696333377726198</v>
      </c>
      <c r="P1762">
        <v>-0.14298944229082799</v>
      </c>
      <c r="Q1762">
        <v>9.0664729302241606E-2</v>
      </c>
      <c r="R1762">
        <v>0.97277147160741795</v>
      </c>
      <c r="S1762" t="s">
        <v>8432</v>
      </c>
      <c r="T1762" t="s">
        <v>13338</v>
      </c>
      <c r="U1762" t="s">
        <v>13338</v>
      </c>
      <c r="V1762" t="s">
        <v>13338</v>
      </c>
      <c r="W1762" t="s">
        <v>15064</v>
      </c>
      <c r="X1762">
        <v>26</v>
      </c>
      <c r="Y1762" t="s">
        <v>21658</v>
      </c>
      <c r="Z1762" t="s">
        <v>28177</v>
      </c>
      <c r="AA1762">
        <v>0.39588966060467501</v>
      </c>
      <c r="AB1762" t="str">
        <f>HYPERLINK("Melting_Curves/meltCurve_O95433_AHSA1.pdf", "Melting_Curves/meltCurve_O95433_AHSA1.pdf")</f>
        <v>Melting_Curves/meltCurve_O95433_AHSA1.pdf</v>
      </c>
    </row>
    <row r="1763" spans="1:28" x14ac:dyDescent="0.25">
      <c r="A1763" t="s">
        <v>1767</v>
      </c>
      <c r="B1763">
        <v>0.99193492352474899</v>
      </c>
      <c r="C1763">
        <v>0.93973618856011198</v>
      </c>
      <c r="D1763">
        <v>0.77241086460348296</v>
      </c>
      <c r="E1763">
        <v>0.45234417734125698</v>
      </c>
      <c r="F1763">
        <v>0.19602259946171</v>
      </c>
      <c r="G1763">
        <v>0.152812402482673</v>
      </c>
      <c r="H1763">
        <v>7.4648939468058895E-2</v>
      </c>
      <c r="I1763">
        <v>6.8705936415640698E-2</v>
      </c>
      <c r="J1763">
        <v>7.0312621215022103E-2</v>
      </c>
      <c r="K1763">
        <v>7.90969777161179E-2</v>
      </c>
      <c r="L1763">
        <v>964.18179760887904</v>
      </c>
      <c r="M1763">
        <v>19.821125795103299</v>
      </c>
      <c r="N1763">
        <v>49.016279670142197</v>
      </c>
      <c r="O1763">
        <v>48.157123173143702</v>
      </c>
      <c r="P1763">
        <v>-9.5713647213463399E-2</v>
      </c>
      <c r="Q1763">
        <v>6.9853191975068202E-2</v>
      </c>
      <c r="R1763">
        <v>0.99870826801150403</v>
      </c>
      <c r="S1763" t="s">
        <v>8433</v>
      </c>
      <c r="T1763" t="s">
        <v>13338</v>
      </c>
      <c r="U1763" t="s">
        <v>13338</v>
      </c>
      <c r="V1763" t="s">
        <v>13338</v>
      </c>
      <c r="W1763" t="s">
        <v>15065</v>
      </c>
      <c r="X1763">
        <v>17</v>
      </c>
      <c r="Y1763" t="s">
        <v>21659</v>
      </c>
      <c r="Z1763" t="s">
        <v>28178</v>
      </c>
      <c r="AA1763">
        <v>0.3511885907925178</v>
      </c>
      <c r="AB1763" t="str">
        <f>HYPERLINK("Melting_Curves/meltCurve_O95453_2_PARN.pdf", "Melting_Curves/meltCurve_O95453_2_PARN.pdf")</f>
        <v>Melting_Curves/meltCurve_O95453_2_PARN.pdf</v>
      </c>
    </row>
    <row r="1764" spans="1:28" x14ac:dyDescent="0.25">
      <c r="A1764" t="s">
        <v>1768</v>
      </c>
      <c r="B1764">
        <v>0.99193492352474899</v>
      </c>
      <c r="C1764">
        <v>0.841392406004007</v>
      </c>
      <c r="D1764">
        <v>1.0254763372840101</v>
      </c>
      <c r="E1764">
        <v>0.80897839874817601</v>
      </c>
      <c r="F1764">
        <v>0.89964722815503395</v>
      </c>
      <c r="G1764">
        <v>0.59297959984996895</v>
      </c>
      <c r="H1764">
        <v>0.248432340434557</v>
      </c>
      <c r="I1764">
        <v>0.116251471269324</v>
      </c>
      <c r="J1764">
        <v>0.111833432334584</v>
      </c>
      <c r="K1764">
        <v>8.5225940455808502E-2</v>
      </c>
      <c r="L1764">
        <v>1249.04889231177</v>
      </c>
      <c r="M1764">
        <v>21.775372828824501</v>
      </c>
      <c r="N1764">
        <v>57.664184051739603</v>
      </c>
      <c r="O1764">
        <v>56.883406448855403</v>
      </c>
      <c r="P1764">
        <v>-9.0521247061795998E-2</v>
      </c>
      <c r="Q1764">
        <v>5.41536397746935E-2</v>
      </c>
      <c r="R1764">
        <v>0.95963718983664403</v>
      </c>
      <c r="S1764" t="s">
        <v>8434</v>
      </c>
      <c r="T1764" t="s">
        <v>13338</v>
      </c>
      <c r="U1764" t="s">
        <v>13338</v>
      </c>
      <c r="V1764" t="s">
        <v>13338</v>
      </c>
      <c r="W1764" t="s">
        <v>15066</v>
      </c>
      <c r="X1764">
        <v>12</v>
      </c>
      <c r="Y1764" t="s">
        <v>21660</v>
      </c>
      <c r="Z1764" t="s">
        <v>28179</v>
      </c>
      <c r="AA1764">
        <v>0.61171426655581362</v>
      </c>
      <c r="AB1764" t="str">
        <f>HYPERLINK("Melting_Curves/meltCurve_O95456_PSMG1.pdf", "Melting_Curves/meltCurve_O95456_PSMG1.pdf")</f>
        <v>Melting_Curves/meltCurve_O95456_PSMG1.pdf</v>
      </c>
    </row>
    <row r="1765" spans="1:28" x14ac:dyDescent="0.25">
      <c r="A1765" t="s">
        <v>1769</v>
      </c>
      <c r="B1765">
        <v>0.99193492352474899</v>
      </c>
      <c r="C1765">
        <v>0.74077062991537601</v>
      </c>
      <c r="D1765">
        <v>0.229244087981477</v>
      </c>
      <c r="E1765">
        <v>0.16347790252022201</v>
      </c>
      <c r="F1765">
        <v>0.102619075291788</v>
      </c>
      <c r="G1765">
        <v>6.8218762298296098E-2</v>
      </c>
      <c r="H1765">
        <v>5.2581049797023799E-2</v>
      </c>
      <c r="I1765">
        <v>6.4430447142243705E-2</v>
      </c>
      <c r="J1765">
        <v>7.9433360920446602E-2</v>
      </c>
      <c r="K1765">
        <v>8.7115752384551895E-2</v>
      </c>
      <c r="L1765">
        <v>1590.55670648965</v>
      </c>
      <c r="M1765">
        <v>36.152976540813</v>
      </c>
      <c r="N1765">
        <v>44.221125810736297</v>
      </c>
      <c r="O1765">
        <v>43.861218050032001</v>
      </c>
      <c r="P1765">
        <v>-0.18868691149556099</v>
      </c>
      <c r="Q1765">
        <v>8.4334004250632796E-2</v>
      </c>
      <c r="R1765">
        <v>0.99340383889001704</v>
      </c>
      <c r="S1765" t="s">
        <v>8435</v>
      </c>
      <c r="T1765" t="s">
        <v>13338</v>
      </c>
      <c r="U1765" t="s">
        <v>13338</v>
      </c>
      <c r="V1765" t="s">
        <v>13338</v>
      </c>
      <c r="W1765" t="s">
        <v>15067</v>
      </c>
      <c r="X1765">
        <v>17</v>
      </c>
      <c r="Y1765" t="s">
        <v>21661</v>
      </c>
      <c r="Z1765" t="s">
        <v>28180</v>
      </c>
      <c r="AA1765">
        <v>0.21047230018500621</v>
      </c>
      <c r="AB1765" t="str">
        <f>HYPERLINK("Melting_Curves/meltCurve_O95466_2_FMNL1.pdf", "Melting_Curves/meltCurve_O95466_2_FMNL1.pdf")</f>
        <v>Melting_Curves/meltCurve_O95466_2_FMNL1.pdf</v>
      </c>
    </row>
    <row r="1766" spans="1:28" x14ac:dyDescent="0.25">
      <c r="A1766" t="s">
        <v>1770</v>
      </c>
      <c r="B1766">
        <v>0.99193492352474899</v>
      </c>
      <c r="C1766">
        <v>0.60319663259034895</v>
      </c>
      <c r="D1766">
        <v>0.98341063695416397</v>
      </c>
      <c r="E1766">
        <v>0.60450509609212</v>
      </c>
      <c r="F1766">
        <v>0.27529686539418502</v>
      </c>
      <c r="G1766">
        <v>0.114139905679615</v>
      </c>
      <c r="H1766">
        <v>7.0561478400953198E-2</v>
      </c>
      <c r="I1766">
        <v>7.57626734790314E-2</v>
      </c>
      <c r="J1766">
        <v>9.7627352640734993E-2</v>
      </c>
      <c r="K1766">
        <v>8.4505628329152996E-2</v>
      </c>
      <c r="L1766">
        <v>914.07444224492099</v>
      </c>
      <c r="M1766">
        <v>18.2108010009139</v>
      </c>
      <c r="N1766">
        <v>50.513331510451799</v>
      </c>
      <c r="O1766">
        <v>49.600542378349701</v>
      </c>
      <c r="P1766">
        <v>-8.6801914254857601E-2</v>
      </c>
      <c r="Q1766">
        <v>5.4358841900352999E-2</v>
      </c>
      <c r="R1766">
        <v>0.882200514585329</v>
      </c>
      <c r="S1766" t="s">
        <v>8436</v>
      </c>
      <c r="T1766" t="s">
        <v>13338</v>
      </c>
      <c r="U1766" t="s">
        <v>13338</v>
      </c>
      <c r="V1766" t="s">
        <v>13338</v>
      </c>
      <c r="W1766" t="s">
        <v>15068</v>
      </c>
      <c r="X1766">
        <v>18</v>
      </c>
      <c r="Y1766" t="s">
        <v>21662</v>
      </c>
      <c r="Z1766" t="s">
        <v>28181</v>
      </c>
      <c r="AA1766">
        <v>0.39142792600294501</v>
      </c>
      <c r="AB1766" t="str">
        <f>HYPERLINK("Melting_Curves/meltCurve_O95470_SGPL1.pdf", "Melting_Curves/meltCurve_O95470_SGPL1.pdf")</f>
        <v>Melting_Curves/meltCurve_O95470_SGPL1.pdf</v>
      </c>
    </row>
    <row r="1767" spans="1:28" x14ac:dyDescent="0.25">
      <c r="A1767" t="s">
        <v>1771</v>
      </c>
      <c r="B1767">
        <v>0.99193492352474899</v>
      </c>
      <c r="C1767">
        <v>0.834100233296727</v>
      </c>
      <c r="D1767">
        <v>0.96414081890131598</v>
      </c>
      <c r="E1767">
        <v>0.57528601767360499</v>
      </c>
      <c r="F1767">
        <v>0.50454214567142597</v>
      </c>
      <c r="G1767">
        <v>0.43391420276654302</v>
      </c>
      <c r="H1767">
        <v>0.32790379712833601</v>
      </c>
      <c r="I1767">
        <v>0.351010601682199</v>
      </c>
      <c r="J1767">
        <v>0.50879497669422102</v>
      </c>
      <c r="K1767">
        <v>0.499656235989692</v>
      </c>
      <c r="L1767">
        <v>1749.19480360185</v>
      </c>
      <c r="M1767">
        <v>36.143990135168103</v>
      </c>
      <c r="N1767">
        <v>51.205452459678398</v>
      </c>
      <c r="O1767">
        <v>48.247750238646297</v>
      </c>
      <c r="P1767">
        <v>-0.106523687525237</v>
      </c>
      <c r="Q1767">
        <v>0.43121806422201298</v>
      </c>
      <c r="R1767">
        <v>0.89019523500578701</v>
      </c>
      <c r="S1767" t="s">
        <v>8437</v>
      </c>
      <c r="T1767" t="s">
        <v>13338</v>
      </c>
      <c r="U1767" t="s">
        <v>13338</v>
      </c>
      <c r="V1767" t="s">
        <v>13338</v>
      </c>
      <c r="W1767" t="s">
        <v>15069</v>
      </c>
      <c r="X1767">
        <v>1</v>
      </c>
      <c r="Y1767" t="s">
        <v>21663</v>
      </c>
      <c r="Z1767" t="s">
        <v>28182</v>
      </c>
      <c r="AA1767">
        <v>0.59272885503101214</v>
      </c>
      <c r="AB1767" t="str">
        <f>HYPERLINK("Melting_Curves/meltCurve_O95473_SYNGR4.pdf", "Melting_Curves/meltCurve_O95473_SYNGR4.pdf")</f>
        <v>Melting_Curves/meltCurve_O95473_SYNGR4.pdf</v>
      </c>
    </row>
    <row r="1768" spans="1:28" x14ac:dyDescent="0.25">
      <c r="A1768" t="s">
        <v>1772</v>
      </c>
      <c r="B1768">
        <v>0.99193492352474899</v>
      </c>
      <c r="C1768">
        <v>0.63921504807214302</v>
      </c>
      <c r="D1768">
        <v>0.323738288032416</v>
      </c>
      <c r="E1768">
        <v>0.19759465332734599</v>
      </c>
      <c r="F1768">
        <v>0.135496792112481</v>
      </c>
      <c r="G1768">
        <v>6.8321345763393507E-2</v>
      </c>
      <c r="H1768">
        <v>5.6365968515763899E-2</v>
      </c>
      <c r="I1768">
        <v>4.5051188018077101E-2</v>
      </c>
      <c r="J1768">
        <v>5.5439064443925698E-2</v>
      </c>
      <c r="K1768">
        <v>4.7835460896400298E-2</v>
      </c>
      <c r="L1768">
        <v>967.77503557461398</v>
      </c>
      <c r="M1768">
        <v>21.927045368803</v>
      </c>
      <c r="N1768">
        <v>44.431606712972801</v>
      </c>
      <c r="O1768">
        <v>43.773953899623201</v>
      </c>
      <c r="P1768">
        <v>-0.116735350035147</v>
      </c>
      <c r="Q1768">
        <v>6.7844818250557895E-2</v>
      </c>
      <c r="R1768">
        <v>0.98438469872696099</v>
      </c>
      <c r="S1768" t="s">
        <v>8438</v>
      </c>
      <c r="T1768" t="s">
        <v>13338</v>
      </c>
      <c r="U1768" t="s">
        <v>13338</v>
      </c>
      <c r="V1768" t="s">
        <v>13338</v>
      </c>
      <c r="W1768" t="s">
        <v>15070</v>
      </c>
      <c r="X1768">
        <v>5</v>
      </c>
      <c r="Y1768" t="s">
        <v>21664</v>
      </c>
      <c r="Z1768" t="s">
        <v>28183</v>
      </c>
      <c r="AA1768">
        <v>0.2106598068715381</v>
      </c>
      <c r="AB1768" t="str">
        <f>HYPERLINK("Melting_Curves/meltCurve_O95475_SIX6.pdf", "Melting_Curves/meltCurve_O95475_SIX6.pdf")</f>
        <v>Melting_Curves/meltCurve_O95475_SIX6.pdf</v>
      </c>
    </row>
    <row r="1769" spans="1:28" x14ac:dyDescent="0.25">
      <c r="A1769" t="s">
        <v>1773</v>
      </c>
      <c r="B1769">
        <v>0.99193492352474899</v>
      </c>
      <c r="C1769">
        <v>1.1450092125501601</v>
      </c>
      <c r="D1769">
        <v>0.86217008167221798</v>
      </c>
      <c r="E1769">
        <v>0.43842344358177898</v>
      </c>
      <c r="F1769">
        <v>0.18475024917093499</v>
      </c>
      <c r="G1769">
        <v>0.115753036172667</v>
      </c>
      <c r="H1769">
        <v>9.7817166241132597E-2</v>
      </c>
      <c r="I1769">
        <v>9.6070543076771903E-2</v>
      </c>
      <c r="J1769">
        <v>9.76616440958058E-2</v>
      </c>
      <c r="K1769">
        <v>0.38843503086708497</v>
      </c>
      <c r="L1769">
        <v>1726.6377912078201</v>
      </c>
      <c r="M1769">
        <v>35.577459722076803</v>
      </c>
      <c r="N1769">
        <v>49.054420264778699</v>
      </c>
      <c r="O1769">
        <v>48.379218775572703</v>
      </c>
      <c r="P1769">
        <v>-0.154846782127912</v>
      </c>
      <c r="Q1769">
        <v>0.15774285613618999</v>
      </c>
      <c r="R1769">
        <v>0.939350536058284</v>
      </c>
      <c r="S1769" t="s">
        <v>8439</v>
      </c>
      <c r="T1769" t="s">
        <v>13338</v>
      </c>
      <c r="U1769" t="s">
        <v>13338</v>
      </c>
      <c r="V1769" t="s">
        <v>13338</v>
      </c>
      <c r="W1769" t="s">
        <v>15071</v>
      </c>
      <c r="X1769">
        <v>8</v>
      </c>
      <c r="Y1769" t="s">
        <v>21665</v>
      </c>
      <c r="Z1769" t="s">
        <v>28184</v>
      </c>
      <c r="AA1769">
        <v>0.40086697526225762</v>
      </c>
      <c r="AB1769" t="str">
        <f>HYPERLINK("Melting_Curves/meltCurve_O95486_SEC24A.pdf", "Melting_Curves/meltCurve_O95486_SEC24A.pdf")</f>
        <v>Melting_Curves/meltCurve_O95486_SEC24A.pdf</v>
      </c>
    </row>
    <row r="1770" spans="1:28" x14ac:dyDescent="0.25">
      <c r="A1770" t="s">
        <v>1774</v>
      </c>
      <c r="B1770">
        <v>0.99193492352474899</v>
      </c>
      <c r="C1770">
        <v>0.957786470107724</v>
      </c>
      <c r="D1770">
        <v>0.64533710167326896</v>
      </c>
      <c r="E1770">
        <v>0.27978462912944102</v>
      </c>
      <c r="F1770">
        <v>0.19023337176138899</v>
      </c>
      <c r="G1770">
        <v>0.120742099955365</v>
      </c>
      <c r="H1770">
        <v>8.4032714285997998E-2</v>
      </c>
      <c r="I1770">
        <v>0.103500553304138</v>
      </c>
      <c r="J1770">
        <v>0.118510286514241</v>
      </c>
      <c r="K1770">
        <v>9.1240520204979303E-2</v>
      </c>
      <c r="L1770">
        <v>1201.8710362604199</v>
      </c>
      <c r="M1770">
        <v>25.635153630771001</v>
      </c>
      <c r="N1770">
        <v>47.330974052673</v>
      </c>
      <c r="O1770">
        <v>46.601182523034097</v>
      </c>
      <c r="P1770">
        <v>-0.122732546518459</v>
      </c>
      <c r="Q1770">
        <v>0.107567035784711</v>
      </c>
      <c r="R1770">
        <v>0.99645784656487701</v>
      </c>
      <c r="S1770" t="s">
        <v>8440</v>
      </c>
      <c r="T1770" t="s">
        <v>13338</v>
      </c>
      <c r="U1770" t="s">
        <v>13338</v>
      </c>
      <c r="V1770" t="s">
        <v>13338</v>
      </c>
      <c r="W1770" t="s">
        <v>15072</v>
      </c>
      <c r="X1770">
        <v>10</v>
      </c>
      <c r="Y1770" t="s">
        <v>21666</v>
      </c>
      <c r="Z1770" t="s">
        <v>28185</v>
      </c>
      <c r="AA1770">
        <v>0.31989789202806018</v>
      </c>
      <c r="AB1770" t="str">
        <f>HYPERLINK("Melting_Curves/meltCurve_O95487_2_SEC24B.pdf", "Melting_Curves/meltCurve_O95487_2_SEC24B.pdf")</f>
        <v>Melting_Curves/meltCurve_O95487_2_SEC24B.pdf</v>
      </c>
    </row>
    <row r="1771" spans="1:28" x14ac:dyDescent="0.25">
      <c r="A1771" t="s">
        <v>1775</v>
      </c>
      <c r="B1771">
        <v>0.99193492352474899</v>
      </c>
      <c r="C1771">
        <v>0.86405273895696499</v>
      </c>
      <c r="D1771">
        <v>0.83089072963797295</v>
      </c>
      <c r="E1771">
        <v>0.65055873666042296</v>
      </c>
      <c r="F1771">
        <v>0.617771555938459</v>
      </c>
      <c r="G1771">
        <v>0.46117438972801</v>
      </c>
      <c r="H1771">
        <v>0.37655388876519802</v>
      </c>
      <c r="I1771">
        <v>0.37536360953939502</v>
      </c>
      <c r="J1771">
        <v>0.48131627913887798</v>
      </c>
      <c r="K1771">
        <v>0.29824818898445399</v>
      </c>
      <c r="L1771">
        <v>525.56999459781105</v>
      </c>
      <c r="M1771">
        <v>10.485790052665299</v>
      </c>
      <c r="N1771">
        <v>55.7884321159856</v>
      </c>
      <c r="O1771">
        <v>48.4020681468823</v>
      </c>
      <c r="P1771">
        <v>-3.6429695740727998E-2</v>
      </c>
      <c r="Q1771">
        <v>0.32763951007005498</v>
      </c>
      <c r="R1771">
        <v>0.95007819736807597</v>
      </c>
      <c r="S1771" t="s">
        <v>8441</v>
      </c>
      <c r="T1771" t="s">
        <v>13338</v>
      </c>
      <c r="U1771" t="s">
        <v>13338</v>
      </c>
      <c r="V1771" t="s">
        <v>13338</v>
      </c>
      <c r="W1771" t="s">
        <v>15073</v>
      </c>
      <c r="X1771">
        <v>9</v>
      </c>
      <c r="Y1771" t="s">
        <v>21038</v>
      </c>
      <c r="Z1771" t="s">
        <v>28186</v>
      </c>
      <c r="AA1771">
        <v>0.58269004512356082</v>
      </c>
      <c r="AB1771" t="str">
        <f>HYPERLINK("Melting_Curves/meltCurve_O95544_NADK.pdf", "Melting_Curves/meltCurve_O95544_NADK.pdf")</f>
        <v>Melting_Curves/meltCurve_O95544_NADK.pdf</v>
      </c>
    </row>
    <row r="1772" spans="1:28" x14ac:dyDescent="0.25">
      <c r="A1772" t="s">
        <v>1776</v>
      </c>
      <c r="B1772">
        <v>0.99193492352474899</v>
      </c>
      <c r="C1772">
        <v>0.70521981668461298</v>
      </c>
      <c r="D1772">
        <v>0.685540263108259</v>
      </c>
      <c r="E1772">
        <v>0.393789930102729</v>
      </c>
      <c r="F1772">
        <v>0.193953103858581</v>
      </c>
      <c r="G1772">
        <v>0.13343293147614399</v>
      </c>
      <c r="H1772">
        <v>8.57366198278907E-2</v>
      </c>
      <c r="I1772">
        <v>0.110936727274632</v>
      </c>
      <c r="J1772">
        <v>0.107911747353256</v>
      </c>
      <c r="K1772">
        <v>0.12769890953014501</v>
      </c>
      <c r="L1772">
        <v>680.471173133506</v>
      </c>
      <c r="M1772">
        <v>14.4670908204669</v>
      </c>
      <c r="N1772">
        <v>47.6381975896984</v>
      </c>
      <c r="O1772">
        <v>46.1644910601118</v>
      </c>
      <c r="P1772">
        <v>-7.1804719826554397E-2</v>
      </c>
      <c r="Q1772">
        <v>8.3591148753934003E-2</v>
      </c>
      <c r="R1772">
        <v>0.97356686727951602</v>
      </c>
      <c r="S1772" t="s">
        <v>8442</v>
      </c>
      <c r="T1772" t="s">
        <v>13338</v>
      </c>
      <c r="U1772" t="s">
        <v>13338</v>
      </c>
      <c r="V1772" t="s">
        <v>13338</v>
      </c>
      <c r="W1772" t="s">
        <v>15074</v>
      </c>
      <c r="X1772">
        <v>12</v>
      </c>
      <c r="Y1772" t="s">
        <v>21667</v>
      </c>
      <c r="Z1772" t="s">
        <v>28187</v>
      </c>
      <c r="AA1772">
        <v>0.32525904411587547</v>
      </c>
      <c r="AB1772" t="str">
        <f>HYPERLINK("Melting_Curves/meltCurve_O95551_TDP2.pdf", "Melting_Curves/meltCurve_O95551_TDP2.pdf")</f>
        <v>Melting_Curves/meltCurve_O95551_TDP2.pdf</v>
      </c>
    </row>
    <row r="1773" spans="1:28" x14ac:dyDescent="0.25">
      <c r="A1773" t="s">
        <v>1777</v>
      </c>
      <c r="B1773">
        <v>0.99193492352474899</v>
      </c>
      <c r="C1773">
        <v>0.69610001448518399</v>
      </c>
      <c r="D1773">
        <v>0.60340753349935095</v>
      </c>
      <c r="E1773">
        <v>0.48298676041286098</v>
      </c>
      <c r="F1773">
        <v>0.30845559174367998</v>
      </c>
      <c r="G1773">
        <v>0.140100476463108</v>
      </c>
      <c r="H1773">
        <v>9.5158885856992698E-2</v>
      </c>
      <c r="I1773">
        <v>6.0101013185750597E-2</v>
      </c>
      <c r="J1773">
        <v>8.1345936811055203E-2</v>
      </c>
      <c r="K1773">
        <v>5.8415923557210002E-2</v>
      </c>
      <c r="L1773">
        <v>498.02944354193698</v>
      </c>
      <c r="M1773">
        <v>10.326728016261599</v>
      </c>
      <c r="N1773">
        <v>48.2935528612147</v>
      </c>
      <c r="O1773">
        <v>46.523799250137898</v>
      </c>
      <c r="P1773">
        <v>-5.5124605012867402E-2</v>
      </c>
      <c r="Q1773">
        <v>7.0413361079213303E-3</v>
      </c>
      <c r="R1773">
        <v>0.97513173661054797</v>
      </c>
      <c r="S1773" t="s">
        <v>8443</v>
      </c>
      <c r="T1773" t="s">
        <v>13338</v>
      </c>
      <c r="U1773" t="s">
        <v>13338</v>
      </c>
      <c r="V1773" t="s">
        <v>13338</v>
      </c>
      <c r="W1773" t="s">
        <v>15075</v>
      </c>
      <c r="X1773">
        <v>2</v>
      </c>
      <c r="Y1773" t="s">
        <v>21668</v>
      </c>
      <c r="Z1773" t="s">
        <v>28188</v>
      </c>
      <c r="AA1773">
        <v>0.32848738842795733</v>
      </c>
      <c r="AB1773" t="str">
        <f>HYPERLINK("Melting_Curves/meltCurve_O95568_METTL18.pdf", "Melting_Curves/meltCurve_O95568_METTL18.pdf")</f>
        <v>Melting_Curves/meltCurve_O95568_METTL18.pdf</v>
      </c>
    </row>
    <row r="1774" spans="1:28" x14ac:dyDescent="0.25">
      <c r="A1774" t="s">
        <v>1778</v>
      </c>
      <c r="B1774">
        <v>0.99193492352474899</v>
      </c>
      <c r="C1774">
        <v>1.3204314121898699</v>
      </c>
      <c r="D1774">
        <v>1.01665483198521</v>
      </c>
      <c r="E1774">
        <v>1.1946805037262</v>
      </c>
      <c r="F1774">
        <v>0.76453825532794395</v>
      </c>
      <c r="G1774">
        <v>0.69336109568294702</v>
      </c>
      <c r="H1774">
        <v>0.48145053891975997</v>
      </c>
      <c r="I1774">
        <v>0.34746385604595298</v>
      </c>
      <c r="J1774">
        <v>0.22315787680177199</v>
      </c>
      <c r="K1774">
        <v>0.23644180621916699</v>
      </c>
      <c r="L1774">
        <v>1075.6111902564701</v>
      </c>
      <c r="M1774">
        <v>18.4383099033207</v>
      </c>
      <c r="N1774">
        <v>59.933691412828203</v>
      </c>
      <c r="O1774">
        <v>57.662474339544502</v>
      </c>
      <c r="P1774">
        <v>-6.4420405573280506E-2</v>
      </c>
      <c r="Q1774">
        <v>0.1941835702534</v>
      </c>
      <c r="R1774">
        <v>0.879842633790486</v>
      </c>
      <c r="S1774" t="s">
        <v>8444</v>
      </c>
      <c r="T1774" t="s">
        <v>13338</v>
      </c>
      <c r="U1774" t="s">
        <v>13338</v>
      </c>
      <c r="V1774" t="s">
        <v>13338</v>
      </c>
      <c r="W1774" t="s">
        <v>15076</v>
      </c>
      <c r="X1774">
        <v>10</v>
      </c>
      <c r="Y1774" t="s">
        <v>21669</v>
      </c>
      <c r="Z1774" t="s">
        <v>28189</v>
      </c>
      <c r="AA1774">
        <v>0.69607626410482426</v>
      </c>
      <c r="AB1774" t="str">
        <f>HYPERLINK("Melting_Curves/meltCurve_O95571_ETHE1.pdf", "Melting_Curves/meltCurve_O95571_ETHE1.pdf")</f>
        <v>Melting_Curves/meltCurve_O95571_ETHE1.pdf</v>
      </c>
    </row>
    <row r="1775" spans="1:28" x14ac:dyDescent="0.25">
      <c r="A1775" t="s">
        <v>1779</v>
      </c>
      <c r="B1775">
        <v>0.99193492352474899</v>
      </c>
      <c r="C1775">
        <v>0.97076711939514004</v>
      </c>
      <c r="D1775">
        <v>0.92048864170408395</v>
      </c>
      <c r="E1775">
        <v>0.46316064540551799</v>
      </c>
      <c r="F1775">
        <v>0.156199976409469</v>
      </c>
      <c r="G1775">
        <v>9.9237735406423194E-2</v>
      </c>
      <c r="H1775">
        <v>5.9037108917744503E-2</v>
      </c>
      <c r="I1775">
        <v>4.9981890475774698E-2</v>
      </c>
      <c r="J1775">
        <v>6.4938162408784902E-2</v>
      </c>
      <c r="K1775">
        <v>7.8103018183498005E-2</v>
      </c>
      <c r="L1775">
        <v>1552.93031027439</v>
      </c>
      <c r="M1775">
        <v>31.577478064288702</v>
      </c>
      <c r="N1775">
        <v>49.407159547234997</v>
      </c>
      <c r="O1775">
        <v>48.982445232007997</v>
      </c>
      <c r="P1775">
        <v>-0.15020820695306</v>
      </c>
      <c r="Q1775">
        <v>6.8003322116210005E-2</v>
      </c>
      <c r="R1775">
        <v>0.99886558829107197</v>
      </c>
      <c r="S1775" t="s">
        <v>8445</v>
      </c>
      <c r="T1775" t="s">
        <v>13338</v>
      </c>
      <c r="U1775" t="s">
        <v>13338</v>
      </c>
      <c r="V1775" t="s">
        <v>13338</v>
      </c>
      <c r="W1775" t="s">
        <v>15077</v>
      </c>
      <c r="X1775">
        <v>19</v>
      </c>
      <c r="Y1775" t="s">
        <v>21670</v>
      </c>
      <c r="Z1775" t="s">
        <v>28190</v>
      </c>
      <c r="AA1775">
        <v>0.35827063196925019</v>
      </c>
      <c r="AB1775" t="str">
        <f>HYPERLINK("Melting_Curves/meltCurve_O95573_ACSL3.pdf", "Melting_Curves/meltCurve_O95573_ACSL3.pdf")</f>
        <v>Melting_Curves/meltCurve_O95573_ACSL3.pdf</v>
      </c>
    </row>
    <row r="1776" spans="1:28" x14ac:dyDescent="0.25">
      <c r="A1776" t="s">
        <v>1780</v>
      </c>
      <c r="B1776">
        <v>0.99193492352474899</v>
      </c>
      <c r="C1776">
        <v>0.69742856849971402</v>
      </c>
      <c r="D1776">
        <v>0.72886984129496701</v>
      </c>
      <c r="E1776">
        <v>0.413611167524086</v>
      </c>
      <c r="F1776">
        <v>0.30343512323651001</v>
      </c>
      <c r="G1776">
        <v>0.13152441194825401</v>
      </c>
      <c r="H1776">
        <v>8.4407285279056596E-2</v>
      </c>
      <c r="I1776">
        <v>0.120890906427911</v>
      </c>
      <c r="J1776">
        <v>0.10463227072122</v>
      </c>
      <c r="K1776">
        <v>0.102037837401678</v>
      </c>
      <c r="L1776">
        <v>598.079547956601</v>
      </c>
      <c r="M1776">
        <v>12.4962317595323</v>
      </c>
      <c r="N1776">
        <v>48.389561489127601</v>
      </c>
      <c r="O1776">
        <v>46.684710737610899</v>
      </c>
      <c r="P1776">
        <v>-6.2660402517971794E-2</v>
      </c>
      <c r="Q1776">
        <v>6.3820099243726197E-2</v>
      </c>
      <c r="R1776">
        <v>0.96655969031337297</v>
      </c>
      <c r="S1776" t="s">
        <v>8446</v>
      </c>
      <c r="T1776" t="s">
        <v>13338</v>
      </c>
      <c r="U1776" t="s">
        <v>13338</v>
      </c>
      <c r="V1776" t="s">
        <v>13338</v>
      </c>
      <c r="W1776" t="s">
        <v>15078</v>
      </c>
      <c r="X1776">
        <v>13</v>
      </c>
      <c r="Y1776" t="s">
        <v>21671</v>
      </c>
      <c r="Z1776" t="s">
        <v>28191</v>
      </c>
      <c r="AA1776">
        <v>0.34350144599943772</v>
      </c>
      <c r="AB1776" t="str">
        <f>HYPERLINK("Melting_Curves/meltCurve_O95602_POLR1A.pdf", "Melting_Curves/meltCurve_O95602_POLR1A.pdf")</f>
        <v>Melting_Curves/meltCurve_O95602_POLR1A.pdf</v>
      </c>
    </row>
    <row r="1777" spans="1:28" x14ac:dyDescent="0.25">
      <c r="A1777" t="s">
        <v>1781</v>
      </c>
      <c r="B1777">
        <v>0.99193492352474899</v>
      </c>
      <c r="C1777">
        <v>0.75079316184849298</v>
      </c>
      <c r="D1777">
        <v>0.78731312509754303</v>
      </c>
      <c r="E1777">
        <v>0.66897344217197496</v>
      </c>
      <c r="F1777">
        <v>0.37521946803156703</v>
      </c>
      <c r="G1777">
        <v>0.13462455010479299</v>
      </c>
      <c r="H1777">
        <v>8.0480496446168406E-2</v>
      </c>
      <c r="I1777">
        <v>0.115013765408593</v>
      </c>
      <c r="J1777">
        <v>0.124198758127084</v>
      </c>
      <c r="K1777">
        <v>0.118788949444283</v>
      </c>
      <c r="L1777">
        <v>641.880551482746</v>
      </c>
      <c r="M1777">
        <v>12.762974281079901</v>
      </c>
      <c r="N1777">
        <v>50.694236126974502</v>
      </c>
      <c r="O1777">
        <v>49.105694005582997</v>
      </c>
      <c r="P1777">
        <v>-6.1862762678794397E-2</v>
      </c>
      <c r="Q1777">
        <v>4.8109810567580298E-2</v>
      </c>
      <c r="R1777">
        <v>0.953548699838213</v>
      </c>
      <c r="S1777" t="s">
        <v>8447</v>
      </c>
      <c r="T1777" t="s">
        <v>13338</v>
      </c>
      <c r="U1777" t="s">
        <v>13338</v>
      </c>
      <c r="V1777" t="s">
        <v>13338</v>
      </c>
      <c r="W1777" t="s">
        <v>15079</v>
      </c>
      <c r="X1777">
        <v>8</v>
      </c>
      <c r="Y1777" t="s">
        <v>21672</v>
      </c>
      <c r="Z1777" t="s">
        <v>28192</v>
      </c>
      <c r="AA1777">
        <v>0.4041090313482561</v>
      </c>
      <c r="AB1777" t="str">
        <f>HYPERLINK("Melting_Curves/meltCurve_O95619_YEATS4.pdf", "Melting_Curves/meltCurve_O95619_YEATS4.pdf")</f>
        <v>Melting_Curves/meltCurve_O95619_YEATS4.pdf</v>
      </c>
    </row>
    <row r="1778" spans="1:28" x14ac:dyDescent="0.25">
      <c r="A1778" t="s">
        <v>1782</v>
      </c>
      <c r="B1778">
        <v>0.99193492352474899</v>
      </c>
      <c r="C1778">
        <v>0.88667096608290796</v>
      </c>
      <c r="D1778">
        <v>0.86690127880521795</v>
      </c>
      <c r="E1778">
        <v>0.75213355858517394</v>
      </c>
      <c r="F1778">
        <v>0.70249978577223604</v>
      </c>
      <c r="G1778">
        <v>0.41300380747404403</v>
      </c>
      <c r="H1778">
        <v>0.23920561047210401</v>
      </c>
      <c r="I1778">
        <v>0.21549766412007501</v>
      </c>
      <c r="J1778">
        <v>0.29493330999338402</v>
      </c>
      <c r="K1778">
        <v>0.15225890715514001</v>
      </c>
      <c r="L1778">
        <v>590.65742660810099</v>
      </c>
      <c r="M1778">
        <v>10.8742023680109</v>
      </c>
      <c r="N1778">
        <v>55.449254953008001</v>
      </c>
      <c r="O1778">
        <v>52.577209446738799</v>
      </c>
      <c r="P1778">
        <v>-4.6575632866581403E-2</v>
      </c>
      <c r="Q1778">
        <v>9.9537263358014105E-2</v>
      </c>
      <c r="R1778">
        <v>0.96499523339651205</v>
      </c>
      <c r="S1778" t="s">
        <v>8448</v>
      </c>
      <c r="T1778" t="s">
        <v>13338</v>
      </c>
      <c r="U1778" t="s">
        <v>13338</v>
      </c>
      <c r="V1778" t="s">
        <v>13338</v>
      </c>
      <c r="W1778" t="s">
        <v>15080</v>
      </c>
      <c r="X1778">
        <v>1</v>
      </c>
      <c r="Y1778" t="s">
        <v>21673</v>
      </c>
      <c r="Z1778" t="s">
        <v>28193</v>
      </c>
      <c r="AA1778">
        <v>0.55389441318687449</v>
      </c>
      <c r="AB1778" t="str">
        <f>HYPERLINK("Melting_Curves/meltCurve_O95620_DUS4L.pdf", "Melting_Curves/meltCurve_O95620_DUS4L.pdf")</f>
        <v>Melting_Curves/meltCurve_O95620_DUS4L.pdf</v>
      </c>
    </row>
    <row r="1779" spans="1:28" x14ac:dyDescent="0.25">
      <c r="A1779" t="s">
        <v>1783</v>
      </c>
      <c r="B1779">
        <v>0.99193492352474899</v>
      </c>
      <c r="C1779">
        <v>0.93574503882528803</v>
      </c>
      <c r="D1779">
        <v>0.90174332861669304</v>
      </c>
      <c r="E1779">
        <v>0.72579617663765605</v>
      </c>
      <c r="F1779">
        <v>0.60705668781905398</v>
      </c>
      <c r="G1779">
        <v>0.215686643483987</v>
      </c>
      <c r="H1779">
        <v>8.41882395977024E-2</v>
      </c>
      <c r="I1779">
        <v>7.9777373875529398E-2</v>
      </c>
      <c r="J1779">
        <v>9.2418825981617894E-2</v>
      </c>
      <c r="K1779">
        <v>6.3468887760557702E-2</v>
      </c>
      <c r="L1779">
        <v>872.83939620480805</v>
      </c>
      <c r="M1779">
        <v>16.437177603222601</v>
      </c>
      <c r="N1779">
        <v>53.277917650042703</v>
      </c>
      <c r="O1779">
        <v>52.334237404220701</v>
      </c>
      <c r="P1779">
        <v>-7.64464461544625E-2</v>
      </c>
      <c r="Q1779">
        <v>2.6479040638376299E-2</v>
      </c>
      <c r="R1779">
        <v>0.98434237746483999</v>
      </c>
      <c r="S1779" t="s">
        <v>8449</v>
      </c>
      <c r="T1779" t="s">
        <v>13338</v>
      </c>
      <c r="U1779" t="s">
        <v>13338</v>
      </c>
      <c r="V1779" t="s">
        <v>13338</v>
      </c>
      <c r="W1779" t="s">
        <v>15081</v>
      </c>
      <c r="X1779">
        <v>5</v>
      </c>
      <c r="Y1779" t="s">
        <v>21674</v>
      </c>
      <c r="Z1779" t="s">
        <v>28194</v>
      </c>
      <c r="AA1779">
        <v>0.4699289458467748</v>
      </c>
      <c r="AB1779" t="str">
        <f>HYPERLINK("Melting_Curves/meltCurve_O95628_3_CNOT4.pdf", "Melting_Curves/meltCurve_O95628_3_CNOT4.pdf")</f>
        <v>Melting_Curves/meltCurve_O95628_3_CNOT4.pdf</v>
      </c>
    </row>
    <row r="1780" spans="1:28" x14ac:dyDescent="0.25">
      <c r="A1780" t="s">
        <v>1784</v>
      </c>
      <c r="B1780">
        <v>0.99193492352474899</v>
      </c>
      <c r="C1780">
        <v>0.76198712203493701</v>
      </c>
      <c r="D1780">
        <v>0.51104156390338595</v>
      </c>
      <c r="E1780">
        <v>0.226261329545346</v>
      </c>
      <c r="F1780">
        <v>0.157098299234602</v>
      </c>
      <c r="G1780">
        <v>0.10303608455801901</v>
      </c>
      <c r="H1780">
        <v>8.2196439888761103E-2</v>
      </c>
      <c r="I1780">
        <v>8.4769253269747102E-2</v>
      </c>
      <c r="J1780">
        <v>8.1579548799056698E-2</v>
      </c>
      <c r="K1780">
        <v>8.2727146210966204E-2</v>
      </c>
      <c r="L1780">
        <v>896.86843899922303</v>
      </c>
      <c r="M1780">
        <v>19.683239184218898</v>
      </c>
      <c r="N1780">
        <v>45.9925924794845</v>
      </c>
      <c r="O1780">
        <v>45.102587693227697</v>
      </c>
      <c r="P1780">
        <v>-9.9984864824701994E-2</v>
      </c>
      <c r="Q1780">
        <v>8.36021077043929E-2</v>
      </c>
      <c r="R1780">
        <v>0.99597741607327195</v>
      </c>
      <c r="S1780" t="s">
        <v>8450</v>
      </c>
      <c r="T1780" t="s">
        <v>13338</v>
      </c>
      <c r="U1780" t="s">
        <v>13338</v>
      </c>
      <c r="V1780" t="s">
        <v>13338</v>
      </c>
      <c r="W1780" t="s">
        <v>15082</v>
      </c>
      <c r="X1780">
        <v>12</v>
      </c>
      <c r="Y1780" t="s">
        <v>21675</v>
      </c>
      <c r="Z1780" t="s">
        <v>28195</v>
      </c>
      <c r="AA1780">
        <v>0.26880877232682998</v>
      </c>
      <c r="AB1780" t="str">
        <f>HYPERLINK("Melting_Curves/meltCurve_O95630_STAMBP.pdf", "Melting_Curves/meltCurve_O95630_STAMBP.pdf")</f>
        <v>Melting_Curves/meltCurve_O95630_STAMBP.pdf</v>
      </c>
    </row>
    <row r="1781" spans="1:28" x14ac:dyDescent="0.25">
      <c r="A1781" t="s">
        <v>1785</v>
      </c>
      <c r="B1781">
        <v>0.99193492352474899</v>
      </c>
      <c r="C1781">
        <v>0.54978448250407996</v>
      </c>
      <c r="D1781">
        <v>0.68868594084138002</v>
      </c>
      <c r="E1781">
        <v>0.28450124739801003</v>
      </c>
      <c r="F1781">
        <v>0.17775777371472001</v>
      </c>
      <c r="G1781">
        <v>0.115815241651714</v>
      </c>
      <c r="H1781">
        <v>9.0237707257399505E-2</v>
      </c>
      <c r="I1781">
        <v>0.119689110556462</v>
      </c>
      <c r="J1781">
        <v>0.106715362549986</v>
      </c>
      <c r="K1781">
        <v>0.15631123917633799</v>
      </c>
      <c r="L1781">
        <v>639.31766542565401</v>
      </c>
      <c r="M1781">
        <v>13.983643198441699</v>
      </c>
      <c r="N1781">
        <v>46.402312290873702</v>
      </c>
      <c r="O1781">
        <v>44.814425001818599</v>
      </c>
      <c r="P1781">
        <v>-7.0758863101604896E-2</v>
      </c>
      <c r="Q1781">
        <v>9.3055793942600398E-2</v>
      </c>
      <c r="R1781">
        <v>0.90772910262019002</v>
      </c>
      <c r="S1781" t="s">
        <v>8451</v>
      </c>
      <c r="T1781" t="s">
        <v>13338</v>
      </c>
      <c r="U1781" t="s">
        <v>13338</v>
      </c>
      <c r="V1781" t="s">
        <v>13338</v>
      </c>
      <c r="W1781" t="s">
        <v>15083</v>
      </c>
      <c r="X1781">
        <v>5</v>
      </c>
      <c r="Y1781" t="s">
        <v>21676</v>
      </c>
      <c r="Z1781" t="s">
        <v>28196</v>
      </c>
      <c r="AA1781">
        <v>0.29733518534611902</v>
      </c>
      <c r="AB1781" t="str">
        <f>HYPERLINK("Melting_Curves/meltCurve_O95639_3_CPSF4.pdf", "Melting_Curves/meltCurve_O95639_3_CPSF4.pdf")</f>
        <v>Melting_Curves/meltCurve_O95639_3_CPSF4.pdf</v>
      </c>
    </row>
    <row r="1782" spans="1:28" x14ac:dyDescent="0.25">
      <c r="A1782" t="s">
        <v>1786</v>
      </c>
      <c r="B1782">
        <v>0.99193492352474899</v>
      </c>
      <c r="C1782">
        <v>0.88031134363361896</v>
      </c>
      <c r="D1782">
        <v>0.79968669783540802</v>
      </c>
      <c r="E1782">
        <v>0.43409499744240598</v>
      </c>
      <c r="F1782">
        <v>0.211401795609444</v>
      </c>
      <c r="G1782">
        <v>0.110819699527361</v>
      </c>
      <c r="H1782">
        <v>5.9820438615941003E-2</v>
      </c>
      <c r="I1782">
        <v>7.0088192484882197E-2</v>
      </c>
      <c r="J1782">
        <v>8.4872797201965E-2</v>
      </c>
      <c r="K1782">
        <v>7.8325351919752401E-2</v>
      </c>
      <c r="L1782">
        <v>951.75558276807396</v>
      </c>
      <c r="M1782">
        <v>19.577676615361799</v>
      </c>
      <c r="N1782">
        <v>48.956075200577899</v>
      </c>
      <c r="O1782">
        <v>48.1156319153962</v>
      </c>
      <c r="P1782">
        <v>-9.5228481030990103E-2</v>
      </c>
      <c r="Q1782">
        <v>6.3869180152595503E-2</v>
      </c>
      <c r="R1782">
        <v>0.99601642935983403</v>
      </c>
      <c r="S1782" t="s">
        <v>8452</v>
      </c>
      <c r="T1782" t="s">
        <v>13338</v>
      </c>
      <c r="U1782" t="s">
        <v>13338</v>
      </c>
      <c r="V1782" t="s">
        <v>13338</v>
      </c>
      <c r="W1782" t="s">
        <v>15084</v>
      </c>
      <c r="X1782">
        <v>15</v>
      </c>
      <c r="Y1782" t="s">
        <v>21677</v>
      </c>
      <c r="Z1782" t="s">
        <v>28197</v>
      </c>
      <c r="AA1782">
        <v>0.34643566330814518</v>
      </c>
      <c r="AB1782" t="str">
        <f>HYPERLINK("Melting_Curves/meltCurve_O95671_2_ASMTL.pdf", "Melting_Curves/meltCurve_O95671_2_ASMTL.pdf")</f>
        <v>Melting_Curves/meltCurve_O95671_2_ASMTL.pdf</v>
      </c>
    </row>
    <row r="1783" spans="1:28" x14ac:dyDescent="0.25">
      <c r="A1783" t="s">
        <v>1787</v>
      </c>
      <c r="B1783">
        <v>0.99193492352474899</v>
      </c>
      <c r="C1783">
        <v>1.01416459129992</v>
      </c>
      <c r="D1783">
        <v>0.78669716781809496</v>
      </c>
      <c r="E1783">
        <v>0.867541666552609</v>
      </c>
      <c r="F1783">
        <v>0.69760174504122796</v>
      </c>
      <c r="G1783">
        <v>0.52606279115310794</v>
      </c>
      <c r="H1783">
        <v>0.40354465559415298</v>
      </c>
      <c r="I1783">
        <v>0.31201791737999202</v>
      </c>
      <c r="J1783">
        <v>0.23352975175769899</v>
      </c>
      <c r="K1783">
        <v>0.29231851434532402</v>
      </c>
      <c r="L1783">
        <v>569.44767154621195</v>
      </c>
      <c r="M1783">
        <v>10.215907561739099</v>
      </c>
      <c r="N1783">
        <v>57.7322843172349</v>
      </c>
      <c r="O1783">
        <v>53.732027579717297</v>
      </c>
      <c r="P1783">
        <v>-4.0492794906353699E-2</v>
      </c>
      <c r="Q1783">
        <v>0.14847107444107699</v>
      </c>
      <c r="R1783">
        <v>0.96648300108494301</v>
      </c>
      <c r="S1783" t="s">
        <v>8453</v>
      </c>
      <c r="T1783" t="s">
        <v>13338</v>
      </c>
      <c r="U1783" t="s">
        <v>13338</v>
      </c>
      <c r="V1783" t="s">
        <v>13338</v>
      </c>
      <c r="W1783" t="s">
        <v>15085</v>
      </c>
      <c r="X1783">
        <v>4</v>
      </c>
      <c r="Y1783" t="s">
        <v>21678</v>
      </c>
      <c r="Z1783" t="s">
        <v>28198</v>
      </c>
      <c r="AA1783">
        <v>0.61428138204782046</v>
      </c>
      <c r="AB1783" t="str">
        <f>HYPERLINK("Melting_Curves/meltCurve_O95674_CDS2.pdf", "Melting_Curves/meltCurve_O95674_CDS2.pdf")</f>
        <v>Melting_Curves/meltCurve_O95674_CDS2.pdf</v>
      </c>
    </row>
    <row r="1784" spans="1:28" x14ac:dyDescent="0.25">
      <c r="A1784" t="s">
        <v>1788</v>
      </c>
      <c r="B1784">
        <v>0.99193492352474899</v>
      </c>
      <c r="C1784">
        <v>0.65079512677463303</v>
      </c>
      <c r="D1784">
        <v>0.65465846185471299</v>
      </c>
      <c r="E1784">
        <v>0.38480462031527002</v>
      </c>
      <c r="F1784">
        <v>0.29904193306947302</v>
      </c>
      <c r="G1784">
        <v>0.207352001166831</v>
      </c>
      <c r="H1784">
        <v>9.5923329443105707E-2</v>
      </c>
      <c r="I1784">
        <v>0.124305977273208</v>
      </c>
      <c r="J1784">
        <v>0.121129881412743</v>
      </c>
      <c r="K1784">
        <v>0.17329158940452699</v>
      </c>
      <c r="L1784">
        <v>567.69156915342603</v>
      </c>
      <c r="M1784">
        <v>12.156552571055</v>
      </c>
      <c r="N1784">
        <v>47.635830817146498</v>
      </c>
      <c r="O1784">
        <v>45.488631143377198</v>
      </c>
      <c r="P1784">
        <v>-5.9717226751917103E-2</v>
      </c>
      <c r="Q1784">
        <v>0.106380774762337</v>
      </c>
      <c r="R1784">
        <v>0.956674095226974</v>
      </c>
      <c r="S1784" t="s">
        <v>8454</v>
      </c>
      <c r="T1784" t="s">
        <v>13338</v>
      </c>
      <c r="U1784" t="s">
        <v>13338</v>
      </c>
      <c r="V1784" t="s">
        <v>13338</v>
      </c>
      <c r="W1784" t="s">
        <v>15086</v>
      </c>
      <c r="X1784">
        <v>3</v>
      </c>
      <c r="Y1784" t="s">
        <v>21679</v>
      </c>
      <c r="Z1784" t="s">
        <v>28199</v>
      </c>
      <c r="AA1784">
        <v>0.34338985748269207</v>
      </c>
      <c r="AB1784" t="str">
        <f>HYPERLINK("Melting_Curves/meltCurve_O95684_FGFR1OP.pdf", "Melting_Curves/meltCurve_O95684_FGFR1OP.pdf")</f>
        <v>Melting_Curves/meltCurve_O95684_FGFR1OP.pdf</v>
      </c>
    </row>
    <row r="1785" spans="1:28" x14ac:dyDescent="0.25">
      <c r="A1785" t="s">
        <v>1789</v>
      </c>
      <c r="B1785">
        <v>0.99193492352474899</v>
      </c>
      <c r="C1785">
        <v>0.87963445810357299</v>
      </c>
      <c r="D1785">
        <v>0.92387078212303897</v>
      </c>
      <c r="E1785">
        <v>0.81692065089147803</v>
      </c>
      <c r="F1785">
        <v>0.67877982454111296</v>
      </c>
      <c r="G1785">
        <v>0.58106617771094304</v>
      </c>
      <c r="H1785">
        <v>0.39245610666002301</v>
      </c>
      <c r="I1785">
        <v>0.30700921306409601</v>
      </c>
      <c r="J1785">
        <v>0.26896836867929202</v>
      </c>
      <c r="K1785">
        <v>0.201138352228519</v>
      </c>
      <c r="L1785">
        <v>478.64635688615499</v>
      </c>
      <c r="M1785">
        <v>8.2157275837505193</v>
      </c>
      <c r="N1785">
        <v>58.259765101236098</v>
      </c>
      <c r="O1785">
        <v>55.113634078764498</v>
      </c>
      <c r="P1785">
        <v>-3.7305375151281399E-2</v>
      </c>
      <c r="Q1785">
        <v>0</v>
      </c>
      <c r="R1785">
        <v>0.99016502211801805</v>
      </c>
      <c r="S1785" t="s">
        <v>8455</v>
      </c>
      <c r="T1785" t="s">
        <v>13338</v>
      </c>
      <c r="U1785" t="s">
        <v>13338</v>
      </c>
      <c r="V1785" t="s">
        <v>13338</v>
      </c>
      <c r="W1785" t="s">
        <v>15087</v>
      </c>
      <c r="X1785">
        <v>8</v>
      </c>
      <c r="Y1785" t="s">
        <v>21680</v>
      </c>
      <c r="Z1785" t="s">
        <v>28200</v>
      </c>
      <c r="AA1785">
        <v>0.61096496490204799</v>
      </c>
      <c r="AB1785" t="str">
        <f>HYPERLINK("Melting_Curves/meltCurve_O95716_RAB3D.pdf", "Melting_Curves/meltCurve_O95716_RAB3D.pdf")</f>
        <v>Melting_Curves/meltCurve_O95716_RAB3D.pdf</v>
      </c>
    </row>
    <row r="1786" spans="1:28" x14ac:dyDescent="0.25">
      <c r="A1786" t="s">
        <v>1790</v>
      </c>
      <c r="B1786">
        <v>0.99193492352474899</v>
      </c>
      <c r="C1786">
        <v>0.94372205149684896</v>
      </c>
      <c r="D1786">
        <v>0.85628151004393005</v>
      </c>
      <c r="E1786">
        <v>0.69071098294238797</v>
      </c>
      <c r="F1786">
        <v>0.51390168489419297</v>
      </c>
      <c r="G1786">
        <v>0.391315513740919</v>
      </c>
      <c r="H1786">
        <v>0.32227000912112902</v>
      </c>
      <c r="I1786">
        <v>0.40653526159325998</v>
      </c>
      <c r="J1786">
        <v>0.457854628507955</v>
      </c>
      <c r="K1786">
        <v>0.61128094497061802</v>
      </c>
      <c r="L1786">
        <v>1084.11467825865</v>
      </c>
      <c r="M1786">
        <v>22.294159257900201</v>
      </c>
      <c r="N1786">
        <v>53.563667128471998</v>
      </c>
      <c r="O1786">
        <v>48.241570111626203</v>
      </c>
      <c r="P1786">
        <v>-6.5172197059818707E-2</v>
      </c>
      <c r="Q1786">
        <v>0.43591641609194898</v>
      </c>
      <c r="R1786">
        <v>0.89916794642336695</v>
      </c>
      <c r="S1786" t="s">
        <v>8456</v>
      </c>
      <c r="T1786" t="s">
        <v>13338</v>
      </c>
      <c r="U1786" t="s">
        <v>13338</v>
      </c>
      <c r="V1786" t="s">
        <v>13338</v>
      </c>
      <c r="W1786" t="s">
        <v>15088</v>
      </c>
      <c r="X1786">
        <v>15</v>
      </c>
      <c r="Y1786" t="s">
        <v>21681</v>
      </c>
      <c r="Z1786" t="s">
        <v>28201</v>
      </c>
      <c r="AA1786">
        <v>0.60447545075326403</v>
      </c>
      <c r="AB1786" t="str">
        <f>HYPERLINK("Melting_Curves/meltCurve_O95721_SNAP29.pdf", "Melting_Curves/meltCurve_O95721_SNAP29.pdf")</f>
        <v>Melting_Curves/meltCurve_O95721_SNAP29.pdf</v>
      </c>
    </row>
    <row r="1787" spans="1:28" x14ac:dyDescent="0.25">
      <c r="A1787" t="s">
        <v>1791</v>
      </c>
      <c r="B1787">
        <v>0.99193492352474899</v>
      </c>
      <c r="C1787">
        <v>0.79660894126196602</v>
      </c>
      <c r="D1787">
        <v>0.90742923465388703</v>
      </c>
      <c r="E1787">
        <v>0.36501900246282298</v>
      </c>
      <c r="F1787">
        <v>0.18476906551239999</v>
      </c>
      <c r="G1787">
        <v>0.113431550442912</v>
      </c>
      <c r="H1787">
        <v>7.5789830138835307E-2</v>
      </c>
      <c r="I1787">
        <v>7.8472992744528805E-2</v>
      </c>
      <c r="J1787">
        <v>9.0637915783829695E-2</v>
      </c>
      <c r="K1787">
        <v>0.14098876233508101</v>
      </c>
      <c r="L1787">
        <v>1447.3443905967599</v>
      </c>
      <c r="M1787">
        <v>29.894401450416101</v>
      </c>
      <c r="N1787">
        <v>48.777755677489999</v>
      </c>
      <c r="O1787">
        <v>48.200137807072501</v>
      </c>
      <c r="P1787">
        <v>-0.139608904485543</v>
      </c>
      <c r="Q1787">
        <v>9.9614237346192597E-2</v>
      </c>
      <c r="R1787">
        <v>0.96614531757051303</v>
      </c>
      <c r="S1787" t="s">
        <v>8457</v>
      </c>
      <c r="T1787" t="s">
        <v>13338</v>
      </c>
      <c r="U1787" t="s">
        <v>13338</v>
      </c>
      <c r="V1787" t="s">
        <v>13338</v>
      </c>
      <c r="W1787" t="s">
        <v>15089</v>
      </c>
      <c r="X1787">
        <v>23</v>
      </c>
      <c r="Y1787" t="s">
        <v>21682</v>
      </c>
      <c r="Z1787" t="s">
        <v>28202</v>
      </c>
      <c r="AA1787">
        <v>0.3576615529893471</v>
      </c>
      <c r="AB1787" t="str">
        <f>HYPERLINK("Melting_Curves/meltCurve_O95747_OXSR1.pdf", "Melting_Curves/meltCurve_O95747_OXSR1.pdf")</f>
        <v>Melting_Curves/meltCurve_O95747_OXSR1.pdf</v>
      </c>
    </row>
    <row r="1788" spans="1:28" x14ac:dyDescent="0.25">
      <c r="A1788" t="s">
        <v>1792</v>
      </c>
      <c r="B1788">
        <v>0.99193492352474899</v>
      </c>
      <c r="C1788">
        <v>0.92641275957245395</v>
      </c>
      <c r="D1788">
        <v>0.95610224358916096</v>
      </c>
      <c r="E1788">
        <v>0.81054385485080904</v>
      </c>
      <c r="F1788">
        <v>0.75770589152963097</v>
      </c>
      <c r="G1788">
        <v>0.577913747753795</v>
      </c>
      <c r="H1788">
        <v>0.31869037558831897</v>
      </c>
      <c r="I1788">
        <v>0.16815213118453201</v>
      </c>
      <c r="J1788">
        <v>0.16111046374419399</v>
      </c>
      <c r="K1788">
        <v>0.182585517220894</v>
      </c>
      <c r="L1788">
        <v>721.906542390916</v>
      </c>
      <c r="M1788">
        <v>12.6877949976457</v>
      </c>
      <c r="N1788">
        <v>57.351213399267003</v>
      </c>
      <c r="O1788">
        <v>55.539823703926999</v>
      </c>
      <c r="P1788">
        <v>-5.43959260169561E-2</v>
      </c>
      <c r="Q1788">
        <v>4.7729381986666902E-2</v>
      </c>
      <c r="R1788">
        <v>0.98263717517106397</v>
      </c>
      <c r="S1788" t="s">
        <v>8458</v>
      </c>
      <c r="T1788" t="s">
        <v>13338</v>
      </c>
      <c r="U1788" t="s">
        <v>13338</v>
      </c>
      <c r="V1788" t="s">
        <v>13338</v>
      </c>
      <c r="W1788" t="s">
        <v>15090</v>
      </c>
      <c r="X1788">
        <v>13</v>
      </c>
      <c r="Y1788" t="s">
        <v>21683</v>
      </c>
      <c r="Z1788" t="s">
        <v>28203</v>
      </c>
      <c r="AA1788">
        <v>0.6004134601302451</v>
      </c>
      <c r="AB1788" t="str">
        <f>HYPERLINK("Melting_Curves/meltCurve_O95749_GGPS1.pdf", "Melting_Curves/meltCurve_O95749_GGPS1.pdf")</f>
        <v>Melting_Curves/meltCurve_O95749_GGPS1.pdf</v>
      </c>
    </row>
    <row r="1789" spans="1:28" x14ac:dyDescent="0.25">
      <c r="A1789" t="s">
        <v>1793</v>
      </c>
      <c r="B1789">
        <v>0.99193492352474899</v>
      </c>
      <c r="C1789">
        <v>0.81033694895701602</v>
      </c>
      <c r="D1789">
        <v>0.84811870888514296</v>
      </c>
      <c r="E1789">
        <v>0.71781740184384801</v>
      </c>
      <c r="F1789">
        <v>0.72543945000638099</v>
      </c>
      <c r="G1789">
        <v>0.596733190879152</v>
      </c>
      <c r="H1789">
        <v>0.50493159759674999</v>
      </c>
      <c r="I1789">
        <v>0.59493730432288605</v>
      </c>
      <c r="J1789">
        <v>0.71487687335685601</v>
      </c>
      <c r="K1789">
        <v>0.89700914691609401</v>
      </c>
      <c r="L1789">
        <v>732.97246566662102</v>
      </c>
      <c r="M1789">
        <v>16.503013239774301</v>
      </c>
      <c r="O1789">
        <v>43.777677538302697</v>
      </c>
      <c r="P1789">
        <v>-3.1180675597664499E-2</v>
      </c>
      <c r="Q1789">
        <v>0.66917004956077097</v>
      </c>
      <c r="R1789">
        <v>0.47999446010382302</v>
      </c>
      <c r="S1789" t="s">
        <v>8459</v>
      </c>
      <c r="T1789" t="s">
        <v>13338</v>
      </c>
      <c r="U1789" t="s">
        <v>13338</v>
      </c>
      <c r="V1789" t="s">
        <v>13338</v>
      </c>
      <c r="W1789" t="s">
        <v>15091</v>
      </c>
      <c r="X1789">
        <v>8</v>
      </c>
      <c r="Y1789" t="s">
        <v>21684</v>
      </c>
      <c r="Z1789" t="s">
        <v>28204</v>
      </c>
      <c r="AA1789">
        <v>0.72714323552136206</v>
      </c>
      <c r="AB1789" t="str">
        <f>HYPERLINK("Melting_Curves/meltCurve_O95777_NAA38.pdf", "Melting_Curves/meltCurve_O95777_NAA38.pdf")</f>
        <v>Melting_Curves/meltCurve_O95777_NAA38.pdf</v>
      </c>
    </row>
    <row r="1790" spans="1:28" x14ac:dyDescent="0.25">
      <c r="A1790" t="s">
        <v>1794</v>
      </c>
      <c r="B1790">
        <v>0.99193492352474899</v>
      </c>
      <c r="C1790">
        <v>0.96283607117968595</v>
      </c>
      <c r="D1790">
        <v>0.96404227287616095</v>
      </c>
      <c r="E1790">
        <v>0.80137413304787097</v>
      </c>
      <c r="F1790">
        <v>0.61652152585631004</v>
      </c>
      <c r="G1790">
        <v>0.26125868697763799</v>
      </c>
      <c r="H1790">
        <v>0.104513054187197</v>
      </c>
      <c r="I1790">
        <v>9.4181118838142702E-2</v>
      </c>
      <c r="J1790">
        <v>0.10329602261697</v>
      </c>
      <c r="K1790">
        <v>9.7465461079480301E-2</v>
      </c>
      <c r="L1790">
        <v>1105.8754086588399</v>
      </c>
      <c r="M1790">
        <v>20.6653987010028</v>
      </c>
      <c r="N1790">
        <v>53.902313111221503</v>
      </c>
      <c r="O1790">
        <v>53.019842671310499</v>
      </c>
      <c r="P1790">
        <v>-9.06953059933122E-2</v>
      </c>
      <c r="Q1790">
        <v>6.9262896701600601E-2</v>
      </c>
      <c r="R1790">
        <v>0.99395485274297501</v>
      </c>
      <c r="S1790" t="s">
        <v>8460</v>
      </c>
      <c r="T1790" t="s">
        <v>13338</v>
      </c>
      <c r="U1790" t="s">
        <v>13338</v>
      </c>
      <c r="V1790" t="s">
        <v>13338</v>
      </c>
      <c r="W1790" t="s">
        <v>15092</v>
      </c>
      <c r="X1790">
        <v>39</v>
      </c>
      <c r="Y1790" t="s">
        <v>21685</v>
      </c>
      <c r="Z1790" t="s">
        <v>28205</v>
      </c>
      <c r="AA1790">
        <v>0.50056495574778548</v>
      </c>
      <c r="AB1790" t="str">
        <f>HYPERLINK("Melting_Curves/meltCurve_O95782_2_AP2A1.pdf", "Melting_Curves/meltCurve_O95782_2_AP2A1.pdf")</f>
        <v>Melting_Curves/meltCurve_O95782_2_AP2A1.pdf</v>
      </c>
    </row>
    <row r="1791" spans="1:28" x14ac:dyDescent="0.25">
      <c r="A1791" t="s">
        <v>1795</v>
      </c>
      <c r="B1791">
        <v>0.99193492352474899</v>
      </c>
      <c r="C1791">
        <v>0.95330509566013399</v>
      </c>
      <c r="D1791">
        <v>0.418389291712363</v>
      </c>
      <c r="E1791">
        <v>0.148572494365839</v>
      </c>
      <c r="F1791">
        <v>0.107397814876521</v>
      </c>
      <c r="G1791">
        <v>8.2067435846058606E-2</v>
      </c>
      <c r="H1791">
        <v>5.1599627666617999E-2</v>
      </c>
      <c r="I1791">
        <v>8.8895184947303599E-2</v>
      </c>
      <c r="J1791">
        <v>6.8681283943704499E-2</v>
      </c>
      <c r="K1791">
        <v>6.1521795073263399E-2</v>
      </c>
      <c r="L1791">
        <v>1958.4915418768701</v>
      </c>
      <c r="M1791">
        <v>43.078292212330403</v>
      </c>
      <c r="N1791">
        <v>45.654167341418997</v>
      </c>
      <c r="O1791">
        <v>45.365893214417802</v>
      </c>
      <c r="P1791">
        <v>-0.21785353046404801</v>
      </c>
      <c r="Q1791">
        <v>8.2312314149092694E-2</v>
      </c>
      <c r="R1791">
        <v>0.99650218688357906</v>
      </c>
      <c r="S1791" t="s">
        <v>8461</v>
      </c>
      <c r="T1791" t="s">
        <v>13338</v>
      </c>
      <c r="U1791" t="s">
        <v>13338</v>
      </c>
      <c r="V1791" t="s">
        <v>13338</v>
      </c>
      <c r="W1791" t="s">
        <v>15093</v>
      </c>
      <c r="X1791">
        <v>5</v>
      </c>
      <c r="Y1791" t="s">
        <v>21686</v>
      </c>
      <c r="Z1791" t="s">
        <v>28206</v>
      </c>
      <c r="AA1791">
        <v>0.25199058010748537</v>
      </c>
      <c r="AB1791" t="str">
        <f>HYPERLINK("Melting_Curves/meltCurve_O95786_DDX58.pdf", "Melting_Curves/meltCurve_O95786_DDX58.pdf")</f>
        <v>Melting_Curves/meltCurve_O95786_DDX58.pdf</v>
      </c>
    </row>
    <row r="1792" spans="1:28" x14ac:dyDescent="0.25">
      <c r="A1792" t="s">
        <v>1796</v>
      </c>
      <c r="B1792">
        <v>0.99193492352474899</v>
      </c>
      <c r="C1792">
        <v>0.99565753670245505</v>
      </c>
      <c r="D1792">
        <v>0.93736830137188198</v>
      </c>
      <c r="E1792">
        <v>0.37020711765882602</v>
      </c>
      <c r="F1792">
        <v>0.172340649105615</v>
      </c>
      <c r="G1792">
        <v>0.100435423290143</v>
      </c>
      <c r="H1792">
        <v>7.3067784391105603E-2</v>
      </c>
      <c r="I1792">
        <v>8.8091211513317905E-2</v>
      </c>
      <c r="J1792">
        <v>0.119714219300675</v>
      </c>
      <c r="K1792">
        <v>9.7133185112762102E-2</v>
      </c>
      <c r="L1792">
        <v>2018.7754874846701</v>
      </c>
      <c r="M1792">
        <v>41.5030483153555</v>
      </c>
      <c r="N1792">
        <v>48.912514046692998</v>
      </c>
      <c r="O1792">
        <v>48.529118313921799</v>
      </c>
      <c r="P1792">
        <v>-0.19185222377811001</v>
      </c>
      <c r="Q1792">
        <v>0.102678061027128</v>
      </c>
      <c r="R1792">
        <v>0.997490175786935</v>
      </c>
      <c r="S1792" t="s">
        <v>8462</v>
      </c>
      <c r="T1792" t="s">
        <v>13338</v>
      </c>
      <c r="U1792" t="s">
        <v>13338</v>
      </c>
      <c r="V1792" t="s">
        <v>13338</v>
      </c>
      <c r="W1792" t="s">
        <v>15094</v>
      </c>
      <c r="X1792">
        <v>16</v>
      </c>
      <c r="Y1792" t="s">
        <v>21687</v>
      </c>
      <c r="Z1792" t="s">
        <v>28207</v>
      </c>
      <c r="AA1792">
        <v>0.36395937154517172</v>
      </c>
      <c r="AB1792" t="str">
        <f>HYPERLINK("Melting_Curves/meltCurve_O95801_TTC4.pdf", "Melting_Curves/meltCurve_O95801_TTC4.pdf")</f>
        <v>Melting_Curves/meltCurve_O95801_TTC4.pdf</v>
      </c>
    </row>
    <row r="1793" spans="1:28" x14ac:dyDescent="0.25">
      <c r="A1793" t="s">
        <v>1797</v>
      </c>
      <c r="B1793">
        <v>0.99193492352474899</v>
      </c>
      <c r="C1793">
        <v>0.904793383321433</v>
      </c>
      <c r="D1793">
        <v>0.82341826516514605</v>
      </c>
      <c r="E1793">
        <v>0.60580028725607304</v>
      </c>
      <c r="F1793">
        <v>0.51615770563812402</v>
      </c>
      <c r="G1793">
        <v>0.38824923851583998</v>
      </c>
      <c r="H1793">
        <v>0.27758594352286298</v>
      </c>
      <c r="I1793">
        <v>0.33530273207349498</v>
      </c>
      <c r="J1793">
        <v>0.35004676664178203</v>
      </c>
      <c r="K1793">
        <v>0.40308338525618698</v>
      </c>
      <c r="L1793">
        <v>768.19486509440696</v>
      </c>
      <c r="M1793">
        <v>15.7614661895634</v>
      </c>
      <c r="N1793">
        <v>52.373040413757401</v>
      </c>
      <c r="O1793">
        <v>47.9744559372662</v>
      </c>
      <c r="P1793">
        <v>-5.4828313728413597E-2</v>
      </c>
      <c r="Q1793">
        <v>0.33251395071867201</v>
      </c>
      <c r="R1793">
        <v>0.97624065002164095</v>
      </c>
      <c r="S1793" t="s">
        <v>8463</v>
      </c>
      <c r="T1793" t="s">
        <v>13338</v>
      </c>
      <c r="U1793" t="s">
        <v>13338</v>
      </c>
      <c r="V1793" t="s">
        <v>13338</v>
      </c>
      <c r="W1793" t="s">
        <v>15095</v>
      </c>
      <c r="X1793">
        <v>1</v>
      </c>
      <c r="Y1793" t="s">
        <v>21688</v>
      </c>
      <c r="Z1793" t="s">
        <v>28208</v>
      </c>
      <c r="AA1793">
        <v>0.54207369582807563</v>
      </c>
      <c r="AB1793" t="str">
        <f>HYPERLINK("Melting_Curves/meltCurve_O95807_TMEM50A.pdf", "Melting_Curves/meltCurve_O95807_TMEM50A.pdf")</f>
        <v>Melting_Curves/meltCurve_O95807_TMEM50A.pdf</v>
      </c>
    </row>
    <row r="1794" spans="1:28" x14ac:dyDescent="0.25">
      <c r="A1794" t="s">
        <v>1798</v>
      </c>
      <c r="B1794">
        <v>0.99193492352474899</v>
      </c>
      <c r="C1794">
        <v>0.84715669483978195</v>
      </c>
      <c r="D1794">
        <v>0.86849075977962598</v>
      </c>
      <c r="E1794">
        <v>0.79047980286012298</v>
      </c>
      <c r="F1794">
        <v>0.73237695205266296</v>
      </c>
      <c r="G1794">
        <v>0.24000677540628601</v>
      </c>
      <c r="H1794">
        <v>0.136909106501718</v>
      </c>
      <c r="I1794">
        <v>0.14123945561315099</v>
      </c>
      <c r="J1794">
        <v>0.162994715689393</v>
      </c>
      <c r="K1794">
        <v>0.181008122342315</v>
      </c>
      <c r="L1794">
        <v>1134.2692346860699</v>
      </c>
      <c r="M1794">
        <v>21.144224954416501</v>
      </c>
      <c r="N1794">
        <v>54.364780087048103</v>
      </c>
      <c r="O1794">
        <v>53.171479601573999</v>
      </c>
      <c r="P1794">
        <v>-8.7271377096816399E-2</v>
      </c>
      <c r="Q1794">
        <v>0.122175998776547</v>
      </c>
      <c r="R1794">
        <v>0.93960938069056199</v>
      </c>
      <c r="S1794" t="s">
        <v>8464</v>
      </c>
      <c r="T1794" t="s">
        <v>13338</v>
      </c>
      <c r="U1794" t="s">
        <v>13338</v>
      </c>
      <c r="V1794" t="s">
        <v>13338</v>
      </c>
      <c r="W1794" t="s">
        <v>15096</v>
      </c>
      <c r="X1794">
        <v>9</v>
      </c>
      <c r="Y1794" t="s">
        <v>21689</v>
      </c>
      <c r="Z1794" t="s">
        <v>28209</v>
      </c>
      <c r="AA1794">
        <v>0.53234649995967276</v>
      </c>
      <c r="AB1794" t="str">
        <f>HYPERLINK("Melting_Curves/meltCurve_O95816_BAG2.pdf", "Melting_Curves/meltCurve_O95816_BAG2.pdf")</f>
        <v>Melting_Curves/meltCurve_O95816_BAG2.pdf</v>
      </c>
    </row>
    <row r="1795" spans="1:28" x14ac:dyDescent="0.25">
      <c r="A1795" t="s">
        <v>1799</v>
      </c>
      <c r="B1795">
        <v>0.99193492352474899</v>
      </c>
      <c r="C1795">
        <v>0.901693939205646</v>
      </c>
      <c r="D1795">
        <v>0.91897993996198801</v>
      </c>
      <c r="E1795">
        <v>0.79298519453781402</v>
      </c>
      <c r="F1795">
        <v>0.74418019052377704</v>
      </c>
      <c r="G1795">
        <v>0.534504126694616</v>
      </c>
      <c r="H1795">
        <v>0.43619149358388298</v>
      </c>
      <c r="I1795">
        <v>0.46596634485324101</v>
      </c>
      <c r="J1795">
        <v>0.68263097599046296</v>
      </c>
      <c r="K1795">
        <v>0.94761483680954695</v>
      </c>
      <c r="L1795">
        <v>1031.3428272461599</v>
      </c>
      <c r="M1795">
        <v>21.132543446841002</v>
      </c>
      <c r="O1795">
        <v>48.372824137254803</v>
      </c>
      <c r="P1795">
        <v>-4.1336827034070003E-2</v>
      </c>
      <c r="Q1795">
        <v>0.62152654405975105</v>
      </c>
      <c r="R1795">
        <v>0.49285510761307699</v>
      </c>
      <c r="S1795" t="s">
        <v>8465</v>
      </c>
      <c r="T1795" t="s">
        <v>13338</v>
      </c>
      <c r="U1795" t="s">
        <v>13338</v>
      </c>
      <c r="V1795" t="s">
        <v>13338</v>
      </c>
      <c r="W1795" t="s">
        <v>15097</v>
      </c>
      <c r="X1795">
        <v>9</v>
      </c>
      <c r="Y1795" t="s">
        <v>21690</v>
      </c>
      <c r="Z1795" t="s">
        <v>28210</v>
      </c>
      <c r="AA1795">
        <v>0.73733340456412944</v>
      </c>
      <c r="AB1795" t="str">
        <f>HYPERLINK("Melting_Curves/meltCurve_O95817_BAG3.pdf", "Melting_Curves/meltCurve_O95817_BAG3.pdf")</f>
        <v>Melting_Curves/meltCurve_O95817_BAG3.pdf</v>
      </c>
    </row>
    <row r="1796" spans="1:28" x14ac:dyDescent="0.25">
      <c r="A1796" t="s">
        <v>1800</v>
      </c>
      <c r="B1796">
        <v>0.99193492352474899</v>
      </c>
      <c r="C1796">
        <v>0.86629576556884802</v>
      </c>
      <c r="D1796">
        <v>0.82668154910706904</v>
      </c>
      <c r="E1796">
        <v>0.63470513248369798</v>
      </c>
      <c r="F1796">
        <v>0.32985511179460397</v>
      </c>
      <c r="G1796">
        <v>0.15663482263024001</v>
      </c>
      <c r="H1796">
        <v>0.111561799990556</v>
      </c>
      <c r="I1796">
        <v>0.17049461190487</v>
      </c>
      <c r="J1796">
        <v>0.153339243642266</v>
      </c>
      <c r="K1796">
        <v>0.16023252561514501</v>
      </c>
      <c r="L1796">
        <v>890.39870236628099</v>
      </c>
      <c r="M1796">
        <v>17.865519074361899</v>
      </c>
      <c r="N1796">
        <v>50.645855895787598</v>
      </c>
      <c r="O1796">
        <v>49.2270949433181</v>
      </c>
      <c r="P1796">
        <v>-7.9496618701601296E-2</v>
      </c>
      <c r="Q1796">
        <v>0.12385668399899</v>
      </c>
      <c r="R1796">
        <v>0.98346927971609899</v>
      </c>
      <c r="S1796" t="s">
        <v>8466</v>
      </c>
      <c r="T1796" t="s">
        <v>13338</v>
      </c>
      <c r="U1796" t="s">
        <v>13338</v>
      </c>
      <c r="V1796" t="s">
        <v>13338</v>
      </c>
      <c r="W1796" t="s">
        <v>15098</v>
      </c>
      <c r="X1796">
        <v>6</v>
      </c>
      <c r="Y1796" t="s">
        <v>21691</v>
      </c>
      <c r="Z1796" t="s">
        <v>28211</v>
      </c>
      <c r="AA1796">
        <v>0.42639080847919808</v>
      </c>
      <c r="AB1796" t="str">
        <f>HYPERLINK("Melting_Curves/meltCurve_O95822_MLYCD.pdf", "Melting_Curves/meltCurve_O95822_MLYCD.pdf")</f>
        <v>Melting_Curves/meltCurve_O95822_MLYCD.pdf</v>
      </c>
    </row>
    <row r="1797" spans="1:28" x14ac:dyDescent="0.25">
      <c r="A1797" t="s">
        <v>1801</v>
      </c>
      <c r="B1797">
        <v>0.99193492352474899</v>
      </c>
      <c r="C1797">
        <v>0.98655741528014196</v>
      </c>
      <c r="D1797">
        <v>0.84264741272416799</v>
      </c>
      <c r="E1797">
        <v>0.88473492270745302</v>
      </c>
      <c r="F1797">
        <v>0.78547376453760998</v>
      </c>
      <c r="G1797">
        <v>0.64876617701994699</v>
      </c>
      <c r="H1797">
        <v>0.192974139348777</v>
      </c>
      <c r="I1797">
        <v>8.6373300617152302E-2</v>
      </c>
      <c r="J1797">
        <v>6.4607585962467004E-2</v>
      </c>
      <c r="K1797">
        <v>7.2806844365190596E-2</v>
      </c>
      <c r="L1797">
        <v>1075.14631210589</v>
      </c>
      <c r="M1797">
        <v>18.7318070543174</v>
      </c>
      <c r="N1797">
        <v>57.396829447520702</v>
      </c>
      <c r="O1797">
        <v>56.754676802580299</v>
      </c>
      <c r="P1797">
        <v>-8.2515653008589707E-2</v>
      </c>
      <c r="Q1797">
        <v>0</v>
      </c>
      <c r="R1797">
        <v>0.96927393049959998</v>
      </c>
      <c r="S1797" t="s">
        <v>8467</v>
      </c>
      <c r="T1797" t="s">
        <v>13338</v>
      </c>
      <c r="U1797" t="s">
        <v>13338</v>
      </c>
      <c r="V1797" t="s">
        <v>13338</v>
      </c>
      <c r="W1797" t="s">
        <v>15099</v>
      </c>
      <c r="X1797">
        <v>8</v>
      </c>
      <c r="Y1797" t="s">
        <v>21692</v>
      </c>
      <c r="Z1797" t="s">
        <v>28212</v>
      </c>
      <c r="AA1797">
        <v>0.59264681583507817</v>
      </c>
      <c r="AB1797" t="str">
        <f>HYPERLINK("Melting_Curves/meltCurve_O95825_CRYZL1.pdf", "Melting_Curves/meltCurve_O95825_CRYZL1.pdf")</f>
        <v>Melting_Curves/meltCurve_O95825_CRYZL1.pdf</v>
      </c>
    </row>
    <row r="1798" spans="1:28" x14ac:dyDescent="0.25">
      <c r="A1798" t="s">
        <v>1802</v>
      </c>
      <c r="B1798">
        <v>0.99193492352474899</v>
      </c>
      <c r="C1798">
        <v>0.96623925589103299</v>
      </c>
      <c r="D1798">
        <v>1.0128307278820099</v>
      </c>
      <c r="E1798">
        <v>0.86360940324662505</v>
      </c>
      <c r="F1798">
        <v>0.87717822244556298</v>
      </c>
      <c r="G1798">
        <v>0.64380046413043501</v>
      </c>
      <c r="H1798">
        <v>0.40758218655918599</v>
      </c>
      <c r="I1798">
        <v>0.15022239497126699</v>
      </c>
      <c r="J1798">
        <v>0.15829139916743701</v>
      </c>
      <c r="K1798">
        <v>0.139212982145347</v>
      </c>
      <c r="L1798">
        <v>1010.2669440147801</v>
      </c>
      <c r="M1798">
        <v>17.318244470077101</v>
      </c>
      <c r="N1798">
        <v>58.769104428277799</v>
      </c>
      <c r="O1798">
        <v>57.574266747859298</v>
      </c>
      <c r="P1798">
        <v>-7.0692752886594407E-2</v>
      </c>
      <c r="Q1798">
        <v>5.9985643889293602E-2</v>
      </c>
      <c r="R1798">
        <v>0.98460659162281094</v>
      </c>
      <c r="S1798" t="s">
        <v>8468</v>
      </c>
      <c r="T1798" t="s">
        <v>13338</v>
      </c>
      <c r="U1798" t="s">
        <v>13338</v>
      </c>
      <c r="V1798" t="s">
        <v>13338</v>
      </c>
      <c r="W1798" t="s">
        <v>15100</v>
      </c>
      <c r="X1798">
        <v>25</v>
      </c>
      <c r="Y1798" t="s">
        <v>21693</v>
      </c>
      <c r="Z1798" t="s">
        <v>28213</v>
      </c>
      <c r="AA1798">
        <v>0.64585073505870716</v>
      </c>
      <c r="AB1798" t="str">
        <f>HYPERLINK("Melting_Curves/meltCurve_O95831_3_AIFM1.pdf", "Melting_Curves/meltCurve_O95831_3_AIFM1.pdf")</f>
        <v>Melting_Curves/meltCurve_O95831_3_AIFM1.pdf</v>
      </c>
    </row>
    <row r="1799" spans="1:28" x14ac:dyDescent="0.25">
      <c r="A1799" t="s">
        <v>1803</v>
      </c>
      <c r="B1799">
        <v>0.99193492352474899</v>
      </c>
      <c r="C1799">
        <v>0.85197074972987996</v>
      </c>
      <c r="D1799">
        <v>0.90871111213014899</v>
      </c>
      <c r="E1799">
        <v>0.703995195134963</v>
      </c>
      <c r="F1799">
        <v>0.459563770100336</v>
      </c>
      <c r="G1799">
        <v>0.15562723468126899</v>
      </c>
      <c r="H1799">
        <v>9.9069847128962593E-2</v>
      </c>
      <c r="I1799">
        <v>0.12025289045917099</v>
      </c>
      <c r="J1799">
        <v>0.114460823212041</v>
      </c>
      <c r="K1799">
        <v>0.109902321743126</v>
      </c>
      <c r="L1799">
        <v>943.55008523372101</v>
      </c>
      <c r="M1799">
        <v>18.311327505320701</v>
      </c>
      <c r="N1799">
        <v>52.023702094961202</v>
      </c>
      <c r="O1799">
        <v>50.925463617494103</v>
      </c>
      <c r="P1799">
        <v>-8.2703479656946105E-2</v>
      </c>
      <c r="Q1799">
        <v>8.0018889565004497E-2</v>
      </c>
      <c r="R1799">
        <v>0.98048226093220703</v>
      </c>
      <c r="S1799" t="s">
        <v>8469</v>
      </c>
      <c r="T1799" t="s">
        <v>13338</v>
      </c>
      <c r="U1799" t="s">
        <v>13338</v>
      </c>
      <c r="V1799" t="s">
        <v>13338</v>
      </c>
      <c r="W1799" t="s">
        <v>15101</v>
      </c>
      <c r="X1799">
        <v>13</v>
      </c>
      <c r="Y1799" t="s">
        <v>21694</v>
      </c>
      <c r="Z1799" t="s">
        <v>28214</v>
      </c>
      <c r="AA1799">
        <v>0.44848952214438148</v>
      </c>
      <c r="AB1799" t="str">
        <f>HYPERLINK("Melting_Curves/meltCurve_O95834_2_EML2.pdf", "Melting_Curves/meltCurve_O95834_2_EML2.pdf")</f>
        <v>Melting_Curves/meltCurve_O95834_2_EML2.pdf</v>
      </c>
    </row>
    <row r="1800" spans="1:28" x14ac:dyDescent="0.25">
      <c r="A1800" t="s">
        <v>1804</v>
      </c>
      <c r="B1800">
        <v>0.99193492352474899</v>
      </c>
      <c r="C1800">
        <v>0.97197994753266503</v>
      </c>
      <c r="D1800">
        <v>0.65814982843458802</v>
      </c>
      <c r="E1800">
        <v>0.58615201648001203</v>
      </c>
      <c r="F1800">
        <v>0.43643543821858699</v>
      </c>
      <c r="G1800">
        <v>0.20870715796818801</v>
      </c>
      <c r="H1800">
        <v>8.7259246397472998E-2</v>
      </c>
      <c r="I1800">
        <v>9.7036960436453004E-2</v>
      </c>
      <c r="J1800">
        <v>8.5458490433486398E-2</v>
      </c>
      <c r="K1800">
        <v>4.6848345086415402E-2</v>
      </c>
      <c r="L1800">
        <v>587.81061811827396</v>
      </c>
      <c r="M1800">
        <v>11.5811963919212</v>
      </c>
      <c r="N1800">
        <v>50.816631812628998</v>
      </c>
      <c r="O1800">
        <v>49.313067555641503</v>
      </c>
      <c r="P1800">
        <v>-5.8323359602322898E-2</v>
      </c>
      <c r="Q1800">
        <v>6.9040281066451896E-3</v>
      </c>
      <c r="R1800">
        <v>0.97786340639486802</v>
      </c>
      <c r="S1800" t="s">
        <v>8470</v>
      </c>
      <c r="T1800" t="s">
        <v>13338</v>
      </c>
      <c r="U1800" t="s">
        <v>13338</v>
      </c>
      <c r="V1800" t="s">
        <v>13338</v>
      </c>
      <c r="W1800" t="s">
        <v>15102</v>
      </c>
      <c r="X1800">
        <v>4</v>
      </c>
      <c r="Y1800" t="s">
        <v>21695</v>
      </c>
      <c r="Z1800" t="s">
        <v>28215</v>
      </c>
      <c r="AA1800">
        <v>0.3975525906299604</v>
      </c>
      <c r="AB1800" t="str">
        <f>HYPERLINK("Melting_Curves/meltCurve_O95837_GNA14.pdf", "Melting_Curves/meltCurve_O95837_GNA14.pdf")</f>
        <v>Melting_Curves/meltCurve_O95837_GNA14.pdf</v>
      </c>
    </row>
    <row r="1801" spans="1:28" x14ac:dyDescent="0.25">
      <c r="A1801" t="s">
        <v>1805</v>
      </c>
      <c r="B1801">
        <v>0.99193492352474899</v>
      </c>
      <c r="C1801">
        <v>1.0428046788771199</v>
      </c>
      <c r="D1801">
        <v>0.98823082403718099</v>
      </c>
      <c r="E1801">
        <v>0.80001317425547203</v>
      </c>
      <c r="F1801">
        <v>0.72478955634229703</v>
      </c>
      <c r="G1801">
        <v>0.56489532443637303</v>
      </c>
      <c r="H1801">
        <v>0.35605923231452302</v>
      </c>
      <c r="I1801">
        <v>0.123263766163837</v>
      </c>
      <c r="J1801">
        <v>0.117358837895032</v>
      </c>
      <c r="K1801">
        <v>5.66725727783337E-2</v>
      </c>
      <c r="L1801">
        <v>765.60014800119905</v>
      </c>
      <c r="M1801">
        <v>13.395237570561401</v>
      </c>
      <c r="N1801">
        <v>57.154673709547403</v>
      </c>
      <c r="O1801">
        <v>55.925934118183001</v>
      </c>
      <c r="P1801">
        <v>-5.9888780084322399E-2</v>
      </c>
      <c r="Q1801">
        <v>0</v>
      </c>
      <c r="R1801">
        <v>0.98513485636748099</v>
      </c>
      <c r="S1801" t="s">
        <v>8471</v>
      </c>
      <c r="T1801" t="s">
        <v>13338</v>
      </c>
      <c r="U1801" t="s">
        <v>13338</v>
      </c>
      <c r="V1801" t="s">
        <v>13338</v>
      </c>
      <c r="W1801" t="s">
        <v>15103</v>
      </c>
      <c r="X1801">
        <v>3</v>
      </c>
      <c r="Y1801" t="s">
        <v>21696</v>
      </c>
      <c r="Z1801" t="s">
        <v>28216</v>
      </c>
      <c r="AA1801">
        <v>0.5879657205362826</v>
      </c>
      <c r="AB1801" t="str">
        <f>HYPERLINK("Melting_Curves/meltCurve_O95848_NUDT14.pdf", "Melting_Curves/meltCurve_O95848_NUDT14.pdf")</f>
        <v>Melting_Curves/meltCurve_O95848_NUDT14.pdf</v>
      </c>
    </row>
    <row r="1802" spans="1:28" x14ac:dyDescent="0.25">
      <c r="A1802" t="s">
        <v>1806</v>
      </c>
      <c r="B1802">
        <v>0.99193492352474899</v>
      </c>
      <c r="C1802">
        <v>0.88920732579712203</v>
      </c>
      <c r="D1802">
        <v>0.89691488062034497</v>
      </c>
      <c r="E1802">
        <v>0.80478412856869497</v>
      </c>
      <c r="F1802">
        <v>0.66368162392281504</v>
      </c>
      <c r="G1802">
        <v>0.57049501129251401</v>
      </c>
      <c r="H1802">
        <v>0.457729825205898</v>
      </c>
      <c r="I1802">
        <v>0.43411156510739102</v>
      </c>
      <c r="J1802">
        <v>0.20672587123073199</v>
      </c>
      <c r="K1802">
        <v>0.182050012612544</v>
      </c>
      <c r="L1802">
        <v>449.29692418305899</v>
      </c>
      <c r="M1802">
        <v>7.6580457355774696</v>
      </c>
      <c r="N1802">
        <v>58.669919850427199</v>
      </c>
      <c r="O1802">
        <v>55.0708753667816</v>
      </c>
      <c r="P1802">
        <v>-3.4810765460613E-2</v>
      </c>
      <c r="Q1802">
        <v>0</v>
      </c>
      <c r="R1802">
        <v>0.97456787992265204</v>
      </c>
      <c r="S1802" t="s">
        <v>8472</v>
      </c>
      <c r="T1802" t="s">
        <v>13338</v>
      </c>
      <c r="U1802" t="s">
        <v>13338</v>
      </c>
      <c r="V1802" t="s">
        <v>13338</v>
      </c>
      <c r="W1802" t="s">
        <v>15104</v>
      </c>
      <c r="X1802">
        <v>19</v>
      </c>
      <c r="Y1802" t="s">
        <v>21697</v>
      </c>
      <c r="Z1802" t="s">
        <v>28217</v>
      </c>
      <c r="AA1802">
        <v>0.61802755211097349</v>
      </c>
      <c r="AB1802" t="str">
        <f>HYPERLINK("Melting_Curves/meltCurve_O95861_BPNT1.pdf", "Melting_Curves/meltCurve_O95861_BPNT1.pdf")</f>
        <v>Melting_Curves/meltCurve_O95861_BPNT1.pdf</v>
      </c>
    </row>
    <row r="1803" spans="1:28" x14ac:dyDescent="0.25">
      <c r="A1803" t="s">
        <v>1807</v>
      </c>
      <c r="B1803">
        <v>0.99193492352474899</v>
      </c>
      <c r="C1803">
        <v>0.98845029337270696</v>
      </c>
      <c r="D1803">
        <v>0.95355914452795498</v>
      </c>
      <c r="E1803">
        <v>0.670131702180772</v>
      </c>
      <c r="F1803">
        <v>0.28106526660119402</v>
      </c>
      <c r="G1803">
        <v>0.178712262799362</v>
      </c>
      <c r="H1803">
        <v>0.115367819150075</v>
      </c>
      <c r="I1803">
        <v>0.112215799347721</v>
      </c>
      <c r="J1803">
        <v>0.11944192081261</v>
      </c>
      <c r="K1803">
        <v>0.14675588240118101</v>
      </c>
      <c r="L1803">
        <v>1455.11960253764</v>
      </c>
      <c r="M1803">
        <v>28.836098593367801</v>
      </c>
      <c r="N1803">
        <v>50.969830826706499</v>
      </c>
      <c r="O1803">
        <v>50.2209204107033</v>
      </c>
      <c r="P1803">
        <v>-0.125616222490541</v>
      </c>
      <c r="Q1803">
        <v>0.12491432618454899</v>
      </c>
      <c r="R1803">
        <v>0.99892608705752295</v>
      </c>
      <c r="S1803" t="s">
        <v>8473</v>
      </c>
      <c r="T1803" t="s">
        <v>13338</v>
      </c>
      <c r="U1803" t="s">
        <v>13338</v>
      </c>
      <c r="V1803" t="s">
        <v>13338</v>
      </c>
      <c r="W1803" t="s">
        <v>15105</v>
      </c>
      <c r="X1803">
        <v>9</v>
      </c>
      <c r="Y1803" t="s">
        <v>21698</v>
      </c>
      <c r="Z1803" t="s">
        <v>28218</v>
      </c>
      <c r="AA1803">
        <v>0.43598372907411481</v>
      </c>
      <c r="AB1803" t="str">
        <f>HYPERLINK("Melting_Curves/meltCurve_O95864_FADS2.pdf", "Melting_Curves/meltCurve_O95864_FADS2.pdf")</f>
        <v>Melting_Curves/meltCurve_O95864_FADS2.pdf</v>
      </c>
    </row>
    <row r="1804" spans="1:28" x14ac:dyDescent="0.25">
      <c r="A1804" t="s">
        <v>1808</v>
      </c>
      <c r="B1804">
        <v>0.99193492352474899</v>
      </c>
      <c r="C1804">
        <v>0.98146308055346898</v>
      </c>
      <c r="D1804">
        <v>0.92755574770272098</v>
      </c>
      <c r="E1804">
        <v>0.94339854943466706</v>
      </c>
      <c r="F1804">
        <v>0.64369696147602795</v>
      </c>
      <c r="G1804">
        <v>0.30492227032194502</v>
      </c>
      <c r="H1804">
        <v>7.2863496520494606E-2</v>
      </c>
      <c r="I1804">
        <v>7.8191988297381498E-2</v>
      </c>
      <c r="J1804">
        <v>8.0027418867905806E-2</v>
      </c>
      <c r="K1804">
        <v>9.7254972545393795E-2</v>
      </c>
      <c r="L1804">
        <v>1452.83676754409</v>
      </c>
      <c r="M1804">
        <v>26.786589385989199</v>
      </c>
      <c r="N1804">
        <v>54.536072861140099</v>
      </c>
      <c r="O1804">
        <v>53.937891700878403</v>
      </c>
      <c r="P1804">
        <v>-0.115687492230414</v>
      </c>
      <c r="Q1804">
        <v>6.82090979353039E-2</v>
      </c>
      <c r="R1804">
        <v>0.99495645438622704</v>
      </c>
      <c r="S1804" t="s">
        <v>8474</v>
      </c>
      <c r="T1804" t="s">
        <v>13338</v>
      </c>
      <c r="U1804" t="s">
        <v>13338</v>
      </c>
      <c r="V1804" t="s">
        <v>13338</v>
      </c>
      <c r="W1804" t="s">
        <v>15106</v>
      </c>
      <c r="X1804">
        <v>12</v>
      </c>
      <c r="Y1804" t="s">
        <v>21699</v>
      </c>
      <c r="Z1804" t="s">
        <v>28219</v>
      </c>
      <c r="AA1804">
        <v>0.51802275479234994</v>
      </c>
      <c r="AB1804" t="str">
        <f>HYPERLINK("Melting_Curves/meltCurve_O95865_DDAH2.pdf", "Melting_Curves/meltCurve_O95865_DDAH2.pdf")</f>
        <v>Melting_Curves/meltCurve_O95865_DDAH2.pdf</v>
      </c>
    </row>
    <row r="1805" spans="1:28" x14ac:dyDescent="0.25">
      <c r="A1805" t="s">
        <v>1809</v>
      </c>
      <c r="B1805">
        <v>0.99193492352474899</v>
      </c>
      <c r="C1805">
        <v>0.88878698364166997</v>
      </c>
      <c r="D1805">
        <v>0.94291021153269705</v>
      </c>
      <c r="E1805">
        <v>0.71443932836398905</v>
      </c>
      <c r="F1805">
        <v>0.59401881066280005</v>
      </c>
      <c r="G1805">
        <v>0.47260078087044399</v>
      </c>
      <c r="H1805">
        <v>0.33895795514367399</v>
      </c>
      <c r="I1805">
        <v>0.51532202274616401</v>
      </c>
      <c r="J1805">
        <v>0.52900517984623896</v>
      </c>
      <c r="K1805">
        <v>0.52085269592820804</v>
      </c>
      <c r="L1805">
        <v>1083.32938766658</v>
      </c>
      <c r="M1805">
        <v>21.933761849505299</v>
      </c>
      <c r="N1805">
        <v>56.857119083645003</v>
      </c>
      <c r="O1805">
        <v>48.985872901318999</v>
      </c>
      <c r="P1805">
        <v>-5.91120717720134E-2</v>
      </c>
      <c r="Q1805">
        <v>0.47193876896492898</v>
      </c>
      <c r="R1805">
        <v>0.91369600254649797</v>
      </c>
      <c r="S1805" t="s">
        <v>8475</v>
      </c>
      <c r="T1805" t="s">
        <v>13338</v>
      </c>
      <c r="U1805" t="s">
        <v>13338</v>
      </c>
      <c r="V1805" t="s">
        <v>13338</v>
      </c>
      <c r="W1805" t="s">
        <v>15107</v>
      </c>
      <c r="X1805">
        <v>2</v>
      </c>
      <c r="Y1805" t="s">
        <v>21700</v>
      </c>
      <c r="Z1805" t="s">
        <v>28220</v>
      </c>
      <c r="AA1805">
        <v>0.64336239029411102</v>
      </c>
      <c r="AB1805" t="str">
        <f>HYPERLINK("Melting_Curves/meltCurve_O95873_C6orf47.pdf", "Melting_Curves/meltCurve_O95873_C6orf47.pdf")</f>
        <v>Melting_Curves/meltCurve_O95873_C6orf47.pdf</v>
      </c>
    </row>
    <row r="1806" spans="1:28" x14ac:dyDescent="0.25">
      <c r="A1806" t="s">
        <v>1810</v>
      </c>
      <c r="B1806">
        <v>0.99193492352474899</v>
      </c>
      <c r="C1806">
        <v>0.80334620301667903</v>
      </c>
      <c r="D1806">
        <v>0.88729715553709698</v>
      </c>
      <c r="E1806">
        <v>0.64943324678354597</v>
      </c>
      <c r="F1806">
        <v>0.37869018371398599</v>
      </c>
      <c r="G1806">
        <v>0.19246042902466301</v>
      </c>
      <c r="H1806">
        <v>0.13380708090645901</v>
      </c>
      <c r="I1806">
        <v>0.147928729956428</v>
      </c>
      <c r="J1806">
        <v>0.17877041662058299</v>
      </c>
      <c r="K1806">
        <v>0.22734570303507401</v>
      </c>
      <c r="L1806">
        <v>902.76581068179701</v>
      </c>
      <c r="M1806">
        <v>18.0045093741833</v>
      </c>
      <c r="N1806">
        <v>51.1492436471706</v>
      </c>
      <c r="O1806">
        <v>49.534814259635098</v>
      </c>
      <c r="P1806">
        <v>-7.7299246502564894E-2</v>
      </c>
      <c r="Q1806">
        <v>0.14936538928274101</v>
      </c>
      <c r="R1806">
        <v>0.96347752256421204</v>
      </c>
      <c r="S1806" t="s">
        <v>8476</v>
      </c>
      <c r="T1806" t="s">
        <v>13338</v>
      </c>
      <c r="U1806" t="s">
        <v>13338</v>
      </c>
      <c r="V1806" t="s">
        <v>13338</v>
      </c>
      <c r="W1806" t="s">
        <v>15108</v>
      </c>
      <c r="X1806">
        <v>8</v>
      </c>
      <c r="Y1806" t="s">
        <v>21701</v>
      </c>
      <c r="Z1806" t="s">
        <v>28221</v>
      </c>
      <c r="AA1806">
        <v>0.45138416410265592</v>
      </c>
      <c r="AB1806" t="str">
        <f>HYPERLINK("Melting_Curves/meltCurve_O95881_TXNDC12.pdf", "Melting_Curves/meltCurve_O95881_TXNDC12.pdf")</f>
        <v>Melting_Curves/meltCurve_O95881_TXNDC12.pdf</v>
      </c>
    </row>
    <row r="1807" spans="1:28" x14ac:dyDescent="0.25">
      <c r="A1807" t="s">
        <v>1811</v>
      </c>
      <c r="B1807">
        <v>0.99193492352474899</v>
      </c>
      <c r="C1807">
        <v>0.74899171689628596</v>
      </c>
      <c r="D1807">
        <v>0.98344816349053599</v>
      </c>
      <c r="E1807">
        <v>0.35275997329680597</v>
      </c>
      <c r="F1807">
        <v>0.248238958875038</v>
      </c>
      <c r="G1807">
        <v>0.17308832877306801</v>
      </c>
      <c r="H1807">
        <v>0.13714157163973301</v>
      </c>
      <c r="I1807">
        <v>0.123062620938531</v>
      </c>
      <c r="J1807">
        <v>0.15256074361751201</v>
      </c>
      <c r="K1807">
        <v>0.16360108293213399</v>
      </c>
      <c r="L1807">
        <v>2710.9700063313999</v>
      </c>
      <c r="M1807">
        <v>55.843687267182602</v>
      </c>
      <c r="N1807">
        <v>48.894561288974003</v>
      </c>
      <c r="O1807">
        <v>48.483532625692597</v>
      </c>
      <c r="P1807">
        <v>-0.240633480630698</v>
      </c>
      <c r="Q1807">
        <v>0.16432747022806701</v>
      </c>
      <c r="R1807">
        <v>0.93754903351614505</v>
      </c>
      <c r="S1807" t="s">
        <v>8477</v>
      </c>
      <c r="T1807" t="s">
        <v>13338</v>
      </c>
      <c r="U1807" t="s">
        <v>13338</v>
      </c>
      <c r="V1807" t="s">
        <v>13338</v>
      </c>
      <c r="W1807" t="s">
        <v>15109</v>
      </c>
      <c r="X1807">
        <v>2</v>
      </c>
      <c r="Y1807" t="s">
        <v>21702</v>
      </c>
      <c r="Z1807" t="s">
        <v>28222</v>
      </c>
      <c r="AA1807">
        <v>0.40380698874052978</v>
      </c>
      <c r="AB1807" t="str">
        <f>HYPERLINK("Melting_Curves/meltCurve_O95905_2_ECD.pdf", "Melting_Curves/meltCurve_O95905_2_ECD.pdf")</f>
        <v>Melting_Curves/meltCurve_O95905_2_ECD.pdf</v>
      </c>
    </row>
    <row r="1808" spans="1:28" x14ac:dyDescent="0.25">
      <c r="A1808" t="s">
        <v>1812</v>
      </c>
      <c r="B1808">
        <v>0.99193492352474899</v>
      </c>
      <c r="C1808">
        <v>0.95017502361457595</v>
      </c>
      <c r="D1808">
        <v>0.81501004526590803</v>
      </c>
      <c r="E1808">
        <v>0.74460712400146101</v>
      </c>
      <c r="F1808">
        <v>0.62464546407511001</v>
      </c>
      <c r="G1808">
        <v>0.50353478934873497</v>
      </c>
      <c r="H1808">
        <v>0.49814461887851202</v>
      </c>
      <c r="I1808">
        <v>0.66593932030685699</v>
      </c>
      <c r="J1808">
        <v>0.59959954455018205</v>
      </c>
      <c r="K1808">
        <v>0.96173152092523395</v>
      </c>
      <c r="L1808">
        <v>1156.2625109589401</v>
      </c>
      <c r="M1808">
        <v>25.089039444781001</v>
      </c>
      <c r="O1808">
        <v>45.796561856968601</v>
      </c>
      <c r="P1808">
        <v>-4.8519918259557399E-2</v>
      </c>
      <c r="Q1808">
        <v>0.64573917162668903</v>
      </c>
      <c r="R1808">
        <v>0.52726399024225401</v>
      </c>
      <c r="S1808" t="s">
        <v>8478</v>
      </c>
      <c r="T1808" t="s">
        <v>13338</v>
      </c>
      <c r="U1808" t="s">
        <v>13338</v>
      </c>
      <c r="V1808" t="s">
        <v>13338</v>
      </c>
      <c r="W1808" t="s">
        <v>15110</v>
      </c>
      <c r="X1808">
        <v>11</v>
      </c>
      <c r="Y1808" t="s">
        <v>21703</v>
      </c>
      <c r="Z1808" t="s">
        <v>28223</v>
      </c>
      <c r="AA1808">
        <v>0.72084330754750792</v>
      </c>
      <c r="AB1808" t="str">
        <f>HYPERLINK("Melting_Curves/meltCurve_O95926_SYF2.pdf", "Melting_Curves/meltCurve_O95926_SYF2.pdf")</f>
        <v>Melting_Curves/meltCurve_O95926_SYF2.pdf</v>
      </c>
    </row>
    <row r="1809" spans="1:28" x14ac:dyDescent="0.25">
      <c r="A1809" t="s">
        <v>1813</v>
      </c>
      <c r="B1809">
        <v>0.99193492352474899</v>
      </c>
      <c r="C1809">
        <v>0.93313679951522599</v>
      </c>
      <c r="D1809">
        <v>0.88874911400118195</v>
      </c>
      <c r="E1809">
        <v>0.78685835836799001</v>
      </c>
      <c r="F1809">
        <v>0.63254465590278997</v>
      </c>
      <c r="G1809">
        <v>0.54480568271528196</v>
      </c>
      <c r="H1809">
        <v>0.41560788486093603</v>
      </c>
      <c r="I1809">
        <v>0.41546154253738599</v>
      </c>
      <c r="J1809">
        <v>0.44601883563121902</v>
      </c>
      <c r="K1809">
        <v>0.421168746862365</v>
      </c>
      <c r="L1809">
        <v>681.98043945460904</v>
      </c>
      <c r="M1809">
        <v>13.241303717239299</v>
      </c>
      <c r="N1809">
        <v>58.168723304379903</v>
      </c>
      <c r="O1809">
        <v>50.371827554846099</v>
      </c>
      <c r="P1809">
        <v>-4.0072807175667802E-2</v>
      </c>
      <c r="Q1809">
        <v>0.390329326240278</v>
      </c>
      <c r="R1809">
        <v>0.99025280946878702</v>
      </c>
      <c r="S1809" t="s">
        <v>8479</v>
      </c>
      <c r="T1809" t="s">
        <v>13338</v>
      </c>
      <c r="U1809" t="s">
        <v>13338</v>
      </c>
      <c r="V1809" t="s">
        <v>13338</v>
      </c>
      <c r="W1809" t="s">
        <v>15111</v>
      </c>
      <c r="X1809">
        <v>10</v>
      </c>
      <c r="Y1809" t="s">
        <v>21704</v>
      </c>
      <c r="Z1809" t="s">
        <v>28224</v>
      </c>
      <c r="AA1809">
        <v>0.64088929690161567</v>
      </c>
      <c r="AB1809" t="str">
        <f>HYPERLINK("Melting_Curves/meltCurve_O95980_RECK.pdf", "Melting_Curves/meltCurve_O95980_RECK.pdf")</f>
        <v>Melting_Curves/meltCurve_O95980_RECK.pdf</v>
      </c>
    </row>
    <row r="1810" spans="1:28" x14ac:dyDescent="0.25">
      <c r="A1810" t="s">
        <v>1814</v>
      </c>
      <c r="B1810">
        <v>0.99193492352474899</v>
      </c>
      <c r="C1810">
        <v>0.62747311723549104</v>
      </c>
      <c r="D1810">
        <v>0.80861909373825103</v>
      </c>
      <c r="E1810">
        <v>0.36493493163303498</v>
      </c>
      <c r="F1810">
        <v>0.30987756421326401</v>
      </c>
      <c r="G1810">
        <v>0.20069257973882099</v>
      </c>
      <c r="H1810">
        <v>0.21829448458188899</v>
      </c>
      <c r="I1810">
        <v>0.38633024549755501</v>
      </c>
      <c r="J1810">
        <v>0.47872896342051002</v>
      </c>
      <c r="K1810">
        <v>0.65014603216104305</v>
      </c>
      <c r="L1810">
        <v>838.77444737653195</v>
      </c>
      <c r="M1810">
        <v>18.8077032587357</v>
      </c>
      <c r="N1810">
        <v>48.022331900135001</v>
      </c>
      <c r="O1810">
        <v>44.102392196742699</v>
      </c>
      <c r="P1810">
        <v>-6.7248884224792596E-2</v>
      </c>
      <c r="Q1810">
        <v>0.36925571250105499</v>
      </c>
      <c r="R1810">
        <v>0.61001155395849604</v>
      </c>
      <c r="S1810" t="s">
        <v>8480</v>
      </c>
      <c r="T1810" t="s">
        <v>13338</v>
      </c>
      <c r="U1810" t="s">
        <v>13338</v>
      </c>
      <c r="V1810" t="s">
        <v>13338</v>
      </c>
      <c r="W1810" t="s">
        <v>15112</v>
      </c>
      <c r="X1810">
        <v>4</v>
      </c>
      <c r="Y1810" t="s">
        <v>21705</v>
      </c>
      <c r="Z1810" t="s">
        <v>28225</v>
      </c>
      <c r="AA1810">
        <v>0.47884302513443611</v>
      </c>
      <c r="AB1810" t="str">
        <f>HYPERLINK("Melting_Curves/meltCurve_O95983_2_MBD3.pdf", "Melting_Curves/meltCurve_O95983_2_MBD3.pdf")</f>
        <v>Melting_Curves/meltCurve_O95983_2_MBD3.pdf</v>
      </c>
    </row>
    <row r="1811" spans="1:28" x14ac:dyDescent="0.25">
      <c r="A1811" t="s">
        <v>1815</v>
      </c>
      <c r="B1811">
        <v>0.99193492352474899</v>
      </c>
      <c r="C1811">
        <v>0.84198489517342601</v>
      </c>
      <c r="D1811">
        <v>0.89937375468154701</v>
      </c>
      <c r="E1811">
        <v>0.71717535103925301</v>
      </c>
      <c r="F1811">
        <v>0.67220164801176296</v>
      </c>
      <c r="G1811">
        <v>0.456621865869764</v>
      </c>
      <c r="H1811">
        <v>0.31092470634592001</v>
      </c>
      <c r="I1811">
        <v>0.17700204959482799</v>
      </c>
      <c r="J1811">
        <v>0.29484048162396698</v>
      </c>
      <c r="K1811">
        <v>0.281257871552063</v>
      </c>
      <c r="L1811">
        <v>562.80974112158594</v>
      </c>
      <c r="M1811">
        <v>10.5202865277369</v>
      </c>
      <c r="N1811">
        <v>55.542067897967897</v>
      </c>
      <c r="O1811">
        <v>51.673013269082901</v>
      </c>
      <c r="P1811">
        <v>-4.2744253468412402E-2</v>
      </c>
      <c r="Q1811">
        <v>0.16053963194374499</v>
      </c>
      <c r="R1811">
        <v>0.95341904720099602</v>
      </c>
      <c r="S1811" t="s">
        <v>8481</v>
      </c>
      <c r="T1811" t="s">
        <v>13338</v>
      </c>
      <c r="U1811" t="s">
        <v>13338</v>
      </c>
      <c r="V1811" t="s">
        <v>13338</v>
      </c>
      <c r="W1811" t="s">
        <v>15113</v>
      </c>
      <c r="X1811">
        <v>10</v>
      </c>
      <c r="Y1811" t="s">
        <v>21706</v>
      </c>
      <c r="Z1811" t="s">
        <v>28226</v>
      </c>
      <c r="AA1811">
        <v>0.56419556498897616</v>
      </c>
      <c r="AB1811" t="str">
        <f>HYPERLINK("Melting_Curves/meltCurve_O95989_NUDT3.pdf", "Melting_Curves/meltCurve_O95989_NUDT3.pdf")</f>
        <v>Melting_Curves/meltCurve_O95989_NUDT3.pdf</v>
      </c>
    </row>
    <row r="1812" spans="1:28" x14ac:dyDescent="0.25">
      <c r="A1812" t="s">
        <v>1816</v>
      </c>
      <c r="B1812">
        <v>0.99193492352474899</v>
      </c>
      <c r="C1812">
        <v>0.55847825781244298</v>
      </c>
      <c r="D1812">
        <v>0.73523277228386197</v>
      </c>
      <c r="E1812">
        <v>0.34966903745852901</v>
      </c>
      <c r="F1812">
        <v>0.27843368829235998</v>
      </c>
      <c r="G1812">
        <v>0.10875126116089701</v>
      </c>
      <c r="H1812">
        <v>0.105976674054697</v>
      </c>
      <c r="I1812">
        <v>0.132365017461475</v>
      </c>
      <c r="J1812">
        <v>0.18424658802779501</v>
      </c>
      <c r="K1812">
        <v>0.360811276762663</v>
      </c>
      <c r="L1812">
        <v>645.60971046335703</v>
      </c>
      <c r="M1812">
        <v>14.130471828671901</v>
      </c>
      <c r="N1812">
        <v>47.038491323720301</v>
      </c>
      <c r="O1812">
        <v>44.803322743668602</v>
      </c>
      <c r="P1812">
        <v>-6.5717818893198193E-2</v>
      </c>
      <c r="Q1812">
        <v>0.16662349091293199</v>
      </c>
      <c r="R1812">
        <v>0.82785062461835301</v>
      </c>
      <c r="S1812" t="s">
        <v>8482</v>
      </c>
      <c r="T1812" t="s">
        <v>13338</v>
      </c>
      <c r="U1812" t="s">
        <v>13338</v>
      </c>
      <c r="V1812" t="s">
        <v>13338</v>
      </c>
      <c r="W1812" t="s">
        <v>15114</v>
      </c>
      <c r="X1812">
        <v>1</v>
      </c>
      <c r="Y1812" t="s">
        <v>21707</v>
      </c>
      <c r="Z1812" t="s">
        <v>28227</v>
      </c>
      <c r="AA1812">
        <v>0.35297252867687062</v>
      </c>
      <c r="AB1812" t="str">
        <f>HYPERLINK("Melting_Curves/meltCurve_O95997_PTTG1.pdf", "Melting_Curves/meltCurve_O95997_PTTG1.pdf")</f>
        <v>Melting_Curves/meltCurve_O95997_PTTG1.pdf</v>
      </c>
    </row>
    <row r="1813" spans="1:28" x14ac:dyDescent="0.25">
      <c r="A1813" t="s">
        <v>1817</v>
      </c>
      <c r="B1813">
        <v>0.99193492352474899</v>
      </c>
      <c r="C1813">
        <v>0.96627931998234395</v>
      </c>
      <c r="D1813">
        <v>0.69534689902698599</v>
      </c>
      <c r="E1813">
        <v>0.35688225423942199</v>
      </c>
      <c r="F1813">
        <v>0.202444936242649</v>
      </c>
      <c r="G1813">
        <v>0.17024950107751399</v>
      </c>
      <c r="H1813">
        <v>0.13510605201731199</v>
      </c>
      <c r="I1813">
        <v>0.17749391920524701</v>
      </c>
      <c r="J1813">
        <v>0.23401928565205199</v>
      </c>
      <c r="K1813">
        <v>0.30126428015148599</v>
      </c>
      <c r="L1813">
        <v>1364.7415397044299</v>
      </c>
      <c r="M1813">
        <v>29.1139740631723</v>
      </c>
      <c r="N1813">
        <v>47.717730523752998</v>
      </c>
      <c r="O1813">
        <v>46.6563381049911</v>
      </c>
      <c r="P1813">
        <v>-0.124669805524168</v>
      </c>
      <c r="Q1813">
        <v>0.20085194828821601</v>
      </c>
      <c r="R1813">
        <v>0.98118094473331696</v>
      </c>
      <c r="S1813" t="s">
        <v>8483</v>
      </c>
      <c r="T1813" t="s">
        <v>13338</v>
      </c>
      <c r="U1813" t="s">
        <v>13338</v>
      </c>
      <c r="V1813" t="s">
        <v>13338</v>
      </c>
      <c r="W1813" t="s">
        <v>15115</v>
      </c>
      <c r="X1813">
        <v>5</v>
      </c>
      <c r="Y1813" t="s">
        <v>21708</v>
      </c>
      <c r="Z1813" t="s">
        <v>28228</v>
      </c>
      <c r="AA1813">
        <v>0.38913100039161641</v>
      </c>
      <c r="AB1813" t="str">
        <f>HYPERLINK("Melting_Curves/meltCurve_O95999_BCL10.pdf", "Melting_Curves/meltCurve_O95999_BCL10.pdf")</f>
        <v>Melting_Curves/meltCurve_O95999_BCL10.pdf</v>
      </c>
    </row>
    <row r="1814" spans="1:28" x14ac:dyDescent="0.25">
      <c r="A1814" t="s">
        <v>1818</v>
      </c>
      <c r="B1814">
        <v>0.99193492352474899</v>
      </c>
      <c r="C1814">
        <v>1.33765061714306</v>
      </c>
      <c r="D1814">
        <v>0.98835823593810901</v>
      </c>
      <c r="E1814">
        <v>0.90862236643578698</v>
      </c>
      <c r="F1814">
        <v>0.60168940166551899</v>
      </c>
      <c r="G1814">
        <v>0.43161497820007699</v>
      </c>
      <c r="H1814">
        <v>0.24816306666704399</v>
      </c>
      <c r="I1814">
        <v>0.22944885455155001</v>
      </c>
      <c r="J1814">
        <v>0.191339460803303</v>
      </c>
      <c r="K1814">
        <v>0.26673118214007802</v>
      </c>
      <c r="L1814">
        <v>1270.8910766368199</v>
      </c>
      <c r="M1814">
        <v>23.748910608552599</v>
      </c>
      <c r="N1814">
        <v>54.886234027629897</v>
      </c>
      <c r="O1814">
        <v>53.138561623103399</v>
      </c>
      <c r="P1814">
        <v>-8.6714049779931399E-2</v>
      </c>
      <c r="Q1814">
        <v>0.22391658731953101</v>
      </c>
      <c r="R1814">
        <v>0.91825241769909405</v>
      </c>
      <c r="S1814" t="s">
        <v>8484</v>
      </c>
      <c r="T1814" t="s">
        <v>13338</v>
      </c>
      <c r="U1814" t="s">
        <v>13338</v>
      </c>
      <c r="V1814" t="s">
        <v>13338</v>
      </c>
      <c r="W1814" t="s">
        <v>15116</v>
      </c>
      <c r="X1814">
        <v>11</v>
      </c>
      <c r="Y1814" t="s">
        <v>21709</v>
      </c>
      <c r="Z1814" t="s">
        <v>28229</v>
      </c>
      <c r="AA1814">
        <v>0.58138225512074493</v>
      </c>
      <c r="AB1814" t="str">
        <f>HYPERLINK("Melting_Curves/meltCurve_O96000_NDUFB10.pdf", "Melting_Curves/meltCurve_O96000_NDUFB10.pdf")</f>
        <v>Melting_Curves/meltCurve_O96000_NDUFB10.pdf</v>
      </c>
    </row>
    <row r="1815" spans="1:28" x14ac:dyDescent="0.25">
      <c r="A1815" t="s">
        <v>1819</v>
      </c>
      <c r="B1815">
        <v>0.99193492352474899</v>
      </c>
      <c r="C1815">
        <v>0.78588499647381405</v>
      </c>
      <c r="D1815">
        <v>0.70734649287026596</v>
      </c>
      <c r="E1815">
        <v>0.345982331920833</v>
      </c>
      <c r="F1815">
        <v>0.230345443025195</v>
      </c>
      <c r="G1815">
        <v>0.16014514477664199</v>
      </c>
      <c r="H1815">
        <v>8.1878212239460901E-2</v>
      </c>
      <c r="I1815">
        <v>8.8454811042510795E-2</v>
      </c>
      <c r="J1815">
        <v>7.7390395186080693E-2</v>
      </c>
      <c r="K1815">
        <v>3.6043022880934597E-2</v>
      </c>
      <c r="L1815">
        <v>709.40128241090997</v>
      </c>
      <c r="M1815">
        <v>14.8932884322072</v>
      </c>
      <c r="N1815">
        <v>48.014219319134</v>
      </c>
      <c r="O1815">
        <v>46.798262589272397</v>
      </c>
      <c r="P1815">
        <v>-7.5124492803356702E-2</v>
      </c>
      <c r="Q1815">
        <v>5.5861869747376197E-2</v>
      </c>
      <c r="R1815">
        <v>0.98809347658534896</v>
      </c>
      <c r="S1815" t="s">
        <v>8485</v>
      </c>
      <c r="T1815" t="s">
        <v>13338</v>
      </c>
      <c r="U1815" t="s">
        <v>13338</v>
      </c>
      <c r="V1815" t="s">
        <v>13338</v>
      </c>
      <c r="W1815" t="s">
        <v>15117</v>
      </c>
      <c r="X1815">
        <v>3</v>
      </c>
      <c r="Y1815" t="s">
        <v>21710</v>
      </c>
      <c r="Z1815" t="s">
        <v>28230</v>
      </c>
      <c r="AA1815">
        <v>0.32115950657409309</v>
      </c>
      <c r="AB1815" t="str">
        <f>HYPERLINK("Melting_Curves/meltCurve_O96006_ZBED1.pdf", "Melting_Curves/meltCurve_O96006_ZBED1.pdf")</f>
        <v>Melting_Curves/meltCurve_O96006_ZBED1.pdf</v>
      </c>
    </row>
    <row r="1816" spans="1:28" x14ac:dyDescent="0.25">
      <c r="A1816" t="s">
        <v>1820</v>
      </c>
      <c r="B1816">
        <v>0.99193492352474899</v>
      </c>
      <c r="C1816">
        <v>0.915605735994932</v>
      </c>
      <c r="D1816">
        <v>0.90462939011750598</v>
      </c>
      <c r="E1816">
        <v>0.70534720133093198</v>
      </c>
      <c r="F1816">
        <v>0.56135302033401202</v>
      </c>
      <c r="G1816">
        <v>0.35306450684217</v>
      </c>
      <c r="H1816">
        <v>0.29043226612900902</v>
      </c>
      <c r="I1816">
        <v>0.31068573932326798</v>
      </c>
      <c r="J1816">
        <v>0.74756578043502697</v>
      </c>
      <c r="K1816">
        <v>0.62681056174369998</v>
      </c>
      <c r="L1816">
        <v>1283.7089673318801</v>
      </c>
      <c r="M1816">
        <v>26.2447546922477</v>
      </c>
      <c r="N1816">
        <v>54.816615571855401</v>
      </c>
      <c r="O1816">
        <v>48.631638217022399</v>
      </c>
      <c r="P1816">
        <v>-7.1453644558998206E-2</v>
      </c>
      <c r="Q1816">
        <v>0.47039027764642699</v>
      </c>
      <c r="R1816">
        <v>0.69555397807672403</v>
      </c>
      <c r="S1816" t="s">
        <v>8486</v>
      </c>
      <c r="T1816" t="s">
        <v>13338</v>
      </c>
      <c r="U1816" t="s">
        <v>13338</v>
      </c>
      <c r="V1816" t="s">
        <v>13338</v>
      </c>
      <c r="W1816" t="s">
        <v>15118</v>
      </c>
      <c r="X1816">
        <v>7</v>
      </c>
      <c r="Y1816" t="s">
        <v>21711</v>
      </c>
      <c r="Z1816" t="s">
        <v>28231</v>
      </c>
      <c r="AA1816">
        <v>0.63197967116157139</v>
      </c>
      <c r="AB1816" t="str">
        <f>HYPERLINK("Melting_Curves/meltCurve_O96007_MOCS2.pdf", "Melting_Curves/meltCurve_O96007_MOCS2.pdf")</f>
        <v>Melting_Curves/meltCurve_O96007_MOCS2.pdf</v>
      </c>
    </row>
    <row r="1817" spans="1:28" x14ac:dyDescent="0.25">
      <c r="A1817" t="s">
        <v>1821</v>
      </c>
      <c r="B1817">
        <v>0.99193492352474899</v>
      </c>
      <c r="C1817">
        <v>1.00846098964928</v>
      </c>
      <c r="D1817">
        <v>1.0709698049387399</v>
      </c>
      <c r="E1817">
        <v>0.88698660713920796</v>
      </c>
      <c r="F1817">
        <v>0.782814071582564</v>
      </c>
      <c r="G1817">
        <v>0.62227683862083705</v>
      </c>
      <c r="H1817">
        <v>0.49160128870000303</v>
      </c>
      <c r="I1817">
        <v>0.61654877316166201</v>
      </c>
      <c r="J1817">
        <v>0.76411173653573305</v>
      </c>
      <c r="K1817">
        <v>0.76410837134143506</v>
      </c>
      <c r="L1817">
        <v>1714.9856596161601</v>
      </c>
      <c r="M1817">
        <v>33.308376109235397</v>
      </c>
      <c r="O1817">
        <v>51.303613887901001</v>
      </c>
      <c r="P1817">
        <v>-5.6229726944587201E-2</v>
      </c>
      <c r="Q1817">
        <v>0.65356766756414497</v>
      </c>
      <c r="R1817">
        <v>0.80277245315618295</v>
      </c>
      <c r="S1817" t="s">
        <v>8487</v>
      </c>
      <c r="T1817" t="s">
        <v>13338</v>
      </c>
      <c r="U1817" t="s">
        <v>13338</v>
      </c>
      <c r="V1817" t="s">
        <v>13338</v>
      </c>
      <c r="W1817" t="s">
        <v>15119</v>
      </c>
      <c r="X1817">
        <v>14</v>
      </c>
      <c r="Y1817" t="s">
        <v>21712</v>
      </c>
      <c r="Z1817" t="s">
        <v>28232</v>
      </c>
      <c r="AA1817">
        <v>0.78801057393647522</v>
      </c>
      <c r="AB1817" t="str">
        <f>HYPERLINK("Melting_Curves/meltCurve_O96008_TOMM40.pdf", "Melting_Curves/meltCurve_O96008_TOMM40.pdf")</f>
        <v>Melting_Curves/meltCurve_O96008_TOMM40.pdf</v>
      </c>
    </row>
    <row r="1818" spans="1:28" x14ac:dyDescent="0.25">
      <c r="A1818" t="s">
        <v>1822</v>
      </c>
      <c r="B1818">
        <v>0.99193492352474899</v>
      </c>
      <c r="C1818">
        <v>0.88216694437586296</v>
      </c>
      <c r="D1818">
        <v>1.10946028588445</v>
      </c>
      <c r="E1818">
        <v>0.840851378599625</v>
      </c>
      <c r="F1818">
        <v>0.90076194361898998</v>
      </c>
      <c r="G1818">
        <v>0.54585126099314496</v>
      </c>
      <c r="H1818">
        <v>0.50419014399499695</v>
      </c>
      <c r="I1818">
        <v>0.52237098124446302</v>
      </c>
      <c r="J1818">
        <v>0.79522023369169104</v>
      </c>
      <c r="K1818">
        <v>0.96432413337124101</v>
      </c>
      <c r="L1818">
        <v>13345.718999728801</v>
      </c>
      <c r="M1818">
        <v>250</v>
      </c>
      <c r="O1818">
        <v>53.379449618786303</v>
      </c>
      <c r="P1818">
        <v>-0.39060981202651301</v>
      </c>
      <c r="Q1818">
        <v>0.66639134775647502</v>
      </c>
      <c r="R1818">
        <v>0.46394412429771498</v>
      </c>
      <c r="S1818" t="s">
        <v>8488</v>
      </c>
      <c r="T1818" t="s">
        <v>13338</v>
      </c>
      <c r="U1818" t="s">
        <v>13338</v>
      </c>
      <c r="V1818" t="s">
        <v>13338</v>
      </c>
      <c r="W1818" t="s">
        <v>15120</v>
      </c>
      <c r="X1818">
        <v>10</v>
      </c>
      <c r="Y1818" t="s">
        <v>21713</v>
      </c>
      <c r="Z1818" t="s">
        <v>28233</v>
      </c>
      <c r="AA1818">
        <v>0.81524404309356435</v>
      </c>
      <c r="AB1818" t="str">
        <f>HYPERLINK("Melting_Curves/meltCurve_O96011_PEX11B.pdf", "Melting_Curves/meltCurve_O96011_PEX11B.pdf")</f>
        <v>Melting_Curves/meltCurve_O96011_PEX11B.pdf</v>
      </c>
    </row>
    <row r="1819" spans="1:28" x14ac:dyDescent="0.25">
      <c r="A1819" t="s">
        <v>1823</v>
      </c>
      <c r="B1819">
        <v>0.99193492352474899</v>
      </c>
      <c r="C1819">
        <v>0.80266124060414701</v>
      </c>
      <c r="D1819">
        <v>0.87247135483278104</v>
      </c>
      <c r="E1819">
        <v>0.68498503817124601</v>
      </c>
      <c r="F1819">
        <v>0.241073932659916</v>
      </c>
      <c r="G1819">
        <v>0.10091634189892</v>
      </c>
      <c r="H1819">
        <v>6.6665170589958203E-2</v>
      </c>
      <c r="I1819">
        <v>7.9284161551604601E-2</v>
      </c>
      <c r="J1819">
        <v>8.8054221093628399E-2</v>
      </c>
      <c r="K1819">
        <v>8.7895240460430499E-2</v>
      </c>
      <c r="L1819">
        <v>1159.1326925850301</v>
      </c>
      <c r="M1819">
        <v>22.983059311099101</v>
      </c>
      <c r="N1819">
        <v>50.733765743840898</v>
      </c>
      <c r="O1819">
        <v>50.0570573494131</v>
      </c>
      <c r="P1819">
        <v>-0.107503646227947</v>
      </c>
      <c r="Q1819">
        <v>6.3446725047892505E-2</v>
      </c>
      <c r="R1819">
        <v>0.96875748278074403</v>
      </c>
      <c r="S1819" t="s">
        <v>8489</v>
      </c>
      <c r="T1819" t="s">
        <v>13338</v>
      </c>
      <c r="U1819" t="s">
        <v>13338</v>
      </c>
      <c r="V1819" t="s">
        <v>13338</v>
      </c>
      <c r="W1819" t="s">
        <v>15121</v>
      </c>
      <c r="X1819">
        <v>12</v>
      </c>
      <c r="Y1819" t="s">
        <v>21714</v>
      </c>
      <c r="Z1819" t="s">
        <v>28234</v>
      </c>
      <c r="AA1819">
        <v>0.39912103942021809</v>
      </c>
      <c r="AB1819" t="str">
        <f>HYPERLINK("Melting_Curves/meltCurve_O96013_PAK4.pdf", "Melting_Curves/meltCurve_O96013_PAK4.pdf")</f>
        <v>Melting_Curves/meltCurve_O96013_PAK4.pdf</v>
      </c>
    </row>
    <row r="1820" spans="1:28" x14ac:dyDescent="0.25">
      <c r="A1820" t="s">
        <v>1824</v>
      </c>
      <c r="B1820">
        <v>0.99193492352474899</v>
      </c>
      <c r="C1820">
        <v>0.93748358553381705</v>
      </c>
      <c r="D1820">
        <v>0.91982165523031201</v>
      </c>
      <c r="E1820">
        <v>0.68380945190274001</v>
      </c>
      <c r="F1820">
        <v>0.29855438793973299</v>
      </c>
      <c r="G1820">
        <v>0.11606164440559499</v>
      </c>
      <c r="H1820">
        <v>7.3895681343726399E-2</v>
      </c>
      <c r="I1820">
        <v>8.6775843545719905E-2</v>
      </c>
      <c r="J1820">
        <v>0.118794971841755</v>
      </c>
      <c r="K1820">
        <v>0.109814595017454</v>
      </c>
      <c r="L1820">
        <v>1322.60321218989</v>
      </c>
      <c r="M1820">
        <v>26.0891265208002</v>
      </c>
      <c r="N1820">
        <v>51.076649405194999</v>
      </c>
      <c r="O1820">
        <v>50.400530454169299</v>
      </c>
      <c r="P1820">
        <v>-0.117965695739064</v>
      </c>
      <c r="Q1820">
        <v>8.8437681472896407E-2</v>
      </c>
      <c r="R1820">
        <v>0.99568668133492999</v>
      </c>
      <c r="S1820" t="s">
        <v>8490</v>
      </c>
      <c r="T1820" t="s">
        <v>13338</v>
      </c>
      <c r="U1820" t="s">
        <v>13338</v>
      </c>
      <c r="V1820" t="s">
        <v>13338</v>
      </c>
      <c r="W1820" t="s">
        <v>15122</v>
      </c>
      <c r="X1820">
        <v>17</v>
      </c>
      <c r="Y1820" t="s">
        <v>21715</v>
      </c>
      <c r="Z1820" t="s">
        <v>28235</v>
      </c>
      <c r="AA1820">
        <v>0.42096849494201211</v>
      </c>
      <c r="AB1820" t="str">
        <f>HYPERLINK("Melting_Curves/meltCurve_O96017_CHEK2.pdf", "Melting_Curves/meltCurve_O96017_CHEK2.pdf")</f>
        <v>Melting_Curves/meltCurve_O96017_CHEK2.pdf</v>
      </c>
    </row>
    <row r="1821" spans="1:28" x14ac:dyDescent="0.25">
      <c r="A1821" t="s">
        <v>1825</v>
      </c>
      <c r="B1821">
        <v>0.99193492352474899</v>
      </c>
      <c r="C1821">
        <v>0.66840973642022805</v>
      </c>
      <c r="D1821">
        <v>0.71634061642560198</v>
      </c>
      <c r="E1821">
        <v>0.505470497600359</v>
      </c>
      <c r="F1821">
        <v>0.28693871756924899</v>
      </c>
      <c r="G1821">
        <v>0.180855642892219</v>
      </c>
      <c r="H1821">
        <v>9.4829243430616897E-2</v>
      </c>
      <c r="I1821">
        <v>8.4674201942641997E-2</v>
      </c>
      <c r="J1821">
        <v>9.3864070250755605E-2</v>
      </c>
      <c r="K1821">
        <v>8.4305335501600007E-2</v>
      </c>
      <c r="L1821">
        <v>515.786325417699</v>
      </c>
      <c r="M1821">
        <v>10.5963714334732</v>
      </c>
      <c r="N1821">
        <v>48.891307986835002</v>
      </c>
      <c r="O1821">
        <v>47.038110931304097</v>
      </c>
      <c r="P1821">
        <v>-5.50541658036574E-2</v>
      </c>
      <c r="Q1821">
        <v>2.2822000867073099E-2</v>
      </c>
      <c r="R1821">
        <v>0.96401475892533295</v>
      </c>
      <c r="S1821" t="s">
        <v>8491</v>
      </c>
      <c r="T1821" t="s">
        <v>13338</v>
      </c>
      <c r="U1821" t="s">
        <v>13338</v>
      </c>
      <c r="V1821" t="s">
        <v>13338</v>
      </c>
      <c r="W1821" t="s">
        <v>15123</v>
      </c>
      <c r="X1821">
        <v>14</v>
      </c>
      <c r="Y1821" t="s">
        <v>21716</v>
      </c>
      <c r="Z1821" t="s">
        <v>28236</v>
      </c>
      <c r="AA1821">
        <v>0.35030923654500412</v>
      </c>
      <c r="AB1821" t="str">
        <f>HYPERLINK("Melting_Curves/meltCurve_O96019_ACTL6A.pdf", "Melting_Curves/meltCurve_O96019_ACTL6A.pdf")</f>
        <v>Melting_Curves/meltCurve_O96019_ACTL6A.pdf</v>
      </c>
    </row>
    <row r="1822" spans="1:28" x14ac:dyDescent="0.25">
      <c r="A1822" t="s">
        <v>1826</v>
      </c>
      <c r="B1822">
        <v>0.99193492352474899</v>
      </c>
      <c r="C1822">
        <v>1.0100489442565099</v>
      </c>
      <c r="D1822">
        <v>0.85326809138952997</v>
      </c>
      <c r="E1822">
        <v>0.74600471892415399</v>
      </c>
      <c r="F1822">
        <v>0.45502629832449998</v>
      </c>
      <c r="G1822">
        <v>0.22151373178494399</v>
      </c>
      <c r="H1822">
        <v>0.12143029695318</v>
      </c>
      <c r="I1822">
        <v>0.123579242923611</v>
      </c>
      <c r="J1822">
        <v>0.153370821934049</v>
      </c>
      <c r="K1822">
        <v>0.16339861841671099</v>
      </c>
      <c r="L1822">
        <v>1003.3796774307</v>
      </c>
      <c r="M1822">
        <v>19.452841822616001</v>
      </c>
      <c r="N1822">
        <v>52.318062129079699</v>
      </c>
      <c r="O1822">
        <v>51.044296389819003</v>
      </c>
      <c r="P1822">
        <v>-8.3846307542359499E-2</v>
      </c>
      <c r="Q1822">
        <v>0.11998043013911899</v>
      </c>
      <c r="R1822">
        <v>0.991076337662814</v>
      </c>
      <c r="S1822" t="s">
        <v>8492</v>
      </c>
      <c r="T1822" t="s">
        <v>13338</v>
      </c>
      <c r="U1822" t="s">
        <v>13338</v>
      </c>
      <c r="V1822" t="s">
        <v>13338</v>
      </c>
      <c r="W1822" t="s">
        <v>15124</v>
      </c>
      <c r="X1822">
        <v>3</v>
      </c>
      <c r="Y1822" t="s">
        <v>21711</v>
      </c>
      <c r="Z1822" t="s">
        <v>28237</v>
      </c>
      <c r="AA1822">
        <v>0.47249828517359022</v>
      </c>
      <c r="AB1822" t="str">
        <f>HYPERLINK("Melting_Curves/meltCurve_O96033_MOCS2.pdf", "Melting_Curves/meltCurve_O96033_MOCS2.pdf")</f>
        <v>Melting_Curves/meltCurve_O96033_MOCS2.pdf</v>
      </c>
    </row>
    <row r="1823" spans="1:28" x14ac:dyDescent="0.25">
      <c r="A1823" t="s">
        <v>1827</v>
      </c>
      <c r="B1823">
        <v>0.99193492352474899</v>
      </c>
      <c r="C1823">
        <v>0.71383996232300995</v>
      </c>
      <c r="D1823">
        <v>1.03683666852709</v>
      </c>
      <c r="E1823">
        <v>0.591412531826779</v>
      </c>
      <c r="F1823">
        <v>0.62932971690152595</v>
      </c>
      <c r="G1823">
        <v>0.39448969731361899</v>
      </c>
      <c r="H1823">
        <v>0.40478326805826498</v>
      </c>
      <c r="I1823">
        <v>0.382511980023378</v>
      </c>
      <c r="J1823">
        <v>0.58650302429976997</v>
      </c>
      <c r="K1823">
        <v>0.58846433349943195</v>
      </c>
      <c r="L1823">
        <v>8618.7848904011607</v>
      </c>
      <c r="M1823">
        <v>175.23804145390699</v>
      </c>
      <c r="N1823">
        <v>50.738994653528103</v>
      </c>
      <c r="O1823">
        <v>49.176893418892703</v>
      </c>
      <c r="P1823">
        <v>-0.44749482859810003</v>
      </c>
      <c r="Q1823">
        <v>0.497679724253689</v>
      </c>
      <c r="R1823">
        <v>0.68634522011589205</v>
      </c>
      <c r="S1823" t="s">
        <v>8493</v>
      </c>
      <c r="T1823" t="s">
        <v>13338</v>
      </c>
      <c r="U1823" t="s">
        <v>13338</v>
      </c>
      <c r="V1823" t="s">
        <v>13338</v>
      </c>
      <c r="W1823" t="s">
        <v>15125</v>
      </c>
      <c r="X1823">
        <v>4</v>
      </c>
      <c r="Y1823" t="s">
        <v>21717</v>
      </c>
      <c r="Z1823" t="s">
        <v>28238</v>
      </c>
      <c r="AA1823">
        <v>0.65153322388752266</v>
      </c>
      <c r="AB1823" t="str">
        <f>HYPERLINK("Melting_Curves/meltCurve_P00167_2_CYB5A.pdf", "Melting_Curves/meltCurve_P00167_2_CYB5A.pdf")</f>
        <v>Melting_Curves/meltCurve_P00167_2_CYB5A.pdf</v>
      </c>
    </row>
    <row r="1824" spans="1:28" x14ac:dyDescent="0.25">
      <c r="A1824" t="s">
        <v>1828</v>
      </c>
      <c r="B1824">
        <v>0.99193492352474899</v>
      </c>
      <c r="C1824">
        <v>1.26727024731579</v>
      </c>
      <c r="D1824">
        <v>0.981610566719469</v>
      </c>
      <c r="E1824">
        <v>1.1372891318846501</v>
      </c>
      <c r="F1824">
        <v>0.96887526509017496</v>
      </c>
      <c r="G1824">
        <v>0.60254653409945702</v>
      </c>
      <c r="H1824">
        <v>0.62520215334012397</v>
      </c>
      <c r="I1824">
        <v>0.67603123502721996</v>
      </c>
      <c r="J1824">
        <v>0.46367638085991397</v>
      </c>
      <c r="K1824">
        <v>0.55437584999637202</v>
      </c>
      <c r="L1824">
        <v>4532.2016163661501</v>
      </c>
      <c r="M1824">
        <v>82.648623092730801</v>
      </c>
      <c r="O1824">
        <v>54.804908751360301</v>
      </c>
      <c r="P1824">
        <v>-0.158433194709555</v>
      </c>
      <c r="Q1824">
        <v>0.57976719201316995</v>
      </c>
      <c r="R1824">
        <v>0.82959362625204702</v>
      </c>
      <c r="S1824" t="s">
        <v>8494</v>
      </c>
      <c r="T1824" t="s">
        <v>13338</v>
      </c>
      <c r="U1824" t="s">
        <v>13338</v>
      </c>
      <c r="V1824" t="s">
        <v>13338</v>
      </c>
      <c r="W1824" t="s">
        <v>15126</v>
      </c>
      <c r="X1824">
        <v>1</v>
      </c>
      <c r="Y1824" t="s">
        <v>21718</v>
      </c>
      <c r="Z1824" t="s">
        <v>28239</v>
      </c>
      <c r="AA1824">
        <v>0.78797088085838141</v>
      </c>
      <c r="AB1824" t="str">
        <f>HYPERLINK("Melting_Curves/meltCurve_P00326_ADH1C.pdf", "Melting_Curves/meltCurve_P00326_ADH1C.pdf")</f>
        <v>Melting_Curves/meltCurve_P00326_ADH1C.pdf</v>
      </c>
    </row>
    <row r="1825" spans="1:28" x14ac:dyDescent="0.25">
      <c r="A1825" t="s">
        <v>1829</v>
      </c>
      <c r="B1825">
        <v>0.99193492352474899</v>
      </c>
      <c r="C1825">
        <v>0.93934023800724298</v>
      </c>
      <c r="D1825">
        <v>0.80984945126666097</v>
      </c>
      <c r="E1825">
        <v>0.68935714465518805</v>
      </c>
      <c r="F1825">
        <v>0.61454533293707403</v>
      </c>
      <c r="G1825">
        <v>0.47895805030099597</v>
      </c>
      <c r="H1825">
        <v>0.30866979142655898</v>
      </c>
      <c r="I1825">
        <v>0.23458162969701701</v>
      </c>
      <c r="J1825">
        <v>0.15061977733285101</v>
      </c>
      <c r="K1825">
        <v>0.12443961387548</v>
      </c>
      <c r="L1825">
        <v>477.46079985261701</v>
      </c>
      <c r="M1825">
        <v>8.6430484817505508</v>
      </c>
      <c r="N1825">
        <v>55.242175344032802</v>
      </c>
      <c r="O1825">
        <v>52.523727021822701</v>
      </c>
      <c r="P1825">
        <v>-4.1173610618805603E-2</v>
      </c>
      <c r="Q1825">
        <v>0</v>
      </c>
      <c r="R1825">
        <v>0.99188326315778796</v>
      </c>
      <c r="S1825" t="s">
        <v>8495</v>
      </c>
      <c r="T1825" t="s">
        <v>13338</v>
      </c>
      <c r="U1825" t="s">
        <v>13338</v>
      </c>
      <c r="V1825" t="s">
        <v>13338</v>
      </c>
      <c r="W1825" t="s">
        <v>15127</v>
      </c>
      <c r="X1825">
        <v>31</v>
      </c>
      <c r="Y1825" t="s">
        <v>21719</v>
      </c>
      <c r="Z1825" t="s">
        <v>28240</v>
      </c>
      <c r="AA1825">
        <v>0.53349829846588581</v>
      </c>
      <c r="AB1825" t="str">
        <f>HYPERLINK("Melting_Curves/meltCurve_P00338_LDHA.pdf", "Melting_Curves/meltCurve_P00338_LDHA.pdf")</f>
        <v>Melting_Curves/meltCurve_P00338_LDHA.pdf</v>
      </c>
    </row>
    <row r="1826" spans="1:28" x14ac:dyDescent="0.25">
      <c r="A1826" t="s">
        <v>1830</v>
      </c>
      <c r="B1826">
        <v>0.99193492352474899</v>
      </c>
      <c r="C1826">
        <v>1.29176439789359</v>
      </c>
      <c r="D1826">
        <v>1.0098013781203199</v>
      </c>
      <c r="E1826">
        <v>1.0808523087639099</v>
      </c>
      <c r="F1826">
        <v>0.78430759823412699</v>
      </c>
      <c r="G1826">
        <v>0.663814314487989</v>
      </c>
      <c r="H1826">
        <v>0.763453912752593</v>
      </c>
      <c r="I1826">
        <v>0.55027171057399504</v>
      </c>
      <c r="J1826">
        <v>0.62675704279254396</v>
      </c>
      <c r="K1826">
        <v>0.49636874606126002</v>
      </c>
      <c r="L1826">
        <v>7466.2027191946499</v>
      </c>
      <c r="M1826">
        <v>140.61468901005</v>
      </c>
      <c r="O1826">
        <v>53.086175527346498</v>
      </c>
      <c r="P1826">
        <v>-0.25155557491618902</v>
      </c>
      <c r="Q1826">
        <v>0.62012169557755703</v>
      </c>
      <c r="R1826">
        <v>0.77563534626458197</v>
      </c>
      <c r="S1826" t="s">
        <v>8496</v>
      </c>
      <c r="T1826" t="s">
        <v>13338</v>
      </c>
      <c r="U1826" t="s">
        <v>13338</v>
      </c>
      <c r="V1826" t="s">
        <v>13338</v>
      </c>
      <c r="W1826" t="s">
        <v>15128</v>
      </c>
      <c r="X1826">
        <v>3</v>
      </c>
      <c r="Y1826" t="s">
        <v>21720</v>
      </c>
      <c r="Z1826" t="s">
        <v>28241</v>
      </c>
      <c r="AA1826">
        <v>0.78607445901023543</v>
      </c>
      <c r="AB1826" t="str">
        <f>HYPERLINK("Melting_Curves/meltCurve_P00352_ALDH1A1.pdf", "Melting_Curves/meltCurve_P00352_ALDH1A1.pdf")</f>
        <v>Melting_Curves/meltCurve_P00352_ALDH1A1.pdf</v>
      </c>
    </row>
    <row r="1827" spans="1:28" x14ac:dyDescent="0.25">
      <c r="A1827" t="s">
        <v>1831</v>
      </c>
      <c r="B1827">
        <v>0.99193492352474899</v>
      </c>
      <c r="C1827">
        <v>0.93179059295093902</v>
      </c>
      <c r="D1827">
        <v>0.95266102378455297</v>
      </c>
      <c r="E1827">
        <v>0.77853561428863904</v>
      </c>
      <c r="F1827">
        <v>0.733369548456553</v>
      </c>
      <c r="G1827">
        <v>0.64532659013595794</v>
      </c>
      <c r="H1827">
        <v>0.399568898935586</v>
      </c>
      <c r="I1827">
        <v>0.124612269218439</v>
      </c>
      <c r="J1827">
        <v>0.13958255717784601</v>
      </c>
      <c r="K1827">
        <v>0.14026414942764001</v>
      </c>
      <c r="L1827">
        <v>677.57684146514998</v>
      </c>
      <c r="M1827">
        <v>11.729708323440001</v>
      </c>
      <c r="N1827">
        <v>57.765859952292899</v>
      </c>
      <c r="O1827">
        <v>56.163550340643198</v>
      </c>
      <c r="P1827">
        <v>-5.2226028443144903E-2</v>
      </c>
      <c r="Q1827">
        <v>0</v>
      </c>
      <c r="R1827">
        <v>0.96667807861513</v>
      </c>
      <c r="S1827" t="s">
        <v>8497</v>
      </c>
      <c r="T1827" t="s">
        <v>13338</v>
      </c>
      <c r="U1827" t="s">
        <v>13338</v>
      </c>
      <c r="V1827" t="s">
        <v>13338</v>
      </c>
      <c r="W1827" t="s">
        <v>15129</v>
      </c>
      <c r="X1827">
        <v>28</v>
      </c>
      <c r="Y1827" t="s">
        <v>21721</v>
      </c>
      <c r="Z1827" t="s">
        <v>28242</v>
      </c>
      <c r="AA1827">
        <v>0.60573700040613432</v>
      </c>
      <c r="AB1827" t="str">
        <f>HYPERLINK("Melting_Curves/meltCurve_P00367_GLUD1.pdf", "Melting_Curves/meltCurve_P00367_GLUD1.pdf")</f>
        <v>Melting_Curves/meltCurve_P00367_GLUD1.pdf</v>
      </c>
    </row>
    <row r="1828" spans="1:28" x14ac:dyDescent="0.25">
      <c r="A1828" t="s">
        <v>1832</v>
      </c>
      <c r="B1828">
        <v>0.99193492352474899</v>
      </c>
      <c r="C1828">
        <v>0.82693308239055097</v>
      </c>
      <c r="D1828">
        <v>0.50046288637415204</v>
      </c>
      <c r="E1828">
        <v>0.210088544703565</v>
      </c>
      <c r="F1828">
        <v>9.3602644332860502E-2</v>
      </c>
      <c r="G1828">
        <v>7.0431022026166898E-2</v>
      </c>
      <c r="H1828">
        <v>4.0907338176321001E-2</v>
      </c>
      <c r="I1828">
        <v>5.7360966341775399E-2</v>
      </c>
      <c r="J1828">
        <v>5.4484870795873698E-2</v>
      </c>
      <c r="K1828">
        <v>6.3548829662665396E-2</v>
      </c>
      <c r="L1828">
        <v>1029.46826975304</v>
      </c>
      <c r="M1828">
        <v>22.466706804361301</v>
      </c>
      <c r="N1828">
        <v>46.059066049023599</v>
      </c>
      <c r="O1828">
        <v>45.463544297632097</v>
      </c>
      <c r="P1828">
        <v>-0.116798388886085</v>
      </c>
      <c r="Q1828">
        <v>5.4608194307195497E-2</v>
      </c>
      <c r="R1828">
        <v>0.99887970976342599</v>
      </c>
      <c r="S1828" t="s">
        <v>8498</v>
      </c>
      <c r="T1828" t="s">
        <v>13338</v>
      </c>
      <c r="U1828" t="s">
        <v>13338</v>
      </c>
      <c r="V1828" t="s">
        <v>13338</v>
      </c>
      <c r="W1828" t="s">
        <v>15130</v>
      </c>
      <c r="X1828">
        <v>8</v>
      </c>
      <c r="Y1828" t="s">
        <v>21722</v>
      </c>
      <c r="Z1828" t="s">
        <v>28243</v>
      </c>
      <c r="AA1828">
        <v>0.24938604734787559</v>
      </c>
      <c r="AB1828" t="str">
        <f>HYPERLINK("Melting_Curves/meltCurve_P00374_DHFR.pdf", "Melting_Curves/meltCurve_P00374_DHFR.pdf")</f>
        <v>Melting_Curves/meltCurve_P00374_DHFR.pdf</v>
      </c>
    </row>
    <row r="1829" spans="1:28" x14ac:dyDescent="0.25">
      <c r="A1829" t="s">
        <v>1833</v>
      </c>
      <c r="B1829">
        <v>0.99193492352474899</v>
      </c>
      <c r="C1829">
        <v>0.83232982633198604</v>
      </c>
      <c r="D1829">
        <v>1.0218634243309399</v>
      </c>
      <c r="E1829">
        <v>0.82144881869016395</v>
      </c>
      <c r="F1829">
        <v>0.72544348800645997</v>
      </c>
      <c r="G1829">
        <v>0.43687996059595202</v>
      </c>
      <c r="H1829">
        <v>0.13920889537196501</v>
      </c>
      <c r="I1829">
        <v>8.0918657139924702E-2</v>
      </c>
      <c r="J1829">
        <v>9.4199095989490195E-2</v>
      </c>
      <c r="K1829">
        <v>8.8418903777965796E-2</v>
      </c>
      <c r="L1829">
        <v>1004.41601315761</v>
      </c>
      <c r="M1829">
        <v>18.144064900306699</v>
      </c>
      <c r="N1829">
        <v>55.578933678337101</v>
      </c>
      <c r="O1829">
        <v>54.698518915039202</v>
      </c>
      <c r="P1829">
        <v>-8.0043917430130299E-2</v>
      </c>
      <c r="Q1829">
        <v>3.4819513666900198E-2</v>
      </c>
      <c r="R1829">
        <v>0.97058289726496005</v>
      </c>
      <c r="S1829" t="s">
        <v>8499</v>
      </c>
      <c r="T1829" t="s">
        <v>13338</v>
      </c>
      <c r="U1829" t="s">
        <v>13338</v>
      </c>
      <c r="V1829" t="s">
        <v>13338</v>
      </c>
      <c r="W1829" t="s">
        <v>15131</v>
      </c>
      <c r="X1829">
        <v>10</v>
      </c>
      <c r="Y1829" t="s">
        <v>21723</v>
      </c>
      <c r="Z1829" t="s">
        <v>28244</v>
      </c>
      <c r="AA1829">
        <v>0.54347273289674225</v>
      </c>
      <c r="AB1829" t="str">
        <f>HYPERLINK("Melting_Curves/meltCurve_P00387_2_CYB5R3.pdf", "Melting_Curves/meltCurve_P00387_2_CYB5R3.pdf")</f>
        <v>Melting_Curves/meltCurve_P00387_2_CYB5R3.pdf</v>
      </c>
    </row>
    <row r="1830" spans="1:28" x14ac:dyDescent="0.25">
      <c r="A1830" t="s">
        <v>1834</v>
      </c>
      <c r="B1830">
        <v>0.99193492352474899</v>
      </c>
      <c r="C1830">
        <v>1.09214504513093</v>
      </c>
      <c r="D1830">
        <v>0.63147297578194606</v>
      </c>
      <c r="E1830">
        <v>0.83629763047633598</v>
      </c>
      <c r="F1830">
        <v>0.72824568828077796</v>
      </c>
      <c r="G1830">
        <v>0.30105467668740599</v>
      </c>
      <c r="H1830">
        <v>0.45165456697082301</v>
      </c>
      <c r="I1830">
        <v>0.49273400461761702</v>
      </c>
      <c r="J1830">
        <v>0.64028072959090698</v>
      </c>
      <c r="K1830">
        <v>0.69039900639680996</v>
      </c>
      <c r="L1830">
        <v>822.72890581045499</v>
      </c>
      <c r="M1830">
        <v>17.2415199154036</v>
      </c>
      <c r="O1830">
        <v>47.089843624454097</v>
      </c>
      <c r="P1830">
        <v>-4.2304414624527401E-2</v>
      </c>
      <c r="Q1830">
        <v>0.53786166931906099</v>
      </c>
      <c r="R1830">
        <v>0.591319282345389</v>
      </c>
      <c r="S1830" t="s">
        <v>8500</v>
      </c>
      <c r="T1830" t="s">
        <v>13338</v>
      </c>
      <c r="U1830" t="s">
        <v>13338</v>
      </c>
      <c r="V1830" t="s">
        <v>13338</v>
      </c>
      <c r="W1830" t="s">
        <v>15132</v>
      </c>
      <c r="X1830">
        <v>19</v>
      </c>
      <c r="Y1830" t="s">
        <v>21724</v>
      </c>
      <c r="Z1830" t="s">
        <v>28245</v>
      </c>
      <c r="AA1830">
        <v>0.66581271399872954</v>
      </c>
      <c r="AB1830" t="str">
        <f>HYPERLINK("Melting_Curves/meltCurve_P00390_2_GSR.pdf", "Melting_Curves/meltCurve_P00390_2_GSR.pdf")</f>
        <v>Melting_Curves/meltCurve_P00390_2_GSR.pdf</v>
      </c>
    </row>
    <row r="1831" spans="1:28" x14ac:dyDescent="0.25">
      <c r="A1831" t="s">
        <v>1835</v>
      </c>
      <c r="B1831">
        <v>0.99193492352474899</v>
      </c>
      <c r="C1831">
        <v>1.94894745149145</v>
      </c>
      <c r="D1831">
        <v>1.3816172336239401</v>
      </c>
      <c r="E1831">
        <v>1.62678637023151</v>
      </c>
      <c r="F1831">
        <v>1.22275896039996</v>
      </c>
      <c r="G1831">
        <v>1.1533261762762901</v>
      </c>
      <c r="H1831">
        <v>0.921535328731103</v>
      </c>
      <c r="I1831">
        <v>0.508608857205891</v>
      </c>
      <c r="J1831">
        <v>8.7699854460964205E-2</v>
      </c>
      <c r="K1831">
        <v>3.3694350296381501E-2</v>
      </c>
      <c r="L1831">
        <v>3326.8158742370001</v>
      </c>
      <c r="M1831">
        <v>52.002281527387801</v>
      </c>
      <c r="N1831">
        <v>64.015432124816599</v>
      </c>
      <c r="O1831">
        <v>63.880040532700399</v>
      </c>
      <c r="P1831">
        <v>-0.20018146091692801</v>
      </c>
      <c r="Q1831">
        <v>1.6382574792614801E-2</v>
      </c>
      <c r="R1831">
        <v>0.57067735843612599</v>
      </c>
      <c r="S1831" t="s">
        <v>8501</v>
      </c>
      <c r="T1831" t="s">
        <v>13338</v>
      </c>
      <c r="U1831" t="s">
        <v>13338</v>
      </c>
      <c r="V1831" t="s">
        <v>13338</v>
      </c>
      <c r="W1831" t="s">
        <v>15133</v>
      </c>
      <c r="X1831">
        <v>5</v>
      </c>
      <c r="Y1831" t="s">
        <v>21725</v>
      </c>
      <c r="Z1831" t="s">
        <v>28246</v>
      </c>
      <c r="AA1831">
        <v>0.80443198608802668</v>
      </c>
      <c r="AB1831" t="str">
        <f>HYPERLINK("Melting_Curves/meltCurve_P00403_MT_CO2.pdf", "Melting_Curves/meltCurve_P00403_MT_CO2.pdf")</f>
        <v>Melting_Curves/meltCurve_P00403_MT_CO2.pdf</v>
      </c>
    </row>
    <row r="1832" spans="1:28" x14ac:dyDescent="0.25">
      <c r="A1832" t="s">
        <v>1836</v>
      </c>
      <c r="B1832">
        <v>0.99193492352474899</v>
      </c>
      <c r="C1832">
        <v>0.53374150579451696</v>
      </c>
      <c r="D1832">
        <v>0.61664125906747402</v>
      </c>
      <c r="E1832">
        <v>0.57066349063980704</v>
      </c>
      <c r="F1832">
        <v>0.45633916311461897</v>
      </c>
      <c r="G1832">
        <v>0.27888084375429201</v>
      </c>
      <c r="H1832">
        <v>0.34019038639072702</v>
      </c>
      <c r="I1832">
        <v>0.19643247260284899</v>
      </c>
      <c r="J1832">
        <v>0.15274419613267801</v>
      </c>
      <c r="K1832">
        <v>0.20382914955126599</v>
      </c>
      <c r="L1832">
        <v>314.707736282437</v>
      </c>
      <c r="M1832">
        <v>6.4066555550668198</v>
      </c>
      <c r="N1832">
        <v>50.036769625245498</v>
      </c>
      <c r="O1832">
        <v>44.991051283529103</v>
      </c>
      <c r="P1832">
        <v>-3.3718321950156997E-2</v>
      </c>
      <c r="Q1832">
        <v>5.5263415423914899E-2</v>
      </c>
      <c r="R1832">
        <v>0.85581370919811794</v>
      </c>
      <c r="S1832" t="s">
        <v>8502</v>
      </c>
      <c r="T1832" t="s">
        <v>13338</v>
      </c>
      <c r="U1832" t="s">
        <v>13338</v>
      </c>
      <c r="V1832" t="s">
        <v>13338</v>
      </c>
      <c r="W1832" t="s">
        <v>15134</v>
      </c>
      <c r="X1832">
        <v>14</v>
      </c>
      <c r="Y1832" t="s">
        <v>21726</v>
      </c>
      <c r="Z1832" t="s">
        <v>28247</v>
      </c>
      <c r="AA1832">
        <v>0.42084153184508</v>
      </c>
      <c r="AB1832" t="str">
        <f>HYPERLINK("Melting_Curves/meltCurve_P00441_SOD1.pdf", "Melting_Curves/meltCurve_P00441_SOD1.pdf")</f>
        <v>Melting_Curves/meltCurve_P00441_SOD1.pdf</v>
      </c>
    </row>
    <row r="1833" spans="1:28" x14ac:dyDescent="0.25">
      <c r="A1833" t="s">
        <v>1837</v>
      </c>
      <c r="B1833">
        <v>0.99193492352474899</v>
      </c>
      <c r="C1833">
        <v>0.97796844555828599</v>
      </c>
      <c r="D1833">
        <v>0.96557095595633602</v>
      </c>
      <c r="E1833">
        <v>0.75907169510900796</v>
      </c>
      <c r="F1833">
        <v>0.75747865125567204</v>
      </c>
      <c r="G1833">
        <v>0.56793493221337898</v>
      </c>
      <c r="H1833">
        <v>0.49889882575372702</v>
      </c>
      <c r="I1833">
        <v>0.581307138160707</v>
      </c>
      <c r="J1833">
        <v>0.79915852916491104</v>
      </c>
      <c r="K1833">
        <v>0.54312924547154495</v>
      </c>
      <c r="L1833">
        <v>1094.22229456183</v>
      </c>
      <c r="M1833">
        <v>22.0534066850187</v>
      </c>
      <c r="O1833">
        <v>49.214348901602499</v>
      </c>
      <c r="P1833">
        <v>-4.4591998063395297E-2</v>
      </c>
      <c r="Q1833">
        <v>0.60196295931375898</v>
      </c>
      <c r="R1833">
        <v>0.79451901576958595</v>
      </c>
      <c r="S1833" t="s">
        <v>8503</v>
      </c>
      <c r="T1833" t="s">
        <v>13338</v>
      </c>
      <c r="U1833" t="s">
        <v>13338</v>
      </c>
      <c r="V1833" t="s">
        <v>13338</v>
      </c>
      <c r="W1833" t="s">
        <v>15135</v>
      </c>
      <c r="X1833">
        <v>18</v>
      </c>
      <c r="Y1833" t="s">
        <v>21727</v>
      </c>
      <c r="Z1833" t="s">
        <v>28248</v>
      </c>
      <c r="AA1833">
        <v>0.73412612413324618</v>
      </c>
      <c r="AB1833" t="str">
        <f>HYPERLINK("Melting_Curves/meltCurve_P00491_PNP.pdf", "Melting_Curves/meltCurve_P00491_PNP.pdf")</f>
        <v>Melting_Curves/meltCurve_P00491_PNP.pdf</v>
      </c>
    </row>
    <row r="1834" spans="1:28" x14ac:dyDescent="0.25">
      <c r="A1834" t="s">
        <v>1838</v>
      </c>
      <c r="B1834">
        <v>0.99193492352474899</v>
      </c>
      <c r="C1834">
        <v>0.99200335358486402</v>
      </c>
      <c r="D1834">
        <v>0.90627521299126101</v>
      </c>
      <c r="E1834">
        <v>0.85455418008738704</v>
      </c>
      <c r="F1834">
        <v>0.740216352828442</v>
      </c>
      <c r="G1834">
        <v>0.63923025275743905</v>
      </c>
      <c r="H1834">
        <v>0.49869236448855803</v>
      </c>
      <c r="I1834">
        <v>0.59993857383545002</v>
      </c>
      <c r="J1834">
        <v>0.66434590840919405</v>
      </c>
      <c r="K1834">
        <v>0.80956948255541705</v>
      </c>
      <c r="L1834">
        <v>1089.45488709542</v>
      </c>
      <c r="M1834">
        <v>21.831454698282698</v>
      </c>
      <c r="O1834">
        <v>49.4899424276472</v>
      </c>
      <c r="P1834">
        <v>-3.9588373669960403E-2</v>
      </c>
      <c r="Q1834">
        <v>0.64103514505081305</v>
      </c>
      <c r="R1834">
        <v>0.77954892580643498</v>
      </c>
      <c r="S1834" t="s">
        <v>8504</v>
      </c>
      <c r="T1834" t="s">
        <v>13338</v>
      </c>
      <c r="U1834" t="s">
        <v>13338</v>
      </c>
      <c r="V1834" t="s">
        <v>13338</v>
      </c>
      <c r="W1834" t="s">
        <v>15136</v>
      </c>
      <c r="X1834">
        <v>17</v>
      </c>
      <c r="Y1834" t="s">
        <v>21728</v>
      </c>
      <c r="Z1834" t="s">
        <v>28249</v>
      </c>
      <c r="AA1834">
        <v>0.76373443607610836</v>
      </c>
      <c r="AB1834" t="str">
        <f>HYPERLINK("Melting_Curves/meltCurve_P00492_HPRT1.pdf", "Melting_Curves/meltCurve_P00492_HPRT1.pdf")</f>
        <v>Melting_Curves/meltCurve_P00492_HPRT1.pdf</v>
      </c>
    </row>
    <row r="1835" spans="1:28" x14ac:dyDescent="0.25">
      <c r="A1835" t="s">
        <v>1839</v>
      </c>
      <c r="B1835">
        <v>0.99193492352474899</v>
      </c>
      <c r="C1835">
        <v>1.15509150947481</v>
      </c>
      <c r="D1835">
        <v>1.07754730098373</v>
      </c>
      <c r="E1835">
        <v>1.06715836914989</v>
      </c>
      <c r="F1835">
        <v>0.99785175298574302</v>
      </c>
      <c r="G1835">
        <v>0.76604190666532601</v>
      </c>
      <c r="H1835">
        <v>0.64839791086177301</v>
      </c>
      <c r="I1835">
        <v>0.67336646877933204</v>
      </c>
      <c r="J1835">
        <v>0.70963536938473504</v>
      </c>
      <c r="K1835">
        <v>0.328092172282616</v>
      </c>
      <c r="L1835">
        <v>642.30260828356404</v>
      </c>
      <c r="M1835">
        <v>9.4335681333243393</v>
      </c>
      <c r="N1835">
        <v>68.086920909472198</v>
      </c>
      <c r="O1835">
        <v>65.237707669329694</v>
      </c>
      <c r="P1835">
        <v>-3.6172710887032701E-2</v>
      </c>
      <c r="Q1835">
        <v>0</v>
      </c>
      <c r="R1835">
        <v>0.81592769655379205</v>
      </c>
      <c r="S1835" t="s">
        <v>8505</v>
      </c>
      <c r="T1835" t="s">
        <v>13338</v>
      </c>
      <c r="U1835" t="s">
        <v>13338</v>
      </c>
      <c r="V1835" t="s">
        <v>13338</v>
      </c>
      <c r="W1835" t="s">
        <v>15137</v>
      </c>
      <c r="X1835">
        <v>28</v>
      </c>
      <c r="Y1835" t="s">
        <v>21729</v>
      </c>
      <c r="Z1835" t="s">
        <v>28250</v>
      </c>
      <c r="AA1835">
        <v>0.83102193884020026</v>
      </c>
      <c r="AB1835" t="str">
        <f>HYPERLINK("Melting_Curves/meltCurve_P00505_GOT2.pdf", "Melting_Curves/meltCurve_P00505_GOT2.pdf")</f>
        <v>Melting_Curves/meltCurve_P00505_GOT2.pdf</v>
      </c>
    </row>
    <row r="1836" spans="1:28" x14ac:dyDescent="0.25">
      <c r="A1836" t="s">
        <v>1840</v>
      </c>
      <c r="B1836">
        <v>0.99193492352474899</v>
      </c>
      <c r="C1836">
        <v>0.84561639101632302</v>
      </c>
      <c r="D1836">
        <v>0.86058266140589901</v>
      </c>
      <c r="E1836">
        <v>0.329466401303809</v>
      </c>
      <c r="F1836">
        <v>0.19651651899238301</v>
      </c>
      <c r="G1836">
        <v>0.125289863350316</v>
      </c>
      <c r="H1836">
        <v>5.5526414735535302E-2</v>
      </c>
      <c r="I1836">
        <v>6.4408210883933198E-2</v>
      </c>
      <c r="J1836">
        <v>9.6453616298862899E-2</v>
      </c>
      <c r="K1836">
        <v>8.5715283594960695E-2</v>
      </c>
      <c r="L1836">
        <v>1255.26009478131</v>
      </c>
      <c r="M1836">
        <v>26.0563790683014</v>
      </c>
      <c r="N1836">
        <v>48.5160949313182</v>
      </c>
      <c r="O1836">
        <v>47.893705018988001</v>
      </c>
      <c r="P1836">
        <v>-0.124622442494499</v>
      </c>
      <c r="Q1836">
        <v>8.3746529761507593E-2</v>
      </c>
      <c r="R1836">
        <v>0.98076308454139705</v>
      </c>
      <c r="S1836" t="s">
        <v>8506</v>
      </c>
      <c r="T1836" t="s">
        <v>13338</v>
      </c>
      <c r="U1836" t="s">
        <v>13338</v>
      </c>
      <c r="V1836" t="s">
        <v>13338</v>
      </c>
      <c r="W1836" t="s">
        <v>15138</v>
      </c>
      <c r="X1836">
        <v>5</v>
      </c>
      <c r="Y1836" t="s">
        <v>21730</v>
      </c>
      <c r="Z1836" t="s">
        <v>28251</v>
      </c>
      <c r="AA1836">
        <v>0.34083848689659219</v>
      </c>
      <c r="AB1836" t="str">
        <f>HYPERLINK("Melting_Curves/meltCurve_P00519_ABL1.pdf", "Melting_Curves/meltCurve_P00519_ABL1.pdf")</f>
        <v>Melting_Curves/meltCurve_P00519_ABL1.pdf</v>
      </c>
    </row>
    <row r="1837" spans="1:28" x14ac:dyDescent="0.25">
      <c r="A1837" t="s">
        <v>1841</v>
      </c>
      <c r="B1837">
        <v>0.99193492352474899</v>
      </c>
      <c r="C1837">
        <v>1.03098876522722</v>
      </c>
      <c r="D1837">
        <v>0.88185195541530903</v>
      </c>
      <c r="E1837">
        <v>0.91119314054443601</v>
      </c>
      <c r="F1837">
        <v>0.63343081470791995</v>
      </c>
      <c r="G1837">
        <v>0.16383759588337499</v>
      </c>
      <c r="H1837">
        <v>6.9958105902608106E-2</v>
      </c>
      <c r="I1837">
        <v>7.7085873436650104E-2</v>
      </c>
      <c r="J1837">
        <v>8.6534441615948796E-2</v>
      </c>
      <c r="K1837">
        <v>8.6489516657384802E-2</v>
      </c>
      <c r="L1837">
        <v>1913.4329755807801</v>
      </c>
      <c r="M1837">
        <v>35.634721953049599</v>
      </c>
      <c r="N1837">
        <v>53.930707605783603</v>
      </c>
      <c r="O1837">
        <v>53.527490815980002</v>
      </c>
      <c r="P1837">
        <v>-0.154465649179233</v>
      </c>
      <c r="Q1837">
        <v>7.1901755548789706E-2</v>
      </c>
      <c r="R1837">
        <v>0.98930840028511902</v>
      </c>
      <c r="S1837" t="s">
        <v>8507</v>
      </c>
      <c r="T1837" t="s">
        <v>13338</v>
      </c>
      <c r="U1837" t="s">
        <v>13338</v>
      </c>
      <c r="V1837" t="s">
        <v>13338</v>
      </c>
      <c r="W1837" t="s">
        <v>15139</v>
      </c>
      <c r="X1837">
        <v>48</v>
      </c>
      <c r="Y1837" t="s">
        <v>21731</v>
      </c>
      <c r="Z1837" t="s">
        <v>28252</v>
      </c>
      <c r="AA1837">
        <v>0.4999322510082449</v>
      </c>
      <c r="AB1837" t="str">
        <f>HYPERLINK("Melting_Curves/meltCurve_P00558_PGK1.pdf", "Melting_Curves/meltCurve_P00558_PGK1.pdf")</f>
        <v>Melting_Curves/meltCurve_P00558_PGK1.pdf</v>
      </c>
    </row>
    <row r="1838" spans="1:28" x14ac:dyDescent="0.25">
      <c r="A1838" t="s">
        <v>1842</v>
      </c>
      <c r="B1838">
        <v>0.99193492352474899</v>
      </c>
      <c r="C1838">
        <v>0.92024929483076801</v>
      </c>
      <c r="D1838">
        <v>0.92569932310733505</v>
      </c>
      <c r="E1838">
        <v>0.771024019987544</v>
      </c>
      <c r="F1838">
        <v>0.66966435097456001</v>
      </c>
      <c r="G1838">
        <v>0.50462184516453701</v>
      </c>
      <c r="H1838">
        <v>0.331932707895713</v>
      </c>
      <c r="I1838">
        <v>0.203616526752186</v>
      </c>
      <c r="J1838">
        <v>0.200834478559788</v>
      </c>
      <c r="K1838">
        <v>0.17914727225181801</v>
      </c>
      <c r="L1838">
        <v>577.96219361271096</v>
      </c>
      <c r="M1838">
        <v>10.341583163044101</v>
      </c>
      <c r="N1838">
        <v>56.461075102389003</v>
      </c>
      <c r="O1838">
        <v>53.918561224763202</v>
      </c>
      <c r="P1838">
        <v>-4.5577371699749403E-2</v>
      </c>
      <c r="Q1838">
        <v>4.9887943379741E-2</v>
      </c>
      <c r="R1838">
        <v>0.99311113604468704</v>
      </c>
      <c r="S1838" t="s">
        <v>8508</v>
      </c>
      <c r="T1838" t="s">
        <v>13338</v>
      </c>
      <c r="U1838" t="s">
        <v>13338</v>
      </c>
      <c r="V1838" t="s">
        <v>13338</v>
      </c>
      <c r="W1838" t="s">
        <v>15140</v>
      </c>
      <c r="X1838">
        <v>32</v>
      </c>
      <c r="Y1838" t="s">
        <v>21732</v>
      </c>
      <c r="Z1838" t="s">
        <v>28253</v>
      </c>
      <c r="AA1838">
        <v>0.57357094843011758</v>
      </c>
      <c r="AB1838" t="str">
        <f>HYPERLINK("Melting_Curves/meltCurve_P00813_ADA.pdf", "Melting_Curves/meltCurve_P00813_ADA.pdf")</f>
        <v>Melting_Curves/meltCurve_P00813_ADA.pdf</v>
      </c>
    </row>
    <row r="1839" spans="1:28" x14ac:dyDescent="0.25">
      <c r="A1839" t="s">
        <v>1843</v>
      </c>
      <c r="B1839">
        <v>0.99193492352474899</v>
      </c>
      <c r="C1839">
        <v>1.7501191467144399</v>
      </c>
      <c r="D1839">
        <v>1.8867604925293</v>
      </c>
      <c r="E1839">
        <v>2.60066667720859</v>
      </c>
      <c r="F1839">
        <v>2.7773176349750499</v>
      </c>
      <c r="G1839">
        <v>2.5298697166471702</v>
      </c>
      <c r="H1839">
        <v>1.4164882334150399</v>
      </c>
      <c r="I1839">
        <v>0.87249649579680999</v>
      </c>
      <c r="J1839">
        <v>0.87317933732258302</v>
      </c>
      <c r="K1839">
        <v>0.74170307814801995</v>
      </c>
      <c r="L1839">
        <v>3207.34758692779</v>
      </c>
      <c r="M1839">
        <v>47.969647852278001</v>
      </c>
      <c r="O1839">
        <v>66.746143185958204</v>
      </c>
      <c r="P1839">
        <v>-5.0245362020575897E-2</v>
      </c>
      <c r="Q1839">
        <v>0.72034982750356003</v>
      </c>
      <c r="R1839">
        <v>-0.73376618096456303</v>
      </c>
      <c r="S1839" t="s">
        <v>8509</v>
      </c>
      <c r="T1839" t="s">
        <v>13338</v>
      </c>
      <c r="U1839" t="s">
        <v>13338</v>
      </c>
      <c r="V1839" t="s">
        <v>13338</v>
      </c>
      <c r="W1839" t="s">
        <v>15141</v>
      </c>
      <c r="X1839">
        <v>1</v>
      </c>
      <c r="Y1839" t="s">
        <v>21733</v>
      </c>
      <c r="Z1839" t="s">
        <v>28254</v>
      </c>
      <c r="AA1839">
        <v>0.97000122127142085</v>
      </c>
      <c r="AB1839" t="str">
        <f>HYPERLINK("Melting_Curves/meltCurve_P00846_MT_ATP6.pdf", "Melting_Curves/meltCurve_P00846_MT_ATP6.pdf")</f>
        <v>Melting_Curves/meltCurve_P00846_MT_ATP6.pdf</v>
      </c>
    </row>
    <row r="1840" spans="1:28" x14ac:dyDescent="0.25">
      <c r="A1840" t="s">
        <v>1844</v>
      </c>
      <c r="B1840">
        <v>0.99193492352474899</v>
      </c>
      <c r="C1840">
        <v>1.0449541956900801</v>
      </c>
      <c r="D1840">
        <v>0.97557624592775505</v>
      </c>
      <c r="E1840">
        <v>0.997540727567788</v>
      </c>
      <c r="F1840">
        <v>0.62302393489213803</v>
      </c>
      <c r="G1840">
        <v>0.28859408819856902</v>
      </c>
      <c r="H1840">
        <v>0.189831194384322</v>
      </c>
      <c r="I1840">
        <v>0.112527794710121</v>
      </c>
      <c r="J1840">
        <v>8.8694064987851901E-2</v>
      </c>
      <c r="K1840">
        <v>9.7906619034514003E-2</v>
      </c>
      <c r="L1840">
        <v>1587.08826401752</v>
      </c>
      <c r="M1840">
        <v>29.397003050026601</v>
      </c>
      <c r="N1840">
        <v>54.452649445609197</v>
      </c>
      <c r="O1840">
        <v>53.740116299878302</v>
      </c>
      <c r="P1840">
        <v>-0.12158883626330901</v>
      </c>
      <c r="Q1840">
        <v>0.110909086946654</v>
      </c>
      <c r="R1840">
        <v>0.99392397743430205</v>
      </c>
      <c r="S1840" t="s">
        <v>8510</v>
      </c>
      <c r="T1840" t="s">
        <v>13338</v>
      </c>
      <c r="U1840" t="s">
        <v>13338</v>
      </c>
      <c r="V1840" t="s">
        <v>13338</v>
      </c>
      <c r="W1840" t="s">
        <v>15142</v>
      </c>
      <c r="X1840">
        <v>16</v>
      </c>
      <c r="Y1840" t="s">
        <v>21734</v>
      </c>
      <c r="Z1840" t="s">
        <v>28255</v>
      </c>
      <c r="AA1840">
        <v>0.53153754008641307</v>
      </c>
      <c r="AB1840" t="str">
        <f>HYPERLINK("Melting_Curves/meltCurve_P00966_ASS1.pdf", "Melting_Curves/meltCurve_P00966_ASS1.pdf")</f>
        <v>Melting_Curves/meltCurve_P00966_ASS1.pdf</v>
      </c>
    </row>
    <row r="1841" spans="1:28" x14ac:dyDescent="0.25">
      <c r="A1841" t="s">
        <v>1845</v>
      </c>
      <c r="B1841">
        <v>0.99193492352474899</v>
      </c>
      <c r="C1841">
        <v>1.1176335382876601</v>
      </c>
      <c r="D1841">
        <v>0.88945630575426704</v>
      </c>
      <c r="E1841">
        <v>0.90637960037117304</v>
      </c>
      <c r="F1841">
        <v>0.85510356835119405</v>
      </c>
      <c r="G1841">
        <v>0.54719127855845995</v>
      </c>
      <c r="H1841">
        <v>0.54162520053410601</v>
      </c>
      <c r="I1841">
        <v>0.55028718226619799</v>
      </c>
      <c r="J1841">
        <v>0.60057891799684804</v>
      </c>
      <c r="K1841">
        <v>0.82244655171494296</v>
      </c>
      <c r="L1841">
        <v>13327.436015011999</v>
      </c>
      <c r="M1841">
        <v>250</v>
      </c>
      <c r="O1841">
        <v>53.306332592450303</v>
      </c>
      <c r="P1841">
        <v>-0.45441855254115698</v>
      </c>
      <c r="Q1841">
        <v>0.61242581650491201</v>
      </c>
      <c r="R1841">
        <v>0.76356537420405901</v>
      </c>
      <c r="S1841" t="s">
        <v>8511</v>
      </c>
      <c r="T1841" t="s">
        <v>13338</v>
      </c>
      <c r="U1841" t="s">
        <v>13338</v>
      </c>
      <c r="V1841" t="s">
        <v>13338</v>
      </c>
      <c r="W1841" t="s">
        <v>15143</v>
      </c>
      <c r="X1841">
        <v>1</v>
      </c>
      <c r="Y1841" t="s">
        <v>21735</v>
      </c>
      <c r="Z1841" t="s">
        <v>28256</v>
      </c>
      <c r="AA1841">
        <v>0.78441251663506173</v>
      </c>
      <c r="AB1841" t="str">
        <f>HYPERLINK("Melting_Curves/meltCurve_P01009_2_SERPINA1.pdf", "Melting_Curves/meltCurve_P01009_2_SERPINA1.pdf")</f>
        <v>Melting_Curves/meltCurve_P01009_2_SERPINA1.pdf</v>
      </c>
    </row>
    <row r="1842" spans="1:28" x14ac:dyDescent="0.25">
      <c r="A1842" t="s">
        <v>1846</v>
      </c>
      <c r="B1842">
        <v>0.99193492352474899</v>
      </c>
      <c r="C1842">
        <v>0.86474672926435703</v>
      </c>
      <c r="D1842">
        <v>1.0445643037438199</v>
      </c>
      <c r="E1842">
        <v>0.75443410517816001</v>
      </c>
      <c r="F1842">
        <v>0.67431924133048005</v>
      </c>
      <c r="G1842">
        <v>0.50736013671865199</v>
      </c>
      <c r="H1842">
        <v>0.38116338614485401</v>
      </c>
      <c r="I1842">
        <v>0.38371886964894503</v>
      </c>
      <c r="J1842">
        <v>0.51548325953408103</v>
      </c>
      <c r="K1842">
        <v>0.282599464392771</v>
      </c>
      <c r="L1842">
        <v>827.37534125703803</v>
      </c>
      <c r="M1842">
        <v>15.792810951964199</v>
      </c>
      <c r="N1842">
        <v>57.0140114206609</v>
      </c>
      <c r="O1842">
        <v>51.570950824100699</v>
      </c>
      <c r="P1842">
        <v>-4.8915584136474503E-2</v>
      </c>
      <c r="Q1842">
        <v>0.36112324430145798</v>
      </c>
      <c r="R1842">
        <v>0.90956038559416896</v>
      </c>
      <c r="S1842" t="s">
        <v>8512</v>
      </c>
      <c r="T1842" t="s">
        <v>13338</v>
      </c>
      <c r="U1842" t="s">
        <v>13338</v>
      </c>
      <c r="V1842" t="s">
        <v>13338</v>
      </c>
      <c r="W1842" t="s">
        <v>15144</v>
      </c>
      <c r="X1842">
        <v>5</v>
      </c>
      <c r="Y1842" t="s">
        <v>21736</v>
      </c>
      <c r="Z1842" t="s">
        <v>28257</v>
      </c>
      <c r="AA1842">
        <v>0.63799961502020952</v>
      </c>
      <c r="AB1842" t="str">
        <f>HYPERLINK("Melting_Curves/meltCurve_P01023_A2M.pdf", "Melting_Curves/meltCurve_P01023_A2M.pdf")</f>
        <v>Melting_Curves/meltCurve_P01023_A2M.pdf</v>
      </c>
    </row>
    <row r="1843" spans="1:28" x14ac:dyDescent="0.25">
      <c r="A1843" t="s">
        <v>1847</v>
      </c>
      <c r="B1843">
        <v>0.99193492352474899</v>
      </c>
      <c r="C1843">
        <v>1.0214143478639599</v>
      </c>
      <c r="D1843">
        <v>0.83512578731639298</v>
      </c>
      <c r="E1843">
        <v>0.69725630071311995</v>
      </c>
      <c r="F1843">
        <v>0.556673480700969</v>
      </c>
      <c r="G1843">
        <v>0.346146714748999</v>
      </c>
      <c r="H1843">
        <v>0.30117003222398903</v>
      </c>
      <c r="I1843">
        <v>0.289233387561176</v>
      </c>
      <c r="J1843">
        <v>0.326401899203833</v>
      </c>
      <c r="K1843">
        <v>0.33575104187812499</v>
      </c>
      <c r="L1843">
        <v>847.56229948008001</v>
      </c>
      <c r="M1843">
        <v>16.788725316470899</v>
      </c>
      <c r="N1843">
        <v>53.2873901235209</v>
      </c>
      <c r="O1843">
        <v>49.7840826716427</v>
      </c>
      <c r="P1843">
        <v>-5.9586035818824303E-2</v>
      </c>
      <c r="Q1843">
        <v>0.29327732976830501</v>
      </c>
      <c r="R1843">
        <v>0.98283996648048</v>
      </c>
      <c r="S1843" t="s">
        <v>8513</v>
      </c>
      <c r="T1843" t="s">
        <v>13338</v>
      </c>
      <c r="U1843" t="s">
        <v>13338</v>
      </c>
      <c r="V1843" t="s">
        <v>13338</v>
      </c>
      <c r="W1843" t="s">
        <v>15145</v>
      </c>
      <c r="X1843">
        <v>2</v>
      </c>
      <c r="Y1843" t="s">
        <v>21737</v>
      </c>
      <c r="Z1843" t="s">
        <v>28258</v>
      </c>
      <c r="AA1843">
        <v>0.55386221511486844</v>
      </c>
      <c r="AB1843" t="str">
        <f>HYPERLINK("Melting_Curves/meltCurve_P01024_C3.pdf", "Melting_Curves/meltCurve_P01024_C3.pdf")</f>
        <v>Melting_Curves/meltCurve_P01024_C3.pdf</v>
      </c>
    </row>
    <row r="1844" spans="1:28" x14ac:dyDescent="0.25">
      <c r="A1844" t="s">
        <v>1848</v>
      </c>
      <c r="B1844">
        <v>0.99193492352474899</v>
      </c>
      <c r="C1844">
        <v>1.1702148567756001</v>
      </c>
      <c r="D1844">
        <v>0.96413548776585001</v>
      </c>
      <c r="E1844">
        <v>0.95365448778474005</v>
      </c>
      <c r="F1844">
        <v>0.84456045375660505</v>
      </c>
      <c r="G1844">
        <v>0.66042188879927799</v>
      </c>
      <c r="H1844">
        <v>0.61584511652597396</v>
      </c>
      <c r="I1844">
        <v>0.74660649929213796</v>
      </c>
      <c r="J1844">
        <v>0.88269097326206003</v>
      </c>
      <c r="K1844">
        <v>1.1950178202820601</v>
      </c>
      <c r="L1844">
        <v>2756.2481131987402</v>
      </c>
      <c r="M1844">
        <v>54.513240582251797</v>
      </c>
      <c r="O1844">
        <v>50.493179265677902</v>
      </c>
      <c r="P1844">
        <v>-4.7998954982759801E-2</v>
      </c>
      <c r="Q1844">
        <v>0.82216298382588804</v>
      </c>
      <c r="R1844">
        <v>0.27257840861391502</v>
      </c>
      <c r="S1844" t="s">
        <v>8514</v>
      </c>
      <c r="T1844" t="s">
        <v>13338</v>
      </c>
      <c r="U1844" t="s">
        <v>13338</v>
      </c>
      <c r="V1844" t="s">
        <v>13338</v>
      </c>
      <c r="W1844" t="s">
        <v>15146</v>
      </c>
      <c r="X1844">
        <v>1</v>
      </c>
      <c r="Y1844" t="s">
        <v>21738</v>
      </c>
      <c r="Z1844" t="s">
        <v>28259</v>
      </c>
      <c r="AA1844">
        <v>0.88510136334015688</v>
      </c>
      <c r="AB1844" t="str">
        <f>HYPERLINK("Melting_Curves/meltCurve_P01037_CST1.pdf", "Melting_Curves/meltCurve_P01037_CST1.pdf")</f>
        <v>Melting_Curves/meltCurve_P01037_CST1.pdf</v>
      </c>
    </row>
    <row r="1845" spans="1:28" x14ac:dyDescent="0.25">
      <c r="A1845" t="s">
        <v>1849</v>
      </c>
      <c r="B1845">
        <v>0.99193492352474899</v>
      </c>
      <c r="C1845">
        <v>1.08615416447987</v>
      </c>
      <c r="D1845">
        <v>1.0047690420095301</v>
      </c>
      <c r="E1845">
        <v>0.95661343438290103</v>
      </c>
      <c r="F1845">
        <v>0.77707844151689498</v>
      </c>
      <c r="G1845">
        <v>0.62833244588792203</v>
      </c>
      <c r="H1845">
        <v>0.57561960308373805</v>
      </c>
      <c r="I1845">
        <v>0.42829408683564002</v>
      </c>
      <c r="J1845">
        <v>0.216178717139351</v>
      </c>
      <c r="K1845">
        <v>9.5821494793268805E-2</v>
      </c>
      <c r="L1845">
        <v>707.14232998804903</v>
      </c>
      <c r="M1845">
        <v>11.6445934069327</v>
      </c>
      <c r="N1845">
        <v>60.727095035097399</v>
      </c>
      <c r="O1845">
        <v>59.0190609065302</v>
      </c>
      <c r="P1845">
        <v>-4.9338920420946203E-2</v>
      </c>
      <c r="Q1845">
        <v>0</v>
      </c>
      <c r="R1845">
        <v>0.96587451179197203</v>
      </c>
      <c r="S1845" t="s">
        <v>8515</v>
      </c>
      <c r="T1845" t="s">
        <v>13338</v>
      </c>
      <c r="U1845" t="s">
        <v>13338</v>
      </c>
      <c r="V1845" t="s">
        <v>13338</v>
      </c>
      <c r="W1845" t="s">
        <v>15147</v>
      </c>
      <c r="X1845">
        <v>10</v>
      </c>
      <c r="Y1845" t="s">
        <v>21739</v>
      </c>
      <c r="Z1845" t="s">
        <v>28260</v>
      </c>
      <c r="AA1845">
        <v>0.6876335360097211</v>
      </c>
      <c r="AB1845" t="str">
        <f>HYPERLINK("Melting_Curves/meltCurve_P01111_NRAS.pdf", "Melting_Curves/meltCurve_P01111_NRAS.pdf")</f>
        <v>Melting_Curves/meltCurve_P01111_NRAS.pdf</v>
      </c>
    </row>
    <row r="1846" spans="1:28" x14ac:dyDescent="0.25">
      <c r="A1846" t="s">
        <v>1850</v>
      </c>
      <c r="B1846">
        <v>0.99193492352474899</v>
      </c>
      <c r="C1846">
        <v>0.92882416319375305</v>
      </c>
      <c r="D1846">
        <v>0.92923082398713197</v>
      </c>
      <c r="E1846">
        <v>0.82591736127577897</v>
      </c>
      <c r="F1846">
        <v>0.695596774570861</v>
      </c>
      <c r="G1846">
        <v>0.54815879174983995</v>
      </c>
      <c r="H1846">
        <v>0.43391299328717697</v>
      </c>
      <c r="I1846">
        <v>0.413036036516164</v>
      </c>
      <c r="J1846">
        <v>0.27496776773675902</v>
      </c>
      <c r="K1846">
        <v>0.14790128753972601</v>
      </c>
      <c r="L1846">
        <v>484.53173080077897</v>
      </c>
      <c r="M1846">
        <v>8.2332107034709203</v>
      </c>
      <c r="N1846">
        <v>58.850884332823803</v>
      </c>
      <c r="O1846">
        <v>55.685136728085702</v>
      </c>
      <c r="P1846">
        <v>-3.7000775742513703E-2</v>
      </c>
      <c r="Q1846">
        <v>0</v>
      </c>
      <c r="R1846">
        <v>0.98560133753069701</v>
      </c>
      <c r="S1846" t="s">
        <v>8516</v>
      </c>
      <c r="T1846" t="s">
        <v>13338</v>
      </c>
      <c r="U1846" t="s">
        <v>13338</v>
      </c>
      <c r="V1846" t="s">
        <v>13338</v>
      </c>
      <c r="W1846" t="s">
        <v>15148</v>
      </c>
      <c r="X1846">
        <v>8</v>
      </c>
      <c r="Y1846" t="s">
        <v>21740</v>
      </c>
      <c r="Z1846" t="s">
        <v>28261</v>
      </c>
      <c r="AA1846">
        <v>0.62559099237222382</v>
      </c>
      <c r="AB1846" t="str">
        <f>HYPERLINK("Melting_Curves/meltCurve_P01112_HRAS.pdf", "Melting_Curves/meltCurve_P01112_HRAS.pdf")</f>
        <v>Melting_Curves/meltCurve_P01112_HRAS.pdf</v>
      </c>
    </row>
    <row r="1847" spans="1:28" x14ac:dyDescent="0.25">
      <c r="A1847" t="s">
        <v>1851</v>
      </c>
      <c r="B1847">
        <v>0.99193492352474899</v>
      </c>
      <c r="C1847">
        <v>1.04878928773453</v>
      </c>
      <c r="D1847">
        <v>0.99995543874794901</v>
      </c>
      <c r="E1847">
        <v>0.93875248526703403</v>
      </c>
      <c r="F1847">
        <v>0.80635313248455898</v>
      </c>
      <c r="G1847">
        <v>0.66771634100700505</v>
      </c>
      <c r="H1847">
        <v>0.65906607090277003</v>
      </c>
      <c r="I1847">
        <v>0.48807197518922502</v>
      </c>
      <c r="J1847">
        <v>0.19776842446663101</v>
      </c>
      <c r="K1847">
        <v>7.6428384876915806E-2</v>
      </c>
      <c r="L1847">
        <v>773.57199578399104</v>
      </c>
      <c r="M1847">
        <v>12.5441034290694</v>
      </c>
      <c r="N1847">
        <v>61.668177462585497</v>
      </c>
      <c r="O1847">
        <v>60.163891323997099</v>
      </c>
      <c r="P1847">
        <v>-5.2135300232833498E-2</v>
      </c>
      <c r="Q1847">
        <v>0</v>
      </c>
      <c r="R1847">
        <v>0.948577526658824</v>
      </c>
      <c r="S1847" t="s">
        <v>8517</v>
      </c>
      <c r="T1847" t="s">
        <v>13338</v>
      </c>
      <c r="U1847" t="s">
        <v>13338</v>
      </c>
      <c r="V1847" t="s">
        <v>13338</v>
      </c>
      <c r="W1847" t="s">
        <v>15149</v>
      </c>
      <c r="X1847">
        <v>8</v>
      </c>
      <c r="Y1847" t="s">
        <v>21741</v>
      </c>
      <c r="Z1847" t="s">
        <v>28262</v>
      </c>
      <c r="AA1847">
        <v>0.71533141255898347</v>
      </c>
      <c r="AB1847" t="str">
        <f>HYPERLINK("Melting_Curves/meltCurve_P01116_2_KRAS.pdf", "Melting_Curves/meltCurve_P01116_2_KRAS.pdf")</f>
        <v>Melting_Curves/meltCurve_P01116_2_KRAS.pdf</v>
      </c>
    </row>
    <row r="1848" spans="1:28" x14ac:dyDescent="0.25">
      <c r="A1848" t="s">
        <v>1852</v>
      </c>
      <c r="B1848">
        <v>0.99193492352474899</v>
      </c>
      <c r="C1848">
        <v>0.757257802277988</v>
      </c>
      <c r="D1848">
        <v>1.03066817784441</v>
      </c>
      <c r="E1848">
        <v>0.66936731550386797</v>
      </c>
      <c r="F1848">
        <v>0.81184905239382599</v>
      </c>
      <c r="G1848">
        <v>0.417557076848036</v>
      </c>
      <c r="H1848">
        <v>0.33459899144591099</v>
      </c>
      <c r="I1848">
        <v>0.31357278020879398</v>
      </c>
      <c r="J1848">
        <v>0.32131420795404703</v>
      </c>
      <c r="K1848">
        <v>0.28214445206039901</v>
      </c>
      <c r="L1848">
        <v>580.06764430323096</v>
      </c>
      <c r="M1848">
        <v>10.7110538982639</v>
      </c>
      <c r="N1848">
        <v>56.817643389584497</v>
      </c>
      <c r="O1848">
        <v>52.370673179718402</v>
      </c>
      <c r="P1848">
        <v>-4.1059716810814398E-2</v>
      </c>
      <c r="Q1848">
        <v>0.19726981880733299</v>
      </c>
      <c r="R1848">
        <v>0.85628649014621505</v>
      </c>
      <c r="S1848" t="s">
        <v>8518</v>
      </c>
      <c r="T1848" t="s">
        <v>13338</v>
      </c>
      <c r="U1848" t="s">
        <v>13338</v>
      </c>
      <c r="V1848" t="s">
        <v>13338</v>
      </c>
      <c r="W1848" t="s">
        <v>15150</v>
      </c>
      <c r="X1848">
        <v>6</v>
      </c>
      <c r="Y1848" t="s">
        <v>21742</v>
      </c>
      <c r="Z1848" t="s">
        <v>28263</v>
      </c>
      <c r="AA1848">
        <v>0.59869034115333564</v>
      </c>
      <c r="AB1848" t="str">
        <f>HYPERLINK("Melting_Curves/meltCurve_P01137_TGFB1.pdf", "Melting_Curves/meltCurve_P01137_TGFB1.pdf")</f>
        <v>Melting_Curves/meltCurve_P01137_TGFB1.pdf</v>
      </c>
    </row>
    <row r="1849" spans="1:28" x14ac:dyDescent="0.25">
      <c r="A1849" t="s">
        <v>1853</v>
      </c>
      <c r="B1849">
        <v>0.99193492352474899</v>
      </c>
      <c r="C1849">
        <v>0.75548734540462703</v>
      </c>
      <c r="D1849">
        <v>1.0720914226918099</v>
      </c>
      <c r="E1849">
        <v>0.64576316727168903</v>
      </c>
      <c r="F1849">
        <v>0.65042306795773697</v>
      </c>
      <c r="G1849">
        <v>0.40960308398928702</v>
      </c>
      <c r="H1849">
        <v>0.36607280339325399</v>
      </c>
      <c r="I1849">
        <v>0.26559884639458597</v>
      </c>
      <c r="J1849">
        <v>0.335180222049757</v>
      </c>
      <c r="K1849">
        <v>0.19682026014040499</v>
      </c>
      <c r="L1849">
        <v>577.85266672335501</v>
      </c>
      <c r="M1849">
        <v>10.861702525700199</v>
      </c>
      <c r="N1849">
        <v>55.530917761782597</v>
      </c>
      <c r="O1849">
        <v>51.492873647020303</v>
      </c>
      <c r="P1849">
        <v>-4.3098401042528503E-2</v>
      </c>
      <c r="Q1849">
        <v>0.18301032976422599</v>
      </c>
      <c r="R1849">
        <v>0.88099161120254699</v>
      </c>
      <c r="S1849" t="s">
        <v>8519</v>
      </c>
      <c r="T1849" t="s">
        <v>13338</v>
      </c>
      <c r="U1849" t="s">
        <v>13338</v>
      </c>
      <c r="V1849" t="s">
        <v>13338</v>
      </c>
      <c r="W1849" t="s">
        <v>15151</v>
      </c>
      <c r="X1849">
        <v>4</v>
      </c>
      <c r="Y1849" t="s">
        <v>21743</v>
      </c>
      <c r="Z1849" t="s">
        <v>28264</v>
      </c>
      <c r="AA1849">
        <v>0.56784753430265666</v>
      </c>
      <c r="AB1849" t="str">
        <f>HYPERLINK("Melting_Curves/meltCurve_P01730_CD4.pdf", "Melting_Curves/meltCurve_P01730_CD4.pdf")</f>
        <v>Melting_Curves/meltCurve_P01730_CD4.pdf</v>
      </c>
    </row>
    <row r="1850" spans="1:28" x14ac:dyDescent="0.25">
      <c r="A1850" t="s">
        <v>1854</v>
      </c>
      <c r="B1850">
        <v>0.99193492352474899</v>
      </c>
      <c r="C1850">
        <v>1.0781280673647</v>
      </c>
      <c r="D1850">
        <v>0.95021466093382001</v>
      </c>
      <c r="E1850">
        <v>0.70859257548180499</v>
      </c>
      <c r="F1850">
        <v>0.392990110723963</v>
      </c>
      <c r="G1850">
        <v>0.29439870187794998</v>
      </c>
      <c r="H1850">
        <v>0.19623316945608299</v>
      </c>
      <c r="I1850">
        <v>0.27792886961468599</v>
      </c>
      <c r="J1850">
        <v>0.27117483939013998</v>
      </c>
      <c r="K1850">
        <v>0.22222848358630801</v>
      </c>
      <c r="L1850">
        <v>1418.7841390625399</v>
      </c>
      <c r="M1850">
        <v>28.107487458461101</v>
      </c>
      <c r="N1850">
        <v>51.711217763902297</v>
      </c>
      <c r="O1850">
        <v>50.223654746008698</v>
      </c>
      <c r="P1850">
        <v>-0.105724403376214</v>
      </c>
      <c r="Q1850">
        <v>0.24435493154481799</v>
      </c>
      <c r="R1850">
        <v>0.988916551222635</v>
      </c>
      <c r="S1850" t="s">
        <v>8520</v>
      </c>
      <c r="T1850" t="s">
        <v>13338</v>
      </c>
      <c r="U1850" t="s">
        <v>13338</v>
      </c>
      <c r="V1850" t="s">
        <v>13338</v>
      </c>
      <c r="W1850" t="s">
        <v>15152</v>
      </c>
      <c r="X1850">
        <v>2</v>
      </c>
      <c r="Y1850" t="s">
        <v>21744</v>
      </c>
      <c r="Z1850" t="s">
        <v>28265</v>
      </c>
      <c r="AA1850">
        <v>0.51362347832831601</v>
      </c>
      <c r="AB1850" t="str">
        <f>HYPERLINK("Melting_Curves/meltCurve_P01733_TRBV12_3.pdf", "Melting_Curves/meltCurve_P01733_TRBV12_3.pdf")</f>
        <v>Melting_Curves/meltCurve_P01733_TRBV12_3.pdf</v>
      </c>
    </row>
    <row r="1851" spans="1:28" x14ac:dyDescent="0.25">
      <c r="A1851" t="s">
        <v>1855</v>
      </c>
      <c r="B1851">
        <v>0.99193492352474899</v>
      </c>
      <c r="C1851">
        <v>1.01027928504166</v>
      </c>
      <c r="D1851">
        <v>0.884446155160174</v>
      </c>
      <c r="E1851">
        <v>0.63097166896511103</v>
      </c>
      <c r="F1851">
        <v>0.43768582272074702</v>
      </c>
      <c r="G1851">
        <v>0.32185865479877701</v>
      </c>
      <c r="H1851">
        <v>0.17963427635351201</v>
      </c>
      <c r="I1851">
        <v>0.179752481921124</v>
      </c>
      <c r="J1851">
        <v>0.18465175405072501</v>
      </c>
      <c r="K1851">
        <v>0.18348349995059099</v>
      </c>
      <c r="L1851">
        <v>863.44557269747202</v>
      </c>
      <c r="M1851">
        <v>17.021008973465801</v>
      </c>
      <c r="N1851">
        <v>51.971691407881799</v>
      </c>
      <c r="O1851">
        <v>50.043538188237797</v>
      </c>
      <c r="P1851">
        <v>-7.0813415529318594E-2</v>
      </c>
      <c r="Q1851">
        <v>0.16725597017607099</v>
      </c>
      <c r="R1851">
        <v>0.99438911235251404</v>
      </c>
      <c r="S1851" t="s">
        <v>8521</v>
      </c>
      <c r="T1851" t="s">
        <v>13338</v>
      </c>
      <c r="U1851" t="s">
        <v>13338</v>
      </c>
      <c r="V1851" t="s">
        <v>13338</v>
      </c>
      <c r="W1851" t="s">
        <v>15153</v>
      </c>
      <c r="X1851">
        <v>3</v>
      </c>
      <c r="Z1851" t="s">
        <v>28266</v>
      </c>
      <c r="AA1851">
        <v>0.48062661342541718</v>
      </c>
      <c r="AB1851" t="str">
        <f>HYPERLINK("Melting_Curves/meltCurve_P01737_.pdf", "Melting_Curves/meltCurve_P01737_.pdf")</f>
        <v>Melting_Curves/meltCurve_P01737_.pdf</v>
      </c>
    </row>
    <row r="1852" spans="1:28" x14ac:dyDescent="0.25">
      <c r="A1852" t="s">
        <v>1856</v>
      </c>
      <c r="B1852">
        <v>0.99193492352474899</v>
      </c>
      <c r="C1852">
        <v>1.3093970536799899</v>
      </c>
      <c r="D1852">
        <v>1.4211263510387799</v>
      </c>
      <c r="E1852">
        <v>1.6384705178282</v>
      </c>
      <c r="F1852">
        <v>1.28381822755263</v>
      </c>
      <c r="G1852">
        <v>0.96082471134717495</v>
      </c>
      <c r="H1852">
        <v>1.0244458539594401</v>
      </c>
      <c r="I1852">
        <v>1.07158170689303</v>
      </c>
      <c r="J1852">
        <v>1.6656022235203001</v>
      </c>
      <c r="K1852">
        <v>1.8664567118206301</v>
      </c>
      <c r="L1852">
        <v>10652.5395136063</v>
      </c>
      <c r="M1852">
        <v>250</v>
      </c>
      <c r="O1852">
        <v>42.607431319391097</v>
      </c>
      <c r="P1852">
        <v>0.53767144870832895</v>
      </c>
      <c r="Q1852">
        <v>1.3665407884629699</v>
      </c>
      <c r="R1852">
        <v>0.136236024900869</v>
      </c>
      <c r="S1852" t="s">
        <v>8522</v>
      </c>
      <c r="T1852" t="s">
        <v>13338</v>
      </c>
      <c r="U1852" t="s">
        <v>13338</v>
      </c>
      <c r="V1852" t="s">
        <v>13338</v>
      </c>
      <c r="W1852" t="s">
        <v>15154</v>
      </c>
      <c r="X1852">
        <v>1</v>
      </c>
      <c r="Y1852" t="s">
        <v>21745</v>
      </c>
      <c r="Z1852" t="s">
        <v>28267</v>
      </c>
      <c r="AA1852">
        <v>1.3346223986233929</v>
      </c>
      <c r="AB1852" t="str">
        <f>HYPERLINK("Melting_Curves/meltCurve_P01833_PIGR.pdf", "Melting_Curves/meltCurve_P01833_PIGR.pdf")</f>
        <v>Melting_Curves/meltCurve_P01833_PIGR.pdf</v>
      </c>
    </row>
    <row r="1853" spans="1:28" x14ac:dyDescent="0.25">
      <c r="A1853" t="s">
        <v>1857</v>
      </c>
      <c r="B1853">
        <v>0.99193492352474899</v>
      </c>
      <c r="C1853">
        <v>1.56826144308071</v>
      </c>
      <c r="D1853">
        <v>1.0299840890704099</v>
      </c>
      <c r="E1853">
        <v>1.0241432889711399</v>
      </c>
      <c r="F1853">
        <v>0.77600532340206996</v>
      </c>
      <c r="G1853">
        <v>0.66660873390462405</v>
      </c>
      <c r="H1853">
        <v>0.50377532738627895</v>
      </c>
      <c r="I1853">
        <v>0.46918051313404302</v>
      </c>
      <c r="J1853">
        <v>0.63647375878480505</v>
      </c>
      <c r="K1853">
        <v>0.72305248126960098</v>
      </c>
      <c r="L1853">
        <v>2401.8278632179399</v>
      </c>
      <c r="M1853">
        <v>45.2068647184364</v>
      </c>
      <c r="O1853">
        <v>53.026064693666399</v>
      </c>
      <c r="P1853">
        <v>-8.6601267013070499E-2</v>
      </c>
      <c r="Q1853">
        <v>0.59367954087822095</v>
      </c>
      <c r="R1853">
        <v>0.61497409437811401</v>
      </c>
      <c r="S1853" t="s">
        <v>8523</v>
      </c>
      <c r="T1853" t="s">
        <v>13338</v>
      </c>
      <c r="U1853" t="s">
        <v>13338</v>
      </c>
      <c r="V1853" t="s">
        <v>13338</v>
      </c>
      <c r="W1853" t="s">
        <v>15155</v>
      </c>
      <c r="X1853">
        <v>1</v>
      </c>
      <c r="Y1853" t="s">
        <v>21746</v>
      </c>
      <c r="Z1853" t="s">
        <v>28268</v>
      </c>
      <c r="AA1853">
        <v>0.77267441161820327</v>
      </c>
      <c r="AB1853" t="str">
        <f>HYPERLINK("Melting_Curves/meltCurve_P01834_IGKC.pdf", "Melting_Curves/meltCurve_P01834_IGKC.pdf")</f>
        <v>Melting_Curves/meltCurve_P01834_IGKC.pdf</v>
      </c>
    </row>
    <row r="1854" spans="1:28" x14ac:dyDescent="0.25">
      <c r="A1854" t="s">
        <v>1858</v>
      </c>
      <c r="B1854">
        <v>0.99193492352474899</v>
      </c>
      <c r="C1854">
        <v>0.86440213278726996</v>
      </c>
      <c r="D1854">
        <v>1.2766213900779899</v>
      </c>
      <c r="E1854">
        <v>0.68107842277496999</v>
      </c>
      <c r="F1854">
        <v>0.69526518360449097</v>
      </c>
      <c r="G1854">
        <v>0.405955774826328</v>
      </c>
      <c r="H1854">
        <v>0.301429871003559</v>
      </c>
      <c r="I1854">
        <v>0.30208306395803503</v>
      </c>
      <c r="J1854">
        <v>0.44050313435150501</v>
      </c>
      <c r="K1854">
        <v>0.40320887011594497</v>
      </c>
      <c r="L1854">
        <v>1250.01807605306</v>
      </c>
      <c r="M1854">
        <v>24.0489386785543</v>
      </c>
      <c r="N1854">
        <v>54.856837090009101</v>
      </c>
      <c r="O1854">
        <v>51.622673353120597</v>
      </c>
      <c r="P1854">
        <v>-7.4718127584519706E-2</v>
      </c>
      <c r="Q1854">
        <v>0.35845972941836601</v>
      </c>
      <c r="R1854">
        <v>0.82779695402821196</v>
      </c>
      <c r="S1854" t="s">
        <v>8524</v>
      </c>
      <c r="T1854" t="s">
        <v>13338</v>
      </c>
      <c r="U1854" t="s">
        <v>13338</v>
      </c>
      <c r="V1854" t="s">
        <v>13338</v>
      </c>
      <c r="W1854" t="s">
        <v>15156</v>
      </c>
      <c r="X1854">
        <v>4</v>
      </c>
      <c r="Y1854" t="s">
        <v>21747</v>
      </c>
      <c r="Z1854" t="s">
        <v>28269</v>
      </c>
      <c r="AA1854">
        <v>0.62091477287685615</v>
      </c>
      <c r="AB1854" t="str">
        <f>HYPERLINK("Melting_Curves/meltCurve_P01848_TRAC.pdf", "Melting_Curves/meltCurve_P01848_TRAC.pdf")</f>
        <v>Melting_Curves/meltCurve_P01848_TRAC.pdf</v>
      </c>
    </row>
    <row r="1855" spans="1:28" x14ac:dyDescent="0.25">
      <c r="A1855" t="s">
        <v>1859</v>
      </c>
      <c r="B1855">
        <v>0.99193492352474899</v>
      </c>
      <c r="C1855">
        <v>1.1105961588216899</v>
      </c>
      <c r="D1855">
        <v>0.97086503490017895</v>
      </c>
      <c r="E1855">
        <v>0.85178922627823805</v>
      </c>
      <c r="F1855">
        <v>0.70524931222893095</v>
      </c>
      <c r="G1855">
        <v>0.49419494662293201</v>
      </c>
      <c r="H1855">
        <v>0.29646540304202701</v>
      </c>
      <c r="I1855">
        <v>0.280615848722431</v>
      </c>
      <c r="J1855">
        <v>0.321081923512821</v>
      </c>
      <c r="K1855">
        <v>0.215492066304528</v>
      </c>
      <c r="L1855">
        <v>982.62955398782003</v>
      </c>
      <c r="M1855">
        <v>18.077319044862499</v>
      </c>
      <c r="N1855">
        <v>56.3602519202812</v>
      </c>
      <c r="O1855">
        <v>53.704942476216303</v>
      </c>
      <c r="P1855">
        <v>-6.4208881646694596E-2</v>
      </c>
      <c r="Q1855">
        <v>0.237017864541296</v>
      </c>
      <c r="R1855">
        <v>0.97949554095053604</v>
      </c>
      <c r="S1855" t="s">
        <v>8525</v>
      </c>
      <c r="T1855" t="s">
        <v>13338</v>
      </c>
      <c r="U1855" t="s">
        <v>13338</v>
      </c>
      <c r="V1855" t="s">
        <v>13338</v>
      </c>
      <c r="W1855" t="s">
        <v>15157</v>
      </c>
      <c r="X1855">
        <v>3</v>
      </c>
      <c r="Y1855" t="s">
        <v>21748</v>
      </c>
      <c r="Z1855" t="s">
        <v>28270</v>
      </c>
      <c r="AA1855">
        <v>0.61416126193847531</v>
      </c>
      <c r="AB1855" t="str">
        <f>HYPERLINK("Melting_Curves/meltCurve_P01850_TRBC1.pdf", "Melting_Curves/meltCurve_P01850_TRBC1.pdf")</f>
        <v>Melting_Curves/meltCurve_P01850_TRBC1.pdf</v>
      </c>
    </row>
    <row r="1856" spans="1:28" x14ac:dyDescent="0.25">
      <c r="A1856" t="s">
        <v>1860</v>
      </c>
      <c r="B1856">
        <v>0.99193492352474899</v>
      </c>
      <c r="C1856">
        <v>1.1996252666528899</v>
      </c>
      <c r="D1856">
        <v>0.91302561547172001</v>
      </c>
      <c r="E1856">
        <v>0.978282956258968</v>
      </c>
      <c r="F1856">
        <v>0.69683070824878601</v>
      </c>
      <c r="G1856">
        <v>0.60923353588347895</v>
      </c>
      <c r="H1856">
        <v>0.47610703345814398</v>
      </c>
      <c r="I1856">
        <v>0.55695620029189696</v>
      </c>
      <c r="J1856">
        <v>0.50038699707887102</v>
      </c>
      <c r="K1856">
        <v>0.75177563687547799</v>
      </c>
      <c r="L1856">
        <v>2573.0244824784299</v>
      </c>
      <c r="M1856">
        <v>49.252823748768101</v>
      </c>
      <c r="O1856">
        <v>52.1552515707913</v>
      </c>
      <c r="P1856">
        <v>-9.9927964865729094E-2</v>
      </c>
      <c r="Q1856">
        <v>0.57673383633449304</v>
      </c>
      <c r="R1856">
        <v>0.82172841157516396</v>
      </c>
      <c r="S1856" t="s">
        <v>8526</v>
      </c>
      <c r="T1856" t="s">
        <v>13338</v>
      </c>
      <c r="U1856" t="s">
        <v>13338</v>
      </c>
      <c r="V1856" t="s">
        <v>13338</v>
      </c>
      <c r="W1856" t="s">
        <v>15158</v>
      </c>
      <c r="X1856">
        <v>23</v>
      </c>
      <c r="Y1856" t="s">
        <v>21749</v>
      </c>
      <c r="Z1856" t="s">
        <v>28271</v>
      </c>
      <c r="AA1856">
        <v>0.75044800370241249</v>
      </c>
      <c r="AB1856" t="str">
        <f>HYPERLINK("Melting_Curves/meltCurve_P01889_HLA_B.pdf", "Melting_Curves/meltCurve_P01889_HLA_B.pdf")</f>
        <v>Melting_Curves/meltCurve_P01889_HLA_B.pdf</v>
      </c>
    </row>
    <row r="1857" spans="1:28" x14ac:dyDescent="0.25">
      <c r="A1857" t="s">
        <v>1861</v>
      </c>
      <c r="B1857">
        <v>0.99193492352474899</v>
      </c>
      <c r="C1857">
        <v>1.2234916230858901</v>
      </c>
      <c r="D1857">
        <v>0.97078950353312998</v>
      </c>
      <c r="E1857">
        <v>0.84287716022686499</v>
      </c>
      <c r="F1857">
        <v>0.77395542217878799</v>
      </c>
      <c r="G1857">
        <v>0.56559249149867397</v>
      </c>
      <c r="H1857">
        <v>0.32441070818326301</v>
      </c>
      <c r="I1857">
        <v>0.37648332638825499</v>
      </c>
      <c r="J1857">
        <v>0.28701807136803997</v>
      </c>
      <c r="K1857">
        <v>0.37169630727762498</v>
      </c>
      <c r="L1857">
        <v>1053.2721086356701</v>
      </c>
      <c r="M1857">
        <v>19.264649608621799</v>
      </c>
      <c r="N1857">
        <v>57.547044988795001</v>
      </c>
      <c r="O1857">
        <v>54.094899837549697</v>
      </c>
      <c r="P1857">
        <v>-6.1531490420407502E-2</v>
      </c>
      <c r="Q1857">
        <v>0.308907100585885</v>
      </c>
      <c r="R1857">
        <v>0.93043107896489796</v>
      </c>
      <c r="S1857" t="s">
        <v>8527</v>
      </c>
      <c r="T1857" t="s">
        <v>13338</v>
      </c>
      <c r="U1857" t="s">
        <v>13338</v>
      </c>
      <c r="V1857" t="s">
        <v>13338</v>
      </c>
      <c r="W1857" t="s">
        <v>15159</v>
      </c>
      <c r="X1857">
        <v>2</v>
      </c>
      <c r="Y1857" t="s">
        <v>21750</v>
      </c>
      <c r="Z1857" t="s">
        <v>28272</v>
      </c>
      <c r="AA1857">
        <v>0.65675461035584015</v>
      </c>
      <c r="AB1857" t="str">
        <f>HYPERLINK("Melting_Curves/meltCurve_P02008_HBZ.pdf", "Melting_Curves/meltCurve_P02008_HBZ.pdf")</f>
        <v>Melting_Curves/meltCurve_P02008_HBZ.pdf</v>
      </c>
    </row>
    <row r="1858" spans="1:28" x14ac:dyDescent="0.25">
      <c r="A1858" t="s">
        <v>1862</v>
      </c>
      <c r="B1858">
        <v>0.99193492352474899</v>
      </c>
      <c r="C1858">
        <v>0.87872985509775403</v>
      </c>
      <c r="D1858">
        <v>0.89120996493667004</v>
      </c>
      <c r="E1858">
        <v>0.58608894429273595</v>
      </c>
      <c r="F1858">
        <v>0.47335575338413299</v>
      </c>
      <c r="G1858">
        <v>0.23880672800358199</v>
      </c>
      <c r="H1858">
        <v>0.148452400547358</v>
      </c>
      <c r="I1858">
        <v>0.28632842277227899</v>
      </c>
      <c r="J1858">
        <v>0.304706299899281</v>
      </c>
      <c r="K1858">
        <v>0.41890127275194</v>
      </c>
      <c r="L1858">
        <v>1021.76837569731</v>
      </c>
      <c r="M1858">
        <v>20.789549022744399</v>
      </c>
      <c r="N1858">
        <v>51.148139004763799</v>
      </c>
      <c r="O1858">
        <v>48.700183892865503</v>
      </c>
      <c r="P1858">
        <v>-7.7032428666465896E-2</v>
      </c>
      <c r="Q1858">
        <v>0.27821607822608202</v>
      </c>
      <c r="R1858">
        <v>0.92572816618494902</v>
      </c>
      <c r="S1858" t="s">
        <v>8528</v>
      </c>
      <c r="T1858" t="s">
        <v>13338</v>
      </c>
      <c r="U1858" t="s">
        <v>13338</v>
      </c>
      <c r="V1858" t="s">
        <v>13338</v>
      </c>
      <c r="W1858" t="s">
        <v>15160</v>
      </c>
      <c r="X1858">
        <v>7</v>
      </c>
      <c r="Y1858" t="s">
        <v>21751</v>
      </c>
      <c r="Z1858" t="s">
        <v>28273</v>
      </c>
      <c r="AA1858">
        <v>0.50765195585878542</v>
      </c>
      <c r="AB1858" t="str">
        <f>HYPERLINK("Melting_Curves/meltCurve_P02545_LMNA.pdf", "Melting_Curves/meltCurve_P02545_LMNA.pdf")</f>
        <v>Melting_Curves/meltCurve_P02545_LMNA.pdf</v>
      </c>
    </row>
    <row r="1859" spans="1:28" x14ac:dyDescent="0.25">
      <c r="A1859" t="s">
        <v>1863</v>
      </c>
      <c r="B1859">
        <v>0.99193492352474899</v>
      </c>
      <c r="C1859">
        <v>0.377217000726848</v>
      </c>
      <c r="D1859">
        <v>0.60015979189087898</v>
      </c>
      <c r="E1859">
        <v>0.413144652526796</v>
      </c>
      <c r="F1859">
        <v>0.26784603932473999</v>
      </c>
      <c r="G1859">
        <v>0.96246103893121804</v>
      </c>
      <c r="H1859">
        <v>0.24228499949381899</v>
      </c>
      <c r="I1859">
        <v>0.178961437777437</v>
      </c>
      <c r="J1859">
        <v>6.8112919367297103E-2</v>
      </c>
      <c r="K1859">
        <v>7.1865907958366004E-2</v>
      </c>
      <c r="L1859">
        <v>246.13608065173</v>
      </c>
      <c r="M1859">
        <v>4.9815804026700397</v>
      </c>
      <c r="N1859">
        <v>49.409235951912898</v>
      </c>
      <c r="O1859">
        <v>43.085822219710899</v>
      </c>
      <c r="P1859">
        <v>-2.9084352886692401E-2</v>
      </c>
      <c r="Q1859">
        <v>0</v>
      </c>
      <c r="R1859">
        <v>0.41308617035918699</v>
      </c>
      <c r="S1859" t="s">
        <v>8529</v>
      </c>
      <c r="T1859" t="s">
        <v>13338</v>
      </c>
      <c r="U1859" t="s">
        <v>13338</v>
      </c>
      <c r="V1859" t="s">
        <v>13338</v>
      </c>
      <c r="W1859" t="s">
        <v>15161</v>
      </c>
      <c r="X1859">
        <v>1</v>
      </c>
      <c r="Y1859" t="s">
        <v>21752</v>
      </c>
      <c r="Z1859" t="s">
        <v>28274</v>
      </c>
      <c r="AA1859">
        <v>0.41230392464390447</v>
      </c>
      <c r="AB1859" t="str">
        <f>HYPERLINK("Melting_Curves/meltCurve_P02747_C1QC.pdf", "Melting_Curves/meltCurve_P02747_C1QC.pdf")</f>
        <v>Melting_Curves/meltCurve_P02747_C1QC.pdf</v>
      </c>
    </row>
    <row r="1860" spans="1:28" x14ac:dyDescent="0.25">
      <c r="A1860" t="s">
        <v>1864</v>
      </c>
      <c r="B1860">
        <v>0.99193492352474899</v>
      </c>
      <c r="C1860">
        <v>1.63837328487351</v>
      </c>
      <c r="D1860">
        <v>0.65341872109230503</v>
      </c>
      <c r="E1860">
        <v>1.01327107050369</v>
      </c>
      <c r="F1860">
        <v>0.72663090779678197</v>
      </c>
      <c r="G1860">
        <v>0.43827825327437497</v>
      </c>
      <c r="H1860">
        <v>0.21620291112784201</v>
      </c>
      <c r="I1860">
        <v>0.47900930474520798</v>
      </c>
      <c r="J1860">
        <v>0.26731481666154</v>
      </c>
      <c r="K1860">
        <v>0.55130322633529405</v>
      </c>
      <c r="L1860">
        <v>2641.5195433856702</v>
      </c>
      <c r="M1860">
        <v>49.393766438617597</v>
      </c>
      <c r="N1860">
        <v>55.099735046492597</v>
      </c>
      <c r="O1860">
        <v>53.391345117186802</v>
      </c>
      <c r="P1860">
        <v>-0.14268319696348</v>
      </c>
      <c r="Q1860">
        <v>0.38307651755632999</v>
      </c>
      <c r="R1860">
        <v>0.62638672896054604</v>
      </c>
      <c r="S1860" t="s">
        <v>8530</v>
      </c>
      <c r="T1860" t="s">
        <v>13338</v>
      </c>
      <c r="U1860" t="s">
        <v>13338</v>
      </c>
      <c r="V1860" t="s">
        <v>13338</v>
      </c>
      <c r="W1860" t="s">
        <v>15162</v>
      </c>
      <c r="X1860">
        <v>1</v>
      </c>
      <c r="Y1860" t="s">
        <v>21753</v>
      </c>
      <c r="Z1860" t="s">
        <v>28275</v>
      </c>
      <c r="AA1860">
        <v>0.66174731154431377</v>
      </c>
      <c r="AB1860" t="str">
        <f>HYPERLINK("Melting_Curves/meltCurve_P02763_ORM1.pdf", "Melting_Curves/meltCurve_P02763_ORM1.pdf")</f>
        <v>Melting_Curves/meltCurve_P02763_ORM1.pdf</v>
      </c>
    </row>
    <row r="1861" spans="1:28" x14ac:dyDescent="0.25">
      <c r="A1861" t="s">
        <v>1865</v>
      </c>
      <c r="B1861">
        <v>0.99193492352474899</v>
      </c>
      <c r="C1861">
        <v>1.0327328639698501</v>
      </c>
      <c r="D1861">
        <v>0.81270199889077199</v>
      </c>
      <c r="E1861">
        <v>0.57343687884124805</v>
      </c>
      <c r="F1861">
        <v>0.53583222330541602</v>
      </c>
      <c r="G1861">
        <v>0.30692000315728601</v>
      </c>
      <c r="H1861">
        <v>0.33456266269785101</v>
      </c>
      <c r="I1861">
        <v>0.37868169065515001</v>
      </c>
      <c r="J1861">
        <v>0.48890533764857402</v>
      </c>
      <c r="K1861">
        <v>0.433487252332449</v>
      </c>
      <c r="L1861">
        <v>1165.0468179908501</v>
      </c>
      <c r="M1861">
        <v>24.3105439312031</v>
      </c>
      <c r="N1861">
        <v>51.303787903004</v>
      </c>
      <c r="O1861">
        <v>47.602776978378799</v>
      </c>
      <c r="P1861">
        <v>-7.6703991625659301E-2</v>
      </c>
      <c r="Q1861">
        <v>0.39922888457181699</v>
      </c>
      <c r="R1861">
        <v>0.93999710746147103</v>
      </c>
      <c r="S1861" t="s">
        <v>8531</v>
      </c>
      <c r="T1861" t="s">
        <v>13338</v>
      </c>
      <c r="U1861" t="s">
        <v>13338</v>
      </c>
      <c r="V1861" t="s">
        <v>13338</v>
      </c>
      <c r="W1861" t="s">
        <v>15163</v>
      </c>
      <c r="X1861">
        <v>2</v>
      </c>
      <c r="Y1861" t="s">
        <v>21754</v>
      </c>
      <c r="Z1861" t="s">
        <v>28276</v>
      </c>
      <c r="AA1861">
        <v>0.56354019891738871</v>
      </c>
      <c r="AB1861" t="str">
        <f>HYPERLINK("Melting_Curves/meltCurve_P02766_TTR.pdf", "Melting_Curves/meltCurve_P02766_TTR.pdf")</f>
        <v>Melting_Curves/meltCurve_P02766_TTR.pdf</v>
      </c>
    </row>
    <row r="1862" spans="1:28" x14ac:dyDescent="0.25">
      <c r="A1862" t="s">
        <v>1866</v>
      </c>
      <c r="B1862">
        <v>0.99193492352474899</v>
      </c>
      <c r="C1862">
        <v>1.0458750065253799</v>
      </c>
      <c r="D1862">
        <v>1.0611030040115299</v>
      </c>
      <c r="E1862">
        <v>0.96071117872460399</v>
      </c>
      <c r="F1862">
        <v>0.92462763458353003</v>
      </c>
      <c r="G1862">
        <v>0.77202255074150195</v>
      </c>
      <c r="H1862">
        <v>0.56794913602007402</v>
      </c>
      <c r="I1862">
        <v>0.57688228609607495</v>
      </c>
      <c r="J1862">
        <v>0.43026152905995302</v>
      </c>
      <c r="K1862">
        <v>0.32023983646402598</v>
      </c>
      <c r="L1862">
        <v>790.56796109856805</v>
      </c>
      <c r="M1862">
        <v>12.9381349312417</v>
      </c>
      <c r="N1862">
        <v>64.154953349627604</v>
      </c>
      <c r="O1862">
        <v>59.699226230044601</v>
      </c>
      <c r="P1862">
        <v>-4.1738758506225902E-2</v>
      </c>
      <c r="Q1862">
        <v>0.22977389609628701</v>
      </c>
      <c r="R1862">
        <v>0.97211147693719802</v>
      </c>
      <c r="S1862" t="s">
        <v>8532</v>
      </c>
      <c r="T1862" t="s">
        <v>13338</v>
      </c>
      <c r="U1862" t="s">
        <v>13338</v>
      </c>
      <c r="V1862" t="s">
        <v>13338</v>
      </c>
      <c r="W1862" t="s">
        <v>15164</v>
      </c>
      <c r="X1862">
        <v>40</v>
      </c>
      <c r="Y1862" t="s">
        <v>21755</v>
      </c>
      <c r="Z1862" t="s">
        <v>28277</v>
      </c>
      <c r="AA1862">
        <v>0.77001111264750788</v>
      </c>
      <c r="AB1862" t="str">
        <f>HYPERLINK("Melting_Curves/meltCurve_P02786_TFRC.pdf", "Melting_Curves/meltCurve_P02786_TFRC.pdf")</f>
        <v>Melting_Curves/meltCurve_P02786_TFRC.pdf</v>
      </c>
    </row>
    <row r="1863" spans="1:28" x14ac:dyDescent="0.25">
      <c r="A1863" t="s">
        <v>1867</v>
      </c>
      <c r="B1863">
        <v>0.99193492352474899</v>
      </c>
      <c r="C1863">
        <v>1.04530722931592</v>
      </c>
      <c r="D1863">
        <v>0.78700979660237003</v>
      </c>
      <c r="E1863">
        <v>0.89657915834992097</v>
      </c>
      <c r="F1863">
        <v>0.82008203241586597</v>
      </c>
      <c r="G1863">
        <v>0.63515436404463099</v>
      </c>
      <c r="H1863">
        <v>0.62593545132251605</v>
      </c>
      <c r="I1863">
        <v>0.53203399970138898</v>
      </c>
      <c r="J1863">
        <v>0.38010019442375997</v>
      </c>
      <c r="K1863">
        <v>0.58925339150769696</v>
      </c>
      <c r="L1863">
        <v>535.00563906784896</v>
      </c>
      <c r="M1863">
        <v>9.6567764649005294</v>
      </c>
      <c r="N1863">
        <v>67.954756394813003</v>
      </c>
      <c r="O1863">
        <v>53.1827083751731</v>
      </c>
      <c r="P1863">
        <v>-2.6524954391883699E-2</v>
      </c>
      <c r="Q1863">
        <v>0.416001650632911</v>
      </c>
      <c r="R1863">
        <v>0.851227608955343</v>
      </c>
      <c r="S1863" t="s">
        <v>8533</v>
      </c>
      <c r="T1863" t="s">
        <v>13338</v>
      </c>
      <c r="U1863" t="s">
        <v>13338</v>
      </c>
      <c r="V1863" t="s">
        <v>13338</v>
      </c>
      <c r="W1863" t="s">
        <v>15165</v>
      </c>
      <c r="X1863">
        <v>3</v>
      </c>
      <c r="Y1863" t="s">
        <v>21756</v>
      </c>
      <c r="Z1863" t="s">
        <v>28278</v>
      </c>
      <c r="AA1863">
        <v>0.72995504455161742</v>
      </c>
      <c r="AB1863" t="str">
        <f>HYPERLINK("Melting_Curves/meltCurve_P02792_FTL.pdf", "Melting_Curves/meltCurve_P02792_FTL.pdf")</f>
        <v>Melting_Curves/meltCurve_P02792_FTL.pdf</v>
      </c>
    </row>
    <row r="1864" spans="1:28" x14ac:dyDescent="0.25">
      <c r="A1864" t="s">
        <v>1868</v>
      </c>
      <c r="B1864">
        <v>0.99193492352474899</v>
      </c>
      <c r="C1864">
        <v>0.857546025826597</v>
      </c>
      <c r="D1864">
        <v>0.86706073328071198</v>
      </c>
      <c r="E1864">
        <v>0.76448363211838899</v>
      </c>
      <c r="F1864">
        <v>0.755284066923404</v>
      </c>
      <c r="G1864">
        <v>0.62604974855253404</v>
      </c>
      <c r="H1864">
        <v>0.57370176738460599</v>
      </c>
      <c r="I1864">
        <v>0.61839871780366396</v>
      </c>
      <c r="J1864">
        <v>0.714944824235203</v>
      </c>
      <c r="K1864">
        <v>1.1082935906999001</v>
      </c>
      <c r="L1864">
        <v>845.90577737834201</v>
      </c>
      <c r="M1864">
        <v>19.128273964641298</v>
      </c>
      <c r="O1864">
        <v>43.747972462520799</v>
      </c>
      <c r="P1864">
        <v>-2.9132979690564199E-2</v>
      </c>
      <c r="Q1864">
        <v>0.73349204520890199</v>
      </c>
      <c r="R1864">
        <v>0.24902109212828</v>
      </c>
      <c r="S1864" t="s">
        <v>8534</v>
      </c>
      <c r="T1864" t="s">
        <v>13338</v>
      </c>
      <c r="U1864" t="s">
        <v>13338</v>
      </c>
      <c r="V1864" t="s">
        <v>13338</v>
      </c>
      <c r="W1864" t="s">
        <v>15166</v>
      </c>
      <c r="X1864">
        <v>4</v>
      </c>
      <c r="Y1864" t="s">
        <v>21757</v>
      </c>
      <c r="Z1864" t="s">
        <v>28279</v>
      </c>
      <c r="AA1864">
        <v>0.7765447979540544</v>
      </c>
      <c r="AB1864" t="str">
        <f>HYPERLINK("Melting_Curves/meltCurve_P02794_FTH1.pdf", "Melting_Curves/meltCurve_P02794_FTH1.pdf")</f>
        <v>Melting_Curves/meltCurve_P02794_FTH1.pdf</v>
      </c>
    </row>
    <row r="1865" spans="1:28" x14ac:dyDescent="0.25">
      <c r="A1865" t="s">
        <v>1869</v>
      </c>
      <c r="B1865">
        <v>0.99193492352474899</v>
      </c>
      <c r="C1865">
        <v>1.0027581879896299</v>
      </c>
      <c r="D1865">
        <v>0.87497803414201003</v>
      </c>
      <c r="E1865">
        <v>0.94535938941186204</v>
      </c>
      <c r="F1865">
        <v>0.75301152990437903</v>
      </c>
      <c r="G1865">
        <v>0.66062331977611599</v>
      </c>
      <c r="H1865">
        <v>0.59580173420337301</v>
      </c>
      <c r="I1865">
        <v>0.94865570208537098</v>
      </c>
      <c r="J1865">
        <v>0.85543584957542596</v>
      </c>
      <c r="K1865">
        <v>1.26440136778604</v>
      </c>
      <c r="L1865">
        <v>11400.926329620201</v>
      </c>
      <c r="M1865">
        <v>250</v>
      </c>
      <c r="O1865">
        <v>45.600792433344402</v>
      </c>
      <c r="P1865">
        <v>-0.19123869397773399</v>
      </c>
      <c r="Q1865">
        <v>0.86046984097821799</v>
      </c>
      <c r="R1865">
        <v>8.9195839288732301E-2</v>
      </c>
      <c r="S1865" t="s">
        <v>8535</v>
      </c>
      <c r="T1865" t="s">
        <v>13338</v>
      </c>
      <c r="U1865" t="s">
        <v>13338</v>
      </c>
      <c r="V1865" t="s">
        <v>13338</v>
      </c>
      <c r="W1865" t="s">
        <v>15167</v>
      </c>
      <c r="X1865">
        <v>3</v>
      </c>
      <c r="Y1865" t="s">
        <v>21758</v>
      </c>
      <c r="Z1865" t="s">
        <v>28280</v>
      </c>
      <c r="AA1865">
        <v>0.88654387124605505</v>
      </c>
      <c r="AB1865" t="str">
        <f>HYPERLINK("Melting_Curves/meltCurve_P02795_MT2A.pdf", "Melting_Curves/meltCurve_P02795_MT2A.pdf")</f>
        <v>Melting_Curves/meltCurve_P02795_MT2A.pdf</v>
      </c>
    </row>
    <row r="1866" spans="1:28" x14ac:dyDescent="0.25">
      <c r="A1866" t="s">
        <v>1870</v>
      </c>
      <c r="B1866">
        <v>0.99193492352474899</v>
      </c>
      <c r="C1866">
        <v>0.67947327650856204</v>
      </c>
      <c r="D1866">
        <v>0.83398109534909604</v>
      </c>
      <c r="E1866">
        <v>0.66819002554305995</v>
      </c>
      <c r="F1866">
        <v>0.53163306248869902</v>
      </c>
      <c r="G1866">
        <v>0.371925991160523</v>
      </c>
      <c r="H1866">
        <v>0.22022634345464101</v>
      </c>
      <c r="I1866">
        <v>0.26274613982843498</v>
      </c>
      <c r="J1866">
        <v>0.31217762628700102</v>
      </c>
      <c r="K1866">
        <v>0.37944657904275902</v>
      </c>
      <c r="L1866">
        <v>488.34921316773102</v>
      </c>
      <c r="M1866">
        <v>9.8633169559294807</v>
      </c>
      <c r="N1866">
        <v>52.925867481630902</v>
      </c>
      <c r="O1866">
        <v>47.605270731755802</v>
      </c>
      <c r="P1866">
        <v>-3.9626185120494602E-2</v>
      </c>
      <c r="Q1866">
        <v>0.235369314152579</v>
      </c>
      <c r="R1866">
        <v>0.87398301053578298</v>
      </c>
      <c r="S1866" t="s">
        <v>8536</v>
      </c>
      <c r="T1866" t="s">
        <v>13338</v>
      </c>
      <c r="U1866" t="s">
        <v>13338</v>
      </c>
      <c r="V1866" t="s">
        <v>13338</v>
      </c>
      <c r="W1866" t="s">
        <v>15168</v>
      </c>
      <c r="X1866">
        <v>1</v>
      </c>
      <c r="Y1866" t="s">
        <v>21759</v>
      </c>
      <c r="Z1866" t="s">
        <v>28281</v>
      </c>
      <c r="AA1866">
        <v>0.51444810748501446</v>
      </c>
      <c r="AB1866" t="str">
        <f>HYPERLINK("Melting_Curves/meltCurve_P03897_MT_ND3.pdf", "Melting_Curves/meltCurve_P03897_MT_ND3.pdf")</f>
        <v>Melting_Curves/meltCurve_P03897_MT_ND3.pdf</v>
      </c>
    </row>
    <row r="1867" spans="1:28" x14ac:dyDescent="0.25">
      <c r="A1867" t="s">
        <v>1871</v>
      </c>
      <c r="B1867">
        <v>0.99193492352474899</v>
      </c>
      <c r="C1867">
        <v>1.13852488868826</v>
      </c>
      <c r="D1867">
        <v>0.97306156619148798</v>
      </c>
      <c r="E1867">
        <v>1.0122212146332199</v>
      </c>
      <c r="F1867">
        <v>0.63614856019551003</v>
      </c>
      <c r="G1867">
        <v>0.70660445748799905</v>
      </c>
      <c r="H1867">
        <v>0.52706430675263305</v>
      </c>
      <c r="I1867">
        <v>0.33831371014412998</v>
      </c>
      <c r="J1867">
        <v>0.29313663850041699</v>
      </c>
      <c r="K1867">
        <v>0.38948861390829598</v>
      </c>
      <c r="L1867">
        <v>830.76410619481999</v>
      </c>
      <c r="M1867">
        <v>14.7379355839368</v>
      </c>
      <c r="N1867">
        <v>59.949029383127296</v>
      </c>
      <c r="O1867">
        <v>55.361799092469298</v>
      </c>
      <c r="P1867">
        <v>-4.70827471923074E-2</v>
      </c>
      <c r="Q1867">
        <v>0.29262726224868402</v>
      </c>
      <c r="R1867">
        <v>0.91482403152520597</v>
      </c>
      <c r="S1867" t="s">
        <v>8537</v>
      </c>
      <c r="T1867" t="s">
        <v>13338</v>
      </c>
      <c r="U1867" t="s">
        <v>13338</v>
      </c>
      <c r="V1867" t="s">
        <v>13338</v>
      </c>
      <c r="W1867" t="s">
        <v>15169</v>
      </c>
      <c r="X1867">
        <v>4</v>
      </c>
      <c r="Y1867" t="s">
        <v>21760</v>
      </c>
      <c r="Z1867" t="s">
        <v>28282</v>
      </c>
      <c r="AA1867">
        <v>0.69083633623528762</v>
      </c>
      <c r="AB1867" t="str">
        <f>HYPERLINK("Melting_Curves/meltCurve_P03928_MT_ATP8.pdf", "Melting_Curves/meltCurve_P03928_MT_ATP8.pdf")</f>
        <v>Melting_Curves/meltCurve_P03928_MT_ATP8.pdf</v>
      </c>
    </row>
    <row r="1868" spans="1:28" x14ac:dyDescent="0.25">
      <c r="A1868" t="s">
        <v>1872</v>
      </c>
      <c r="B1868">
        <v>0.99193492352474899</v>
      </c>
      <c r="C1868">
        <v>0.95137548598992505</v>
      </c>
      <c r="D1868">
        <v>0.90223413261749796</v>
      </c>
      <c r="E1868">
        <v>0.81460439182222899</v>
      </c>
      <c r="F1868">
        <v>0.77063561334128505</v>
      </c>
      <c r="G1868">
        <v>0.641936465005432</v>
      </c>
      <c r="H1868">
        <v>0.40013555411552998</v>
      </c>
      <c r="I1868">
        <v>0.38352861959179402</v>
      </c>
      <c r="J1868">
        <v>0.18477017692735001</v>
      </c>
      <c r="K1868">
        <v>0.16618424601409301</v>
      </c>
      <c r="L1868">
        <v>566.976445114998</v>
      </c>
      <c r="M1868">
        <v>9.5943119745801493</v>
      </c>
      <c r="N1868">
        <v>59.095057167219402</v>
      </c>
      <c r="O1868">
        <v>56.698849272164303</v>
      </c>
      <c r="P1868">
        <v>-4.2327913648027501E-2</v>
      </c>
      <c r="Q1868">
        <v>0</v>
      </c>
      <c r="R1868">
        <v>0.98292184523746995</v>
      </c>
      <c r="S1868" t="s">
        <v>8538</v>
      </c>
      <c r="T1868" t="s">
        <v>13338</v>
      </c>
      <c r="U1868" t="s">
        <v>13338</v>
      </c>
      <c r="V1868" t="s">
        <v>13338</v>
      </c>
      <c r="W1868" t="s">
        <v>15170</v>
      </c>
      <c r="X1868">
        <v>27</v>
      </c>
      <c r="Y1868" t="s">
        <v>21761</v>
      </c>
      <c r="Z1868" t="s">
        <v>28283</v>
      </c>
      <c r="AA1868">
        <v>0.63776856639724167</v>
      </c>
      <c r="AB1868" t="str">
        <f>HYPERLINK("Melting_Curves/meltCurve_P04040_CAT.pdf", "Melting_Curves/meltCurve_P04040_CAT.pdf")</f>
        <v>Melting_Curves/meltCurve_P04040_CAT.pdf</v>
      </c>
    </row>
    <row r="1869" spans="1:28" x14ac:dyDescent="0.25">
      <c r="A1869" t="s">
        <v>1873</v>
      </c>
      <c r="B1869">
        <v>0.99193492352474899</v>
      </c>
      <c r="C1869">
        <v>0.411343499968432</v>
      </c>
      <c r="D1869">
        <v>0.24280176644476401</v>
      </c>
      <c r="E1869">
        <v>0.174442472140517</v>
      </c>
      <c r="F1869">
        <v>9.8651843129171204E-2</v>
      </c>
      <c r="G1869">
        <v>9.2475571862314199E-2</v>
      </c>
      <c r="H1869">
        <v>7.1477821334520103E-2</v>
      </c>
      <c r="I1869">
        <v>7.7864162531562905E-2</v>
      </c>
      <c r="J1869">
        <v>6.2238592012303001E-2</v>
      </c>
      <c r="K1869">
        <v>4.9803995396617701E-2</v>
      </c>
      <c r="L1869">
        <v>1819.2847974604699</v>
      </c>
      <c r="M1869">
        <v>42.901120845300497</v>
      </c>
      <c r="N1869">
        <v>42.633825494002998</v>
      </c>
      <c r="O1869">
        <v>42.314633990207</v>
      </c>
      <c r="P1869">
        <v>-0.227546892349896</v>
      </c>
      <c r="Q1869">
        <v>0.10225672884692801</v>
      </c>
      <c r="R1869">
        <v>0.96440867451534995</v>
      </c>
      <c r="S1869" t="s">
        <v>8539</v>
      </c>
      <c r="T1869" t="s">
        <v>13338</v>
      </c>
      <c r="U1869" t="s">
        <v>13338</v>
      </c>
      <c r="V1869" t="s">
        <v>13338</v>
      </c>
      <c r="W1869" t="s">
        <v>15171</v>
      </c>
      <c r="X1869">
        <v>7</v>
      </c>
      <c r="Y1869" t="s">
        <v>21762</v>
      </c>
      <c r="Z1869" t="s">
        <v>28284</v>
      </c>
      <c r="AA1869">
        <v>0.17839492231972001</v>
      </c>
      <c r="AB1869" t="str">
        <f>HYPERLINK("Melting_Curves/meltCurve_P04053_2_DNTT.pdf", "Melting_Curves/meltCurve_P04053_2_DNTT.pdf")</f>
        <v>Melting_Curves/meltCurve_P04053_2_DNTT.pdf</v>
      </c>
    </row>
    <row r="1870" spans="1:28" x14ac:dyDescent="0.25">
      <c r="A1870" t="s">
        <v>1874</v>
      </c>
      <c r="B1870">
        <v>0.99193492352474899</v>
      </c>
      <c r="C1870">
        <v>0.788855421785432</v>
      </c>
      <c r="D1870">
        <v>0.83740755007400902</v>
      </c>
      <c r="E1870">
        <v>0.68830180333184199</v>
      </c>
      <c r="F1870">
        <v>0.69478324900256405</v>
      </c>
      <c r="G1870">
        <v>0.52636818289430898</v>
      </c>
      <c r="H1870">
        <v>0.41951633929548499</v>
      </c>
      <c r="I1870">
        <v>0.37623338419597402</v>
      </c>
      <c r="J1870">
        <v>0.233230522713269</v>
      </c>
      <c r="K1870">
        <v>0.15920377955480899</v>
      </c>
      <c r="L1870">
        <v>377.99826169123997</v>
      </c>
      <c r="M1870">
        <v>6.6131569248438504</v>
      </c>
      <c r="N1870">
        <v>57.1585198996003</v>
      </c>
      <c r="O1870">
        <v>52.609648892918798</v>
      </c>
      <c r="P1870">
        <v>-3.1497286946631703E-2</v>
      </c>
      <c r="Q1870">
        <v>0</v>
      </c>
      <c r="R1870">
        <v>0.95348152162905797</v>
      </c>
      <c r="S1870" t="s">
        <v>8540</v>
      </c>
      <c r="T1870" t="s">
        <v>13338</v>
      </c>
      <c r="U1870" t="s">
        <v>13338</v>
      </c>
      <c r="V1870" t="s">
        <v>13338</v>
      </c>
      <c r="W1870" t="s">
        <v>15172</v>
      </c>
      <c r="X1870">
        <v>6</v>
      </c>
      <c r="Y1870" t="s">
        <v>21763</v>
      </c>
      <c r="Z1870" t="s">
        <v>28285</v>
      </c>
      <c r="AA1870">
        <v>0.57696535512372316</v>
      </c>
      <c r="AB1870" t="str">
        <f>HYPERLINK("Melting_Curves/meltCurve_P04066_FUCA1.pdf", "Melting_Curves/meltCurve_P04066_FUCA1.pdf")</f>
        <v>Melting_Curves/meltCurve_P04066_FUCA1.pdf</v>
      </c>
    </row>
    <row r="1871" spans="1:28" x14ac:dyDescent="0.25">
      <c r="A1871" t="s">
        <v>1875</v>
      </c>
      <c r="B1871">
        <v>0.99193492352474899</v>
      </c>
      <c r="C1871">
        <v>1.0249240096644401</v>
      </c>
      <c r="D1871">
        <v>0.88402276668769297</v>
      </c>
      <c r="E1871">
        <v>0.86157576968280603</v>
      </c>
      <c r="F1871">
        <v>0.74063432234534898</v>
      </c>
      <c r="G1871">
        <v>0.60682426178716997</v>
      </c>
      <c r="H1871">
        <v>0.33304482721303802</v>
      </c>
      <c r="I1871">
        <v>0.18166601004653399</v>
      </c>
      <c r="J1871">
        <v>0.15269267476758899</v>
      </c>
      <c r="K1871">
        <v>0.14006786561364901</v>
      </c>
      <c r="L1871">
        <v>700.47500955598105</v>
      </c>
      <c r="M1871">
        <v>12.1344079449505</v>
      </c>
      <c r="N1871">
        <v>57.726322487946497</v>
      </c>
      <c r="O1871">
        <v>56.2256786187709</v>
      </c>
      <c r="P1871">
        <v>-5.3966511132289202E-2</v>
      </c>
      <c r="Q1871">
        <v>0</v>
      </c>
      <c r="R1871">
        <v>0.98737735501451496</v>
      </c>
      <c r="S1871" t="s">
        <v>8541</v>
      </c>
      <c r="T1871" t="s">
        <v>13338</v>
      </c>
      <c r="U1871" t="s">
        <v>13338</v>
      </c>
      <c r="V1871" t="s">
        <v>13338</v>
      </c>
      <c r="W1871" t="s">
        <v>15173</v>
      </c>
      <c r="X1871">
        <v>44</v>
      </c>
      <c r="Y1871" t="s">
        <v>21764</v>
      </c>
      <c r="Z1871" t="s">
        <v>28286</v>
      </c>
      <c r="AA1871">
        <v>0.60484814864431335</v>
      </c>
      <c r="AB1871" t="str">
        <f>HYPERLINK("Melting_Curves/meltCurve_P04075_ALDOA.pdf", "Melting_Curves/meltCurve_P04075_ALDOA.pdf")</f>
        <v>Melting_Curves/meltCurve_P04075_ALDOA.pdf</v>
      </c>
    </row>
    <row r="1872" spans="1:28" x14ac:dyDescent="0.25">
      <c r="A1872" t="s">
        <v>1876</v>
      </c>
      <c r="B1872">
        <v>0.99193492352474899</v>
      </c>
      <c r="C1872">
        <v>0.64972576729324605</v>
      </c>
      <c r="D1872">
        <v>0.84901176693160096</v>
      </c>
      <c r="E1872">
        <v>0.79015168653357604</v>
      </c>
      <c r="F1872">
        <v>0.56697639658834398</v>
      </c>
      <c r="G1872">
        <v>0.24364459071237601</v>
      </c>
      <c r="H1872">
        <v>0.125511692520692</v>
      </c>
      <c r="I1872">
        <v>9.8157748251705396E-2</v>
      </c>
      <c r="J1872">
        <v>0.103823990657667</v>
      </c>
      <c r="K1872">
        <v>0.10640366984280999</v>
      </c>
      <c r="L1872">
        <v>579.86677269718098</v>
      </c>
      <c r="M1872">
        <v>10.952692944678301</v>
      </c>
      <c r="N1872">
        <v>52.942847003244999</v>
      </c>
      <c r="O1872">
        <v>51.269746949633102</v>
      </c>
      <c r="P1872">
        <v>-5.3425512592169898E-2</v>
      </c>
      <c r="Q1872">
        <v>0</v>
      </c>
      <c r="R1872">
        <v>0.90139981783446999</v>
      </c>
      <c r="S1872" t="s">
        <v>8542</v>
      </c>
      <c r="T1872" t="s">
        <v>13338</v>
      </c>
      <c r="U1872" t="s">
        <v>13338</v>
      </c>
      <c r="V1872" t="s">
        <v>13338</v>
      </c>
      <c r="W1872" t="s">
        <v>15174</v>
      </c>
      <c r="X1872">
        <v>7</v>
      </c>
      <c r="Y1872" t="s">
        <v>21765</v>
      </c>
      <c r="Z1872" t="s">
        <v>28287</v>
      </c>
      <c r="AA1872">
        <v>0.46296652460611182</v>
      </c>
      <c r="AB1872" t="str">
        <f>HYPERLINK("Melting_Curves/meltCurve_P04080_CSTB.pdf", "Melting_Curves/meltCurve_P04080_CSTB.pdf")</f>
        <v>Melting_Curves/meltCurve_P04080_CSTB.pdf</v>
      </c>
    </row>
    <row r="1873" spans="1:28" x14ac:dyDescent="0.25">
      <c r="A1873" t="s">
        <v>1877</v>
      </c>
      <c r="B1873">
        <v>0.99193492352474899</v>
      </c>
      <c r="C1873">
        <v>0.87449618666177298</v>
      </c>
      <c r="D1873">
        <v>0.90732664773962401</v>
      </c>
      <c r="E1873">
        <v>0.31075819855370002</v>
      </c>
      <c r="F1873">
        <v>0.15179120092893</v>
      </c>
      <c r="G1873">
        <v>7.8354835106218004E-2</v>
      </c>
      <c r="H1873">
        <v>5.2667844019929397E-2</v>
      </c>
      <c r="I1873">
        <v>6.9262944349694697E-2</v>
      </c>
      <c r="J1873">
        <v>8.3191175541247095E-2</v>
      </c>
      <c r="K1873">
        <v>8.5189786578318397E-2</v>
      </c>
      <c r="L1873">
        <v>1842.9133002784099</v>
      </c>
      <c r="M1873">
        <v>38.155987484573799</v>
      </c>
      <c r="N1873">
        <v>48.520887585529103</v>
      </c>
      <c r="O1873">
        <v>48.167349891972897</v>
      </c>
      <c r="P1873">
        <v>-0.18221433272203</v>
      </c>
      <c r="Q1873">
        <v>7.9907390862321001E-2</v>
      </c>
      <c r="R1873">
        <v>0.98736640226116701</v>
      </c>
      <c r="S1873" t="s">
        <v>8543</v>
      </c>
      <c r="T1873" t="s">
        <v>13338</v>
      </c>
      <c r="U1873" t="s">
        <v>13338</v>
      </c>
      <c r="V1873" t="s">
        <v>13338</v>
      </c>
      <c r="W1873" t="s">
        <v>15175</v>
      </c>
      <c r="X1873">
        <v>29</v>
      </c>
      <c r="Y1873" t="s">
        <v>21766</v>
      </c>
      <c r="Z1873" t="s">
        <v>28288</v>
      </c>
      <c r="AA1873">
        <v>0.33783807695838219</v>
      </c>
      <c r="AB1873" t="str">
        <f>HYPERLINK("Melting_Curves/meltCurve_P04083_ANXA1.pdf", "Melting_Curves/meltCurve_P04083_ANXA1.pdf")</f>
        <v>Melting_Curves/meltCurve_P04083_ANXA1.pdf</v>
      </c>
    </row>
    <row r="1874" spans="1:28" x14ac:dyDescent="0.25">
      <c r="A1874" t="s">
        <v>1878</v>
      </c>
      <c r="B1874">
        <v>0.99193492352474899</v>
      </c>
      <c r="C1874">
        <v>1.08876929002122</v>
      </c>
      <c r="D1874">
        <v>1.20606568404325</v>
      </c>
      <c r="E1874">
        <v>0.96001264401302799</v>
      </c>
      <c r="F1874">
        <v>0.86989261963394304</v>
      </c>
      <c r="G1874">
        <v>0.77387118178953695</v>
      </c>
      <c r="H1874">
        <v>0.53962717448926101</v>
      </c>
      <c r="I1874">
        <v>0.58492763126192304</v>
      </c>
      <c r="J1874">
        <v>0.84905051626523498</v>
      </c>
      <c r="K1874">
        <v>0.83493294890428804</v>
      </c>
      <c r="L1874">
        <v>2077.8951394309402</v>
      </c>
      <c r="M1874">
        <v>38.814216420963497</v>
      </c>
      <c r="O1874">
        <v>53.3928845637585</v>
      </c>
      <c r="P1874">
        <v>-5.28070170855518E-2</v>
      </c>
      <c r="Q1874">
        <v>0.70943515892856901</v>
      </c>
      <c r="R1874">
        <v>0.65384958903088897</v>
      </c>
      <c r="S1874" t="s">
        <v>8544</v>
      </c>
      <c r="T1874" t="s">
        <v>13338</v>
      </c>
      <c r="U1874" t="s">
        <v>13338</v>
      </c>
      <c r="V1874" t="s">
        <v>13338</v>
      </c>
      <c r="W1874" t="s">
        <v>15176</v>
      </c>
      <c r="X1874">
        <v>2</v>
      </c>
      <c r="Y1874" t="s">
        <v>21767</v>
      </c>
      <c r="Z1874" t="s">
        <v>28289</v>
      </c>
      <c r="AA1874">
        <v>0.84166259203138027</v>
      </c>
      <c r="AB1874" t="str">
        <f>HYPERLINK("Melting_Curves/meltCurve_P04114_APOB.pdf", "Melting_Curves/meltCurve_P04114_APOB.pdf")</f>
        <v>Melting_Curves/meltCurve_P04114_APOB.pdf</v>
      </c>
    </row>
    <row r="1875" spans="1:28" x14ac:dyDescent="0.25">
      <c r="A1875" t="s">
        <v>1879</v>
      </c>
      <c r="B1875">
        <v>0.99193492352474899</v>
      </c>
      <c r="C1875">
        <v>0.89951800643150104</v>
      </c>
      <c r="D1875">
        <v>0.59319640564460396</v>
      </c>
      <c r="E1875">
        <v>0.35497430257551099</v>
      </c>
      <c r="F1875">
        <v>0.12524090422082601</v>
      </c>
      <c r="G1875">
        <v>0.23593257562474501</v>
      </c>
      <c r="H1875">
        <v>0.190405964521868</v>
      </c>
      <c r="I1875">
        <v>0.44244900855503799</v>
      </c>
      <c r="J1875">
        <v>0.27757983353999899</v>
      </c>
      <c r="K1875">
        <v>0.101521742888194</v>
      </c>
      <c r="L1875">
        <v>1294.1975530560401</v>
      </c>
      <c r="M1875">
        <v>28.2265883047871</v>
      </c>
      <c r="N1875">
        <v>46.884317305818797</v>
      </c>
      <c r="O1875">
        <v>45.622019260425198</v>
      </c>
      <c r="P1875">
        <v>-0.11883778397594801</v>
      </c>
      <c r="Q1875">
        <v>0.23170671087165201</v>
      </c>
      <c r="R1875">
        <v>0.90781814584201403</v>
      </c>
      <c r="S1875" t="s">
        <v>8545</v>
      </c>
      <c r="T1875" t="s">
        <v>13338</v>
      </c>
      <c r="U1875" t="s">
        <v>13338</v>
      </c>
      <c r="V1875" t="s">
        <v>13338</v>
      </c>
      <c r="W1875" t="s">
        <v>15177</v>
      </c>
      <c r="X1875">
        <v>1</v>
      </c>
      <c r="Y1875" t="s">
        <v>21768</v>
      </c>
      <c r="Z1875" t="s">
        <v>28290</v>
      </c>
      <c r="AA1875">
        <v>0.38693847606761161</v>
      </c>
      <c r="AB1875" t="str">
        <f>HYPERLINK("Melting_Curves/meltCurve_P04150_7_NR3C1.pdf", "Melting_Curves/meltCurve_P04150_7_NR3C1.pdf")</f>
        <v>Melting_Curves/meltCurve_P04150_7_NR3C1.pdf</v>
      </c>
    </row>
    <row r="1876" spans="1:28" x14ac:dyDescent="0.25">
      <c r="A1876" t="s">
        <v>1880</v>
      </c>
      <c r="B1876">
        <v>0.99193492352474899</v>
      </c>
      <c r="C1876">
        <v>0.95606416182205201</v>
      </c>
      <c r="D1876">
        <v>0.97623822944560801</v>
      </c>
      <c r="E1876">
        <v>0.708184469687684</v>
      </c>
      <c r="F1876">
        <v>0.26637960136736399</v>
      </c>
      <c r="G1876">
        <v>0.16394842011125399</v>
      </c>
      <c r="H1876">
        <v>9.8503566216343305E-2</v>
      </c>
      <c r="I1876">
        <v>0.100028329041374</v>
      </c>
      <c r="J1876">
        <v>0.100467164870118</v>
      </c>
      <c r="K1876">
        <v>9.6400969588253296E-2</v>
      </c>
      <c r="L1876">
        <v>1573.8558305680299</v>
      </c>
      <c r="M1876">
        <v>31.008262669428799</v>
      </c>
      <c r="N1876">
        <v>51.133635175639597</v>
      </c>
      <c r="O1876">
        <v>50.5463161222753</v>
      </c>
      <c r="P1876">
        <v>-0.137672002284009</v>
      </c>
      <c r="Q1876">
        <v>0.10233309278215499</v>
      </c>
      <c r="R1876">
        <v>0.99801430514103096</v>
      </c>
      <c r="S1876" t="s">
        <v>8546</v>
      </c>
      <c r="T1876" t="s">
        <v>13338</v>
      </c>
      <c r="U1876" t="s">
        <v>13338</v>
      </c>
      <c r="V1876" t="s">
        <v>13338</v>
      </c>
      <c r="W1876" t="s">
        <v>15178</v>
      </c>
      <c r="X1876">
        <v>15</v>
      </c>
      <c r="Y1876" t="s">
        <v>21769</v>
      </c>
      <c r="Z1876" t="s">
        <v>28291</v>
      </c>
      <c r="AA1876">
        <v>0.42943724847087561</v>
      </c>
      <c r="AB1876" t="str">
        <f>HYPERLINK("Melting_Curves/meltCurve_P04181_OAT.pdf", "Melting_Curves/meltCurve_P04181_OAT.pdf")</f>
        <v>Melting_Curves/meltCurve_P04181_OAT.pdf</v>
      </c>
    </row>
    <row r="1877" spans="1:28" x14ac:dyDescent="0.25">
      <c r="A1877" t="s">
        <v>1881</v>
      </c>
      <c r="B1877">
        <v>0.99193492352474899</v>
      </c>
      <c r="C1877">
        <v>0.91822115152223105</v>
      </c>
      <c r="D1877">
        <v>0.95564478974758005</v>
      </c>
      <c r="E1877">
        <v>0.76221981537553896</v>
      </c>
      <c r="F1877">
        <v>0.76907015633113396</v>
      </c>
      <c r="G1877">
        <v>0.52945068267095996</v>
      </c>
      <c r="H1877">
        <v>0.32138323935834201</v>
      </c>
      <c r="I1877">
        <v>0.33464929769895002</v>
      </c>
      <c r="J1877">
        <v>0.39198392723118602</v>
      </c>
      <c r="K1877">
        <v>0.41906377582913801</v>
      </c>
      <c r="L1877">
        <v>801.58603590064399</v>
      </c>
      <c r="M1877">
        <v>15.0439326009009</v>
      </c>
      <c r="N1877">
        <v>57.464776677880302</v>
      </c>
      <c r="O1877">
        <v>52.368112835030203</v>
      </c>
      <c r="P1877">
        <v>-4.79297692118257E-2</v>
      </c>
      <c r="Q1877">
        <v>0.33269018445070597</v>
      </c>
      <c r="R1877">
        <v>0.94200006516283996</v>
      </c>
      <c r="S1877" t="s">
        <v>8547</v>
      </c>
      <c r="T1877" t="s">
        <v>13338</v>
      </c>
      <c r="U1877" t="s">
        <v>13338</v>
      </c>
      <c r="V1877" t="s">
        <v>13338</v>
      </c>
      <c r="W1877" t="s">
        <v>15179</v>
      </c>
      <c r="X1877">
        <v>11</v>
      </c>
      <c r="Y1877" t="s">
        <v>21770</v>
      </c>
      <c r="Z1877" t="s">
        <v>28292</v>
      </c>
      <c r="AA1877">
        <v>0.64228067924400656</v>
      </c>
      <c r="AB1877" t="str">
        <f>HYPERLINK("Melting_Curves/meltCurve_P04183_TK1.pdf", "Melting_Curves/meltCurve_P04183_TK1.pdf")</f>
        <v>Melting_Curves/meltCurve_P04183_TK1.pdf</v>
      </c>
    </row>
    <row r="1878" spans="1:28" x14ac:dyDescent="0.25">
      <c r="A1878" t="s">
        <v>1882</v>
      </c>
      <c r="B1878">
        <v>0.99193492352474899</v>
      </c>
      <c r="C1878">
        <v>0.76948842847342602</v>
      </c>
      <c r="D1878">
        <v>0.76807078614746904</v>
      </c>
      <c r="E1878">
        <v>0.497592238116704</v>
      </c>
      <c r="F1878">
        <v>0.348450397757821</v>
      </c>
      <c r="G1878">
        <v>0.22684224625292501</v>
      </c>
      <c r="H1878">
        <v>0.141263173283699</v>
      </c>
      <c r="I1878">
        <v>0.158495106030386</v>
      </c>
      <c r="J1878">
        <v>0.15637844208037599</v>
      </c>
      <c r="K1878">
        <v>0.20758568910692701</v>
      </c>
      <c r="L1878">
        <v>641.32055767520603</v>
      </c>
      <c r="M1878">
        <v>13.252792230523401</v>
      </c>
      <c r="N1878">
        <v>49.581803800663302</v>
      </c>
      <c r="O1878">
        <v>47.329382583488801</v>
      </c>
      <c r="P1878">
        <v>-6.0473598563555803E-2</v>
      </c>
      <c r="Q1878">
        <v>0.13627029643849001</v>
      </c>
      <c r="R1878">
        <v>0.97661680768907499</v>
      </c>
      <c r="S1878" t="s">
        <v>8548</v>
      </c>
      <c r="T1878" t="s">
        <v>13338</v>
      </c>
      <c r="U1878" t="s">
        <v>13338</v>
      </c>
      <c r="V1878" t="s">
        <v>13338</v>
      </c>
      <c r="W1878" t="s">
        <v>15180</v>
      </c>
      <c r="X1878">
        <v>7</v>
      </c>
      <c r="Y1878" t="s">
        <v>21771</v>
      </c>
      <c r="Z1878" t="s">
        <v>28293</v>
      </c>
      <c r="AA1878">
        <v>0.4054672734050534</v>
      </c>
      <c r="AB1878" t="str">
        <f>HYPERLINK("Melting_Curves/meltCurve_P04234_CD3D.pdf", "Melting_Curves/meltCurve_P04234_CD3D.pdf")</f>
        <v>Melting_Curves/meltCurve_P04234_CD3D.pdf</v>
      </c>
    </row>
    <row r="1879" spans="1:28" x14ac:dyDescent="0.25">
      <c r="A1879" t="s">
        <v>1883</v>
      </c>
      <c r="B1879">
        <v>0.99193492352474899</v>
      </c>
      <c r="C1879">
        <v>0.86412948300074699</v>
      </c>
      <c r="D1879">
        <v>0.82958183024826204</v>
      </c>
      <c r="E1879">
        <v>0.96403257979485102</v>
      </c>
      <c r="F1879">
        <v>0.55191875495736198</v>
      </c>
      <c r="G1879">
        <v>0.47468587773173698</v>
      </c>
      <c r="H1879">
        <v>0.32104455325458398</v>
      </c>
      <c r="I1879">
        <v>0.44097903456390702</v>
      </c>
      <c r="J1879">
        <v>0.498096961163636</v>
      </c>
      <c r="K1879">
        <v>4.55001267752891</v>
      </c>
      <c r="L1879">
        <v>2078.8999228181301</v>
      </c>
      <c r="M1879">
        <v>31.503769558482201</v>
      </c>
      <c r="O1879">
        <v>65.724748373871407</v>
      </c>
      <c r="P1879">
        <v>5.99164333011395E-2</v>
      </c>
      <c r="Q1879">
        <v>1.5</v>
      </c>
      <c r="R1879">
        <v>0.156283494226967</v>
      </c>
      <c r="S1879" t="s">
        <v>8549</v>
      </c>
      <c r="T1879" t="s">
        <v>13338</v>
      </c>
      <c r="U1879" t="s">
        <v>13338</v>
      </c>
      <c r="V1879" t="s">
        <v>13338</v>
      </c>
      <c r="W1879" t="s">
        <v>15181</v>
      </c>
      <c r="X1879">
        <v>33</v>
      </c>
      <c r="Y1879" t="s">
        <v>21772</v>
      </c>
      <c r="Z1879" t="s">
        <v>28294</v>
      </c>
      <c r="AA1879">
        <v>1.0696022886342409</v>
      </c>
      <c r="AB1879" t="str">
        <f>HYPERLINK("Melting_Curves/meltCurve_P04264_KRT1.pdf", "Melting_Curves/meltCurve_P04264_KRT1.pdf")</f>
        <v>Melting_Curves/meltCurve_P04264_KRT1.pdf</v>
      </c>
    </row>
    <row r="1880" spans="1:28" x14ac:dyDescent="0.25">
      <c r="A1880" t="s">
        <v>1884</v>
      </c>
      <c r="B1880">
        <v>0.99193492352474899</v>
      </c>
      <c r="C1880">
        <v>0.78960898689964898</v>
      </c>
      <c r="D1880">
        <v>0.78227388371818396</v>
      </c>
      <c r="E1880">
        <v>0.37468857742519102</v>
      </c>
      <c r="F1880">
        <v>0.30307038856822299</v>
      </c>
      <c r="G1880">
        <v>0.21555859518429199</v>
      </c>
      <c r="H1880">
        <v>0.26724286544120601</v>
      </c>
      <c r="I1880">
        <v>1.1217269732767099</v>
      </c>
      <c r="J1880">
        <v>1.5634322419393201</v>
      </c>
      <c r="K1880">
        <v>1.28417207347277</v>
      </c>
      <c r="L1880">
        <v>2679.1875193887299</v>
      </c>
      <c r="M1880">
        <v>63.834796513893899</v>
      </c>
      <c r="O1880">
        <v>41.929516248116798</v>
      </c>
      <c r="P1880">
        <v>-9.9436962753785593E-2</v>
      </c>
      <c r="Q1880">
        <v>0.73874173931667297</v>
      </c>
      <c r="R1880">
        <v>2.8661153626889601E-2</v>
      </c>
      <c r="S1880" t="s">
        <v>8550</v>
      </c>
      <c r="T1880" t="s">
        <v>13338</v>
      </c>
      <c r="U1880" t="s">
        <v>13338</v>
      </c>
      <c r="V1880" t="s">
        <v>13338</v>
      </c>
      <c r="W1880" t="s">
        <v>15182</v>
      </c>
      <c r="X1880">
        <v>1</v>
      </c>
      <c r="Y1880" t="s">
        <v>21773</v>
      </c>
      <c r="Z1880" t="s">
        <v>28295</v>
      </c>
      <c r="AA1880">
        <v>0.75641238538595634</v>
      </c>
      <c r="AB1880" t="str">
        <f>HYPERLINK("Melting_Curves/meltCurve_P04275_VWF.pdf", "Melting_Curves/meltCurve_P04275_VWF.pdf")</f>
        <v>Melting_Curves/meltCurve_P04275_VWF.pdf</v>
      </c>
    </row>
    <row r="1881" spans="1:28" x14ac:dyDescent="0.25">
      <c r="A1881" t="s">
        <v>1885</v>
      </c>
      <c r="B1881">
        <v>0.99193492352474899</v>
      </c>
      <c r="C1881">
        <v>1.42999340336078</v>
      </c>
      <c r="D1881">
        <v>1.0815193434484101</v>
      </c>
      <c r="E1881">
        <v>1.21271353517111</v>
      </c>
      <c r="F1881">
        <v>0.82902826370447702</v>
      </c>
      <c r="G1881">
        <v>0.70610423172342296</v>
      </c>
      <c r="H1881">
        <v>0.26480512553388402</v>
      </c>
      <c r="I1881">
        <v>0.142432411136653</v>
      </c>
      <c r="J1881">
        <v>0.16314334287382901</v>
      </c>
      <c r="K1881">
        <v>0.13263437891511801</v>
      </c>
      <c r="L1881">
        <v>1729.9412075627599</v>
      </c>
      <c r="M1881">
        <v>29.962571028960301</v>
      </c>
      <c r="N1881">
        <v>58.289490435118999</v>
      </c>
      <c r="O1881">
        <v>57.481387705504801</v>
      </c>
      <c r="P1881">
        <v>-0.114199051466395</v>
      </c>
      <c r="Q1881">
        <v>0.12366975766964999</v>
      </c>
      <c r="R1881">
        <v>0.88184101182982699</v>
      </c>
      <c r="S1881" t="s">
        <v>8551</v>
      </c>
      <c r="T1881" t="s">
        <v>13338</v>
      </c>
      <c r="U1881" t="s">
        <v>13338</v>
      </c>
      <c r="V1881" t="s">
        <v>13338</v>
      </c>
      <c r="W1881" t="s">
        <v>15183</v>
      </c>
      <c r="X1881">
        <v>29</v>
      </c>
      <c r="Y1881" t="s">
        <v>21109</v>
      </c>
      <c r="Z1881" t="s">
        <v>28296</v>
      </c>
      <c r="AA1881">
        <v>0.64758330707046674</v>
      </c>
      <c r="AB1881" t="str">
        <f>HYPERLINK("Melting_Curves/meltCurve_P04350_TUBB4A.pdf", "Melting_Curves/meltCurve_P04350_TUBB4A.pdf")</f>
        <v>Melting_Curves/meltCurve_P04350_TUBB4A.pdf</v>
      </c>
    </row>
    <row r="1882" spans="1:28" x14ac:dyDescent="0.25">
      <c r="A1882" t="s">
        <v>1886</v>
      </c>
      <c r="B1882">
        <v>0.99193492352474899</v>
      </c>
      <c r="C1882">
        <v>1.2133132739366801</v>
      </c>
      <c r="D1882">
        <v>0.91246524207263202</v>
      </c>
      <c r="E1882">
        <v>0.88001322891015799</v>
      </c>
      <c r="F1882">
        <v>0.67688902501233705</v>
      </c>
      <c r="G1882">
        <v>0.54827982687020305</v>
      </c>
      <c r="H1882">
        <v>0.430263052580517</v>
      </c>
      <c r="I1882">
        <v>0.39758570889651301</v>
      </c>
      <c r="J1882">
        <v>0.19119219426741699</v>
      </c>
      <c r="K1882">
        <v>0.14218116642747</v>
      </c>
      <c r="L1882">
        <v>608.43858766315896</v>
      </c>
      <c r="M1882">
        <v>10.450730913269799</v>
      </c>
      <c r="N1882">
        <v>58.5955497574475</v>
      </c>
      <c r="O1882">
        <v>56.209107477696797</v>
      </c>
      <c r="P1882">
        <v>-4.4993160825712898E-2</v>
      </c>
      <c r="Q1882">
        <v>3.24171279278802E-2</v>
      </c>
      <c r="R1882">
        <v>0.93633810663855099</v>
      </c>
      <c r="S1882" t="s">
        <v>8552</v>
      </c>
      <c r="T1882" t="s">
        <v>13338</v>
      </c>
      <c r="U1882" t="s">
        <v>13338</v>
      </c>
      <c r="V1882" t="s">
        <v>13338</v>
      </c>
      <c r="W1882" t="s">
        <v>15184</v>
      </c>
      <c r="X1882">
        <v>37</v>
      </c>
      <c r="Y1882" t="s">
        <v>21774</v>
      </c>
      <c r="Z1882" t="s">
        <v>28297</v>
      </c>
      <c r="AA1882">
        <v>0.62924588925168778</v>
      </c>
      <c r="AB1882" t="str">
        <f>HYPERLINK("Melting_Curves/meltCurve_P04406_GAPDH.pdf", "Melting_Curves/meltCurve_P04406_GAPDH.pdf")</f>
        <v>Melting_Curves/meltCurve_P04406_GAPDH.pdf</v>
      </c>
    </row>
    <row r="1883" spans="1:28" x14ac:dyDescent="0.25">
      <c r="A1883" t="s">
        <v>1887</v>
      </c>
      <c r="B1883">
        <v>0.99193492352474899</v>
      </c>
      <c r="C1883">
        <v>0.807770194115213</v>
      </c>
      <c r="D1883">
        <v>1.06044565572849</v>
      </c>
      <c r="E1883">
        <v>0.61119643926488099</v>
      </c>
      <c r="F1883">
        <v>0.69071723565588805</v>
      </c>
      <c r="G1883">
        <v>0.80596884707752103</v>
      </c>
      <c r="H1883">
        <v>0.47473481671412898</v>
      </c>
      <c r="I1883">
        <v>0.35720192003398898</v>
      </c>
      <c r="J1883">
        <v>0.43703447519612898</v>
      </c>
      <c r="K1883">
        <v>0.45548101866917901</v>
      </c>
      <c r="L1883">
        <v>390.248479515329</v>
      </c>
      <c r="M1883">
        <v>6.8978692920203803</v>
      </c>
      <c r="N1883">
        <v>62.450542507884499</v>
      </c>
      <c r="O1883">
        <v>52.3936549194053</v>
      </c>
      <c r="P1883">
        <v>-2.51061179143597E-2</v>
      </c>
      <c r="Q1883">
        <v>0.23870256070131099</v>
      </c>
      <c r="R1883">
        <v>0.73792115507318001</v>
      </c>
      <c r="S1883" t="s">
        <v>8553</v>
      </c>
      <c r="T1883" t="s">
        <v>13338</v>
      </c>
      <c r="U1883" t="s">
        <v>13338</v>
      </c>
      <c r="V1883" t="s">
        <v>13338</v>
      </c>
      <c r="W1883" t="s">
        <v>15185</v>
      </c>
      <c r="X1883">
        <v>34</v>
      </c>
      <c r="Y1883" t="s">
        <v>21774</v>
      </c>
      <c r="Z1883" t="s">
        <v>28298</v>
      </c>
      <c r="AA1883">
        <v>0.66859224579767129</v>
      </c>
      <c r="AB1883" t="str">
        <f>HYPERLINK("Melting_Curves/meltCurve_P04406_2_GAPDH.pdf", "Melting_Curves/meltCurve_P04406_2_GAPDH.pdf")</f>
        <v>Melting_Curves/meltCurve_P04406_2_GAPDH.pdf</v>
      </c>
    </row>
    <row r="1884" spans="1:28" x14ac:dyDescent="0.25">
      <c r="A1884" t="s">
        <v>1888</v>
      </c>
      <c r="B1884">
        <v>0.99193492352474899</v>
      </c>
      <c r="C1884">
        <v>0.95854931060256798</v>
      </c>
      <c r="D1884">
        <v>0.92136606406259203</v>
      </c>
      <c r="E1884">
        <v>0.812132256418027</v>
      </c>
      <c r="F1884">
        <v>0.75573300461520798</v>
      </c>
      <c r="G1884">
        <v>0.50644859902169004</v>
      </c>
      <c r="H1884">
        <v>0.17024238904201699</v>
      </c>
      <c r="I1884">
        <v>0.119454226499289</v>
      </c>
      <c r="J1884">
        <v>0.123345809375668</v>
      </c>
      <c r="K1884">
        <v>0.18495574157349201</v>
      </c>
      <c r="L1884">
        <v>953.63994749645099</v>
      </c>
      <c r="M1884">
        <v>17.1809174623837</v>
      </c>
      <c r="N1884">
        <v>56.093092635971999</v>
      </c>
      <c r="O1884">
        <v>54.770169497734997</v>
      </c>
      <c r="P1884">
        <v>-7.1971220281720594E-2</v>
      </c>
      <c r="Q1884">
        <v>8.2320885714254999E-2</v>
      </c>
      <c r="R1884">
        <v>0.97519338424247604</v>
      </c>
      <c r="S1884" t="s">
        <v>8554</v>
      </c>
      <c r="T1884" t="s">
        <v>13338</v>
      </c>
      <c r="U1884" t="s">
        <v>13338</v>
      </c>
      <c r="V1884" t="s">
        <v>13338</v>
      </c>
      <c r="W1884" t="s">
        <v>15186</v>
      </c>
      <c r="X1884">
        <v>13</v>
      </c>
      <c r="Y1884" t="s">
        <v>21775</v>
      </c>
      <c r="Z1884" t="s">
        <v>28299</v>
      </c>
      <c r="AA1884">
        <v>0.57133248516590207</v>
      </c>
      <c r="AB1884" t="str">
        <f>HYPERLINK("Melting_Curves/meltCurve_P04424_ASL.pdf", "Melting_Curves/meltCurve_P04424_ASL.pdf")</f>
        <v>Melting_Curves/meltCurve_P04424_ASL.pdf</v>
      </c>
    </row>
    <row r="1885" spans="1:28" x14ac:dyDescent="0.25">
      <c r="A1885" t="s">
        <v>1889</v>
      </c>
      <c r="B1885">
        <v>0.99193492352474899</v>
      </c>
      <c r="C1885">
        <v>0.83579444055845298</v>
      </c>
      <c r="D1885">
        <v>1.06407017926779</v>
      </c>
      <c r="E1885">
        <v>0.88819988095000801</v>
      </c>
      <c r="F1885">
        <v>0.988958544676658</v>
      </c>
      <c r="G1885">
        <v>0.70989218082485095</v>
      </c>
      <c r="H1885">
        <v>0.51317144454968</v>
      </c>
      <c r="I1885">
        <v>0.18308376886913799</v>
      </c>
      <c r="J1885">
        <v>0.19645307247146401</v>
      </c>
      <c r="K1885">
        <v>9.1332214609364207E-2</v>
      </c>
      <c r="L1885">
        <v>1174.1298397174201</v>
      </c>
      <c r="M1885">
        <v>19.6065884667745</v>
      </c>
      <c r="N1885">
        <v>60.1901417695749</v>
      </c>
      <c r="O1885">
        <v>59.271934588860901</v>
      </c>
      <c r="P1885">
        <v>-7.8781433525191305E-2</v>
      </c>
      <c r="Q1885">
        <v>4.7388934214983899E-2</v>
      </c>
      <c r="R1885">
        <v>0.95374376160383301</v>
      </c>
      <c r="S1885" t="s">
        <v>8555</v>
      </c>
      <c r="T1885" t="s">
        <v>13338</v>
      </c>
      <c r="U1885" t="s">
        <v>13338</v>
      </c>
      <c r="V1885" t="s">
        <v>13338</v>
      </c>
      <c r="W1885" t="s">
        <v>15187</v>
      </c>
      <c r="X1885">
        <v>13</v>
      </c>
      <c r="Y1885" t="s">
        <v>21776</v>
      </c>
      <c r="Z1885" t="s">
        <v>28300</v>
      </c>
      <c r="AA1885">
        <v>0.68699774059093577</v>
      </c>
      <c r="AB1885" t="str">
        <f>HYPERLINK("Melting_Curves/meltCurve_P04632_CAPNS1.pdf", "Melting_Curves/meltCurve_P04632_CAPNS1.pdf")</f>
        <v>Melting_Curves/meltCurve_P04632_CAPNS1.pdf</v>
      </c>
    </row>
    <row r="1886" spans="1:28" x14ac:dyDescent="0.25">
      <c r="A1886" t="s">
        <v>1890</v>
      </c>
      <c r="B1886">
        <v>0.99193492352474899</v>
      </c>
      <c r="C1886">
        <v>1.1508232228904201</v>
      </c>
      <c r="D1886">
        <v>0.82379261178009999</v>
      </c>
      <c r="E1886">
        <v>0.78784696329733905</v>
      </c>
      <c r="F1886">
        <v>0.50272216149075899</v>
      </c>
      <c r="G1886">
        <v>0.34487853592948198</v>
      </c>
      <c r="H1886">
        <v>0.22077381332396001</v>
      </c>
      <c r="I1886">
        <v>0.23343746378734301</v>
      </c>
      <c r="J1886">
        <v>0.242537405842049</v>
      </c>
      <c r="K1886">
        <v>0.32470662206190298</v>
      </c>
      <c r="L1886">
        <v>1056.8067822917201</v>
      </c>
      <c r="M1886">
        <v>20.5557934805116</v>
      </c>
      <c r="N1886">
        <v>53.158834174604898</v>
      </c>
      <c r="O1886">
        <v>50.932476414952198</v>
      </c>
      <c r="P1886">
        <v>-7.6121101820031303E-2</v>
      </c>
      <c r="Q1886">
        <v>0.245580448894273</v>
      </c>
      <c r="R1886">
        <v>0.95361950738534496</v>
      </c>
      <c r="S1886" t="s">
        <v>8556</v>
      </c>
      <c r="T1886" t="s">
        <v>13338</v>
      </c>
      <c r="U1886" t="s">
        <v>13338</v>
      </c>
      <c r="V1886" t="s">
        <v>13338</v>
      </c>
      <c r="W1886" t="s">
        <v>15188</v>
      </c>
      <c r="X1886">
        <v>5</v>
      </c>
      <c r="Y1886" t="s">
        <v>21777</v>
      </c>
      <c r="Z1886" t="s">
        <v>28301</v>
      </c>
      <c r="AA1886">
        <v>0.54249681552353768</v>
      </c>
      <c r="AB1886" t="str">
        <f>HYPERLINK("Melting_Curves/meltCurve_P04745_AMY1A.pdf", "Melting_Curves/meltCurve_P04745_AMY1A.pdf")</f>
        <v>Melting_Curves/meltCurve_P04745_AMY1A.pdf</v>
      </c>
    </row>
    <row r="1887" spans="1:28" x14ac:dyDescent="0.25">
      <c r="A1887" t="s">
        <v>1891</v>
      </c>
      <c r="B1887">
        <v>0.99193492352474899</v>
      </c>
      <c r="C1887">
        <v>0.85289033453499796</v>
      </c>
      <c r="D1887">
        <v>0.86018399690787894</v>
      </c>
      <c r="E1887">
        <v>0.28631249763334998</v>
      </c>
      <c r="F1887">
        <v>0.169127773410016</v>
      </c>
      <c r="G1887">
        <v>9.9368194079224204E-2</v>
      </c>
      <c r="H1887">
        <v>5.9220943209486399E-2</v>
      </c>
      <c r="I1887">
        <v>5.4095478221016201E-2</v>
      </c>
      <c r="J1887">
        <v>6.4713897273366502E-2</v>
      </c>
      <c r="K1887">
        <v>5.5391438328014901E-2</v>
      </c>
      <c r="L1887">
        <v>1466.11157975233</v>
      </c>
      <c r="M1887">
        <v>30.5238552586254</v>
      </c>
      <c r="N1887">
        <v>48.2710138489442</v>
      </c>
      <c r="O1887">
        <v>47.826918297968803</v>
      </c>
      <c r="P1887">
        <v>-0.14834884891271599</v>
      </c>
      <c r="Q1887">
        <v>7.0232105156425195E-2</v>
      </c>
      <c r="R1887">
        <v>0.98271390605101006</v>
      </c>
      <c r="S1887" t="s">
        <v>8557</v>
      </c>
      <c r="T1887" t="s">
        <v>13338</v>
      </c>
      <c r="U1887" t="s">
        <v>13338</v>
      </c>
      <c r="V1887" t="s">
        <v>13338</v>
      </c>
      <c r="W1887" t="s">
        <v>15189</v>
      </c>
      <c r="X1887">
        <v>13</v>
      </c>
      <c r="Y1887" t="s">
        <v>21778</v>
      </c>
      <c r="Z1887" t="s">
        <v>28302</v>
      </c>
      <c r="AA1887">
        <v>0.32455054313974119</v>
      </c>
      <c r="AB1887" t="str">
        <f>HYPERLINK("Melting_Curves/meltCurve_P04818_TYMS.pdf", "Melting_Curves/meltCurve_P04818_TYMS.pdf")</f>
        <v>Melting_Curves/meltCurve_P04818_TYMS.pdf</v>
      </c>
    </row>
    <row r="1888" spans="1:28" x14ac:dyDescent="0.25">
      <c r="A1888" t="s">
        <v>1892</v>
      </c>
      <c r="B1888">
        <v>0.99193492352474899</v>
      </c>
      <c r="C1888">
        <v>0.89185544373165104</v>
      </c>
      <c r="D1888">
        <v>0.941307937837773</v>
      </c>
      <c r="E1888">
        <v>0.85134064100556595</v>
      </c>
      <c r="F1888">
        <v>0.44804633366801599</v>
      </c>
      <c r="G1888">
        <v>0.12590446471823599</v>
      </c>
      <c r="H1888">
        <v>7.3999284323464407E-2</v>
      </c>
      <c r="I1888">
        <v>8.1553725991040396E-2</v>
      </c>
      <c r="J1888">
        <v>9.2542622268199703E-2</v>
      </c>
      <c r="K1888">
        <v>0.11154120191290801</v>
      </c>
      <c r="L1888">
        <v>1596.13919265801</v>
      </c>
      <c r="M1888">
        <v>30.490568912759301</v>
      </c>
      <c r="N1888">
        <v>52.651727742927598</v>
      </c>
      <c r="O1888">
        <v>52.124985938441903</v>
      </c>
      <c r="P1888">
        <v>-0.13446748546447701</v>
      </c>
      <c r="Q1888">
        <v>8.0492962348245101E-2</v>
      </c>
      <c r="R1888">
        <v>0.98919382487139396</v>
      </c>
      <c r="S1888" t="s">
        <v>8558</v>
      </c>
      <c r="T1888" t="s">
        <v>13338</v>
      </c>
      <c r="U1888" t="s">
        <v>13338</v>
      </c>
      <c r="V1888" t="s">
        <v>13338</v>
      </c>
      <c r="W1888" t="s">
        <v>15190</v>
      </c>
      <c r="X1888">
        <v>44</v>
      </c>
      <c r="Y1888" t="s">
        <v>21779</v>
      </c>
      <c r="Z1888" t="s">
        <v>28303</v>
      </c>
      <c r="AA1888">
        <v>0.46470126068780632</v>
      </c>
      <c r="AB1888" t="str">
        <f>HYPERLINK("Melting_Curves/meltCurve_P04843_RPN1.pdf", "Melting_Curves/meltCurve_P04843_RPN1.pdf")</f>
        <v>Melting_Curves/meltCurve_P04843_RPN1.pdf</v>
      </c>
    </row>
    <row r="1889" spans="1:28" x14ac:dyDescent="0.25">
      <c r="A1889" t="s">
        <v>1893</v>
      </c>
      <c r="B1889">
        <v>0.99193492352474899</v>
      </c>
      <c r="C1889">
        <v>0.85522154586269505</v>
      </c>
      <c r="D1889">
        <v>1.12844152936618</v>
      </c>
      <c r="E1889">
        <v>0.76148446575345097</v>
      </c>
      <c r="F1889">
        <v>0.43853622850974899</v>
      </c>
      <c r="G1889">
        <v>0.14089725705157599</v>
      </c>
      <c r="H1889">
        <v>7.4188813758707103E-2</v>
      </c>
      <c r="I1889">
        <v>7.4254508750592196E-2</v>
      </c>
      <c r="J1889">
        <v>8.87088986510947E-2</v>
      </c>
      <c r="K1889">
        <v>8.6559720951479999E-2</v>
      </c>
      <c r="L1889">
        <v>1437.4982771335201</v>
      </c>
      <c r="M1889">
        <v>27.592220358718802</v>
      </c>
      <c r="N1889">
        <v>52.399986875865899</v>
      </c>
      <c r="O1889">
        <v>51.826609112449503</v>
      </c>
      <c r="P1889">
        <v>-0.12331471214324299</v>
      </c>
      <c r="Q1889">
        <v>7.3517807681215103E-2</v>
      </c>
      <c r="R1889">
        <v>0.97090501673429597</v>
      </c>
      <c r="S1889" t="s">
        <v>8559</v>
      </c>
      <c r="T1889" t="s">
        <v>13338</v>
      </c>
      <c r="U1889" t="s">
        <v>13338</v>
      </c>
      <c r="V1889" t="s">
        <v>13338</v>
      </c>
      <c r="W1889" t="s">
        <v>15191</v>
      </c>
      <c r="X1889">
        <v>16</v>
      </c>
      <c r="Y1889" t="s">
        <v>21780</v>
      </c>
      <c r="Z1889" t="s">
        <v>28304</v>
      </c>
      <c r="AA1889">
        <v>0.45412673686991678</v>
      </c>
      <c r="AB1889" t="str">
        <f>HYPERLINK("Melting_Curves/meltCurve_P04844_RPN2.pdf", "Melting_Curves/meltCurve_P04844_RPN2.pdf")</f>
        <v>Melting_Curves/meltCurve_P04844_RPN2.pdf</v>
      </c>
    </row>
    <row r="1890" spans="1:28" x14ac:dyDescent="0.25">
      <c r="A1890" t="s">
        <v>1894</v>
      </c>
      <c r="B1890">
        <v>0.99193492352474899</v>
      </c>
      <c r="C1890">
        <v>0.91043941666880601</v>
      </c>
      <c r="D1890">
        <v>0.94576285222577605</v>
      </c>
      <c r="E1890">
        <v>0.75441880085153201</v>
      </c>
      <c r="F1890">
        <v>0.55094919681431698</v>
      </c>
      <c r="G1890">
        <v>0.15930736079365401</v>
      </c>
      <c r="H1890">
        <v>8.5095657338414399E-2</v>
      </c>
      <c r="I1890">
        <v>0.105095082560815</v>
      </c>
      <c r="J1890">
        <v>0.11849777116066899</v>
      </c>
      <c r="K1890">
        <v>0.12633855152679399</v>
      </c>
      <c r="L1890">
        <v>1138.65404832694</v>
      </c>
      <c r="M1890">
        <v>21.7134889557544</v>
      </c>
      <c r="N1890">
        <v>52.892051637937797</v>
      </c>
      <c r="O1890">
        <v>52.001227816377501</v>
      </c>
      <c r="P1890">
        <v>-9.5549969433944004E-2</v>
      </c>
      <c r="Q1890">
        <v>8.46981728179588E-2</v>
      </c>
      <c r="R1890">
        <v>0.98292998725984304</v>
      </c>
      <c r="S1890" t="s">
        <v>8560</v>
      </c>
      <c r="T1890" t="s">
        <v>13338</v>
      </c>
      <c r="U1890" t="s">
        <v>13338</v>
      </c>
      <c r="V1890" t="s">
        <v>13338</v>
      </c>
      <c r="W1890" t="s">
        <v>15192</v>
      </c>
      <c r="X1890">
        <v>24</v>
      </c>
      <c r="Y1890" t="s">
        <v>21781</v>
      </c>
      <c r="Z1890" t="s">
        <v>28305</v>
      </c>
      <c r="AA1890">
        <v>0.47515293729811942</v>
      </c>
      <c r="AB1890" t="str">
        <f>HYPERLINK("Melting_Curves/meltCurve_P04899_GNAI2.pdf", "Melting_Curves/meltCurve_P04899_GNAI2.pdf")</f>
        <v>Melting_Curves/meltCurve_P04899_GNAI2.pdf</v>
      </c>
    </row>
    <row r="1891" spans="1:28" x14ac:dyDescent="0.25">
      <c r="A1891" t="s">
        <v>1895</v>
      </c>
      <c r="B1891">
        <v>0.99193492352474899</v>
      </c>
      <c r="C1891">
        <v>1.1227855858468201</v>
      </c>
      <c r="D1891">
        <v>0.97488754161693103</v>
      </c>
      <c r="E1891">
        <v>0.86354805327296302</v>
      </c>
      <c r="F1891">
        <v>0.41091007741108299</v>
      </c>
      <c r="G1891">
        <v>0.18225495254524199</v>
      </c>
      <c r="H1891">
        <v>0.108238660404693</v>
      </c>
      <c r="I1891">
        <v>0.10564114273075501</v>
      </c>
      <c r="J1891">
        <v>0.122043727346013</v>
      </c>
      <c r="K1891">
        <v>0.122727453683072</v>
      </c>
      <c r="L1891">
        <v>1715.9069545074301</v>
      </c>
      <c r="M1891">
        <v>32.919050779787199</v>
      </c>
      <c r="N1891">
        <v>52.539612238056499</v>
      </c>
      <c r="O1891">
        <v>51.933812323910999</v>
      </c>
      <c r="P1891">
        <v>-0.140341898706484</v>
      </c>
      <c r="Q1891">
        <v>0.11437816802042799</v>
      </c>
      <c r="R1891">
        <v>0.99045107247568398</v>
      </c>
      <c r="S1891" t="s">
        <v>8561</v>
      </c>
      <c r="T1891" t="s">
        <v>13338</v>
      </c>
      <c r="U1891" t="s">
        <v>13338</v>
      </c>
      <c r="V1891" t="s">
        <v>13338</v>
      </c>
      <c r="W1891" t="s">
        <v>15193</v>
      </c>
      <c r="X1891">
        <v>7</v>
      </c>
      <c r="Y1891" t="s">
        <v>21782</v>
      </c>
      <c r="Z1891" t="s">
        <v>28306</v>
      </c>
      <c r="AA1891">
        <v>0.47703178405639451</v>
      </c>
      <c r="AB1891" t="str">
        <f>HYPERLINK("Melting_Curves/meltCurve_P04920_2_SLC4A2.pdf", "Melting_Curves/meltCurve_P04920_2_SLC4A2.pdf")</f>
        <v>Melting_Curves/meltCurve_P04920_2_SLC4A2.pdf</v>
      </c>
    </row>
    <row r="1892" spans="1:28" x14ac:dyDescent="0.25">
      <c r="A1892" t="s">
        <v>1896</v>
      </c>
      <c r="B1892">
        <v>0.99193492352474899</v>
      </c>
      <c r="C1892">
        <v>0.88025550215883297</v>
      </c>
      <c r="D1892">
        <v>1.0912548349197799</v>
      </c>
      <c r="E1892">
        <v>0.84005040304610301</v>
      </c>
      <c r="F1892">
        <v>0.92307120966970302</v>
      </c>
      <c r="G1892">
        <v>0.66034752967869503</v>
      </c>
      <c r="H1892">
        <v>0.70504895452555705</v>
      </c>
      <c r="I1892">
        <v>0.57643677052118902</v>
      </c>
      <c r="J1892">
        <v>1.13783413271655</v>
      </c>
      <c r="K1892">
        <v>1.22637442788137</v>
      </c>
      <c r="L1892">
        <v>15000</v>
      </c>
      <c r="M1892">
        <v>223.98813586352799</v>
      </c>
      <c r="O1892">
        <v>66.962482441102594</v>
      </c>
      <c r="P1892">
        <v>0.18933298051189101</v>
      </c>
      <c r="Q1892">
        <v>1.2264085735152099</v>
      </c>
      <c r="R1892">
        <v>-5.6576844573586402E-2</v>
      </c>
      <c r="S1892" t="s">
        <v>8562</v>
      </c>
      <c r="T1892" t="s">
        <v>13338</v>
      </c>
      <c r="U1892" t="s">
        <v>13338</v>
      </c>
      <c r="V1892" t="s">
        <v>13338</v>
      </c>
      <c r="W1892" t="s">
        <v>15194</v>
      </c>
      <c r="X1892">
        <v>2</v>
      </c>
      <c r="Y1892" t="s">
        <v>21783</v>
      </c>
      <c r="Z1892" t="s">
        <v>28307</v>
      </c>
      <c r="AA1892">
        <v>1.0228506247023681</v>
      </c>
      <c r="AB1892" t="str">
        <f>HYPERLINK("Melting_Curves/meltCurve_P04921_2_GYPC.pdf", "Melting_Curves/meltCurve_P04921_2_GYPC.pdf")</f>
        <v>Melting_Curves/meltCurve_P04921_2_GYPC.pdf</v>
      </c>
    </row>
    <row r="1893" spans="1:28" x14ac:dyDescent="0.25">
      <c r="A1893" t="s">
        <v>1897</v>
      </c>
      <c r="B1893">
        <v>0.99193492352474899</v>
      </c>
      <c r="C1893">
        <v>1.00549506256538</v>
      </c>
      <c r="D1893">
        <v>1.0440307251240399</v>
      </c>
      <c r="E1893">
        <v>0.93194717427765805</v>
      </c>
      <c r="F1893">
        <v>0.88815762130309495</v>
      </c>
      <c r="G1893">
        <v>0.72442300068538301</v>
      </c>
      <c r="H1893">
        <v>0.31766962255693798</v>
      </c>
      <c r="I1893">
        <v>0.116681100726823</v>
      </c>
      <c r="J1893">
        <v>0.114846976417701</v>
      </c>
      <c r="K1893">
        <v>0.10981617662795699</v>
      </c>
      <c r="L1893">
        <v>1520.0803193114</v>
      </c>
      <c r="M1893">
        <v>26.044366773083201</v>
      </c>
      <c r="N1893">
        <v>58.730334628869898</v>
      </c>
      <c r="O1893">
        <v>58.024198035787499</v>
      </c>
      <c r="P1893">
        <v>-0.103823534463136</v>
      </c>
      <c r="Q1893">
        <v>7.47775101717887E-2</v>
      </c>
      <c r="R1893">
        <v>0.99288982127569803</v>
      </c>
      <c r="S1893" t="s">
        <v>8563</v>
      </c>
      <c r="T1893" t="s">
        <v>13338</v>
      </c>
      <c r="U1893" t="s">
        <v>13338</v>
      </c>
      <c r="V1893" t="s">
        <v>13338</v>
      </c>
      <c r="W1893" t="s">
        <v>15195</v>
      </c>
      <c r="X1893">
        <v>47</v>
      </c>
      <c r="Y1893" t="s">
        <v>21784</v>
      </c>
      <c r="Z1893" t="s">
        <v>28308</v>
      </c>
      <c r="AA1893">
        <v>0.6486432814301516</v>
      </c>
      <c r="AB1893" t="str">
        <f>HYPERLINK("Melting_Curves/meltCurve_P05023_4_ATP1A1.pdf", "Melting_Curves/meltCurve_P05023_4_ATP1A1.pdf")</f>
        <v>Melting_Curves/meltCurve_P05023_4_ATP1A1.pdf</v>
      </c>
    </row>
    <row r="1894" spans="1:28" x14ac:dyDescent="0.25">
      <c r="A1894" t="s">
        <v>1898</v>
      </c>
      <c r="B1894">
        <v>0.99193492352474899</v>
      </c>
      <c r="C1894">
        <v>1.0031937880328301</v>
      </c>
      <c r="D1894">
        <v>1.00518464295641</v>
      </c>
      <c r="E1894">
        <v>0.85936949377273497</v>
      </c>
      <c r="F1894">
        <v>0.75159859446870603</v>
      </c>
      <c r="G1894">
        <v>0.34635908629395201</v>
      </c>
      <c r="H1894">
        <v>0.25848604653810497</v>
      </c>
      <c r="I1894">
        <v>0.26635367366038498</v>
      </c>
      <c r="J1894">
        <v>0.35039971162552902</v>
      </c>
      <c r="K1894">
        <v>0.26713178646056501</v>
      </c>
      <c r="L1894">
        <v>1786.5000011181501</v>
      </c>
      <c r="M1894">
        <v>33.192822851506499</v>
      </c>
      <c r="N1894">
        <v>55.153901941573402</v>
      </c>
      <c r="O1894">
        <v>53.627646534802203</v>
      </c>
      <c r="P1894">
        <v>-0.112076345291122</v>
      </c>
      <c r="Q1894">
        <v>0.27570311105737699</v>
      </c>
      <c r="R1894">
        <v>0.98039954606428403</v>
      </c>
      <c r="S1894" t="s">
        <v>8564</v>
      </c>
      <c r="T1894" t="s">
        <v>13338</v>
      </c>
      <c r="U1894" t="s">
        <v>13338</v>
      </c>
      <c r="V1894" t="s">
        <v>13338</v>
      </c>
      <c r="W1894" t="s">
        <v>15196</v>
      </c>
      <c r="X1894">
        <v>3</v>
      </c>
      <c r="Y1894" t="s">
        <v>21785</v>
      </c>
      <c r="Z1894" t="s">
        <v>28309</v>
      </c>
      <c r="AA1894">
        <v>0.61330468038243702</v>
      </c>
      <c r="AB1894" t="str">
        <f>HYPERLINK("Melting_Curves/meltCurve_P05062_ALDOB.pdf", "Melting_Curves/meltCurve_P05062_ALDOB.pdf")</f>
        <v>Melting_Curves/meltCurve_P05062_ALDOB.pdf</v>
      </c>
    </row>
    <row r="1895" spans="1:28" x14ac:dyDescent="0.25">
      <c r="A1895" t="s">
        <v>1899</v>
      </c>
      <c r="B1895">
        <v>0.99193492352474899</v>
      </c>
      <c r="C1895">
        <v>1.15622006308967</v>
      </c>
      <c r="D1895">
        <v>1.4216672196011999</v>
      </c>
      <c r="E1895">
        <v>0.99734532819166899</v>
      </c>
      <c r="F1895">
        <v>0.82402502010980805</v>
      </c>
      <c r="G1895">
        <v>0.53716647403330398</v>
      </c>
      <c r="H1895">
        <v>0.337141030755505</v>
      </c>
      <c r="I1895">
        <v>0.384671698974975</v>
      </c>
      <c r="J1895">
        <v>0.45001002519715599</v>
      </c>
      <c r="K1895">
        <v>0.38452997592779697</v>
      </c>
      <c r="L1895">
        <v>2032.89817920726</v>
      </c>
      <c r="M1895">
        <v>37.171603320297798</v>
      </c>
      <c r="N1895">
        <v>56.999659214509101</v>
      </c>
      <c r="O1895">
        <v>54.531989078391298</v>
      </c>
      <c r="P1895">
        <v>-0.104094817353324</v>
      </c>
      <c r="Q1895">
        <v>0.389159379599125</v>
      </c>
      <c r="R1895">
        <v>0.83878175350121198</v>
      </c>
      <c r="S1895" t="s">
        <v>8565</v>
      </c>
      <c r="T1895" t="s">
        <v>13338</v>
      </c>
      <c r="U1895" t="s">
        <v>13338</v>
      </c>
      <c r="V1895" t="s">
        <v>13338</v>
      </c>
      <c r="W1895" t="s">
        <v>15197</v>
      </c>
      <c r="X1895">
        <v>1</v>
      </c>
      <c r="Y1895" t="s">
        <v>21786</v>
      </c>
      <c r="Z1895" t="s">
        <v>28310</v>
      </c>
      <c r="AA1895">
        <v>0.69092140322050966</v>
      </c>
      <c r="AB1895" t="str">
        <f>HYPERLINK("Melting_Curves/meltCurve_P05089_3_ARG1.pdf", "Melting_Curves/meltCurve_P05089_3_ARG1.pdf")</f>
        <v>Melting_Curves/meltCurve_P05089_3_ARG1.pdf</v>
      </c>
    </row>
    <row r="1896" spans="1:28" x14ac:dyDescent="0.25">
      <c r="A1896" t="s">
        <v>1900</v>
      </c>
      <c r="B1896">
        <v>0.99193492352474899</v>
      </c>
      <c r="C1896">
        <v>0.94636755657514704</v>
      </c>
      <c r="D1896">
        <v>0.97078193896870502</v>
      </c>
      <c r="E1896">
        <v>0.70216904248866496</v>
      </c>
      <c r="F1896">
        <v>0.66722064315957796</v>
      </c>
      <c r="G1896">
        <v>0.42898284873152198</v>
      </c>
      <c r="H1896">
        <v>0.270163217787458</v>
      </c>
      <c r="I1896">
        <v>0.32492284514102998</v>
      </c>
      <c r="J1896">
        <v>0.36758844422696502</v>
      </c>
      <c r="K1896">
        <v>0.39217054655098399</v>
      </c>
      <c r="L1896">
        <v>890.16475305545305</v>
      </c>
      <c r="M1896">
        <v>17.2411230594135</v>
      </c>
      <c r="N1896">
        <v>54.962632759117</v>
      </c>
      <c r="O1896">
        <v>50.950754545684099</v>
      </c>
      <c r="P1896">
        <v>-5.7173279166842603E-2</v>
      </c>
      <c r="Q1896">
        <v>0.3242084287534</v>
      </c>
      <c r="R1896">
        <v>0.95649858642475305</v>
      </c>
      <c r="S1896" t="s">
        <v>8566</v>
      </c>
      <c r="T1896" t="s">
        <v>13338</v>
      </c>
      <c r="U1896" t="s">
        <v>13338</v>
      </c>
      <c r="V1896" t="s">
        <v>13338</v>
      </c>
      <c r="W1896" t="s">
        <v>15198</v>
      </c>
      <c r="X1896">
        <v>7</v>
      </c>
      <c r="Y1896" t="s">
        <v>21787</v>
      </c>
      <c r="Z1896" t="s">
        <v>28311</v>
      </c>
      <c r="AA1896">
        <v>0.59836957289902093</v>
      </c>
      <c r="AB1896" t="str">
        <f>HYPERLINK("Melting_Curves/meltCurve_P05106_ITGB3.pdf", "Melting_Curves/meltCurve_P05106_ITGB3.pdf")</f>
        <v>Melting_Curves/meltCurve_P05106_ITGB3.pdf</v>
      </c>
    </row>
    <row r="1897" spans="1:28" x14ac:dyDescent="0.25">
      <c r="A1897" t="s">
        <v>1901</v>
      </c>
      <c r="B1897">
        <v>0.99193492352474899</v>
      </c>
      <c r="C1897">
        <v>0.98363452770128901</v>
      </c>
      <c r="D1897">
        <v>0.92954503961692403</v>
      </c>
      <c r="E1897">
        <v>0.74769462033280898</v>
      </c>
      <c r="F1897">
        <v>0.52036729701876006</v>
      </c>
      <c r="G1897">
        <v>0.36356891425175197</v>
      </c>
      <c r="H1897">
        <v>0.26143324709589999</v>
      </c>
      <c r="I1897">
        <v>0.34312305074198901</v>
      </c>
      <c r="J1897">
        <v>0.380447037486845</v>
      </c>
      <c r="K1897">
        <v>0.41642097791291399</v>
      </c>
      <c r="L1897">
        <v>1235.76444202169</v>
      </c>
      <c r="M1897">
        <v>24.441421918586101</v>
      </c>
      <c r="N1897">
        <v>53.110135342523698</v>
      </c>
      <c r="O1897">
        <v>50.225436952640898</v>
      </c>
      <c r="P1897">
        <v>-7.9644595685152905E-2</v>
      </c>
      <c r="Q1897">
        <v>0.34535301718026401</v>
      </c>
      <c r="R1897">
        <v>0.97801373560544103</v>
      </c>
      <c r="S1897" t="s">
        <v>8567</v>
      </c>
      <c r="T1897" t="s">
        <v>13338</v>
      </c>
      <c r="U1897" t="s">
        <v>13338</v>
      </c>
      <c r="V1897" t="s">
        <v>13338</v>
      </c>
      <c r="W1897" t="s">
        <v>15199</v>
      </c>
      <c r="X1897">
        <v>33</v>
      </c>
      <c r="Y1897" t="s">
        <v>21788</v>
      </c>
      <c r="Z1897" t="s">
        <v>28312</v>
      </c>
      <c r="AA1897">
        <v>0.58194981134189083</v>
      </c>
      <c r="AB1897" t="str">
        <f>HYPERLINK("Melting_Curves/meltCurve_P05107_ITGB2.pdf", "Melting_Curves/meltCurve_P05107_ITGB2.pdf")</f>
        <v>Melting_Curves/meltCurve_P05107_ITGB2.pdf</v>
      </c>
    </row>
    <row r="1898" spans="1:28" x14ac:dyDescent="0.25">
      <c r="A1898" t="s">
        <v>1902</v>
      </c>
      <c r="B1898">
        <v>0.99193492352474899</v>
      </c>
      <c r="C1898">
        <v>0.71998003919840903</v>
      </c>
      <c r="D1898">
        <v>0.99585144793965197</v>
      </c>
      <c r="E1898">
        <v>0.59644267023024999</v>
      </c>
      <c r="F1898">
        <v>0.60733914062940197</v>
      </c>
      <c r="G1898">
        <v>0.16155851208723601</v>
      </c>
      <c r="H1898">
        <v>0.12885854574607</v>
      </c>
      <c r="I1898">
        <v>9.3575525312094898E-2</v>
      </c>
      <c r="J1898">
        <v>9.9358817898411E-2</v>
      </c>
      <c r="K1898">
        <v>9.9790748464307896E-2</v>
      </c>
      <c r="L1898">
        <v>692.32213573379897</v>
      </c>
      <c r="M1898">
        <v>13.253319719947999</v>
      </c>
      <c r="N1898">
        <v>52.467175688039198</v>
      </c>
      <c r="O1898">
        <v>51.091321377226201</v>
      </c>
      <c r="P1898">
        <v>-6.3034846506303102E-2</v>
      </c>
      <c r="Q1898">
        <v>2.81662306614331E-2</v>
      </c>
      <c r="R1898">
        <v>0.90834067582747702</v>
      </c>
      <c r="S1898" t="s">
        <v>8568</v>
      </c>
      <c r="T1898" t="s">
        <v>13338</v>
      </c>
      <c r="U1898" t="s">
        <v>13338</v>
      </c>
      <c r="V1898" t="s">
        <v>13338</v>
      </c>
      <c r="W1898" t="s">
        <v>15200</v>
      </c>
      <c r="X1898">
        <v>1</v>
      </c>
      <c r="Y1898" t="s">
        <v>21789</v>
      </c>
      <c r="Z1898" t="s">
        <v>28313</v>
      </c>
      <c r="AA1898">
        <v>0.45030957988041892</v>
      </c>
      <c r="AB1898" t="str">
        <f>HYPERLINK("Melting_Curves/meltCurve_P05109_S100A8.pdf", "Melting_Curves/meltCurve_P05109_S100A8.pdf")</f>
        <v>Melting_Curves/meltCurve_P05109_S100A8.pdf</v>
      </c>
    </row>
    <row r="1899" spans="1:28" x14ac:dyDescent="0.25">
      <c r="A1899" t="s">
        <v>1903</v>
      </c>
      <c r="B1899">
        <v>0.99193492352474899</v>
      </c>
      <c r="C1899">
        <v>0.25499982380919201</v>
      </c>
      <c r="D1899">
        <v>0.92146465089344198</v>
      </c>
      <c r="E1899">
        <v>0.35418718933593102</v>
      </c>
      <c r="F1899">
        <v>0.66568372290061995</v>
      </c>
      <c r="G1899">
        <v>0.25400764052317898</v>
      </c>
      <c r="H1899">
        <v>0.478964432227797</v>
      </c>
      <c r="I1899">
        <v>0.41796439023354098</v>
      </c>
      <c r="J1899">
        <v>1.0628672389048199</v>
      </c>
      <c r="K1899">
        <v>1.68069599949048</v>
      </c>
      <c r="L1899">
        <v>10146.5094424159</v>
      </c>
      <c r="M1899">
        <v>250</v>
      </c>
      <c r="O1899">
        <v>40.5834398076694</v>
      </c>
      <c r="P1899">
        <v>-0.49780228088221701</v>
      </c>
      <c r="Q1899">
        <v>0.67675953216763096</v>
      </c>
      <c r="R1899">
        <v>4.7728627132368598E-2</v>
      </c>
      <c r="S1899" t="s">
        <v>8569</v>
      </c>
      <c r="T1899" t="s">
        <v>13338</v>
      </c>
      <c r="U1899" t="s">
        <v>13338</v>
      </c>
      <c r="V1899" t="s">
        <v>13338</v>
      </c>
      <c r="W1899" t="s">
        <v>15201</v>
      </c>
      <c r="X1899">
        <v>7</v>
      </c>
      <c r="Y1899" t="s">
        <v>21790</v>
      </c>
      <c r="Z1899" t="s">
        <v>28314</v>
      </c>
      <c r="AA1899">
        <v>0.68313964051741605</v>
      </c>
      <c r="AB1899" t="str">
        <f>HYPERLINK("Melting_Curves/meltCurve_P05114_HMGN1.pdf", "Melting_Curves/meltCurve_P05114_HMGN1.pdf")</f>
        <v>Melting_Curves/meltCurve_P05114_HMGN1.pdf</v>
      </c>
    </row>
    <row r="1900" spans="1:28" x14ac:dyDescent="0.25">
      <c r="A1900" t="s">
        <v>1904</v>
      </c>
      <c r="B1900">
        <v>0.99193492352474899</v>
      </c>
      <c r="C1900">
        <v>0.86696814851366999</v>
      </c>
      <c r="D1900">
        <v>0.71660420793850599</v>
      </c>
      <c r="E1900">
        <v>0.69122459634299505</v>
      </c>
      <c r="F1900">
        <v>0.54151276339244703</v>
      </c>
      <c r="G1900">
        <v>0.36482449406241002</v>
      </c>
      <c r="H1900">
        <v>0.26218654181297801</v>
      </c>
      <c r="I1900">
        <v>0.22390974991959001</v>
      </c>
      <c r="J1900">
        <v>0.23735810539376401</v>
      </c>
      <c r="K1900">
        <v>0.31357629245097102</v>
      </c>
      <c r="L1900">
        <v>523.29096238754505</v>
      </c>
      <c r="M1900">
        <v>10.3511088342209</v>
      </c>
      <c r="N1900">
        <v>53.005830292574103</v>
      </c>
      <c r="O1900">
        <v>48.776400452345001</v>
      </c>
      <c r="P1900">
        <v>-4.2979726961273002E-2</v>
      </c>
      <c r="Q1900">
        <v>0.190230415463821</v>
      </c>
      <c r="R1900">
        <v>0.96585928258209397</v>
      </c>
      <c r="S1900" t="s">
        <v>8570</v>
      </c>
      <c r="T1900" t="s">
        <v>13338</v>
      </c>
      <c r="U1900" t="s">
        <v>13338</v>
      </c>
      <c r="V1900" t="s">
        <v>13338</v>
      </c>
      <c r="W1900" t="s">
        <v>15202</v>
      </c>
      <c r="X1900">
        <v>1</v>
      </c>
      <c r="Y1900" t="s">
        <v>21791</v>
      </c>
      <c r="Z1900" t="s">
        <v>28315</v>
      </c>
      <c r="AA1900">
        <v>0.50853776223961467</v>
      </c>
      <c r="AB1900" t="str">
        <f>HYPERLINK("Melting_Curves/meltCurve_P05120_SERPINB2.pdf", "Melting_Curves/meltCurve_P05120_SERPINB2.pdf")</f>
        <v>Melting_Curves/meltCurve_P05120_SERPINB2.pdf</v>
      </c>
    </row>
    <row r="1901" spans="1:28" x14ac:dyDescent="0.25">
      <c r="A1901" t="s">
        <v>1905</v>
      </c>
      <c r="B1901">
        <v>0.99193492352474899</v>
      </c>
      <c r="C1901">
        <v>0.75095730155377105</v>
      </c>
      <c r="D1901">
        <v>1.58907106855086</v>
      </c>
      <c r="E1901">
        <v>0.71834485746343102</v>
      </c>
      <c r="F1901">
        <v>1.0354528235115601</v>
      </c>
      <c r="G1901">
        <v>1.2013791463797201</v>
      </c>
      <c r="H1901">
        <v>0.74375947810030796</v>
      </c>
      <c r="I1901">
        <v>0.93699865923870695</v>
      </c>
      <c r="J1901">
        <v>1.3939924024066099</v>
      </c>
      <c r="K1901">
        <v>0.84246628874265606</v>
      </c>
      <c r="L1901">
        <v>11083.7785244199</v>
      </c>
      <c r="M1901">
        <v>250</v>
      </c>
      <c r="O1901">
        <v>44.332277971910798</v>
      </c>
      <c r="P1901">
        <v>8.1223577725823906E-2</v>
      </c>
      <c r="Q1901">
        <v>1.0576132182075</v>
      </c>
      <c r="R1901">
        <v>2.89128529513305E-2</v>
      </c>
      <c r="S1901" t="s">
        <v>8571</v>
      </c>
      <c r="T1901" t="s">
        <v>13338</v>
      </c>
      <c r="U1901" t="s">
        <v>13338</v>
      </c>
      <c r="V1901" t="s">
        <v>13338</v>
      </c>
      <c r="W1901" t="s">
        <v>15203</v>
      </c>
      <c r="X1901">
        <v>2</v>
      </c>
      <c r="Y1901" t="s">
        <v>21792</v>
      </c>
      <c r="Z1901" t="s">
        <v>28316</v>
      </c>
      <c r="AA1901">
        <v>1.049283406321954</v>
      </c>
      <c r="AB1901" t="str">
        <f>HYPERLINK("Melting_Curves/meltCurve_P05121_2_SERPINE1.pdf", "Melting_Curves/meltCurve_P05121_2_SERPINE1.pdf")</f>
        <v>Melting_Curves/meltCurve_P05121_2_SERPINE1.pdf</v>
      </c>
    </row>
    <row r="1902" spans="1:28" x14ac:dyDescent="0.25">
      <c r="A1902" t="s">
        <v>1906</v>
      </c>
      <c r="B1902">
        <v>0.99193492352474899</v>
      </c>
      <c r="C1902">
        <v>0.97538620155171596</v>
      </c>
      <c r="D1902">
        <v>1.08259434657616</v>
      </c>
      <c r="E1902">
        <v>0.89057813443345402</v>
      </c>
      <c r="F1902">
        <v>0.73266639235782904</v>
      </c>
      <c r="G1902">
        <v>0.57833641961439997</v>
      </c>
      <c r="H1902">
        <v>0.42737941503736998</v>
      </c>
      <c r="I1902">
        <v>0.30253095643012101</v>
      </c>
      <c r="J1902">
        <v>0.26636562521919899</v>
      </c>
      <c r="K1902">
        <v>0.20982546236177399</v>
      </c>
      <c r="L1902">
        <v>809.89489156371803</v>
      </c>
      <c r="M1902">
        <v>14.3067933987573</v>
      </c>
      <c r="N1902">
        <v>58.390524823972399</v>
      </c>
      <c r="O1902">
        <v>55.5375765313212</v>
      </c>
      <c r="P1902">
        <v>-5.30187125121677E-2</v>
      </c>
      <c r="Q1902">
        <v>0.176846237542156</v>
      </c>
      <c r="R1902">
        <v>0.984669029796435</v>
      </c>
      <c r="S1902" t="s">
        <v>8572</v>
      </c>
      <c r="T1902" t="s">
        <v>13338</v>
      </c>
      <c r="U1902" t="s">
        <v>13338</v>
      </c>
      <c r="V1902" t="s">
        <v>13338</v>
      </c>
      <c r="W1902" t="s">
        <v>15204</v>
      </c>
      <c r="X1902">
        <v>23</v>
      </c>
      <c r="Y1902" t="s">
        <v>21793</v>
      </c>
      <c r="Z1902" t="s">
        <v>28317</v>
      </c>
      <c r="AA1902">
        <v>0.64667470278457584</v>
      </c>
      <c r="AB1902" t="str">
        <f>HYPERLINK("Melting_Curves/meltCurve_P05141_SLC25A5.pdf", "Melting_Curves/meltCurve_P05141_SLC25A5.pdf")</f>
        <v>Melting_Curves/meltCurve_P05141_SLC25A5.pdf</v>
      </c>
    </row>
    <row r="1903" spans="1:28" x14ac:dyDescent="0.25">
      <c r="A1903" t="s">
        <v>1907</v>
      </c>
      <c r="B1903">
        <v>0.99193492352474899</v>
      </c>
      <c r="C1903">
        <v>0.78826042493294401</v>
      </c>
      <c r="D1903">
        <v>0.71472251270658504</v>
      </c>
      <c r="E1903">
        <v>0.35530175363990502</v>
      </c>
      <c r="F1903">
        <v>0.20904125151633901</v>
      </c>
      <c r="G1903">
        <v>0.150134183978166</v>
      </c>
      <c r="H1903">
        <v>0.11043546328043199</v>
      </c>
      <c r="I1903">
        <v>0.147184434835988</v>
      </c>
      <c r="J1903">
        <v>0.118952011033351</v>
      </c>
      <c r="K1903">
        <v>0.125801967380195</v>
      </c>
      <c r="L1903">
        <v>823.59271199987904</v>
      </c>
      <c r="M1903">
        <v>17.4647863681096</v>
      </c>
      <c r="N1903">
        <v>47.858611212624403</v>
      </c>
      <c r="O1903">
        <v>46.552095442644898</v>
      </c>
      <c r="P1903">
        <v>-8.3207371827608401E-2</v>
      </c>
      <c r="Q1903">
        <v>0.112897840343299</v>
      </c>
      <c r="R1903">
        <v>0.98726729973307703</v>
      </c>
      <c r="S1903" t="s">
        <v>8573</v>
      </c>
      <c r="T1903" t="s">
        <v>13338</v>
      </c>
      <c r="U1903" t="s">
        <v>13338</v>
      </c>
      <c r="V1903" t="s">
        <v>13338</v>
      </c>
      <c r="W1903" t="s">
        <v>15205</v>
      </c>
      <c r="X1903">
        <v>4</v>
      </c>
      <c r="Y1903" t="s">
        <v>21794</v>
      </c>
      <c r="Z1903" t="s">
        <v>28318</v>
      </c>
      <c r="AA1903">
        <v>0.34187825696150381</v>
      </c>
      <c r="AB1903" t="str">
        <f>HYPERLINK("Melting_Curves/meltCurve_P05161_ISG15.pdf", "Melting_Curves/meltCurve_P05161_ISG15.pdf")</f>
        <v>Melting_Curves/meltCurve_P05161_ISG15.pdf</v>
      </c>
    </row>
    <row r="1904" spans="1:28" x14ac:dyDescent="0.25">
      <c r="A1904" t="s">
        <v>1908</v>
      </c>
      <c r="B1904">
        <v>0.99193492352474899</v>
      </c>
      <c r="C1904">
        <v>0.97116406267342503</v>
      </c>
      <c r="D1904">
        <v>1.01301212117371</v>
      </c>
      <c r="E1904">
        <v>0.916710243812216</v>
      </c>
      <c r="F1904">
        <v>0.76566479288609701</v>
      </c>
      <c r="G1904">
        <v>0.19125724372411201</v>
      </c>
      <c r="H1904">
        <v>9.2216350738266104E-2</v>
      </c>
      <c r="I1904">
        <v>0.115295216375674</v>
      </c>
      <c r="J1904">
        <v>0.117281925842402</v>
      </c>
      <c r="K1904">
        <v>0.12202986976375101</v>
      </c>
      <c r="L1904">
        <v>2677.66835451414</v>
      </c>
      <c r="M1904">
        <v>49.343161017662801</v>
      </c>
      <c r="N1904">
        <v>54.538800224002799</v>
      </c>
      <c r="O1904">
        <v>54.177341263592297</v>
      </c>
      <c r="P1904">
        <v>-0.20281355933678599</v>
      </c>
      <c r="Q1904">
        <v>0.109267477998747</v>
      </c>
      <c r="R1904">
        <v>0.99550040576011001</v>
      </c>
      <c r="S1904" t="s">
        <v>8574</v>
      </c>
      <c r="T1904" t="s">
        <v>13338</v>
      </c>
      <c r="U1904" t="s">
        <v>13338</v>
      </c>
      <c r="V1904" t="s">
        <v>13338</v>
      </c>
      <c r="W1904" t="s">
        <v>15206</v>
      </c>
      <c r="X1904">
        <v>10</v>
      </c>
      <c r="Y1904" t="s">
        <v>21795</v>
      </c>
      <c r="Z1904" t="s">
        <v>28319</v>
      </c>
      <c r="AA1904">
        <v>0.535036684299522</v>
      </c>
      <c r="AB1904" t="str">
        <f>HYPERLINK("Melting_Curves/meltCurve_P05165_2_PCCA.pdf", "Melting_Curves/meltCurve_P05165_2_PCCA.pdf")</f>
        <v>Melting_Curves/meltCurve_P05165_2_PCCA.pdf</v>
      </c>
    </row>
    <row r="1905" spans="1:28" x14ac:dyDescent="0.25">
      <c r="A1905" t="s">
        <v>1909</v>
      </c>
      <c r="B1905">
        <v>0.99193492352474899</v>
      </c>
      <c r="C1905">
        <v>0.67805194705509897</v>
      </c>
      <c r="D1905">
        <v>0.93717342942988502</v>
      </c>
      <c r="E1905">
        <v>0.54150586166033698</v>
      </c>
      <c r="F1905">
        <v>0.42263570421283098</v>
      </c>
      <c r="G1905">
        <v>0.151217486329567</v>
      </c>
      <c r="H1905">
        <v>6.6909206001279004E-2</v>
      </c>
      <c r="I1905">
        <v>7.2779043412793495E-2</v>
      </c>
      <c r="J1905">
        <v>7.9935266076297695E-2</v>
      </c>
      <c r="K1905">
        <v>8.9192896263014798E-2</v>
      </c>
      <c r="L1905">
        <v>638.25016308827003</v>
      </c>
      <c r="M1905">
        <v>12.6005703034182</v>
      </c>
      <c r="N1905">
        <v>50.764037387056398</v>
      </c>
      <c r="O1905">
        <v>49.427511393936001</v>
      </c>
      <c r="P1905">
        <v>-6.2874929243290995E-2</v>
      </c>
      <c r="Q1905">
        <v>1.3653683298854399E-2</v>
      </c>
      <c r="R1905">
        <v>0.92500824497545298</v>
      </c>
      <c r="S1905" t="s">
        <v>8575</v>
      </c>
      <c r="T1905" t="s">
        <v>13338</v>
      </c>
      <c r="U1905" t="s">
        <v>13338</v>
      </c>
      <c r="V1905" t="s">
        <v>13338</v>
      </c>
      <c r="W1905" t="s">
        <v>15207</v>
      </c>
      <c r="X1905">
        <v>34</v>
      </c>
      <c r="Y1905" t="s">
        <v>21796</v>
      </c>
      <c r="Z1905" t="s">
        <v>28320</v>
      </c>
      <c r="AA1905">
        <v>0.3944132088544452</v>
      </c>
      <c r="AB1905" t="str">
        <f>HYPERLINK("Melting_Curves/meltCurve_P05198_EIF2S1.pdf", "Melting_Curves/meltCurve_P05198_EIF2S1.pdf")</f>
        <v>Melting_Curves/meltCurve_P05198_EIF2S1.pdf</v>
      </c>
    </row>
    <row r="1906" spans="1:28" x14ac:dyDescent="0.25">
      <c r="A1906" t="s">
        <v>1910</v>
      </c>
      <c r="B1906">
        <v>0.99193492352474899</v>
      </c>
      <c r="C1906">
        <v>0.29799897635598399</v>
      </c>
      <c r="D1906">
        <v>1.01714757854215</v>
      </c>
      <c r="E1906">
        <v>0.59401755832083303</v>
      </c>
      <c r="F1906">
        <v>0.83686285812436501</v>
      </c>
      <c r="G1906">
        <v>0.35490995033268102</v>
      </c>
      <c r="H1906">
        <v>0.71591627935012103</v>
      </c>
      <c r="I1906">
        <v>0.57158665295016498</v>
      </c>
      <c r="J1906">
        <v>1.1274631879566299</v>
      </c>
      <c r="K1906">
        <v>1.6646663111234301</v>
      </c>
      <c r="L1906">
        <v>15000</v>
      </c>
      <c r="M1906">
        <v>222.47680135288201</v>
      </c>
      <c r="O1906">
        <v>67.417295671861496</v>
      </c>
      <c r="P1906">
        <v>0.41249939163566801</v>
      </c>
      <c r="Q1906">
        <v>1.5</v>
      </c>
      <c r="R1906">
        <v>6.5069250937013795E-2</v>
      </c>
      <c r="S1906" t="s">
        <v>8576</v>
      </c>
      <c r="T1906" t="s">
        <v>13338</v>
      </c>
      <c r="U1906" t="s">
        <v>13338</v>
      </c>
      <c r="V1906" t="s">
        <v>13338</v>
      </c>
      <c r="W1906" t="s">
        <v>15208</v>
      </c>
      <c r="X1906">
        <v>7</v>
      </c>
      <c r="Y1906" t="s">
        <v>21797</v>
      </c>
      <c r="Z1906" t="s">
        <v>28321</v>
      </c>
      <c r="AA1906">
        <v>1.042880810354867</v>
      </c>
      <c r="AB1906" t="str">
        <f>HYPERLINK("Melting_Curves/meltCurve_P05204_HMGN2.pdf", "Melting_Curves/meltCurve_P05204_HMGN2.pdf")</f>
        <v>Melting_Curves/meltCurve_P05204_HMGN2.pdf</v>
      </c>
    </row>
    <row r="1907" spans="1:28" x14ac:dyDescent="0.25">
      <c r="A1907" t="s">
        <v>1911</v>
      </c>
      <c r="B1907">
        <v>0.99193492352474899</v>
      </c>
      <c r="C1907">
        <v>1.00363980273769</v>
      </c>
      <c r="D1907">
        <v>1.01992955113912</v>
      </c>
      <c r="E1907">
        <v>0.87326448208553198</v>
      </c>
      <c r="F1907">
        <v>0.74757052368701604</v>
      </c>
      <c r="G1907">
        <v>0.61397841199217695</v>
      </c>
      <c r="H1907">
        <v>0.46992582747146899</v>
      </c>
      <c r="I1907">
        <v>0.59716866318134298</v>
      </c>
      <c r="J1907">
        <v>0.67891394980446995</v>
      </c>
      <c r="K1907">
        <v>0.75947395933139805</v>
      </c>
      <c r="L1907">
        <v>1585.74620457173</v>
      </c>
      <c r="M1907">
        <v>30.985798948653699</v>
      </c>
      <c r="O1907">
        <v>50.964807707345003</v>
      </c>
      <c r="P1907">
        <v>-5.70870692657909E-2</v>
      </c>
      <c r="Q1907">
        <v>0.62441958617547999</v>
      </c>
      <c r="R1907">
        <v>0.84757197857446398</v>
      </c>
      <c r="S1907" t="s">
        <v>8577</v>
      </c>
      <c r="T1907" t="s">
        <v>13338</v>
      </c>
      <c r="U1907" t="s">
        <v>13338</v>
      </c>
      <c r="V1907" t="s">
        <v>13338</v>
      </c>
      <c r="W1907" t="s">
        <v>15209</v>
      </c>
      <c r="X1907">
        <v>6</v>
      </c>
      <c r="Y1907" t="s">
        <v>21798</v>
      </c>
      <c r="Z1907" t="s">
        <v>28322</v>
      </c>
      <c r="AA1907">
        <v>0.76656253848587341</v>
      </c>
      <c r="AB1907" t="str">
        <f>HYPERLINK("Melting_Curves/meltCurve_P05362_ICAM1.pdf", "Melting_Curves/meltCurve_P05362_ICAM1.pdf")</f>
        <v>Melting_Curves/meltCurve_P05362_ICAM1.pdf</v>
      </c>
    </row>
    <row r="1908" spans="1:28" x14ac:dyDescent="0.25">
      <c r="A1908" t="s">
        <v>1912</v>
      </c>
      <c r="B1908">
        <v>0.99193492352474899</v>
      </c>
      <c r="C1908">
        <v>0.73948549412144904</v>
      </c>
      <c r="D1908">
        <v>0.64419874570135904</v>
      </c>
      <c r="E1908">
        <v>0.57283486042074305</v>
      </c>
      <c r="F1908">
        <v>0.53303514443128197</v>
      </c>
      <c r="G1908">
        <v>0.38332831957359398</v>
      </c>
      <c r="H1908">
        <v>0.287400593900555</v>
      </c>
      <c r="I1908">
        <v>0.25094693009103802</v>
      </c>
      <c r="J1908">
        <v>0.188237200222373</v>
      </c>
      <c r="K1908">
        <v>0.10989350228389</v>
      </c>
      <c r="L1908">
        <v>340.91480434050601</v>
      </c>
      <c r="M1908">
        <v>6.5260537658237201</v>
      </c>
      <c r="N1908">
        <v>52.239042668056904</v>
      </c>
      <c r="O1908">
        <v>47.984512175210703</v>
      </c>
      <c r="P1908">
        <v>-3.4082223080649302E-2</v>
      </c>
      <c r="Q1908">
        <v>0</v>
      </c>
      <c r="R1908">
        <v>0.95934253809459302</v>
      </c>
      <c r="S1908" t="s">
        <v>8578</v>
      </c>
      <c r="T1908" t="s">
        <v>13338</v>
      </c>
      <c r="U1908" t="s">
        <v>13338</v>
      </c>
      <c r="V1908" t="s">
        <v>13338</v>
      </c>
      <c r="W1908" t="s">
        <v>15210</v>
      </c>
      <c r="X1908">
        <v>2</v>
      </c>
      <c r="Y1908" t="s">
        <v>21799</v>
      </c>
      <c r="Z1908" t="s">
        <v>28323</v>
      </c>
      <c r="AA1908">
        <v>0.46084074345625431</v>
      </c>
      <c r="AB1908" t="str">
        <f>HYPERLINK("Melting_Curves/meltCurve_P05386_RPLP1.pdf", "Melting_Curves/meltCurve_P05386_RPLP1.pdf")</f>
        <v>Melting_Curves/meltCurve_P05386_RPLP1.pdf</v>
      </c>
    </row>
    <row r="1909" spans="1:28" x14ac:dyDescent="0.25">
      <c r="A1909" t="s">
        <v>1913</v>
      </c>
      <c r="B1909">
        <v>0.99193492352474899</v>
      </c>
      <c r="C1909">
        <v>0.58377294064847396</v>
      </c>
      <c r="D1909">
        <v>0.73653208135635495</v>
      </c>
      <c r="E1909">
        <v>0.52101550370264205</v>
      </c>
      <c r="F1909">
        <v>0.63921447980853996</v>
      </c>
      <c r="G1909">
        <v>0.41701102798676298</v>
      </c>
      <c r="H1909">
        <v>0.37576321537767998</v>
      </c>
      <c r="I1909">
        <v>0.40469198078644802</v>
      </c>
      <c r="J1909">
        <v>0.59722132001721895</v>
      </c>
      <c r="K1909">
        <v>0.85016873641948298</v>
      </c>
      <c r="L1909">
        <v>4219.55327700406</v>
      </c>
      <c r="M1909">
        <v>101.57888479217701</v>
      </c>
      <c r="O1909">
        <v>41.523576726164301</v>
      </c>
      <c r="P1909">
        <v>-0.26441787141474898</v>
      </c>
      <c r="Q1909">
        <v>0.567643408111703</v>
      </c>
      <c r="R1909">
        <v>0.44260494402317102</v>
      </c>
      <c r="S1909" t="s">
        <v>8579</v>
      </c>
      <c r="T1909" t="s">
        <v>13338</v>
      </c>
      <c r="U1909" t="s">
        <v>13338</v>
      </c>
      <c r="V1909" t="s">
        <v>13338</v>
      </c>
      <c r="W1909" t="s">
        <v>15211</v>
      </c>
      <c r="X1909">
        <v>8</v>
      </c>
      <c r="Y1909" t="s">
        <v>21800</v>
      </c>
      <c r="Z1909" t="s">
        <v>28324</v>
      </c>
      <c r="AA1909">
        <v>0.59013051130522964</v>
      </c>
      <c r="AB1909" t="str">
        <f>HYPERLINK("Melting_Curves/meltCurve_P05387_RPLP2.pdf", "Melting_Curves/meltCurve_P05387_RPLP2.pdf")</f>
        <v>Melting_Curves/meltCurve_P05387_RPLP2.pdf</v>
      </c>
    </row>
    <row r="1910" spans="1:28" x14ac:dyDescent="0.25">
      <c r="A1910" t="s">
        <v>1914</v>
      </c>
      <c r="B1910">
        <v>0.99193492352474899</v>
      </c>
      <c r="C1910">
        <v>0.50084075050800603</v>
      </c>
      <c r="D1910">
        <v>0.61091419732706198</v>
      </c>
      <c r="E1910">
        <v>0.442589334888571</v>
      </c>
      <c r="F1910">
        <v>0.51757642860833397</v>
      </c>
      <c r="G1910">
        <v>0.42564048377272201</v>
      </c>
      <c r="H1910">
        <v>0.19576496831958801</v>
      </c>
      <c r="I1910">
        <v>7.9275406696141595E-2</v>
      </c>
      <c r="J1910">
        <v>8.3128895811144396E-2</v>
      </c>
      <c r="K1910">
        <v>6.4707693276924702E-2</v>
      </c>
      <c r="L1910">
        <v>331.81438496673599</v>
      </c>
      <c r="M1910">
        <v>6.7484325352779004</v>
      </c>
      <c r="N1910">
        <v>49.1691047856281</v>
      </c>
      <c r="O1910">
        <v>45.392248048853297</v>
      </c>
      <c r="P1910">
        <v>-3.7246087443305202E-2</v>
      </c>
      <c r="Q1910">
        <v>0</v>
      </c>
      <c r="R1910">
        <v>0.82453968776142195</v>
      </c>
      <c r="S1910" t="s">
        <v>8580</v>
      </c>
      <c r="T1910" t="s">
        <v>13338</v>
      </c>
      <c r="U1910" t="s">
        <v>13338</v>
      </c>
      <c r="V1910" t="s">
        <v>13338</v>
      </c>
      <c r="W1910" t="s">
        <v>15212</v>
      </c>
      <c r="X1910">
        <v>13</v>
      </c>
      <c r="Y1910" t="s">
        <v>21801</v>
      </c>
      <c r="Z1910" t="s">
        <v>28325</v>
      </c>
      <c r="AA1910">
        <v>0.3839672485483227</v>
      </c>
      <c r="AB1910" t="str">
        <f>HYPERLINK("Melting_Curves/meltCurve_P05388_RPLP0.pdf", "Melting_Curves/meltCurve_P05388_RPLP0.pdf")</f>
        <v>Melting_Curves/meltCurve_P05388_RPLP0.pdf</v>
      </c>
    </row>
    <row r="1911" spans="1:28" x14ac:dyDescent="0.25">
      <c r="A1911" t="s">
        <v>1915</v>
      </c>
      <c r="B1911">
        <v>0.99193492352474899</v>
      </c>
      <c r="C1911">
        <v>0.93466814590667202</v>
      </c>
      <c r="D1911">
        <v>0.95038662233165305</v>
      </c>
      <c r="E1911">
        <v>0.67234164638412997</v>
      </c>
      <c r="F1911">
        <v>0.42670256983511301</v>
      </c>
      <c r="G1911">
        <v>0.39561182745130002</v>
      </c>
      <c r="H1911">
        <v>0.36995384119807401</v>
      </c>
      <c r="I1911">
        <v>0.71289364714131398</v>
      </c>
      <c r="J1911">
        <v>0.76238724018724902</v>
      </c>
      <c r="K1911">
        <v>1.0516789737421399</v>
      </c>
      <c r="L1911">
        <v>2615.8606783006899</v>
      </c>
      <c r="M1911">
        <v>54.909283936415903</v>
      </c>
      <c r="O1911">
        <v>47.576608720375901</v>
      </c>
      <c r="P1911">
        <v>-0.109211039392862</v>
      </c>
      <c r="Q1911">
        <v>0.62149288800687297</v>
      </c>
      <c r="R1911">
        <v>0.38327449647642797</v>
      </c>
      <c r="S1911" t="s">
        <v>8581</v>
      </c>
      <c r="T1911" t="s">
        <v>13338</v>
      </c>
      <c r="U1911" t="s">
        <v>13338</v>
      </c>
      <c r="V1911" t="s">
        <v>13338</v>
      </c>
      <c r="W1911" t="s">
        <v>15213</v>
      </c>
      <c r="X1911">
        <v>3</v>
      </c>
      <c r="Y1911" t="s">
        <v>21802</v>
      </c>
      <c r="Z1911" t="s">
        <v>28326</v>
      </c>
      <c r="AA1911">
        <v>0.71854108834155583</v>
      </c>
      <c r="AB1911" t="str">
        <f>HYPERLINK("Melting_Curves/meltCurve_P05412_JUN.pdf", "Melting_Curves/meltCurve_P05412_JUN.pdf")</f>
        <v>Melting_Curves/meltCurve_P05412_JUN.pdf</v>
      </c>
    </row>
    <row r="1912" spans="1:28" x14ac:dyDescent="0.25">
      <c r="A1912" t="s">
        <v>1916</v>
      </c>
      <c r="B1912">
        <v>0.99193492352474899</v>
      </c>
      <c r="C1912">
        <v>0.51567818052015701</v>
      </c>
      <c r="D1912">
        <v>0.66113593653571001</v>
      </c>
      <c r="E1912">
        <v>0.30684872395563001</v>
      </c>
      <c r="F1912">
        <v>0.32800402976654502</v>
      </c>
      <c r="G1912">
        <v>0.154329079357093</v>
      </c>
      <c r="H1912">
        <v>0.118355132073538</v>
      </c>
      <c r="I1912">
        <v>0.18468097598698099</v>
      </c>
      <c r="J1912">
        <v>0.208045491279859</v>
      </c>
      <c r="K1912">
        <v>0.249622661058955</v>
      </c>
      <c r="L1912">
        <v>607.502959320321</v>
      </c>
      <c r="M1912">
        <v>13.5386754278259</v>
      </c>
      <c r="N1912">
        <v>46.350310660465702</v>
      </c>
      <c r="O1912">
        <v>43.926635211884197</v>
      </c>
      <c r="P1912">
        <v>-6.3550045903787003E-2</v>
      </c>
      <c r="Q1912">
        <v>0.17536428728192799</v>
      </c>
      <c r="R1912">
        <v>0.85894650917210702</v>
      </c>
      <c r="S1912" t="s">
        <v>8582</v>
      </c>
      <c r="T1912" t="s">
        <v>13338</v>
      </c>
      <c r="U1912" t="s">
        <v>13338</v>
      </c>
      <c r="V1912" t="s">
        <v>13338</v>
      </c>
      <c r="W1912" t="s">
        <v>15214</v>
      </c>
      <c r="X1912">
        <v>3</v>
      </c>
      <c r="Y1912" t="s">
        <v>21803</v>
      </c>
      <c r="Z1912" t="s">
        <v>28327</v>
      </c>
      <c r="AA1912">
        <v>0.34239151130155671</v>
      </c>
      <c r="AB1912" t="str">
        <f>HYPERLINK("Melting_Curves/meltCurve_P05423_POLR3D.pdf", "Melting_Curves/meltCurve_P05423_POLR3D.pdf")</f>
        <v>Melting_Curves/meltCurve_P05423_POLR3D.pdf</v>
      </c>
    </row>
    <row r="1913" spans="1:28" x14ac:dyDescent="0.25">
      <c r="A1913" t="s">
        <v>1917</v>
      </c>
      <c r="B1913">
        <v>0.99193492352474899</v>
      </c>
      <c r="C1913">
        <v>0.82901778880149701</v>
      </c>
      <c r="D1913">
        <v>0.80100757348839502</v>
      </c>
      <c r="E1913">
        <v>0.49129180469204198</v>
      </c>
      <c r="F1913">
        <v>0.168100608836459</v>
      </c>
      <c r="G1913">
        <v>9.7023082819796394E-2</v>
      </c>
      <c r="H1913">
        <v>5.6126056204291001E-2</v>
      </c>
      <c r="I1913">
        <v>6.2672778830565698E-2</v>
      </c>
      <c r="J1913">
        <v>6.9968061481069904E-2</v>
      </c>
      <c r="K1913">
        <v>8.1731516790426895E-2</v>
      </c>
      <c r="L1913">
        <v>914.83084734847205</v>
      </c>
      <c r="M1913">
        <v>18.742547077328702</v>
      </c>
      <c r="N1913">
        <v>49.079684147679998</v>
      </c>
      <c r="O1913">
        <v>48.264908365443198</v>
      </c>
      <c r="P1913">
        <v>-9.2341625184523199E-2</v>
      </c>
      <c r="Q1913">
        <v>4.8865135892543002E-2</v>
      </c>
      <c r="R1913">
        <v>0.98662456971019197</v>
      </c>
      <c r="S1913" t="s">
        <v>8583</v>
      </c>
      <c r="T1913" t="s">
        <v>13338</v>
      </c>
      <c r="U1913" t="s">
        <v>13338</v>
      </c>
      <c r="V1913" t="s">
        <v>13338</v>
      </c>
      <c r="W1913" t="s">
        <v>15215</v>
      </c>
      <c r="X1913">
        <v>33</v>
      </c>
      <c r="Y1913" t="s">
        <v>21804</v>
      </c>
      <c r="Z1913" t="s">
        <v>28328</v>
      </c>
      <c r="AA1913">
        <v>0.3434328733054387</v>
      </c>
      <c r="AB1913" t="str">
        <f>HYPERLINK("Melting_Curves/meltCurve_P05455_SSB.pdf", "Melting_Curves/meltCurve_P05455_SSB.pdf")</f>
        <v>Melting_Curves/meltCurve_P05455_SSB.pdf</v>
      </c>
    </row>
    <row r="1914" spans="1:28" x14ac:dyDescent="0.25">
      <c r="A1914" t="s">
        <v>1918</v>
      </c>
      <c r="B1914">
        <v>0.99193492352474899</v>
      </c>
      <c r="C1914">
        <v>1.11319167010049</v>
      </c>
      <c r="D1914">
        <v>0.89574200892768996</v>
      </c>
      <c r="E1914">
        <v>0.855528147953042</v>
      </c>
      <c r="F1914">
        <v>0.63173569713453903</v>
      </c>
      <c r="G1914">
        <v>0.61018539691245899</v>
      </c>
      <c r="H1914">
        <v>0.43358518161371101</v>
      </c>
      <c r="I1914">
        <v>0.60765121751169704</v>
      </c>
      <c r="J1914">
        <v>0.59356898991179596</v>
      </c>
      <c r="K1914">
        <v>0.73452496596547201</v>
      </c>
      <c r="L1914">
        <v>1540.35707230916</v>
      </c>
      <c r="M1914">
        <v>30.734692937466701</v>
      </c>
      <c r="O1914">
        <v>49.907115210428898</v>
      </c>
      <c r="P1914">
        <v>-6.2878671390728405E-2</v>
      </c>
      <c r="Q1914">
        <v>0.59159182012398404</v>
      </c>
      <c r="R1914">
        <v>0.83274950000446002</v>
      </c>
      <c r="S1914" t="s">
        <v>8584</v>
      </c>
      <c r="T1914" t="s">
        <v>13338</v>
      </c>
      <c r="U1914" t="s">
        <v>13338</v>
      </c>
      <c r="V1914" t="s">
        <v>13338</v>
      </c>
      <c r="W1914" t="s">
        <v>15216</v>
      </c>
      <c r="X1914">
        <v>26</v>
      </c>
      <c r="Y1914" t="s">
        <v>21805</v>
      </c>
      <c r="Z1914" t="s">
        <v>28329</v>
      </c>
      <c r="AA1914">
        <v>0.73174250694882248</v>
      </c>
      <c r="AB1914" t="str">
        <f>HYPERLINK("Melting_Curves/meltCurve_P05556_ITGB1.pdf", "Melting_Curves/meltCurve_P05556_ITGB1.pdf")</f>
        <v>Melting_Curves/meltCurve_P05556_ITGB1.pdf</v>
      </c>
    </row>
    <row r="1915" spans="1:28" x14ac:dyDescent="0.25">
      <c r="A1915" t="s">
        <v>1919</v>
      </c>
      <c r="B1915">
        <v>0.99193492352474899</v>
      </c>
      <c r="C1915">
        <v>1.0860421909199101</v>
      </c>
      <c r="D1915">
        <v>0.96031547569583897</v>
      </c>
      <c r="E1915">
        <v>0.60317896023916995</v>
      </c>
      <c r="F1915">
        <v>0.17563083013767999</v>
      </c>
      <c r="G1915">
        <v>9.91981403862503E-2</v>
      </c>
      <c r="H1915">
        <v>6.4715894970176699E-2</v>
      </c>
      <c r="I1915">
        <v>7.5986268802709506E-2</v>
      </c>
      <c r="J1915">
        <v>7.7640208926089305E-2</v>
      </c>
      <c r="K1915">
        <v>9.3828379981318794E-2</v>
      </c>
      <c r="L1915">
        <v>1817.5042906068199</v>
      </c>
      <c r="M1915">
        <v>36.357665502069203</v>
      </c>
      <c r="N1915">
        <v>50.230494442431301</v>
      </c>
      <c r="O1915">
        <v>49.839081253682899</v>
      </c>
      <c r="P1915">
        <v>-0.16778280157334599</v>
      </c>
      <c r="Q1915">
        <v>8.0016523416017601E-2</v>
      </c>
      <c r="R1915">
        <v>0.995117597919976</v>
      </c>
      <c r="S1915" t="s">
        <v>8585</v>
      </c>
      <c r="T1915" t="s">
        <v>13338</v>
      </c>
      <c r="U1915" t="s">
        <v>13338</v>
      </c>
      <c r="V1915" t="s">
        <v>13338</v>
      </c>
      <c r="W1915" t="s">
        <v>15217</v>
      </c>
      <c r="X1915">
        <v>23</v>
      </c>
      <c r="Y1915" t="s">
        <v>21806</v>
      </c>
      <c r="Z1915" t="s">
        <v>28330</v>
      </c>
      <c r="AA1915">
        <v>0.39021434978440939</v>
      </c>
      <c r="AB1915" t="str">
        <f>HYPERLINK("Melting_Curves/meltCurve_P05771_2_PRKCB.pdf", "Melting_Curves/meltCurve_P05771_2_PRKCB.pdf")</f>
        <v>Melting_Curves/meltCurve_P05771_2_PRKCB.pdf</v>
      </c>
    </row>
    <row r="1916" spans="1:28" x14ac:dyDescent="0.25">
      <c r="A1916" t="s">
        <v>1920</v>
      </c>
      <c r="B1916">
        <v>0.99193492352474899</v>
      </c>
      <c r="C1916">
        <v>0.95920211649956</v>
      </c>
      <c r="D1916">
        <v>0.89993556740557101</v>
      </c>
      <c r="E1916">
        <v>0.873839522226596</v>
      </c>
      <c r="F1916">
        <v>0.653128719979998</v>
      </c>
      <c r="G1916">
        <v>0.45347404219213699</v>
      </c>
      <c r="H1916">
        <v>0.37068879363070301</v>
      </c>
      <c r="I1916">
        <v>0.33080600697573898</v>
      </c>
      <c r="J1916">
        <v>0.36890702638255302</v>
      </c>
      <c r="K1916">
        <v>0.438750332126221</v>
      </c>
      <c r="L1916">
        <v>1123.9796316731399</v>
      </c>
      <c r="M1916">
        <v>21.4211921991688</v>
      </c>
      <c r="N1916">
        <v>55.861837372999297</v>
      </c>
      <c r="O1916">
        <v>52.019597230474702</v>
      </c>
      <c r="P1916">
        <v>-6.5496918848750293E-2</v>
      </c>
      <c r="Q1916">
        <v>0.36380034300317998</v>
      </c>
      <c r="R1916">
        <v>0.97744977820759704</v>
      </c>
      <c r="S1916" t="s">
        <v>8586</v>
      </c>
      <c r="T1916" t="s">
        <v>13338</v>
      </c>
      <c r="U1916" t="s">
        <v>13338</v>
      </c>
      <c r="V1916" t="s">
        <v>13338</v>
      </c>
      <c r="W1916" t="s">
        <v>15218</v>
      </c>
      <c r="X1916">
        <v>3</v>
      </c>
      <c r="Y1916" t="s">
        <v>21807</v>
      </c>
      <c r="Z1916" t="s">
        <v>28331</v>
      </c>
      <c r="AA1916">
        <v>0.63602982837271638</v>
      </c>
      <c r="AB1916" t="str">
        <f>HYPERLINK("Melting_Curves/meltCurve_P06126_CD1A.pdf", "Melting_Curves/meltCurve_P06126_CD1A.pdf")</f>
        <v>Melting_Curves/meltCurve_P06126_CD1A.pdf</v>
      </c>
    </row>
    <row r="1917" spans="1:28" x14ac:dyDescent="0.25">
      <c r="A1917" t="s">
        <v>1921</v>
      </c>
      <c r="B1917">
        <v>0.99193492352474899</v>
      </c>
      <c r="C1917">
        <v>1.00397807299562</v>
      </c>
      <c r="D1917">
        <v>0.975988970280107</v>
      </c>
      <c r="E1917">
        <v>0.85616303703605501</v>
      </c>
      <c r="F1917">
        <v>0.62664252437147505</v>
      </c>
      <c r="G1917">
        <v>0.544853719472149</v>
      </c>
      <c r="H1917">
        <v>0.39698160632462398</v>
      </c>
      <c r="I1917">
        <v>0.387153956304291</v>
      </c>
      <c r="J1917">
        <v>0.33462505932418102</v>
      </c>
      <c r="K1917">
        <v>0.31254938663834098</v>
      </c>
      <c r="L1917">
        <v>845.68655034991195</v>
      </c>
      <c r="M1917">
        <v>15.81725056108</v>
      </c>
      <c r="N1917">
        <v>57.061326078421203</v>
      </c>
      <c r="O1917">
        <v>52.633368450099503</v>
      </c>
      <c r="P1917">
        <v>-5.1435397555699099E-2</v>
      </c>
      <c r="Q1917">
        <v>0.315431944159769</v>
      </c>
      <c r="R1917">
        <v>0.99282734798834904</v>
      </c>
      <c r="S1917" t="s">
        <v>8587</v>
      </c>
      <c r="T1917" t="s">
        <v>13338</v>
      </c>
      <c r="U1917" t="s">
        <v>13338</v>
      </c>
      <c r="V1917" t="s">
        <v>13338</v>
      </c>
      <c r="W1917" t="s">
        <v>15219</v>
      </c>
      <c r="X1917">
        <v>16</v>
      </c>
      <c r="Y1917" t="s">
        <v>21808</v>
      </c>
      <c r="Z1917" t="s">
        <v>28332</v>
      </c>
      <c r="AA1917">
        <v>0.63613973772084409</v>
      </c>
      <c r="AB1917" t="str">
        <f>HYPERLINK("Melting_Curves/meltCurve_P06127_CD5.pdf", "Melting_Curves/meltCurve_P06127_CD5.pdf")</f>
        <v>Melting_Curves/meltCurve_P06127_CD5.pdf</v>
      </c>
    </row>
    <row r="1918" spans="1:28" x14ac:dyDescent="0.25">
      <c r="A1918" t="s">
        <v>1922</v>
      </c>
      <c r="B1918">
        <v>0.99193492352474899</v>
      </c>
      <c r="C1918">
        <v>1.0145169260474101</v>
      </c>
      <c r="D1918">
        <v>0.94922647381140002</v>
      </c>
      <c r="E1918">
        <v>0.86192452436070499</v>
      </c>
      <c r="F1918">
        <v>0.77102217309062804</v>
      </c>
      <c r="G1918">
        <v>0.59254736232743199</v>
      </c>
      <c r="H1918">
        <v>0.43436443849921802</v>
      </c>
      <c r="I1918">
        <v>0.28153584863262698</v>
      </c>
      <c r="J1918">
        <v>0.18951809082938001</v>
      </c>
      <c r="K1918">
        <v>0.14044651221527499</v>
      </c>
      <c r="L1918">
        <v>652.96451146299398</v>
      </c>
      <c r="M1918">
        <v>11.104271882414301</v>
      </c>
      <c r="N1918">
        <v>58.803021983634501</v>
      </c>
      <c r="O1918">
        <v>56.992548016776702</v>
      </c>
      <c r="P1918">
        <v>-4.8725162027435501E-2</v>
      </c>
      <c r="Q1918">
        <v>0</v>
      </c>
      <c r="R1918">
        <v>0.997583398356503</v>
      </c>
      <c r="S1918" t="s">
        <v>8588</v>
      </c>
      <c r="T1918" t="s">
        <v>13338</v>
      </c>
      <c r="U1918" t="s">
        <v>13338</v>
      </c>
      <c r="V1918" t="s">
        <v>13338</v>
      </c>
      <c r="W1918" t="s">
        <v>15220</v>
      </c>
      <c r="X1918">
        <v>12</v>
      </c>
      <c r="Y1918" t="s">
        <v>21809</v>
      </c>
      <c r="Z1918" t="s">
        <v>28333</v>
      </c>
      <c r="AA1918">
        <v>0.63416676319693965</v>
      </c>
      <c r="AB1918" t="str">
        <f>HYPERLINK("Melting_Curves/meltCurve_P06132_UROD.pdf", "Melting_Curves/meltCurve_P06132_UROD.pdf")</f>
        <v>Melting_Curves/meltCurve_P06132_UROD.pdf</v>
      </c>
    </row>
    <row r="1919" spans="1:28" x14ac:dyDescent="0.25">
      <c r="A1919" t="s">
        <v>1923</v>
      </c>
      <c r="B1919">
        <v>0.99193492352474899</v>
      </c>
      <c r="C1919">
        <v>1.021027270884</v>
      </c>
      <c r="D1919">
        <v>0.815057563183471</v>
      </c>
      <c r="E1919">
        <v>0.16875616061802301</v>
      </c>
      <c r="F1919">
        <v>0.105774571091326</v>
      </c>
      <c r="G1919">
        <v>5.4731646981606701E-2</v>
      </c>
      <c r="H1919">
        <v>4.1417565602980502E-2</v>
      </c>
      <c r="I1919">
        <v>4.86729269082634E-2</v>
      </c>
      <c r="J1919">
        <v>6.0171479840068001E-2</v>
      </c>
      <c r="K1919">
        <v>6.0576176243114302E-2</v>
      </c>
      <c r="L1919">
        <v>2171.38930824111</v>
      </c>
      <c r="M1919">
        <v>45.788297500822203</v>
      </c>
      <c r="N1919">
        <v>47.555835198170399</v>
      </c>
      <c r="O1919">
        <v>47.332178043599697</v>
      </c>
      <c r="P1919">
        <v>-0.22726304964648</v>
      </c>
      <c r="Q1919">
        <v>6.0297770433080801E-2</v>
      </c>
      <c r="R1919">
        <v>0.99817766363273797</v>
      </c>
      <c r="S1919" t="s">
        <v>8589</v>
      </c>
      <c r="T1919" t="s">
        <v>13338</v>
      </c>
      <c r="U1919" t="s">
        <v>13338</v>
      </c>
      <c r="V1919" t="s">
        <v>13338</v>
      </c>
      <c r="W1919" t="s">
        <v>15221</v>
      </c>
      <c r="X1919">
        <v>16</v>
      </c>
      <c r="Y1919" t="s">
        <v>21810</v>
      </c>
      <c r="Z1919" t="s">
        <v>28334</v>
      </c>
      <c r="AA1919">
        <v>0.29514250699551142</v>
      </c>
      <c r="AB1919" t="str">
        <f>HYPERLINK("Melting_Curves/meltCurve_P06239_LCK.pdf", "Melting_Curves/meltCurve_P06239_LCK.pdf")</f>
        <v>Melting_Curves/meltCurve_P06239_LCK.pdf</v>
      </c>
    </row>
    <row r="1920" spans="1:28" x14ac:dyDescent="0.25">
      <c r="A1920" t="s">
        <v>1924</v>
      </c>
      <c r="B1920">
        <v>0.99193492352474899</v>
      </c>
      <c r="C1920">
        <v>0.97927141722061695</v>
      </c>
      <c r="D1920">
        <v>0.96014903511276295</v>
      </c>
      <c r="E1920">
        <v>0.37841277150194302</v>
      </c>
      <c r="F1920">
        <v>0.24975872228402499</v>
      </c>
      <c r="G1920">
        <v>0.118773498881224</v>
      </c>
      <c r="H1920">
        <v>8.8410579260312996E-2</v>
      </c>
      <c r="I1920">
        <v>6.1244306183639803E-2</v>
      </c>
      <c r="J1920">
        <v>7.0107915885542701E-2</v>
      </c>
      <c r="K1920">
        <v>4.6043678454461702E-2</v>
      </c>
      <c r="L1920">
        <v>1698.67248764939</v>
      </c>
      <c r="M1920">
        <v>34.789492519336399</v>
      </c>
      <c r="N1920">
        <v>49.1113431133506</v>
      </c>
      <c r="O1920">
        <v>48.666682958203097</v>
      </c>
      <c r="P1920">
        <v>-0.162420682848847</v>
      </c>
      <c r="Q1920">
        <v>9.1168424474869197E-2</v>
      </c>
      <c r="R1920">
        <v>0.98619082637601196</v>
      </c>
      <c r="S1920" t="s">
        <v>8590</v>
      </c>
      <c r="T1920" t="s">
        <v>13338</v>
      </c>
      <c r="U1920" t="s">
        <v>13338</v>
      </c>
      <c r="V1920" t="s">
        <v>13338</v>
      </c>
      <c r="W1920" t="s">
        <v>15222</v>
      </c>
      <c r="X1920">
        <v>3</v>
      </c>
      <c r="Y1920" t="s">
        <v>21811</v>
      </c>
      <c r="Z1920" t="s">
        <v>28335</v>
      </c>
      <c r="AA1920">
        <v>0.3626600820940532</v>
      </c>
      <c r="AB1920" t="str">
        <f>HYPERLINK("Melting_Curves/meltCurve_P06241_2_FYN.pdf", "Melting_Curves/meltCurve_P06241_2_FYN.pdf")</f>
        <v>Melting_Curves/meltCurve_P06241_2_FYN.pdf</v>
      </c>
    </row>
    <row r="1921" spans="1:28" x14ac:dyDescent="0.25">
      <c r="A1921" t="s">
        <v>1925</v>
      </c>
      <c r="B1921">
        <v>0.99193492352474899</v>
      </c>
      <c r="C1921">
        <v>0.798447179518607</v>
      </c>
      <c r="D1921">
        <v>0.93288082780896098</v>
      </c>
      <c r="E1921">
        <v>0.79881539467458695</v>
      </c>
      <c r="F1921">
        <v>0.69352230423701</v>
      </c>
      <c r="G1921">
        <v>0.47478934864084299</v>
      </c>
      <c r="H1921">
        <v>8.8840604341892906E-2</v>
      </c>
      <c r="I1921">
        <v>6.6516063110730703E-2</v>
      </c>
      <c r="J1921">
        <v>8.0704103593194895E-2</v>
      </c>
      <c r="K1921">
        <v>4.25985773362356E-2</v>
      </c>
      <c r="L1921">
        <v>868.23236629397502</v>
      </c>
      <c r="M1921">
        <v>15.705724301830299</v>
      </c>
      <c r="N1921">
        <v>55.281268219425499</v>
      </c>
      <c r="O1921">
        <v>54.408324825525497</v>
      </c>
      <c r="P1921">
        <v>-7.2172086341039901E-2</v>
      </c>
      <c r="Q1921">
        <v>0</v>
      </c>
      <c r="R1921">
        <v>0.95543335208333902</v>
      </c>
      <c r="S1921" t="s">
        <v>8591</v>
      </c>
      <c r="T1921" t="s">
        <v>13338</v>
      </c>
      <c r="U1921" t="s">
        <v>13338</v>
      </c>
      <c r="V1921" t="s">
        <v>13338</v>
      </c>
      <c r="W1921" t="s">
        <v>15223</v>
      </c>
      <c r="X1921">
        <v>6</v>
      </c>
      <c r="Y1921" t="s">
        <v>21812</v>
      </c>
      <c r="Z1921" t="s">
        <v>28336</v>
      </c>
      <c r="AA1921">
        <v>0.52737208795498847</v>
      </c>
      <c r="AB1921" t="str">
        <f>HYPERLINK("Melting_Curves/meltCurve_P06280_GLA.pdf", "Melting_Curves/meltCurve_P06280_GLA.pdf")</f>
        <v>Melting_Curves/meltCurve_P06280_GLA.pdf</v>
      </c>
    </row>
    <row r="1922" spans="1:28" x14ac:dyDescent="0.25">
      <c r="A1922" t="s">
        <v>1926</v>
      </c>
      <c r="B1922">
        <v>0.99193492352474899</v>
      </c>
      <c r="C1922">
        <v>1.10997283950189</v>
      </c>
      <c r="D1922">
        <v>0.91643315942716397</v>
      </c>
      <c r="E1922">
        <v>0.92246620268157498</v>
      </c>
      <c r="F1922">
        <v>0.52117243636036903</v>
      </c>
      <c r="G1922">
        <v>0.163748766775207</v>
      </c>
      <c r="H1922">
        <v>9.1161963487511793E-2</v>
      </c>
      <c r="I1922">
        <v>7.7376530990631798E-2</v>
      </c>
      <c r="J1922">
        <v>8.3521166915594094E-2</v>
      </c>
      <c r="K1922">
        <v>9.0269344462329607E-2</v>
      </c>
      <c r="L1922">
        <v>1784.92444640812</v>
      </c>
      <c r="M1922">
        <v>33.647153962339701</v>
      </c>
      <c r="N1922">
        <v>53.326082401767998</v>
      </c>
      <c r="O1922">
        <v>52.861972405486298</v>
      </c>
      <c r="P1922">
        <v>-0.14633657060805499</v>
      </c>
      <c r="Q1922">
        <v>8.0384893240448299E-2</v>
      </c>
      <c r="R1922">
        <v>0.98949435228509397</v>
      </c>
      <c r="S1922" t="s">
        <v>8592</v>
      </c>
      <c r="T1922" t="s">
        <v>13338</v>
      </c>
      <c r="U1922" t="s">
        <v>13338</v>
      </c>
      <c r="V1922" t="s">
        <v>13338</v>
      </c>
      <c r="W1922" t="s">
        <v>15224</v>
      </c>
      <c r="X1922">
        <v>14</v>
      </c>
      <c r="Y1922" t="s">
        <v>21813</v>
      </c>
      <c r="Z1922" t="s">
        <v>28337</v>
      </c>
      <c r="AA1922">
        <v>0.48512415116614738</v>
      </c>
      <c r="AB1922" t="str">
        <f>HYPERLINK("Melting_Curves/meltCurve_P06396_2_GSN.pdf", "Melting_Curves/meltCurve_P06396_2_GSN.pdf")</f>
        <v>Melting_Curves/meltCurve_P06396_2_GSN.pdf</v>
      </c>
    </row>
    <row r="1923" spans="1:28" x14ac:dyDescent="0.25">
      <c r="A1923" t="s">
        <v>1927</v>
      </c>
      <c r="B1923">
        <v>0.99193492352474899</v>
      </c>
      <c r="C1923">
        <v>1.02298311213516</v>
      </c>
      <c r="D1923">
        <v>1.0800585547068899</v>
      </c>
      <c r="E1923">
        <v>0.93380642063022201</v>
      </c>
      <c r="F1923">
        <v>0.53329838754687797</v>
      </c>
      <c r="G1923">
        <v>0.14597976394054701</v>
      </c>
      <c r="H1923">
        <v>7.3843736105353497E-2</v>
      </c>
      <c r="I1923">
        <v>9.1342574937284496E-2</v>
      </c>
      <c r="J1923">
        <v>9.6046605471820604E-2</v>
      </c>
      <c r="K1923">
        <v>0.10404847254692499</v>
      </c>
      <c r="L1923">
        <v>2136.8359168369798</v>
      </c>
      <c r="M1923">
        <v>40.234679293815297</v>
      </c>
      <c r="N1923">
        <v>53.368886381286998</v>
      </c>
      <c r="O1923">
        <v>52.978615981326499</v>
      </c>
      <c r="P1923">
        <v>-0.17299003483217201</v>
      </c>
      <c r="Q1923">
        <v>8.8870182315278906E-2</v>
      </c>
      <c r="R1923">
        <v>0.995469600630568</v>
      </c>
      <c r="S1923" t="s">
        <v>8593</v>
      </c>
      <c r="T1923" t="s">
        <v>13338</v>
      </c>
      <c r="U1923" t="s">
        <v>13338</v>
      </c>
      <c r="V1923" t="s">
        <v>13338</v>
      </c>
      <c r="W1923" t="s">
        <v>15225</v>
      </c>
      <c r="X1923">
        <v>42</v>
      </c>
      <c r="Y1923" t="s">
        <v>21814</v>
      </c>
      <c r="Z1923" t="s">
        <v>28338</v>
      </c>
      <c r="AA1923">
        <v>0.4903148767257039</v>
      </c>
      <c r="AB1923" t="str">
        <f>HYPERLINK("Melting_Curves/meltCurve_P06400_RB1.pdf", "Melting_Curves/meltCurve_P06400_RB1.pdf")</f>
        <v>Melting_Curves/meltCurve_P06400_RB1.pdf</v>
      </c>
    </row>
    <row r="1924" spans="1:28" x14ac:dyDescent="0.25">
      <c r="A1924" t="s">
        <v>1928</v>
      </c>
      <c r="B1924">
        <v>0.99193492352474899</v>
      </c>
      <c r="C1924">
        <v>1.38733469114637</v>
      </c>
      <c r="D1924">
        <v>0.95616001585339105</v>
      </c>
      <c r="E1924">
        <v>0.63291483422934103</v>
      </c>
      <c r="F1924">
        <v>0.32823788148572702</v>
      </c>
      <c r="G1924">
        <v>0.23484378800721201</v>
      </c>
      <c r="H1924">
        <v>0.11823989318203799</v>
      </c>
      <c r="I1924">
        <v>0.100022161825791</v>
      </c>
      <c r="J1924">
        <v>8.4421891198333099E-2</v>
      </c>
      <c r="K1924">
        <v>7.8523040298688507E-2</v>
      </c>
      <c r="L1924">
        <v>1297.16518185518</v>
      </c>
      <c r="M1924">
        <v>25.567986572852099</v>
      </c>
      <c r="N1924">
        <v>51.215778520523898</v>
      </c>
      <c r="O1924">
        <v>50.426665828724097</v>
      </c>
      <c r="P1924">
        <v>-0.113209829027616</v>
      </c>
      <c r="Q1924">
        <v>0.106895188148736</v>
      </c>
      <c r="R1924">
        <v>0.91733297871893604</v>
      </c>
      <c r="S1924" t="s">
        <v>8594</v>
      </c>
      <c r="T1924" t="s">
        <v>13338</v>
      </c>
      <c r="U1924" t="s">
        <v>13338</v>
      </c>
      <c r="V1924" t="s">
        <v>13338</v>
      </c>
      <c r="W1924" t="s">
        <v>15226</v>
      </c>
      <c r="X1924">
        <v>16</v>
      </c>
      <c r="Y1924" t="s">
        <v>21815</v>
      </c>
      <c r="Z1924" t="s">
        <v>28339</v>
      </c>
      <c r="AA1924">
        <v>0.43414147231734168</v>
      </c>
      <c r="AB1924" t="str">
        <f>HYPERLINK("Melting_Curves/meltCurve_P06493_CDK1.pdf", "Melting_Curves/meltCurve_P06493_CDK1.pdf")</f>
        <v>Melting_Curves/meltCurve_P06493_CDK1.pdf</v>
      </c>
    </row>
    <row r="1925" spans="1:28" x14ac:dyDescent="0.25">
      <c r="A1925" t="s">
        <v>1929</v>
      </c>
      <c r="B1925">
        <v>0.99193492352474899</v>
      </c>
      <c r="C1925">
        <v>0.887919061831421</v>
      </c>
      <c r="D1925">
        <v>0.91675914750421095</v>
      </c>
      <c r="E1925">
        <v>0.71940443411281696</v>
      </c>
      <c r="F1925">
        <v>0.72231086425523405</v>
      </c>
      <c r="G1925">
        <v>0.54524503369698696</v>
      </c>
      <c r="H1925">
        <v>0.421011357459465</v>
      </c>
      <c r="I1925">
        <v>0.32680433599564201</v>
      </c>
      <c r="J1925">
        <v>0.16636627925033101</v>
      </c>
      <c r="K1925">
        <v>0.154171795600268</v>
      </c>
      <c r="L1925">
        <v>490.08468292701701</v>
      </c>
      <c r="M1925">
        <v>8.5080378485771995</v>
      </c>
      <c r="N1925">
        <v>57.6025536532903</v>
      </c>
      <c r="O1925">
        <v>54.6846888715774</v>
      </c>
      <c r="P1925">
        <v>-3.8930793768509303E-2</v>
      </c>
      <c r="Q1925">
        <v>0</v>
      </c>
      <c r="R1925">
        <v>0.97653679100504398</v>
      </c>
      <c r="S1925" t="s">
        <v>8595</v>
      </c>
      <c r="T1925" t="s">
        <v>13338</v>
      </c>
      <c r="U1925" t="s">
        <v>13338</v>
      </c>
      <c r="V1925" t="s">
        <v>13338</v>
      </c>
      <c r="W1925" t="s">
        <v>15227</v>
      </c>
      <c r="X1925">
        <v>29</v>
      </c>
      <c r="Y1925" t="s">
        <v>21816</v>
      </c>
      <c r="Z1925" t="s">
        <v>28340</v>
      </c>
      <c r="AA1925">
        <v>0.59551792012832472</v>
      </c>
      <c r="AB1925" t="str">
        <f>HYPERLINK("Melting_Curves/meltCurve_P06576_ATP5B.pdf", "Melting_Curves/meltCurve_P06576_ATP5B.pdf")</f>
        <v>Melting_Curves/meltCurve_P06576_ATP5B.pdf</v>
      </c>
    </row>
    <row r="1926" spans="1:28" x14ac:dyDescent="0.25">
      <c r="A1926" t="s">
        <v>1930</v>
      </c>
      <c r="B1926">
        <v>0.99193492352474899</v>
      </c>
      <c r="C1926">
        <v>0.83463265119299201</v>
      </c>
      <c r="D1926">
        <v>0.61113659268494003</v>
      </c>
      <c r="E1926">
        <v>1.21895184331189</v>
      </c>
      <c r="F1926">
        <v>0.62970152411196401</v>
      </c>
      <c r="G1926">
        <v>1.6536928908566</v>
      </c>
      <c r="H1926">
        <v>0.34570631070751401</v>
      </c>
      <c r="I1926">
        <v>0.32000726693588399</v>
      </c>
      <c r="J1926">
        <v>0.533698012738822</v>
      </c>
      <c r="K1926">
        <v>0.36477335444394299</v>
      </c>
      <c r="L1926">
        <v>14763.135643113599</v>
      </c>
      <c r="M1926">
        <v>250</v>
      </c>
      <c r="N1926">
        <v>59.414443685969502</v>
      </c>
      <c r="O1926">
        <v>59.048763535539202</v>
      </c>
      <c r="P1926">
        <v>-0.64464972646169905</v>
      </c>
      <c r="Q1926">
        <v>0.39094769185699801</v>
      </c>
      <c r="R1926">
        <v>0.51223788155781402</v>
      </c>
      <c r="S1926" t="s">
        <v>8596</v>
      </c>
      <c r="T1926" t="s">
        <v>13338</v>
      </c>
      <c r="U1926" t="s">
        <v>13338</v>
      </c>
      <c r="V1926" t="s">
        <v>13338</v>
      </c>
      <c r="W1926" t="s">
        <v>15228</v>
      </c>
      <c r="X1926">
        <v>2</v>
      </c>
      <c r="Y1926" t="s">
        <v>21817</v>
      </c>
      <c r="Z1926" t="s">
        <v>28341</v>
      </c>
      <c r="AA1926">
        <v>0.77781064610542316</v>
      </c>
      <c r="AB1926" t="str">
        <f>HYPERLINK("Melting_Curves/meltCurve_P06702_S100A9.pdf", "Melting_Curves/meltCurve_P06702_S100A9.pdf")</f>
        <v>Melting_Curves/meltCurve_P06702_S100A9.pdf</v>
      </c>
    </row>
    <row r="1927" spans="1:28" x14ac:dyDescent="0.25">
      <c r="A1927" t="s">
        <v>1931</v>
      </c>
      <c r="B1927">
        <v>0.99193492352474899</v>
      </c>
      <c r="C1927">
        <v>0.860625663659915</v>
      </c>
      <c r="D1927">
        <v>0.97752358060342603</v>
      </c>
      <c r="E1927">
        <v>0.75524615372169102</v>
      </c>
      <c r="F1927">
        <v>0.67325273660756901</v>
      </c>
      <c r="G1927">
        <v>0.51865256794132197</v>
      </c>
      <c r="H1927">
        <v>0.42992741255170203</v>
      </c>
      <c r="I1927">
        <v>0.55438909542984305</v>
      </c>
      <c r="J1927">
        <v>0.592153529581536</v>
      </c>
      <c r="K1927">
        <v>0.76797448206014196</v>
      </c>
      <c r="L1927">
        <v>1304.9213004876699</v>
      </c>
      <c r="M1927">
        <v>26.4953510082386</v>
      </c>
      <c r="O1927">
        <v>48.972963916603803</v>
      </c>
      <c r="P1927">
        <v>-5.7255812398900499E-2</v>
      </c>
      <c r="Q1927">
        <v>0.57668700225513403</v>
      </c>
      <c r="R1927">
        <v>0.74476961296687905</v>
      </c>
      <c r="S1927" t="s">
        <v>8597</v>
      </c>
      <c r="T1927" t="s">
        <v>13338</v>
      </c>
      <c r="U1927" t="s">
        <v>13338</v>
      </c>
      <c r="V1927" t="s">
        <v>13338</v>
      </c>
      <c r="W1927" t="s">
        <v>15229</v>
      </c>
      <c r="X1927">
        <v>7</v>
      </c>
      <c r="Y1927" t="s">
        <v>21818</v>
      </c>
      <c r="Z1927" t="s">
        <v>28342</v>
      </c>
      <c r="AA1927">
        <v>0.71055834686973751</v>
      </c>
      <c r="AB1927" t="str">
        <f>HYPERLINK("Melting_Curves/meltCurve_P06729_CD2.pdf", "Melting_Curves/meltCurve_P06729_CD2.pdf")</f>
        <v>Melting_Curves/meltCurve_P06729_CD2.pdf</v>
      </c>
    </row>
    <row r="1928" spans="1:28" x14ac:dyDescent="0.25">
      <c r="A1928" t="s">
        <v>1932</v>
      </c>
      <c r="B1928">
        <v>0.99193492352474899</v>
      </c>
      <c r="C1928">
        <v>1.05355652504874</v>
      </c>
      <c r="D1928">
        <v>0.90838562442001303</v>
      </c>
      <c r="E1928">
        <v>0.84430581147192896</v>
      </c>
      <c r="F1928">
        <v>0.74590199448398997</v>
      </c>
      <c r="G1928">
        <v>0.58894922838996899</v>
      </c>
      <c r="H1928">
        <v>0.51713522343187801</v>
      </c>
      <c r="I1928">
        <v>0.56339369142276596</v>
      </c>
      <c r="J1928">
        <v>0.35369166805804098</v>
      </c>
      <c r="K1928">
        <v>0.169229450918045</v>
      </c>
      <c r="L1928">
        <v>470.26443370913</v>
      </c>
      <c r="M1928">
        <v>7.6708171958278299</v>
      </c>
      <c r="N1928">
        <v>61.305649594224597</v>
      </c>
      <c r="O1928">
        <v>57.5562096113105</v>
      </c>
      <c r="P1928">
        <v>-3.3362884045322998E-2</v>
      </c>
      <c r="Q1928">
        <v>0</v>
      </c>
      <c r="R1928">
        <v>0.93875233445533901</v>
      </c>
      <c r="S1928" t="s">
        <v>8598</v>
      </c>
      <c r="T1928" t="s">
        <v>13338</v>
      </c>
      <c r="U1928" t="s">
        <v>13338</v>
      </c>
      <c r="V1928" t="s">
        <v>13338</v>
      </c>
      <c r="W1928" t="s">
        <v>15230</v>
      </c>
      <c r="X1928">
        <v>57</v>
      </c>
      <c r="Y1928" t="s">
        <v>21819</v>
      </c>
      <c r="Z1928" t="s">
        <v>28343</v>
      </c>
      <c r="AA1928">
        <v>0.67825762953422908</v>
      </c>
      <c r="AB1928" t="str">
        <f>HYPERLINK("Melting_Curves/meltCurve_P06733_ENO1.pdf", "Melting_Curves/meltCurve_P06733_ENO1.pdf")</f>
        <v>Melting_Curves/meltCurve_P06733_ENO1.pdf</v>
      </c>
    </row>
    <row r="1929" spans="1:28" x14ac:dyDescent="0.25">
      <c r="A1929" t="s">
        <v>1933</v>
      </c>
      <c r="B1929">
        <v>0.99193492352474899</v>
      </c>
      <c r="C1929">
        <v>0.80823261812765701</v>
      </c>
      <c r="D1929">
        <v>0.89843288029685198</v>
      </c>
      <c r="E1929">
        <v>0.53810654217682996</v>
      </c>
      <c r="F1929">
        <v>0.49207709883242201</v>
      </c>
      <c r="G1929">
        <v>0.37244752057052399</v>
      </c>
      <c r="H1929">
        <v>0.150591415268298</v>
      </c>
      <c r="I1929">
        <v>0.31590488257434002</v>
      </c>
      <c r="J1929">
        <v>0.89841802376639801</v>
      </c>
      <c r="K1929">
        <v>2.6562255127985299</v>
      </c>
      <c r="L1929">
        <v>3116.2317941020401</v>
      </c>
      <c r="M1929">
        <v>74.887860475622105</v>
      </c>
      <c r="O1929">
        <v>41.582333195356902</v>
      </c>
      <c r="P1929">
        <v>-9.4530296100849703E-2</v>
      </c>
      <c r="Q1929">
        <v>0.79004397380626201</v>
      </c>
      <c r="R1929">
        <v>8.0384472595003108E-3</v>
      </c>
      <c r="S1929" t="s">
        <v>8599</v>
      </c>
      <c r="T1929" t="s">
        <v>13338</v>
      </c>
      <c r="U1929" t="s">
        <v>13338</v>
      </c>
      <c r="V1929" t="s">
        <v>13338</v>
      </c>
      <c r="W1929" t="s">
        <v>15231</v>
      </c>
      <c r="X1929">
        <v>38</v>
      </c>
      <c r="Y1929" t="s">
        <v>21819</v>
      </c>
      <c r="Z1929" t="s">
        <v>28344</v>
      </c>
      <c r="AA1929">
        <v>0.80166396470893475</v>
      </c>
      <c r="AB1929" t="str">
        <f>HYPERLINK("Melting_Curves/meltCurve_P06733_2_ENO1.pdf", "Melting_Curves/meltCurve_P06733_2_ENO1.pdf")</f>
        <v>Melting_Curves/meltCurve_P06733_2_ENO1.pdf</v>
      </c>
    </row>
    <row r="1930" spans="1:28" x14ac:dyDescent="0.25">
      <c r="A1930" t="s">
        <v>1934</v>
      </c>
      <c r="B1930">
        <v>0.99193492352474899</v>
      </c>
      <c r="C1930">
        <v>0.92742585345411199</v>
      </c>
      <c r="D1930">
        <v>1.0019398226484799</v>
      </c>
      <c r="E1930">
        <v>0.779923390092916</v>
      </c>
      <c r="F1930">
        <v>0.53798271904786599</v>
      </c>
      <c r="G1930">
        <v>0.174368920054398</v>
      </c>
      <c r="H1930">
        <v>8.7923505671821001E-2</v>
      </c>
      <c r="I1930">
        <v>0.10691960526889201</v>
      </c>
      <c r="J1930">
        <v>0.111485864873413</v>
      </c>
      <c r="K1930">
        <v>0.142487840091088</v>
      </c>
      <c r="L1930">
        <v>1285.61102457021</v>
      </c>
      <c r="M1930">
        <v>24.4616223055429</v>
      </c>
      <c r="N1930">
        <v>53.018186581993</v>
      </c>
      <c r="O1930">
        <v>52.208781354652203</v>
      </c>
      <c r="P1930">
        <v>-0.105893389780003</v>
      </c>
      <c r="Q1930">
        <v>9.5974305054444195E-2</v>
      </c>
      <c r="R1930">
        <v>0.98829648341676302</v>
      </c>
      <c r="S1930" t="s">
        <v>8600</v>
      </c>
      <c r="T1930" t="s">
        <v>13338</v>
      </c>
      <c r="U1930" t="s">
        <v>13338</v>
      </c>
      <c r="V1930" t="s">
        <v>13338</v>
      </c>
      <c r="W1930" t="s">
        <v>15232</v>
      </c>
      <c r="X1930">
        <v>38</v>
      </c>
      <c r="Y1930" t="s">
        <v>21820</v>
      </c>
      <c r="Z1930" t="s">
        <v>28345</v>
      </c>
      <c r="AA1930">
        <v>0.48299056877744928</v>
      </c>
      <c r="AB1930" t="str">
        <f>HYPERLINK("Melting_Curves/meltCurve_P06744_GPI.pdf", "Melting_Curves/meltCurve_P06744_GPI.pdf")</f>
        <v>Melting_Curves/meltCurve_P06744_GPI.pdf</v>
      </c>
    </row>
    <row r="1931" spans="1:28" x14ac:dyDescent="0.25">
      <c r="A1931" t="s">
        <v>1935</v>
      </c>
      <c r="B1931">
        <v>0.99193492352474899</v>
      </c>
      <c r="C1931">
        <v>0.55040116363075997</v>
      </c>
      <c r="D1931">
        <v>0.70813450727164395</v>
      </c>
      <c r="E1931">
        <v>0.19046351281762899</v>
      </c>
      <c r="F1931">
        <v>0.13378105289167599</v>
      </c>
      <c r="G1931">
        <v>6.6427147927557703E-2</v>
      </c>
      <c r="H1931">
        <v>4.4606841425176701E-2</v>
      </c>
      <c r="I1931">
        <v>5.5018026411289299E-2</v>
      </c>
      <c r="J1931">
        <v>6.8383626774391207E-2</v>
      </c>
      <c r="K1931">
        <v>7.7632002018034205E-2</v>
      </c>
      <c r="L1931">
        <v>681.46132774355794</v>
      </c>
      <c r="M1931">
        <v>14.843319853028699</v>
      </c>
      <c r="N1931">
        <v>46.150334767998601</v>
      </c>
      <c r="O1931">
        <v>45.1011699308118</v>
      </c>
      <c r="P1931">
        <v>-7.9229774643786E-2</v>
      </c>
      <c r="Q1931">
        <v>3.7148124889101103E-2</v>
      </c>
      <c r="R1931">
        <v>0.90663145934865796</v>
      </c>
      <c r="S1931" t="s">
        <v>8601</v>
      </c>
      <c r="T1931" t="s">
        <v>13338</v>
      </c>
      <c r="U1931" t="s">
        <v>13338</v>
      </c>
      <c r="V1931" t="s">
        <v>13338</v>
      </c>
      <c r="W1931" t="s">
        <v>15233</v>
      </c>
      <c r="X1931">
        <v>10</v>
      </c>
      <c r="Y1931" t="s">
        <v>21821</v>
      </c>
      <c r="Z1931" t="s">
        <v>28346</v>
      </c>
      <c r="AA1931">
        <v>0.25580462539771681</v>
      </c>
      <c r="AB1931" t="str">
        <f>HYPERLINK("Melting_Curves/meltCurve_P06746_POLB.pdf", "Melting_Curves/meltCurve_P06746_POLB.pdf")</f>
        <v>Melting_Curves/meltCurve_P06746_POLB.pdf</v>
      </c>
    </row>
    <row r="1932" spans="1:28" x14ac:dyDescent="0.25">
      <c r="A1932" t="s">
        <v>1936</v>
      </c>
      <c r="B1932">
        <v>0.99193492352474899</v>
      </c>
      <c r="C1932">
        <v>0.58661972383598804</v>
      </c>
      <c r="D1932">
        <v>0.89264811629429797</v>
      </c>
      <c r="E1932">
        <v>0.51488701465710796</v>
      </c>
      <c r="F1932">
        <v>0.444871380628725</v>
      </c>
      <c r="G1932">
        <v>0.32171688852888602</v>
      </c>
      <c r="H1932">
        <v>0.39520867089607498</v>
      </c>
      <c r="I1932">
        <v>0.282747226350408</v>
      </c>
      <c r="J1932">
        <v>0.25327670540611003</v>
      </c>
      <c r="K1932">
        <v>0.25424454042231998</v>
      </c>
      <c r="L1932">
        <v>428.65496922795899</v>
      </c>
      <c r="M1932">
        <v>8.8331923988181007</v>
      </c>
      <c r="N1932">
        <v>51.614281931299203</v>
      </c>
      <c r="O1932">
        <v>46.233581512910803</v>
      </c>
      <c r="P1932">
        <v>-3.7993596232394997E-2</v>
      </c>
      <c r="Q1932">
        <v>0.205174380652901</v>
      </c>
      <c r="R1932">
        <v>0.82320115985514297</v>
      </c>
      <c r="S1932" t="s">
        <v>8602</v>
      </c>
      <c r="T1932" t="s">
        <v>13338</v>
      </c>
      <c r="U1932" t="s">
        <v>13338</v>
      </c>
      <c r="V1932" t="s">
        <v>13338</v>
      </c>
      <c r="W1932" t="s">
        <v>15234</v>
      </c>
      <c r="X1932">
        <v>19</v>
      </c>
      <c r="Y1932" t="s">
        <v>21822</v>
      </c>
      <c r="Z1932" t="s">
        <v>28347</v>
      </c>
      <c r="AA1932">
        <v>0.47937345994544711</v>
      </c>
      <c r="AB1932" t="str">
        <f>HYPERLINK("Melting_Curves/meltCurve_P06748_NPM1.pdf", "Melting_Curves/meltCurve_P06748_NPM1.pdf")</f>
        <v>Melting_Curves/meltCurve_P06748_NPM1.pdf</v>
      </c>
    </row>
    <row r="1933" spans="1:28" x14ac:dyDescent="0.25">
      <c r="A1933" t="s">
        <v>1937</v>
      </c>
      <c r="B1933">
        <v>0.99193492352474899</v>
      </c>
      <c r="C1933">
        <v>0.777465444302609</v>
      </c>
      <c r="D1933">
        <v>0.81713844532417002</v>
      </c>
      <c r="E1933">
        <v>0.60289131097228998</v>
      </c>
      <c r="F1933">
        <v>0.52251797714257797</v>
      </c>
      <c r="G1933">
        <v>0.37182325344927802</v>
      </c>
      <c r="H1933">
        <v>0.32636242956193601</v>
      </c>
      <c r="I1933">
        <v>0.42172623199709602</v>
      </c>
      <c r="J1933">
        <v>0.475918631669634</v>
      </c>
      <c r="K1933">
        <v>0.60726706834266997</v>
      </c>
      <c r="L1933">
        <v>736.43341518314003</v>
      </c>
      <c r="M1933">
        <v>15.8317914695845</v>
      </c>
      <c r="N1933">
        <v>53.578016026543899</v>
      </c>
      <c r="O1933">
        <v>45.7929169736937</v>
      </c>
      <c r="P1933">
        <v>-4.8582442105006902E-2</v>
      </c>
      <c r="Q1933">
        <v>0.43795353649507401</v>
      </c>
      <c r="R1933">
        <v>0.82458900621402098</v>
      </c>
      <c r="S1933" t="s">
        <v>8603</v>
      </c>
      <c r="T1933" t="s">
        <v>13338</v>
      </c>
      <c r="U1933" t="s">
        <v>13338</v>
      </c>
      <c r="V1933" t="s">
        <v>13338</v>
      </c>
      <c r="W1933" t="s">
        <v>15235</v>
      </c>
      <c r="X1933">
        <v>50</v>
      </c>
      <c r="Y1933" t="s">
        <v>20950</v>
      </c>
      <c r="Z1933" t="s">
        <v>28348</v>
      </c>
      <c r="AA1933">
        <v>0.57410936753789177</v>
      </c>
      <c r="AB1933" t="str">
        <f>HYPERLINK("Melting_Curves/meltCurve_P06753_2_TPM3.pdf", "Melting_Curves/meltCurve_P06753_2_TPM3.pdf")</f>
        <v>Melting_Curves/meltCurve_P06753_2_TPM3.pdf</v>
      </c>
    </row>
    <row r="1934" spans="1:28" x14ac:dyDescent="0.25">
      <c r="A1934" t="s">
        <v>1938</v>
      </c>
      <c r="B1934">
        <v>0.99193492352474899</v>
      </c>
      <c r="C1934">
        <v>0.84440099782723999</v>
      </c>
      <c r="D1934">
        <v>0.88388613718047704</v>
      </c>
      <c r="E1934">
        <v>0.83905983923396699</v>
      </c>
      <c r="F1934">
        <v>0.72172880868780198</v>
      </c>
      <c r="G1934">
        <v>0.548856078123234</v>
      </c>
      <c r="H1934">
        <v>0.48648630884287702</v>
      </c>
      <c r="I1934">
        <v>0.72165438684293803</v>
      </c>
      <c r="J1934">
        <v>0.82605689352048095</v>
      </c>
      <c r="K1934">
        <v>1.3322561247506599</v>
      </c>
      <c r="L1934">
        <v>921.62569059358395</v>
      </c>
      <c r="M1934">
        <v>21.434699347259802</v>
      </c>
      <c r="O1934">
        <v>42.627910986260403</v>
      </c>
      <c r="P1934">
        <v>-2.7196165124481801E-2</v>
      </c>
      <c r="Q1934">
        <v>0.78366163362917496</v>
      </c>
      <c r="R1934">
        <v>7.4944850242333799E-2</v>
      </c>
      <c r="S1934" t="s">
        <v>8604</v>
      </c>
      <c r="T1934" t="s">
        <v>13338</v>
      </c>
      <c r="U1934" t="s">
        <v>13338</v>
      </c>
      <c r="V1934" t="s">
        <v>13338</v>
      </c>
      <c r="W1934" t="s">
        <v>15236</v>
      </c>
      <c r="X1934">
        <v>48</v>
      </c>
      <c r="Y1934" t="s">
        <v>20950</v>
      </c>
      <c r="Z1934" t="s">
        <v>28349</v>
      </c>
      <c r="AA1934">
        <v>0.8096590202607854</v>
      </c>
      <c r="AB1934" t="str">
        <f>HYPERLINK("Melting_Curves/meltCurve_P06753_3_TPM3.pdf", "Melting_Curves/meltCurve_P06753_3_TPM3.pdf")</f>
        <v>Melting_Curves/meltCurve_P06753_3_TPM3.pdf</v>
      </c>
    </row>
    <row r="1935" spans="1:28" x14ac:dyDescent="0.25">
      <c r="A1935" t="s">
        <v>1939</v>
      </c>
      <c r="B1935">
        <v>0.99193492352474899</v>
      </c>
      <c r="C1935">
        <v>0.90267700370839599</v>
      </c>
      <c r="D1935">
        <v>0.90088833216579201</v>
      </c>
      <c r="E1935">
        <v>1.01086068467845</v>
      </c>
      <c r="F1935">
        <v>0.78780776915386697</v>
      </c>
      <c r="G1935">
        <v>0.74954303025924596</v>
      </c>
      <c r="H1935">
        <v>0.79275613933580003</v>
      </c>
      <c r="I1935">
        <v>0.985213207754706</v>
      </c>
      <c r="J1935">
        <v>1.1128589529567301</v>
      </c>
      <c r="K1935">
        <v>1.3678289459325399</v>
      </c>
      <c r="L1935">
        <v>15000</v>
      </c>
      <c r="M1935">
        <v>222.73162000361199</v>
      </c>
      <c r="O1935">
        <v>67.340194961835394</v>
      </c>
      <c r="P1935">
        <v>0.30421929347299498</v>
      </c>
      <c r="Q1935">
        <v>1.3679080049219701</v>
      </c>
      <c r="R1935">
        <v>0.436924006966941</v>
      </c>
      <c r="S1935" t="s">
        <v>8605</v>
      </c>
      <c r="T1935" t="s">
        <v>13338</v>
      </c>
      <c r="U1935" t="s">
        <v>13338</v>
      </c>
      <c r="V1935" t="s">
        <v>13338</v>
      </c>
      <c r="W1935" t="s">
        <v>15237</v>
      </c>
      <c r="X1935">
        <v>45</v>
      </c>
      <c r="Y1935" t="s">
        <v>20950</v>
      </c>
      <c r="Z1935" t="s">
        <v>28350</v>
      </c>
      <c r="AA1935">
        <v>1.032498285589484</v>
      </c>
      <c r="AB1935" t="str">
        <f>HYPERLINK("Melting_Curves/meltCurve_P06753_5_TPM3.pdf", "Melting_Curves/meltCurve_P06753_5_TPM3.pdf")</f>
        <v>Melting_Curves/meltCurve_P06753_5_TPM3.pdf</v>
      </c>
    </row>
    <row r="1936" spans="1:28" x14ac:dyDescent="0.25">
      <c r="A1936" t="s">
        <v>1940</v>
      </c>
      <c r="B1936">
        <v>0.99193492352474899</v>
      </c>
      <c r="C1936">
        <v>1.0501039317602701</v>
      </c>
      <c r="D1936">
        <v>0.89954694581401695</v>
      </c>
      <c r="E1936">
        <v>0.87923950559803898</v>
      </c>
      <c r="F1936">
        <v>0.71845168212561195</v>
      </c>
      <c r="G1936">
        <v>0.58207869178935301</v>
      </c>
      <c r="H1936">
        <v>0.38662968570023698</v>
      </c>
      <c r="I1936">
        <v>0.51878711996595905</v>
      </c>
      <c r="J1936">
        <v>0.53996881877748404</v>
      </c>
      <c r="K1936">
        <v>0.68238634733233405</v>
      </c>
      <c r="L1936">
        <v>1261.0643641598199</v>
      </c>
      <c r="M1936">
        <v>24.3879905361045</v>
      </c>
      <c r="O1936">
        <v>51.364512770022699</v>
      </c>
      <c r="P1936">
        <v>-5.54571854002835E-2</v>
      </c>
      <c r="Q1936">
        <v>0.53280463354474406</v>
      </c>
      <c r="R1936">
        <v>0.87086526922312602</v>
      </c>
      <c r="S1936" t="s">
        <v>8606</v>
      </c>
      <c r="T1936" t="s">
        <v>13338</v>
      </c>
      <c r="U1936" t="s">
        <v>13338</v>
      </c>
      <c r="V1936" t="s">
        <v>13338</v>
      </c>
      <c r="W1936" t="s">
        <v>15238</v>
      </c>
      <c r="X1936">
        <v>9</v>
      </c>
      <c r="Y1936" t="s">
        <v>21823</v>
      </c>
      <c r="Z1936" t="s">
        <v>28351</v>
      </c>
      <c r="AA1936">
        <v>0.71960312822000683</v>
      </c>
      <c r="AB1936" t="str">
        <f>HYPERLINK("Melting_Curves/meltCurve_P06756_3_ITGAV.pdf", "Melting_Curves/meltCurve_P06756_3_ITGAV.pdf")</f>
        <v>Melting_Curves/meltCurve_P06756_3_ITGAV.pdf</v>
      </c>
    </row>
    <row r="1937" spans="1:28" x14ac:dyDescent="0.25">
      <c r="A1937" t="s">
        <v>1941</v>
      </c>
      <c r="B1937">
        <v>0.99193492352474899</v>
      </c>
      <c r="C1937">
        <v>1.00004078601727</v>
      </c>
      <c r="D1937">
        <v>1.0032823338391099</v>
      </c>
      <c r="E1937">
        <v>0.83758824603794801</v>
      </c>
      <c r="F1937">
        <v>0.74024102641383405</v>
      </c>
      <c r="G1937">
        <v>0.63443801925340804</v>
      </c>
      <c r="H1937">
        <v>0.46413016353667402</v>
      </c>
      <c r="I1937">
        <v>0.49528465477302103</v>
      </c>
      <c r="J1937">
        <v>0.395079922609755</v>
      </c>
      <c r="K1937">
        <v>0.24605990131755001</v>
      </c>
      <c r="L1937">
        <v>539.32571490616704</v>
      </c>
      <c r="M1937">
        <v>9.1968517962223295</v>
      </c>
      <c r="N1937">
        <v>61.047933235506797</v>
      </c>
      <c r="O1937">
        <v>56.069639890602303</v>
      </c>
      <c r="P1937">
        <v>-3.4796942688094398E-2</v>
      </c>
      <c r="Q1937">
        <v>0.15199351200108199</v>
      </c>
      <c r="R1937">
        <v>0.97167481684375501</v>
      </c>
      <c r="S1937" t="s">
        <v>8607</v>
      </c>
      <c r="T1937" t="s">
        <v>13338</v>
      </c>
      <c r="U1937" t="s">
        <v>13338</v>
      </c>
      <c r="V1937" t="s">
        <v>13338</v>
      </c>
      <c r="W1937" t="s">
        <v>15239</v>
      </c>
      <c r="X1937">
        <v>13</v>
      </c>
      <c r="Y1937" t="s">
        <v>21824</v>
      </c>
      <c r="Z1937" t="s">
        <v>28352</v>
      </c>
      <c r="AA1937">
        <v>0.68166806551314985</v>
      </c>
      <c r="AB1937" t="str">
        <f>HYPERLINK("Melting_Curves/meltCurve_P07099_EPHX1.pdf", "Melting_Curves/meltCurve_P07099_EPHX1.pdf")</f>
        <v>Melting_Curves/meltCurve_P07099_EPHX1.pdf</v>
      </c>
    </row>
    <row r="1938" spans="1:28" x14ac:dyDescent="0.25">
      <c r="A1938" t="s">
        <v>1942</v>
      </c>
      <c r="B1938">
        <v>0.99193492352474899</v>
      </c>
      <c r="C1938">
        <v>0.58771324030330896</v>
      </c>
      <c r="D1938">
        <v>1.5019521554575499</v>
      </c>
      <c r="E1938">
        <v>0.79842041642286499</v>
      </c>
      <c r="F1938">
        <v>1.28270088190737</v>
      </c>
      <c r="G1938">
        <v>0.65727416277732797</v>
      </c>
      <c r="H1938">
        <v>0.51069892593400701</v>
      </c>
      <c r="I1938">
        <v>0.44086921727697898</v>
      </c>
      <c r="J1938">
        <v>0.56785609387966995</v>
      </c>
      <c r="K1938">
        <v>0.74288715188436505</v>
      </c>
      <c r="L1938">
        <v>14125.1124078551</v>
      </c>
      <c r="M1938">
        <v>250</v>
      </c>
      <c r="O1938">
        <v>56.496834071607999</v>
      </c>
      <c r="P1938">
        <v>-0.48058246806650801</v>
      </c>
      <c r="Q1938">
        <v>0.56557779393632202</v>
      </c>
      <c r="R1938">
        <v>0.459911745344314</v>
      </c>
      <c r="S1938" t="s">
        <v>8608</v>
      </c>
      <c r="T1938" t="s">
        <v>13338</v>
      </c>
      <c r="U1938" t="s">
        <v>13338</v>
      </c>
      <c r="V1938" t="s">
        <v>13338</v>
      </c>
      <c r="W1938" t="s">
        <v>15240</v>
      </c>
      <c r="X1938">
        <v>5</v>
      </c>
      <c r="Y1938" t="s">
        <v>21825</v>
      </c>
      <c r="Z1938" t="s">
        <v>28353</v>
      </c>
      <c r="AA1938">
        <v>0.80455959444782821</v>
      </c>
      <c r="AB1938" t="str">
        <f>HYPERLINK("Melting_Curves/meltCurve_P07108_DBI.pdf", "Melting_Curves/meltCurve_P07108_DBI.pdf")</f>
        <v>Melting_Curves/meltCurve_P07108_DBI.pdf</v>
      </c>
    </row>
    <row r="1939" spans="1:28" x14ac:dyDescent="0.25">
      <c r="A1939" t="s">
        <v>1943</v>
      </c>
      <c r="B1939">
        <v>0.99193492352474899</v>
      </c>
      <c r="C1939">
        <v>1.1129482451218</v>
      </c>
      <c r="D1939">
        <v>0.87317096703523001</v>
      </c>
      <c r="E1939">
        <v>0.87957267894910096</v>
      </c>
      <c r="F1939">
        <v>0.71756243237333905</v>
      </c>
      <c r="G1939">
        <v>0.60031904848239204</v>
      </c>
      <c r="H1939">
        <v>0.489657038432814</v>
      </c>
      <c r="I1939">
        <v>0.40393143458764003</v>
      </c>
      <c r="J1939">
        <v>0.28382669366566698</v>
      </c>
      <c r="K1939">
        <v>0.165496151664662</v>
      </c>
      <c r="L1939">
        <v>535.48024233737704</v>
      </c>
      <c r="M1939">
        <v>8.9436092271454601</v>
      </c>
      <c r="N1939">
        <v>59.8729448486786</v>
      </c>
      <c r="O1939">
        <v>57.106654956325301</v>
      </c>
      <c r="P1939">
        <v>-3.9182207734122197E-2</v>
      </c>
      <c r="Q1939">
        <v>0</v>
      </c>
      <c r="R1939">
        <v>0.96543116612956303</v>
      </c>
      <c r="S1939" t="s">
        <v>8609</v>
      </c>
      <c r="T1939" t="s">
        <v>13338</v>
      </c>
      <c r="U1939" t="s">
        <v>13338</v>
      </c>
      <c r="V1939" t="s">
        <v>13338</v>
      </c>
      <c r="W1939" t="s">
        <v>15241</v>
      </c>
      <c r="X1939">
        <v>23</v>
      </c>
      <c r="Y1939" t="s">
        <v>21826</v>
      </c>
      <c r="Z1939" t="s">
        <v>28354</v>
      </c>
      <c r="AA1939">
        <v>0.65443558649146749</v>
      </c>
      <c r="AB1939" t="str">
        <f>HYPERLINK("Melting_Curves/meltCurve_P07195_LDHB.pdf", "Melting_Curves/meltCurve_P07195_LDHB.pdf")</f>
        <v>Melting_Curves/meltCurve_P07195_LDHB.pdf</v>
      </c>
    </row>
    <row r="1940" spans="1:28" x14ac:dyDescent="0.25">
      <c r="A1940" t="s">
        <v>1944</v>
      </c>
      <c r="B1940">
        <v>0.99193492352474899</v>
      </c>
      <c r="C1940">
        <v>1.06552107680451</v>
      </c>
      <c r="D1940">
        <v>0.87329689138775801</v>
      </c>
      <c r="E1940">
        <v>0.88177527327328598</v>
      </c>
      <c r="F1940">
        <v>0.66209199320596102</v>
      </c>
      <c r="G1940">
        <v>0.51911125621994703</v>
      </c>
      <c r="H1940">
        <v>0.43635120693195101</v>
      </c>
      <c r="I1940">
        <v>0.47512051390129001</v>
      </c>
      <c r="J1940">
        <v>0.4432281964152</v>
      </c>
      <c r="K1940">
        <v>0.25680564346496199</v>
      </c>
      <c r="L1940">
        <v>741.36001550714604</v>
      </c>
      <c r="M1940">
        <v>13.848837486687399</v>
      </c>
      <c r="N1940">
        <v>58.303951272657898</v>
      </c>
      <c r="O1940">
        <v>52.4531352817881</v>
      </c>
      <c r="P1940">
        <v>-4.3633707498071397E-2</v>
      </c>
      <c r="Q1940">
        <v>0.33903222630645202</v>
      </c>
      <c r="R1940">
        <v>0.94688312531382002</v>
      </c>
      <c r="S1940" t="s">
        <v>8610</v>
      </c>
      <c r="T1940" t="s">
        <v>13338</v>
      </c>
      <c r="U1940" t="s">
        <v>13338</v>
      </c>
      <c r="V1940" t="s">
        <v>13338</v>
      </c>
      <c r="W1940" t="s">
        <v>15242</v>
      </c>
      <c r="X1940">
        <v>5</v>
      </c>
      <c r="Y1940" t="s">
        <v>21827</v>
      </c>
      <c r="Z1940" t="s">
        <v>28355</v>
      </c>
      <c r="AA1940">
        <v>0.6525372613588224</v>
      </c>
      <c r="AB1940" t="str">
        <f>HYPERLINK("Melting_Curves/meltCurve_P07203_GPX1.pdf", "Melting_Curves/meltCurve_P07203_GPX1.pdf")</f>
        <v>Melting_Curves/meltCurve_P07203_GPX1.pdf</v>
      </c>
    </row>
    <row r="1941" spans="1:28" x14ac:dyDescent="0.25">
      <c r="A1941" t="s">
        <v>1945</v>
      </c>
      <c r="B1941">
        <v>0.99193492352474899</v>
      </c>
      <c r="C1941">
        <v>0.90314044666275395</v>
      </c>
      <c r="D1941">
        <v>0.91246456246637098</v>
      </c>
      <c r="E1941">
        <v>0.81145098960068096</v>
      </c>
      <c r="F1941">
        <v>0.60308830362626997</v>
      </c>
      <c r="G1941">
        <v>0.14947596700774099</v>
      </c>
      <c r="H1941">
        <v>4.3183277600260701E-2</v>
      </c>
      <c r="I1941">
        <v>6.8002873264918495E-2</v>
      </c>
      <c r="J1941">
        <v>8.1236898976902297E-2</v>
      </c>
      <c r="K1941">
        <v>9.6608468135658904E-2</v>
      </c>
      <c r="L1941">
        <v>1331.84639978319</v>
      </c>
      <c r="M1941">
        <v>25.028525186107199</v>
      </c>
      <c r="N1941">
        <v>53.443984998470803</v>
      </c>
      <c r="O1941">
        <v>52.876923537007301</v>
      </c>
      <c r="P1941">
        <v>-0.112272577127974</v>
      </c>
      <c r="Q1941">
        <v>5.1234706479778902E-2</v>
      </c>
      <c r="R1941">
        <v>0.97929994862012204</v>
      </c>
      <c r="S1941" t="s">
        <v>8611</v>
      </c>
      <c r="T1941" t="s">
        <v>13338</v>
      </c>
      <c r="U1941" t="s">
        <v>13338</v>
      </c>
      <c r="V1941" t="s">
        <v>13338</v>
      </c>
      <c r="W1941" t="s">
        <v>15243</v>
      </c>
      <c r="X1941">
        <v>8</v>
      </c>
      <c r="Y1941" t="s">
        <v>21828</v>
      </c>
      <c r="Z1941" t="s">
        <v>28356</v>
      </c>
      <c r="AA1941">
        <v>0.47783626365476489</v>
      </c>
      <c r="AB1941" t="str">
        <f>HYPERLINK("Melting_Curves/meltCurve_P07205_PGK2.pdf", "Melting_Curves/meltCurve_P07205_PGK2.pdf")</f>
        <v>Melting_Curves/meltCurve_P07205_PGK2.pdf</v>
      </c>
    </row>
    <row r="1942" spans="1:28" x14ac:dyDescent="0.25">
      <c r="A1942" t="s">
        <v>1946</v>
      </c>
      <c r="B1942">
        <v>0.99193492352474899</v>
      </c>
      <c r="C1942">
        <v>0.89877176830358996</v>
      </c>
      <c r="D1942">
        <v>0.95646891589748395</v>
      </c>
      <c r="E1942">
        <v>0.82056444348041802</v>
      </c>
      <c r="F1942">
        <v>0.676747372823158</v>
      </c>
      <c r="G1942">
        <v>0.32148040684963902</v>
      </c>
      <c r="H1942">
        <v>0.16811373921374201</v>
      </c>
      <c r="I1942">
        <v>0.19261817206221099</v>
      </c>
      <c r="J1942">
        <v>0.20304512646953901</v>
      </c>
      <c r="K1942">
        <v>0.242025501775151</v>
      </c>
      <c r="L1942">
        <v>1203.8433949304399</v>
      </c>
      <c r="M1942">
        <v>22.533388928944099</v>
      </c>
      <c r="N1942">
        <v>54.516744853007602</v>
      </c>
      <c r="O1942">
        <v>53.009447766420401</v>
      </c>
      <c r="P1942">
        <v>-8.6973511402565401E-2</v>
      </c>
      <c r="Q1942">
        <v>0.18160135793990501</v>
      </c>
      <c r="R1942">
        <v>0.97644550063001501</v>
      </c>
      <c r="S1942" t="s">
        <v>8612</v>
      </c>
      <c r="T1942" t="s">
        <v>13338</v>
      </c>
      <c r="U1942" t="s">
        <v>13338</v>
      </c>
      <c r="V1942" t="s">
        <v>13338</v>
      </c>
      <c r="W1942" t="s">
        <v>15244</v>
      </c>
      <c r="X1942">
        <v>42</v>
      </c>
      <c r="Y1942" t="s">
        <v>21829</v>
      </c>
      <c r="Z1942" t="s">
        <v>28357</v>
      </c>
      <c r="AA1942">
        <v>0.55695668510655594</v>
      </c>
      <c r="AB1942" t="str">
        <f>HYPERLINK("Melting_Curves/meltCurve_P07237_P4HB.pdf", "Melting_Curves/meltCurve_P07237_P4HB.pdf")</f>
        <v>Melting_Curves/meltCurve_P07237_P4HB.pdf</v>
      </c>
    </row>
    <row r="1943" spans="1:28" x14ac:dyDescent="0.25">
      <c r="A1943" t="s">
        <v>1947</v>
      </c>
      <c r="B1943">
        <v>0.99193492352474899</v>
      </c>
      <c r="C1943">
        <v>0.67486396308030905</v>
      </c>
      <c r="D1943">
        <v>0.79939889422607802</v>
      </c>
      <c r="E1943">
        <v>0.66780532251343205</v>
      </c>
      <c r="F1943">
        <v>0.79349459502308295</v>
      </c>
      <c r="G1943">
        <v>0.57987151667522796</v>
      </c>
      <c r="H1943">
        <v>0.39576821661773298</v>
      </c>
      <c r="I1943">
        <v>0.29876310828004399</v>
      </c>
      <c r="J1943">
        <v>0.48606099027236299</v>
      </c>
      <c r="K1943">
        <v>0.43677812438413599</v>
      </c>
      <c r="L1943">
        <v>275.17435636672502</v>
      </c>
      <c r="M1943">
        <v>4.9649182447984899</v>
      </c>
      <c r="N1943">
        <v>60.210613050748996</v>
      </c>
      <c r="O1943">
        <v>48.292503874080197</v>
      </c>
      <c r="P1943">
        <v>-2.1646178155037599E-2</v>
      </c>
      <c r="Q1943">
        <v>0.16306610941876101</v>
      </c>
      <c r="R1943">
        <v>0.73865184030171704</v>
      </c>
      <c r="S1943" t="s">
        <v>8613</v>
      </c>
      <c r="T1943" t="s">
        <v>13338</v>
      </c>
      <c r="U1943" t="s">
        <v>13338</v>
      </c>
      <c r="V1943" t="s">
        <v>13338</v>
      </c>
      <c r="W1943" t="s">
        <v>15245</v>
      </c>
      <c r="X1943">
        <v>1</v>
      </c>
      <c r="Y1943" t="s">
        <v>21830</v>
      </c>
      <c r="Z1943" t="s">
        <v>28358</v>
      </c>
      <c r="AA1943">
        <v>0.60877372061326374</v>
      </c>
      <c r="AB1943" t="str">
        <f>HYPERLINK("Melting_Curves/meltCurve_P07305_2_H1F0.pdf", "Melting_Curves/meltCurve_P07305_2_H1F0.pdf")</f>
        <v>Melting_Curves/meltCurve_P07305_2_H1F0.pdf</v>
      </c>
    </row>
    <row r="1944" spans="1:28" x14ac:dyDescent="0.25">
      <c r="A1944" t="s">
        <v>1948</v>
      </c>
      <c r="B1944">
        <v>0.99193492352474899</v>
      </c>
      <c r="C1944">
        <v>1.0058227527910899</v>
      </c>
      <c r="D1944">
        <v>0.97561564836119097</v>
      </c>
      <c r="E1944">
        <v>0.897670281328252</v>
      </c>
      <c r="F1944">
        <v>0.72158794637827095</v>
      </c>
      <c r="G1944">
        <v>0.47906858771355898</v>
      </c>
      <c r="H1944">
        <v>0.20562213013953401</v>
      </c>
      <c r="I1944">
        <v>0.30339685094957702</v>
      </c>
      <c r="J1944">
        <v>0.33273307854058898</v>
      </c>
      <c r="K1944">
        <v>0.44900370166529602</v>
      </c>
      <c r="L1944">
        <v>1522.90817033438</v>
      </c>
      <c r="M1944">
        <v>28.349248371680599</v>
      </c>
      <c r="N1944">
        <v>55.765167083668203</v>
      </c>
      <c r="O1944">
        <v>53.454330344595</v>
      </c>
      <c r="P1944">
        <v>-8.9726918962763705E-2</v>
      </c>
      <c r="Q1944">
        <v>0.323261718382369</v>
      </c>
      <c r="R1944">
        <v>0.95535883437201596</v>
      </c>
      <c r="S1944" t="s">
        <v>8614</v>
      </c>
      <c r="T1944" t="s">
        <v>13338</v>
      </c>
      <c r="U1944" t="s">
        <v>13338</v>
      </c>
      <c r="V1944" t="s">
        <v>13338</v>
      </c>
      <c r="W1944" t="s">
        <v>15246</v>
      </c>
      <c r="X1944">
        <v>23</v>
      </c>
      <c r="Y1944" t="s">
        <v>21831</v>
      </c>
      <c r="Z1944" t="s">
        <v>28359</v>
      </c>
      <c r="AA1944">
        <v>0.63768669779841147</v>
      </c>
      <c r="AB1944" t="str">
        <f>HYPERLINK("Melting_Curves/meltCurve_P07339_CTSD.pdf", "Melting_Curves/meltCurve_P07339_CTSD.pdf")</f>
        <v>Melting_Curves/meltCurve_P07339_CTSD.pdf</v>
      </c>
    </row>
    <row r="1945" spans="1:28" x14ac:dyDescent="0.25">
      <c r="A1945" t="s">
        <v>1949</v>
      </c>
      <c r="B1945">
        <v>0.99193492352474899</v>
      </c>
      <c r="C1945">
        <v>0.95698594088889</v>
      </c>
      <c r="D1945">
        <v>0.95806668674343698</v>
      </c>
      <c r="E1945">
        <v>0.854710786306768</v>
      </c>
      <c r="F1945">
        <v>0.38733438782312701</v>
      </c>
      <c r="G1945">
        <v>0.126051358082829</v>
      </c>
      <c r="H1945">
        <v>7.2067553737760096E-2</v>
      </c>
      <c r="I1945">
        <v>8.1946165104610502E-2</v>
      </c>
      <c r="J1945">
        <v>9.0043993792438895E-2</v>
      </c>
      <c r="K1945">
        <v>8.9716730291840796E-2</v>
      </c>
      <c r="L1945">
        <v>1727.61693148775</v>
      </c>
      <c r="M1945">
        <v>33.1764373499567</v>
      </c>
      <c r="N1945">
        <v>52.346616992040801</v>
      </c>
      <c r="O1945">
        <v>51.885508495107402</v>
      </c>
      <c r="P1945">
        <v>-0.147156590378381</v>
      </c>
      <c r="Q1945">
        <v>7.9435676966680996E-2</v>
      </c>
      <c r="R1945">
        <v>0.99796190846958199</v>
      </c>
      <c r="S1945" t="s">
        <v>8615</v>
      </c>
      <c r="T1945" t="s">
        <v>13338</v>
      </c>
      <c r="U1945" t="s">
        <v>13338</v>
      </c>
      <c r="V1945" t="s">
        <v>13338</v>
      </c>
      <c r="W1945" t="s">
        <v>15247</v>
      </c>
      <c r="X1945">
        <v>27</v>
      </c>
      <c r="Y1945" t="s">
        <v>21832</v>
      </c>
      <c r="Z1945" t="s">
        <v>28360</v>
      </c>
      <c r="AA1945">
        <v>0.45473983289423747</v>
      </c>
      <c r="AB1945" t="str">
        <f>HYPERLINK("Melting_Curves/meltCurve_P07355_ANXA2.pdf", "Melting_Curves/meltCurve_P07355_ANXA2.pdf")</f>
        <v>Melting_Curves/meltCurve_P07355_ANXA2.pdf</v>
      </c>
    </row>
    <row r="1946" spans="1:28" x14ac:dyDescent="0.25">
      <c r="A1946" t="s">
        <v>1950</v>
      </c>
      <c r="B1946">
        <v>0.99193492352474899</v>
      </c>
      <c r="C1946">
        <v>1.026067231206</v>
      </c>
      <c r="D1946">
        <v>0.92514406996485299</v>
      </c>
      <c r="E1946">
        <v>0.87222165555995401</v>
      </c>
      <c r="F1946">
        <v>0.77576703559207305</v>
      </c>
      <c r="G1946">
        <v>0.66914076158476399</v>
      </c>
      <c r="H1946">
        <v>0.43200176014894998</v>
      </c>
      <c r="I1946">
        <v>0.16229448642529901</v>
      </c>
      <c r="J1946">
        <v>0.159501291769063</v>
      </c>
      <c r="K1946">
        <v>0.134258831783093</v>
      </c>
      <c r="L1946">
        <v>770.69084752060996</v>
      </c>
      <c r="M1946">
        <v>13.117020308077601</v>
      </c>
      <c r="N1946">
        <v>58.7550244239279</v>
      </c>
      <c r="O1946">
        <v>57.439747023226303</v>
      </c>
      <c r="P1946">
        <v>-5.7100087637706798E-2</v>
      </c>
      <c r="Q1946">
        <v>0</v>
      </c>
      <c r="R1946">
        <v>0.98269493341884595</v>
      </c>
      <c r="S1946" t="s">
        <v>8616</v>
      </c>
      <c r="T1946" t="s">
        <v>13338</v>
      </c>
      <c r="U1946" t="s">
        <v>13338</v>
      </c>
      <c r="V1946" t="s">
        <v>13338</v>
      </c>
      <c r="W1946" t="s">
        <v>15248</v>
      </c>
      <c r="X1946">
        <v>37</v>
      </c>
      <c r="Y1946" t="s">
        <v>21833</v>
      </c>
      <c r="Z1946" t="s">
        <v>28361</v>
      </c>
      <c r="AA1946">
        <v>0.63552392244637312</v>
      </c>
      <c r="AB1946" t="str">
        <f>HYPERLINK("Melting_Curves/meltCurve_P07384_CAPN1.pdf", "Melting_Curves/meltCurve_P07384_CAPN1.pdf")</f>
        <v>Melting_Curves/meltCurve_P07384_CAPN1.pdf</v>
      </c>
    </row>
    <row r="1947" spans="1:28" x14ac:dyDescent="0.25">
      <c r="A1947" t="s">
        <v>1951</v>
      </c>
      <c r="B1947">
        <v>0.99193492352474899</v>
      </c>
      <c r="C1947">
        <v>0.86348050300188695</v>
      </c>
      <c r="D1947">
        <v>0.91397112078455101</v>
      </c>
      <c r="E1947">
        <v>0.78506205719561195</v>
      </c>
      <c r="F1947">
        <v>0.688524273460006</v>
      </c>
      <c r="G1947">
        <v>0.40809922825196099</v>
      </c>
      <c r="H1947">
        <v>0.13497111775519199</v>
      </c>
      <c r="I1947">
        <v>0.11178751770541299</v>
      </c>
      <c r="J1947">
        <v>0.101100352339149</v>
      </c>
      <c r="K1947">
        <v>0.109248387967505</v>
      </c>
      <c r="L1947">
        <v>771.085106529379</v>
      </c>
      <c r="M1947">
        <v>14.0592426941936</v>
      </c>
      <c r="N1947">
        <v>54.991743298213599</v>
      </c>
      <c r="O1947">
        <v>53.771578874000198</v>
      </c>
      <c r="P1947">
        <v>-6.4173908759469794E-2</v>
      </c>
      <c r="Q1947">
        <v>1.8358718916256001E-2</v>
      </c>
      <c r="R1947">
        <v>0.97575986482269705</v>
      </c>
      <c r="S1947" t="s">
        <v>8617</v>
      </c>
      <c r="T1947" t="s">
        <v>13338</v>
      </c>
      <c r="U1947" t="s">
        <v>13338</v>
      </c>
      <c r="V1947" t="s">
        <v>13338</v>
      </c>
      <c r="W1947" t="s">
        <v>15249</v>
      </c>
      <c r="X1947">
        <v>21</v>
      </c>
      <c r="Y1947" t="s">
        <v>21834</v>
      </c>
      <c r="Z1947" t="s">
        <v>28362</v>
      </c>
      <c r="AA1947">
        <v>0.52458872077518837</v>
      </c>
      <c r="AB1947" t="str">
        <f>HYPERLINK("Melting_Curves/meltCurve_P07686_HEXB.pdf", "Melting_Curves/meltCurve_P07686_HEXB.pdf")</f>
        <v>Melting_Curves/meltCurve_P07686_HEXB.pdf</v>
      </c>
    </row>
    <row r="1948" spans="1:28" x14ac:dyDescent="0.25">
      <c r="A1948" t="s">
        <v>1952</v>
      </c>
      <c r="B1948">
        <v>0.99193492352474899</v>
      </c>
      <c r="C1948">
        <v>1.0643636230598901</v>
      </c>
      <c r="D1948">
        <v>0.89979673828587803</v>
      </c>
      <c r="E1948">
        <v>0.81240364544763199</v>
      </c>
      <c r="F1948">
        <v>0.32743726212183599</v>
      </c>
      <c r="G1948">
        <v>0.14227559195847</v>
      </c>
      <c r="H1948">
        <v>9.8659838931922594E-2</v>
      </c>
      <c r="I1948">
        <v>0.11421576238756</v>
      </c>
      <c r="J1948">
        <v>0.14496240249098899</v>
      </c>
      <c r="K1948">
        <v>0.129236933608016</v>
      </c>
      <c r="L1948">
        <v>1728.7138685167199</v>
      </c>
      <c r="M1948">
        <v>33.639488881793</v>
      </c>
      <c r="N1948">
        <v>51.802660550712801</v>
      </c>
      <c r="O1948">
        <v>51.208834387277498</v>
      </c>
      <c r="P1948">
        <v>-0.14490228920717199</v>
      </c>
      <c r="Q1948">
        <v>0.117674263412889</v>
      </c>
      <c r="R1948">
        <v>0.99152039442373496</v>
      </c>
      <c r="S1948" t="s">
        <v>8618</v>
      </c>
      <c r="T1948" t="s">
        <v>13338</v>
      </c>
      <c r="U1948" t="s">
        <v>13338</v>
      </c>
      <c r="V1948" t="s">
        <v>13338</v>
      </c>
      <c r="W1948" t="s">
        <v>15250</v>
      </c>
      <c r="X1948">
        <v>18</v>
      </c>
      <c r="Y1948" t="s">
        <v>21835</v>
      </c>
      <c r="Z1948" t="s">
        <v>28363</v>
      </c>
      <c r="AA1948">
        <v>0.45708604809876002</v>
      </c>
      <c r="AB1948" t="str">
        <f>HYPERLINK("Melting_Curves/meltCurve_P07737_PFN1.pdf", "Melting_Curves/meltCurve_P07737_PFN1.pdf")</f>
        <v>Melting_Curves/meltCurve_P07737_PFN1.pdf</v>
      </c>
    </row>
    <row r="1949" spans="1:28" x14ac:dyDescent="0.25">
      <c r="A1949" t="s">
        <v>1953</v>
      </c>
      <c r="B1949">
        <v>0.99193492352474899</v>
      </c>
      <c r="C1949">
        <v>0.93985759507254796</v>
      </c>
      <c r="D1949">
        <v>0.94548035008497</v>
      </c>
      <c r="E1949">
        <v>0.79822991303058799</v>
      </c>
      <c r="F1949">
        <v>0.699682602939936</v>
      </c>
      <c r="G1949">
        <v>0.36288713554156499</v>
      </c>
      <c r="H1949">
        <v>0.22493289709796599</v>
      </c>
      <c r="I1949">
        <v>0.15716445063453899</v>
      </c>
      <c r="J1949">
        <v>0.15676509242423001</v>
      </c>
      <c r="K1949">
        <v>0.15764403014908901</v>
      </c>
      <c r="L1949">
        <v>899.68519501655396</v>
      </c>
      <c r="M1949">
        <v>16.586408433408099</v>
      </c>
      <c r="N1949">
        <v>55.083676775537</v>
      </c>
      <c r="O1949">
        <v>53.472242039008201</v>
      </c>
      <c r="P1949">
        <v>-6.8874022710752006E-2</v>
      </c>
      <c r="Q1949">
        <v>0.11189991622482801</v>
      </c>
      <c r="R1949">
        <v>0.98951655318973897</v>
      </c>
      <c r="S1949" t="s">
        <v>8619</v>
      </c>
      <c r="T1949" t="s">
        <v>13338</v>
      </c>
      <c r="U1949" t="s">
        <v>13338</v>
      </c>
      <c r="V1949" t="s">
        <v>13338</v>
      </c>
      <c r="W1949" t="s">
        <v>15251</v>
      </c>
      <c r="X1949">
        <v>5</v>
      </c>
      <c r="Y1949" t="s">
        <v>21836</v>
      </c>
      <c r="Z1949" t="s">
        <v>28364</v>
      </c>
      <c r="AA1949">
        <v>0.5493398673423161</v>
      </c>
      <c r="AB1949" t="str">
        <f>HYPERLINK("Melting_Curves/meltCurve_P07738_BPGM.pdf", "Melting_Curves/meltCurve_P07738_BPGM.pdf")</f>
        <v>Melting_Curves/meltCurve_P07738_BPGM.pdf</v>
      </c>
    </row>
    <row r="1950" spans="1:28" x14ac:dyDescent="0.25">
      <c r="A1950" t="s">
        <v>1954</v>
      </c>
      <c r="B1950">
        <v>0.99193492352474899</v>
      </c>
      <c r="C1950">
        <v>0.92249716006034299</v>
      </c>
      <c r="D1950">
        <v>0.88485946356405498</v>
      </c>
      <c r="E1950">
        <v>0.75312157246205003</v>
      </c>
      <c r="F1950">
        <v>0.67007642366928899</v>
      </c>
      <c r="G1950">
        <v>0.45412174544161799</v>
      </c>
      <c r="H1950">
        <v>0.31706297704643399</v>
      </c>
      <c r="I1950">
        <v>0.169371523949222</v>
      </c>
      <c r="J1950">
        <v>0.12535414913284301</v>
      </c>
      <c r="K1950">
        <v>0.107169732644867</v>
      </c>
      <c r="L1950">
        <v>582.07456768973896</v>
      </c>
      <c r="M1950">
        <v>10.4432907684561</v>
      </c>
      <c r="N1950">
        <v>55.736700297586303</v>
      </c>
      <c r="O1950">
        <v>53.8092580731034</v>
      </c>
      <c r="P1950">
        <v>-4.8539940924061498E-2</v>
      </c>
      <c r="Q1950">
        <v>0</v>
      </c>
      <c r="R1950">
        <v>0.99342994543835295</v>
      </c>
      <c r="S1950" t="s">
        <v>8620</v>
      </c>
      <c r="T1950" t="s">
        <v>13338</v>
      </c>
      <c r="U1950" t="s">
        <v>13338</v>
      </c>
      <c r="V1950" t="s">
        <v>13338</v>
      </c>
      <c r="W1950" t="s">
        <v>15252</v>
      </c>
      <c r="X1950">
        <v>14</v>
      </c>
      <c r="Y1950" t="s">
        <v>21837</v>
      </c>
      <c r="Z1950" t="s">
        <v>28365</v>
      </c>
      <c r="AA1950">
        <v>0.54681168159906324</v>
      </c>
      <c r="AB1950" t="str">
        <f>HYPERLINK("Melting_Curves/meltCurve_P07741_APRT.pdf", "Melting_Curves/meltCurve_P07741_APRT.pdf")</f>
        <v>Melting_Curves/meltCurve_P07741_APRT.pdf</v>
      </c>
    </row>
    <row r="1951" spans="1:28" x14ac:dyDescent="0.25">
      <c r="A1951" t="s">
        <v>1955</v>
      </c>
      <c r="B1951">
        <v>0.99193492352474899</v>
      </c>
      <c r="C1951">
        <v>0.64799095279702001</v>
      </c>
      <c r="D1951">
        <v>0.69432573403519604</v>
      </c>
      <c r="E1951">
        <v>0.243213520520868</v>
      </c>
      <c r="F1951">
        <v>0.18088711639386901</v>
      </c>
      <c r="G1951">
        <v>0.117585948035258</v>
      </c>
      <c r="H1951">
        <v>8.20180219419019E-2</v>
      </c>
      <c r="I1951">
        <v>9.0513955674816696E-2</v>
      </c>
      <c r="J1951">
        <v>0.101553313138584</v>
      </c>
      <c r="K1951">
        <v>9.3590102160273705E-2</v>
      </c>
      <c r="L1951">
        <v>721.92513198198196</v>
      </c>
      <c r="M1951">
        <v>15.608144427994599</v>
      </c>
      <c r="N1951">
        <v>46.742294832317398</v>
      </c>
      <c r="O1951">
        <v>45.513804943398902</v>
      </c>
      <c r="P1951">
        <v>-7.9279629176592994E-2</v>
      </c>
      <c r="Q1951">
        <v>7.53530851749276E-2</v>
      </c>
      <c r="R1951">
        <v>0.94974264576543999</v>
      </c>
      <c r="S1951" t="s">
        <v>8621</v>
      </c>
      <c r="T1951" t="s">
        <v>13338</v>
      </c>
      <c r="U1951" t="s">
        <v>13338</v>
      </c>
      <c r="V1951" t="s">
        <v>13338</v>
      </c>
      <c r="W1951" t="s">
        <v>15253</v>
      </c>
      <c r="X1951">
        <v>49</v>
      </c>
      <c r="Y1951" t="s">
        <v>21838</v>
      </c>
      <c r="Z1951" t="s">
        <v>28366</v>
      </c>
      <c r="AA1951">
        <v>0.29241418303311978</v>
      </c>
      <c r="AB1951" t="str">
        <f>HYPERLINK("Melting_Curves/meltCurve_P07814_EPRS.pdf", "Melting_Curves/meltCurve_P07814_EPRS.pdf")</f>
        <v>Melting_Curves/meltCurve_P07814_EPRS.pdf</v>
      </c>
    </row>
    <row r="1952" spans="1:28" x14ac:dyDescent="0.25">
      <c r="A1952" t="s">
        <v>1956</v>
      </c>
      <c r="B1952">
        <v>0.99193492352474899</v>
      </c>
      <c r="C1952">
        <v>0.81850657161379403</v>
      </c>
      <c r="D1952">
        <v>0.91985181993783305</v>
      </c>
      <c r="E1952">
        <v>0.69428697544651696</v>
      </c>
      <c r="F1952">
        <v>0.50742073913697905</v>
      </c>
      <c r="G1952">
        <v>0.29937817930488297</v>
      </c>
      <c r="H1952">
        <v>0.21701443928019701</v>
      </c>
      <c r="I1952">
        <v>0.231315231653408</v>
      </c>
      <c r="J1952">
        <v>0.27205456884309398</v>
      </c>
      <c r="K1952">
        <v>0.30018712323399699</v>
      </c>
      <c r="L1952">
        <v>845.24922430430297</v>
      </c>
      <c r="M1952">
        <v>16.670604858472199</v>
      </c>
      <c r="N1952">
        <v>52.664279436749901</v>
      </c>
      <c r="O1952">
        <v>49.990223087636501</v>
      </c>
      <c r="P1952">
        <v>-6.4094102593690999E-2</v>
      </c>
      <c r="Q1952">
        <v>0.231254005604421</v>
      </c>
      <c r="R1952">
        <v>0.95872559675964797</v>
      </c>
      <c r="S1952" t="s">
        <v>8622</v>
      </c>
      <c r="T1952" t="s">
        <v>13338</v>
      </c>
      <c r="U1952" t="s">
        <v>13338</v>
      </c>
      <c r="V1952" t="s">
        <v>13338</v>
      </c>
      <c r="W1952" t="s">
        <v>15254</v>
      </c>
      <c r="X1952">
        <v>9</v>
      </c>
      <c r="Y1952" t="s">
        <v>21839</v>
      </c>
      <c r="Z1952" t="s">
        <v>28367</v>
      </c>
      <c r="AA1952">
        <v>0.52044472511705409</v>
      </c>
      <c r="AB1952" t="str">
        <f>HYPERLINK("Melting_Curves/meltCurve_P07858_CTSB.pdf", "Melting_Curves/meltCurve_P07858_CTSB.pdf")</f>
        <v>Melting_Curves/meltCurve_P07858_CTSB.pdf</v>
      </c>
    </row>
    <row r="1953" spans="1:28" x14ac:dyDescent="0.25">
      <c r="A1953" t="s">
        <v>1957</v>
      </c>
      <c r="B1953">
        <v>0.99193492352474899</v>
      </c>
      <c r="C1953">
        <v>0.81697814966000104</v>
      </c>
      <c r="D1953">
        <v>0.777062749994614</v>
      </c>
      <c r="E1953">
        <v>0.51109340261704705</v>
      </c>
      <c r="F1953">
        <v>0.13789838797415199</v>
      </c>
      <c r="G1953">
        <v>7.8709809515361204E-2</v>
      </c>
      <c r="H1953">
        <v>4.9782130423935998E-2</v>
      </c>
      <c r="I1953">
        <v>5.8982185830991303E-2</v>
      </c>
      <c r="J1953">
        <v>6.6428595166199395E-2</v>
      </c>
      <c r="K1953">
        <v>6.9686440257449897E-2</v>
      </c>
      <c r="L1953">
        <v>888.824254260104</v>
      </c>
      <c r="M1953">
        <v>18.229292751733599</v>
      </c>
      <c r="N1953">
        <v>48.965125772244903</v>
      </c>
      <c r="O1953">
        <v>48.182624406583798</v>
      </c>
      <c r="P1953">
        <v>-9.1079299608282496E-2</v>
      </c>
      <c r="Q1953">
        <v>3.7102745700238499E-2</v>
      </c>
      <c r="R1953">
        <v>0.981234835246517</v>
      </c>
      <c r="S1953" t="s">
        <v>8623</v>
      </c>
      <c r="T1953" t="s">
        <v>13338</v>
      </c>
      <c r="U1953" t="s">
        <v>13338</v>
      </c>
      <c r="V1953" t="s">
        <v>13338</v>
      </c>
      <c r="W1953" t="s">
        <v>15255</v>
      </c>
      <c r="X1953">
        <v>74</v>
      </c>
      <c r="Y1953" t="s">
        <v>21840</v>
      </c>
      <c r="Z1953" t="s">
        <v>28368</v>
      </c>
      <c r="AA1953">
        <v>0.33454099181007552</v>
      </c>
      <c r="AB1953" t="str">
        <f>HYPERLINK("Melting_Curves/meltCurve_P07900_HSP90AA1.pdf", "Melting_Curves/meltCurve_P07900_HSP90AA1.pdf")</f>
        <v>Melting_Curves/meltCurve_P07900_HSP90AA1.pdf</v>
      </c>
    </row>
    <row r="1954" spans="1:28" x14ac:dyDescent="0.25">
      <c r="A1954" t="s">
        <v>1958</v>
      </c>
      <c r="B1954">
        <v>0.99193492352474899</v>
      </c>
      <c r="C1954">
        <v>0.81524968319913405</v>
      </c>
      <c r="D1954">
        <v>0.73929461894316495</v>
      </c>
      <c r="E1954">
        <v>0.57167197485020804</v>
      </c>
      <c r="F1954">
        <v>0.261988833007538</v>
      </c>
      <c r="G1954">
        <v>0.107033975000763</v>
      </c>
      <c r="H1954">
        <v>5.2838576556942497E-2</v>
      </c>
      <c r="I1954">
        <v>5.9467727994771902E-2</v>
      </c>
      <c r="J1954">
        <v>7.8945028692079602E-2</v>
      </c>
      <c r="K1954">
        <v>7.0070888661825204E-2</v>
      </c>
      <c r="L1954">
        <v>699.83196849841704</v>
      </c>
      <c r="M1954">
        <v>14.173819589115199</v>
      </c>
      <c r="N1954">
        <v>49.5475063466207</v>
      </c>
      <c r="O1954">
        <v>48.423308746891401</v>
      </c>
      <c r="P1954">
        <v>-7.1423643417139498E-2</v>
      </c>
      <c r="Q1954">
        <v>2.4078706206706699E-2</v>
      </c>
      <c r="R1954">
        <v>0.98419001999909095</v>
      </c>
      <c r="S1954" t="s">
        <v>8624</v>
      </c>
      <c r="T1954" t="s">
        <v>13338</v>
      </c>
      <c r="U1954" t="s">
        <v>13338</v>
      </c>
      <c r="V1954" t="s">
        <v>13338</v>
      </c>
      <c r="W1954" t="s">
        <v>15256</v>
      </c>
      <c r="X1954">
        <v>6</v>
      </c>
      <c r="Y1954" t="s">
        <v>21841</v>
      </c>
      <c r="Z1954" t="s">
        <v>28369</v>
      </c>
      <c r="AA1954">
        <v>0.35539420399929128</v>
      </c>
      <c r="AB1954" t="str">
        <f>HYPERLINK("Melting_Curves/meltCurve_P07902_GALT.pdf", "Melting_Curves/meltCurve_P07902_GALT.pdf")</f>
        <v>Melting_Curves/meltCurve_P07902_GALT.pdf</v>
      </c>
    </row>
    <row r="1955" spans="1:28" x14ac:dyDescent="0.25">
      <c r="A1955" t="s">
        <v>1959</v>
      </c>
      <c r="B1955">
        <v>0.99193492352474899</v>
      </c>
      <c r="C1955">
        <v>1.7278271940752401</v>
      </c>
      <c r="D1955">
        <v>0.72074467758838601</v>
      </c>
      <c r="E1955">
        <v>1.10485165258617</v>
      </c>
      <c r="F1955">
        <v>0.487408129306586</v>
      </c>
      <c r="G1955">
        <v>0.53847254157047397</v>
      </c>
      <c r="H1955">
        <v>0.44297471454984499</v>
      </c>
      <c r="I1955">
        <v>0.462529250264193</v>
      </c>
      <c r="J1955">
        <v>0.42200076773657802</v>
      </c>
      <c r="K1955">
        <v>0.510828220214674</v>
      </c>
      <c r="L1955">
        <v>13100.4846254326</v>
      </c>
      <c r="M1955">
        <v>250</v>
      </c>
      <c r="N1955">
        <v>53.040603945209803</v>
      </c>
      <c r="O1955">
        <v>52.398585845311203</v>
      </c>
      <c r="P1955">
        <v>-0.62577979098459702</v>
      </c>
      <c r="Q1955">
        <v>0.47536039025245902</v>
      </c>
      <c r="R1955">
        <v>0.60647442498437998</v>
      </c>
      <c r="S1955" t="s">
        <v>8625</v>
      </c>
      <c r="T1955" t="s">
        <v>13338</v>
      </c>
      <c r="U1955" t="s">
        <v>13338</v>
      </c>
      <c r="V1955" t="s">
        <v>13338</v>
      </c>
      <c r="W1955" t="s">
        <v>15257</v>
      </c>
      <c r="X1955">
        <v>7</v>
      </c>
      <c r="Y1955" t="s">
        <v>21842</v>
      </c>
      <c r="Z1955" t="s">
        <v>28370</v>
      </c>
      <c r="AA1955">
        <v>0.69229357770593414</v>
      </c>
      <c r="AB1955" t="str">
        <f>HYPERLINK("Melting_Curves/meltCurve_P07919_UQCRH.pdf", "Melting_Curves/meltCurve_P07919_UQCRH.pdf")</f>
        <v>Melting_Curves/meltCurve_P07919_UQCRH.pdf</v>
      </c>
    </row>
    <row r="1956" spans="1:28" x14ac:dyDescent="0.25">
      <c r="A1956" t="s">
        <v>1960</v>
      </c>
      <c r="B1956">
        <v>0.99193492352474899</v>
      </c>
      <c r="C1956">
        <v>1.09258877413167</v>
      </c>
      <c r="D1956">
        <v>0.88536889034712096</v>
      </c>
      <c r="E1956">
        <v>0.90601389770113205</v>
      </c>
      <c r="F1956">
        <v>0.583853400795036</v>
      </c>
      <c r="G1956">
        <v>0.113077088374924</v>
      </c>
      <c r="H1956">
        <v>5.2507999844954398E-2</v>
      </c>
      <c r="I1956">
        <v>6.1675030813906399E-2</v>
      </c>
      <c r="J1956">
        <v>6.6836889009348296E-2</v>
      </c>
      <c r="K1956">
        <v>7.2334219896020693E-2</v>
      </c>
      <c r="L1956">
        <v>1990.0114296522599</v>
      </c>
      <c r="M1956">
        <v>37.260629143382602</v>
      </c>
      <c r="N1956">
        <v>53.573937084590803</v>
      </c>
      <c r="O1956">
        <v>53.254746814648101</v>
      </c>
      <c r="P1956">
        <v>-0.16537801488996201</v>
      </c>
      <c r="Q1956">
        <v>5.4536618492924203E-2</v>
      </c>
      <c r="R1956">
        <v>0.98609526989351504</v>
      </c>
      <c r="S1956" t="s">
        <v>8626</v>
      </c>
      <c r="T1956" t="s">
        <v>13338</v>
      </c>
      <c r="U1956" t="s">
        <v>13338</v>
      </c>
      <c r="V1956" t="s">
        <v>13338</v>
      </c>
      <c r="W1956" t="s">
        <v>15258</v>
      </c>
      <c r="X1956">
        <v>24</v>
      </c>
      <c r="Y1956" t="s">
        <v>21843</v>
      </c>
      <c r="Z1956" t="s">
        <v>28371</v>
      </c>
      <c r="AA1956">
        <v>0.4811090926341221</v>
      </c>
      <c r="AB1956" t="str">
        <f>HYPERLINK("Melting_Curves/meltCurve_P07954_2_FH.pdf", "Melting_Curves/meltCurve_P07954_2_FH.pdf")</f>
        <v>Melting_Curves/meltCurve_P07954_2_FH.pdf</v>
      </c>
    </row>
    <row r="1957" spans="1:28" x14ac:dyDescent="0.25">
      <c r="A1957" t="s">
        <v>1961</v>
      </c>
      <c r="B1957">
        <v>0.99193492352474899</v>
      </c>
      <c r="C1957">
        <v>0.843350393416337</v>
      </c>
      <c r="D1957">
        <v>0.83644999471848502</v>
      </c>
      <c r="E1957">
        <v>0.52866560380254102</v>
      </c>
      <c r="F1957">
        <v>0.29622873047639398</v>
      </c>
      <c r="G1957">
        <v>0.159602740487615</v>
      </c>
      <c r="H1957">
        <v>0.12616386721756601</v>
      </c>
      <c r="I1957">
        <v>0.196324219213381</v>
      </c>
      <c r="J1957">
        <v>0.26754214385251002</v>
      </c>
      <c r="K1957">
        <v>0.39223841389624498</v>
      </c>
      <c r="L1957">
        <v>1099.2029824444901</v>
      </c>
      <c r="M1957">
        <v>22.746900516789999</v>
      </c>
      <c r="N1957">
        <v>49.6103200724922</v>
      </c>
      <c r="O1957">
        <v>47.954368879662198</v>
      </c>
      <c r="P1957">
        <v>-9.2157404733086798E-2</v>
      </c>
      <c r="Q1957">
        <v>0.22288067065453199</v>
      </c>
      <c r="R1957">
        <v>0.92947595616813505</v>
      </c>
      <c r="S1957" t="s">
        <v>8627</v>
      </c>
      <c r="T1957" t="s">
        <v>13338</v>
      </c>
      <c r="U1957" t="s">
        <v>13338</v>
      </c>
      <c r="V1957" t="s">
        <v>13338</v>
      </c>
      <c r="W1957" t="s">
        <v>15259</v>
      </c>
      <c r="X1957">
        <v>5</v>
      </c>
      <c r="Y1957" t="s">
        <v>21844</v>
      </c>
      <c r="Z1957" t="s">
        <v>28372</v>
      </c>
      <c r="AA1957">
        <v>0.44686221954545208</v>
      </c>
      <c r="AB1957" t="str">
        <f>HYPERLINK("Melting_Curves/meltCurve_P08047_SP1.pdf", "Melting_Curves/meltCurve_P08047_SP1.pdf")</f>
        <v>Melting_Curves/meltCurve_P08047_SP1.pdf</v>
      </c>
    </row>
    <row r="1958" spans="1:28" x14ac:dyDescent="0.25">
      <c r="A1958" t="s">
        <v>1962</v>
      </c>
      <c r="B1958">
        <v>0.99193492352474899</v>
      </c>
      <c r="C1958">
        <v>0.82871977773405103</v>
      </c>
      <c r="D1958">
        <v>0.86301976137556902</v>
      </c>
      <c r="E1958">
        <v>0.61343808123730603</v>
      </c>
      <c r="F1958">
        <v>0.574114009851453</v>
      </c>
      <c r="G1958">
        <v>0.39424119949345499</v>
      </c>
      <c r="H1958">
        <v>0.18676206259527101</v>
      </c>
      <c r="I1958">
        <v>0.107900259035789</v>
      </c>
      <c r="J1958">
        <v>0.11412255842562501</v>
      </c>
      <c r="K1958">
        <v>9.83126881272781E-2</v>
      </c>
      <c r="L1958">
        <v>523.03026576858599</v>
      </c>
      <c r="M1958">
        <v>9.8193931312191598</v>
      </c>
      <c r="N1958">
        <v>53.265028632284398</v>
      </c>
      <c r="O1958">
        <v>51.196896773153497</v>
      </c>
      <c r="P1958">
        <v>-4.7974164862882397E-2</v>
      </c>
      <c r="Q1958">
        <v>0</v>
      </c>
      <c r="R1958">
        <v>0.97666726552622196</v>
      </c>
      <c r="S1958" t="s">
        <v>8628</v>
      </c>
      <c r="T1958" t="s">
        <v>13338</v>
      </c>
      <c r="U1958" t="s">
        <v>13338</v>
      </c>
      <c r="V1958" t="s">
        <v>13338</v>
      </c>
      <c r="W1958" t="s">
        <v>15260</v>
      </c>
      <c r="X1958">
        <v>38</v>
      </c>
      <c r="Y1958" t="s">
        <v>21845</v>
      </c>
      <c r="Z1958" t="s">
        <v>28373</v>
      </c>
      <c r="AA1958">
        <v>0.47585419989411132</v>
      </c>
      <c r="AB1958" t="str">
        <f>HYPERLINK("Melting_Curves/meltCurve_P08107_HSPA1A.pdf", "Melting_Curves/meltCurve_P08107_HSPA1A.pdf")</f>
        <v>Melting_Curves/meltCurve_P08107_HSPA1A.pdf</v>
      </c>
    </row>
    <row r="1959" spans="1:28" x14ac:dyDescent="0.25">
      <c r="A1959" t="s">
        <v>1963</v>
      </c>
      <c r="B1959">
        <v>0.99193492352474899</v>
      </c>
      <c r="C1959">
        <v>0.92200952618403398</v>
      </c>
      <c r="D1959">
        <v>0.84843442738617902</v>
      </c>
      <c r="E1959">
        <v>0.399157157659358</v>
      </c>
      <c r="F1959">
        <v>0.168638863159457</v>
      </c>
      <c r="G1959">
        <v>9.9418127510002396E-2</v>
      </c>
      <c r="H1959">
        <v>6.4683970916770805E-2</v>
      </c>
      <c r="I1959">
        <v>7.0671894153150699E-2</v>
      </c>
      <c r="J1959">
        <v>7.6949512529362996E-2</v>
      </c>
      <c r="K1959">
        <v>8.1851518307818602E-2</v>
      </c>
      <c r="L1959">
        <v>1270.94874882008</v>
      </c>
      <c r="M1959">
        <v>26.176396623988499</v>
      </c>
      <c r="N1959">
        <v>48.8514155090161</v>
      </c>
      <c r="O1959">
        <v>48.272524369714901</v>
      </c>
      <c r="P1959">
        <v>-0.12555796124649199</v>
      </c>
      <c r="Q1959">
        <v>7.38325162967024E-2</v>
      </c>
      <c r="R1959">
        <v>0.99739541433521794</v>
      </c>
      <c r="S1959" t="s">
        <v>8629</v>
      </c>
      <c r="T1959" t="s">
        <v>13338</v>
      </c>
      <c r="U1959" t="s">
        <v>13338</v>
      </c>
      <c r="V1959" t="s">
        <v>13338</v>
      </c>
      <c r="W1959" t="s">
        <v>15261</v>
      </c>
      <c r="X1959">
        <v>57</v>
      </c>
      <c r="Y1959" t="s">
        <v>19996</v>
      </c>
      <c r="Z1959" t="s">
        <v>28374</v>
      </c>
      <c r="AA1959">
        <v>0.3453305673349808</v>
      </c>
      <c r="AB1959" t="str">
        <f>HYPERLINK("Melting_Curves/meltCurve_P08133_ANXA6.pdf", "Melting_Curves/meltCurve_P08133_ANXA6.pdf")</f>
        <v>Melting_Curves/meltCurve_P08133_ANXA6.pdf</v>
      </c>
    </row>
    <row r="1960" spans="1:28" x14ac:dyDescent="0.25">
      <c r="A1960" t="s">
        <v>1964</v>
      </c>
      <c r="B1960">
        <v>0.99193492352474899</v>
      </c>
      <c r="C1960">
        <v>0.935137215584807</v>
      </c>
      <c r="D1960">
        <v>0.77681210103278997</v>
      </c>
      <c r="E1960">
        <v>0.53287920594786298</v>
      </c>
      <c r="F1960">
        <v>0.15619753261880001</v>
      </c>
      <c r="G1960">
        <v>9.6831229657031406E-2</v>
      </c>
      <c r="H1960">
        <v>5.8830932520173802E-2</v>
      </c>
      <c r="I1960">
        <v>6.7651458148535001E-2</v>
      </c>
      <c r="J1960">
        <v>7.7104919167253705E-2</v>
      </c>
      <c r="K1960">
        <v>7.4969652323851693E-2</v>
      </c>
      <c r="L1960">
        <v>1024.3041369258699</v>
      </c>
      <c r="M1960">
        <v>20.8779462906116</v>
      </c>
      <c r="N1960">
        <v>49.336471674007903</v>
      </c>
      <c r="O1960">
        <v>48.6180880367084</v>
      </c>
      <c r="P1960">
        <v>-0.101464066172944</v>
      </c>
      <c r="Q1960">
        <v>5.4916063097158303E-2</v>
      </c>
      <c r="R1960">
        <v>0.99349208572674097</v>
      </c>
      <c r="S1960" t="s">
        <v>8630</v>
      </c>
      <c r="T1960" t="s">
        <v>13338</v>
      </c>
      <c r="U1960" t="s">
        <v>13338</v>
      </c>
      <c r="V1960" t="s">
        <v>13338</v>
      </c>
      <c r="W1960" t="s">
        <v>15262</v>
      </c>
      <c r="X1960">
        <v>68</v>
      </c>
      <c r="Y1960" t="s">
        <v>21846</v>
      </c>
      <c r="Z1960" t="s">
        <v>28375</v>
      </c>
      <c r="AA1960">
        <v>0.35250413099245181</v>
      </c>
      <c r="AB1960" t="str">
        <f>HYPERLINK("Melting_Curves/meltCurve_P08238_HSP90AB1.pdf", "Melting_Curves/meltCurve_P08238_HSP90AB1.pdf")</f>
        <v>Melting_Curves/meltCurve_P08238_HSP90AB1.pdf</v>
      </c>
    </row>
    <row r="1961" spans="1:28" x14ac:dyDescent="0.25">
      <c r="A1961" t="s">
        <v>1965</v>
      </c>
      <c r="B1961">
        <v>0.99193492352474899</v>
      </c>
      <c r="C1961">
        <v>0.77111224777059095</v>
      </c>
      <c r="D1961">
        <v>0.97257846633769696</v>
      </c>
      <c r="E1961">
        <v>0.57280799751400502</v>
      </c>
      <c r="F1961">
        <v>0.16871248381867701</v>
      </c>
      <c r="G1961">
        <v>0.108672496079025</v>
      </c>
      <c r="H1961">
        <v>6.92640147691342E-2</v>
      </c>
      <c r="I1961">
        <v>8.1080791971816196E-2</v>
      </c>
      <c r="J1961">
        <v>6.2078105336414703E-2</v>
      </c>
      <c r="K1961">
        <v>5.0998829199671199E-2</v>
      </c>
      <c r="L1961">
        <v>1559.67580403588</v>
      </c>
      <c r="M1961">
        <v>31.279356947523201</v>
      </c>
      <c r="N1961">
        <v>50.094215952489101</v>
      </c>
      <c r="O1961">
        <v>49.6603069777317</v>
      </c>
      <c r="P1961">
        <v>-0.14687381990704301</v>
      </c>
      <c r="Q1961">
        <v>6.7275103724235799E-2</v>
      </c>
      <c r="R1961">
        <v>0.96347126400530902</v>
      </c>
      <c r="S1961" t="s">
        <v>8631</v>
      </c>
      <c r="T1961" t="s">
        <v>13338</v>
      </c>
      <c r="U1961" t="s">
        <v>13338</v>
      </c>
      <c r="V1961" t="s">
        <v>13338</v>
      </c>
      <c r="W1961" t="s">
        <v>15263</v>
      </c>
      <c r="X1961">
        <v>10</v>
      </c>
      <c r="Y1961" t="s">
        <v>21847</v>
      </c>
      <c r="Z1961" t="s">
        <v>28376</v>
      </c>
      <c r="AA1961">
        <v>0.37920639394921057</v>
      </c>
      <c r="AB1961" t="str">
        <f>HYPERLINK("Melting_Curves/meltCurve_P08240_SRPR.pdf", "Melting_Curves/meltCurve_P08240_SRPR.pdf")</f>
        <v>Melting_Curves/meltCurve_P08240_SRPR.pdf</v>
      </c>
    </row>
    <row r="1962" spans="1:28" x14ac:dyDescent="0.25">
      <c r="A1962" t="s">
        <v>1966</v>
      </c>
      <c r="B1962">
        <v>0.99193492352474899</v>
      </c>
      <c r="C1962">
        <v>0.96233294844762096</v>
      </c>
      <c r="D1962">
        <v>0.95726707800684696</v>
      </c>
      <c r="E1962">
        <v>0.84114628081930698</v>
      </c>
      <c r="F1962">
        <v>0.69540108971581904</v>
      </c>
      <c r="G1962">
        <v>0.28978761646790702</v>
      </c>
      <c r="H1962">
        <v>9.5445209988260199E-2</v>
      </c>
      <c r="I1962">
        <v>8.7464264727887195E-2</v>
      </c>
      <c r="J1962">
        <v>8.5575026181625394E-2</v>
      </c>
      <c r="K1962">
        <v>8.6040662533324305E-2</v>
      </c>
      <c r="L1962">
        <v>1263.1104466235099</v>
      </c>
      <c r="M1962">
        <v>23.256187009121899</v>
      </c>
      <c r="N1962">
        <v>54.613330901067997</v>
      </c>
      <c r="O1962">
        <v>53.916057778295603</v>
      </c>
      <c r="P1962">
        <v>-0.101361639004444</v>
      </c>
      <c r="Q1962">
        <v>6.00481823489772E-2</v>
      </c>
      <c r="R1962">
        <v>0.99235725973520095</v>
      </c>
      <c r="S1962" t="s">
        <v>8632</v>
      </c>
      <c r="T1962" t="s">
        <v>13338</v>
      </c>
      <c r="U1962" t="s">
        <v>13338</v>
      </c>
      <c r="V1962" t="s">
        <v>13338</v>
      </c>
      <c r="W1962" t="s">
        <v>15264</v>
      </c>
      <c r="X1962">
        <v>15</v>
      </c>
      <c r="Y1962" t="s">
        <v>21848</v>
      </c>
      <c r="Z1962" t="s">
        <v>28377</v>
      </c>
      <c r="AA1962">
        <v>0.51838696289495279</v>
      </c>
      <c r="AB1962" t="str">
        <f>HYPERLINK("Melting_Curves/meltCurve_P08243_2_ASNS.pdf", "Melting_Curves/meltCurve_P08243_2_ASNS.pdf")</f>
        <v>Melting_Curves/meltCurve_P08243_2_ASNS.pdf</v>
      </c>
    </row>
    <row r="1963" spans="1:28" x14ac:dyDescent="0.25">
      <c r="A1963" t="s">
        <v>1967</v>
      </c>
      <c r="B1963">
        <v>0.99193492352474899</v>
      </c>
      <c r="C1963">
        <v>0.82204362105138196</v>
      </c>
      <c r="D1963">
        <v>0.906216932058592</v>
      </c>
      <c r="E1963">
        <v>0.71283084622197401</v>
      </c>
      <c r="F1963">
        <v>0.73226294400689695</v>
      </c>
      <c r="G1963">
        <v>0.46822677766270698</v>
      </c>
      <c r="H1963">
        <v>0.42591065717413901</v>
      </c>
      <c r="I1963">
        <v>0.43288667225576</v>
      </c>
      <c r="J1963">
        <v>0.51828421119906298</v>
      </c>
      <c r="K1963">
        <v>0.50721934292610105</v>
      </c>
      <c r="L1963">
        <v>586.48977331282401</v>
      </c>
      <c r="M1963">
        <v>11.7103748953836</v>
      </c>
      <c r="N1963">
        <v>60.633841830785201</v>
      </c>
      <c r="O1963">
        <v>48.689341819041204</v>
      </c>
      <c r="P1963">
        <v>-3.3991103950137297E-2</v>
      </c>
      <c r="Q1963">
        <v>0.434837705306094</v>
      </c>
      <c r="R1963">
        <v>0.88096688938072099</v>
      </c>
      <c r="S1963" t="s">
        <v>8633</v>
      </c>
      <c r="T1963" t="s">
        <v>13338</v>
      </c>
      <c r="U1963" t="s">
        <v>13338</v>
      </c>
      <c r="V1963" t="s">
        <v>13338</v>
      </c>
      <c r="W1963" t="s">
        <v>15265</v>
      </c>
      <c r="X1963">
        <v>16</v>
      </c>
      <c r="Y1963" t="s">
        <v>21849</v>
      </c>
      <c r="Z1963" t="s">
        <v>28378</v>
      </c>
      <c r="AA1963">
        <v>0.6450013856923057</v>
      </c>
      <c r="AB1963" t="str">
        <f>HYPERLINK("Melting_Curves/meltCurve_P08397_2_HMBS.pdf", "Melting_Curves/meltCurve_P08397_2_HMBS.pdf")</f>
        <v>Melting_Curves/meltCurve_P08397_2_HMBS.pdf</v>
      </c>
    </row>
    <row r="1964" spans="1:28" x14ac:dyDescent="0.25">
      <c r="A1964" t="s">
        <v>1968</v>
      </c>
      <c r="B1964">
        <v>0.99193492352474899</v>
      </c>
      <c r="C1964">
        <v>0.78611086809622499</v>
      </c>
      <c r="D1964">
        <v>0.67672652493828001</v>
      </c>
      <c r="E1964">
        <v>0.226007216043144</v>
      </c>
      <c r="F1964">
        <v>0.14417867485302299</v>
      </c>
      <c r="G1964">
        <v>8.0306851186864703E-2</v>
      </c>
      <c r="H1964">
        <v>4.3885563751719002E-2</v>
      </c>
      <c r="I1964">
        <v>5.55488885662229E-2</v>
      </c>
      <c r="J1964">
        <v>6.0151183176798503E-2</v>
      </c>
      <c r="K1964">
        <v>5.19275411611477E-2</v>
      </c>
      <c r="L1964">
        <v>926.00856557317104</v>
      </c>
      <c r="M1964">
        <v>19.7922470839532</v>
      </c>
      <c r="N1964">
        <v>47.024654470086702</v>
      </c>
      <c r="O1964">
        <v>46.316665415148996</v>
      </c>
      <c r="P1964">
        <v>-0.101738522590825</v>
      </c>
      <c r="Q1964">
        <v>4.7702011783219797E-2</v>
      </c>
      <c r="R1964">
        <v>0.98670082135340098</v>
      </c>
      <c r="S1964" t="s">
        <v>8634</v>
      </c>
      <c r="T1964" t="s">
        <v>13338</v>
      </c>
      <c r="U1964" t="s">
        <v>13338</v>
      </c>
      <c r="V1964" t="s">
        <v>13338</v>
      </c>
      <c r="W1964" t="s">
        <v>15266</v>
      </c>
      <c r="X1964">
        <v>20</v>
      </c>
      <c r="Y1964" t="s">
        <v>21850</v>
      </c>
      <c r="Z1964" t="s">
        <v>28379</v>
      </c>
      <c r="AA1964">
        <v>0.27752621635960301</v>
      </c>
      <c r="AB1964" t="str">
        <f>HYPERLINK("Melting_Curves/meltCurve_P08559_PDHA1.pdf", "Melting_Curves/meltCurve_P08559_PDHA1.pdf")</f>
        <v>Melting_Curves/meltCurve_P08559_PDHA1.pdf</v>
      </c>
    </row>
    <row r="1965" spans="1:28" x14ac:dyDescent="0.25">
      <c r="A1965" t="s">
        <v>1969</v>
      </c>
      <c r="B1965">
        <v>0.99193492352474899</v>
      </c>
      <c r="C1965">
        <v>1.0379983393118399</v>
      </c>
      <c r="D1965">
        <v>0.95022970320636901</v>
      </c>
      <c r="E1965">
        <v>0.96941446977008405</v>
      </c>
      <c r="F1965">
        <v>0.64750275605765895</v>
      </c>
      <c r="G1965">
        <v>0.35569142125750802</v>
      </c>
      <c r="H1965">
        <v>0.300996939407567</v>
      </c>
      <c r="I1965">
        <v>0.29990566152089998</v>
      </c>
      <c r="J1965">
        <v>0.32509889218689902</v>
      </c>
      <c r="K1965">
        <v>0.261313048095831</v>
      </c>
      <c r="L1965">
        <v>2058.1253198813802</v>
      </c>
      <c r="M1965">
        <v>38.673953624915796</v>
      </c>
      <c r="N1965">
        <v>54.477973529221899</v>
      </c>
      <c r="O1965">
        <v>53.075641283377799</v>
      </c>
      <c r="P1965">
        <v>-0.128302903318778</v>
      </c>
      <c r="Q1965">
        <v>0.29567637100719002</v>
      </c>
      <c r="R1965">
        <v>0.99421911741230296</v>
      </c>
      <c r="S1965" t="s">
        <v>8635</v>
      </c>
      <c r="T1965" t="s">
        <v>13338</v>
      </c>
      <c r="U1965" t="s">
        <v>13338</v>
      </c>
      <c r="V1965" t="s">
        <v>13338</v>
      </c>
      <c r="W1965" t="s">
        <v>15267</v>
      </c>
      <c r="X1965">
        <v>1</v>
      </c>
      <c r="Y1965" t="s">
        <v>21851</v>
      </c>
      <c r="Z1965" t="s">
        <v>28380</v>
      </c>
      <c r="AA1965">
        <v>0.60875461581318158</v>
      </c>
      <c r="AB1965" t="str">
        <f>HYPERLINK("Melting_Curves/meltCurve_P08567_PLEK.pdf", "Melting_Curves/meltCurve_P08567_PLEK.pdf")</f>
        <v>Melting_Curves/meltCurve_P08567_PLEK.pdf</v>
      </c>
    </row>
    <row r="1966" spans="1:28" x14ac:dyDescent="0.25">
      <c r="A1966" t="s">
        <v>1970</v>
      </c>
      <c r="B1966">
        <v>0.99193492352474899</v>
      </c>
      <c r="C1966">
        <v>1.43417648156389</v>
      </c>
      <c r="D1966">
        <v>0.72516678451300298</v>
      </c>
      <c r="E1966">
        <v>0.69703062855525399</v>
      </c>
      <c r="F1966">
        <v>1.43416703896034</v>
      </c>
      <c r="G1966">
        <v>0.62566504222742003</v>
      </c>
      <c r="H1966">
        <v>0.57086861244745102</v>
      </c>
      <c r="I1966">
        <v>1.11397233495239</v>
      </c>
      <c r="J1966">
        <v>1.0673376039457501</v>
      </c>
      <c r="K1966">
        <v>1.14482115760972</v>
      </c>
      <c r="L1966">
        <v>14410.9123280353</v>
      </c>
      <c r="M1966">
        <v>228.981515333858</v>
      </c>
      <c r="O1966">
        <v>62.930028719411801</v>
      </c>
      <c r="P1966">
        <v>9.9523968599972507E-2</v>
      </c>
      <c r="Q1966">
        <v>1.1094070160203999</v>
      </c>
      <c r="R1966">
        <v>3.4977405453636798E-2</v>
      </c>
      <c r="S1966" t="s">
        <v>8636</v>
      </c>
      <c r="T1966" t="s">
        <v>13338</v>
      </c>
      <c r="U1966" t="s">
        <v>13338</v>
      </c>
      <c r="V1966" t="s">
        <v>13338</v>
      </c>
      <c r="W1966" t="s">
        <v>15268</v>
      </c>
      <c r="X1966">
        <v>1</v>
      </c>
      <c r="Y1966" t="s">
        <v>21852</v>
      </c>
      <c r="Z1966" t="s">
        <v>28381</v>
      </c>
      <c r="AA1966">
        <v>1.025751574022034</v>
      </c>
      <c r="AB1966" t="str">
        <f>HYPERLINK("Melting_Curves/meltCurve_P08571_CD14.pdf", "Melting_Curves/meltCurve_P08571_CD14.pdf")</f>
        <v>Melting_Curves/meltCurve_P08571_CD14.pdf</v>
      </c>
    </row>
    <row r="1967" spans="1:28" x14ac:dyDescent="0.25">
      <c r="A1967" t="s">
        <v>1971</v>
      </c>
      <c r="B1967">
        <v>0.99193492352474899</v>
      </c>
      <c r="C1967">
        <v>0.98725072807704395</v>
      </c>
      <c r="D1967">
        <v>0.90750186369291097</v>
      </c>
      <c r="E1967">
        <v>0.84945196332302297</v>
      </c>
      <c r="F1967">
        <v>0.63207310006220696</v>
      </c>
      <c r="G1967">
        <v>0.497399398225714</v>
      </c>
      <c r="H1967">
        <v>0.227749705573904</v>
      </c>
      <c r="I1967">
        <v>8.8748930546806507E-2</v>
      </c>
      <c r="J1967">
        <v>8.9167953967223698E-2</v>
      </c>
      <c r="K1967">
        <v>7.9682990394467093E-2</v>
      </c>
      <c r="L1967">
        <v>763.16262637918601</v>
      </c>
      <c r="M1967">
        <v>13.695849475235701</v>
      </c>
      <c r="N1967">
        <v>55.722183274868698</v>
      </c>
      <c r="O1967">
        <v>54.574501852734002</v>
      </c>
      <c r="P1967">
        <v>-6.2748278792495601E-2</v>
      </c>
      <c r="Q1967">
        <v>0</v>
      </c>
      <c r="R1967">
        <v>0.99265492873107597</v>
      </c>
      <c r="S1967" t="s">
        <v>8637</v>
      </c>
      <c r="T1967" t="s">
        <v>13338</v>
      </c>
      <c r="U1967" t="s">
        <v>13338</v>
      </c>
      <c r="V1967" t="s">
        <v>13338</v>
      </c>
      <c r="W1967" t="s">
        <v>15269</v>
      </c>
      <c r="X1967">
        <v>7</v>
      </c>
      <c r="Y1967" t="s">
        <v>21853</v>
      </c>
      <c r="Z1967" t="s">
        <v>28382</v>
      </c>
      <c r="AA1967">
        <v>0.54370048211253652</v>
      </c>
      <c r="AB1967" t="str">
        <f>HYPERLINK("Melting_Curves/meltCurve_P08574_CYC1.pdf", "Melting_Curves/meltCurve_P08574_CYC1.pdf")</f>
        <v>Melting_Curves/meltCurve_P08574_CYC1.pdf</v>
      </c>
    </row>
    <row r="1968" spans="1:28" x14ac:dyDescent="0.25">
      <c r="A1968" t="s">
        <v>1972</v>
      </c>
      <c r="B1968">
        <v>0.99193492352474899</v>
      </c>
      <c r="C1968">
        <v>0.93835263412786096</v>
      </c>
      <c r="D1968">
        <v>0.99112937354005304</v>
      </c>
      <c r="E1968">
        <v>0.83202233886448196</v>
      </c>
      <c r="F1968">
        <v>0.58362358070784703</v>
      </c>
      <c r="G1968">
        <v>0.29901588011193098</v>
      </c>
      <c r="H1968">
        <v>0.139769309303691</v>
      </c>
      <c r="I1968">
        <v>0.127099959127465</v>
      </c>
      <c r="J1968">
        <v>0.134260561295728</v>
      </c>
      <c r="K1968">
        <v>0.13018095098611099</v>
      </c>
      <c r="L1968">
        <v>1148.90651380194</v>
      </c>
      <c r="M1968">
        <v>21.543508591481199</v>
      </c>
      <c r="N1968">
        <v>53.952308840913197</v>
      </c>
      <c r="O1968">
        <v>52.876470004033102</v>
      </c>
      <c r="P1968">
        <v>-9.0647885553398699E-2</v>
      </c>
      <c r="Q1968">
        <v>0.110075518567489</v>
      </c>
      <c r="R1968">
        <v>0.99584650957952503</v>
      </c>
      <c r="S1968" t="s">
        <v>8638</v>
      </c>
      <c r="T1968" t="s">
        <v>13338</v>
      </c>
      <c r="U1968" t="s">
        <v>13338</v>
      </c>
      <c r="V1968" t="s">
        <v>13338</v>
      </c>
      <c r="W1968" t="s">
        <v>15270</v>
      </c>
      <c r="X1968">
        <v>55</v>
      </c>
      <c r="Y1968" t="s">
        <v>21854</v>
      </c>
      <c r="Z1968" t="s">
        <v>28383</v>
      </c>
      <c r="AA1968">
        <v>0.51622968732563401</v>
      </c>
      <c r="AB1968" t="str">
        <f>HYPERLINK("Melting_Curves/meltCurve_P08575_PTPRC.pdf", "Melting_Curves/meltCurve_P08575_PTPRC.pdf")</f>
        <v>Melting_Curves/meltCurve_P08575_PTPRC.pdf</v>
      </c>
    </row>
    <row r="1969" spans="1:28" x14ac:dyDescent="0.25">
      <c r="A1969" t="s">
        <v>1973</v>
      </c>
      <c r="B1969">
        <v>0.99193492352474899</v>
      </c>
      <c r="C1969">
        <v>1.0153288077684199</v>
      </c>
      <c r="D1969">
        <v>0.92379348960595997</v>
      </c>
      <c r="E1969">
        <v>0.80002229001897596</v>
      </c>
      <c r="F1969">
        <v>0.66101673877424005</v>
      </c>
      <c r="G1969">
        <v>0.46029528658015101</v>
      </c>
      <c r="H1969">
        <v>0.155641176716384</v>
      </c>
      <c r="I1969">
        <v>0.18018886519443</v>
      </c>
      <c r="J1969">
        <v>0.17081570101752699</v>
      </c>
      <c r="K1969">
        <v>0.18726353618650601</v>
      </c>
      <c r="L1969">
        <v>874.488971444237</v>
      </c>
      <c r="M1969">
        <v>16.116905443803301</v>
      </c>
      <c r="N1969">
        <v>55.207806804712099</v>
      </c>
      <c r="O1969">
        <v>53.444397112946</v>
      </c>
      <c r="P1969">
        <v>-6.6277102232440793E-2</v>
      </c>
      <c r="Q1969">
        <v>0.120955363528974</v>
      </c>
      <c r="R1969">
        <v>0.98451937997093097</v>
      </c>
      <c r="S1969" t="s">
        <v>8639</v>
      </c>
      <c r="T1969" t="s">
        <v>13338</v>
      </c>
      <c r="U1969" t="s">
        <v>13338</v>
      </c>
      <c r="V1969" t="s">
        <v>13338</v>
      </c>
      <c r="W1969" t="s">
        <v>15271</v>
      </c>
      <c r="X1969">
        <v>11</v>
      </c>
      <c r="Y1969" t="s">
        <v>21855</v>
      </c>
      <c r="Z1969" t="s">
        <v>28384</v>
      </c>
      <c r="AA1969">
        <v>0.55502072164848504</v>
      </c>
      <c r="AB1969" t="str">
        <f>HYPERLINK("Melting_Curves/meltCurve_P08579_SNRPB2.pdf", "Melting_Curves/meltCurve_P08579_SNRPB2.pdf")</f>
        <v>Melting_Curves/meltCurve_P08579_SNRPB2.pdf</v>
      </c>
    </row>
    <row r="1970" spans="1:28" x14ac:dyDescent="0.25">
      <c r="A1970" t="s">
        <v>1974</v>
      </c>
      <c r="B1970">
        <v>0.99193492352474899</v>
      </c>
      <c r="C1970">
        <v>0.99472874783063103</v>
      </c>
      <c r="D1970">
        <v>0.99844955210460196</v>
      </c>
      <c r="E1970">
        <v>0.82746605717784805</v>
      </c>
      <c r="F1970">
        <v>0.61055009296195095</v>
      </c>
      <c r="G1970">
        <v>0.35839597367008902</v>
      </c>
      <c r="H1970">
        <v>0.21559778020002501</v>
      </c>
      <c r="I1970">
        <v>0.30097837774219</v>
      </c>
      <c r="J1970">
        <v>0.38579116904566801</v>
      </c>
      <c r="K1970">
        <v>0.247630248233869</v>
      </c>
      <c r="L1970">
        <v>1321.8447185176401</v>
      </c>
      <c r="M1970">
        <v>25.207512199614499</v>
      </c>
      <c r="N1970">
        <v>54.208140947814201</v>
      </c>
      <c r="O1970">
        <v>52.111841194556803</v>
      </c>
      <c r="P1970">
        <v>-8.7019838376216893E-2</v>
      </c>
      <c r="Q1970">
        <v>0.28042005926674701</v>
      </c>
      <c r="R1970">
        <v>0.97732266390341405</v>
      </c>
      <c r="S1970" t="s">
        <v>8640</v>
      </c>
      <c r="T1970" t="s">
        <v>13338</v>
      </c>
      <c r="U1970" t="s">
        <v>13338</v>
      </c>
      <c r="V1970" t="s">
        <v>13338</v>
      </c>
      <c r="W1970" t="s">
        <v>15272</v>
      </c>
      <c r="X1970">
        <v>3</v>
      </c>
      <c r="Y1970" t="s">
        <v>21856</v>
      </c>
      <c r="Z1970" t="s">
        <v>28385</v>
      </c>
      <c r="AA1970">
        <v>0.58526313902119087</v>
      </c>
      <c r="AB1970" t="str">
        <f>HYPERLINK("Melting_Curves/meltCurve_P08582_MFI2.pdf", "Melting_Curves/meltCurve_P08582_MFI2.pdf")</f>
        <v>Melting_Curves/meltCurve_P08582_MFI2.pdf</v>
      </c>
    </row>
    <row r="1971" spans="1:28" x14ac:dyDescent="0.25">
      <c r="A1971" t="s">
        <v>1975</v>
      </c>
      <c r="B1971">
        <v>0.99193492352474899</v>
      </c>
      <c r="C1971">
        <v>0.69552091797767701</v>
      </c>
      <c r="D1971">
        <v>0.65667947699862095</v>
      </c>
      <c r="E1971">
        <v>0.404928995715163</v>
      </c>
      <c r="F1971">
        <v>0.17859340335049601</v>
      </c>
      <c r="G1971">
        <v>9.7172932078785301E-2</v>
      </c>
      <c r="H1971">
        <v>5.93552093555492E-2</v>
      </c>
      <c r="I1971">
        <v>7.90391740467737E-2</v>
      </c>
      <c r="J1971">
        <v>3.7694250814664002E-2</v>
      </c>
      <c r="K1971">
        <v>9.5013134212025799E-2</v>
      </c>
      <c r="L1971">
        <v>639.15940812742099</v>
      </c>
      <c r="M1971">
        <v>13.524025384745499</v>
      </c>
      <c r="N1971">
        <v>47.5241849579659</v>
      </c>
      <c r="O1971">
        <v>46.263597137778298</v>
      </c>
      <c r="P1971">
        <v>-7.0455376871645894E-2</v>
      </c>
      <c r="Q1971">
        <v>3.6078264214847097E-2</v>
      </c>
      <c r="R1971">
        <v>0.97535172746597798</v>
      </c>
      <c r="S1971" t="s">
        <v>8641</v>
      </c>
      <c r="T1971" t="s">
        <v>13338</v>
      </c>
      <c r="U1971" t="s">
        <v>13338</v>
      </c>
      <c r="V1971" t="s">
        <v>13338</v>
      </c>
      <c r="W1971" t="s">
        <v>15273</v>
      </c>
      <c r="X1971">
        <v>1</v>
      </c>
      <c r="Y1971" t="s">
        <v>21857</v>
      </c>
      <c r="Z1971" t="s">
        <v>28386</v>
      </c>
      <c r="AA1971">
        <v>0.30107728034553882</v>
      </c>
      <c r="AB1971" t="str">
        <f>HYPERLINK("Melting_Curves/meltCurve_P08590_MYL3.pdf", "Melting_Curves/meltCurve_P08590_MYL3.pdf")</f>
        <v>Melting_Curves/meltCurve_P08590_MYL3.pdf</v>
      </c>
    </row>
    <row r="1972" spans="1:28" x14ac:dyDescent="0.25">
      <c r="A1972" t="s">
        <v>1976</v>
      </c>
      <c r="B1972">
        <v>0.99193492352474899</v>
      </c>
      <c r="C1972">
        <v>0.477982645567475</v>
      </c>
      <c r="D1972">
        <v>0.67486716739720198</v>
      </c>
      <c r="E1972">
        <v>0.44248444826961503</v>
      </c>
      <c r="F1972">
        <v>0.26670958055209598</v>
      </c>
      <c r="G1972">
        <v>0.13366211525647201</v>
      </c>
      <c r="H1972">
        <v>0.108664606119417</v>
      </c>
      <c r="I1972">
        <v>0.17884596171395201</v>
      </c>
      <c r="J1972">
        <v>0.22223974379681199</v>
      </c>
      <c r="K1972">
        <v>0.38669711947433899</v>
      </c>
      <c r="L1972">
        <v>582.05856922542296</v>
      </c>
      <c r="M1972">
        <v>12.9847669659405</v>
      </c>
      <c r="N1972">
        <v>46.623069306429798</v>
      </c>
      <c r="O1972">
        <v>43.803017970778299</v>
      </c>
      <c r="P1972">
        <v>-5.9530180555824597E-2</v>
      </c>
      <c r="Q1972">
        <v>0.19686232938742901</v>
      </c>
      <c r="R1972">
        <v>0.77090335700120305</v>
      </c>
      <c r="S1972" t="s">
        <v>8642</v>
      </c>
      <c r="T1972" t="s">
        <v>13338</v>
      </c>
      <c r="U1972" t="s">
        <v>13338</v>
      </c>
      <c r="V1972" t="s">
        <v>13338</v>
      </c>
      <c r="W1972" t="s">
        <v>15274</v>
      </c>
      <c r="X1972">
        <v>24</v>
      </c>
      <c r="Y1972" t="s">
        <v>21858</v>
      </c>
      <c r="Z1972" t="s">
        <v>28387</v>
      </c>
      <c r="AA1972">
        <v>0.3612418071815543</v>
      </c>
      <c r="AB1972" t="str">
        <f>HYPERLINK("Melting_Curves/meltCurve_P08621_2_SNRNP70.pdf", "Melting_Curves/meltCurve_P08621_2_SNRNP70.pdf")</f>
        <v>Melting_Curves/meltCurve_P08621_2_SNRNP70.pdf</v>
      </c>
    </row>
    <row r="1973" spans="1:28" x14ac:dyDescent="0.25">
      <c r="A1973" t="s">
        <v>1977</v>
      </c>
      <c r="B1973">
        <v>0.99193492352474899</v>
      </c>
      <c r="C1973">
        <v>1.0256277113216901</v>
      </c>
      <c r="D1973">
        <v>0.95506148315489003</v>
      </c>
      <c r="E1973">
        <v>0.93572485682666995</v>
      </c>
      <c r="F1973">
        <v>0.80462578238515703</v>
      </c>
      <c r="G1973">
        <v>0.62815171685825399</v>
      </c>
      <c r="H1973">
        <v>0.448817104284018</v>
      </c>
      <c r="I1973">
        <v>0.48050992422646899</v>
      </c>
      <c r="J1973">
        <v>0.52553103227867104</v>
      </c>
      <c r="K1973">
        <v>0.43362583842867702</v>
      </c>
      <c r="L1973">
        <v>1240.4840380678299</v>
      </c>
      <c r="M1973">
        <v>22.785900076138098</v>
      </c>
      <c r="N1973">
        <v>61.083538418248601</v>
      </c>
      <c r="O1973">
        <v>54.026770541151002</v>
      </c>
      <c r="P1973">
        <v>-5.7144246827027602E-2</v>
      </c>
      <c r="Q1973">
        <v>0.45804068218911298</v>
      </c>
      <c r="R1973">
        <v>0.98115953845866</v>
      </c>
      <c r="S1973" t="s">
        <v>8643</v>
      </c>
      <c r="T1973" t="s">
        <v>13338</v>
      </c>
      <c r="U1973" t="s">
        <v>13338</v>
      </c>
      <c r="V1973" t="s">
        <v>13338</v>
      </c>
      <c r="W1973" t="s">
        <v>15275</v>
      </c>
      <c r="X1973">
        <v>7</v>
      </c>
      <c r="Y1973" t="s">
        <v>21859</v>
      </c>
      <c r="Z1973" t="s">
        <v>28388</v>
      </c>
      <c r="AA1973">
        <v>0.72482273414937759</v>
      </c>
      <c r="AB1973" t="str">
        <f>HYPERLINK("Melting_Curves/meltCurve_P08648_ITGA5.pdf", "Melting_Curves/meltCurve_P08648_ITGA5.pdf")</f>
        <v>Melting_Curves/meltCurve_P08648_ITGA5.pdf</v>
      </c>
    </row>
    <row r="1974" spans="1:28" x14ac:dyDescent="0.25">
      <c r="A1974" t="s">
        <v>1978</v>
      </c>
      <c r="B1974">
        <v>0.99193492352474899</v>
      </c>
      <c r="C1974">
        <v>0.539378804313838</v>
      </c>
      <c r="D1974">
        <v>0.77234945878947603</v>
      </c>
      <c r="E1974">
        <v>0.41469008342532399</v>
      </c>
      <c r="F1974">
        <v>0.49129959457135802</v>
      </c>
      <c r="G1974">
        <v>0.195076186467462</v>
      </c>
      <c r="H1974">
        <v>0.12646552428916799</v>
      </c>
      <c r="I1974">
        <v>0.119856515023316</v>
      </c>
      <c r="J1974">
        <v>0.16059319583387099</v>
      </c>
      <c r="K1974">
        <v>0.155657212672037</v>
      </c>
      <c r="L1974">
        <v>411.26042048600902</v>
      </c>
      <c r="M1974">
        <v>8.4612305569564494</v>
      </c>
      <c r="N1974">
        <v>49.150728705469703</v>
      </c>
      <c r="O1974">
        <v>46.118142006392901</v>
      </c>
      <c r="P1974">
        <v>-4.3851877964109998E-2</v>
      </c>
      <c r="Q1974">
        <v>4.4812712274059301E-2</v>
      </c>
      <c r="R1974">
        <v>0.85282844403820002</v>
      </c>
      <c r="S1974" t="s">
        <v>8644</v>
      </c>
      <c r="T1974" t="s">
        <v>13338</v>
      </c>
      <c r="U1974" t="s">
        <v>13338</v>
      </c>
      <c r="V1974" t="s">
        <v>13338</v>
      </c>
      <c r="W1974" t="s">
        <v>15276</v>
      </c>
      <c r="X1974">
        <v>2</v>
      </c>
      <c r="Y1974" t="s">
        <v>21860</v>
      </c>
      <c r="Z1974" t="s">
        <v>28389</v>
      </c>
      <c r="AA1974">
        <v>0.37980197466506271</v>
      </c>
      <c r="AB1974" t="str">
        <f>HYPERLINK("Melting_Curves/meltCurve_P08651_4_NFIC.pdf", "Melting_Curves/meltCurve_P08651_4_NFIC.pdf")</f>
        <v>Melting_Curves/meltCurve_P08651_4_NFIC.pdf</v>
      </c>
    </row>
    <row r="1975" spans="1:28" x14ac:dyDescent="0.25">
      <c r="A1975" t="s">
        <v>1979</v>
      </c>
      <c r="B1975">
        <v>0.99193492352474899</v>
      </c>
      <c r="C1975">
        <v>0.92695930004441396</v>
      </c>
      <c r="D1975">
        <v>0.74850325218018599</v>
      </c>
      <c r="E1975">
        <v>0.62517519630246998</v>
      </c>
      <c r="F1975">
        <v>0.55739066382809099</v>
      </c>
      <c r="G1975">
        <v>0.30306617063993102</v>
      </c>
      <c r="H1975">
        <v>0.26798323666958102</v>
      </c>
      <c r="I1975">
        <v>0.40347613504302798</v>
      </c>
      <c r="J1975">
        <v>0.52682128989447496</v>
      </c>
      <c r="K1975">
        <v>0.91301680373481298</v>
      </c>
      <c r="L1975">
        <v>1075.23947234052</v>
      </c>
      <c r="M1975">
        <v>23.232705205304001</v>
      </c>
      <c r="N1975">
        <v>57.417378081352702</v>
      </c>
      <c r="O1975">
        <v>45.942461062922</v>
      </c>
      <c r="P1975">
        <v>-6.3910559460934005E-2</v>
      </c>
      <c r="Q1975">
        <v>0.49447865189733903</v>
      </c>
      <c r="R1975">
        <v>0.54786196651406704</v>
      </c>
      <c r="S1975" t="s">
        <v>8645</v>
      </c>
      <c r="T1975" t="s">
        <v>13338</v>
      </c>
      <c r="U1975" t="s">
        <v>13338</v>
      </c>
      <c r="V1975" t="s">
        <v>13338</v>
      </c>
      <c r="W1975" t="s">
        <v>15277</v>
      </c>
      <c r="X1975">
        <v>37</v>
      </c>
      <c r="Y1975" t="s">
        <v>21861</v>
      </c>
      <c r="Z1975" t="s">
        <v>28390</v>
      </c>
      <c r="AA1975">
        <v>0.60577261437792496</v>
      </c>
      <c r="AB1975" t="str">
        <f>HYPERLINK("Melting_Curves/meltCurve_P08670_VIM.pdf", "Melting_Curves/meltCurve_P08670_VIM.pdf")</f>
        <v>Melting_Curves/meltCurve_P08670_VIM.pdf</v>
      </c>
    </row>
    <row r="1976" spans="1:28" x14ac:dyDescent="0.25">
      <c r="A1976" t="s">
        <v>1980</v>
      </c>
      <c r="B1976">
        <v>0.99193492352474899</v>
      </c>
      <c r="C1976">
        <v>0.994518739533503</v>
      </c>
      <c r="D1976">
        <v>0.97403317530147904</v>
      </c>
      <c r="E1976">
        <v>0.83853855395130605</v>
      </c>
      <c r="F1976">
        <v>0.57208830785943399</v>
      </c>
      <c r="G1976">
        <v>0.15239612901010399</v>
      </c>
      <c r="H1976">
        <v>4.7187042401901802E-2</v>
      </c>
      <c r="I1976">
        <v>5.0974678722672299E-2</v>
      </c>
      <c r="J1976">
        <v>5.1954542750814701E-2</v>
      </c>
      <c r="K1976">
        <v>5.4404807169148903E-2</v>
      </c>
      <c r="L1976">
        <v>1429.4677553602</v>
      </c>
      <c r="M1976">
        <v>26.819842600423101</v>
      </c>
      <c r="N1976">
        <v>53.441999137556898</v>
      </c>
      <c r="O1976">
        <v>53.005213818473798</v>
      </c>
      <c r="P1976">
        <v>-0.12211423829149699</v>
      </c>
      <c r="Q1976">
        <v>3.4651244679121999E-2</v>
      </c>
      <c r="R1976">
        <v>0.996221851822363</v>
      </c>
      <c r="S1976" t="s">
        <v>8646</v>
      </c>
      <c r="T1976" t="s">
        <v>13338</v>
      </c>
      <c r="U1976" t="s">
        <v>13338</v>
      </c>
      <c r="V1976" t="s">
        <v>13338</v>
      </c>
      <c r="W1976" t="s">
        <v>15278</v>
      </c>
      <c r="X1976">
        <v>15</v>
      </c>
      <c r="Y1976" t="s">
        <v>21862</v>
      </c>
      <c r="Z1976" t="s">
        <v>28391</v>
      </c>
      <c r="AA1976">
        <v>0.47038864499060562</v>
      </c>
      <c r="AB1976" t="str">
        <f>HYPERLINK("Melting_Curves/meltCurve_P08754_GNAI3.pdf", "Melting_Curves/meltCurve_P08754_GNAI3.pdf")</f>
        <v>Melting_Curves/meltCurve_P08754_GNAI3.pdf</v>
      </c>
    </row>
    <row r="1977" spans="1:28" x14ac:dyDescent="0.25">
      <c r="A1977" t="s">
        <v>1981</v>
      </c>
      <c r="B1977">
        <v>0.99193492352474899</v>
      </c>
      <c r="C1977">
        <v>0.912433973751414</v>
      </c>
      <c r="D1977">
        <v>0.74905291529555296</v>
      </c>
      <c r="E1977">
        <v>0.37194055119759001</v>
      </c>
      <c r="F1977">
        <v>0.12582101563828099</v>
      </c>
      <c r="G1977">
        <v>8.3077180484546501E-2</v>
      </c>
      <c r="H1977">
        <v>5.1528595543535803E-2</v>
      </c>
      <c r="I1977">
        <v>5.5570872438340101E-2</v>
      </c>
      <c r="J1977">
        <v>5.8498113400280501E-2</v>
      </c>
      <c r="K1977">
        <v>6.5213841407270906E-2</v>
      </c>
      <c r="L1977">
        <v>1077.47617455408</v>
      </c>
      <c r="M1977">
        <v>22.440568914012101</v>
      </c>
      <c r="N1977">
        <v>48.248992740066697</v>
      </c>
      <c r="O1977">
        <v>47.638241060004397</v>
      </c>
      <c r="P1977">
        <v>-0.11168717316799701</v>
      </c>
      <c r="Q1977">
        <v>5.1633547753285602E-2</v>
      </c>
      <c r="R1977">
        <v>0.99883231497273195</v>
      </c>
      <c r="S1977" t="s">
        <v>8647</v>
      </c>
      <c r="T1977" t="s">
        <v>13338</v>
      </c>
      <c r="U1977" t="s">
        <v>13338</v>
      </c>
      <c r="V1977" t="s">
        <v>13338</v>
      </c>
      <c r="W1977" t="s">
        <v>15279</v>
      </c>
      <c r="X1977">
        <v>21</v>
      </c>
      <c r="Y1977" t="s">
        <v>21863</v>
      </c>
      <c r="Z1977" t="s">
        <v>28392</v>
      </c>
      <c r="AA1977">
        <v>0.31554188946261758</v>
      </c>
      <c r="AB1977" t="str">
        <f>HYPERLINK("Melting_Curves/meltCurve_P08758_ANXA5.pdf", "Melting_Curves/meltCurve_P08758_ANXA5.pdf")</f>
        <v>Melting_Curves/meltCurve_P08758_ANXA5.pdf</v>
      </c>
    </row>
    <row r="1978" spans="1:28" x14ac:dyDescent="0.25">
      <c r="A1978" t="s">
        <v>1982</v>
      </c>
      <c r="B1978">
        <v>0.99193492352474899</v>
      </c>
      <c r="C1978">
        <v>0.67905441222344898</v>
      </c>
      <c r="D1978">
        <v>0.83785153213415997</v>
      </c>
      <c r="E1978">
        <v>0.68454458474059698</v>
      </c>
      <c r="F1978">
        <v>0.63790315613242299</v>
      </c>
      <c r="G1978">
        <v>0.46450002981465499</v>
      </c>
      <c r="H1978">
        <v>0.24002567485235099</v>
      </c>
      <c r="I1978">
        <v>0.17564640462640899</v>
      </c>
      <c r="J1978">
        <v>0.21112423785093001</v>
      </c>
      <c r="K1978">
        <v>0.19217295304122101</v>
      </c>
      <c r="L1978">
        <v>399.24063336182797</v>
      </c>
      <c r="M1978">
        <v>7.3315966123680099</v>
      </c>
      <c r="N1978">
        <v>54.454800782826297</v>
      </c>
      <c r="O1978">
        <v>50.842771982183002</v>
      </c>
      <c r="P1978">
        <v>-3.6106711114323897E-2</v>
      </c>
      <c r="Q1978">
        <v>0</v>
      </c>
      <c r="R1978">
        <v>0.91389258330503098</v>
      </c>
      <c r="S1978" t="s">
        <v>8648</v>
      </c>
      <c r="T1978" t="s">
        <v>13338</v>
      </c>
      <c r="U1978" t="s">
        <v>13338</v>
      </c>
      <c r="V1978" t="s">
        <v>13338</v>
      </c>
      <c r="W1978" t="s">
        <v>15280</v>
      </c>
      <c r="X1978">
        <v>15</v>
      </c>
      <c r="Y1978" t="s">
        <v>21864</v>
      </c>
      <c r="Z1978" t="s">
        <v>28393</v>
      </c>
      <c r="AA1978">
        <v>0.51342501112025685</v>
      </c>
      <c r="AB1978" t="str">
        <f>HYPERLINK("Melting_Curves/meltCurve_P09012_SNRPA.pdf", "Melting_Curves/meltCurve_P09012_SNRPA.pdf")</f>
        <v>Melting_Curves/meltCurve_P09012_SNRPA.pdf</v>
      </c>
    </row>
    <row r="1979" spans="1:28" x14ac:dyDescent="0.25">
      <c r="A1979" t="s">
        <v>1983</v>
      </c>
      <c r="B1979">
        <v>0.99193492352474899</v>
      </c>
      <c r="C1979">
        <v>1.0973160121597101</v>
      </c>
      <c r="D1979">
        <v>0.92140060593987005</v>
      </c>
      <c r="E1979">
        <v>0.86650888114191105</v>
      </c>
      <c r="F1979">
        <v>0.68412957559139898</v>
      </c>
      <c r="G1979">
        <v>0.58832446778855396</v>
      </c>
      <c r="H1979">
        <v>0.48698127783537798</v>
      </c>
      <c r="I1979">
        <v>0.52838627200226496</v>
      </c>
      <c r="J1979">
        <v>0.37226417179133398</v>
      </c>
      <c r="K1979">
        <v>0.178603384970629</v>
      </c>
      <c r="L1979">
        <v>467.37987390623198</v>
      </c>
      <c r="M1979">
        <v>7.6748045018040498</v>
      </c>
      <c r="N1979">
        <v>60.897951520244597</v>
      </c>
      <c r="O1979">
        <v>57.176918155697599</v>
      </c>
      <c r="P1979">
        <v>-3.3601564345114701E-2</v>
      </c>
      <c r="Q1979">
        <v>0</v>
      </c>
      <c r="R1979">
        <v>0.93534420996244205</v>
      </c>
      <c r="S1979" t="s">
        <v>8649</v>
      </c>
      <c r="T1979" t="s">
        <v>13338</v>
      </c>
      <c r="U1979" t="s">
        <v>13338</v>
      </c>
      <c r="V1979" t="s">
        <v>13338</v>
      </c>
      <c r="W1979" t="s">
        <v>15281</v>
      </c>
      <c r="X1979">
        <v>27</v>
      </c>
      <c r="Y1979" t="s">
        <v>21865</v>
      </c>
      <c r="Z1979" t="s">
        <v>28394</v>
      </c>
      <c r="AA1979">
        <v>0.66931817286761042</v>
      </c>
      <c r="AB1979" t="str">
        <f>HYPERLINK("Melting_Curves/meltCurve_P09104_ENO2.pdf", "Melting_Curves/meltCurve_P09104_ENO2.pdf")</f>
        <v>Melting_Curves/meltCurve_P09104_ENO2.pdf</v>
      </c>
    </row>
    <row r="1980" spans="1:28" x14ac:dyDescent="0.25">
      <c r="A1980" t="s">
        <v>1984</v>
      </c>
      <c r="B1980">
        <v>0.99193492352474899</v>
      </c>
      <c r="C1980">
        <v>0.96369362429154104</v>
      </c>
      <c r="D1980">
        <v>0.92526620376337698</v>
      </c>
      <c r="E1980">
        <v>0.84224396235133003</v>
      </c>
      <c r="F1980">
        <v>0.55006604441526197</v>
      </c>
      <c r="G1980">
        <v>0.33588823034111598</v>
      </c>
      <c r="H1980">
        <v>0.17728850153692899</v>
      </c>
      <c r="I1980">
        <v>8.1534953598142695E-2</v>
      </c>
      <c r="J1980">
        <v>7.1985399278520004E-2</v>
      </c>
      <c r="K1980">
        <v>6.8781888050497203E-2</v>
      </c>
      <c r="L1980">
        <v>883.610062041947</v>
      </c>
      <c r="M1980">
        <v>16.391499885527502</v>
      </c>
      <c r="N1980">
        <v>54.153539418848702</v>
      </c>
      <c r="O1980">
        <v>53.123426578083397</v>
      </c>
      <c r="P1980">
        <v>-7.4366364269154994E-2</v>
      </c>
      <c r="Q1980">
        <v>3.6009061708356202E-2</v>
      </c>
      <c r="R1980">
        <v>0.997903391467867</v>
      </c>
      <c r="S1980" t="s">
        <v>8650</v>
      </c>
      <c r="T1980" t="s">
        <v>13338</v>
      </c>
      <c r="U1980" t="s">
        <v>13338</v>
      </c>
      <c r="V1980" t="s">
        <v>13338</v>
      </c>
      <c r="W1980" t="s">
        <v>15282</v>
      </c>
      <c r="X1980">
        <v>17</v>
      </c>
      <c r="Y1980" t="s">
        <v>21866</v>
      </c>
      <c r="Z1980" t="s">
        <v>28395</v>
      </c>
      <c r="AA1980">
        <v>0.50055849085894366</v>
      </c>
      <c r="AB1980" t="str">
        <f>HYPERLINK("Melting_Curves/meltCurve_P09110_ACAA1.pdf", "Melting_Curves/meltCurve_P09110_ACAA1.pdf")</f>
        <v>Melting_Curves/meltCurve_P09110_ACAA1.pdf</v>
      </c>
    </row>
    <row r="1981" spans="1:28" x14ac:dyDescent="0.25">
      <c r="A1981" t="s">
        <v>1985</v>
      </c>
      <c r="B1981">
        <v>0.99193492352474899</v>
      </c>
      <c r="C1981">
        <v>1.05396340750471</v>
      </c>
      <c r="D1981">
        <v>0.91081940265440697</v>
      </c>
      <c r="E1981">
        <v>0.685545860374279</v>
      </c>
      <c r="F1981">
        <v>0.33861246374797699</v>
      </c>
      <c r="G1981">
        <v>0.16775188399681401</v>
      </c>
      <c r="H1981">
        <v>8.4144929533586002E-2</v>
      </c>
      <c r="I1981">
        <v>9.68362204575276E-2</v>
      </c>
      <c r="J1981">
        <v>0.101208065071985</v>
      </c>
      <c r="K1981">
        <v>0.115512305689933</v>
      </c>
      <c r="L1981">
        <v>1208.51946391354</v>
      </c>
      <c r="M1981">
        <v>23.7364738793142</v>
      </c>
      <c r="N1981">
        <v>51.36177131913</v>
      </c>
      <c r="O1981">
        <v>50.556769166759302</v>
      </c>
      <c r="P1981">
        <v>-0.106407365381489</v>
      </c>
      <c r="Q1981">
        <v>9.3458419864748093E-2</v>
      </c>
      <c r="R1981">
        <v>0.996019774082607</v>
      </c>
      <c r="S1981" t="s">
        <v>8651</v>
      </c>
      <c r="T1981" t="s">
        <v>13338</v>
      </c>
      <c r="U1981" t="s">
        <v>13338</v>
      </c>
      <c r="V1981" t="s">
        <v>13338</v>
      </c>
      <c r="W1981" t="s">
        <v>15283</v>
      </c>
      <c r="X1981">
        <v>11</v>
      </c>
      <c r="Y1981" t="s">
        <v>21867</v>
      </c>
      <c r="Z1981" t="s">
        <v>28396</v>
      </c>
      <c r="AA1981">
        <v>0.43231811929894798</v>
      </c>
      <c r="AB1981" t="str">
        <f>HYPERLINK("Melting_Curves/meltCurve_P09132_SRP19.pdf", "Melting_Curves/meltCurve_P09132_SRP19.pdf")</f>
        <v>Melting_Curves/meltCurve_P09132_SRP19.pdf</v>
      </c>
    </row>
    <row r="1982" spans="1:28" x14ac:dyDescent="0.25">
      <c r="A1982" t="s">
        <v>1986</v>
      </c>
      <c r="B1982">
        <v>0.99193492352474899</v>
      </c>
      <c r="C1982">
        <v>1.03913393432011</v>
      </c>
      <c r="D1982">
        <v>0.99623502608729297</v>
      </c>
      <c r="E1982">
        <v>0.86494333595520401</v>
      </c>
      <c r="F1982">
        <v>0.47180441644979298</v>
      </c>
      <c r="G1982">
        <v>0.100074767778298</v>
      </c>
      <c r="H1982">
        <v>5.9163025480416701E-2</v>
      </c>
      <c r="I1982">
        <v>5.4207865987231797E-2</v>
      </c>
      <c r="J1982">
        <v>6.3147654594076896E-2</v>
      </c>
      <c r="K1982">
        <v>5.9681153637602603E-2</v>
      </c>
      <c r="L1982">
        <v>1708.3685068448401</v>
      </c>
      <c r="M1982">
        <v>32.424219590367798</v>
      </c>
      <c r="N1982">
        <v>52.858808720116102</v>
      </c>
      <c r="O1982">
        <v>52.488837168447397</v>
      </c>
      <c r="P1982">
        <v>-0.14675510797073099</v>
      </c>
      <c r="Q1982">
        <v>4.9726623661052301E-2</v>
      </c>
      <c r="R1982">
        <v>0.997847438858949</v>
      </c>
      <c r="S1982" t="s">
        <v>8652</v>
      </c>
      <c r="T1982" t="s">
        <v>13338</v>
      </c>
      <c r="U1982" t="s">
        <v>13338</v>
      </c>
      <c r="V1982" t="s">
        <v>13338</v>
      </c>
      <c r="W1982" t="s">
        <v>15284</v>
      </c>
      <c r="X1982">
        <v>13</v>
      </c>
      <c r="Y1982" t="s">
        <v>21868</v>
      </c>
      <c r="Z1982" t="s">
        <v>28397</v>
      </c>
      <c r="AA1982">
        <v>0.45689166098440098</v>
      </c>
      <c r="AB1982" t="str">
        <f>HYPERLINK("Melting_Curves/meltCurve_P09211_GSTP1.pdf", "Melting_Curves/meltCurve_P09211_GSTP1.pdf")</f>
        <v>Melting_Curves/meltCurve_P09211_GSTP1.pdf</v>
      </c>
    </row>
    <row r="1983" spans="1:28" x14ac:dyDescent="0.25">
      <c r="A1983" t="s">
        <v>1987</v>
      </c>
      <c r="B1983">
        <v>0.99193492352474899</v>
      </c>
      <c r="C1983">
        <v>0.59124050392669303</v>
      </c>
      <c r="D1983">
        <v>0.89931170630544299</v>
      </c>
      <c r="E1983">
        <v>0.49196300960656902</v>
      </c>
      <c r="F1983">
        <v>0.61715928370130801</v>
      </c>
      <c r="G1983">
        <v>0.27531918057785099</v>
      </c>
      <c r="H1983">
        <v>0.287630095021989</v>
      </c>
      <c r="I1983">
        <v>0.34441777849949301</v>
      </c>
      <c r="J1983">
        <v>0.72553842084989195</v>
      </c>
      <c r="K1983">
        <v>0.71637816206092197</v>
      </c>
      <c r="L1983">
        <v>657.27452712908496</v>
      </c>
      <c r="M1983">
        <v>14.862799720920201</v>
      </c>
      <c r="N1983">
        <v>57.739694201386897</v>
      </c>
      <c r="O1983">
        <v>43.445410096777003</v>
      </c>
      <c r="P1983">
        <v>-4.4085716430629598E-2</v>
      </c>
      <c r="Q1983">
        <v>0.48458691381305502</v>
      </c>
      <c r="R1983">
        <v>0.380610858429282</v>
      </c>
      <c r="S1983" t="s">
        <v>8653</v>
      </c>
      <c r="T1983" t="s">
        <v>13338</v>
      </c>
      <c r="U1983" t="s">
        <v>13338</v>
      </c>
      <c r="V1983" t="s">
        <v>13338</v>
      </c>
      <c r="W1983" t="s">
        <v>15285</v>
      </c>
      <c r="X1983">
        <v>5</v>
      </c>
      <c r="Y1983" t="s">
        <v>21869</v>
      </c>
      <c r="Z1983" t="s">
        <v>28398</v>
      </c>
      <c r="AA1983">
        <v>0.57563473242407071</v>
      </c>
      <c r="AB1983" t="str">
        <f>HYPERLINK("Melting_Curves/meltCurve_P09234_SNRPC.pdf", "Melting_Curves/meltCurve_P09234_SNRPC.pdf")</f>
        <v>Melting_Curves/meltCurve_P09234_SNRPC.pdf</v>
      </c>
    </row>
    <row r="1984" spans="1:28" x14ac:dyDescent="0.25">
      <c r="A1984" t="s">
        <v>1988</v>
      </c>
      <c r="B1984">
        <v>0.99193492352474899</v>
      </c>
      <c r="C1984">
        <v>0.90541183143331505</v>
      </c>
      <c r="D1984">
        <v>0.95542981516691095</v>
      </c>
      <c r="E1984">
        <v>0.85631597230959799</v>
      </c>
      <c r="F1984">
        <v>0.69828273078625203</v>
      </c>
      <c r="G1984">
        <v>0.56030444321711703</v>
      </c>
      <c r="H1984">
        <v>0.442547102454106</v>
      </c>
      <c r="I1984">
        <v>0.47532150079705598</v>
      </c>
      <c r="J1984">
        <v>0.50358043663402896</v>
      </c>
      <c r="K1984">
        <v>0.54025781729986</v>
      </c>
      <c r="L1984">
        <v>1042.4502280725701</v>
      </c>
      <c r="M1984">
        <v>20.081749522355299</v>
      </c>
      <c r="N1984">
        <v>62.288286762701802</v>
      </c>
      <c r="O1984">
        <v>51.403796600311303</v>
      </c>
      <c r="P1984">
        <v>-5.0555354978571103E-2</v>
      </c>
      <c r="Q1984">
        <v>0.48238495060833098</v>
      </c>
      <c r="R1984">
        <v>0.96159325741343904</v>
      </c>
      <c r="S1984" t="s">
        <v>8654</v>
      </c>
      <c r="T1984" t="s">
        <v>13338</v>
      </c>
      <c r="U1984" t="s">
        <v>13338</v>
      </c>
      <c r="V1984" t="s">
        <v>13338</v>
      </c>
      <c r="W1984" t="s">
        <v>15286</v>
      </c>
      <c r="X1984">
        <v>13</v>
      </c>
      <c r="Y1984" t="s">
        <v>21870</v>
      </c>
      <c r="Z1984" t="s">
        <v>28399</v>
      </c>
      <c r="AA1984">
        <v>0.69499710049040009</v>
      </c>
      <c r="AB1984" t="str">
        <f>HYPERLINK("Melting_Curves/meltCurve_P09326_CD48.pdf", "Melting_Curves/meltCurve_P09326_CD48.pdf")</f>
        <v>Melting_Curves/meltCurve_P09326_CD48.pdf</v>
      </c>
    </row>
    <row r="1985" spans="1:28" x14ac:dyDescent="0.25">
      <c r="A1985" t="s">
        <v>1989</v>
      </c>
      <c r="B1985">
        <v>0.99193492352474899</v>
      </c>
      <c r="C1985">
        <v>1.07555793609624</v>
      </c>
      <c r="D1985">
        <v>0.91955333609524503</v>
      </c>
      <c r="E1985">
        <v>0.72904669635342401</v>
      </c>
      <c r="F1985">
        <v>0.45057837687157898</v>
      </c>
      <c r="G1985">
        <v>0.30829877455072702</v>
      </c>
      <c r="H1985">
        <v>0.19368941351896099</v>
      </c>
      <c r="I1985">
        <v>0.29899533163764103</v>
      </c>
      <c r="J1985">
        <v>0.30483211955391398</v>
      </c>
      <c r="K1985">
        <v>0.50572552165323204</v>
      </c>
      <c r="L1985">
        <v>1481.9289662440699</v>
      </c>
      <c r="M1985">
        <v>29.490126496192701</v>
      </c>
      <c r="N1985">
        <v>52.0581330659179</v>
      </c>
      <c r="O1985">
        <v>50.022337005824198</v>
      </c>
      <c r="P1985">
        <v>-0.100178385327477</v>
      </c>
      <c r="Q1985">
        <v>0.32029850230388102</v>
      </c>
      <c r="R1985">
        <v>0.93531474635906098</v>
      </c>
      <c r="S1985" t="s">
        <v>8655</v>
      </c>
      <c r="T1985" t="s">
        <v>13338</v>
      </c>
      <c r="U1985" t="s">
        <v>13338</v>
      </c>
      <c r="V1985" t="s">
        <v>13338</v>
      </c>
      <c r="W1985" t="s">
        <v>15287</v>
      </c>
      <c r="X1985">
        <v>4</v>
      </c>
      <c r="Y1985" t="s">
        <v>21871</v>
      </c>
      <c r="Z1985" t="s">
        <v>28400</v>
      </c>
      <c r="AA1985">
        <v>0.5569382345491487</v>
      </c>
      <c r="AB1985" t="str">
        <f>HYPERLINK("Melting_Curves/meltCurve_P09382_LGALS1.pdf", "Melting_Curves/meltCurve_P09382_LGALS1.pdf")</f>
        <v>Melting_Curves/meltCurve_P09382_LGALS1.pdf</v>
      </c>
    </row>
    <row r="1986" spans="1:28" x14ac:dyDescent="0.25">
      <c r="A1986" t="s">
        <v>1990</v>
      </c>
      <c r="B1986">
        <v>0.99193492352474899</v>
      </c>
      <c r="C1986">
        <v>0.91302980159629699</v>
      </c>
      <c r="D1986">
        <v>0.98680479867783399</v>
      </c>
      <c r="E1986">
        <v>0.86777092751814</v>
      </c>
      <c r="F1986">
        <v>0.82683031241449501</v>
      </c>
      <c r="G1986">
        <v>0.69215288644963602</v>
      </c>
      <c r="H1986">
        <v>0.54019659048409496</v>
      </c>
      <c r="I1986">
        <v>0.15253506573613099</v>
      </c>
      <c r="J1986">
        <v>0.145390709877912</v>
      </c>
      <c r="K1986">
        <v>0.11721718746762901</v>
      </c>
      <c r="L1986">
        <v>872.13758331048803</v>
      </c>
      <c r="M1986">
        <v>14.6304785919989</v>
      </c>
      <c r="N1986">
        <v>59.611008708874003</v>
      </c>
      <c r="O1986">
        <v>58.530531400147503</v>
      </c>
      <c r="P1986">
        <v>-6.2497745563179899E-2</v>
      </c>
      <c r="Q1986">
        <v>0</v>
      </c>
      <c r="R1986">
        <v>0.96476394839499702</v>
      </c>
      <c r="S1986" t="s">
        <v>8656</v>
      </c>
      <c r="T1986" t="s">
        <v>13338</v>
      </c>
      <c r="U1986" t="s">
        <v>13338</v>
      </c>
      <c r="V1986" t="s">
        <v>13338</v>
      </c>
      <c r="W1986" t="s">
        <v>15288</v>
      </c>
      <c r="X1986">
        <v>7</v>
      </c>
      <c r="Y1986" t="s">
        <v>21872</v>
      </c>
      <c r="Z1986" t="s">
        <v>28401</v>
      </c>
      <c r="AA1986">
        <v>0.66180419720821826</v>
      </c>
      <c r="AB1986" t="str">
        <f>HYPERLINK("Melting_Curves/meltCurve_P09417_QDPR.pdf", "Melting_Curves/meltCurve_P09417_QDPR.pdf")</f>
        <v>Melting_Curves/meltCurve_P09417_QDPR.pdf</v>
      </c>
    </row>
    <row r="1987" spans="1:28" x14ac:dyDescent="0.25">
      <c r="A1987" t="s">
        <v>1991</v>
      </c>
      <c r="B1987">
        <v>0.99193492352474899</v>
      </c>
      <c r="C1987">
        <v>0.88883732896401701</v>
      </c>
      <c r="D1987">
        <v>0.88226225516643597</v>
      </c>
      <c r="E1987">
        <v>0.70396616679961299</v>
      </c>
      <c r="F1987">
        <v>0.42304449569837299</v>
      </c>
      <c r="G1987">
        <v>0.270831870330067</v>
      </c>
      <c r="H1987">
        <v>0.21365148112695601</v>
      </c>
      <c r="I1987">
        <v>0.26257231423740501</v>
      </c>
      <c r="J1987">
        <v>0.31056679832981099</v>
      </c>
      <c r="K1987">
        <v>0.355562345450469</v>
      </c>
      <c r="L1987">
        <v>1106.4077261467301</v>
      </c>
      <c r="M1987">
        <v>22.134841291523902</v>
      </c>
      <c r="N1987">
        <v>51.818663696303801</v>
      </c>
      <c r="O1987">
        <v>49.582291995283299</v>
      </c>
      <c r="P1987">
        <v>-8.1301083129680901E-2</v>
      </c>
      <c r="Q1987">
        <v>0.271554680886747</v>
      </c>
      <c r="R1987">
        <v>0.96788582123889799</v>
      </c>
      <c r="S1987" t="s">
        <v>8657</v>
      </c>
      <c r="T1987" t="s">
        <v>13338</v>
      </c>
      <c r="U1987" t="s">
        <v>13338</v>
      </c>
      <c r="V1987" t="s">
        <v>13338</v>
      </c>
      <c r="W1987" t="s">
        <v>15289</v>
      </c>
      <c r="X1987">
        <v>23</v>
      </c>
      <c r="Y1987" t="s">
        <v>21873</v>
      </c>
      <c r="Z1987" t="s">
        <v>28402</v>
      </c>
      <c r="AA1987">
        <v>0.52230747535942246</v>
      </c>
      <c r="AB1987" t="str">
        <f>HYPERLINK("Melting_Curves/meltCurve_P09429_HMGB1.pdf", "Melting_Curves/meltCurve_P09429_HMGB1.pdf")</f>
        <v>Melting_Curves/meltCurve_P09429_HMGB1.pdf</v>
      </c>
    </row>
    <row r="1988" spans="1:28" x14ac:dyDescent="0.25">
      <c r="A1988" t="s">
        <v>1992</v>
      </c>
      <c r="B1988">
        <v>0.99193492352474899</v>
      </c>
      <c r="C1988">
        <v>0.89298118211755895</v>
      </c>
      <c r="D1988">
        <v>0.85115852880655196</v>
      </c>
      <c r="E1988">
        <v>0.71709781726886301</v>
      </c>
      <c r="F1988">
        <v>0.57410266891448303</v>
      </c>
      <c r="G1988">
        <v>0.329210619390569</v>
      </c>
      <c r="H1988">
        <v>0.107138617923177</v>
      </c>
      <c r="I1988">
        <v>0.11120669301147799</v>
      </c>
      <c r="J1988">
        <v>0.123796601059874</v>
      </c>
      <c r="K1988">
        <v>0.13545877716370999</v>
      </c>
      <c r="L1988">
        <v>676.55641054707996</v>
      </c>
      <c r="M1988">
        <v>12.7702303968402</v>
      </c>
      <c r="N1988">
        <v>53.343740874791699</v>
      </c>
      <c r="O1988">
        <v>51.730451871716703</v>
      </c>
      <c r="P1988">
        <v>-5.9147461642602303E-2</v>
      </c>
      <c r="Q1988">
        <v>4.1788425034637103E-2</v>
      </c>
      <c r="R1988">
        <v>0.98220844490405801</v>
      </c>
      <c r="S1988" t="s">
        <v>8658</v>
      </c>
      <c r="T1988" t="s">
        <v>13338</v>
      </c>
      <c r="U1988" t="s">
        <v>13338</v>
      </c>
      <c r="V1988" t="s">
        <v>13338</v>
      </c>
      <c r="W1988" t="s">
        <v>15290</v>
      </c>
      <c r="X1988">
        <v>10</v>
      </c>
      <c r="Y1988" t="s">
        <v>21874</v>
      </c>
      <c r="Z1988" t="s">
        <v>28403</v>
      </c>
      <c r="AA1988">
        <v>0.48177378128523002</v>
      </c>
      <c r="AB1988" t="str">
        <f>HYPERLINK("Melting_Curves/meltCurve_P09471_2_GNAO1.pdf", "Melting_Curves/meltCurve_P09471_2_GNAO1.pdf")</f>
        <v>Melting_Curves/meltCurve_P09471_2_GNAO1.pdf</v>
      </c>
    </row>
    <row r="1989" spans="1:28" x14ac:dyDescent="0.25">
      <c r="A1989" t="s">
        <v>1993</v>
      </c>
      <c r="B1989">
        <v>0.99193492352474899</v>
      </c>
      <c r="C1989">
        <v>0.82078384821661399</v>
      </c>
      <c r="D1989">
        <v>0.85555344173695802</v>
      </c>
      <c r="E1989">
        <v>0.52086121984937805</v>
      </c>
      <c r="F1989">
        <v>0.23648299850767601</v>
      </c>
      <c r="G1989">
        <v>0.11499327445721599</v>
      </c>
      <c r="H1989">
        <v>7.1728918927546403E-2</v>
      </c>
      <c r="I1989">
        <v>9.3736134260444998E-2</v>
      </c>
      <c r="J1989">
        <v>9.1090456465950098E-2</v>
      </c>
      <c r="K1989">
        <v>0.103564825513229</v>
      </c>
      <c r="L1989">
        <v>938.86128522080503</v>
      </c>
      <c r="M1989">
        <v>19.061270624566799</v>
      </c>
      <c r="N1989">
        <v>49.661540052600898</v>
      </c>
      <c r="O1989">
        <v>48.722394182431003</v>
      </c>
      <c r="P1989">
        <v>-9.0742495870434606E-2</v>
      </c>
      <c r="Q1989">
        <v>7.2251065795087596E-2</v>
      </c>
      <c r="R1989">
        <v>0.98289082019104601</v>
      </c>
      <c r="S1989" t="s">
        <v>8659</v>
      </c>
      <c r="T1989" t="s">
        <v>13338</v>
      </c>
      <c r="U1989" t="s">
        <v>13338</v>
      </c>
      <c r="V1989" t="s">
        <v>13338</v>
      </c>
      <c r="W1989" t="s">
        <v>15291</v>
      </c>
      <c r="X1989">
        <v>22</v>
      </c>
      <c r="Y1989" t="s">
        <v>21875</v>
      </c>
      <c r="Z1989" t="s">
        <v>28404</v>
      </c>
      <c r="AA1989">
        <v>0.37273798782205642</v>
      </c>
      <c r="AB1989" t="str">
        <f>HYPERLINK("Melting_Curves/meltCurve_P09488_GSTM1.pdf", "Melting_Curves/meltCurve_P09488_GSTM1.pdf")</f>
        <v>Melting_Curves/meltCurve_P09488_GSTM1.pdf</v>
      </c>
    </row>
    <row r="1990" spans="1:28" x14ac:dyDescent="0.25">
      <c r="A1990" t="s">
        <v>1994</v>
      </c>
      <c r="B1990">
        <v>0.99193492352474899</v>
      </c>
      <c r="C1990">
        <v>0.97068546003463096</v>
      </c>
      <c r="D1990">
        <v>0.76696904804743404</v>
      </c>
      <c r="E1990">
        <v>0.93959106027179595</v>
      </c>
      <c r="F1990">
        <v>0.73609131779840098</v>
      </c>
      <c r="G1990">
        <v>0.56439836268192001</v>
      </c>
      <c r="H1990">
        <v>0.41697160037043901</v>
      </c>
      <c r="I1990">
        <v>0.55830788609469495</v>
      </c>
      <c r="J1990">
        <v>0.52334898372515104</v>
      </c>
      <c r="K1990">
        <v>0.86693929497035604</v>
      </c>
      <c r="L1990">
        <v>824.65637302210405</v>
      </c>
      <c r="M1990">
        <v>16.458030127206101</v>
      </c>
      <c r="O1990">
        <v>49.384392459217402</v>
      </c>
      <c r="P1990">
        <v>-3.4826158272427202E-2</v>
      </c>
      <c r="Q1990">
        <v>0.58202824371616702</v>
      </c>
      <c r="R1990">
        <v>0.56977603754096595</v>
      </c>
      <c r="S1990" t="s">
        <v>8660</v>
      </c>
      <c r="T1990" t="s">
        <v>13338</v>
      </c>
      <c r="U1990" t="s">
        <v>13338</v>
      </c>
      <c r="V1990" t="s">
        <v>13338</v>
      </c>
      <c r="W1990" t="s">
        <v>15292</v>
      </c>
      <c r="X1990">
        <v>16</v>
      </c>
      <c r="Y1990" t="s">
        <v>21876</v>
      </c>
      <c r="Z1990" t="s">
        <v>28405</v>
      </c>
      <c r="AA1990">
        <v>0.73124651899341753</v>
      </c>
      <c r="AB1990" t="str">
        <f>HYPERLINK("Melting_Curves/meltCurve_P09496_2_CLTA.pdf", "Melting_Curves/meltCurve_P09496_2_CLTA.pdf")</f>
        <v>Melting_Curves/meltCurve_P09496_2_CLTA.pdf</v>
      </c>
    </row>
    <row r="1991" spans="1:28" x14ac:dyDescent="0.25">
      <c r="A1991" t="s">
        <v>1995</v>
      </c>
      <c r="B1991">
        <v>0.99193492352474899</v>
      </c>
      <c r="C1991">
        <v>0.96816755064906102</v>
      </c>
      <c r="D1991">
        <v>0.86626769308668905</v>
      </c>
      <c r="E1991">
        <v>0.97878625480121295</v>
      </c>
      <c r="F1991">
        <v>0.98334261763652298</v>
      </c>
      <c r="G1991">
        <v>0.977152303646589</v>
      </c>
      <c r="H1991">
        <v>0.89238320030557094</v>
      </c>
      <c r="I1991">
        <v>1.26287223955091</v>
      </c>
      <c r="J1991">
        <v>1.27343831092204</v>
      </c>
      <c r="K1991">
        <v>1.9633431098787799</v>
      </c>
      <c r="L1991">
        <v>3518.9690469389702</v>
      </c>
      <c r="M1991">
        <v>54.596400121680901</v>
      </c>
      <c r="O1991">
        <v>64.367930460243599</v>
      </c>
      <c r="P1991">
        <v>0.106024132354513</v>
      </c>
      <c r="Q1991">
        <v>1.5</v>
      </c>
      <c r="R1991">
        <v>0.69994225221648798</v>
      </c>
      <c r="S1991" t="s">
        <v>8661</v>
      </c>
      <c r="T1991" t="s">
        <v>13338</v>
      </c>
      <c r="U1991" t="s">
        <v>13338</v>
      </c>
      <c r="V1991" t="s">
        <v>13338</v>
      </c>
      <c r="W1991" t="s">
        <v>15293</v>
      </c>
      <c r="X1991">
        <v>14</v>
      </c>
      <c r="Y1991" t="s">
        <v>21877</v>
      </c>
      <c r="Z1991" t="s">
        <v>28406</v>
      </c>
      <c r="AA1991">
        <v>1.091556219751713</v>
      </c>
      <c r="AB1991" t="str">
        <f>HYPERLINK("Melting_Curves/meltCurve_P09497_2_CLTB.pdf", "Melting_Curves/meltCurve_P09497_2_CLTB.pdf")</f>
        <v>Melting_Curves/meltCurve_P09497_2_CLTB.pdf</v>
      </c>
    </row>
    <row r="1992" spans="1:28" x14ac:dyDescent="0.25">
      <c r="A1992" t="s">
        <v>1996</v>
      </c>
      <c r="B1992">
        <v>0.99193492352474899</v>
      </c>
      <c r="C1992">
        <v>0.86544471533328904</v>
      </c>
      <c r="D1992">
        <v>0.95193198853813599</v>
      </c>
      <c r="E1992">
        <v>0.45551017129779903</v>
      </c>
      <c r="F1992">
        <v>0.202469958302153</v>
      </c>
      <c r="G1992">
        <v>0.127847966275209</v>
      </c>
      <c r="H1992">
        <v>8.3907972030528896E-2</v>
      </c>
      <c r="I1992">
        <v>0.10400895853754701</v>
      </c>
      <c r="J1992">
        <v>0.10088293767449</v>
      </c>
      <c r="K1992">
        <v>8.5116809641454599E-2</v>
      </c>
      <c r="L1992">
        <v>1541.3575331931099</v>
      </c>
      <c r="M1992">
        <v>31.395852499803301</v>
      </c>
      <c r="N1992">
        <v>49.447948171985203</v>
      </c>
      <c r="O1992">
        <v>48.896415085174702</v>
      </c>
      <c r="P1992">
        <v>-0.14438107216028201</v>
      </c>
      <c r="Q1992">
        <v>0.100559101811135</v>
      </c>
      <c r="R1992">
        <v>0.98513887662057897</v>
      </c>
      <c r="S1992" t="s">
        <v>8662</v>
      </c>
      <c r="T1992" t="s">
        <v>13338</v>
      </c>
      <c r="U1992" t="s">
        <v>13338</v>
      </c>
      <c r="V1992" t="s">
        <v>13338</v>
      </c>
      <c r="W1992" t="s">
        <v>15294</v>
      </c>
      <c r="X1992">
        <v>13</v>
      </c>
      <c r="Y1992" t="s">
        <v>21878</v>
      </c>
      <c r="Z1992" t="s">
        <v>28407</v>
      </c>
      <c r="AA1992">
        <v>0.37821716979503939</v>
      </c>
      <c r="AB1992" t="str">
        <f>HYPERLINK("Melting_Curves/meltCurve_P09525_ANXA4.pdf", "Melting_Curves/meltCurve_P09525_ANXA4.pdf")</f>
        <v>Melting_Curves/meltCurve_P09525_ANXA4.pdf</v>
      </c>
    </row>
    <row r="1993" spans="1:28" x14ac:dyDescent="0.25">
      <c r="A1993" t="s">
        <v>1997</v>
      </c>
      <c r="B1993">
        <v>0.99193492352474899</v>
      </c>
      <c r="C1993">
        <v>0.85939796742588204</v>
      </c>
      <c r="D1993">
        <v>0.89670348420061197</v>
      </c>
      <c r="E1993">
        <v>0.664744957583977</v>
      </c>
      <c r="F1993">
        <v>0.228158978141135</v>
      </c>
      <c r="G1993">
        <v>0.10036750958689999</v>
      </c>
      <c r="H1993">
        <v>4.8302718318098598E-2</v>
      </c>
      <c r="I1993">
        <v>6.4900555381160199E-2</v>
      </c>
      <c r="J1993">
        <v>7.7611223128034507E-2</v>
      </c>
      <c r="K1993">
        <v>8.1249132448185102E-2</v>
      </c>
      <c r="L1993">
        <v>1291.61661418068</v>
      </c>
      <c r="M1993">
        <v>25.612903014771401</v>
      </c>
      <c r="N1993">
        <v>50.675770932641001</v>
      </c>
      <c r="O1993">
        <v>50.123967686219103</v>
      </c>
      <c r="P1993">
        <v>-0.120241078709367</v>
      </c>
      <c r="Q1993">
        <v>5.8773457435636202E-2</v>
      </c>
      <c r="R1993">
        <v>0.98523224446563795</v>
      </c>
      <c r="S1993" t="s">
        <v>8663</v>
      </c>
      <c r="T1993" t="s">
        <v>13338</v>
      </c>
      <c r="U1993" t="s">
        <v>13338</v>
      </c>
      <c r="V1993" t="s">
        <v>13338</v>
      </c>
      <c r="W1993" t="s">
        <v>15295</v>
      </c>
      <c r="X1993">
        <v>10</v>
      </c>
      <c r="Y1993" t="s">
        <v>21879</v>
      </c>
      <c r="Z1993" t="s">
        <v>28408</v>
      </c>
      <c r="AA1993">
        <v>0.39400681783533958</v>
      </c>
      <c r="AB1993" t="str">
        <f>HYPERLINK("Melting_Curves/meltCurve_P09543_2_CNP.pdf", "Melting_Curves/meltCurve_P09543_2_CNP.pdf")</f>
        <v>Melting_Curves/meltCurve_P09543_2_CNP.pdf</v>
      </c>
    </row>
    <row r="1994" spans="1:28" x14ac:dyDescent="0.25">
      <c r="A1994" t="s">
        <v>1998</v>
      </c>
      <c r="B1994">
        <v>0.99193492352474899</v>
      </c>
      <c r="C1994">
        <v>1.0593542710925701</v>
      </c>
      <c r="D1994">
        <v>0.84206712256113703</v>
      </c>
      <c r="E1994">
        <v>0.80409446499054305</v>
      </c>
      <c r="F1994">
        <v>0.58936321514636503</v>
      </c>
      <c r="G1994">
        <v>0.52713482255592203</v>
      </c>
      <c r="H1994">
        <v>0.381362733432759</v>
      </c>
      <c r="I1994">
        <v>0.56556243999204703</v>
      </c>
      <c r="J1994">
        <v>0.49927487840940699</v>
      </c>
      <c r="K1994">
        <v>0.55264181938114698</v>
      </c>
      <c r="L1994">
        <v>1048.6566062679201</v>
      </c>
      <c r="M1994">
        <v>21.0713401029581</v>
      </c>
      <c r="N1994">
        <v>64.590319154536502</v>
      </c>
      <c r="O1994">
        <v>49.3252180746234</v>
      </c>
      <c r="P1994">
        <v>-5.3824406047972097E-2</v>
      </c>
      <c r="Q1994">
        <v>0.49602997163069101</v>
      </c>
      <c r="R1994">
        <v>0.91870279923133102</v>
      </c>
      <c r="S1994" t="s">
        <v>8664</v>
      </c>
      <c r="T1994" t="s">
        <v>13338</v>
      </c>
      <c r="U1994" t="s">
        <v>13338</v>
      </c>
      <c r="V1994" t="s">
        <v>13338</v>
      </c>
      <c r="W1994" t="s">
        <v>15296</v>
      </c>
      <c r="X1994">
        <v>3</v>
      </c>
      <c r="Y1994" t="s">
        <v>21880</v>
      </c>
      <c r="Z1994" t="s">
        <v>28409</v>
      </c>
      <c r="AA1994">
        <v>0.66643912941930428</v>
      </c>
      <c r="AB1994" t="str">
        <f>HYPERLINK("Melting_Curves/meltCurve_P09564_CD7.pdf", "Melting_Curves/meltCurve_P09564_CD7.pdf")</f>
        <v>Melting_Curves/meltCurve_P09564_CD7.pdf</v>
      </c>
    </row>
    <row r="1995" spans="1:28" x14ac:dyDescent="0.25">
      <c r="A1995" t="s">
        <v>1999</v>
      </c>
      <c r="B1995">
        <v>0.99193492352474899</v>
      </c>
      <c r="C1995">
        <v>0.93724069206009097</v>
      </c>
      <c r="D1995">
        <v>0.86690396979046302</v>
      </c>
      <c r="E1995">
        <v>0.78535298151879496</v>
      </c>
      <c r="F1995">
        <v>0.68684160640843706</v>
      </c>
      <c r="G1995">
        <v>0.51448022489563705</v>
      </c>
      <c r="H1995">
        <v>0.45596424908397698</v>
      </c>
      <c r="I1995">
        <v>0.557669790147723</v>
      </c>
      <c r="J1995">
        <v>0.65166641256836699</v>
      </c>
      <c r="K1995">
        <v>0.75265779852248704</v>
      </c>
      <c r="L1995">
        <v>932.65532324784101</v>
      </c>
      <c r="M1995">
        <v>19.288165977801601</v>
      </c>
      <c r="O1995">
        <v>47.843001929992397</v>
      </c>
      <c r="P1995">
        <v>-4.1314262818622001E-2</v>
      </c>
      <c r="Q1995">
        <v>0.59010637920769904</v>
      </c>
      <c r="R1995">
        <v>0.77798035065003601</v>
      </c>
      <c r="S1995" t="s">
        <v>8665</v>
      </c>
      <c r="T1995" t="s">
        <v>13338</v>
      </c>
      <c r="U1995" t="s">
        <v>13338</v>
      </c>
      <c r="V1995" t="s">
        <v>13338</v>
      </c>
      <c r="W1995" t="s">
        <v>15297</v>
      </c>
      <c r="X1995">
        <v>26</v>
      </c>
      <c r="Y1995" t="s">
        <v>21881</v>
      </c>
      <c r="Z1995" t="s">
        <v>28410</v>
      </c>
      <c r="AA1995">
        <v>0.71048673831696074</v>
      </c>
      <c r="AB1995" t="str">
        <f>HYPERLINK("Melting_Curves/meltCurve_P09622_DLD.pdf", "Melting_Curves/meltCurve_P09622_DLD.pdf")</f>
        <v>Melting_Curves/meltCurve_P09622_DLD.pdf</v>
      </c>
    </row>
    <row r="1996" spans="1:28" x14ac:dyDescent="0.25">
      <c r="A1996" t="s">
        <v>2000</v>
      </c>
      <c r="B1996">
        <v>0.99193492352474899</v>
      </c>
      <c r="C1996">
        <v>0.85084239099168502</v>
      </c>
      <c r="D1996">
        <v>0.81329973727275295</v>
      </c>
      <c r="E1996">
        <v>0.62764390198966402</v>
      </c>
      <c r="F1996">
        <v>0.53753912495846501</v>
      </c>
      <c r="G1996">
        <v>0.28926130967578201</v>
      </c>
      <c r="H1996">
        <v>7.70740111599785E-2</v>
      </c>
      <c r="I1996">
        <v>6.6032760943869895E-2</v>
      </c>
      <c r="J1996">
        <v>7.9504564842595299E-2</v>
      </c>
      <c r="K1996">
        <v>8.9380341794070506E-2</v>
      </c>
      <c r="L1996">
        <v>598.21497808915296</v>
      </c>
      <c r="M1996">
        <v>11.461666944319401</v>
      </c>
      <c r="N1996">
        <v>52.1926601849691</v>
      </c>
      <c r="O1996">
        <v>50.6796938207086</v>
      </c>
      <c r="P1996">
        <v>-5.6556018667223602E-2</v>
      </c>
      <c r="Q1996">
        <v>0</v>
      </c>
      <c r="R1996">
        <v>0.97888054164250904</v>
      </c>
      <c r="S1996" t="s">
        <v>8666</v>
      </c>
      <c r="T1996" t="s">
        <v>13338</v>
      </c>
      <c r="U1996" t="s">
        <v>13338</v>
      </c>
      <c r="V1996" t="s">
        <v>13338</v>
      </c>
      <c r="W1996" t="s">
        <v>15298</v>
      </c>
      <c r="X1996">
        <v>16</v>
      </c>
      <c r="Y1996" t="s">
        <v>21882</v>
      </c>
      <c r="Z1996" t="s">
        <v>28411</v>
      </c>
      <c r="AA1996">
        <v>0.43837757396398858</v>
      </c>
      <c r="AB1996" t="str">
        <f>HYPERLINK("Melting_Curves/meltCurve_P09661_SNRPA1.pdf", "Melting_Curves/meltCurve_P09661_SNRPA1.pdf")</f>
        <v>Melting_Curves/meltCurve_P09661_SNRPA1.pdf</v>
      </c>
    </row>
    <row r="1997" spans="1:28" x14ac:dyDescent="0.25">
      <c r="A1997" t="s">
        <v>2001</v>
      </c>
      <c r="B1997">
        <v>0.99193492352474899</v>
      </c>
      <c r="C1997">
        <v>1.3221503455475201</v>
      </c>
      <c r="D1997">
        <v>1.04412620727331</v>
      </c>
      <c r="E1997">
        <v>0.94651266696886804</v>
      </c>
      <c r="F1997">
        <v>1.0103588589941099</v>
      </c>
      <c r="G1997">
        <v>0.342490046087296</v>
      </c>
      <c r="H1997">
        <v>0.384418550659133</v>
      </c>
      <c r="I1997">
        <v>0.412590917055843</v>
      </c>
      <c r="J1997">
        <v>0.31706410603234703</v>
      </c>
      <c r="K1997">
        <v>0.371902153080169</v>
      </c>
      <c r="L1997">
        <v>13715.418286872</v>
      </c>
      <c r="M1997">
        <v>250</v>
      </c>
      <c r="N1997">
        <v>55.1516073846201</v>
      </c>
      <c r="O1997">
        <v>54.858162407548498</v>
      </c>
      <c r="P1997">
        <v>-0.72269336170298704</v>
      </c>
      <c r="Q1997">
        <v>0.36566992432909701</v>
      </c>
      <c r="R1997">
        <v>0.91277858686054503</v>
      </c>
      <c r="S1997" t="s">
        <v>8667</v>
      </c>
      <c r="T1997" t="s">
        <v>13338</v>
      </c>
      <c r="U1997" t="s">
        <v>13338</v>
      </c>
      <c r="V1997" t="s">
        <v>13338</v>
      </c>
      <c r="W1997" t="s">
        <v>15299</v>
      </c>
      <c r="X1997">
        <v>2</v>
      </c>
      <c r="Y1997" t="s">
        <v>21883</v>
      </c>
      <c r="Z1997" t="s">
        <v>28412</v>
      </c>
      <c r="AA1997">
        <v>0.67997120691378277</v>
      </c>
      <c r="AB1997" t="str">
        <f>HYPERLINK("Melting_Curves/meltCurve_P09668_CTSH.pdf", "Melting_Curves/meltCurve_P09668_CTSH.pdf")</f>
        <v>Melting_Curves/meltCurve_P09668_CTSH.pdf</v>
      </c>
    </row>
    <row r="1998" spans="1:28" x14ac:dyDescent="0.25">
      <c r="A1998" t="s">
        <v>2002</v>
      </c>
      <c r="B1998">
        <v>0.99193492352474899</v>
      </c>
      <c r="C1998">
        <v>0.81843720843455403</v>
      </c>
      <c r="D1998">
        <v>0.80765870295200504</v>
      </c>
      <c r="E1998">
        <v>0.78275008008857705</v>
      </c>
      <c r="F1998">
        <v>0.58762422859102503</v>
      </c>
      <c r="G1998">
        <v>0.40611163718119903</v>
      </c>
      <c r="H1998">
        <v>0.34783749579178203</v>
      </c>
      <c r="I1998">
        <v>0.28859629894512701</v>
      </c>
      <c r="J1998">
        <v>0.24106564232282199</v>
      </c>
      <c r="K1998">
        <v>0.30830628993612902</v>
      </c>
      <c r="L1998">
        <v>487.92633822884102</v>
      </c>
      <c r="M1998">
        <v>9.2632246666758995</v>
      </c>
      <c r="N1998">
        <v>55.196409865695202</v>
      </c>
      <c r="O1998">
        <v>50.393238598590401</v>
      </c>
      <c r="P1998">
        <v>-3.8047994148328698E-2</v>
      </c>
      <c r="Q1998">
        <v>0.17259303005127499</v>
      </c>
      <c r="R1998">
        <v>0.96411885543589504</v>
      </c>
      <c r="S1998" t="s">
        <v>8668</v>
      </c>
      <c r="T1998" t="s">
        <v>13338</v>
      </c>
      <c r="U1998" t="s">
        <v>13338</v>
      </c>
      <c r="V1998" t="s">
        <v>13338</v>
      </c>
      <c r="W1998" t="s">
        <v>15300</v>
      </c>
      <c r="X1998">
        <v>8</v>
      </c>
      <c r="Y1998" t="s">
        <v>21884</v>
      </c>
      <c r="Z1998" t="s">
        <v>28413</v>
      </c>
      <c r="AA1998">
        <v>0.55361367717048759</v>
      </c>
      <c r="AB1998" t="str">
        <f>HYPERLINK("Melting_Curves/meltCurve_P09669_COX6C.pdf", "Melting_Curves/meltCurve_P09669_COX6C.pdf")</f>
        <v>Melting_Curves/meltCurve_P09669_COX6C.pdf</v>
      </c>
    </row>
    <row r="1999" spans="1:28" x14ac:dyDescent="0.25">
      <c r="A1999" t="s">
        <v>2003</v>
      </c>
      <c r="B1999">
        <v>0.99193492352474899</v>
      </c>
      <c r="C1999">
        <v>0.79013413326750304</v>
      </c>
      <c r="D1999">
        <v>0.88740913023828505</v>
      </c>
      <c r="E1999">
        <v>0.58045998610396499</v>
      </c>
      <c r="F1999">
        <v>0.44886622980116803</v>
      </c>
      <c r="G1999">
        <v>0.28780126340815598</v>
      </c>
      <c r="H1999">
        <v>0.186677838880631</v>
      </c>
      <c r="I1999">
        <v>0.18319807572997299</v>
      </c>
      <c r="J1999">
        <v>0.22193002179829899</v>
      </c>
      <c r="K1999">
        <v>0.219931140924956</v>
      </c>
      <c r="L1999">
        <v>672.902145057653</v>
      </c>
      <c r="M1999">
        <v>13.4719839576686</v>
      </c>
      <c r="N1999">
        <v>51.497709389370002</v>
      </c>
      <c r="O1999">
        <v>48.886234992749898</v>
      </c>
      <c r="P1999">
        <v>-5.7423830174785598E-2</v>
      </c>
      <c r="Q1999">
        <v>0.16662510256147101</v>
      </c>
      <c r="R1999">
        <v>0.96480747265786904</v>
      </c>
      <c r="S1999" t="s">
        <v>8669</v>
      </c>
      <c r="T1999" t="s">
        <v>13338</v>
      </c>
      <c r="U1999" t="s">
        <v>13338</v>
      </c>
      <c r="V1999" t="s">
        <v>13338</v>
      </c>
      <c r="W1999" t="s">
        <v>15301</v>
      </c>
      <c r="X1999">
        <v>10</v>
      </c>
      <c r="Y1999" t="s">
        <v>21885</v>
      </c>
      <c r="Z1999" t="s">
        <v>28414</v>
      </c>
      <c r="AA1999">
        <v>0.46695374165147507</v>
      </c>
      <c r="AB1999" t="str">
        <f>HYPERLINK("Melting_Curves/meltCurve_P09693_CD3G.pdf", "Melting_Curves/meltCurve_P09693_CD3G.pdf")</f>
        <v>Melting_Curves/meltCurve_P09693_CD3G.pdf</v>
      </c>
    </row>
    <row r="2000" spans="1:28" x14ac:dyDescent="0.25">
      <c r="A2000" t="s">
        <v>2004</v>
      </c>
      <c r="B2000">
        <v>0.99193492352474899</v>
      </c>
      <c r="C2000">
        <v>0.58875095320579596</v>
      </c>
      <c r="D2000">
        <v>0.91458218426323201</v>
      </c>
      <c r="E2000">
        <v>0.25194065253931103</v>
      </c>
      <c r="F2000">
        <v>0.140857964689486</v>
      </c>
      <c r="G2000">
        <v>8.3243414834838603E-2</v>
      </c>
      <c r="H2000">
        <v>5.4976718741637398E-2</v>
      </c>
      <c r="I2000">
        <v>6.2238393351427002E-2</v>
      </c>
      <c r="J2000">
        <v>7.0958501484402303E-2</v>
      </c>
      <c r="K2000">
        <v>9.4010849502515301E-2</v>
      </c>
      <c r="L2000">
        <v>842.59026450803401</v>
      </c>
      <c r="M2000">
        <v>17.726231050538502</v>
      </c>
      <c r="N2000">
        <v>47.799966207820702</v>
      </c>
      <c r="O2000">
        <v>46.940980339916898</v>
      </c>
      <c r="P2000">
        <v>-8.9970738630512997E-2</v>
      </c>
      <c r="Q2000">
        <v>4.7041340839460301E-2</v>
      </c>
      <c r="R2000">
        <v>0.86640942462502502</v>
      </c>
      <c r="S2000" t="s">
        <v>8670</v>
      </c>
      <c r="T2000" t="s">
        <v>13338</v>
      </c>
      <c r="U2000" t="s">
        <v>13338</v>
      </c>
      <c r="V2000" t="s">
        <v>13338</v>
      </c>
      <c r="W2000" t="s">
        <v>15302</v>
      </c>
      <c r="X2000">
        <v>60</v>
      </c>
      <c r="Y2000" t="s">
        <v>21886</v>
      </c>
      <c r="Z2000" t="s">
        <v>28415</v>
      </c>
      <c r="AA2000">
        <v>0.30409427304564202</v>
      </c>
      <c r="AB2000" t="str">
        <f>HYPERLINK("Melting_Curves/meltCurve_P09874_PARP1.pdf", "Melting_Curves/meltCurve_P09874_PARP1.pdf")</f>
        <v>Melting_Curves/meltCurve_P09874_PARP1.pdf</v>
      </c>
    </row>
    <row r="2001" spans="1:28" x14ac:dyDescent="0.25">
      <c r="A2001" t="s">
        <v>2005</v>
      </c>
      <c r="B2001">
        <v>0.99193492352474899</v>
      </c>
      <c r="C2001">
        <v>0.97379960517632602</v>
      </c>
      <c r="D2001">
        <v>1.04658750624843</v>
      </c>
      <c r="E2001">
        <v>0.86722208931937494</v>
      </c>
      <c r="F2001">
        <v>0.61058534854644797</v>
      </c>
      <c r="G2001">
        <v>0.21653174737539899</v>
      </c>
      <c r="H2001">
        <v>8.4252845022113804E-2</v>
      </c>
      <c r="I2001">
        <v>8.2829926854286695E-2</v>
      </c>
      <c r="J2001">
        <v>8.9641264209979005E-2</v>
      </c>
      <c r="K2001">
        <v>8.2551227951844094E-2</v>
      </c>
      <c r="L2001">
        <v>1501.8158407554799</v>
      </c>
      <c r="M2001">
        <v>28.013585737369901</v>
      </c>
      <c r="N2001">
        <v>53.909366223818203</v>
      </c>
      <c r="O2001">
        <v>53.339331034476501</v>
      </c>
      <c r="P2001">
        <v>-0.121849891397806</v>
      </c>
      <c r="Q2001">
        <v>7.1974057770748001E-2</v>
      </c>
      <c r="R2001">
        <v>0.99560508165268402</v>
      </c>
      <c r="S2001" t="s">
        <v>8671</v>
      </c>
      <c r="T2001" t="s">
        <v>13338</v>
      </c>
      <c r="U2001" t="s">
        <v>13338</v>
      </c>
      <c r="V2001" t="s">
        <v>13338</v>
      </c>
      <c r="W2001" t="s">
        <v>15303</v>
      </c>
      <c r="X2001">
        <v>35</v>
      </c>
      <c r="Y2001" t="s">
        <v>21887</v>
      </c>
      <c r="Z2001" t="s">
        <v>28416</v>
      </c>
      <c r="AA2001">
        <v>0.49992043612825149</v>
      </c>
      <c r="AB2001" t="str">
        <f>HYPERLINK("Melting_Curves/meltCurve_P09960_LTA4H.pdf", "Melting_Curves/meltCurve_P09960_LTA4H.pdf")</f>
        <v>Melting_Curves/meltCurve_P09960_LTA4H.pdf</v>
      </c>
    </row>
    <row r="2002" spans="1:28" x14ac:dyDescent="0.25">
      <c r="A2002" t="s">
        <v>2006</v>
      </c>
      <c r="B2002">
        <v>0.99193492352474899</v>
      </c>
      <c r="C2002">
        <v>0.84045531077304003</v>
      </c>
      <c r="D2002">
        <v>0.91640093184744698</v>
      </c>
      <c r="E2002">
        <v>0.70259359209168604</v>
      </c>
      <c r="F2002">
        <v>0.68866009624817903</v>
      </c>
      <c r="G2002">
        <v>0.48401326007338402</v>
      </c>
      <c r="H2002">
        <v>0.18665168509708199</v>
      </c>
      <c r="I2002">
        <v>9.2407883039179906E-2</v>
      </c>
      <c r="J2002">
        <v>9.1944173859775893E-2</v>
      </c>
      <c r="K2002">
        <v>8.2888981938362694E-2</v>
      </c>
      <c r="L2002">
        <v>652.18120316150703</v>
      </c>
      <c r="M2002">
        <v>11.8458694737133</v>
      </c>
      <c r="N2002">
        <v>55.0555790377934</v>
      </c>
      <c r="O2002">
        <v>53.556906921827803</v>
      </c>
      <c r="P2002">
        <v>-5.5309729316499003E-2</v>
      </c>
      <c r="Q2002">
        <v>0</v>
      </c>
      <c r="R2002">
        <v>0.963418552658028</v>
      </c>
      <c r="S2002" t="s">
        <v>8672</v>
      </c>
      <c r="T2002" t="s">
        <v>13338</v>
      </c>
      <c r="U2002" t="s">
        <v>13338</v>
      </c>
      <c r="V2002" t="s">
        <v>13338</v>
      </c>
      <c r="W2002" t="s">
        <v>15304</v>
      </c>
      <c r="X2002">
        <v>37</v>
      </c>
      <c r="Y2002" t="s">
        <v>21888</v>
      </c>
      <c r="Z2002" t="s">
        <v>28417</v>
      </c>
      <c r="AA2002">
        <v>0.52534568310206331</v>
      </c>
      <c r="AB2002" t="str">
        <f>HYPERLINK("Melting_Curves/meltCurve_P09972_ALDOC.pdf", "Melting_Curves/meltCurve_P09972_ALDOC.pdf")</f>
        <v>Melting_Curves/meltCurve_P09972_ALDOC.pdf</v>
      </c>
    </row>
    <row r="2003" spans="1:28" x14ac:dyDescent="0.25">
      <c r="A2003" t="s">
        <v>2007</v>
      </c>
      <c r="B2003">
        <v>0.99193492352474899</v>
      </c>
      <c r="C2003">
        <v>0.74340926950894604</v>
      </c>
      <c r="D2003">
        <v>0.74851617658435798</v>
      </c>
      <c r="E2003">
        <v>0.40771483252643698</v>
      </c>
      <c r="F2003">
        <v>0.189211852719258</v>
      </c>
      <c r="G2003">
        <v>0.16493932852068899</v>
      </c>
      <c r="H2003">
        <v>0.122921183695461</v>
      </c>
      <c r="I2003">
        <v>0.15739292669761501</v>
      </c>
      <c r="J2003">
        <v>0.21018988369910199</v>
      </c>
      <c r="K2003">
        <v>0.22712509346270901</v>
      </c>
      <c r="L2003">
        <v>834.25104980234505</v>
      </c>
      <c r="M2003">
        <v>17.743895804514601</v>
      </c>
      <c r="N2003">
        <v>48.039215494981697</v>
      </c>
      <c r="O2003">
        <v>46.431251421448898</v>
      </c>
      <c r="P2003">
        <v>-8.0511229371165505E-2</v>
      </c>
      <c r="Q2003">
        <v>0.15733455168150001</v>
      </c>
      <c r="R2003">
        <v>0.95618165467960403</v>
      </c>
      <c r="S2003" t="s">
        <v>8673</v>
      </c>
      <c r="T2003" t="s">
        <v>13338</v>
      </c>
      <c r="U2003" t="s">
        <v>13338</v>
      </c>
      <c r="V2003" t="s">
        <v>13338</v>
      </c>
      <c r="W2003" t="s">
        <v>15305</v>
      </c>
      <c r="X2003">
        <v>1</v>
      </c>
      <c r="Y2003" t="s">
        <v>21889</v>
      </c>
      <c r="Z2003" t="s">
        <v>28418</v>
      </c>
      <c r="AA2003">
        <v>0.37043774857216499</v>
      </c>
      <c r="AB2003" t="str">
        <f>HYPERLINK("Melting_Curves/meltCurve_P0C2W1_FBXO45.pdf", "Melting_Curves/meltCurve_P0C2W1_FBXO45.pdf")</f>
        <v>Melting_Curves/meltCurve_P0C2W1_FBXO45.pdf</v>
      </c>
    </row>
    <row r="2004" spans="1:28" x14ac:dyDescent="0.25">
      <c r="A2004" t="s">
        <v>2008</v>
      </c>
      <c r="B2004">
        <v>0.99193492352474899</v>
      </c>
      <c r="C2004">
        <v>0.851619449870474</v>
      </c>
      <c r="D2004">
        <v>0.97274222017261902</v>
      </c>
      <c r="E2004">
        <v>0.83274305544162897</v>
      </c>
      <c r="F2004">
        <v>0.31992394489376302</v>
      </c>
      <c r="G2004">
        <v>0.28224393842337397</v>
      </c>
      <c r="H2004">
        <v>0.22858220851629099</v>
      </c>
      <c r="I2004">
        <v>0.28543908782251998</v>
      </c>
      <c r="J2004">
        <v>0.31872180083115598</v>
      </c>
      <c r="K2004">
        <v>0.35932597592457499</v>
      </c>
      <c r="L2004">
        <v>3233.7174395745701</v>
      </c>
      <c r="M2004">
        <v>64.031571614891604</v>
      </c>
      <c r="N2004">
        <v>51.2133321290559</v>
      </c>
      <c r="O2004">
        <v>50.452732631210601</v>
      </c>
      <c r="P2004">
        <v>-0.22382482746075699</v>
      </c>
      <c r="Q2004">
        <v>0.29456233802702497</v>
      </c>
      <c r="R2004">
        <v>0.96553428219363302</v>
      </c>
      <c r="S2004" t="s">
        <v>8674</v>
      </c>
      <c r="T2004" t="s">
        <v>13338</v>
      </c>
      <c r="U2004" t="s">
        <v>13338</v>
      </c>
      <c r="V2004" t="s">
        <v>13338</v>
      </c>
      <c r="W2004" t="s">
        <v>15306</v>
      </c>
      <c r="X2004">
        <v>6</v>
      </c>
      <c r="Y2004" t="s">
        <v>21890</v>
      </c>
      <c r="Z2004" t="s">
        <v>28419</v>
      </c>
      <c r="AA2004">
        <v>0.54246682627203024</v>
      </c>
      <c r="AB2004" t="str">
        <f>HYPERLINK("Melting_Curves/meltCurve_P0C7P0_CISD3.pdf", "Melting_Curves/meltCurve_P0C7P0_CISD3.pdf")</f>
        <v>Melting_Curves/meltCurve_P0C7P0_CISD3.pdf</v>
      </c>
    </row>
    <row r="2005" spans="1:28" x14ac:dyDescent="0.25">
      <c r="A2005" t="s">
        <v>2009</v>
      </c>
      <c r="B2005">
        <v>0.99193492352474899</v>
      </c>
      <c r="C2005">
        <v>1.2923653463676501</v>
      </c>
      <c r="D2005">
        <v>0.69725575857570499</v>
      </c>
      <c r="E2005">
        <v>0.89325067987737405</v>
      </c>
      <c r="F2005">
        <v>0.39362655247144201</v>
      </c>
      <c r="G2005">
        <v>0.184084902470314</v>
      </c>
      <c r="H2005">
        <v>7.9978643347260195E-2</v>
      </c>
      <c r="I2005">
        <v>0.13351813518523301</v>
      </c>
      <c r="J2005">
        <v>7.4619386061914802E-2</v>
      </c>
      <c r="K2005">
        <v>5.4020558016403097E-2</v>
      </c>
      <c r="L2005">
        <v>1322.77748762533</v>
      </c>
      <c r="M2005">
        <v>25.350729519380401</v>
      </c>
      <c r="N2005">
        <v>52.514667146717002</v>
      </c>
      <c r="O2005">
        <v>51.857629573517499</v>
      </c>
      <c r="P2005">
        <v>-0.113075346529045</v>
      </c>
      <c r="Q2005">
        <v>7.4780893981636801E-2</v>
      </c>
      <c r="R2005">
        <v>0.90610434785796601</v>
      </c>
      <c r="S2005" t="s">
        <v>8675</v>
      </c>
      <c r="T2005" t="s">
        <v>13338</v>
      </c>
      <c r="U2005" t="s">
        <v>13338</v>
      </c>
      <c r="V2005" t="s">
        <v>13338</v>
      </c>
      <c r="W2005" t="s">
        <v>15307</v>
      </c>
      <c r="X2005">
        <v>9</v>
      </c>
      <c r="Y2005" t="s">
        <v>21891</v>
      </c>
      <c r="Z2005" t="s">
        <v>28420</v>
      </c>
      <c r="AA2005">
        <v>0.4586286841745017</v>
      </c>
      <c r="AB2005" t="str">
        <f>HYPERLINK("Melting_Curves/meltCurve_P0C7P4_UQCRFS1P1.pdf", "Melting_Curves/meltCurve_P0C7P4_UQCRFS1P1.pdf")</f>
        <v>Melting_Curves/meltCurve_P0C7P4_UQCRFS1P1.pdf</v>
      </c>
    </row>
    <row r="2006" spans="1:28" x14ac:dyDescent="0.25">
      <c r="A2006" t="s">
        <v>2010</v>
      </c>
      <c r="B2006">
        <v>0.99193492352474899</v>
      </c>
      <c r="C2006">
        <v>1.13189204822796</v>
      </c>
      <c r="D2006">
        <v>0.81201378327185803</v>
      </c>
      <c r="E2006">
        <v>0.54412863026987202</v>
      </c>
      <c r="F2006">
        <v>0.29233161716852402</v>
      </c>
      <c r="G2006">
        <v>0.228773419075217</v>
      </c>
      <c r="H2006">
        <v>0.17464877572297899</v>
      </c>
      <c r="I2006">
        <v>0.19659297773460299</v>
      </c>
      <c r="J2006">
        <v>0.492575470553901</v>
      </c>
      <c r="K2006">
        <v>0.59306667034917804</v>
      </c>
      <c r="L2006">
        <v>1589.50326414143</v>
      </c>
      <c r="M2006">
        <v>33.153437930362401</v>
      </c>
      <c r="N2006">
        <v>49.555983641195198</v>
      </c>
      <c r="O2006">
        <v>47.770433832239299</v>
      </c>
      <c r="P2006">
        <v>-0.116256243593322</v>
      </c>
      <c r="Q2006">
        <v>0.32995363046853499</v>
      </c>
      <c r="R2006">
        <v>0.82822522817326105</v>
      </c>
      <c r="S2006" t="s">
        <v>8676</v>
      </c>
      <c r="T2006" t="s">
        <v>13338</v>
      </c>
      <c r="U2006" t="s">
        <v>13338</v>
      </c>
      <c r="V2006" t="s">
        <v>13338</v>
      </c>
      <c r="W2006" t="s">
        <v>15308</v>
      </c>
      <c r="X2006">
        <v>3</v>
      </c>
      <c r="Y2006" t="s">
        <v>21892</v>
      </c>
      <c r="Z2006" t="s">
        <v>28421</v>
      </c>
      <c r="AA2006">
        <v>0.51065239259535822</v>
      </c>
      <c r="AB2006" t="str">
        <f>HYPERLINK("Melting_Curves/meltCurve_P0C7T5_ATXN1L.pdf", "Melting_Curves/meltCurve_P0C7T5_ATXN1L.pdf")</f>
        <v>Melting_Curves/meltCurve_P0C7T5_ATXN1L.pdf</v>
      </c>
    </row>
    <row r="2007" spans="1:28" x14ac:dyDescent="0.25">
      <c r="A2007" t="s">
        <v>2011</v>
      </c>
      <c r="B2007">
        <v>0.99193492352474899</v>
      </c>
      <c r="C2007">
        <v>0.74488360492147399</v>
      </c>
      <c r="D2007">
        <v>0.73716940731498404</v>
      </c>
      <c r="E2007">
        <v>0.55985732493249296</v>
      </c>
      <c r="F2007">
        <v>0.492542721992967</v>
      </c>
      <c r="G2007">
        <v>0.294044328255603</v>
      </c>
      <c r="H2007">
        <v>0.19865569848575801</v>
      </c>
      <c r="I2007">
        <v>0.29178422164597001</v>
      </c>
      <c r="J2007">
        <v>0.37171607517134903</v>
      </c>
      <c r="K2007">
        <v>0.55841901011670503</v>
      </c>
      <c r="L2007">
        <v>664.35805865849602</v>
      </c>
      <c r="M2007">
        <v>14.305430380110201</v>
      </c>
      <c r="N2007">
        <v>50.4910454864171</v>
      </c>
      <c r="O2007">
        <v>45.5617380789461</v>
      </c>
      <c r="P2007">
        <v>-5.1712039037164002E-2</v>
      </c>
      <c r="Q2007">
        <v>0.34128403541589802</v>
      </c>
      <c r="R2007">
        <v>0.81198095020130601</v>
      </c>
      <c r="S2007" t="s">
        <v>8677</v>
      </c>
      <c r="T2007" t="s">
        <v>13338</v>
      </c>
      <c r="U2007" t="s">
        <v>13338</v>
      </c>
      <c r="V2007" t="s">
        <v>13338</v>
      </c>
      <c r="W2007" t="s">
        <v>15309</v>
      </c>
      <c r="X2007">
        <v>10</v>
      </c>
      <c r="Y2007" t="s">
        <v>21893</v>
      </c>
      <c r="Z2007" t="s">
        <v>28422</v>
      </c>
      <c r="AA2007">
        <v>0.50321020350530254</v>
      </c>
      <c r="AB2007" t="str">
        <f>HYPERLINK("Melting_Curves/meltCurve_P0CAP2_POLR2M.pdf", "Melting_Curves/meltCurve_P0CAP2_POLR2M.pdf")</f>
        <v>Melting_Curves/meltCurve_P0CAP2_POLR2M.pdf</v>
      </c>
    </row>
    <row r="2008" spans="1:28" x14ac:dyDescent="0.25">
      <c r="A2008" t="s">
        <v>2012</v>
      </c>
      <c r="B2008">
        <v>0.99193492352474899</v>
      </c>
      <c r="C2008">
        <v>0.83379847347387603</v>
      </c>
      <c r="D2008">
        <v>0.87889218473866304</v>
      </c>
      <c r="E2008">
        <v>0.685126208811076</v>
      </c>
      <c r="F2008">
        <v>0.70006666156469199</v>
      </c>
      <c r="G2008">
        <v>0.38473664259326501</v>
      </c>
      <c r="H2008">
        <v>0.36031592701749399</v>
      </c>
      <c r="I2008">
        <v>0.40120053708466702</v>
      </c>
      <c r="J2008">
        <v>0.58887326821621799</v>
      </c>
      <c r="K2008">
        <v>0.92936414890955699</v>
      </c>
      <c r="L2008">
        <v>847.54064402239999</v>
      </c>
      <c r="M2008">
        <v>17.953520727917098</v>
      </c>
      <c r="O2008">
        <v>46.633494678925601</v>
      </c>
      <c r="P2008">
        <v>-4.35645027884215E-2</v>
      </c>
      <c r="Q2008">
        <v>0.54739490286676695</v>
      </c>
      <c r="R2008">
        <v>0.47017909072003</v>
      </c>
      <c r="S2008" t="s">
        <v>8678</v>
      </c>
      <c r="T2008" t="s">
        <v>13338</v>
      </c>
      <c r="U2008" t="s">
        <v>13338</v>
      </c>
      <c r="V2008" t="s">
        <v>13338</v>
      </c>
      <c r="W2008" t="s">
        <v>15310</v>
      </c>
      <c r="X2008">
        <v>3</v>
      </c>
      <c r="Y2008" t="s">
        <v>21894</v>
      </c>
      <c r="Z2008" t="s">
        <v>28423</v>
      </c>
      <c r="AA2008">
        <v>0.66444899021901049</v>
      </c>
      <c r="AB2008" t="str">
        <f>HYPERLINK("Melting_Curves/meltCurve_P0CG12_CHTF8.pdf", "Melting_Curves/meltCurve_P0CG12_CHTF8.pdf")</f>
        <v>Melting_Curves/meltCurve_P0CG12_CHTF8.pdf</v>
      </c>
    </row>
    <row r="2009" spans="1:28" x14ac:dyDescent="0.25">
      <c r="A2009" t="s">
        <v>2013</v>
      </c>
      <c r="B2009">
        <v>0.99193492352474899</v>
      </c>
      <c r="C2009">
        <v>0.44774170070615998</v>
      </c>
      <c r="D2009">
        <v>0.65395494555840905</v>
      </c>
      <c r="E2009">
        <v>0.166904218030554</v>
      </c>
      <c r="F2009">
        <v>0</v>
      </c>
      <c r="G2009">
        <v>0</v>
      </c>
      <c r="H2009">
        <v>0</v>
      </c>
      <c r="I2009">
        <v>6.0895987875530702E-2</v>
      </c>
      <c r="J2009">
        <v>0</v>
      </c>
      <c r="K2009">
        <v>0</v>
      </c>
      <c r="L2009">
        <v>681.59256009535295</v>
      </c>
      <c r="M2009">
        <v>15.0941983113924</v>
      </c>
      <c r="N2009">
        <v>45.155936623716599</v>
      </c>
      <c r="O2009">
        <v>44.385590524506</v>
      </c>
      <c r="P2009">
        <v>-8.5025830663843102E-2</v>
      </c>
      <c r="Q2009">
        <v>0</v>
      </c>
      <c r="R2009">
        <v>0.87672894076732799</v>
      </c>
      <c r="S2009" t="s">
        <v>8679</v>
      </c>
      <c r="T2009" t="s">
        <v>13338</v>
      </c>
      <c r="U2009" t="s">
        <v>13338</v>
      </c>
      <c r="V2009" t="s">
        <v>13338</v>
      </c>
      <c r="W2009" t="s">
        <v>15311</v>
      </c>
      <c r="X2009">
        <v>1</v>
      </c>
      <c r="Y2009" t="s">
        <v>21894</v>
      </c>
      <c r="Z2009" t="s">
        <v>28424</v>
      </c>
      <c r="AA2009">
        <v>0.2030460216680979</v>
      </c>
      <c r="AB2009" t="str">
        <f>HYPERLINK("Melting_Curves/meltCurve_P0CG13_CHTF8.pdf", "Melting_Curves/meltCurve_P0CG13_CHTF8.pdf")</f>
        <v>Melting_Curves/meltCurve_P0CG13_CHTF8.pdf</v>
      </c>
    </row>
    <row r="2010" spans="1:28" x14ac:dyDescent="0.25">
      <c r="A2010" t="s">
        <v>2014</v>
      </c>
      <c r="B2010">
        <v>0.99193492352474899</v>
      </c>
      <c r="C2010">
        <v>1.1402358939638599</v>
      </c>
      <c r="D2010">
        <v>0.84470052060521095</v>
      </c>
      <c r="E2010">
        <v>0.78827606618453705</v>
      </c>
      <c r="F2010">
        <v>0.49178555148934</v>
      </c>
      <c r="G2010">
        <v>0.23593112509745701</v>
      </c>
      <c r="H2010">
        <v>0.105746256353542</v>
      </c>
      <c r="I2010">
        <v>0.11675838516685</v>
      </c>
      <c r="J2010">
        <v>0.14183195928022499</v>
      </c>
      <c r="K2010">
        <v>0.13080393190915801</v>
      </c>
      <c r="L2010">
        <v>1078.5342377043601</v>
      </c>
      <c r="M2010">
        <v>20.64663639031</v>
      </c>
      <c r="N2010">
        <v>52.839433489538898</v>
      </c>
      <c r="O2010">
        <v>51.7551308496163</v>
      </c>
      <c r="P2010">
        <v>-8.9287836333788603E-2</v>
      </c>
      <c r="Q2010">
        <v>0.10475083071913301</v>
      </c>
      <c r="R2010">
        <v>0.97482677105593996</v>
      </c>
      <c r="S2010" t="s">
        <v>8680</v>
      </c>
      <c r="T2010" t="s">
        <v>13338</v>
      </c>
      <c r="U2010" t="s">
        <v>13338</v>
      </c>
      <c r="V2010" t="s">
        <v>13338</v>
      </c>
      <c r="W2010" t="s">
        <v>15312</v>
      </c>
      <c r="X2010">
        <v>12</v>
      </c>
      <c r="Y2010" t="s">
        <v>21895</v>
      </c>
      <c r="Z2010" t="s">
        <v>28425</v>
      </c>
      <c r="AA2010">
        <v>0.48163831162961979</v>
      </c>
      <c r="AB2010" t="str">
        <f>HYPERLINK("Melting_Curves/meltCurve_P0CW22_RPS17L.pdf", "Melting_Curves/meltCurve_P0CW22_RPS17L.pdf")</f>
        <v>Melting_Curves/meltCurve_P0CW22_RPS17L.pdf</v>
      </c>
    </row>
    <row r="2011" spans="1:28" x14ac:dyDescent="0.25">
      <c r="A2011" t="s">
        <v>2015</v>
      </c>
      <c r="B2011">
        <v>0.99193492352474899</v>
      </c>
      <c r="C2011">
        <v>1.4368043256051799</v>
      </c>
      <c r="D2011">
        <v>0.69687618776964899</v>
      </c>
      <c r="E2011">
        <v>1.0880990724818</v>
      </c>
      <c r="F2011">
        <v>0.34334344822935198</v>
      </c>
      <c r="G2011">
        <v>0.393670577673704</v>
      </c>
      <c r="H2011">
        <v>0.24448358238724499</v>
      </c>
      <c r="I2011">
        <v>0.31192636981725702</v>
      </c>
      <c r="J2011">
        <v>0.20588184371581</v>
      </c>
      <c r="K2011">
        <v>0.33368408527162302</v>
      </c>
      <c r="L2011">
        <v>13157.885412026901</v>
      </c>
      <c r="M2011">
        <v>250</v>
      </c>
      <c r="N2011">
        <v>52.822972417372803</v>
      </c>
      <c r="O2011">
        <v>52.628168378409597</v>
      </c>
      <c r="P2011">
        <v>-0.83376299594343095</v>
      </c>
      <c r="Q2011">
        <v>0.29792922193340599</v>
      </c>
      <c r="R2011">
        <v>0.81008251021528099</v>
      </c>
      <c r="S2011" t="s">
        <v>8681</v>
      </c>
      <c r="T2011" t="s">
        <v>13338</v>
      </c>
      <c r="U2011" t="s">
        <v>13338</v>
      </c>
      <c r="V2011" t="s">
        <v>13338</v>
      </c>
      <c r="W2011" t="s">
        <v>15313</v>
      </c>
      <c r="X2011">
        <v>2</v>
      </c>
      <c r="Y2011" t="s">
        <v>21896</v>
      </c>
      <c r="Z2011" t="s">
        <v>28426</v>
      </c>
      <c r="AA2011">
        <v>0.5936019462505161</v>
      </c>
      <c r="AB2011" t="str">
        <f>HYPERLINK("Melting_Curves/meltCurve_P0DJ93_SMIM13.pdf", "Melting_Curves/meltCurve_P0DJ93_SMIM13.pdf")</f>
        <v>Melting_Curves/meltCurve_P0DJ93_SMIM13.pdf</v>
      </c>
    </row>
    <row r="2012" spans="1:28" x14ac:dyDescent="0.25">
      <c r="A2012" t="s">
        <v>2016</v>
      </c>
      <c r="B2012">
        <v>0.99193492352474899</v>
      </c>
      <c r="C2012">
        <v>1.16636368076942</v>
      </c>
      <c r="D2012">
        <v>0.92331440411613097</v>
      </c>
      <c r="E2012">
        <v>0.95182809415899206</v>
      </c>
      <c r="F2012">
        <v>0.56113770297684795</v>
      </c>
      <c r="G2012">
        <v>0.40880066543864901</v>
      </c>
      <c r="H2012">
        <v>0.24224874906039201</v>
      </c>
      <c r="I2012">
        <v>0.37169724644811603</v>
      </c>
      <c r="J2012">
        <v>0.35729244828054502</v>
      </c>
      <c r="K2012">
        <v>0.51771785647945201</v>
      </c>
      <c r="L2012">
        <v>2376.5778060504099</v>
      </c>
      <c r="M2012">
        <v>45.522357119815403</v>
      </c>
      <c r="N2012">
        <v>53.856450013937398</v>
      </c>
      <c r="O2012">
        <v>52.106377856143503</v>
      </c>
      <c r="P2012">
        <v>-0.13628786766449599</v>
      </c>
      <c r="Q2012">
        <v>0.37600257683781702</v>
      </c>
      <c r="R2012">
        <v>0.92480012046792004</v>
      </c>
      <c r="S2012" t="s">
        <v>8682</v>
      </c>
      <c r="T2012" t="s">
        <v>13338</v>
      </c>
      <c r="U2012" t="s">
        <v>13338</v>
      </c>
      <c r="V2012" t="s">
        <v>13338</v>
      </c>
      <c r="W2012" t="s">
        <v>15314</v>
      </c>
      <c r="X2012">
        <v>7</v>
      </c>
      <c r="Y2012" t="s">
        <v>21897</v>
      </c>
      <c r="Z2012" t="s">
        <v>28427</v>
      </c>
      <c r="AA2012">
        <v>0.63163869977159914</v>
      </c>
      <c r="AB2012" t="str">
        <f>HYPERLINK("Melting_Curves/meltCurve_P10109_FDX1.pdf", "Melting_Curves/meltCurve_P10109_FDX1.pdf")</f>
        <v>Melting_Curves/meltCurve_P10109_FDX1.pdf</v>
      </c>
    </row>
    <row r="2013" spans="1:28" x14ac:dyDescent="0.25">
      <c r="A2013" t="s">
        <v>2017</v>
      </c>
      <c r="B2013">
        <v>0.99193492352474899</v>
      </c>
      <c r="C2013">
        <v>0.87991450353734002</v>
      </c>
      <c r="D2013">
        <v>0.92303440131766401</v>
      </c>
      <c r="E2013">
        <v>0.77618191419960703</v>
      </c>
      <c r="F2013">
        <v>0.76625289642199601</v>
      </c>
      <c r="G2013">
        <v>0.44084524552224902</v>
      </c>
      <c r="H2013">
        <v>0.27076536682085001</v>
      </c>
      <c r="I2013">
        <v>0.15283823109612499</v>
      </c>
      <c r="J2013">
        <v>0.14179642126608799</v>
      </c>
      <c r="K2013">
        <v>0.13070806847348099</v>
      </c>
      <c r="L2013">
        <v>669.63647349641997</v>
      </c>
      <c r="M2013">
        <v>11.9438678346909</v>
      </c>
      <c r="N2013">
        <v>56.179353643092803</v>
      </c>
      <c r="O2013">
        <v>54.562977165257301</v>
      </c>
      <c r="P2013">
        <v>-5.4082908749613703E-2</v>
      </c>
      <c r="Q2013">
        <v>1.1978238035383899E-2</v>
      </c>
      <c r="R2013">
        <v>0.97570840623538002</v>
      </c>
      <c r="S2013" t="s">
        <v>8683</v>
      </c>
      <c r="T2013" t="s">
        <v>13338</v>
      </c>
      <c r="U2013" t="s">
        <v>13338</v>
      </c>
      <c r="V2013" t="s">
        <v>13338</v>
      </c>
      <c r="W2013" t="s">
        <v>15315</v>
      </c>
      <c r="X2013">
        <v>27</v>
      </c>
      <c r="Y2013" t="s">
        <v>21898</v>
      </c>
      <c r="Z2013" t="s">
        <v>28428</v>
      </c>
      <c r="AA2013">
        <v>0.56103403136035734</v>
      </c>
      <c r="AB2013" t="str">
        <f>HYPERLINK("Melting_Curves/meltCurve_P10155_TROVE2.pdf", "Melting_Curves/meltCurve_P10155_TROVE2.pdf")</f>
        <v>Melting_Curves/meltCurve_P10155_TROVE2.pdf</v>
      </c>
    </row>
    <row r="2014" spans="1:28" x14ac:dyDescent="0.25">
      <c r="A2014" t="s">
        <v>2018</v>
      </c>
      <c r="B2014">
        <v>0.99193492352474899</v>
      </c>
      <c r="C2014">
        <v>0.90892681788696505</v>
      </c>
      <c r="D2014">
        <v>0.86615022130020503</v>
      </c>
      <c r="E2014">
        <v>0.76690769304348005</v>
      </c>
      <c r="F2014">
        <v>0.75049203862761804</v>
      </c>
      <c r="G2014">
        <v>0.64640797379813797</v>
      </c>
      <c r="H2014">
        <v>0.44629054874142099</v>
      </c>
      <c r="I2014">
        <v>0.64215823359368296</v>
      </c>
      <c r="J2014">
        <v>0.31645233527239303</v>
      </c>
      <c r="K2014">
        <v>0.52450962258140199</v>
      </c>
      <c r="L2014">
        <v>426.232713458342</v>
      </c>
      <c r="M2014">
        <v>7.83618940265145</v>
      </c>
      <c r="N2014">
        <v>64.313114023682999</v>
      </c>
      <c r="O2014">
        <v>51.1918962786999</v>
      </c>
      <c r="P2014">
        <v>-2.4877793522042502E-2</v>
      </c>
      <c r="Q2014">
        <v>0.35071123284467098</v>
      </c>
      <c r="R2014">
        <v>0.84363245054963198</v>
      </c>
      <c r="S2014" t="s">
        <v>8684</v>
      </c>
      <c r="T2014" t="s">
        <v>13338</v>
      </c>
      <c r="U2014" t="s">
        <v>13338</v>
      </c>
      <c r="V2014" t="s">
        <v>13338</v>
      </c>
      <c r="W2014" t="s">
        <v>15316</v>
      </c>
      <c r="X2014">
        <v>1</v>
      </c>
      <c r="Y2014" t="s">
        <v>21899</v>
      </c>
      <c r="Z2014" t="s">
        <v>28429</v>
      </c>
      <c r="AA2014">
        <v>0.6827341427426934</v>
      </c>
      <c r="AB2014" t="str">
        <f>HYPERLINK("Melting_Curves/meltCurve_P10176_COX8A.pdf", "Melting_Curves/meltCurve_P10176_COX8A.pdf")</f>
        <v>Melting_Curves/meltCurve_P10176_COX8A.pdf</v>
      </c>
    </row>
    <row r="2015" spans="1:28" x14ac:dyDescent="0.25">
      <c r="A2015" t="s">
        <v>2019</v>
      </c>
      <c r="B2015">
        <v>0.99193492352474899</v>
      </c>
      <c r="C2015">
        <v>0.98371853737152204</v>
      </c>
      <c r="D2015">
        <v>0.88182992566304996</v>
      </c>
      <c r="E2015">
        <v>0.87456415948654398</v>
      </c>
      <c r="F2015">
        <v>0.70366811632536896</v>
      </c>
      <c r="G2015">
        <v>0.55008349429168202</v>
      </c>
      <c r="H2015">
        <v>0.30631016122947702</v>
      </c>
      <c r="I2015">
        <v>0.23052035837061399</v>
      </c>
      <c r="J2015">
        <v>0.208163145754517</v>
      </c>
      <c r="K2015">
        <v>0.20771347056362099</v>
      </c>
      <c r="L2015">
        <v>736.88473960516296</v>
      </c>
      <c r="M2015">
        <v>13.194393551600999</v>
      </c>
      <c r="N2015">
        <v>57.033661431057297</v>
      </c>
      <c r="O2015">
        <v>54.612194583422301</v>
      </c>
      <c r="P2015">
        <v>-5.3166161800948901E-2</v>
      </c>
      <c r="Q2015">
        <v>0.11991803460566</v>
      </c>
      <c r="R2015">
        <v>0.99038506174739804</v>
      </c>
      <c r="S2015" t="s">
        <v>8685</v>
      </c>
      <c r="T2015" t="s">
        <v>13338</v>
      </c>
      <c r="U2015" t="s">
        <v>13338</v>
      </c>
      <c r="V2015" t="s">
        <v>13338</v>
      </c>
      <c r="W2015" t="s">
        <v>15317</v>
      </c>
      <c r="X2015">
        <v>20</v>
      </c>
      <c r="Y2015" t="s">
        <v>21900</v>
      </c>
      <c r="Z2015" t="s">
        <v>28430</v>
      </c>
      <c r="AA2015">
        <v>0.60230678397200621</v>
      </c>
      <c r="AB2015" t="str">
        <f>HYPERLINK("Melting_Curves/meltCurve_P10253_GAA.pdf", "Melting_Curves/meltCurve_P10253_GAA.pdf")</f>
        <v>Melting_Curves/meltCurve_P10253_GAA.pdf</v>
      </c>
    </row>
    <row r="2016" spans="1:28" x14ac:dyDescent="0.25">
      <c r="A2016" t="s">
        <v>2020</v>
      </c>
      <c r="B2016">
        <v>0.99193492352474899</v>
      </c>
      <c r="C2016">
        <v>0.85751288707481899</v>
      </c>
      <c r="D2016">
        <v>0.91588276142840697</v>
      </c>
      <c r="E2016">
        <v>0.76823667579558996</v>
      </c>
      <c r="F2016">
        <v>0.73190781664486104</v>
      </c>
      <c r="G2016">
        <v>0.481029743778431</v>
      </c>
      <c r="H2016">
        <v>0.33412445831880899</v>
      </c>
      <c r="I2016">
        <v>0.144695586682387</v>
      </c>
      <c r="J2016">
        <v>0.10352612900211799</v>
      </c>
      <c r="K2016">
        <v>9.1564433712127705E-2</v>
      </c>
      <c r="L2016">
        <v>642.45311729892001</v>
      </c>
      <c r="M2016">
        <v>11.415715352419999</v>
      </c>
      <c r="N2016">
        <v>56.277956106326101</v>
      </c>
      <c r="O2016">
        <v>54.634026505958197</v>
      </c>
      <c r="P2016">
        <v>-5.2252479247355599E-2</v>
      </c>
      <c r="Q2016">
        <v>0</v>
      </c>
      <c r="R2016">
        <v>0.97591669601359698</v>
      </c>
      <c r="S2016" t="s">
        <v>8686</v>
      </c>
      <c r="T2016" t="s">
        <v>13338</v>
      </c>
      <c r="U2016" t="s">
        <v>13338</v>
      </c>
      <c r="V2016" t="s">
        <v>13338</v>
      </c>
      <c r="W2016" t="s">
        <v>15318</v>
      </c>
      <c r="X2016">
        <v>8</v>
      </c>
      <c r="Y2016" t="s">
        <v>21901</v>
      </c>
      <c r="Z2016" t="s">
        <v>28431</v>
      </c>
      <c r="AA2016">
        <v>0.562270411464458</v>
      </c>
      <c r="AB2016" t="str">
        <f>HYPERLINK("Melting_Curves/meltCurve_P10301_RRAS.pdf", "Melting_Curves/meltCurve_P10301_RRAS.pdf")</f>
        <v>Melting_Curves/meltCurve_P10301_RRAS.pdf</v>
      </c>
    </row>
    <row r="2017" spans="1:28" x14ac:dyDescent="0.25">
      <c r="A2017" t="s">
        <v>2021</v>
      </c>
      <c r="B2017">
        <v>0.99193492352474899</v>
      </c>
      <c r="C2017">
        <v>1.15546753676835</v>
      </c>
      <c r="D2017">
        <v>0.89146471229452195</v>
      </c>
      <c r="E2017">
        <v>0.53716601203724901</v>
      </c>
      <c r="F2017">
        <v>0.163036601784426</v>
      </c>
      <c r="G2017">
        <v>0.12547867971688101</v>
      </c>
      <c r="H2017">
        <v>2.5315939627274801E-2</v>
      </c>
      <c r="I2017">
        <v>8.0961594062443507E-2</v>
      </c>
      <c r="J2017">
        <v>8.56854106872635E-2</v>
      </c>
      <c r="K2017">
        <v>0.11329376360380899</v>
      </c>
      <c r="L2017">
        <v>1581.7061007310499</v>
      </c>
      <c r="M2017">
        <v>31.938073418953</v>
      </c>
      <c r="N2017">
        <v>49.8003781845917</v>
      </c>
      <c r="O2017">
        <v>49.3312210671453</v>
      </c>
      <c r="P2017">
        <v>-0.148716910034558</v>
      </c>
      <c r="Q2017">
        <v>8.1178404370268506E-2</v>
      </c>
      <c r="R2017">
        <v>0.98095466506910101</v>
      </c>
      <c r="S2017" t="s">
        <v>8687</v>
      </c>
      <c r="T2017" t="s">
        <v>13338</v>
      </c>
      <c r="U2017" t="s">
        <v>13338</v>
      </c>
      <c r="V2017" t="s">
        <v>13338</v>
      </c>
      <c r="W2017" t="s">
        <v>15319</v>
      </c>
      <c r="X2017">
        <v>4</v>
      </c>
      <c r="Y2017" t="s">
        <v>21902</v>
      </c>
      <c r="Z2017" t="s">
        <v>28432</v>
      </c>
      <c r="AA2017">
        <v>0.37784435298796731</v>
      </c>
      <c r="AB2017" t="str">
        <f>HYPERLINK("Melting_Curves/meltCurve_P10398_ARAF.pdf", "Melting_Curves/meltCurve_P10398_ARAF.pdf")</f>
        <v>Melting_Curves/meltCurve_P10398_ARAF.pdf</v>
      </c>
    </row>
    <row r="2018" spans="1:28" x14ac:dyDescent="0.25">
      <c r="A2018" t="s">
        <v>2022</v>
      </c>
      <c r="B2018">
        <v>0.99193492352474899</v>
      </c>
      <c r="C2018">
        <v>0.84793597212676797</v>
      </c>
      <c r="D2018">
        <v>0.86057781293112301</v>
      </c>
      <c r="E2018">
        <v>0.94622474908953402</v>
      </c>
      <c r="F2018">
        <v>1.0320802554024</v>
      </c>
      <c r="G2018">
        <v>0.728115124295317</v>
      </c>
      <c r="H2018">
        <v>0.372834554851602</v>
      </c>
      <c r="I2018">
        <v>0.27481938340067003</v>
      </c>
      <c r="J2018">
        <v>0.35022113178060599</v>
      </c>
      <c r="K2018">
        <v>0.43358066725816202</v>
      </c>
      <c r="L2018">
        <v>6850.4377103235302</v>
      </c>
      <c r="M2018">
        <v>120.296904211727</v>
      </c>
      <c r="N2018">
        <v>57.547518969456704</v>
      </c>
      <c r="O2018">
        <v>56.930334837179899</v>
      </c>
      <c r="P2018">
        <v>-0.33926177296703303</v>
      </c>
      <c r="Q2018">
        <v>0.35777926482979</v>
      </c>
      <c r="R2018">
        <v>0.924073337555259</v>
      </c>
      <c r="S2018" t="s">
        <v>8688</v>
      </c>
      <c r="T2018" t="s">
        <v>13338</v>
      </c>
      <c r="U2018" t="s">
        <v>13338</v>
      </c>
      <c r="V2018" t="s">
        <v>13338</v>
      </c>
      <c r="W2018" t="s">
        <v>15320</v>
      </c>
      <c r="X2018">
        <v>9</v>
      </c>
      <c r="Y2018" t="s">
        <v>21903</v>
      </c>
      <c r="Z2018" t="s">
        <v>28433</v>
      </c>
      <c r="AA2018">
        <v>0.72082756992510677</v>
      </c>
      <c r="AB2018" t="str">
        <f>HYPERLINK("Melting_Curves/meltCurve_P10412_HIST1H1E.pdf", "Melting_Curves/meltCurve_P10412_HIST1H1E.pdf")</f>
        <v>Melting_Curves/meltCurve_P10412_HIST1H1E.pdf</v>
      </c>
    </row>
    <row r="2019" spans="1:28" x14ac:dyDescent="0.25">
      <c r="A2019" t="s">
        <v>2023</v>
      </c>
      <c r="B2019">
        <v>0.99193492352474899</v>
      </c>
      <c r="C2019">
        <v>0.87212077633254903</v>
      </c>
      <c r="D2019">
        <v>1.0323956126945699</v>
      </c>
      <c r="E2019">
        <v>0.91286487868534105</v>
      </c>
      <c r="F2019">
        <v>0.68941537937220199</v>
      </c>
      <c r="G2019">
        <v>0.19030163485467699</v>
      </c>
      <c r="H2019">
        <v>7.3352009317164193E-2</v>
      </c>
      <c r="I2019">
        <v>6.4048530982447699E-2</v>
      </c>
      <c r="J2019">
        <v>7.2279674234145302E-2</v>
      </c>
      <c r="K2019">
        <v>6.5715818067827503E-2</v>
      </c>
      <c r="L2019">
        <v>1964.5909238787799</v>
      </c>
      <c r="M2019">
        <v>36.3023567660642</v>
      </c>
      <c r="N2019">
        <v>54.313503692397099</v>
      </c>
      <c r="O2019">
        <v>53.954019481551597</v>
      </c>
      <c r="P2019">
        <v>-0.15788049072865101</v>
      </c>
      <c r="Q2019">
        <v>6.1409633065014603E-2</v>
      </c>
      <c r="R2019">
        <v>0.98766912880313595</v>
      </c>
      <c r="S2019" t="s">
        <v>8689</v>
      </c>
      <c r="T2019" t="s">
        <v>13338</v>
      </c>
      <c r="U2019" t="s">
        <v>13338</v>
      </c>
      <c r="V2019" t="s">
        <v>13338</v>
      </c>
      <c r="W2019" t="s">
        <v>15321</v>
      </c>
      <c r="X2019">
        <v>16</v>
      </c>
      <c r="Y2019" t="s">
        <v>21904</v>
      </c>
      <c r="Z2019" t="s">
        <v>28434</v>
      </c>
      <c r="AA2019">
        <v>0.50734287073104678</v>
      </c>
      <c r="AB2019" t="str">
        <f>HYPERLINK("Melting_Curves/meltCurve_P10515_DLAT.pdf", "Melting_Curves/meltCurve_P10515_DLAT.pdf")</f>
        <v>Melting_Curves/meltCurve_P10515_DLAT.pdf</v>
      </c>
    </row>
    <row r="2020" spans="1:28" x14ac:dyDescent="0.25">
      <c r="A2020" t="s">
        <v>2024</v>
      </c>
      <c r="B2020">
        <v>0.99193492352474899</v>
      </c>
      <c r="C2020">
        <v>1.0401517566273899</v>
      </c>
      <c r="D2020">
        <v>0.90782574062018995</v>
      </c>
      <c r="E2020">
        <v>0.46721366503843398</v>
      </c>
      <c r="F2020">
        <v>0.33995441081465799</v>
      </c>
      <c r="G2020">
        <v>0.222538655742165</v>
      </c>
      <c r="H2020">
        <v>0.151057460007405</v>
      </c>
      <c r="I2020">
        <v>0.162868618533695</v>
      </c>
      <c r="J2020">
        <v>0.18496054136419099</v>
      </c>
      <c r="K2020">
        <v>0.16384786458941</v>
      </c>
      <c r="L2020">
        <v>1323.4732744606599</v>
      </c>
      <c r="M2020">
        <v>27.037423126071602</v>
      </c>
      <c r="N2020">
        <v>49.7739253906893</v>
      </c>
      <c r="O2020">
        <v>48.684270021476799</v>
      </c>
      <c r="P2020">
        <v>-0.113786255551713</v>
      </c>
      <c r="Q2020">
        <v>0.18046261367802599</v>
      </c>
      <c r="R2020">
        <v>0.98799553252503503</v>
      </c>
      <c r="S2020" t="s">
        <v>8690</v>
      </c>
      <c r="T2020" t="s">
        <v>13338</v>
      </c>
      <c r="U2020" t="s">
        <v>13338</v>
      </c>
      <c r="V2020" t="s">
        <v>13338</v>
      </c>
      <c r="W2020" t="s">
        <v>15322</v>
      </c>
      <c r="X2020">
        <v>20</v>
      </c>
      <c r="Y2020" t="s">
        <v>21905</v>
      </c>
      <c r="Z2020" t="s">
        <v>28435</v>
      </c>
      <c r="AA2020">
        <v>0.43112613423384261</v>
      </c>
      <c r="AB2020" t="str">
        <f>HYPERLINK("Melting_Curves/meltCurve_P10586_2_PTPRF.pdf", "Melting_Curves/meltCurve_P10586_2_PTPRF.pdf")</f>
        <v>Melting_Curves/meltCurve_P10586_2_PTPRF.pdf</v>
      </c>
    </row>
    <row r="2021" spans="1:28" x14ac:dyDescent="0.25">
      <c r="A2021" t="s">
        <v>2025</v>
      </c>
      <c r="B2021">
        <v>0.99193492352474899</v>
      </c>
      <c r="C2021">
        <v>0.87406711292515504</v>
      </c>
      <c r="D2021">
        <v>0.916563159840588</v>
      </c>
      <c r="E2021">
        <v>0.79475461413425996</v>
      </c>
      <c r="F2021">
        <v>0.70746423606196995</v>
      </c>
      <c r="G2021">
        <v>0.51374171140623104</v>
      </c>
      <c r="H2021">
        <v>0.50523529114561105</v>
      </c>
      <c r="I2021">
        <v>0.54488290161441</v>
      </c>
      <c r="J2021">
        <v>0.69630629066926597</v>
      </c>
      <c r="K2021">
        <v>0.67664456922294103</v>
      </c>
      <c r="L2021">
        <v>889.99005746291903</v>
      </c>
      <c r="M2021">
        <v>18.194824914529399</v>
      </c>
      <c r="O2021">
        <v>48.335076109240497</v>
      </c>
      <c r="P2021">
        <v>-3.8766778016236701E-2</v>
      </c>
      <c r="Q2021">
        <v>0.588079246525404</v>
      </c>
      <c r="R2021">
        <v>0.79970419904338796</v>
      </c>
      <c r="S2021" t="s">
        <v>8691</v>
      </c>
      <c r="T2021" t="s">
        <v>13338</v>
      </c>
      <c r="U2021" t="s">
        <v>13338</v>
      </c>
      <c r="V2021" t="s">
        <v>13338</v>
      </c>
      <c r="W2021" t="s">
        <v>15323</v>
      </c>
      <c r="X2021">
        <v>13</v>
      </c>
      <c r="Y2021" t="s">
        <v>21906</v>
      </c>
      <c r="Z2021" t="s">
        <v>28436</v>
      </c>
      <c r="AA2021">
        <v>0.71747493865949996</v>
      </c>
      <c r="AB2021" t="str">
        <f>HYPERLINK("Melting_Curves/meltCurve_P10599_TXN.pdf", "Melting_Curves/meltCurve_P10599_TXN.pdf")</f>
        <v>Melting_Curves/meltCurve_P10599_TXN.pdf</v>
      </c>
    </row>
    <row r="2022" spans="1:28" x14ac:dyDescent="0.25">
      <c r="A2022" t="s">
        <v>2026</v>
      </c>
      <c r="B2022">
        <v>0.99193492352474899</v>
      </c>
      <c r="C2022">
        <v>0.82872752313165599</v>
      </c>
      <c r="D2022">
        <v>0.81183424476036903</v>
      </c>
      <c r="E2022">
        <v>0.60555177238034197</v>
      </c>
      <c r="F2022">
        <v>0.47760253974484201</v>
      </c>
      <c r="G2022">
        <v>0.309236406419718</v>
      </c>
      <c r="H2022">
        <v>0.27323996422803698</v>
      </c>
      <c r="I2022">
        <v>0.31083184473839498</v>
      </c>
      <c r="J2022">
        <v>0.27178694867632402</v>
      </c>
      <c r="K2022">
        <v>0.34954150979760401</v>
      </c>
      <c r="L2022">
        <v>675.505370233039</v>
      </c>
      <c r="M2022">
        <v>13.851207856490699</v>
      </c>
      <c r="N2022">
        <v>51.720917580961398</v>
      </c>
      <c r="O2022">
        <v>47.785919408916101</v>
      </c>
      <c r="P2022">
        <v>-5.2673452115581498E-2</v>
      </c>
      <c r="Q2022">
        <v>0.27321837345604799</v>
      </c>
      <c r="R2022">
        <v>0.972257759613398</v>
      </c>
      <c r="S2022" t="s">
        <v>8692</v>
      </c>
      <c r="T2022" t="s">
        <v>13338</v>
      </c>
      <c r="U2022" t="s">
        <v>13338</v>
      </c>
      <c r="V2022" t="s">
        <v>13338</v>
      </c>
      <c r="W2022" t="s">
        <v>15324</v>
      </c>
      <c r="X2022">
        <v>10</v>
      </c>
      <c r="Y2022" t="s">
        <v>21907</v>
      </c>
      <c r="Z2022" t="s">
        <v>28437</v>
      </c>
      <c r="AA2022">
        <v>0.50665741568908684</v>
      </c>
      <c r="AB2022" t="str">
        <f>HYPERLINK("Melting_Curves/meltCurve_P10606_COX5B.pdf", "Melting_Curves/meltCurve_P10606_COX5B.pdf")</f>
        <v>Melting_Curves/meltCurve_P10606_COX5B.pdf</v>
      </c>
    </row>
    <row r="2023" spans="1:28" x14ac:dyDescent="0.25">
      <c r="A2023" t="s">
        <v>2027</v>
      </c>
      <c r="B2023">
        <v>0.99193492352474899</v>
      </c>
      <c r="C2023">
        <v>0.96577852579805701</v>
      </c>
      <c r="D2023">
        <v>0.98093157540401199</v>
      </c>
      <c r="E2023">
        <v>0.82730712417661201</v>
      </c>
      <c r="F2023">
        <v>0.803486308108179</v>
      </c>
      <c r="G2023">
        <v>0.59002045009506299</v>
      </c>
      <c r="H2023">
        <v>0.150587445934598</v>
      </c>
      <c r="I2023">
        <v>0.15921041976505801</v>
      </c>
      <c r="J2023">
        <v>0.15576213865080499</v>
      </c>
      <c r="K2023">
        <v>0.187529639675382</v>
      </c>
      <c r="L2023">
        <v>1223.5735582151699</v>
      </c>
      <c r="M2023">
        <v>21.780194779280301</v>
      </c>
      <c r="N2023">
        <v>56.888144600903303</v>
      </c>
      <c r="O2023">
        <v>55.711114898928201</v>
      </c>
      <c r="P2023">
        <v>-8.6109626751639301E-2</v>
      </c>
      <c r="Q2023">
        <v>0.118988251233539</v>
      </c>
      <c r="R2023">
        <v>0.96903974653391201</v>
      </c>
      <c r="S2023" t="s">
        <v>8693</v>
      </c>
      <c r="T2023" t="s">
        <v>13338</v>
      </c>
      <c r="U2023" t="s">
        <v>13338</v>
      </c>
      <c r="V2023" t="s">
        <v>13338</v>
      </c>
      <c r="W2023" t="s">
        <v>15325</v>
      </c>
      <c r="X2023">
        <v>8</v>
      </c>
      <c r="Y2023" t="s">
        <v>21908</v>
      </c>
      <c r="Z2023" t="s">
        <v>28438</v>
      </c>
      <c r="AA2023">
        <v>0.60409404428285407</v>
      </c>
      <c r="AB2023" t="str">
        <f>HYPERLINK("Melting_Curves/meltCurve_P10619_CTSA.pdf", "Melting_Curves/meltCurve_P10619_CTSA.pdf")</f>
        <v>Melting_Curves/meltCurve_P10619_CTSA.pdf</v>
      </c>
    </row>
    <row r="2024" spans="1:28" x14ac:dyDescent="0.25">
      <c r="A2024" t="s">
        <v>2028</v>
      </c>
      <c r="B2024">
        <v>0.99193492352474899</v>
      </c>
      <c r="C2024">
        <v>0.83555732036629105</v>
      </c>
      <c r="D2024">
        <v>0.893360952864789</v>
      </c>
      <c r="E2024">
        <v>0.77452312750672903</v>
      </c>
      <c r="F2024">
        <v>0.64195879529280597</v>
      </c>
      <c r="G2024">
        <v>0.558124850075012</v>
      </c>
      <c r="H2024">
        <v>0.447478550053586</v>
      </c>
      <c r="I2024">
        <v>0.60167824961714</v>
      </c>
      <c r="J2024">
        <v>0.62713808291391404</v>
      </c>
      <c r="K2024">
        <v>0.89030742096062399</v>
      </c>
      <c r="L2024">
        <v>800.90083650455995</v>
      </c>
      <c r="M2024">
        <v>17.114440710434199</v>
      </c>
      <c r="O2024">
        <v>46.171901599770202</v>
      </c>
      <c r="P2024">
        <v>-3.4872832432156498E-2</v>
      </c>
      <c r="Q2024">
        <v>0.62369845439637905</v>
      </c>
      <c r="R2024">
        <v>0.54260958212117605</v>
      </c>
      <c r="S2024" t="s">
        <v>8694</v>
      </c>
      <c r="T2024" t="s">
        <v>13338</v>
      </c>
      <c r="U2024" t="s">
        <v>13338</v>
      </c>
      <c r="V2024" t="s">
        <v>13338</v>
      </c>
      <c r="W2024" t="s">
        <v>15326</v>
      </c>
      <c r="X2024">
        <v>15</v>
      </c>
      <c r="Y2024" t="s">
        <v>21909</v>
      </c>
      <c r="Z2024" t="s">
        <v>28439</v>
      </c>
      <c r="AA2024">
        <v>0.71678420526034192</v>
      </c>
      <c r="AB2024" t="str">
        <f>HYPERLINK("Melting_Curves/meltCurve_P10636_4_MAPT.pdf", "Melting_Curves/meltCurve_P10636_4_MAPT.pdf")</f>
        <v>Melting_Curves/meltCurve_P10636_4_MAPT.pdf</v>
      </c>
    </row>
    <row r="2025" spans="1:28" x14ac:dyDescent="0.25">
      <c r="A2025" t="s">
        <v>2029</v>
      </c>
      <c r="B2025">
        <v>0.99193492352474899</v>
      </c>
      <c r="C2025">
        <v>0.78859526594276497</v>
      </c>
      <c r="D2025">
        <v>0.84292544426543103</v>
      </c>
      <c r="E2025">
        <v>0.53162972223527105</v>
      </c>
      <c r="F2025">
        <v>0.17057747262683801</v>
      </c>
      <c r="G2025">
        <v>7.7060743063500595E-2</v>
      </c>
      <c r="H2025">
        <v>4.4881662293658302E-2</v>
      </c>
      <c r="I2025">
        <v>5.3555653289653803E-2</v>
      </c>
      <c r="J2025">
        <v>5.7886283936401398E-2</v>
      </c>
      <c r="K2025">
        <v>7.2232681684443495E-2</v>
      </c>
      <c r="L2025">
        <v>947.89075424296902</v>
      </c>
      <c r="M2025">
        <v>19.246224952168699</v>
      </c>
      <c r="N2025">
        <v>49.439188954670698</v>
      </c>
      <c r="O2025">
        <v>48.728285129286903</v>
      </c>
      <c r="P2025">
        <v>-9.5253859792398296E-2</v>
      </c>
      <c r="Q2025">
        <v>3.5368172025721997E-2</v>
      </c>
      <c r="R2025">
        <v>0.97441075089231799</v>
      </c>
      <c r="S2025" t="s">
        <v>8695</v>
      </c>
      <c r="T2025" t="s">
        <v>13338</v>
      </c>
      <c r="U2025" t="s">
        <v>13338</v>
      </c>
      <c r="V2025" t="s">
        <v>13338</v>
      </c>
      <c r="W2025" t="s">
        <v>15327</v>
      </c>
      <c r="X2025">
        <v>20</v>
      </c>
      <c r="Y2025" t="s">
        <v>21910</v>
      </c>
      <c r="Z2025" t="s">
        <v>28440</v>
      </c>
      <c r="AA2025">
        <v>0.34738380888628301</v>
      </c>
      <c r="AB2025" t="str">
        <f>HYPERLINK("Melting_Curves/meltCurve_P10644_PRKAR1A.pdf", "Melting_Curves/meltCurve_P10644_PRKAR1A.pdf")</f>
        <v>Melting_Curves/meltCurve_P10644_PRKAR1A.pdf</v>
      </c>
    </row>
    <row r="2026" spans="1:28" x14ac:dyDescent="0.25">
      <c r="A2026" t="s">
        <v>2030</v>
      </c>
      <c r="B2026">
        <v>0.99193492352474899</v>
      </c>
      <c r="C2026">
        <v>0.91984814474018095</v>
      </c>
      <c r="D2026">
        <v>1.03076510473214</v>
      </c>
      <c r="E2026">
        <v>0.58044403463105099</v>
      </c>
      <c r="F2026">
        <v>0.71328540786216299</v>
      </c>
      <c r="G2026">
        <v>0.31043776856452598</v>
      </c>
      <c r="H2026">
        <v>0.23666417588639199</v>
      </c>
      <c r="I2026">
        <v>0.27140091810991601</v>
      </c>
      <c r="J2026">
        <v>0.35653416815158101</v>
      </c>
      <c r="K2026">
        <v>0.39133662323261598</v>
      </c>
      <c r="L2026">
        <v>922.96405559792902</v>
      </c>
      <c r="M2026">
        <v>18.094193921552701</v>
      </c>
      <c r="N2026">
        <v>53.732275903457399</v>
      </c>
      <c r="O2026">
        <v>50.398054243359702</v>
      </c>
      <c r="P2026">
        <v>-6.2817985022435602E-2</v>
      </c>
      <c r="Q2026">
        <v>0.30016201718288399</v>
      </c>
      <c r="R2026">
        <v>0.87918595378317699</v>
      </c>
      <c r="S2026" t="s">
        <v>8696</v>
      </c>
      <c r="T2026" t="s">
        <v>13338</v>
      </c>
      <c r="U2026" t="s">
        <v>13338</v>
      </c>
      <c r="V2026" t="s">
        <v>13338</v>
      </c>
      <c r="W2026" t="s">
        <v>15328</v>
      </c>
      <c r="X2026">
        <v>2</v>
      </c>
      <c r="Y2026" t="s">
        <v>21911</v>
      </c>
      <c r="Z2026" t="s">
        <v>28441</v>
      </c>
      <c r="AA2026">
        <v>0.5686558440970334</v>
      </c>
      <c r="AB2026" t="str">
        <f>HYPERLINK("Melting_Curves/meltCurve_P10721_2_KIT.pdf", "Melting_Curves/meltCurve_P10721_2_KIT.pdf")</f>
        <v>Melting_Curves/meltCurve_P10721_2_KIT.pdf</v>
      </c>
    </row>
    <row r="2027" spans="1:28" x14ac:dyDescent="0.25">
      <c r="A2027" t="s">
        <v>2031</v>
      </c>
      <c r="B2027">
        <v>0.99193492352474899</v>
      </c>
      <c r="C2027">
        <v>0.85487185442021896</v>
      </c>
      <c r="D2027">
        <v>0.85810532816464102</v>
      </c>
      <c r="E2027">
        <v>0.64135513883014805</v>
      </c>
      <c r="F2027">
        <v>0.18440012668247099</v>
      </c>
      <c r="G2027">
        <v>0.134298183944946</v>
      </c>
      <c r="H2027">
        <v>8.8008224531189796E-2</v>
      </c>
      <c r="I2027">
        <v>9.9332043325670999E-2</v>
      </c>
      <c r="J2027">
        <v>0.116550014174839</v>
      </c>
      <c r="K2027">
        <v>0.138369384057207</v>
      </c>
      <c r="L2027">
        <v>1259.7762612119</v>
      </c>
      <c r="M2027">
        <v>25.273902045740101</v>
      </c>
      <c r="N2027">
        <v>50.280165853400597</v>
      </c>
      <c r="O2027">
        <v>49.536036869348997</v>
      </c>
      <c r="P2027">
        <v>-0.115023272066506</v>
      </c>
      <c r="Q2027">
        <v>9.8243988946987604E-2</v>
      </c>
      <c r="R2027">
        <v>0.97672928145955695</v>
      </c>
      <c r="S2027" t="s">
        <v>8697</v>
      </c>
      <c r="T2027" t="s">
        <v>13338</v>
      </c>
      <c r="U2027" t="s">
        <v>13338</v>
      </c>
      <c r="V2027" t="s">
        <v>13338</v>
      </c>
      <c r="W2027" t="s">
        <v>15329</v>
      </c>
      <c r="X2027">
        <v>7</v>
      </c>
      <c r="Y2027" t="s">
        <v>21912</v>
      </c>
      <c r="Z2027" t="s">
        <v>28442</v>
      </c>
      <c r="AA2027">
        <v>0.40204076295033953</v>
      </c>
      <c r="AB2027" t="str">
        <f>HYPERLINK("Melting_Curves/meltCurve_P10746_UROS.pdf", "Melting_Curves/meltCurve_P10746_UROS.pdf")</f>
        <v>Melting_Curves/meltCurve_P10746_UROS.pdf</v>
      </c>
    </row>
    <row r="2028" spans="1:28" x14ac:dyDescent="0.25">
      <c r="A2028" t="s">
        <v>2032</v>
      </c>
      <c r="B2028">
        <v>0.99193492352474899</v>
      </c>
      <c r="C2028">
        <v>0.83844904460488501</v>
      </c>
      <c r="D2028">
        <v>1.0509831744110401</v>
      </c>
      <c r="E2028">
        <v>0.85009735865399905</v>
      </c>
      <c r="F2028">
        <v>0.81078881810765102</v>
      </c>
      <c r="G2028">
        <v>0.56170476902487398</v>
      </c>
      <c r="H2028">
        <v>0.50350944954396004</v>
      </c>
      <c r="I2028">
        <v>0.44070339186000101</v>
      </c>
      <c r="J2028">
        <v>0.536965909321375</v>
      </c>
      <c r="K2028">
        <v>0.48985779691689901</v>
      </c>
      <c r="L2028">
        <v>1123.3552012284899</v>
      </c>
      <c r="M2028">
        <v>21.005189551672299</v>
      </c>
      <c r="N2028">
        <v>62.383814220111901</v>
      </c>
      <c r="O2028">
        <v>53.0022487128522</v>
      </c>
      <c r="P2028">
        <v>-5.2011066226535299E-2</v>
      </c>
      <c r="Q2028">
        <v>0.47505740875748997</v>
      </c>
      <c r="R2028">
        <v>0.90326633143849699</v>
      </c>
      <c r="S2028" t="s">
        <v>8698</v>
      </c>
      <c r="T2028" t="s">
        <v>13338</v>
      </c>
      <c r="U2028" t="s">
        <v>13338</v>
      </c>
      <c r="V2028" t="s">
        <v>13338</v>
      </c>
      <c r="W2028" t="s">
        <v>15330</v>
      </c>
      <c r="X2028">
        <v>7</v>
      </c>
      <c r="Y2028" t="s">
        <v>21913</v>
      </c>
      <c r="Z2028" t="s">
        <v>28443</v>
      </c>
      <c r="AA2028">
        <v>0.71754456346327899</v>
      </c>
      <c r="AB2028" t="str">
        <f>HYPERLINK("Melting_Curves/meltCurve_P10747_CD28.pdf", "Melting_Curves/meltCurve_P10747_CD28.pdf")</f>
        <v>Melting_Curves/meltCurve_P10747_CD28.pdf</v>
      </c>
    </row>
    <row r="2029" spans="1:28" x14ac:dyDescent="0.25">
      <c r="A2029" t="s">
        <v>2033</v>
      </c>
      <c r="B2029">
        <v>0.99193492352474899</v>
      </c>
      <c r="C2029">
        <v>0.939445486731327</v>
      </c>
      <c r="D2029">
        <v>0.92251466006847804</v>
      </c>
      <c r="E2029">
        <v>0.79392792635786702</v>
      </c>
      <c r="F2029">
        <v>0.62697495837711104</v>
      </c>
      <c r="G2029">
        <v>0.30976358208071297</v>
      </c>
      <c r="H2029">
        <v>7.9564767620438695E-2</v>
      </c>
      <c r="I2029">
        <v>7.8366038320867706E-2</v>
      </c>
      <c r="J2029">
        <v>8.0298705705365403E-2</v>
      </c>
      <c r="K2029">
        <v>8.63925925046619E-2</v>
      </c>
      <c r="L2029">
        <v>957.44307414903301</v>
      </c>
      <c r="M2029">
        <v>17.769141140360802</v>
      </c>
      <c r="N2029">
        <v>54.095959625785603</v>
      </c>
      <c r="O2029">
        <v>53.213806537130502</v>
      </c>
      <c r="P2029">
        <v>-8.0655852133460507E-2</v>
      </c>
      <c r="Q2029">
        <v>3.3879629055247301E-2</v>
      </c>
      <c r="R2029">
        <v>0.99018110303897799</v>
      </c>
      <c r="S2029" t="s">
        <v>8699</v>
      </c>
      <c r="T2029" t="s">
        <v>13338</v>
      </c>
      <c r="U2029" t="s">
        <v>13338</v>
      </c>
      <c r="V2029" t="s">
        <v>13338</v>
      </c>
      <c r="W2029" t="s">
        <v>15331</v>
      </c>
      <c r="X2029">
        <v>12</v>
      </c>
      <c r="Y2029" t="s">
        <v>21914</v>
      </c>
      <c r="Z2029" t="s">
        <v>28444</v>
      </c>
      <c r="AA2029">
        <v>0.4967555152096555</v>
      </c>
      <c r="AB2029" t="str">
        <f>HYPERLINK("Melting_Curves/meltCurve_P10768_ESD.pdf", "Melting_Curves/meltCurve_P10768_ESD.pdf")</f>
        <v>Melting_Curves/meltCurve_P10768_ESD.pdf</v>
      </c>
    </row>
    <row r="2030" spans="1:28" x14ac:dyDescent="0.25">
      <c r="A2030" t="s">
        <v>2034</v>
      </c>
      <c r="B2030">
        <v>0.99193492352474899</v>
      </c>
      <c r="C2030">
        <v>0.94565971823400796</v>
      </c>
      <c r="D2030">
        <v>0.88794389988592604</v>
      </c>
      <c r="E2030">
        <v>0.82032941437779205</v>
      </c>
      <c r="F2030">
        <v>0.72891383399349996</v>
      </c>
      <c r="G2030">
        <v>0.40375618227000398</v>
      </c>
      <c r="H2030">
        <v>8.1990827424751694E-2</v>
      </c>
      <c r="I2030">
        <v>6.7461824840549495E-2</v>
      </c>
      <c r="J2030">
        <v>6.8501920593165802E-2</v>
      </c>
      <c r="K2030">
        <v>7.5828507331523701E-2</v>
      </c>
      <c r="L2030">
        <v>998.37821304654403</v>
      </c>
      <c r="M2030">
        <v>18.098627933439801</v>
      </c>
      <c r="N2030">
        <v>55.231335846975597</v>
      </c>
      <c r="O2030">
        <v>54.5029710960739</v>
      </c>
      <c r="P2030">
        <v>-8.2104135920314306E-2</v>
      </c>
      <c r="Q2030">
        <v>1.10403451956952E-2</v>
      </c>
      <c r="R2030">
        <v>0.98075054754212998</v>
      </c>
      <c r="S2030" t="s">
        <v>8700</v>
      </c>
      <c r="T2030" t="s">
        <v>13338</v>
      </c>
      <c r="U2030" t="s">
        <v>13338</v>
      </c>
      <c r="V2030" t="s">
        <v>13338</v>
      </c>
      <c r="W2030" t="s">
        <v>15332</v>
      </c>
      <c r="X2030">
        <v>54</v>
      </c>
      <c r="Y2030" t="s">
        <v>21915</v>
      </c>
      <c r="Z2030" t="s">
        <v>28445</v>
      </c>
      <c r="AA2030">
        <v>0.52598582297256546</v>
      </c>
      <c r="AB2030" t="str">
        <f>HYPERLINK("Melting_Curves/meltCurve_P10809_HSPD1.pdf", "Melting_Curves/meltCurve_P10809_HSPD1.pdf")</f>
        <v>Melting_Curves/meltCurve_P10809_HSPD1.pdf</v>
      </c>
    </row>
    <row r="2031" spans="1:28" x14ac:dyDescent="0.25">
      <c r="A2031" t="s">
        <v>2035</v>
      </c>
      <c r="B2031">
        <v>0.99193492352474899</v>
      </c>
      <c r="C2031">
        <v>0.94385396889724504</v>
      </c>
      <c r="D2031">
        <v>0.87190318788459698</v>
      </c>
      <c r="E2031">
        <v>0.75048066999200402</v>
      </c>
      <c r="F2031">
        <v>0.54615429996512499</v>
      </c>
      <c r="G2031">
        <v>0.41335178196949801</v>
      </c>
      <c r="H2031">
        <v>0.203848694550649</v>
      </c>
      <c r="I2031">
        <v>0.11626253902243899</v>
      </c>
      <c r="J2031">
        <v>0.120661427381963</v>
      </c>
      <c r="K2031">
        <v>0.111584659757508</v>
      </c>
      <c r="L2031">
        <v>632.13453348431506</v>
      </c>
      <c r="M2031">
        <v>11.707062314544601</v>
      </c>
      <c r="N2031">
        <v>54.200387887582004</v>
      </c>
      <c r="O2031">
        <v>52.492712041076302</v>
      </c>
      <c r="P2031">
        <v>-5.4566171209374202E-2</v>
      </c>
      <c r="Q2031">
        <v>2.1593426000546399E-2</v>
      </c>
      <c r="R2031">
        <v>0.99556823790425497</v>
      </c>
      <c r="S2031" t="s">
        <v>8701</v>
      </c>
      <c r="T2031" t="s">
        <v>13338</v>
      </c>
      <c r="U2031" t="s">
        <v>13338</v>
      </c>
      <c r="V2031" t="s">
        <v>13338</v>
      </c>
      <c r="W2031" t="s">
        <v>15333</v>
      </c>
      <c r="X2031">
        <v>48</v>
      </c>
      <c r="Y2031" t="s">
        <v>21916</v>
      </c>
      <c r="Z2031" t="s">
        <v>28446</v>
      </c>
      <c r="AA2031">
        <v>0.5041955014879389</v>
      </c>
      <c r="AB2031" t="str">
        <f>HYPERLINK("Melting_Curves/meltCurve_P11021_HSPA5.pdf", "Melting_Curves/meltCurve_P11021_HSPA5.pdf")</f>
        <v>Melting_Curves/meltCurve_P11021_HSPA5.pdf</v>
      </c>
    </row>
    <row r="2032" spans="1:28" x14ac:dyDescent="0.25">
      <c r="A2032" t="s">
        <v>2036</v>
      </c>
      <c r="B2032">
        <v>0.99193492352474899</v>
      </c>
      <c r="C2032">
        <v>0.89853852515780197</v>
      </c>
      <c r="D2032">
        <v>0.87482365535612205</v>
      </c>
      <c r="E2032">
        <v>0.63252694726825498</v>
      </c>
      <c r="F2032">
        <v>0.60727544370187203</v>
      </c>
      <c r="G2032">
        <v>0.52252596752619396</v>
      </c>
      <c r="H2032">
        <v>0.22032422276484601</v>
      </c>
      <c r="I2032">
        <v>0.108374683340313</v>
      </c>
      <c r="J2032">
        <v>0.10628777485943</v>
      </c>
      <c r="K2032">
        <v>0.102767406971091</v>
      </c>
      <c r="L2032">
        <v>544.96627754282599</v>
      </c>
      <c r="M2032">
        <v>10.002956346057401</v>
      </c>
      <c r="N2032">
        <v>54.480521349817202</v>
      </c>
      <c r="O2032">
        <v>52.4374028323193</v>
      </c>
      <c r="P2032">
        <v>-4.7713157082723397E-2</v>
      </c>
      <c r="Q2032">
        <v>0</v>
      </c>
      <c r="R2032">
        <v>0.967172018111214</v>
      </c>
      <c r="S2032" t="s">
        <v>8702</v>
      </c>
      <c r="T2032" t="s">
        <v>13338</v>
      </c>
      <c r="U2032" t="s">
        <v>13338</v>
      </c>
      <c r="V2032" t="s">
        <v>13338</v>
      </c>
      <c r="W2032" t="s">
        <v>15334</v>
      </c>
      <c r="X2032">
        <v>72</v>
      </c>
      <c r="Y2032" t="s">
        <v>21917</v>
      </c>
      <c r="Z2032" t="s">
        <v>28447</v>
      </c>
      <c r="AA2032">
        <v>0.51085357134749754</v>
      </c>
      <c r="AB2032" t="str">
        <f>HYPERLINK("Melting_Curves/meltCurve_P11142_HSPA8.pdf", "Melting_Curves/meltCurve_P11142_HSPA8.pdf")</f>
        <v>Melting_Curves/meltCurve_P11142_HSPA8.pdf</v>
      </c>
    </row>
    <row r="2033" spans="1:28" x14ac:dyDescent="0.25">
      <c r="A2033" t="s">
        <v>2037</v>
      </c>
      <c r="B2033">
        <v>0.99193492352474899</v>
      </c>
      <c r="C2033">
        <v>1.1117812990170599</v>
      </c>
      <c r="D2033">
        <v>1.0485617496350601</v>
      </c>
      <c r="E2033">
        <v>0.93697596078432699</v>
      </c>
      <c r="F2033">
        <v>0.82110399019751301</v>
      </c>
      <c r="G2033">
        <v>0.70478025464721705</v>
      </c>
      <c r="H2033">
        <v>0.53942989257198903</v>
      </c>
      <c r="I2033">
        <v>0.68440360525744104</v>
      </c>
      <c r="J2033">
        <v>0.62643311356824505</v>
      </c>
      <c r="K2033">
        <v>0.89344729726536498</v>
      </c>
      <c r="L2033">
        <v>1876.91501308795</v>
      </c>
      <c r="M2033">
        <v>35.769672696821402</v>
      </c>
      <c r="O2033">
        <v>52.309026787893202</v>
      </c>
      <c r="P2033">
        <v>-5.35381848019486E-2</v>
      </c>
      <c r="Q2033">
        <v>0.68682715355419</v>
      </c>
      <c r="R2033">
        <v>0.74370641426265904</v>
      </c>
      <c r="S2033" t="s">
        <v>8703</v>
      </c>
      <c r="T2033" t="s">
        <v>13338</v>
      </c>
      <c r="U2033" t="s">
        <v>13338</v>
      </c>
      <c r="V2033" t="s">
        <v>13338</v>
      </c>
      <c r="W2033" t="s">
        <v>15335</v>
      </c>
      <c r="X2033">
        <v>6</v>
      </c>
      <c r="Y2033" t="s">
        <v>21918</v>
      </c>
      <c r="Z2033" t="s">
        <v>28448</v>
      </c>
      <c r="AA2033">
        <v>0.81844645912154279</v>
      </c>
      <c r="AB2033" t="str">
        <f>HYPERLINK("Melting_Curves/meltCurve_P11166_SLC2A1.pdf", "Melting_Curves/meltCurve_P11166_SLC2A1.pdf")</f>
        <v>Melting_Curves/meltCurve_P11166_SLC2A1.pdf</v>
      </c>
    </row>
    <row r="2034" spans="1:28" x14ac:dyDescent="0.25">
      <c r="A2034" t="s">
        <v>2038</v>
      </c>
      <c r="B2034">
        <v>0.99193492352474899</v>
      </c>
      <c r="C2034">
        <v>1.2526632154589701</v>
      </c>
      <c r="D2034">
        <v>1.06240606185636</v>
      </c>
      <c r="E2034">
        <v>1.2408044373234299</v>
      </c>
      <c r="F2034">
        <v>1.0202545278402999</v>
      </c>
      <c r="G2034">
        <v>1.0369978659825401</v>
      </c>
      <c r="H2034">
        <v>0.84615746177946805</v>
      </c>
      <c r="I2034">
        <v>1.0073280985579101</v>
      </c>
      <c r="J2034">
        <v>0.97909992879072605</v>
      </c>
      <c r="K2034">
        <v>1.13414039767606</v>
      </c>
      <c r="L2034">
        <v>15000</v>
      </c>
      <c r="M2034">
        <v>213.28231379650899</v>
      </c>
      <c r="Q2034">
        <v>1.5</v>
      </c>
      <c r="R2034">
        <v>-0.107290312636605</v>
      </c>
      <c r="S2034" t="s">
        <v>8704</v>
      </c>
      <c r="T2034" t="s">
        <v>13338</v>
      </c>
      <c r="U2034" t="s">
        <v>13338</v>
      </c>
      <c r="V2034" t="s">
        <v>13338</v>
      </c>
      <c r="W2034" t="s">
        <v>15336</v>
      </c>
      <c r="X2034">
        <v>5</v>
      </c>
      <c r="Y2034" t="s">
        <v>21919</v>
      </c>
      <c r="Z2034" t="s">
        <v>28449</v>
      </c>
      <c r="AA2034">
        <v>1.0016836539792771</v>
      </c>
      <c r="AB2034" t="str">
        <f>HYPERLINK("Melting_Curves/meltCurve_P11169_SLC2A3.pdf", "Melting_Curves/meltCurve_P11169_SLC2A3.pdf")</f>
        <v>Melting_Curves/meltCurve_P11169_SLC2A3.pdf</v>
      </c>
    </row>
    <row r="2035" spans="1:28" x14ac:dyDescent="0.25">
      <c r="A2035" t="s">
        <v>2039</v>
      </c>
      <c r="B2035">
        <v>0.99193492352474899</v>
      </c>
      <c r="C2035">
        <v>0.950542767142182</v>
      </c>
      <c r="D2035">
        <v>0.92182266839726601</v>
      </c>
      <c r="E2035">
        <v>0.75803254454059399</v>
      </c>
      <c r="F2035">
        <v>0.28768314309763199</v>
      </c>
      <c r="G2035">
        <v>0.16583664649306901</v>
      </c>
      <c r="H2035">
        <v>0.110498583674004</v>
      </c>
      <c r="I2035">
        <v>0.11827821388547401</v>
      </c>
      <c r="J2035">
        <v>0.109464690748192</v>
      </c>
      <c r="K2035">
        <v>0.14446484397559201</v>
      </c>
      <c r="L2035">
        <v>1605.6931695703599</v>
      </c>
      <c r="M2035">
        <v>31.510309422263099</v>
      </c>
      <c r="N2035">
        <v>51.404253284509103</v>
      </c>
      <c r="O2035">
        <v>50.7537903166901</v>
      </c>
      <c r="P2035">
        <v>-0.136629425893045</v>
      </c>
      <c r="Q2035">
        <v>0.119726350155231</v>
      </c>
      <c r="R2035">
        <v>0.99537135588511705</v>
      </c>
      <c r="S2035" t="s">
        <v>8705</v>
      </c>
      <c r="T2035" t="s">
        <v>13338</v>
      </c>
      <c r="U2035" t="s">
        <v>13338</v>
      </c>
      <c r="V2035" t="s">
        <v>13338</v>
      </c>
      <c r="W2035" t="s">
        <v>15337</v>
      </c>
      <c r="X2035">
        <v>24</v>
      </c>
      <c r="Y2035" t="s">
        <v>21920</v>
      </c>
      <c r="Z2035" t="s">
        <v>28450</v>
      </c>
      <c r="AA2035">
        <v>0.44626424344220628</v>
      </c>
      <c r="AB2035" t="str">
        <f>HYPERLINK("Melting_Curves/meltCurve_P11171_2_EPB41.pdf", "Melting_Curves/meltCurve_P11171_2_EPB41.pdf")</f>
        <v>Melting_Curves/meltCurve_P11171_2_EPB41.pdf</v>
      </c>
    </row>
    <row r="2036" spans="1:28" x14ac:dyDescent="0.25">
      <c r="A2036" t="s">
        <v>2040</v>
      </c>
      <c r="B2036">
        <v>0.99193492352474899</v>
      </c>
      <c r="C2036">
        <v>0.80122971330473403</v>
      </c>
      <c r="D2036">
        <v>0.929623032048561</v>
      </c>
      <c r="E2036">
        <v>0.68217105763608199</v>
      </c>
      <c r="F2036">
        <v>0.47132337403298502</v>
      </c>
      <c r="G2036">
        <v>0.15146698706775</v>
      </c>
      <c r="H2036">
        <v>6.2904775680245703E-2</v>
      </c>
      <c r="I2036">
        <v>4.9997006748600803E-2</v>
      </c>
      <c r="J2036">
        <v>5.9840733099199898E-2</v>
      </c>
      <c r="K2036">
        <v>6.2881559805654796E-2</v>
      </c>
      <c r="L2036">
        <v>848.31848148396</v>
      </c>
      <c r="M2036">
        <v>16.3338029819101</v>
      </c>
      <c r="N2036">
        <v>52.029962503423697</v>
      </c>
      <c r="O2036">
        <v>51.1766112586293</v>
      </c>
      <c r="P2036">
        <v>-7.8641925418289405E-2</v>
      </c>
      <c r="Q2036">
        <v>1.44766246583327E-2</v>
      </c>
      <c r="R2036">
        <v>0.97183415153881803</v>
      </c>
      <c r="S2036" t="s">
        <v>8706</v>
      </c>
      <c r="T2036" t="s">
        <v>13338</v>
      </c>
      <c r="U2036" t="s">
        <v>13338</v>
      </c>
      <c r="V2036" t="s">
        <v>13338</v>
      </c>
      <c r="W2036" t="s">
        <v>15338</v>
      </c>
      <c r="X2036">
        <v>24</v>
      </c>
      <c r="Y2036" t="s">
        <v>21920</v>
      </c>
      <c r="Z2036" t="s">
        <v>28451</v>
      </c>
      <c r="AA2036">
        <v>0.42589704981719012</v>
      </c>
      <c r="AB2036" t="str">
        <f>HYPERLINK("Melting_Curves/meltCurve_P11171_4_EPB41.pdf", "Melting_Curves/meltCurve_P11171_4_EPB41.pdf")</f>
        <v>Melting_Curves/meltCurve_P11171_4_EPB41.pdf</v>
      </c>
    </row>
    <row r="2037" spans="1:28" x14ac:dyDescent="0.25">
      <c r="A2037" t="s">
        <v>2041</v>
      </c>
      <c r="B2037">
        <v>0.99193492352474899</v>
      </c>
      <c r="C2037">
        <v>0.86532794663514601</v>
      </c>
      <c r="D2037">
        <v>0.87274803125134703</v>
      </c>
      <c r="E2037">
        <v>0.71661399879632304</v>
      </c>
      <c r="F2037">
        <v>0.539054190746591</v>
      </c>
      <c r="G2037">
        <v>0.29648973149712499</v>
      </c>
      <c r="H2037">
        <v>9.7437811605358998E-2</v>
      </c>
      <c r="I2037">
        <v>9.0299468370867997E-2</v>
      </c>
      <c r="J2037">
        <v>8.7218726607623406E-2</v>
      </c>
      <c r="K2037">
        <v>8.4763621404261094E-2</v>
      </c>
      <c r="L2037">
        <v>681.86598007977898</v>
      </c>
      <c r="M2037">
        <v>12.8642804652905</v>
      </c>
      <c r="N2037">
        <v>53.056581835838003</v>
      </c>
      <c r="O2037">
        <v>51.772766547373202</v>
      </c>
      <c r="P2037">
        <v>-6.1741334376185002E-2</v>
      </c>
      <c r="Q2037">
        <v>6.2618584374965697E-3</v>
      </c>
      <c r="R2037">
        <v>0.98657958697141201</v>
      </c>
      <c r="S2037" t="s">
        <v>8707</v>
      </c>
      <c r="T2037" t="s">
        <v>13338</v>
      </c>
      <c r="U2037" t="s">
        <v>13338</v>
      </c>
      <c r="V2037" t="s">
        <v>13338</v>
      </c>
      <c r="W2037" t="s">
        <v>15339</v>
      </c>
      <c r="X2037">
        <v>29</v>
      </c>
      <c r="Y2037" t="s">
        <v>21921</v>
      </c>
      <c r="Z2037" t="s">
        <v>28452</v>
      </c>
      <c r="AA2037">
        <v>0.46312644833198779</v>
      </c>
      <c r="AB2037" t="str">
        <f>HYPERLINK("Melting_Curves/meltCurve_P11172_UMPS.pdf", "Melting_Curves/meltCurve_P11172_UMPS.pdf")</f>
        <v>Melting_Curves/meltCurve_P11172_UMPS.pdf</v>
      </c>
    </row>
    <row r="2038" spans="1:28" x14ac:dyDescent="0.25">
      <c r="A2038" t="s">
        <v>2042</v>
      </c>
      <c r="B2038">
        <v>0.99193492352474899</v>
      </c>
      <c r="C2038">
        <v>0.93408663419114302</v>
      </c>
      <c r="D2038">
        <v>0.80663069507815799</v>
      </c>
      <c r="E2038">
        <v>0.32172390350283597</v>
      </c>
      <c r="F2038">
        <v>0.17238526083342601</v>
      </c>
      <c r="G2038">
        <v>9.6187356991567496E-2</v>
      </c>
      <c r="H2038">
        <v>5.8027991391773302E-2</v>
      </c>
      <c r="I2038">
        <v>5.3122819096392097E-2</v>
      </c>
      <c r="J2038">
        <v>5.7868032872310501E-2</v>
      </c>
      <c r="K2038">
        <v>4.78789359545818E-2</v>
      </c>
      <c r="L2038">
        <v>1250.5674398313799</v>
      </c>
      <c r="M2038">
        <v>26.007875041484599</v>
      </c>
      <c r="N2038">
        <v>48.329482351994002</v>
      </c>
      <c r="O2038">
        <v>47.802614308780598</v>
      </c>
      <c r="P2038">
        <v>-0.12760838407113101</v>
      </c>
      <c r="Q2038">
        <v>6.1831374066048897E-2</v>
      </c>
      <c r="R2038">
        <v>0.99661618147058195</v>
      </c>
      <c r="S2038" t="s">
        <v>8708</v>
      </c>
      <c r="T2038" t="s">
        <v>13338</v>
      </c>
      <c r="U2038" t="s">
        <v>13338</v>
      </c>
      <c r="V2038" t="s">
        <v>13338</v>
      </c>
      <c r="W2038" t="s">
        <v>15340</v>
      </c>
      <c r="X2038">
        <v>11</v>
      </c>
      <c r="Y2038" t="s">
        <v>21922</v>
      </c>
      <c r="Z2038" t="s">
        <v>28453</v>
      </c>
      <c r="AA2038">
        <v>0.32226823940545007</v>
      </c>
      <c r="AB2038" t="str">
        <f>HYPERLINK("Melting_Curves/meltCurve_P11177_2_PDHB.pdf", "Melting_Curves/meltCurve_P11177_2_PDHB.pdf")</f>
        <v>Melting_Curves/meltCurve_P11177_2_PDHB.pdf</v>
      </c>
    </row>
    <row r="2039" spans="1:28" x14ac:dyDescent="0.25">
      <c r="A2039" t="s">
        <v>2043</v>
      </c>
      <c r="B2039">
        <v>0.99193492352474899</v>
      </c>
      <c r="C2039">
        <v>0.84448250330161301</v>
      </c>
      <c r="D2039">
        <v>0.62130592964785403</v>
      </c>
      <c r="E2039">
        <v>0.72247936702129301</v>
      </c>
      <c r="F2039">
        <v>0.58093187023750603</v>
      </c>
      <c r="G2039">
        <v>0.22258536050622299</v>
      </c>
      <c r="H2039">
        <v>9.8028124981004897E-2</v>
      </c>
      <c r="I2039">
        <v>0.11467013683416399</v>
      </c>
      <c r="J2039">
        <v>0.14216425874344599</v>
      </c>
      <c r="K2039">
        <v>8.9249629702519206E-2</v>
      </c>
      <c r="L2039">
        <v>501.81160764673302</v>
      </c>
      <c r="M2039">
        <v>9.66043466026305</v>
      </c>
      <c r="N2039">
        <v>51.945027363514903</v>
      </c>
      <c r="O2039">
        <v>49.865609544799497</v>
      </c>
      <c r="P2039">
        <v>-4.8459227506743197E-2</v>
      </c>
      <c r="Q2039">
        <v>0</v>
      </c>
      <c r="R2039">
        <v>0.92805687235501899</v>
      </c>
      <c r="S2039" t="s">
        <v>8709</v>
      </c>
      <c r="T2039" t="s">
        <v>13338</v>
      </c>
      <c r="U2039" t="s">
        <v>13338</v>
      </c>
      <c r="V2039" t="s">
        <v>13338</v>
      </c>
      <c r="W2039" t="s">
        <v>15341</v>
      </c>
      <c r="X2039">
        <v>5</v>
      </c>
      <c r="Y2039" t="s">
        <v>21923</v>
      </c>
      <c r="Z2039" t="s">
        <v>28454</v>
      </c>
      <c r="AA2039">
        <v>0.4377778946218841</v>
      </c>
      <c r="AB2039" t="str">
        <f>HYPERLINK("Melting_Curves/meltCurve_P11182_DBT.pdf", "Melting_Curves/meltCurve_P11182_DBT.pdf")</f>
        <v>Melting_Curves/meltCurve_P11182_DBT.pdf</v>
      </c>
    </row>
    <row r="2040" spans="1:28" x14ac:dyDescent="0.25">
      <c r="A2040" t="s">
        <v>2044</v>
      </c>
      <c r="B2040">
        <v>0.99193492352474899</v>
      </c>
      <c r="C2040">
        <v>0.87947463218105704</v>
      </c>
      <c r="D2040">
        <v>0.85173242382684999</v>
      </c>
      <c r="E2040">
        <v>0.68998200286535905</v>
      </c>
      <c r="F2040">
        <v>0.67789437143132703</v>
      </c>
      <c r="G2040">
        <v>0.22218250022401501</v>
      </c>
      <c r="H2040">
        <v>0.104468313468231</v>
      </c>
      <c r="I2040">
        <v>0.100738777367628</v>
      </c>
      <c r="J2040">
        <v>0.100844727435892</v>
      </c>
      <c r="K2040">
        <v>0.113580099831675</v>
      </c>
      <c r="L2040">
        <v>705.97293054557997</v>
      </c>
      <c r="M2040">
        <v>13.270873075107</v>
      </c>
      <c r="N2040">
        <v>53.363285836520298</v>
      </c>
      <c r="O2040">
        <v>52.032773581903903</v>
      </c>
      <c r="P2040">
        <v>-6.2482160855041997E-2</v>
      </c>
      <c r="Q2040">
        <v>2.02332138378086E-2</v>
      </c>
      <c r="R2040">
        <v>0.95638061783818396</v>
      </c>
      <c r="S2040" t="s">
        <v>8710</v>
      </c>
      <c r="T2040" t="s">
        <v>13338</v>
      </c>
      <c r="U2040" t="s">
        <v>13338</v>
      </c>
      <c r="V2040" t="s">
        <v>13338</v>
      </c>
      <c r="W2040" t="s">
        <v>15342</v>
      </c>
      <c r="X2040">
        <v>30</v>
      </c>
      <c r="Y2040" t="s">
        <v>21924</v>
      </c>
      <c r="Z2040" t="s">
        <v>28455</v>
      </c>
      <c r="AA2040">
        <v>0.47570985621227818</v>
      </c>
      <c r="AB2040" t="str">
        <f>HYPERLINK("Melting_Curves/meltCurve_P11216_PYGB.pdf", "Melting_Curves/meltCurve_P11216_PYGB.pdf")</f>
        <v>Melting_Curves/meltCurve_P11216_PYGB.pdf</v>
      </c>
    </row>
    <row r="2041" spans="1:28" x14ac:dyDescent="0.25">
      <c r="A2041" t="s">
        <v>2045</v>
      </c>
      <c r="B2041">
        <v>0.99193492352474899</v>
      </c>
      <c r="C2041">
        <v>1.1001790565029601</v>
      </c>
      <c r="D2041">
        <v>1.0333828950245401</v>
      </c>
      <c r="E2041">
        <v>0.98887253514282303</v>
      </c>
      <c r="F2041">
        <v>0.79678050064079098</v>
      </c>
      <c r="G2041">
        <v>0.67919545399372805</v>
      </c>
      <c r="H2041">
        <v>0.65229314345520295</v>
      </c>
      <c r="I2041">
        <v>0.80729601654768501</v>
      </c>
      <c r="J2041">
        <v>0.57202865322037399</v>
      </c>
      <c r="K2041">
        <v>0.340727619706306</v>
      </c>
      <c r="L2041">
        <v>475.05276175552802</v>
      </c>
      <c r="M2041">
        <v>6.9724530411880297</v>
      </c>
      <c r="N2041">
        <v>68.132801888506407</v>
      </c>
      <c r="O2041">
        <v>63.191666612640901</v>
      </c>
      <c r="P2041">
        <v>-2.76364286774861E-2</v>
      </c>
      <c r="Q2041">
        <v>0</v>
      </c>
      <c r="R2041">
        <v>0.81003565463999505</v>
      </c>
      <c r="S2041" t="s">
        <v>8711</v>
      </c>
      <c r="T2041" t="s">
        <v>13338</v>
      </c>
      <c r="U2041" t="s">
        <v>13338</v>
      </c>
      <c r="V2041" t="s">
        <v>13338</v>
      </c>
      <c r="W2041" t="s">
        <v>15343</v>
      </c>
      <c r="X2041">
        <v>10</v>
      </c>
      <c r="Y2041" t="s">
        <v>21925</v>
      </c>
      <c r="Z2041" t="s">
        <v>28456</v>
      </c>
      <c r="AA2041">
        <v>0.79593945105529673</v>
      </c>
      <c r="AB2041" t="str">
        <f>HYPERLINK("Melting_Curves/meltCurve_P11233_RALA.pdf", "Melting_Curves/meltCurve_P11233_RALA.pdf")</f>
        <v>Melting_Curves/meltCurve_P11233_RALA.pdf</v>
      </c>
    </row>
    <row r="2042" spans="1:28" x14ac:dyDescent="0.25">
      <c r="A2042" t="s">
        <v>2046</v>
      </c>
      <c r="B2042">
        <v>0.99193492352474899</v>
      </c>
      <c r="C2042">
        <v>3.0727002693933598</v>
      </c>
      <c r="D2042">
        <v>1.0309279007110499</v>
      </c>
      <c r="E2042">
        <v>1.72546963429613</v>
      </c>
      <c r="F2042">
        <v>0.73021179980692597</v>
      </c>
      <c r="G2042">
        <v>0.71061531684958101</v>
      </c>
      <c r="H2042">
        <v>0.49278203710072199</v>
      </c>
      <c r="I2042">
        <v>0.57807978456820797</v>
      </c>
      <c r="J2042">
        <v>0.37656453130332002</v>
      </c>
      <c r="K2042">
        <v>0.28620888392177801</v>
      </c>
      <c r="L2042">
        <v>1524.0944061846999</v>
      </c>
      <c r="M2042">
        <v>26.781460242889501</v>
      </c>
      <c r="N2042">
        <v>60.442540657363502</v>
      </c>
      <c r="O2042">
        <v>56.594109064499001</v>
      </c>
      <c r="P2042">
        <v>-7.1510558189653406E-2</v>
      </c>
      <c r="Q2042">
        <v>0.39554678806238203</v>
      </c>
      <c r="R2042">
        <v>0.22174198418916599</v>
      </c>
      <c r="S2042" t="s">
        <v>8712</v>
      </c>
      <c r="T2042" t="s">
        <v>13338</v>
      </c>
      <c r="U2042" t="s">
        <v>13338</v>
      </c>
      <c r="V2042" t="s">
        <v>13338</v>
      </c>
      <c r="W2042" t="s">
        <v>15344</v>
      </c>
      <c r="X2042">
        <v>5</v>
      </c>
      <c r="Y2042" t="s">
        <v>21926</v>
      </c>
      <c r="Z2042" t="s">
        <v>28457</v>
      </c>
      <c r="AA2042">
        <v>0.74111589860194305</v>
      </c>
      <c r="AB2042" t="str">
        <f>HYPERLINK("Melting_Curves/meltCurve_P11234_RALB.pdf", "Melting_Curves/meltCurve_P11234_RALB.pdf")</f>
        <v>Melting_Curves/meltCurve_P11234_RALB.pdf</v>
      </c>
    </row>
    <row r="2043" spans="1:28" x14ac:dyDescent="0.25">
      <c r="A2043" t="s">
        <v>2047</v>
      </c>
      <c r="B2043">
        <v>0.99193492352474899</v>
      </c>
      <c r="C2043">
        <v>0.96832490610019595</v>
      </c>
      <c r="D2043">
        <v>0.59429760161059897</v>
      </c>
      <c r="E2043">
        <v>0.32279564993222698</v>
      </c>
      <c r="F2043">
        <v>0.23189874166247501</v>
      </c>
      <c r="G2043">
        <v>0.13964483393563401</v>
      </c>
      <c r="H2043">
        <v>9.9934455593247803E-2</v>
      </c>
      <c r="I2043">
        <v>0.12595391933782099</v>
      </c>
      <c r="J2043">
        <v>0.11543245108180999</v>
      </c>
      <c r="K2043">
        <v>0.159327247357478</v>
      </c>
      <c r="L2043">
        <v>1106.0944998764501</v>
      </c>
      <c r="M2043">
        <v>23.699600160701898</v>
      </c>
      <c r="N2043">
        <v>47.297601502171503</v>
      </c>
      <c r="O2043">
        <v>46.342962862232298</v>
      </c>
      <c r="P2043">
        <v>-0.110635612060608</v>
      </c>
      <c r="Q2043">
        <v>0.134652697367074</v>
      </c>
      <c r="R2043">
        <v>0.98915745235422603</v>
      </c>
      <c r="S2043" t="s">
        <v>8713</v>
      </c>
      <c r="T2043" t="s">
        <v>13338</v>
      </c>
      <c r="U2043" t="s">
        <v>13338</v>
      </c>
      <c r="V2043" t="s">
        <v>13338</v>
      </c>
      <c r="W2043" t="s">
        <v>15345</v>
      </c>
      <c r="X2043">
        <v>10</v>
      </c>
      <c r="Y2043" t="s">
        <v>21927</v>
      </c>
      <c r="Z2043" t="s">
        <v>28458</v>
      </c>
      <c r="AA2043">
        <v>0.33586756608593232</v>
      </c>
      <c r="AB2043" t="str">
        <f>HYPERLINK("Melting_Curves/meltCurve_P11274_BCR.pdf", "Melting_Curves/meltCurve_P11274_BCR.pdf")</f>
        <v>Melting_Curves/meltCurve_P11274_BCR.pdf</v>
      </c>
    </row>
    <row r="2044" spans="1:28" x14ac:dyDescent="0.25">
      <c r="A2044" t="s">
        <v>2048</v>
      </c>
      <c r="B2044">
        <v>0.99193492352474899</v>
      </c>
      <c r="C2044">
        <v>1.00978424112075</v>
      </c>
      <c r="D2044">
        <v>0.90224134603039197</v>
      </c>
      <c r="E2044">
        <v>0.74990925849317802</v>
      </c>
      <c r="F2044">
        <v>0.69535595639919201</v>
      </c>
      <c r="G2044">
        <v>0.59385995810354397</v>
      </c>
      <c r="H2044">
        <v>0.474662184528507</v>
      </c>
      <c r="I2044">
        <v>0.70458303383390797</v>
      </c>
      <c r="J2044">
        <v>0.80621661257778399</v>
      </c>
      <c r="K2044">
        <v>0.87172781520963605</v>
      </c>
      <c r="L2044">
        <v>1653.67637564283</v>
      </c>
      <c r="M2044">
        <v>35.057376073807099</v>
      </c>
      <c r="O2044">
        <v>47.017851206078298</v>
      </c>
      <c r="P2044">
        <v>-5.75334364023775E-2</v>
      </c>
      <c r="Q2044">
        <v>0.69135278364807895</v>
      </c>
      <c r="R2044">
        <v>0.60825646685785895</v>
      </c>
      <c r="S2044" t="s">
        <v>8714</v>
      </c>
      <c r="T2044" t="s">
        <v>13338</v>
      </c>
      <c r="U2044" t="s">
        <v>13338</v>
      </c>
      <c r="V2044" t="s">
        <v>13338</v>
      </c>
      <c r="W2044" t="s">
        <v>15346</v>
      </c>
      <c r="X2044">
        <v>5</v>
      </c>
      <c r="Y2044" t="s">
        <v>21928</v>
      </c>
      <c r="Z2044" t="s">
        <v>28459</v>
      </c>
      <c r="AA2044">
        <v>0.76645673074989762</v>
      </c>
      <c r="AB2044" t="str">
        <f>HYPERLINK("Melting_Curves/meltCurve_P11279_LAMP1.pdf", "Melting_Curves/meltCurve_P11279_LAMP1.pdf")</f>
        <v>Melting_Curves/meltCurve_P11279_LAMP1.pdf</v>
      </c>
    </row>
    <row r="2045" spans="1:28" x14ac:dyDescent="0.25">
      <c r="A2045" t="s">
        <v>2049</v>
      </c>
      <c r="B2045">
        <v>0.99193492352474899</v>
      </c>
      <c r="C2045">
        <v>0.15390070223573299</v>
      </c>
      <c r="D2045">
        <v>0.42428554598965101</v>
      </c>
      <c r="E2045">
        <v>8.6535458536128207E-2</v>
      </c>
      <c r="F2045">
        <v>7.7953011935993105E-2</v>
      </c>
      <c r="G2045">
        <v>4.8153079285138498E-2</v>
      </c>
      <c r="H2045">
        <v>3.1660210219838898E-2</v>
      </c>
      <c r="I2045">
        <v>4.1838447876165599E-2</v>
      </c>
      <c r="J2045">
        <v>5.0238994337944903E-2</v>
      </c>
      <c r="K2045">
        <v>5.0615013918541202E-2</v>
      </c>
      <c r="L2045">
        <v>4282.4790637600699</v>
      </c>
      <c r="M2045">
        <v>102.585725613249</v>
      </c>
      <c r="N2045">
        <v>41.837704947750602</v>
      </c>
      <c r="O2045">
        <v>41.729497939503197</v>
      </c>
      <c r="P2045">
        <v>-0.552328403891028</v>
      </c>
      <c r="Q2045">
        <v>0.10130209414460301</v>
      </c>
      <c r="R2045">
        <v>0.85340419953449698</v>
      </c>
      <c r="S2045" t="s">
        <v>8715</v>
      </c>
      <c r="T2045" t="s">
        <v>13338</v>
      </c>
      <c r="U2045" t="s">
        <v>13338</v>
      </c>
      <c r="V2045" t="s">
        <v>13338</v>
      </c>
      <c r="W2045" t="s">
        <v>15347</v>
      </c>
      <c r="X2045">
        <v>32</v>
      </c>
      <c r="Y2045" t="s">
        <v>21929</v>
      </c>
      <c r="Z2045" t="s">
        <v>28460</v>
      </c>
      <c r="AA2045">
        <v>0.15410318409344859</v>
      </c>
      <c r="AB2045" t="str">
        <f>HYPERLINK("Melting_Curves/meltCurve_P11387_TOP1.pdf", "Melting_Curves/meltCurve_P11387_TOP1.pdf")</f>
        <v>Melting_Curves/meltCurve_P11387_TOP1.pdf</v>
      </c>
    </row>
    <row r="2046" spans="1:28" x14ac:dyDescent="0.25">
      <c r="A2046" t="s">
        <v>2050</v>
      </c>
      <c r="B2046">
        <v>0.99193492352474899</v>
      </c>
      <c r="C2046">
        <v>0.276245645000883</v>
      </c>
      <c r="D2046">
        <v>0.79099410817981997</v>
      </c>
      <c r="E2046">
        <v>0.171060878941969</v>
      </c>
      <c r="F2046">
        <v>0.13197548518448901</v>
      </c>
      <c r="G2046">
        <v>6.6968956669935395E-2</v>
      </c>
      <c r="H2046">
        <v>4.8255878998201503E-2</v>
      </c>
      <c r="I2046">
        <v>5.4348084354771301E-2</v>
      </c>
      <c r="J2046">
        <v>8.9596053235467293E-2</v>
      </c>
      <c r="K2046">
        <v>7.3701252758600497E-2</v>
      </c>
      <c r="L2046">
        <v>532.56341463970102</v>
      </c>
      <c r="M2046">
        <v>11.8510063671431</v>
      </c>
      <c r="N2046">
        <v>45.172893367884598</v>
      </c>
      <c r="O2046">
        <v>43.715988034731303</v>
      </c>
      <c r="P2046">
        <v>-6.5766162577290094E-2</v>
      </c>
      <c r="Q2046">
        <v>2.9852678018677501E-2</v>
      </c>
      <c r="R2046">
        <v>0.70780103762965796</v>
      </c>
      <c r="S2046" t="s">
        <v>8716</v>
      </c>
      <c r="T2046" t="s">
        <v>13338</v>
      </c>
      <c r="U2046" t="s">
        <v>13338</v>
      </c>
      <c r="V2046" t="s">
        <v>13338</v>
      </c>
      <c r="W2046" t="s">
        <v>15348</v>
      </c>
      <c r="X2046">
        <v>29</v>
      </c>
      <c r="Y2046" t="s">
        <v>21930</v>
      </c>
      <c r="Z2046" t="s">
        <v>28461</v>
      </c>
      <c r="AA2046">
        <v>0.23943883588418791</v>
      </c>
      <c r="AB2046" t="str">
        <f>HYPERLINK("Melting_Curves/meltCurve_P11388_TOP2A.pdf", "Melting_Curves/meltCurve_P11388_TOP2A.pdf")</f>
        <v>Melting_Curves/meltCurve_P11388_TOP2A.pdf</v>
      </c>
    </row>
    <row r="2047" spans="1:28" x14ac:dyDescent="0.25">
      <c r="A2047" t="s">
        <v>2051</v>
      </c>
      <c r="B2047">
        <v>0.99193492352474899</v>
      </c>
      <c r="C2047">
        <v>0.88469887943076497</v>
      </c>
      <c r="D2047">
        <v>0.84765506337996899</v>
      </c>
      <c r="E2047">
        <v>0.70997656037257895</v>
      </c>
      <c r="F2047">
        <v>0.62961537420630798</v>
      </c>
      <c r="G2047">
        <v>0.44456587440522999</v>
      </c>
      <c r="H2047">
        <v>9.4884319455749003E-2</v>
      </c>
      <c r="I2047">
        <v>8.78628414557244E-2</v>
      </c>
      <c r="J2047">
        <v>8.5202040088271494E-2</v>
      </c>
      <c r="K2047">
        <v>8.5082733393551296E-2</v>
      </c>
      <c r="L2047">
        <v>649.80403127884904</v>
      </c>
      <c r="M2047">
        <v>12.007074985126399</v>
      </c>
      <c r="N2047">
        <v>54.118428482343802</v>
      </c>
      <c r="O2047">
        <v>52.682842004556299</v>
      </c>
      <c r="P2047">
        <v>-5.6991812762958602E-2</v>
      </c>
      <c r="Q2047">
        <v>0</v>
      </c>
      <c r="R2047">
        <v>0.96943125811072495</v>
      </c>
      <c r="S2047" t="s">
        <v>8717</v>
      </c>
      <c r="T2047" t="s">
        <v>13338</v>
      </c>
      <c r="U2047" t="s">
        <v>13338</v>
      </c>
      <c r="V2047" t="s">
        <v>13338</v>
      </c>
      <c r="W2047" t="s">
        <v>15349</v>
      </c>
      <c r="X2047">
        <v>36</v>
      </c>
      <c r="Y2047" t="s">
        <v>21931</v>
      </c>
      <c r="Z2047" t="s">
        <v>28462</v>
      </c>
      <c r="AA2047">
        <v>0.49642045487396341</v>
      </c>
      <c r="AB2047" t="str">
        <f>HYPERLINK("Melting_Curves/meltCurve_P11413_G6PD.pdf", "Melting_Curves/meltCurve_P11413_G6PD.pdf")</f>
        <v>Melting_Curves/meltCurve_P11413_G6PD.pdf</v>
      </c>
    </row>
    <row r="2048" spans="1:28" x14ac:dyDescent="0.25">
      <c r="A2048" t="s">
        <v>2052</v>
      </c>
      <c r="B2048">
        <v>0.99193492352474899</v>
      </c>
      <c r="C2048">
        <v>0.88073009028705995</v>
      </c>
      <c r="D2048">
        <v>0.62374772382344501</v>
      </c>
      <c r="E2048">
        <v>0.32872740246072102</v>
      </c>
      <c r="F2048">
        <v>0.18491122969148699</v>
      </c>
      <c r="G2048">
        <v>0.12581484032638701</v>
      </c>
      <c r="H2048">
        <v>0.112173531025526</v>
      </c>
      <c r="I2048">
        <v>0.219916581587176</v>
      </c>
      <c r="J2048">
        <v>0.15357782405065301</v>
      </c>
      <c r="K2048">
        <v>0.40172317557444698</v>
      </c>
      <c r="L2048">
        <v>1194.9992452489801</v>
      </c>
      <c r="M2048">
        <v>25.889327773182799</v>
      </c>
      <c r="N2048">
        <v>47.068736238195299</v>
      </c>
      <c r="O2048">
        <v>45.885231360001697</v>
      </c>
      <c r="P2048">
        <v>-0.113265734849207</v>
      </c>
      <c r="Q2048">
        <v>0.197018377548352</v>
      </c>
      <c r="R2048">
        <v>0.93581185960053404</v>
      </c>
      <c r="S2048" t="s">
        <v>8718</v>
      </c>
      <c r="T2048" t="s">
        <v>13338</v>
      </c>
      <c r="U2048" t="s">
        <v>13338</v>
      </c>
      <c r="V2048" t="s">
        <v>13338</v>
      </c>
      <c r="W2048" t="s">
        <v>15350</v>
      </c>
      <c r="X2048">
        <v>8</v>
      </c>
      <c r="Y2048" t="s">
        <v>21932</v>
      </c>
      <c r="Z2048" t="s">
        <v>28463</v>
      </c>
      <c r="AA2048">
        <v>0.36863965465841719</v>
      </c>
      <c r="AB2048" t="str">
        <f>HYPERLINK("Melting_Curves/meltCurve_P11441_UBL4A.pdf", "Melting_Curves/meltCurve_P11441_UBL4A.pdf")</f>
        <v>Melting_Curves/meltCurve_P11441_UBL4A.pdf</v>
      </c>
    </row>
    <row r="2049" spans="1:28" x14ac:dyDescent="0.25">
      <c r="A2049" t="s">
        <v>2053</v>
      </c>
      <c r="B2049">
        <v>0.99193492352474899</v>
      </c>
      <c r="C2049">
        <v>0.95181925099273401</v>
      </c>
      <c r="D2049">
        <v>0.92458628495541395</v>
      </c>
      <c r="E2049">
        <v>0.66831584248578202</v>
      </c>
      <c r="F2049">
        <v>0.21581594763002199</v>
      </c>
      <c r="G2049">
        <v>0.10241112997269</v>
      </c>
      <c r="H2049">
        <v>6.4252543701631401E-2</v>
      </c>
      <c r="I2049">
        <v>7.2606133289027999E-2</v>
      </c>
      <c r="J2049">
        <v>7.6621431328803405E-2</v>
      </c>
      <c r="K2049">
        <v>7.7731982654435303E-2</v>
      </c>
      <c r="L2049">
        <v>1528.1113228418401</v>
      </c>
      <c r="M2049">
        <v>30.289826332885301</v>
      </c>
      <c r="N2049">
        <v>50.700339164378498</v>
      </c>
      <c r="O2049">
        <v>50.231290829874098</v>
      </c>
      <c r="P2049">
        <v>-0.14026865948619599</v>
      </c>
      <c r="Q2049">
        <v>6.9544795240192706E-2</v>
      </c>
      <c r="R2049">
        <v>0.99777823094422602</v>
      </c>
      <c r="S2049" t="s">
        <v>8719</v>
      </c>
      <c r="T2049" t="s">
        <v>13338</v>
      </c>
      <c r="U2049" t="s">
        <v>13338</v>
      </c>
      <c r="V2049" t="s">
        <v>13338</v>
      </c>
      <c r="W2049" t="s">
        <v>15351</v>
      </c>
      <c r="X2049">
        <v>26</v>
      </c>
      <c r="Y2049" t="s">
        <v>21933</v>
      </c>
      <c r="Z2049" t="s">
        <v>28464</v>
      </c>
      <c r="AA2049">
        <v>0.39932894828334742</v>
      </c>
      <c r="AB2049" t="str">
        <f>HYPERLINK("Melting_Curves/meltCurve_P11498_PC.pdf", "Melting_Curves/meltCurve_P11498_PC.pdf")</f>
        <v>Melting_Curves/meltCurve_P11498_PC.pdf</v>
      </c>
    </row>
    <row r="2050" spans="1:28" x14ac:dyDescent="0.25">
      <c r="A2050" t="s">
        <v>2054</v>
      </c>
      <c r="B2050">
        <v>0.99193492352474899</v>
      </c>
      <c r="C2050">
        <v>0.99709460556068097</v>
      </c>
      <c r="D2050">
        <v>0.91816218527665105</v>
      </c>
      <c r="E2050">
        <v>0.82801685964086102</v>
      </c>
      <c r="F2050">
        <v>0.480669183478524</v>
      </c>
      <c r="G2050">
        <v>0.10514350729323101</v>
      </c>
      <c r="H2050">
        <v>6.2360907654553599E-2</v>
      </c>
      <c r="I2050">
        <v>6.8486567498268106E-2</v>
      </c>
      <c r="J2050">
        <v>7.1202012649882504E-2</v>
      </c>
      <c r="K2050">
        <v>7.5295790180153505E-2</v>
      </c>
      <c r="L2050">
        <v>1448.88034014511</v>
      </c>
      <c r="M2050">
        <v>27.5895348816289</v>
      </c>
      <c r="N2050">
        <v>52.733939109320197</v>
      </c>
      <c r="O2050">
        <v>52.242022079470203</v>
      </c>
      <c r="P2050">
        <v>-0.124901427329506</v>
      </c>
      <c r="Q2050">
        <v>5.3983149752562902E-2</v>
      </c>
      <c r="R2050">
        <v>0.99429862862099305</v>
      </c>
      <c r="S2050" t="s">
        <v>8720</v>
      </c>
      <c r="T2050" t="s">
        <v>13338</v>
      </c>
      <c r="U2050" t="s">
        <v>13338</v>
      </c>
      <c r="V2050" t="s">
        <v>13338</v>
      </c>
      <c r="W2050" t="s">
        <v>15352</v>
      </c>
      <c r="X2050">
        <v>60</v>
      </c>
      <c r="Y2050" t="s">
        <v>21934</v>
      </c>
      <c r="Z2050" t="s">
        <v>28465</v>
      </c>
      <c r="AA2050">
        <v>0.45582628358769162</v>
      </c>
      <c r="AB2050" t="str">
        <f>HYPERLINK("Melting_Curves/meltCurve_P11586_MTHFD1.pdf", "Melting_Curves/meltCurve_P11586_MTHFD1.pdf")</f>
        <v>Melting_Curves/meltCurve_P11586_MTHFD1.pdf</v>
      </c>
    </row>
    <row r="2051" spans="1:28" x14ac:dyDescent="0.25">
      <c r="A2051" t="s">
        <v>2055</v>
      </c>
      <c r="B2051">
        <v>0.99193492352474899</v>
      </c>
      <c r="C2051">
        <v>0.983907853735148</v>
      </c>
      <c r="D2051">
        <v>1.03272806209601</v>
      </c>
      <c r="E2051">
        <v>0.94913462091414402</v>
      </c>
      <c r="F2051">
        <v>0.92681055599534301</v>
      </c>
      <c r="G2051">
        <v>0.52542942819642302</v>
      </c>
      <c r="H2051">
        <v>0.28264335919154798</v>
      </c>
      <c r="I2051">
        <v>0.25628857111167103</v>
      </c>
      <c r="J2051">
        <v>0.24419898892627701</v>
      </c>
      <c r="K2051">
        <v>0.23230341982915501</v>
      </c>
      <c r="L2051">
        <v>2183.60206753988</v>
      </c>
      <c r="M2051">
        <v>38.940715743696401</v>
      </c>
      <c r="N2051">
        <v>57.048456472193301</v>
      </c>
      <c r="O2051">
        <v>55.927769421114697</v>
      </c>
      <c r="P2051">
        <v>-0.131817607364312</v>
      </c>
      <c r="Q2051">
        <v>0.2427209297706</v>
      </c>
      <c r="R2051">
        <v>0.99676642871561405</v>
      </c>
      <c r="S2051" t="s">
        <v>8721</v>
      </c>
      <c r="T2051" t="s">
        <v>13338</v>
      </c>
      <c r="U2051" t="s">
        <v>13338</v>
      </c>
      <c r="V2051" t="s">
        <v>13338</v>
      </c>
      <c r="W2051" t="s">
        <v>15353</v>
      </c>
      <c r="X2051">
        <v>73</v>
      </c>
      <c r="Y2051" t="s">
        <v>21935</v>
      </c>
      <c r="Z2051" t="s">
        <v>28466</v>
      </c>
      <c r="AA2051">
        <v>0.65157055090466942</v>
      </c>
      <c r="AB2051" t="str">
        <f>HYPERLINK("Melting_Curves/meltCurve_P11717_IGF2R.pdf", "Melting_Curves/meltCurve_P11717_IGF2R.pdf")</f>
        <v>Melting_Curves/meltCurve_P11717_IGF2R.pdf</v>
      </c>
    </row>
    <row r="2052" spans="1:28" x14ac:dyDescent="0.25">
      <c r="A2052" t="s">
        <v>2056</v>
      </c>
      <c r="B2052">
        <v>0.99193492352474899</v>
      </c>
      <c r="C2052">
        <v>1.18840644768443</v>
      </c>
      <c r="D2052">
        <v>0.89764094253242599</v>
      </c>
      <c r="E2052">
        <v>0.96713687794154102</v>
      </c>
      <c r="F2052">
        <v>0.69223205047973002</v>
      </c>
      <c r="G2052">
        <v>0.65528451251029596</v>
      </c>
      <c r="H2052">
        <v>0.494424424568643</v>
      </c>
      <c r="I2052">
        <v>0.56917484731262602</v>
      </c>
      <c r="J2052">
        <v>0.30181883100969098</v>
      </c>
      <c r="K2052">
        <v>0.18366822478734501</v>
      </c>
      <c r="L2052">
        <v>547.275808263454</v>
      </c>
      <c r="M2052">
        <v>8.9023571412485403</v>
      </c>
      <c r="N2052">
        <v>61.475374889753802</v>
      </c>
      <c r="O2052">
        <v>58.6106818208047</v>
      </c>
      <c r="P2052">
        <v>-3.8001157491215701E-2</v>
      </c>
      <c r="Q2052">
        <v>0</v>
      </c>
      <c r="R2052">
        <v>0.89732922762561396</v>
      </c>
      <c r="S2052" t="s">
        <v>8722</v>
      </c>
      <c r="T2052" t="s">
        <v>13338</v>
      </c>
      <c r="U2052" t="s">
        <v>13338</v>
      </c>
      <c r="V2052" t="s">
        <v>13338</v>
      </c>
      <c r="W2052" t="s">
        <v>15354</v>
      </c>
      <c r="X2052">
        <v>21</v>
      </c>
      <c r="Y2052" t="s">
        <v>21936</v>
      </c>
      <c r="Z2052" t="s">
        <v>28467</v>
      </c>
      <c r="AA2052">
        <v>0.69243579906434249</v>
      </c>
      <c r="AB2052" t="str">
        <f>HYPERLINK("Melting_Curves/meltCurve_P11766_ADH5.pdf", "Melting_Curves/meltCurve_P11766_ADH5.pdf")</f>
        <v>Melting_Curves/meltCurve_P11766_ADH5.pdf</v>
      </c>
    </row>
    <row r="2053" spans="1:28" x14ac:dyDescent="0.25">
      <c r="A2053" t="s">
        <v>2057</v>
      </c>
      <c r="B2053">
        <v>0.99193492352474899</v>
      </c>
      <c r="C2053">
        <v>0.71831511608874998</v>
      </c>
      <c r="D2053">
        <v>0.52612745131582295</v>
      </c>
      <c r="E2053">
        <v>0.28826756247107799</v>
      </c>
      <c r="F2053">
        <v>0.21073804333465701</v>
      </c>
      <c r="G2053">
        <v>0.114220010736865</v>
      </c>
      <c r="H2053">
        <v>5.8552158788725703E-2</v>
      </c>
      <c r="I2053">
        <v>7.1364284577381004E-2</v>
      </c>
      <c r="J2053">
        <v>7.8675966371070799E-2</v>
      </c>
      <c r="K2053">
        <v>6.9815949665631594E-2</v>
      </c>
      <c r="L2053">
        <v>707.560463433677</v>
      </c>
      <c r="M2053">
        <v>15.4036076736888</v>
      </c>
      <c r="N2053">
        <v>46.362407064998202</v>
      </c>
      <c r="O2053">
        <v>45.181393230355702</v>
      </c>
      <c r="P2053">
        <v>-7.9594263404245899E-2</v>
      </c>
      <c r="Q2053">
        <v>6.6230629546661604E-2</v>
      </c>
      <c r="R2053">
        <v>0.98845730510981999</v>
      </c>
      <c r="S2053" t="s">
        <v>8723</v>
      </c>
      <c r="T2053" t="s">
        <v>13338</v>
      </c>
      <c r="U2053" t="s">
        <v>13338</v>
      </c>
      <c r="V2053" t="s">
        <v>13338</v>
      </c>
      <c r="W2053" t="s">
        <v>15355</v>
      </c>
      <c r="X2053">
        <v>4</v>
      </c>
      <c r="Y2053" t="s">
        <v>21937</v>
      </c>
      <c r="Z2053" t="s">
        <v>28468</v>
      </c>
      <c r="AA2053">
        <v>0.27687430907205041</v>
      </c>
      <c r="AB2053" t="str">
        <f>HYPERLINK("Melting_Curves/meltCurve_P11802_CDK4.pdf", "Melting_Curves/meltCurve_P11802_CDK4.pdf")</f>
        <v>Melting_Curves/meltCurve_P11802_CDK4.pdf</v>
      </c>
    </row>
    <row r="2054" spans="1:28" x14ac:dyDescent="0.25">
      <c r="A2054" t="s">
        <v>2058</v>
      </c>
      <c r="B2054">
        <v>0.99193492352474899</v>
      </c>
      <c r="C2054">
        <v>0.923002926246829</v>
      </c>
      <c r="D2054">
        <v>0.86302523474098503</v>
      </c>
      <c r="E2054">
        <v>0.60378299172814598</v>
      </c>
      <c r="F2054">
        <v>0.28778891554908198</v>
      </c>
      <c r="G2054">
        <v>0.15593263386749301</v>
      </c>
      <c r="H2054">
        <v>8.0635674020745896E-2</v>
      </c>
      <c r="I2054">
        <v>0.10829532999590701</v>
      </c>
      <c r="J2054">
        <v>8.6229735186457906E-2</v>
      </c>
      <c r="K2054">
        <v>9.7458080354444199E-2</v>
      </c>
      <c r="L2054">
        <v>993.12156602850098</v>
      </c>
      <c r="M2054">
        <v>19.826940541702999</v>
      </c>
      <c r="N2054">
        <v>50.531423006088303</v>
      </c>
      <c r="O2054">
        <v>49.588282438544603</v>
      </c>
      <c r="P2054">
        <v>-9.2004452425454894E-2</v>
      </c>
      <c r="Q2054">
        <v>7.9597602775153903E-2</v>
      </c>
      <c r="R2054">
        <v>0.99719462692028704</v>
      </c>
      <c r="S2054" t="s">
        <v>8724</v>
      </c>
      <c r="T2054" t="s">
        <v>13338</v>
      </c>
      <c r="U2054" t="s">
        <v>13338</v>
      </c>
      <c r="V2054" t="s">
        <v>13338</v>
      </c>
      <c r="W2054" t="s">
        <v>15356</v>
      </c>
      <c r="X2054">
        <v>3</v>
      </c>
      <c r="Y2054" t="s">
        <v>21938</v>
      </c>
      <c r="Z2054" t="s">
        <v>28469</v>
      </c>
      <c r="AA2054">
        <v>0.4021712564344736</v>
      </c>
      <c r="AB2054" t="str">
        <f>HYPERLINK("Melting_Curves/meltCurve_P11831_SRF.pdf", "Melting_Curves/meltCurve_P11831_SRF.pdf")</f>
        <v>Melting_Curves/meltCurve_P11831_SRF.pdf</v>
      </c>
    </row>
    <row r="2055" spans="1:28" x14ac:dyDescent="0.25">
      <c r="A2055" t="s">
        <v>2059</v>
      </c>
      <c r="B2055">
        <v>0.99193492352474899</v>
      </c>
      <c r="C2055">
        <v>0.85369648850013102</v>
      </c>
      <c r="D2055">
        <v>0.96744053236671401</v>
      </c>
      <c r="E2055">
        <v>0.81306466035645797</v>
      </c>
      <c r="F2055">
        <v>0.85827523155308805</v>
      </c>
      <c r="G2055">
        <v>0.59340112255288402</v>
      </c>
      <c r="H2055">
        <v>0.29606454211712702</v>
      </c>
      <c r="I2055">
        <v>9.1132605585716606E-2</v>
      </c>
      <c r="J2055">
        <v>9.5596730551037803E-2</v>
      </c>
      <c r="K2055">
        <v>6.2258677300922202E-2</v>
      </c>
      <c r="L2055">
        <v>983.54888201574397</v>
      </c>
      <c r="M2055">
        <v>17.050287844867999</v>
      </c>
      <c r="N2055">
        <v>57.685178178990498</v>
      </c>
      <c r="O2055">
        <v>56.909203126993503</v>
      </c>
      <c r="P2055">
        <v>-7.4905851657830105E-2</v>
      </c>
      <c r="Q2055">
        <v>0</v>
      </c>
      <c r="R2055">
        <v>0.96620326715137606</v>
      </c>
      <c r="S2055" t="s">
        <v>8725</v>
      </c>
      <c r="T2055" t="s">
        <v>13338</v>
      </c>
      <c r="U2055" t="s">
        <v>13338</v>
      </c>
      <c r="V2055" t="s">
        <v>13338</v>
      </c>
      <c r="W2055" t="s">
        <v>15357</v>
      </c>
      <c r="X2055">
        <v>18</v>
      </c>
      <c r="Y2055" t="s">
        <v>21939</v>
      </c>
      <c r="Z2055" t="s">
        <v>28470</v>
      </c>
      <c r="AA2055">
        <v>0.60286527830567371</v>
      </c>
      <c r="AB2055" t="str">
        <f>HYPERLINK("Melting_Curves/meltCurve_P11908_2_PRPS2.pdf", "Melting_Curves/meltCurve_P11908_2_PRPS2.pdf")</f>
        <v>Melting_Curves/meltCurve_P11908_2_PRPS2.pdf</v>
      </c>
    </row>
    <row r="2056" spans="1:28" x14ac:dyDescent="0.25">
      <c r="A2056" t="s">
        <v>2060</v>
      </c>
      <c r="B2056">
        <v>0.99193492352474899</v>
      </c>
      <c r="C2056">
        <v>0.99946802326685702</v>
      </c>
      <c r="D2056">
        <v>0.85572688228993998</v>
      </c>
      <c r="E2056">
        <v>0.67838650808183298</v>
      </c>
      <c r="F2056">
        <v>0.52473154968434499</v>
      </c>
      <c r="G2056">
        <v>0.44757100618343398</v>
      </c>
      <c r="H2056">
        <v>0.34677512668725102</v>
      </c>
      <c r="I2056">
        <v>0.48536154967676098</v>
      </c>
      <c r="J2056">
        <v>0.48697088256033599</v>
      </c>
      <c r="K2056">
        <v>0.85025021000859202</v>
      </c>
      <c r="L2056">
        <v>1353.8622269127</v>
      </c>
      <c r="M2056">
        <v>28.342379919367399</v>
      </c>
      <c r="O2056">
        <v>47.532213749192501</v>
      </c>
      <c r="P2056">
        <v>-7.1287566471872399E-2</v>
      </c>
      <c r="Q2056">
        <v>0.52178635767169801</v>
      </c>
      <c r="R2056">
        <v>0.71211366131867804</v>
      </c>
      <c r="S2056" t="s">
        <v>8726</v>
      </c>
      <c r="T2056" t="s">
        <v>13338</v>
      </c>
      <c r="U2056" t="s">
        <v>13338</v>
      </c>
      <c r="V2056" t="s">
        <v>13338</v>
      </c>
      <c r="W2056" t="s">
        <v>15358</v>
      </c>
      <c r="X2056">
        <v>4</v>
      </c>
      <c r="Y2056" t="s">
        <v>21940</v>
      </c>
      <c r="Z2056" t="s">
        <v>28471</v>
      </c>
      <c r="AA2056">
        <v>0.64885247668294566</v>
      </c>
      <c r="AB2056" t="str">
        <f>HYPERLINK("Melting_Curves/meltCurve_P11926_ODC1.pdf", "Melting_Curves/meltCurve_P11926_ODC1.pdf")</f>
        <v>Melting_Curves/meltCurve_P11926_ODC1.pdf</v>
      </c>
    </row>
    <row r="2057" spans="1:28" x14ac:dyDescent="0.25">
      <c r="A2057" t="s">
        <v>2061</v>
      </c>
      <c r="B2057">
        <v>0.99193492352474899</v>
      </c>
      <c r="C2057">
        <v>0.914815963122943</v>
      </c>
      <c r="D2057">
        <v>0.85495946177955895</v>
      </c>
      <c r="E2057">
        <v>0.571233551557499</v>
      </c>
      <c r="F2057">
        <v>0.186764260610122</v>
      </c>
      <c r="G2057">
        <v>0.13025771479340501</v>
      </c>
      <c r="H2057">
        <v>7.5479177860279995E-2</v>
      </c>
      <c r="I2057">
        <v>8.7155628585667E-2</v>
      </c>
      <c r="J2057">
        <v>9.5773368248472296E-2</v>
      </c>
      <c r="K2057">
        <v>8.8746010066707195E-2</v>
      </c>
      <c r="L2057">
        <v>1164.14367958767</v>
      </c>
      <c r="M2057">
        <v>23.495086024602202</v>
      </c>
      <c r="N2057">
        <v>49.910757155627103</v>
      </c>
      <c r="O2057">
        <v>49.193632453430602</v>
      </c>
      <c r="P2057">
        <v>-0.110040433746233</v>
      </c>
      <c r="Q2057">
        <v>7.8412307695676295E-2</v>
      </c>
      <c r="R2057">
        <v>0.99404096153081001</v>
      </c>
      <c r="S2057" t="s">
        <v>8727</v>
      </c>
      <c r="T2057" t="s">
        <v>13338</v>
      </c>
      <c r="U2057" t="s">
        <v>13338</v>
      </c>
      <c r="V2057" t="s">
        <v>13338</v>
      </c>
      <c r="W2057" t="s">
        <v>15359</v>
      </c>
      <c r="X2057">
        <v>33</v>
      </c>
      <c r="Y2057" t="s">
        <v>20788</v>
      </c>
      <c r="Z2057" t="s">
        <v>28472</v>
      </c>
      <c r="AA2057">
        <v>0.38103742133073848</v>
      </c>
      <c r="AB2057" t="str">
        <f>HYPERLINK("Melting_Curves/meltCurve_P11940_PABPC1.pdf", "Melting_Curves/meltCurve_P11940_PABPC1.pdf")</f>
        <v>Melting_Curves/meltCurve_P11940_PABPC1.pdf</v>
      </c>
    </row>
    <row r="2058" spans="1:28" x14ac:dyDescent="0.25">
      <c r="A2058" t="s">
        <v>2062</v>
      </c>
      <c r="B2058">
        <v>0.99193492352474899</v>
      </c>
      <c r="C2058">
        <v>1.09789327825442</v>
      </c>
      <c r="D2058">
        <v>0.929810833296426</v>
      </c>
      <c r="E2058">
        <v>0.94754631469958395</v>
      </c>
      <c r="F2058">
        <v>0.66518644739574795</v>
      </c>
      <c r="G2058">
        <v>0.44253446597102902</v>
      </c>
      <c r="H2058">
        <v>0.19359628453289501</v>
      </c>
      <c r="I2058">
        <v>9.3836344211776196E-2</v>
      </c>
      <c r="J2058">
        <v>8.9054819372465996E-2</v>
      </c>
      <c r="K2058">
        <v>8.2308335526076706E-2</v>
      </c>
      <c r="L2058">
        <v>1062.47466797469</v>
      </c>
      <c r="M2058">
        <v>19.191553607037701</v>
      </c>
      <c r="N2058">
        <v>55.6853555964219</v>
      </c>
      <c r="O2058">
        <v>54.770987173519799</v>
      </c>
      <c r="P2058">
        <v>-8.2977267208430405E-2</v>
      </c>
      <c r="Q2058">
        <v>5.2797157444612698E-2</v>
      </c>
      <c r="R2058">
        <v>0.98892045024631303</v>
      </c>
      <c r="S2058" t="s">
        <v>8728</v>
      </c>
      <c r="T2058" t="s">
        <v>13338</v>
      </c>
      <c r="U2058" t="s">
        <v>13338</v>
      </c>
      <c r="V2058" t="s">
        <v>13338</v>
      </c>
      <c r="W2058" t="s">
        <v>15360</v>
      </c>
      <c r="X2058">
        <v>23</v>
      </c>
      <c r="Y2058" t="s">
        <v>21941</v>
      </c>
      <c r="Z2058" t="s">
        <v>28473</v>
      </c>
      <c r="AA2058">
        <v>0.55105120695053178</v>
      </c>
      <c r="AB2058" t="str">
        <f>HYPERLINK("Melting_Curves/meltCurve_P12004_PCNA.pdf", "Melting_Curves/meltCurve_P12004_PCNA.pdf")</f>
        <v>Melting_Curves/meltCurve_P12004_PCNA.pdf</v>
      </c>
    </row>
    <row r="2059" spans="1:28" x14ac:dyDescent="0.25">
      <c r="A2059" t="s">
        <v>2063</v>
      </c>
      <c r="B2059">
        <v>0.99193492352474899</v>
      </c>
      <c r="C2059">
        <v>0.80798527400250797</v>
      </c>
      <c r="D2059">
        <v>0.96180647765442795</v>
      </c>
      <c r="E2059">
        <v>0.740776532401207</v>
      </c>
      <c r="F2059">
        <v>0.65195043491237703</v>
      </c>
      <c r="G2059">
        <v>0.340870027721279</v>
      </c>
      <c r="H2059">
        <v>8.2280565325127397E-2</v>
      </c>
      <c r="I2059">
        <v>7.4595606340607107E-2</v>
      </c>
      <c r="J2059">
        <v>8.7697311120219806E-2</v>
      </c>
      <c r="K2059">
        <v>8.3570474724806901E-2</v>
      </c>
      <c r="L2059">
        <v>797.33065765411698</v>
      </c>
      <c r="M2059">
        <v>14.728973948466701</v>
      </c>
      <c r="N2059">
        <v>54.174511190006697</v>
      </c>
      <c r="O2059">
        <v>53.165000885347297</v>
      </c>
      <c r="P2059">
        <v>-6.8884007526107294E-2</v>
      </c>
      <c r="Q2059">
        <v>5.5463622561285003E-3</v>
      </c>
      <c r="R2059">
        <v>0.96187388195201795</v>
      </c>
      <c r="S2059" t="s">
        <v>8729</v>
      </c>
      <c r="T2059" t="s">
        <v>13338</v>
      </c>
      <c r="U2059" t="s">
        <v>13338</v>
      </c>
      <c r="V2059" t="s">
        <v>13338</v>
      </c>
      <c r="W2059" t="s">
        <v>15361</v>
      </c>
      <c r="X2059">
        <v>38</v>
      </c>
      <c r="Y2059" t="s">
        <v>21942</v>
      </c>
      <c r="Z2059" t="s">
        <v>28474</v>
      </c>
      <c r="AA2059">
        <v>0.49475406453303511</v>
      </c>
      <c r="AB2059" t="str">
        <f>HYPERLINK("Melting_Curves/meltCurve_P12081_HARS.pdf", "Melting_Curves/meltCurve_P12081_HARS.pdf")</f>
        <v>Melting_Curves/meltCurve_P12081_HARS.pdf</v>
      </c>
    </row>
    <row r="2060" spans="1:28" x14ac:dyDescent="0.25">
      <c r="A2060" t="s">
        <v>2064</v>
      </c>
      <c r="B2060">
        <v>0.99193492352474899</v>
      </c>
      <c r="C2060">
        <v>0.78289918486610199</v>
      </c>
      <c r="D2060">
        <v>0.97839635128981295</v>
      </c>
      <c r="E2060">
        <v>0.74627357942940198</v>
      </c>
      <c r="F2060">
        <v>0.77512311837916303</v>
      </c>
      <c r="G2060">
        <v>0.59014610615256102</v>
      </c>
      <c r="H2060">
        <v>0.39100596727648201</v>
      </c>
      <c r="I2060">
        <v>0.32687911884162602</v>
      </c>
      <c r="J2060">
        <v>0.33642924085119502</v>
      </c>
      <c r="K2060">
        <v>0.52912095022154704</v>
      </c>
      <c r="L2060">
        <v>590.16874510259504</v>
      </c>
      <c r="M2060">
        <v>11.0337651416282</v>
      </c>
      <c r="N2060">
        <v>59.2369035318439</v>
      </c>
      <c r="O2060">
        <v>51.820689277586503</v>
      </c>
      <c r="P2060">
        <v>-3.5748128734155102E-2</v>
      </c>
      <c r="Q2060">
        <v>0.32865157584210702</v>
      </c>
      <c r="R2060">
        <v>0.832720882407748</v>
      </c>
      <c r="S2060" t="s">
        <v>8730</v>
      </c>
      <c r="T2060" t="s">
        <v>13338</v>
      </c>
      <c r="U2060" t="s">
        <v>13338</v>
      </c>
      <c r="V2060" t="s">
        <v>13338</v>
      </c>
      <c r="W2060" t="s">
        <v>15362</v>
      </c>
      <c r="X2060">
        <v>19</v>
      </c>
      <c r="Y2060" t="s">
        <v>21943</v>
      </c>
      <c r="Z2060" t="s">
        <v>28475</v>
      </c>
      <c r="AA2060">
        <v>0.6504070728405722</v>
      </c>
      <c r="AB2060" t="str">
        <f>HYPERLINK("Melting_Curves/meltCurve_P12235_SLC25A4.pdf", "Melting_Curves/meltCurve_P12235_SLC25A4.pdf")</f>
        <v>Melting_Curves/meltCurve_P12235_SLC25A4.pdf</v>
      </c>
    </row>
    <row r="2061" spans="1:28" x14ac:dyDescent="0.25">
      <c r="A2061" t="s">
        <v>2065</v>
      </c>
      <c r="B2061">
        <v>0.99193492352474899</v>
      </c>
      <c r="C2061">
        <v>1.09515030742636</v>
      </c>
      <c r="D2061">
        <v>1.1296971602654</v>
      </c>
      <c r="E2061">
        <v>1.0795371502740201</v>
      </c>
      <c r="F2061">
        <v>0.81475126185639302</v>
      </c>
      <c r="G2061">
        <v>0.65484701177956495</v>
      </c>
      <c r="H2061">
        <v>0.55999755855215205</v>
      </c>
      <c r="I2061">
        <v>0.47452894021646302</v>
      </c>
      <c r="J2061">
        <v>0.48233373145338998</v>
      </c>
      <c r="K2061">
        <v>0.41757834515846498</v>
      </c>
      <c r="L2061">
        <v>1398.0131977690401</v>
      </c>
      <c r="M2061">
        <v>25.182948183063498</v>
      </c>
      <c r="N2061">
        <v>61.709645697884497</v>
      </c>
      <c r="O2061">
        <v>55.167767367800302</v>
      </c>
      <c r="P2061">
        <v>-6.1614021995093103E-2</v>
      </c>
      <c r="Q2061">
        <v>0.46010076249027598</v>
      </c>
      <c r="R2061">
        <v>0.93908530909644505</v>
      </c>
      <c r="S2061" t="s">
        <v>8731</v>
      </c>
      <c r="T2061" t="s">
        <v>13338</v>
      </c>
      <c r="U2061" t="s">
        <v>13338</v>
      </c>
      <c r="V2061" t="s">
        <v>13338</v>
      </c>
      <c r="W2061" t="s">
        <v>15363</v>
      </c>
      <c r="X2061">
        <v>22</v>
      </c>
      <c r="Y2061" t="s">
        <v>21944</v>
      </c>
      <c r="Z2061" t="s">
        <v>28476</v>
      </c>
      <c r="AA2061">
        <v>0.74422449864316376</v>
      </c>
      <c r="AB2061" t="str">
        <f>HYPERLINK("Melting_Curves/meltCurve_P12236_SLC25A6.pdf", "Melting_Curves/meltCurve_P12236_SLC25A6.pdf")</f>
        <v>Melting_Curves/meltCurve_P12236_SLC25A6.pdf</v>
      </c>
    </row>
    <row r="2062" spans="1:28" x14ac:dyDescent="0.25">
      <c r="A2062" t="s">
        <v>2066</v>
      </c>
      <c r="B2062">
        <v>0.99193492352474899</v>
      </c>
      <c r="C2062">
        <v>1.03381455579121</v>
      </c>
      <c r="D2062">
        <v>1.1114382210563101</v>
      </c>
      <c r="E2062">
        <v>1.41431990557826</v>
      </c>
      <c r="F2062">
        <v>2.15328958918907</v>
      </c>
      <c r="G2062">
        <v>0.41926976414211298</v>
      </c>
      <c r="H2062">
        <v>0.24332021118636801</v>
      </c>
      <c r="I2062">
        <v>0.23919056575417399</v>
      </c>
      <c r="J2062">
        <v>0.29815882842126901</v>
      </c>
      <c r="K2062">
        <v>0.38027115120552202</v>
      </c>
      <c r="L2062">
        <v>14114.562235908101</v>
      </c>
      <c r="M2062">
        <v>250</v>
      </c>
      <c r="N2062">
        <v>56.655079314466398</v>
      </c>
      <c r="O2062">
        <v>56.454614376781002</v>
      </c>
      <c r="P2062">
        <v>-0.78576930864711303</v>
      </c>
      <c r="Q2062">
        <v>0.290234874533771</v>
      </c>
      <c r="R2062">
        <v>0.57386670758851799</v>
      </c>
      <c r="S2062" t="s">
        <v>8732</v>
      </c>
      <c r="T2062" t="s">
        <v>13338</v>
      </c>
      <c r="U2062" t="s">
        <v>13338</v>
      </c>
      <c r="V2062" t="s">
        <v>13338</v>
      </c>
      <c r="W2062" t="s">
        <v>15364</v>
      </c>
      <c r="X2062">
        <v>24</v>
      </c>
      <c r="Y2062" t="s">
        <v>21945</v>
      </c>
      <c r="Z2062" t="s">
        <v>28477</v>
      </c>
      <c r="AA2062">
        <v>0.67968823798657119</v>
      </c>
      <c r="AB2062" t="str">
        <f>HYPERLINK("Melting_Curves/meltCurve_P12268_IMPDH2.pdf", "Melting_Curves/meltCurve_P12268_IMPDH2.pdf")</f>
        <v>Melting_Curves/meltCurve_P12268_IMPDH2.pdf</v>
      </c>
    </row>
    <row r="2063" spans="1:28" x14ac:dyDescent="0.25">
      <c r="A2063" t="s">
        <v>2067</v>
      </c>
      <c r="B2063">
        <v>0.99193492352474899</v>
      </c>
      <c r="C2063">
        <v>0.86281971803908097</v>
      </c>
      <c r="D2063">
        <v>0.82188564244806395</v>
      </c>
      <c r="E2063">
        <v>0.26683573419628898</v>
      </c>
      <c r="F2063">
        <v>0.173822806479277</v>
      </c>
      <c r="G2063">
        <v>0.106179361401045</v>
      </c>
      <c r="H2063">
        <v>6.7950703642007199E-2</v>
      </c>
      <c r="I2063">
        <v>7.8424150188603506E-2</v>
      </c>
      <c r="J2063">
        <v>8.4594403303420204E-2</v>
      </c>
      <c r="K2063">
        <v>0.10165217866551</v>
      </c>
      <c r="L2063">
        <v>1463.2165555996</v>
      </c>
      <c r="M2063">
        <v>30.6824866372103</v>
      </c>
      <c r="N2063">
        <v>48.002570898916197</v>
      </c>
      <c r="O2063">
        <v>47.487778278745999</v>
      </c>
      <c r="P2063">
        <v>-0.146859423986997</v>
      </c>
      <c r="Q2063">
        <v>9.0818636017180807E-2</v>
      </c>
      <c r="R2063">
        <v>0.98568186057500196</v>
      </c>
      <c r="S2063" t="s">
        <v>8733</v>
      </c>
      <c r="T2063" t="s">
        <v>13338</v>
      </c>
      <c r="U2063" t="s">
        <v>13338</v>
      </c>
      <c r="V2063" t="s">
        <v>13338</v>
      </c>
      <c r="W2063" t="s">
        <v>15365</v>
      </c>
      <c r="X2063">
        <v>96</v>
      </c>
      <c r="Y2063" t="s">
        <v>21946</v>
      </c>
      <c r="Z2063" t="s">
        <v>28478</v>
      </c>
      <c r="AA2063">
        <v>0.32904850020318838</v>
      </c>
      <c r="AB2063" t="str">
        <f>HYPERLINK("Melting_Curves/meltCurve_P12270_TPR.pdf", "Melting_Curves/meltCurve_P12270_TPR.pdf")</f>
        <v>Melting_Curves/meltCurve_P12270_TPR.pdf</v>
      </c>
    </row>
    <row r="2064" spans="1:28" x14ac:dyDescent="0.25">
      <c r="A2064" t="s">
        <v>2068</v>
      </c>
      <c r="B2064">
        <v>0.99193492352474899</v>
      </c>
      <c r="C2064">
        <v>1.2190015451606799</v>
      </c>
      <c r="D2064">
        <v>1.12757812189784</v>
      </c>
      <c r="E2064">
        <v>1.1239606702491201</v>
      </c>
      <c r="F2064">
        <v>1.2640630789843099</v>
      </c>
      <c r="G2064">
        <v>0.74571955260355705</v>
      </c>
      <c r="H2064">
        <v>0.57150327634912601</v>
      </c>
      <c r="I2064">
        <v>0.55315777230270002</v>
      </c>
      <c r="J2064">
        <v>0.59674810102783904</v>
      </c>
      <c r="K2064">
        <v>0.79737765966304697</v>
      </c>
      <c r="L2064">
        <v>14155.431944017</v>
      </c>
      <c r="M2064">
        <v>250</v>
      </c>
      <c r="O2064">
        <v>56.618127609162599</v>
      </c>
      <c r="P2064">
        <v>-0.40877308464969497</v>
      </c>
      <c r="Q2064">
        <v>0.62969668479232399</v>
      </c>
      <c r="R2064">
        <v>0.731343246171692</v>
      </c>
      <c r="S2064" t="s">
        <v>8734</v>
      </c>
      <c r="T2064" t="s">
        <v>13338</v>
      </c>
      <c r="U2064" t="s">
        <v>13338</v>
      </c>
      <c r="V2064" t="s">
        <v>13338</v>
      </c>
      <c r="W2064" t="s">
        <v>15366</v>
      </c>
      <c r="X2064">
        <v>1</v>
      </c>
      <c r="Y2064" t="s">
        <v>21947</v>
      </c>
      <c r="Z2064" t="s">
        <v>28479</v>
      </c>
      <c r="AA2064">
        <v>0.83490284525762526</v>
      </c>
      <c r="AB2064" t="str">
        <f>HYPERLINK("Melting_Curves/meltCurve_P12273_PIP.pdf", "Melting_Curves/meltCurve_P12273_PIP.pdf")</f>
        <v>Melting_Curves/meltCurve_P12273_PIP.pdf</v>
      </c>
    </row>
    <row r="2065" spans="1:28" x14ac:dyDescent="0.25">
      <c r="A2065" t="s">
        <v>2069</v>
      </c>
      <c r="B2065">
        <v>0.99193492352474899</v>
      </c>
      <c r="C2065">
        <v>0.841605397820402</v>
      </c>
      <c r="D2065">
        <v>0.88480033066838204</v>
      </c>
      <c r="E2065">
        <v>0.65549807927374404</v>
      </c>
      <c r="F2065">
        <v>0.26061790727859602</v>
      </c>
      <c r="G2065">
        <v>0.105195956440264</v>
      </c>
      <c r="H2065">
        <v>6.11966532383083E-2</v>
      </c>
      <c r="I2065">
        <v>5.9054069686388801E-2</v>
      </c>
      <c r="J2065">
        <v>7.5630663502962006E-2</v>
      </c>
      <c r="K2065">
        <v>7.6981509101213902E-2</v>
      </c>
      <c r="L2065">
        <v>1095.2887573226001</v>
      </c>
      <c r="M2065">
        <v>21.713246456065299</v>
      </c>
      <c r="N2065">
        <v>50.699810654572097</v>
      </c>
      <c r="O2065">
        <v>50.021328016731402</v>
      </c>
      <c r="P2065">
        <v>-0.102878237817761</v>
      </c>
      <c r="Q2065">
        <v>5.2010017169242501E-2</v>
      </c>
      <c r="R2065">
        <v>0.98330358798678497</v>
      </c>
      <c r="S2065" t="s">
        <v>8735</v>
      </c>
      <c r="T2065" t="s">
        <v>13338</v>
      </c>
      <c r="U2065" t="s">
        <v>13338</v>
      </c>
      <c r="V2065" t="s">
        <v>13338</v>
      </c>
      <c r="W2065" t="s">
        <v>15367</v>
      </c>
      <c r="X2065">
        <v>12</v>
      </c>
      <c r="Y2065" t="s">
        <v>21948</v>
      </c>
      <c r="Z2065" t="s">
        <v>28480</v>
      </c>
      <c r="AA2065">
        <v>0.39325773877827741</v>
      </c>
      <c r="AB2065" t="str">
        <f>HYPERLINK("Melting_Curves/meltCurve_P12277_CKB.pdf", "Melting_Curves/meltCurve_P12277_CKB.pdf")</f>
        <v>Melting_Curves/meltCurve_P12277_CKB.pdf</v>
      </c>
    </row>
    <row r="2066" spans="1:28" x14ac:dyDescent="0.25">
      <c r="A2066" t="s">
        <v>2070</v>
      </c>
      <c r="B2066">
        <v>0.99193492352474899</v>
      </c>
      <c r="C2066">
        <v>0.83335125132898602</v>
      </c>
      <c r="D2066">
        <v>0.88585956400806498</v>
      </c>
      <c r="E2066">
        <v>0.684750328961377</v>
      </c>
      <c r="F2066">
        <v>0.32041002633006799</v>
      </c>
      <c r="G2066">
        <v>0.147703627792834</v>
      </c>
      <c r="H2066">
        <v>8.7984703449840398E-2</v>
      </c>
      <c r="I2066">
        <v>7.8003613677984904E-2</v>
      </c>
      <c r="J2066">
        <v>8.6197617463940904E-2</v>
      </c>
      <c r="K2066">
        <v>0.10191621750883401</v>
      </c>
      <c r="L2066">
        <v>986.66041404695397</v>
      </c>
      <c r="M2066">
        <v>19.433847316533701</v>
      </c>
      <c r="N2066">
        <v>51.148419231921402</v>
      </c>
      <c r="O2066">
        <v>50.241779946580898</v>
      </c>
      <c r="P2066">
        <v>-9.0232912287134495E-2</v>
      </c>
      <c r="Q2066">
        <v>6.6927302768827704E-2</v>
      </c>
      <c r="R2066">
        <v>0.981438034797942</v>
      </c>
      <c r="S2066" t="s">
        <v>8736</v>
      </c>
      <c r="T2066" t="s">
        <v>13338</v>
      </c>
      <c r="U2066" t="s">
        <v>13338</v>
      </c>
      <c r="V2066" t="s">
        <v>13338</v>
      </c>
      <c r="W2066" t="s">
        <v>15368</v>
      </c>
      <c r="X2066">
        <v>12</v>
      </c>
      <c r="Y2066" t="s">
        <v>21949</v>
      </c>
      <c r="Z2066" t="s">
        <v>28481</v>
      </c>
      <c r="AA2066">
        <v>0.41558623002282541</v>
      </c>
      <c r="AB2066" t="str">
        <f>HYPERLINK("Melting_Curves/meltCurve_P12429_ANXA3.pdf", "Melting_Curves/meltCurve_P12429_ANXA3.pdf")</f>
        <v>Melting_Curves/meltCurve_P12429_ANXA3.pdf</v>
      </c>
    </row>
    <row r="2067" spans="1:28" x14ac:dyDescent="0.25">
      <c r="A2067" t="s">
        <v>2071</v>
      </c>
      <c r="B2067">
        <v>0.99193492352474899</v>
      </c>
      <c r="C2067">
        <v>0.96930903582245398</v>
      </c>
      <c r="D2067">
        <v>0.89471201216881202</v>
      </c>
      <c r="E2067">
        <v>0.82042721528175799</v>
      </c>
      <c r="F2067">
        <v>0.67241772992499704</v>
      </c>
      <c r="G2067">
        <v>0.50469224838342197</v>
      </c>
      <c r="H2067">
        <v>0.40188119707527198</v>
      </c>
      <c r="I2067">
        <v>0.46145455629085103</v>
      </c>
      <c r="J2067">
        <v>0.436361694081213</v>
      </c>
      <c r="K2067">
        <v>0.317780304089474</v>
      </c>
      <c r="L2067">
        <v>708.15711206664105</v>
      </c>
      <c r="M2067">
        <v>13.443772731450499</v>
      </c>
      <c r="N2067">
        <v>57.920672740616702</v>
      </c>
      <c r="O2067">
        <v>51.550916109625803</v>
      </c>
      <c r="P2067">
        <v>-4.2253447045199698E-2</v>
      </c>
      <c r="Q2067">
        <v>0.35200730791613899</v>
      </c>
      <c r="R2067">
        <v>0.97885989014029096</v>
      </c>
      <c r="S2067" t="s">
        <v>8737</v>
      </c>
      <c r="T2067" t="s">
        <v>13338</v>
      </c>
      <c r="U2067" t="s">
        <v>13338</v>
      </c>
      <c r="V2067" t="s">
        <v>13338</v>
      </c>
      <c r="W2067" t="s">
        <v>15369</v>
      </c>
      <c r="X2067">
        <v>6</v>
      </c>
      <c r="Y2067" t="s">
        <v>21950</v>
      </c>
      <c r="Z2067" t="s">
        <v>28482</v>
      </c>
      <c r="AA2067">
        <v>0.6422178551972858</v>
      </c>
      <c r="AB2067" t="str">
        <f>HYPERLINK("Melting_Curves/meltCurve_P12532_CKMT1A.pdf", "Melting_Curves/meltCurve_P12532_CKMT1A.pdf")</f>
        <v>Melting_Curves/meltCurve_P12532_CKMT1A.pdf</v>
      </c>
    </row>
    <row r="2068" spans="1:28" x14ac:dyDescent="0.25">
      <c r="A2068" t="s">
        <v>2072</v>
      </c>
      <c r="B2068">
        <v>0.99193492352474899</v>
      </c>
      <c r="C2068">
        <v>0.56975094153357697</v>
      </c>
      <c r="D2068">
        <v>0.92508909323731203</v>
      </c>
      <c r="E2068">
        <v>0.48985104804241802</v>
      </c>
      <c r="F2068">
        <v>0.55661611019609902</v>
      </c>
      <c r="G2068">
        <v>0.262248367616154</v>
      </c>
      <c r="H2068">
        <v>0.29882331826252001</v>
      </c>
      <c r="I2068">
        <v>0.15746254916911201</v>
      </c>
      <c r="J2068">
        <v>0.20925443770083499</v>
      </c>
      <c r="K2068">
        <v>0.212653308378419</v>
      </c>
      <c r="L2068">
        <v>398.39381506340499</v>
      </c>
      <c r="M2068">
        <v>7.8598883526931003</v>
      </c>
      <c r="N2068">
        <v>51.763944690784299</v>
      </c>
      <c r="O2068">
        <v>47.720345647923097</v>
      </c>
      <c r="P2068">
        <v>-3.8116846935752201E-2</v>
      </c>
      <c r="Q2068">
        <v>7.5429917808389896E-2</v>
      </c>
      <c r="R2068">
        <v>0.81206684279755004</v>
      </c>
      <c r="S2068" t="s">
        <v>8738</v>
      </c>
      <c r="T2068" t="s">
        <v>13338</v>
      </c>
      <c r="U2068" t="s">
        <v>13338</v>
      </c>
      <c r="V2068" t="s">
        <v>13338</v>
      </c>
      <c r="W2068" t="s">
        <v>15370</v>
      </c>
      <c r="X2068">
        <v>3</v>
      </c>
      <c r="Y2068" t="s">
        <v>21951</v>
      </c>
      <c r="Z2068" t="s">
        <v>28483</v>
      </c>
      <c r="AA2068">
        <v>0.45689689576696291</v>
      </c>
      <c r="AB2068" t="str">
        <f>HYPERLINK("Melting_Curves/meltCurve_P12544_2_GZMA.pdf", "Melting_Curves/meltCurve_P12544_2_GZMA.pdf")</f>
        <v>Melting_Curves/meltCurve_P12544_2_GZMA.pdf</v>
      </c>
    </row>
    <row r="2069" spans="1:28" x14ac:dyDescent="0.25">
      <c r="A2069" t="s">
        <v>2073</v>
      </c>
      <c r="B2069">
        <v>0.99193492352474899</v>
      </c>
      <c r="C2069">
        <v>0.79612319709218804</v>
      </c>
      <c r="D2069">
        <v>0.81673662576513695</v>
      </c>
      <c r="E2069">
        <v>0.61857822443132804</v>
      </c>
      <c r="F2069">
        <v>0.53844916130961495</v>
      </c>
      <c r="G2069">
        <v>0.36751849872464698</v>
      </c>
      <c r="H2069">
        <v>7.6925627038210403E-2</v>
      </c>
      <c r="I2069">
        <v>9.2746134403242406E-2</v>
      </c>
      <c r="J2069">
        <v>7.8358012995665693E-2</v>
      </c>
      <c r="K2069">
        <v>8.1213314072713302E-2</v>
      </c>
      <c r="L2069">
        <v>546.69866998101395</v>
      </c>
      <c r="M2069">
        <v>10.4471882128198</v>
      </c>
      <c r="N2069">
        <v>52.3297371745455</v>
      </c>
      <c r="O2069">
        <v>50.521408142324802</v>
      </c>
      <c r="P2069">
        <v>-5.1718121755789902E-2</v>
      </c>
      <c r="Q2069">
        <v>0</v>
      </c>
      <c r="R2069">
        <v>0.96566146884918702</v>
      </c>
      <c r="S2069" t="s">
        <v>8739</v>
      </c>
      <c r="T2069" t="s">
        <v>13338</v>
      </c>
      <c r="U2069" t="s">
        <v>13338</v>
      </c>
      <c r="V2069" t="s">
        <v>13338</v>
      </c>
      <c r="W2069" t="s">
        <v>15371</v>
      </c>
      <c r="X2069">
        <v>56</v>
      </c>
      <c r="Y2069" t="s">
        <v>21952</v>
      </c>
      <c r="Z2069" t="s">
        <v>28484</v>
      </c>
      <c r="AA2069">
        <v>0.4460892649095537</v>
      </c>
      <c r="AB2069" t="str">
        <f>HYPERLINK("Melting_Curves/meltCurve_P12814_ACTN1.pdf", "Melting_Curves/meltCurve_P12814_ACTN1.pdf")</f>
        <v>Melting_Curves/meltCurve_P12814_ACTN1.pdf</v>
      </c>
    </row>
    <row r="2070" spans="1:28" x14ac:dyDescent="0.25">
      <c r="A2070" t="s">
        <v>2074</v>
      </c>
      <c r="B2070">
        <v>0.99193492352474899</v>
      </c>
      <c r="C2070">
        <v>0.91224149886218997</v>
      </c>
      <c r="D2070">
        <v>0.97440468324717899</v>
      </c>
      <c r="E2070">
        <v>0.67901594615498995</v>
      </c>
      <c r="F2070">
        <v>0.29441649581190599</v>
      </c>
      <c r="G2070">
        <v>0.120483919217086</v>
      </c>
      <c r="H2070">
        <v>6.4930022707288301E-2</v>
      </c>
      <c r="I2070">
        <v>7.4717118308514602E-2</v>
      </c>
      <c r="J2070">
        <v>7.8393494161449598E-2</v>
      </c>
      <c r="K2070">
        <v>8.9802333001517895E-2</v>
      </c>
      <c r="L2070">
        <v>1371.0160576557801</v>
      </c>
      <c r="M2070">
        <v>26.971115912295101</v>
      </c>
      <c r="N2070">
        <v>51.1315259220953</v>
      </c>
      <c r="O2070">
        <v>50.555747399388302</v>
      </c>
      <c r="P2070">
        <v>-0.12365096195850001</v>
      </c>
      <c r="Q2070">
        <v>7.2903373605328406E-2</v>
      </c>
      <c r="R2070">
        <v>0.99465241846542796</v>
      </c>
      <c r="S2070" t="s">
        <v>8740</v>
      </c>
      <c r="T2070" t="s">
        <v>13338</v>
      </c>
      <c r="U2070" t="s">
        <v>13338</v>
      </c>
      <c r="V2070" t="s">
        <v>13338</v>
      </c>
      <c r="W2070" t="s">
        <v>15372</v>
      </c>
      <c r="X2070">
        <v>10</v>
      </c>
      <c r="Y2070" t="s">
        <v>21953</v>
      </c>
      <c r="Z2070" t="s">
        <v>28485</v>
      </c>
      <c r="AA2070">
        <v>0.41486205965755107</v>
      </c>
      <c r="AB2070" t="str">
        <f>HYPERLINK("Melting_Curves/meltCurve_P12931_SRC.pdf", "Melting_Curves/meltCurve_P12931_SRC.pdf")</f>
        <v>Melting_Curves/meltCurve_P12931_SRC.pdf</v>
      </c>
    </row>
    <row r="2071" spans="1:28" x14ac:dyDescent="0.25">
      <c r="A2071" t="s">
        <v>2075</v>
      </c>
      <c r="B2071">
        <v>0.99193492352474899</v>
      </c>
      <c r="C2071">
        <v>1.6083484287769001</v>
      </c>
      <c r="D2071">
        <v>0.85768105579357701</v>
      </c>
      <c r="E2071">
        <v>1.17379513998378</v>
      </c>
      <c r="F2071">
        <v>0.81216633223915102</v>
      </c>
      <c r="G2071">
        <v>0.61560656324472396</v>
      </c>
      <c r="H2071">
        <v>0.25634333608562099</v>
      </c>
      <c r="I2071">
        <v>0.14479320374426999</v>
      </c>
      <c r="J2071">
        <v>0.114508483037475</v>
      </c>
      <c r="K2071">
        <v>0.122247887004483</v>
      </c>
      <c r="L2071">
        <v>1488.9160325501</v>
      </c>
      <c r="M2071">
        <v>26.0334566474721</v>
      </c>
      <c r="N2071">
        <v>57.696169090011303</v>
      </c>
      <c r="O2071">
        <v>56.858142312865603</v>
      </c>
      <c r="P2071">
        <v>-0.10283098667594701</v>
      </c>
      <c r="Q2071">
        <v>0.101661833848827</v>
      </c>
      <c r="R2071">
        <v>0.81587143664522999</v>
      </c>
      <c r="S2071" t="s">
        <v>8741</v>
      </c>
      <c r="T2071" t="s">
        <v>13338</v>
      </c>
      <c r="U2071" t="s">
        <v>13338</v>
      </c>
      <c r="V2071" t="s">
        <v>13338</v>
      </c>
      <c r="W2071" t="s">
        <v>15373</v>
      </c>
      <c r="X2071">
        <v>15</v>
      </c>
      <c r="Y2071" t="s">
        <v>21954</v>
      </c>
      <c r="Z2071" t="s">
        <v>28486</v>
      </c>
      <c r="AA2071">
        <v>0.62404268314654476</v>
      </c>
      <c r="AB2071" t="str">
        <f>HYPERLINK("Melting_Curves/meltCurve_P12955_PEPD.pdf", "Melting_Curves/meltCurve_P12955_PEPD.pdf")</f>
        <v>Melting_Curves/meltCurve_P12955_PEPD.pdf</v>
      </c>
    </row>
    <row r="2072" spans="1:28" x14ac:dyDescent="0.25">
      <c r="A2072" t="s">
        <v>2076</v>
      </c>
      <c r="B2072">
        <v>0.99193492352474899</v>
      </c>
      <c r="C2072">
        <v>0.46080965332717999</v>
      </c>
      <c r="D2072">
        <v>0.755282142796881</v>
      </c>
      <c r="E2072">
        <v>0.25151528857042998</v>
      </c>
      <c r="F2072">
        <v>0.138227597483116</v>
      </c>
      <c r="G2072">
        <v>7.2023904493777394E-2</v>
      </c>
      <c r="H2072">
        <v>4.4691605376591302E-2</v>
      </c>
      <c r="I2072">
        <v>5.1393975403778998E-2</v>
      </c>
      <c r="J2072">
        <v>5.7809227070447798E-2</v>
      </c>
      <c r="K2072">
        <v>5.81591267465386E-2</v>
      </c>
      <c r="L2072">
        <v>573.23863272715596</v>
      </c>
      <c r="M2072">
        <v>12.413609788657199</v>
      </c>
      <c r="N2072">
        <v>46.288382490744098</v>
      </c>
      <c r="O2072">
        <v>45.028989742976002</v>
      </c>
      <c r="P2072">
        <v>-6.7931675472696296E-2</v>
      </c>
      <c r="Q2072">
        <v>1.45503752550249E-2</v>
      </c>
      <c r="R2072">
        <v>0.85824645846076497</v>
      </c>
      <c r="S2072" t="s">
        <v>8742</v>
      </c>
      <c r="T2072" t="s">
        <v>13338</v>
      </c>
      <c r="U2072" t="s">
        <v>13338</v>
      </c>
      <c r="V2072" t="s">
        <v>13338</v>
      </c>
      <c r="W2072" t="s">
        <v>15374</v>
      </c>
      <c r="X2072">
        <v>39</v>
      </c>
      <c r="Y2072" t="s">
        <v>21955</v>
      </c>
      <c r="Z2072" t="s">
        <v>28487</v>
      </c>
      <c r="AA2072">
        <v>0.25893494687537127</v>
      </c>
      <c r="AB2072" t="str">
        <f>HYPERLINK("Melting_Curves/meltCurve_P12956_XRCC6.pdf", "Melting_Curves/meltCurve_P12956_XRCC6.pdf")</f>
        <v>Melting_Curves/meltCurve_P12956_XRCC6.pdf</v>
      </c>
    </row>
    <row r="2073" spans="1:28" x14ac:dyDescent="0.25">
      <c r="A2073" t="s">
        <v>2077</v>
      </c>
      <c r="B2073">
        <v>0.99193492352474899</v>
      </c>
      <c r="C2073">
        <v>0.37518910439000902</v>
      </c>
      <c r="D2073">
        <v>0.32138656442501801</v>
      </c>
      <c r="E2073">
        <v>0.110938673638382</v>
      </c>
      <c r="F2073">
        <v>8.7669650695106197E-2</v>
      </c>
      <c r="G2073">
        <v>4.8128141142983298E-2</v>
      </c>
      <c r="H2073">
        <v>3.1295967421609797E-2</v>
      </c>
      <c r="I2073">
        <v>3.31578400361148E-2</v>
      </c>
      <c r="J2073">
        <v>3.9721279845677901E-2</v>
      </c>
      <c r="K2073">
        <v>3.5743522924342901E-2</v>
      </c>
      <c r="L2073">
        <v>1106.5218808345401</v>
      </c>
      <c r="M2073">
        <v>25.895326769942301</v>
      </c>
      <c r="N2073">
        <v>42.941173948533297</v>
      </c>
      <c r="O2073">
        <v>42.478181991451102</v>
      </c>
      <c r="P2073">
        <v>-0.14331680501229599</v>
      </c>
      <c r="Q2073">
        <v>5.9634911449933103E-2</v>
      </c>
      <c r="R2073">
        <v>0.93301318545227496</v>
      </c>
      <c r="S2073" t="s">
        <v>8743</v>
      </c>
      <c r="T2073" t="s">
        <v>13338</v>
      </c>
      <c r="U2073" t="s">
        <v>13338</v>
      </c>
      <c r="V2073" t="s">
        <v>13338</v>
      </c>
      <c r="W2073" t="s">
        <v>15375</v>
      </c>
      <c r="X2073">
        <v>36</v>
      </c>
      <c r="Y2073" t="s">
        <v>21956</v>
      </c>
      <c r="Z2073" t="s">
        <v>28488</v>
      </c>
      <c r="AA2073">
        <v>0.1585916226927018</v>
      </c>
      <c r="AB2073" t="str">
        <f>HYPERLINK("Melting_Curves/meltCurve_P13010_XRCC5.pdf", "Melting_Curves/meltCurve_P13010_XRCC5.pdf")</f>
        <v>Melting_Curves/meltCurve_P13010_XRCC5.pdf</v>
      </c>
    </row>
    <row r="2074" spans="1:28" x14ac:dyDescent="0.25">
      <c r="A2074" t="s">
        <v>2078</v>
      </c>
      <c r="B2074">
        <v>0.99193492352474899</v>
      </c>
      <c r="C2074">
        <v>1.25618414688656</v>
      </c>
      <c r="D2074">
        <v>1.34161494694169</v>
      </c>
      <c r="E2074">
        <v>0.89194873267309804</v>
      </c>
      <c r="F2074">
        <v>0.41206842898587898</v>
      </c>
      <c r="G2074">
        <v>0.174173689195253</v>
      </c>
      <c r="H2074">
        <v>0.107145763735521</v>
      </c>
      <c r="I2074">
        <v>0.10663106290199099</v>
      </c>
      <c r="J2074">
        <v>0.109633890499751</v>
      </c>
      <c r="K2074">
        <v>0.19085557772707201</v>
      </c>
      <c r="L2074">
        <v>2208.86197239274</v>
      </c>
      <c r="M2074">
        <v>42.277380598062699</v>
      </c>
      <c r="N2074">
        <v>52.627023712891599</v>
      </c>
      <c r="O2074">
        <v>52.130407837926398</v>
      </c>
      <c r="P2074">
        <v>-0.176070558611466</v>
      </c>
      <c r="Q2074">
        <v>0.13158151088092301</v>
      </c>
      <c r="R2074">
        <v>0.917600801198178</v>
      </c>
      <c r="S2074" t="s">
        <v>8744</v>
      </c>
      <c r="T2074" t="s">
        <v>13338</v>
      </c>
      <c r="U2074" t="s">
        <v>13338</v>
      </c>
      <c r="V2074" t="s">
        <v>13338</v>
      </c>
      <c r="W2074" t="s">
        <v>15376</v>
      </c>
      <c r="X2074">
        <v>4</v>
      </c>
      <c r="Y2074" t="s">
        <v>21957</v>
      </c>
      <c r="Z2074" t="s">
        <v>28489</v>
      </c>
      <c r="AA2074">
        <v>0.48890011362868518</v>
      </c>
      <c r="AB2074" t="str">
        <f>HYPERLINK("Melting_Curves/meltCurve_P13051_UNG.pdf", "Melting_Curves/meltCurve_P13051_UNG.pdf")</f>
        <v>Melting_Curves/meltCurve_P13051_UNG.pdf</v>
      </c>
    </row>
    <row r="2075" spans="1:28" x14ac:dyDescent="0.25">
      <c r="A2075" t="s">
        <v>2079</v>
      </c>
      <c r="B2075">
        <v>0.99193492352474899</v>
      </c>
      <c r="C2075">
        <v>2.3905240171673499</v>
      </c>
      <c r="D2075">
        <v>3.4831501861192198</v>
      </c>
      <c r="E2075">
        <v>2.0475074799522601</v>
      </c>
      <c r="F2075">
        <v>0.72392673780158001</v>
      </c>
      <c r="G2075">
        <v>0.70130123330855998</v>
      </c>
      <c r="H2075">
        <v>0.14574444611348999</v>
      </c>
      <c r="I2075">
        <v>0.71797056555860295</v>
      </c>
      <c r="J2075">
        <v>1.1388388020734801</v>
      </c>
      <c r="K2075">
        <v>1.0720971338827701</v>
      </c>
      <c r="L2075">
        <v>10252.8772401647</v>
      </c>
      <c r="M2075">
        <v>250</v>
      </c>
      <c r="O2075">
        <v>41.008884535928097</v>
      </c>
      <c r="P2075">
        <v>0.579317968876644</v>
      </c>
      <c r="Q2075">
        <v>1.38011493830938</v>
      </c>
      <c r="R2075">
        <v>1.5006523752774E-2</v>
      </c>
      <c r="S2075" t="s">
        <v>8745</v>
      </c>
      <c r="T2075" t="s">
        <v>13338</v>
      </c>
      <c r="U2075" t="s">
        <v>13338</v>
      </c>
      <c r="V2075" t="s">
        <v>13338</v>
      </c>
      <c r="W2075" t="s">
        <v>15377</v>
      </c>
      <c r="X2075">
        <v>4</v>
      </c>
      <c r="Y2075" t="s">
        <v>21957</v>
      </c>
      <c r="Z2075" t="s">
        <v>28490</v>
      </c>
      <c r="AA2075">
        <v>1.3672677359447889</v>
      </c>
      <c r="AB2075" t="str">
        <f>HYPERLINK("Melting_Curves/meltCurve_P13051_2_UNG.pdf", "Melting_Curves/meltCurve_P13051_2_UNG.pdf")</f>
        <v>Melting_Curves/meltCurve_P13051_2_UNG.pdf</v>
      </c>
    </row>
    <row r="2076" spans="1:28" x14ac:dyDescent="0.25">
      <c r="A2076" t="s">
        <v>2080</v>
      </c>
      <c r="B2076">
        <v>0.99193492352474899</v>
      </c>
      <c r="C2076">
        <v>0.89993308145833595</v>
      </c>
      <c r="D2076">
        <v>0.73193460269323696</v>
      </c>
      <c r="E2076">
        <v>0.418764717305322</v>
      </c>
      <c r="F2076">
        <v>0.27730824007830301</v>
      </c>
      <c r="G2076">
        <v>0.105881753831224</v>
      </c>
      <c r="H2076">
        <v>7.0548465785787995E-2</v>
      </c>
      <c r="I2076">
        <v>0.108095836175798</v>
      </c>
      <c r="J2076">
        <v>0.11299443920475601</v>
      </c>
      <c r="K2076">
        <v>0.111658384719776</v>
      </c>
      <c r="L2076">
        <v>860.41010074809503</v>
      </c>
      <c r="M2076">
        <v>17.8477853197993</v>
      </c>
      <c r="N2076">
        <v>48.739900166395103</v>
      </c>
      <c r="O2076">
        <v>47.615241077229001</v>
      </c>
      <c r="P2076">
        <v>-8.5423899707542106E-2</v>
      </c>
      <c r="Q2076">
        <v>8.8453387654725699E-2</v>
      </c>
      <c r="R2076">
        <v>0.99440018781353201</v>
      </c>
      <c r="S2076" t="s">
        <v>8746</v>
      </c>
      <c r="T2076" t="s">
        <v>13338</v>
      </c>
      <c r="U2076" t="s">
        <v>13338</v>
      </c>
      <c r="V2076" t="s">
        <v>13338</v>
      </c>
      <c r="W2076" t="s">
        <v>15378</v>
      </c>
      <c r="X2076">
        <v>3</v>
      </c>
      <c r="Y2076" t="s">
        <v>21958</v>
      </c>
      <c r="Z2076" t="s">
        <v>28491</v>
      </c>
      <c r="AA2076">
        <v>0.35422048739538192</v>
      </c>
      <c r="AB2076" t="str">
        <f>HYPERLINK("Melting_Curves/meltCurve_P13056_NR2C1.pdf", "Melting_Curves/meltCurve_P13056_NR2C1.pdf")</f>
        <v>Melting_Curves/meltCurve_P13056_NR2C1.pdf</v>
      </c>
    </row>
    <row r="2077" spans="1:28" x14ac:dyDescent="0.25">
      <c r="A2077" t="s">
        <v>2081</v>
      </c>
      <c r="B2077">
        <v>0.99193492352474899</v>
      </c>
      <c r="C2077">
        <v>0.83731253517103699</v>
      </c>
      <c r="D2077">
        <v>0.85541064074031004</v>
      </c>
      <c r="E2077">
        <v>0.66947479461604698</v>
      </c>
      <c r="F2077">
        <v>0.54615338098923105</v>
      </c>
      <c r="G2077">
        <v>0.39705637356238999</v>
      </c>
      <c r="H2077">
        <v>0.37998700496291998</v>
      </c>
      <c r="I2077">
        <v>0.44637298157733302</v>
      </c>
      <c r="J2077">
        <v>0.486507425109515</v>
      </c>
      <c r="K2077">
        <v>0.70508373276174996</v>
      </c>
      <c r="L2077">
        <v>872.11377628238199</v>
      </c>
      <c r="M2077">
        <v>18.4011416571573</v>
      </c>
      <c r="N2077">
        <v>57.769488613142698</v>
      </c>
      <c r="O2077">
        <v>46.845432267961698</v>
      </c>
      <c r="P2077">
        <v>-5.0905471826016797E-2</v>
      </c>
      <c r="Q2077">
        <v>0.48164489239182401</v>
      </c>
      <c r="R2077">
        <v>0.78772656017060905</v>
      </c>
      <c r="S2077" t="s">
        <v>8747</v>
      </c>
      <c r="T2077" t="s">
        <v>13338</v>
      </c>
      <c r="U2077" t="s">
        <v>13338</v>
      </c>
      <c r="V2077" t="s">
        <v>13338</v>
      </c>
      <c r="W2077" t="s">
        <v>15379</v>
      </c>
      <c r="X2077">
        <v>14</v>
      </c>
      <c r="Y2077" t="s">
        <v>21959</v>
      </c>
      <c r="Z2077" t="s">
        <v>28492</v>
      </c>
      <c r="AA2077">
        <v>0.61837289338765278</v>
      </c>
      <c r="AB2077" t="str">
        <f>HYPERLINK("Melting_Curves/meltCurve_P13073_COX4I1.pdf", "Melting_Curves/meltCurve_P13073_COX4I1.pdf")</f>
        <v>Melting_Curves/meltCurve_P13073_COX4I1.pdf</v>
      </c>
    </row>
    <row r="2078" spans="1:28" x14ac:dyDescent="0.25">
      <c r="A2078" t="s">
        <v>2082</v>
      </c>
      <c r="B2078">
        <v>0.99193492352474899</v>
      </c>
      <c r="C2078">
        <v>0.76719751127737401</v>
      </c>
      <c r="D2078">
        <v>0.94602053555154098</v>
      </c>
      <c r="E2078">
        <v>0.515122431369895</v>
      </c>
      <c r="F2078">
        <v>0.34541760288637902</v>
      </c>
      <c r="G2078">
        <v>0.20505834860362199</v>
      </c>
      <c r="H2078">
        <v>0.15205028327998299</v>
      </c>
      <c r="I2078">
        <v>0.12155985454630901</v>
      </c>
      <c r="J2078">
        <v>0.19875086809832801</v>
      </c>
      <c r="K2078">
        <v>0.14228213402877299</v>
      </c>
      <c r="L2078">
        <v>886.86282947062398</v>
      </c>
      <c r="M2078">
        <v>17.924725724904299</v>
      </c>
      <c r="N2078">
        <v>50.3869508609367</v>
      </c>
      <c r="O2078">
        <v>48.873568050674699</v>
      </c>
      <c r="P2078">
        <v>-7.9016249727195897E-2</v>
      </c>
      <c r="Q2078">
        <v>0.13826000676237701</v>
      </c>
      <c r="R2078">
        <v>0.94930862821150697</v>
      </c>
      <c r="S2078" t="s">
        <v>8748</v>
      </c>
      <c r="T2078" t="s">
        <v>13338</v>
      </c>
      <c r="U2078" t="s">
        <v>13338</v>
      </c>
      <c r="V2078" t="s">
        <v>13338</v>
      </c>
      <c r="W2078" t="s">
        <v>15380</v>
      </c>
      <c r="X2078">
        <v>4</v>
      </c>
      <c r="Y2078" t="s">
        <v>21960</v>
      </c>
      <c r="Z2078" t="s">
        <v>28493</v>
      </c>
      <c r="AA2078">
        <v>0.42541188089597898</v>
      </c>
      <c r="AB2078" t="str">
        <f>HYPERLINK("Melting_Curves/meltCurve_P13196_ALAS1.pdf", "Melting_Curves/meltCurve_P13196_ALAS1.pdf")</f>
        <v>Melting_Curves/meltCurve_P13196_ALAS1.pdf</v>
      </c>
    </row>
    <row r="2079" spans="1:28" x14ac:dyDescent="0.25">
      <c r="A2079" t="s">
        <v>2083</v>
      </c>
      <c r="B2079">
        <v>0.99193492352474899</v>
      </c>
      <c r="C2079">
        <v>0.63618116915955703</v>
      </c>
      <c r="D2079">
        <v>0.399024080273578</v>
      </c>
      <c r="E2079">
        <v>0.55018121543827403</v>
      </c>
      <c r="F2079">
        <v>0.31396470830887602</v>
      </c>
      <c r="G2079">
        <v>0.35173908036068702</v>
      </c>
      <c r="H2079">
        <v>0.17051067316253801</v>
      </c>
      <c r="I2079">
        <v>4.6086303723590898E-2</v>
      </c>
      <c r="J2079">
        <v>5.68220229404394E-2</v>
      </c>
      <c r="K2079">
        <v>0</v>
      </c>
      <c r="L2079">
        <v>384.24044312025899</v>
      </c>
      <c r="M2079">
        <v>8.0184033832738599</v>
      </c>
      <c r="N2079">
        <v>47.919820029176499</v>
      </c>
      <c r="O2079">
        <v>45.214936983018603</v>
      </c>
      <c r="P2079">
        <v>-4.43846487847043E-2</v>
      </c>
      <c r="Q2079">
        <v>0</v>
      </c>
      <c r="R2079">
        <v>0.87427699606654796</v>
      </c>
      <c r="S2079" t="s">
        <v>8749</v>
      </c>
      <c r="T2079" t="s">
        <v>13338</v>
      </c>
      <c r="U2079" t="s">
        <v>13338</v>
      </c>
      <c r="V2079" t="s">
        <v>13338</v>
      </c>
      <c r="W2079" t="s">
        <v>15381</v>
      </c>
      <c r="X2079">
        <v>1</v>
      </c>
      <c r="Y2079" t="s">
        <v>21961</v>
      </c>
      <c r="Z2079" t="s">
        <v>28494</v>
      </c>
      <c r="AA2079">
        <v>0.33695706954061599</v>
      </c>
      <c r="AB2079" t="str">
        <f>HYPERLINK("Melting_Curves/meltCurve_P13284_IFI30.pdf", "Melting_Curves/meltCurve_P13284_IFI30.pdf")</f>
        <v>Melting_Curves/meltCurve_P13284_IFI30.pdf</v>
      </c>
    </row>
    <row r="2080" spans="1:28" x14ac:dyDescent="0.25">
      <c r="A2080" t="s">
        <v>2084</v>
      </c>
      <c r="B2080">
        <v>0.99193492352474899</v>
      </c>
      <c r="C2080">
        <v>0.95310543853266705</v>
      </c>
      <c r="D2080">
        <v>0.852033908984553</v>
      </c>
      <c r="E2080">
        <v>0.683068738280036</v>
      </c>
      <c r="F2080">
        <v>0.17659212295190599</v>
      </c>
      <c r="G2080">
        <v>8.3781162843526297E-2</v>
      </c>
      <c r="H2080">
        <v>4.7182215138608201E-2</v>
      </c>
      <c r="I2080">
        <v>5.0864224440652001E-2</v>
      </c>
      <c r="J2080">
        <v>5.5783238010657099E-2</v>
      </c>
      <c r="K2080">
        <v>4.93721554881573E-2</v>
      </c>
      <c r="L2080">
        <v>1422.8299320731601</v>
      </c>
      <c r="M2080">
        <v>28.217059016803599</v>
      </c>
      <c r="N2080">
        <v>50.585178200110001</v>
      </c>
      <c r="O2080">
        <v>50.173236738851202</v>
      </c>
      <c r="P2080">
        <v>-0.13457120515776499</v>
      </c>
      <c r="Q2080">
        <v>4.2874516540566801E-2</v>
      </c>
      <c r="R2080">
        <v>0.99088386869241596</v>
      </c>
      <c r="S2080" t="s">
        <v>8750</v>
      </c>
      <c r="T2080" t="s">
        <v>13338</v>
      </c>
      <c r="U2080" t="s">
        <v>13338</v>
      </c>
      <c r="V2080" t="s">
        <v>13338</v>
      </c>
      <c r="W2080" t="s">
        <v>15382</v>
      </c>
      <c r="X2080">
        <v>28</v>
      </c>
      <c r="Y2080" t="s">
        <v>21962</v>
      </c>
      <c r="Z2080" t="s">
        <v>28495</v>
      </c>
      <c r="AA2080">
        <v>0.38220175289728969</v>
      </c>
      <c r="AB2080" t="str">
        <f>HYPERLINK("Melting_Curves/meltCurve_P13489_RNH1.pdf", "Melting_Curves/meltCurve_P13489_RNH1.pdf")</f>
        <v>Melting_Curves/meltCurve_P13489_RNH1.pdf</v>
      </c>
    </row>
    <row r="2081" spans="1:28" x14ac:dyDescent="0.25">
      <c r="A2081" t="s">
        <v>2085</v>
      </c>
      <c r="B2081">
        <v>0.99193492352474899</v>
      </c>
      <c r="C2081">
        <v>0.53809402828019803</v>
      </c>
      <c r="D2081">
        <v>0.768203116430901</v>
      </c>
      <c r="E2081">
        <v>0.495529601709779</v>
      </c>
      <c r="F2081">
        <v>0.60062940763056105</v>
      </c>
      <c r="G2081">
        <v>0.29094487008373598</v>
      </c>
      <c r="H2081">
        <v>0.31721386204396501</v>
      </c>
      <c r="I2081">
        <v>0.26309826571992401</v>
      </c>
      <c r="J2081">
        <v>0.422045976940988</v>
      </c>
      <c r="K2081">
        <v>0.422459114949579</v>
      </c>
      <c r="L2081">
        <v>457.57236103090003</v>
      </c>
      <c r="M2081">
        <v>10.0704522226261</v>
      </c>
      <c r="N2081">
        <v>50.801232183299902</v>
      </c>
      <c r="O2081">
        <v>43.754532516569199</v>
      </c>
      <c r="P2081">
        <v>-3.8722264249045797E-2</v>
      </c>
      <c r="Q2081">
        <v>0.32734988054396402</v>
      </c>
      <c r="R2081">
        <v>0.69778664340850904</v>
      </c>
      <c r="S2081" t="s">
        <v>8751</v>
      </c>
      <c r="T2081" t="s">
        <v>13338</v>
      </c>
      <c r="U2081" t="s">
        <v>13338</v>
      </c>
      <c r="V2081" t="s">
        <v>13338</v>
      </c>
      <c r="W2081" t="s">
        <v>15383</v>
      </c>
      <c r="X2081">
        <v>6</v>
      </c>
      <c r="Y2081" t="s">
        <v>21963</v>
      </c>
      <c r="Z2081" t="s">
        <v>28496</v>
      </c>
      <c r="AA2081">
        <v>0.4930297353556975</v>
      </c>
      <c r="AB2081" t="str">
        <f>HYPERLINK("Melting_Curves/meltCurve_P13598_ICAM2.pdf", "Melting_Curves/meltCurve_P13598_ICAM2.pdf")</f>
        <v>Melting_Curves/meltCurve_P13598_ICAM2.pdf</v>
      </c>
    </row>
    <row r="2082" spans="1:28" x14ac:dyDescent="0.25">
      <c r="A2082" t="s">
        <v>2086</v>
      </c>
      <c r="B2082">
        <v>0.99193492352474899</v>
      </c>
      <c r="C2082">
        <v>0.96729856637326295</v>
      </c>
      <c r="D2082">
        <v>0.99725956954807904</v>
      </c>
      <c r="E2082">
        <v>0.79527209981828695</v>
      </c>
      <c r="F2082">
        <v>0.64280088776732103</v>
      </c>
      <c r="G2082">
        <v>0.478090839301549</v>
      </c>
      <c r="H2082">
        <v>0.32234186848980001</v>
      </c>
      <c r="I2082">
        <v>0.33675395130941199</v>
      </c>
      <c r="J2082">
        <v>0.39793786135479498</v>
      </c>
      <c r="K2082">
        <v>0.37173743434249501</v>
      </c>
      <c r="L2082">
        <v>1031.9934983138401</v>
      </c>
      <c r="M2082">
        <v>19.7398094902134</v>
      </c>
      <c r="N2082">
        <v>55.610145728016803</v>
      </c>
      <c r="O2082">
        <v>51.752158656324802</v>
      </c>
      <c r="P2082">
        <v>-6.2299808508295897E-2</v>
      </c>
      <c r="Q2082">
        <v>0.346693158264956</v>
      </c>
      <c r="R2082">
        <v>0.98432747003825005</v>
      </c>
      <c r="S2082" t="s">
        <v>8752</v>
      </c>
      <c r="T2082" t="s">
        <v>13338</v>
      </c>
      <c r="U2082" t="s">
        <v>13338</v>
      </c>
      <c r="V2082" t="s">
        <v>13338</v>
      </c>
      <c r="W2082" t="s">
        <v>15384</v>
      </c>
      <c r="X2082">
        <v>35</v>
      </c>
      <c r="Y2082" t="s">
        <v>21964</v>
      </c>
      <c r="Z2082" t="s">
        <v>28497</v>
      </c>
      <c r="AA2082">
        <v>0.62334946297196658</v>
      </c>
      <c r="AB2082" t="str">
        <f>HYPERLINK("Melting_Curves/meltCurve_P13612_ITGA4.pdf", "Melting_Curves/meltCurve_P13612_ITGA4.pdf")</f>
        <v>Melting_Curves/meltCurve_P13612_ITGA4.pdf</v>
      </c>
    </row>
    <row r="2083" spans="1:28" x14ac:dyDescent="0.25">
      <c r="A2083" t="s">
        <v>2087</v>
      </c>
      <c r="B2083">
        <v>0.99193492352474899</v>
      </c>
      <c r="C2083">
        <v>1.03117800334695</v>
      </c>
      <c r="D2083">
        <v>1.0147530789886601</v>
      </c>
      <c r="E2083">
        <v>0.88652875947820298</v>
      </c>
      <c r="F2083">
        <v>0.78090784958878001</v>
      </c>
      <c r="G2083">
        <v>0.46039968169963302</v>
      </c>
      <c r="H2083">
        <v>0.154673303823608</v>
      </c>
      <c r="I2083">
        <v>0.138902770884166</v>
      </c>
      <c r="J2083">
        <v>0.151327124787446</v>
      </c>
      <c r="K2083">
        <v>0.173580200060241</v>
      </c>
      <c r="L2083">
        <v>1398.9513880393299</v>
      </c>
      <c r="M2083">
        <v>25.261122656458799</v>
      </c>
      <c r="N2083">
        <v>56.042174539386401</v>
      </c>
      <c r="O2083">
        <v>55.036079614536298</v>
      </c>
      <c r="P2083">
        <v>-9.9936867464288301E-2</v>
      </c>
      <c r="Q2083">
        <v>0.12908686531212399</v>
      </c>
      <c r="R2083">
        <v>0.99119837929965704</v>
      </c>
      <c r="S2083" t="s">
        <v>8753</v>
      </c>
      <c r="T2083" t="s">
        <v>13338</v>
      </c>
      <c r="U2083" t="s">
        <v>13338</v>
      </c>
      <c r="V2083" t="s">
        <v>13338</v>
      </c>
      <c r="W2083" t="s">
        <v>15385</v>
      </c>
      <c r="X2083">
        <v>35</v>
      </c>
      <c r="Y2083" t="s">
        <v>21965</v>
      </c>
      <c r="Z2083" t="s">
        <v>28498</v>
      </c>
      <c r="AA2083">
        <v>0.58346316443650226</v>
      </c>
      <c r="AB2083" t="str">
        <f>HYPERLINK("Melting_Curves/meltCurve_P13637_ATP1A3.pdf", "Melting_Curves/meltCurve_P13637_ATP1A3.pdf")</f>
        <v>Melting_Curves/meltCurve_P13637_ATP1A3.pdf</v>
      </c>
    </row>
    <row r="2084" spans="1:28" x14ac:dyDescent="0.25">
      <c r="A2084" t="s">
        <v>2088</v>
      </c>
      <c r="B2084">
        <v>0.99193492352474899</v>
      </c>
      <c r="C2084">
        <v>0.90209049616623305</v>
      </c>
      <c r="D2084">
        <v>0.97149127508838595</v>
      </c>
      <c r="E2084">
        <v>0.82726864052133497</v>
      </c>
      <c r="F2084">
        <v>0.73560270136662498</v>
      </c>
      <c r="G2084">
        <v>0.45935883938557498</v>
      </c>
      <c r="H2084">
        <v>0.12973950757929001</v>
      </c>
      <c r="I2084">
        <v>9.0919915546559593E-2</v>
      </c>
      <c r="J2084">
        <v>9.07460228122665E-2</v>
      </c>
      <c r="K2084">
        <v>9.7757095007529202E-2</v>
      </c>
      <c r="L2084">
        <v>1005.31518773989</v>
      </c>
      <c r="M2084">
        <v>18.113253508271001</v>
      </c>
      <c r="N2084">
        <v>55.7288121658504</v>
      </c>
      <c r="O2084">
        <v>54.838403834902103</v>
      </c>
      <c r="P2084">
        <v>-7.9640626026415404E-2</v>
      </c>
      <c r="Q2084">
        <v>3.5589083582181297E-2</v>
      </c>
      <c r="R2084">
        <v>0.98267285618358502</v>
      </c>
      <c r="S2084" t="s">
        <v>8754</v>
      </c>
      <c r="T2084" t="s">
        <v>13338</v>
      </c>
      <c r="U2084" t="s">
        <v>13338</v>
      </c>
      <c r="V2084" t="s">
        <v>13338</v>
      </c>
      <c r="W2084" t="s">
        <v>15386</v>
      </c>
      <c r="X2084">
        <v>67</v>
      </c>
      <c r="Y2084" t="s">
        <v>21966</v>
      </c>
      <c r="Z2084" t="s">
        <v>28499</v>
      </c>
      <c r="AA2084">
        <v>0.54839508647185831</v>
      </c>
      <c r="AB2084" t="str">
        <f>HYPERLINK("Melting_Curves/meltCurve_P13639_EEF2.pdf", "Melting_Curves/meltCurve_P13639_EEF2.pdf")</f>
        <v>Melting_Curves/meltCurve_P13639_EEF2.pdf</v>
      </c>
    </row>
    <row r="2085" spans="1:28" x14ac:dyDescent="0.25">
      <c r="A2085" t="s">
        <v>2089</v>
      </c>
      <c r="B2085">
        <v>0.99193492352474899</v>
      </c>
      <c r="C2085">
        <v>0.922727736564111</v>
      </c>
      <c r="D2085">
        <v>0.91594616894480796</v>
      </c>
      <c r="E2085">
        <v>0.60043752161107</v>
      </c>
      <c r="F2085">
        <v>0.32669838964778602</v>
      </c>
      <c r="G2085">
        <v>0.171610555989269</v>
      </c>
      <c r="H2085">
        <v>0.111987797379952</v>
      </c>
      <c r="I2085">
        <v>0.12175322596589901</v>
      </c>
      <c r="J2085">
        <v>0.13308652402956</v>
      </c>
      <c r="K2085">
        <v>0.14194094815409899</v>
      </c>
      <c r="L2085">
        <v>1098.0037507192101</v>
      </c>
      <c r="M2085">
        <v>21.904827662789501</v>
      </c>
      <c r="N2085">
        <v>50.756980027477098</v>
      </c>
      <c r="O2085">
        <v>49.713949059887902</v>
      </c>
      <c r="P2085">
        <v>-9.7029407309852295E-2</v>
      </c>
      <c r="Q2085">
        <v>0.119170337385325</v>
      </c>
      <c r="R2085">
        <v>0.99577929885623995</v>
      </c>
      <c r="S2085" t="s">
        <v>8755</v>
      </c>
      <c r="T2085" t="s">
        <v>13338</v>
      </c>
      <c r="U2085" t="s">
        <v>13338</v>
      </c>
      <c r="V2085" t="s">
        <v>13338</v>
      </c>
      <c r="W2085" t="s">
        <v>15387</v>
      </c>
      <c r="X2085">
        <v>47</v>
      </c>
      <c r="Y2085" t="s">
        <v>21967</v>
      </c>
      <c r="Z2085" t="s">
        <v>28500</v>
      </c>
      <c r="AA2085">
        <v>0.42673920834021051</v>
      </c>
      <c r="AB2085" t="str">
        <f>HYPERLINK("Melting_Curves/meltCurve_P13667_PDIA4.pdf", "Melting_Curves/meltCurve_P13667_PDIA4.pdf")</f>
        <v>Melting_Curves/meltCurve_P13667_PDIA4.pdf</v>
      </c>
    </row>
    <row r="2086" spans="1:28" x14ac:dyDescent="0.25">
      <c r="A2086" t="s">
        <v>2090</v>
      </c>
      <c r="B2086">
        <v>0.99193492352474899</v>
      </c>
      <c r="C2086">
        <v>1.0197070590155799</v>
      </c>
      <c r="D2086">
        <v>0.85025010842553606</v>
      </c>
      <c r="E2086">
        <v>0.60522405854296402</v>
      </c>
      <c r="F2086">
        <v>0.46345058341094197</v>
      </c>
      <c r="G2086">
        <v>0.212235834775585</v>
      </c>
      <c r="H2086">
        <v>0.10558312800453599</v>
      </c>
      <c r="I2086">
        <v>0.13237277395559</v>
      </c>
      <c r="J2086">
        <v>0.145430142195691</v>
      </c>
      <c r="K2086">
        <v>0.16225187237415301</v>
      </c>
      <c r="L2086">
        <v>866.43815689982603</v>
      </c>
      <c r="M2086">
        <v>17.076063465101001</v>
      </c>
      <c r="N2086">
        <v>51.534614895788799</v>
      </c>
      <c r="O2086">
        <v>50.059390152924401</v>
      </c>
      <c r="P2086">
        <v>-7.5412344808290704E-2</v>
      </c>
      <c r="Q2086">
        <v>0.11575247451127001</v>
      </c>
      <c r="R2086">
        <v>0.986944975692716</v>
      </c>
      <c r="S2086" t="s">
        <v>8756</v>
      </c>
      <c r="T2086" t="s">
        <v>13338</v>
      </c>
      <c r="U2086" t="s">
        <v>13338</v>
      </c>
      <c r="V2086" t="s">
        <v>13338</v>
      </c>
      <c r="W2086" t="s">
        <v>15388</v>
      </c>
      <c r="X2086">
        <v>14</v>
      </c>
      <c r="Y2086" t="s">
        <v>21968</v>
      </c>
      <c r="Z2086" t="s">
        <v>28501</v>
      </c>
      <c r="AA2086">
        <v>0.44875062818521178</v>
      </c>
      <c r="AB2086" t="str">
        <f>HYPERLINK("Melting_Curves/meltCurve_P13674_2_P4HA1.pdf", "Melting_Curves/meltCurve_P13674_2_P4HA1.pdf")</f>
        <v>Melting_Curves/meltCurve_P13674_2_P4HA1.pdf</v>
      </c>
    </row>
    <row r="2087" spans="1:28" x14ac:dyDescent="0.25">
      <c r="A2087" t="s">
        <v>2091</v>
      </c>
      <c r="B2087">
        <v>0.99193492352474899</v>
      </c>
      <c r="C2087">
        <v>0.78995279154571396</v>
      </c>
      <c r="D2087">
        <v>0.85111169612084503</v>
      </c>
      <c r="E2087">
        <v>0.603191506763879</v>
      </c>
      <c r="F2087">
        <v>0.32005130438399698</v>
      </c>
      <c r="G2087">
        <v>0.12827423475672001</v>
      </c>
      <c r="H2087">
        <v>8.9742478566524994E-2</v>
      </c>
      <c r="I2087">
        <v>0.111646450118159</v>
      </c>
      <c r="J2087">
        <v>0.12825770563738201</v>
      </c>
      <c r="K2087">
        <v>0.157508909942115</v>
      </c>
      <c r="L2087">
        <v>837.00122509149605</v>
      </c>
      <c r="M2087">
        <v>16.820001955020299</v>
      </c>
      <c r="N2087">
        <v>50.3727174171703</v>
      </c>
      <c r="O2087">
        <v>49.0748262181109</v>
      </c>
      <c r="P2087">
        <v>-7.7790001027473202E-2</v>
      </c>
      <c r="Q2087">
        <v>9.2203494916081305E-2</v>
      </c>
      <c r="R2087">
        <v>0.96792753042563795</v>
      </c>
      <c r="S2087" t="s">
        <v>8757</v>
      </c>
      <c r="T2087" t="s">
        <v>13338</v>
      </c>
      <c r="U2087" t="s">
        <v>13338</v>
      </c>
      <c r="V2087" t="s">
        <v>13338</v>
      </c>
      <c r="W2087" t="s">
        <v>15389</v>
      </c>
      <c r="X2087">
        <v>11</v>
      </c>
      <c r="Y2087" t="s">
        <v>21969</v>
      </c>
      <c r="Z2087" t="s">
        <v>28502</v>
      </c>
      <c r="AA2087">
        <v>0.40527687646701521</v>
      </c>
      <c r="AB2087" t="str">
        <f>HYPERLINK("Melting_Curves/meltCurve_P13693_TPT1.pdf", "Melting_Curves/meltCurve_P13693_TPT1.pdf")</f>
        <v>Melting_Curves/meltCurve_P13693_TPT1.pdf</v>
      </c>
    </row>
    <row r="2088" spans="1:28" x14ac:dyDescent="0.25">
      <c r="A2088" t="s">
        <v>2092</v>
      </c>
      <c r="B2088">
        <v>0.99193492352474899</v>
      </c>
      <c r="C2088">
        <v>0.765766795166688</v>
      </c>
      <c r="D2088">
        <v>0.84625216027228201</v>
      </c>
      <c r="E2088">
        <v>0.66390806555772397</v>
      </c>
      <c r="F2088">
        <v>0.52003274767002405</v>
      </c>
      <c r="G2088">
        <v>0.26207834327113699</v>
      </c>
      <c r="H2088">
        <v>0.105755354068544</v>
      </c>
      <c r="I2088">
        <v>0.10855101381985099</v>
      </c>
      <c r="J2088">
        <v>0.13653505265524199</v>
      </c>
      <c r="K2088">
        <v>0.14936455077609401</v>
      </c>
      <c r="L2088">
        <v>580.64396491537798</v>
      </c>
      <c r="M2088">
        <v>11.2029153287345</v>
      </c>
      <c r="N2088">
        <v>52.198480471081098</v>
      </c>
      <c r="O2088">
        <v>50.260576184290201</v>
      </c>
      <c r="P2088">
        <v>-5.3620939531975803E-2</v>
      </c>
      <c r="Q2088">
        <v>3.80465176402289E-2</v>
      </c>
      <c r="R2088">
        <v>0.95826330378612001</v>
      </c>
      <c r="S2088" t="s">
        <v>8758</v>
      </c>
      <c r="T2088" t="s">
        <v>13338</v>
      </c>
      <c r="U2088" t="s">
        <v>13338</v>
      </c>
      <c r="V2088" t="s">
        <v>13338</v>
      </c>
      <c r="W2088" t="s">
        <v>15390</v>
      </c>
      <c r="X2088">
        <v>50</v>
      </c>
      <c r="Y2088" t="s">
        <v>21970</v>
      </c>
      <c r="Z2088" t="s">
        <v>28503</v>
      </c>
      <c r="AA2088">
        <v>0.44986214006593361</v>
      </c>
      <c r="AB2088" t="str">
        <f>HYPERLINK("Melting_Curves/meltCurve_P13796_LCP1.pdf", "Melting_Curves/meltCurve_P13796_LCP1.pdf")</f>
        <v>Melting_Curves/meltCurve_P13796_LCP1.pdf</v>
      </c>
    </row>
    <row r="2089" spans="1:28" x14ac:dyDescent="0.25">
      <c r="A2089" t="s">
        <v>2093</v>
      </c>
      <c r="B2089">
        <v>0.99193492352474899</v>
      </c>
      <c r="C2089">
        <v>1.0107124021465099</v>
      </c>
      <c r="D2089">
        <v>0.96146064014343502</v>
      </c>
      <c r="E2089">
        <v>0.88413257634641296</v>
      </c>
      <c r="F2089">
        <v>0.46724521363522098</v>
      </c>
      <c r="G2089">
        <v>0.272772032039584</v>
      </c>
      <c r="H2089">
        <v>0.15393408662600899</v>
      </c>
      <c r="I2089">
        <v>7.7167410620293697E-2</v>
      </c>
      <c r="J2089">
        <v>6.9596647664047301E-2</v>
      </c>
      <c r="K2089">
        <v>6.7949623528205605E-2</v>
      </c>
      <c r="L2089">
        <v>1216.79261867026</v>
      </c>
      <c r="M2089">
        <v>22.968280229754999</v>
      </c>
      <c r="N2089">
        <v>53.360126350784597</v>
      </c>
      <c r="O2089">
        <v>52.580399461588101</v>
      </c>
      <c r="P2089">
        <v>-0.100907812482361</v>
      </c>
      <c r="Q2089">
        <v>7.5999867518201897E-2</v>
      </c>
      <c r="R2089">
        <v>0.99526957019014095</v>
      </c>
      <c r="S2089" t="s">
        <v>8759</v>
      </c>
      <c r="T2089" t="s">
        <v>13338</v>
      </c>
      <c r="U2089" t="s">
        <v>13338</v>
      </c>
      <c r="V2089" t="s">
        <v>13338</v>
      </c>
      <c r="W2089" t="s">
        <v>15391</v>
      </c>
      <c r="X2089">
        <v>16</v>
      </c>
      <c r="Y2089" t="s">
        <v>21971</v>
      </c>
      <c r="Z2089" t="s">
        <v>28504</v>
      </c>
      <c r="AA2089">
        <v>0.48564603914102772</v>
      </c>
      <c r="AB2089" t="str">
        <f>HYPERLINK("Melting_Curves/meltCurve_P13804_ETFA.pdf", "Melting_Curves/meltCurve_P13804_ETFA.pdf")</f>
        <v>Melting_Curves/meltCurve_P13804_ETFA.pdf</v>
      </c>
    </row>
    <row r="2090" spans="1:28" x14ac:dyDescent="0.25">
      <c r="A2090" t="s">
        <v>2094</v>
      </c>
      <c r="B2090">
        <v>0.99193492352474899</v>
      </c>
      <c r="C2090">
        <v>0.78795772131372699</v>
      </c>
      <c r="D2090">
        <v>1.0930984487680899</v>
      </c>
      <c r="E2090">
        <v>0.88149695874404799</v>
      </c>
      <c r="F2090">
        <v>1.3881219670740801</v>
      </c>
      <c r="G2090">
        <v>0.80201787901083099</v>
      </c>
      <c r="H2090">
        <v>0.164267948338994</v>
      </c>
      <c r="I2090">
        <v>0.115650509795165</v>
      </c>
      <c r="J2090">
        <v>0.13246890201064601</v>
      </c>
      <c r="K2090">
        <v>0.120970668940346</v>
      </c>
      <c r="L2090">
        <v>5925.3479751390196</v>
      </c>
      <c r="M2090">
        <v>103.093684728702</v>
      </c>
      <c r="N2090">
        <v>57.6475279853613</v>
      </c>
      <c r="O2090">
        <v>57.453761845862999</v>
      </c>
      <c r="P2090">
        <v>-0.38915618548210101</v>
      </c>
      <c r="Q2090">
        <v>0.132498433574149</v>
      </c>
      <c r="R2090">
        <v>0.89135228916673104</v>
      </c>
      <c r="S2090" t="s">
        <v>8760</v>
      </c>
      <c r="T2090" t="s">
        <v>13338</v>
      </c>
      <c r="U2090" t="s">
        <v>13338</v>
      </c>
      <c r="V2090" t="s">
        <v>13338</v>
      </c>
      <c r="W2090" t="s">
        <v>15392</v>
      </c>
      <c r="X2090">
        <v>6</v>
      </c>
      <c r="Y2090" t="s">
        <v>21972</v>
      </c>
      <c r="Z2090" t="s">
        <v>28505</v>
      </c>
      <c r="AA2090">
        <v>0.63834400247568968</v>
      </c>
      <c r="AB2090" t="str">
        <f>HYPERLINK("Melting_Curves/meltCurve_P13807_2_GYS1.pdf", "Melting_Curves/meltCurve_P13807_2_GYS1.pdf")</f>
        <v>Melting_Curves/meltCurve_P13807_2_GYS1.pdf</v>
      </c>
    </row>
    <row r="2091" spans="1:28" x14ac:dyDescent="0.25">
      <c r="A2091" t="s">
        <v>2095</v>
      </c>
      <c r="B2091">
        <v>0.99193492352474899</v>
      </c>
      <c r="C2091">
        <v>0.92798842516434599</v>
      </c>
      <c r="D2091">
        <v>0.88385491130011096</v>
      </c>
      <c r="E2091">
        <v>0.61803328398796498</v>
      </c>
      <c r="F2091">
        <v>0.31623633243723498</v>
      </c>
      <c r="G2091">
        <v>0.12589590165141901</v>
      </c>
      <c r="H2091">
        <v>8.3364544239634103E-2</v>
      </c>
      <c r="I2091">
        <v>9.5067811890366602E-2</v>
      </c>
      <c r="J2091">
        <v>0.113989508893989</v>
      </c>
      <c r="K2091">
        <v>9.9362302723274495E-2</v>
      </c>
      <c r="L2091">
        <v>1057.91710038612</v>
      </c>
      <c r="M2091">
        <v>21.0336132909291</v>
      </c>
      <c r="N2091">
        <v>50.7353706025972</v>
      </c>
      <c r="O2091">
        <v>49.848486757127397</v>
      </c>
      <c r="P2091">
        <v>-9.6716216089119705E-2</v>
      </c>
      <c r="Q2091">
        <v>8.3176358529907096E-2</v>
      </c>
      <c r="R2091">
        <v>0.99622882477807295</v>
      </c>
      <c r="S2091" t="s">
        <v>8761</v>
      </c>
      <c r="T2091" t="s">
        <v>13338</v>
      </c>
      <c r="U2091" t="s">
        <v>13338</v>
      </c>
      <c r="V2091" t="s">
        <v>13338</v>
      </c>
      <c r="W2091" t="s">
        <v>15393</v>
      </c>
      <c r="X2091">
        <v>20</v>
      </c>
      <c r="Y2091" t="s">
        <v>21973</v>
      </c>
      <c r="Z2091" t="s">
        <v>28506</v>
      </c>
      <c r="AA2091">
        <v>0.40940953662761148</v>
      </c>
      <c r="AB2091" t="str">
        <f>HYPERLINK("Melting_Curves/meltCurve_P13861_PRKAR2A.pdf", "Melting_Curves/meltCurve_P13861_PRKAR2A.pdf")</f>
        <v>Melting_Curves/meltCurve_P13861_PRKAR2A.pdf</v>
      </c>
    </row>
    <row r="2092" spans="1:28" x14ac:dyDescent="0.25">
      <c r="A2092" t="s">
        <v>2096</v>
      </c>
      <c r="B2092">
        <v>0.99193492352474899</v>
      </c>
      <c r="C2092">
        <v>0.97789078810430896</v>
      </c>
      <c r="D2092">
        <v>0.85040139603132103</v>
      </c>
      <c r="E2092">
        <v>0.86964991139640901</v>
      </c>
      <c r="F2092">
        <v>0.77682627339835797</v>
      </c>
      <c r="G2092">
        <v>0.67883927658273002</v>
      </c>
      <c r="H2092">
        <v>0.51384131380874298</v>
      </c>
      <c r="I2092">
        <v>0.55008605708388703</v>
      </c>
      <c r="J2092">
        <v>0.34562317481144</v>
      </c>
      <c r="K2092">
        <v>0.19971111761452701</v>
      </c>
      <c r="L2092">
        <v>474.92147999320099</v>
      </c>
      <c r="M2092">
        <v>7.6749185922715197</v>
      </c>
      <c r="N2092">
        <v>61.879675937690102</v>
      </c>
      <c r="O2092">
        <v>58.098751716683303</v>
      </c>
      <c r="P2092">
        <v>-3.3068904988414499E-2</v>
      </c>
      <c r="Q2092">
        <v>0</v>
      </c>
      <c r="R2092">
        <v>0.95518854935745101</v>
      </c>
      <c r="S2092" t="s">
        <v>8762</v>
      </c>
      <c r="T2092" t="s">
        <v>13338</v>
      </c>
      <c r="U2092" t="s">
        <v>13338</v>
      </c>
      <c r="V2092" t="s">
        <v>13338</v>
      </c>
      <c r="W2092" t="s">
        <v>15394</v>
      </c>
      <c r="X2092">
        <v>11</v>
      </c>
      <c r="Y2092" t="s">
        <v>21974</v>
      </c>
      <c r="Z2092" t="s">
        <v>28507</v>
      </c>
      <c r="AA2092">
        <v>0.69071977803745332</v>
      </c>
      <c r="AB2092" t="str">
        <f>HYPERLINK("Melting_Curves/meltCurve_P13929_2_ENO3.pdf", "Melting_Curves/meltCurve_P13929_2_ENO3.pdf")</f>
        <v>Melting_Curves/meltCurve_P13929_2_ENO3.pdf</v>
      </c>
    </row>
    <row r="2093" spans="1:28" x14ac:dyDescent="0.25">
      <c r="A2093" t="s">
        <v>2097</v>
      </c>
      <c r="B2093">
        <v>0.99193492352474899</v>
      </c>
      <c r="C2093">
        <v>0.774833420871059</v>
      </c>
      <c r="D2093">
        <v>0.89433562872473804</v>
      </c>
      <c r="E2093">
        <v>0.67833110627764304</v>
      </c>
      <c r="F2093">
        <v>0.46355303148744098</v>
      </c>
      <c r="G2093">
        <v>0.21456013006334801</v>
      </c>
      <c r="H2093">
        <v>0.103560547886797</v>
      </c>
      <c r="I2093">
        <v>0.12210377058270901</v>
      </c>
      <c r="J2093">
        <v>0.13187734621101399</v>
      </c>
      <c r="K2093">
        <v>0.15572460404076599</v>
      </c>
      <c r="L2093">
        <v>741.63107967348606</v>
      </c>
      <c r="M2093">
        <v>14.4598523692726</v>
      </c>
      <c r="N2093">
        <v>51.929718110726803</v>
      </c>
      <c r="O2093">
        <v>50.337985121182697</v>
      </c>
      <c r="P2093">
        <v>-6.5954235757690396E-2</v>
      </c>
      <c r="Q2093">
        <v>8.1701644315869307E-2</v>
      </c>
      <c r="R2093">
        <v>0.960446267663711</v>
      </c>
      <c r="S2093" t="s">
        <v>8763</v>
      </c>
      <c r="T2093" t="s">
        <v>13338</v>
      </c>
      <c r="U2093" t="s">
        <v>13338</v>
      </c>
      <c r="V2093" t="s">
        <v>13338</v>
      </c>
      <c r="W2093" t="s">
        <v>15395</v>
      </c>
      <c r="X2093">
        <v>12</v>
      </c>
      <c r="Y2093" t="s">
        <v>21975</v>
      </c>
      <c r="Z2093" t="s">
        <v>28508</v>
      </c>
      <c r="AA2093">
        <v>0.44955048667136688</v>
      </c>
      <c r="AB2093" t="str">
        <f>HYPERLINK("Melting_Curves/meltCurve_P13984_GTF2F2.pdf", "Melting_Curves/meltCurve_P13984_GTF2F2.pdf")</f>
        <v>Melting_Curves/meltCurve_P13984_GTF2F2.pdf</v>
      </c>
    </row>
    <row r="2094" spans="1:28" x14ac:dyDescent="0.25">
      <c r="A2094" t="s">
        <v>2098</v>
      </c>
      <c r="B2094">
        <v>0.99193492352474899</v>
      </c>
      <c r="C2094">
        <v>0.80064727337783803</v>
      </c>
      <c r="D2094">
        <v>0.819573663787454</v>
      </c>
      <c r="E2094">
        <v>0.69502050897852696</v>
      </c>
      <c r="F2094">
        <v>0.470394913161511</v>
      </c>
      <c r="G2094">
        <v>0.20291177452547901</v>
      </c>
      <c r="H2094">
        <v>9.3603854691946695E-2</v>
      </c>
      <c r="I2094">
        <v>8.4828128381165796E-2</v>
      </c>
      <c r="J2094">
        <v>9.1376271976484E-2</v>
      </c>
      <c r="K2094">
        <v>8.8766783137668906E-2</v>
      </c>
      <c r="L2094">
        <v>630.70578228611305</v>
      </c>
      <c r="M2094">
        <v>12.171331817230699</v>
      </c>
      <c r="N2094">
        <v>51.8825134559996</v>
      </c>
      <c r="O2094">
        <v>50.479658242949697</v>
      </c>
      <c r="P2094">
        <v>-5.9846045701111697E-2</v>
      </c>
      <c r="Q2094">
        <v>7.3990908207402202E-3</v>
      </c>
      <c r="R2094">
        <v>0.97424398372465004</v>
      </c>
      <c r="S2094" t="s">
        <v>8764</v>
      </c>
      <c r="T2094" t="s">
        <v>13338</v>
      </c>
      <c r="U2094" t="s">
        <v>13338</v>
      </c>
      <c r="V2094" t="s">
        <v>13338</v>
      </c>
      <c r="W2094" t="s">
        <v>15396</v>
      </c>
      <c r="X2094">
        <v>12</v>
      </c>
      <c r="Y2094" t="s">
        <v>21976</v>
      </c>
      <c r="Z2094" t="s">
        <v>28509</v>
      </c>
      <c r="AA2094">
        <v>0.42862403854825371</v>
      </c>
      <c r="AB2094" t="str">
        <f>HYPERLINK("Melting_Curves/meltCurve_P13995_MTHFD2.pdf", "Melting_Curves/meltCurve_P13995_MTHFD2.pdf")</f>
        <v>Melting_Curves/meltCurve_P13995_MTHFD2.pdf</v>
      </c>
    </row>
    <row r="2095" spans="1:28" x14ac:dyDescent="0.25">
      <c r="A2095" t="s">
        <v>2099</v>
      </c>
      <c r="B2095">
        <v>0.99193492352474899</v>
      </c>
      <c r="C2095">
        <v>1.3153736983626101</v>
      </c>
      <c r="D2095">
        <v>0.57871456350202199</v>
      </c>
      <c r="E2095">
        <v>0.87242280950463402</v>
      </c>
      <c r="F2095">
        <v>0.38436569997616099</v>
      </c>
      <c r="G2095">
        <v>0.53762991982001296</v>
      </c>
      <c r="H2095">
        <v>0.29099077145861302</v>
      </c>
      <c r="I2095">
        <v>0.24549326117127701</v>
      </c>
      <c r="J2095">
        <v>0.17519192426410199</v>
      </c>
      <c r="K2095">
        <v>0.89588444780432397</v>
      </c>
      <c r="L2095">
        <v>1003.46494023892</v>
      </c>
      <c r="M2095">
        <v>20.439620289998899</v>
      </c>
      <c r="N2095">
        <v>53.5861802213457</v>
      </c>
      <c r="O2095">
        <v>48.631428087125997</v>
      </c>
      <c r="P2095">
        <v>-6.2008534905520898E-2</v>
      </c>
      <c r="Q2095">
        <v>0.40987684171136801</v>
      </c>
      <c r="R2095">
        <v>0.51951168370553102</v>
      </c>
      <c r="S2095" t="s">
        <v>8765</v>
      </c>
      <c r="T2095" t="s">
        <v>13338</v>
      </c>
      <c r="U2095" t="s">
        <v>13338</v>
      </c>
      <c r="V2095" t="s">
        <v>13338</v>
      </c>
      <c r="W2095" t="s">
        <v>15397</v>
      </c>
      <c r="X2095">
        <v>2</v>
      </c>
      <c r="Y2095" t="s">
        <v>21977</v>
      </c>
      <c r="Z2095" t="s">
        <v>28510</v>
      </c>
      <c r="AA2095">
        <v>0.59666801032671946</v>
      </c>
      <c r="AB2095" t="str">
        <f>HYPERLINK("Melting_Curves/meltCurve_P14136_3_GFAP.pdf", "Melting_Curves/meltCurve_P14136_3_GFAP.pdf")</f>
        <v>Melting_Curves/meltCurve_P14136_3_GFAP.pdf</v>
      </c>
    </row>
    <row r="2096" spans="1:28" x14ac:dyDescent="0.25">
      <c r="A2096" t="s">
        <v>2100</v>
      </c>
      <c r="B2096">
        <v>0.99193492352474899</v>
      </c>
      <c r="C2096">
        <v>1.1218864797808299</v>
      </c>
      <c r="D2096">
        <v>0.91610369247364298</v>
      </c>
      <c r="E2096">
        <v>0.89145894793957303</v>
      </c>
      <c r="F2096">
        <v>0.61939999677120805</v>
      </c>
      <c r="G2096">
        <v>0.66523059579458699</v>
      </c>
      <c r="H2096">
        <v>0.54806414459056496</v>
      </c>
      <c r="I2096">
        <v>0.71205155592583602</v>
      </c>
      <c r="J2096">
        <v>0.71375921372190099</v>
      </c>
      <c r="K2096">
        <v>1.0130562683004301</v>
      </c>
      <c r="L2096">
        <v>12424.9599364482</v>
      </c>
      <c r="M2096">
        <v>250</v>
      </c>
      <c r="O2096">
        <v>49.696659485906501</v>
      </c>
      <c r="P2096">
        <v>-0.36228923958438802</v>
      </c>
      <c r="Q2096">
        <v>0.71192696189757898</v>
      </c>
      <c r="R2096">
        <v>0.54936907464258999</v>
      </c>
      <c r="S2096" t="s">
        <v>8766</v>
      </c>
      <c r="T2096" t="s">
        <v>13338</v>
      </c>
      <c r="U2096" t="s">
        <v>13338</v>
      </c>
      <c r="V2096" t="s">
        <v>13338</v>
      </c>
      <c r="W2096" t="s">
        <v>15398</v>
      </c>
      <c r="X2096">
        <v>12</v>
      </c>
      <c r="Y2096" t="s">
        <v>21978</v>
      </c>
      <c r="Z2096" t="s">
        <v>28511</v>
      </c>
      <c r="AA2096">
        <v>0.80509416515494547</v>
      </c>
      <c r="AB2096" t="str">
        <f>HYPERLINK("Melting_Curves/meltCurve_P14151_SELL.pdf", "Melting_Curves/meltCurve_P14151_SELL.pdf")</f>
        <v>Melting_Curves/meltCurve_P14151_SELL.pdf</v>
      </c>
    </row>
    <row r="2097" spans="1:28" x14ac:dyDescent="0.25">
      <c r="A2097" t="s">
        <v>2101</v>
      </c>
      <c r="B2097">
        <v>0.99193492352474899</v>
      </c>
      <c r="C2097">
        <v>1.0108013217901799</v>
      </c>
      <c r="D2097">
        <v>0.86902199709390104</v>
      </c>
      <c r="E2097">
        <v>0.78455426913132897</v>
      </c>
      <c r="F2097">
        <v>0.60926352696972697</v>
      </c>
      <c r="G2097">
        <v>0.38930723421519597</v>
      </c>
      <c r="H2097">
        <v>0.35222549053004398</v>
      </c>
      <c r="I2097">
        <v>0.31947658098902498</v>
      </c>
      <c r="J2097">
        <v>0.27083913322035602</v>
      </c>
      <c r="K2097">
        <v>0.21939205324317401</v>
      </c>
      <c r="L2097">
        <v>727.69574848484501</v>
      </c>
      <c r="M2097">
        <v>13.799099864135499</v>
      </c>
      <c r="N2097">
        <v>55.130091414808597</v>
      </c>
      <c r="O2097">
        <v>51.664510810923701</v>
      </c>
      <c r="P2097">
        <v>-5.1725713708196203E-2</v>
      </c>
      <c r="Q2097">
        <v>0.22545395025880699</v>
      </c>
      <c r="R2097">
        <v>0.99015832272118498</v>
      </c>
      <c r="S2097" t="s">
        <v>8767</v>
      </c>
      <c r="T2097" t="s">
        <v>13338</v>
      </c>
      <c r="U2097" t="s">
        <v>13338</v>
      </c>
      <c r="V2097" t="s">
        <v>13338</v>
      </c>
      <c r="W2097" t="s">
        <v>15399</v>
      </c>
      <c r="X2097">
        <v>3</v>
      </c>
      <c r="Y2097" t="s">
        <v>21979</v>
      </c>
      <c r="Z2097" t="s">
        <v>28512</v>
      </c>
      <c r="AA2097">
        <v>0.5731551042387667</v>
      </c>
      <c r="AB2097" t="str">
        <f>HYPERLINK("Melting_Curves/meltCurve_P14174_MIF.pdf", "Melting_Curves/meltCurve_P14174_MIF.pdf")</f>
        <v>Melting_Curves/meltCurve_P14174_MIF.pdf</v>
      </c>
    </row>
    <row r="2098" spans="1:28" x14ac:dyDescent="0.25">
      <c r="A2098" t="s">
        <v>2102</v>
      </c>
      <c r="B2098">
        <v>0.99193492352474899</v>
      </c>
      <c r="C2098">
        <v>1.0194336329637399</v>
      </c>
      <c r="D2098">
        <v>0.844511104730573</v>
      </c>
      <c r="E2098">
        <v>0.82875212428717704</v>
      </c>
      <c r="F2098">
        <v>0.62493439805802797</v>
      </c>
      <c r="G2098">
        <v>0.51663344726304405</v>
      </c>
      <c r="H2098">
        <v>0.339419717920111</v>
      </c>
      <c r="I2098">
        <v>0.53872846657401496</v>
      </c>
      <c r="J2098">
        <v>0.47161629471390498</v>
      </c>
      <c r="K2098">
        <v>0.60141697963007801</v>
      </c>
      <c r="L2098">
        <v>1014.59293465044</v>
      </c>
      <c r="M2098">
        <v>20.154242788048599</v>
      </c>
      <c r="N2098">
        <v>60.540850518067003</v>
      </c>
      <c r="O2098">
        <v>49.853653859239998</v>
      </c>
      <c r="P2098">
        <v>-5.2229366273411598E-2</v>
      </c>
      <c r="Q2098">
        <v>0.48323684091215302</v>
      </c>
      <c r="R2098">
        <v>0.88831399079812001</v>
      </c>
      <c r="S2098" t="s">
        <v>8768</v>
      </c>
      <c r="T2098" t="s">
        <v>13338</v>
      </c>
      <c r="U2098" t="s">
        <v>13338</v>
      </c>
      <c r="V2098" t="s">
        <v>13338</v>
      </c>
      <c r="W2098" t="s">
        <v>15400</v>
      </c>
      <c r="X2098">
        <v>4</v>
      </c>
      <c r="Y2098" t="s">
        <v>21980</v>
      </c>
      <c r="Z2098" t="s">
        <v>28513</v>
      </c>
      <c r="AA2098">
        <v>0.66845235433621164</v>
      </c>
      <c r="AB2098" t="str">
        <f>HYPERLINK("Melting_Curves/meltCurve_P14209_3_CD99.pdf", "Melting_Curves/meltCurve_P14209_3_CD99.pdf")</f>
        <v>Melting_Curves/meltCurve_P14209_3_CD99.pdf</v>
      </c>
    </row>
    <row r="2099" spans="1:28" x14ac:dyDescent="0.25">
      <c r="A2099" t="s">
        <v>2103</v>
      </c>
      <c r="B2099">
        <v>0.99193492352474899</v>
      </c>
      <c r="C2099">
        <v>0.85619610332186502</v>
      </c>
      <c r="D2099">
        <v>0.99753579329307196</v>
      </c>
      <c r="E2099">
        <v>0.75818856900374398</v>
      </c>
      <c r="F2099">
        <v>0.52648952833483198</v>
      </c>
      <c r="G2099">
        <v>0.33453737089050301</v>
      </c>
      <c r="H2099">
        <v>0.22936121037163801</v>
      </c>
      <c r="I2099">
        <v>0.32117575988149299</v>
      </c>
      <c r="J2099">
        <v>0.392733213073649</v>
      </c>
      <c r="K2099">
        <v>0.50545236356875001</v>
      </c>
      <c r="L2099">
        <v>1464.36099293292</v>
      </c>
      <c r="M2099">
        <v>28.891457657033801</v>
      </c>
      <c r="N2099">
        <v>52.960661698096601</v>
      </c>
      <c r="O2099">
        <v>50.4439508551093</v>
      </c>
      <c r="P2099">
        <v>-9.2280860640970602E-2</v>
      </c>
      <c r="Q2099">
        <v>0.35552218465653201</v>
      </c>
      <c r="R2099">
        <v>0.90966180763288695</v>
      </c>
      <c r="S2099" t="s">
        <v>8769</v>
      </c>
      <c r="T2099" t="s">
        <v>13338</v>
      </c>
      <c r="U2099" t="s">
        <v>13338</v>
      </c>
      <c r="V2099" t="s">
        <v>13338</v>
      </c>
      <c r="W2099" t="s">
        <v>15401</v>
      </c>
      <c r="X2099">
        <v>38</v>
      </c>
      <c r="Y2099" t="s">
        <v>21981</v>
      </c>
      <c r="Z2099" t="s">
        <v>28514</v>
      </c>
      <c r="AA2099">
        <v>0.58940949138271459</v>
      </c>
      <c r="AB2099" t="str">
        <f>HYPERLINK("Melting_Curves/meltCurve_P14317_HCLS1.pdf", "Melting_Curves/meltCurve_P14317_HCLS1.pdf")</f>
        <v>Melting_Curves/meltCurve_P14317_HCLS1.pdf</v>
      </c>
    </row>
    <row r="2100" spans="1:28" x14ac:dyDescent="0.25">
      <c r="A2100" t="s">
        <v>2104</v>
      </c>
      <c r="B2100">
        <v>0.99193492352474899</v>
      </c>
      <c r="C2100">
        <v>1.1498177706496799</v>
      </c>
      <c r="D2100">
        <v>0.60073166401843103</v>
      </c>
      <c r="E2100">
        <v>0.226283923203487</v>
      </c>
      <c r="F2100">
        <v>0.13860942595091399</v>
      </c>
      <c r="G2100">
        <v>8.2141705040793003E-2</v>
      </c>
      <c r="H2100">
        <v>5.9491237131584801E-2</v>
      </c>
      <c r="I2100">
        <v>6.0841696731321698E-2</v>
      </c>
      <c r="J2100">
        <v>9.7096847347770299E-2</v>
      </c>
      <c r="K2100">
        <v>5.8144249863859798E-2</v>
      </c>
      <c r="L2100">
        <v>1960.2962957459599</v>
      </c>
      <c r="M2100">
        <v>42.187412171926098</v>
      </c>
      <c r="N2100">
        <v>46.690893817174697</v>
      </c>
      <c r="O2100">
        <v>46.362337102071201</v>
      </c>
      <c r="P2100">
        <v>-0.20660371968826899</v>
      </c>
      <c r="Q2100">
        <v>9.1803480770544801E-2</v>
      </c>
      <c r="R2100">
        <v>0.97215032538800294</v>
      </c>
      <c r="S2100" t="s">
        <v>8770</v>
      </c>
      <c r="T2100" t="s">
        <v>13338</v>
      </c>
      <c r="U2100" t="s">
        <v>13338</v>
      </c>
      <c r="V2100" t="s">
        <v>13338</v>
      </c>
      <c r="W2100" t="s">
        <v>15402</v>
      </c>
      <c r="X2100">
        <v>12</v>
      </c>
      <c r="Y2100" t="s">
        <v>21982</v>
      </c>
      <c r="Z2100" t="s">
        <v>28515</v>
      </c>
      <c r="AA2100">
        <v>0.29020822584761818</v>
      </c>
      <c r="AB2100" t="str">
        <f>HYPERLINK("Melting_Curves/meltCurve_P14324_2_FDPS.pdf", "Melting_Curves/meltCurve_P14324_2_FDPS.pdf")</f>
        <v>Melting_Curves/meltCurve_P14324_2_FDPS.pdf</v>
      </c>
    </row>
    <row r="2101" spans="1:28" x14ac:dyDescent="0.25">
      <c r="A2101" t="s">
        <v>2105</v>
      </c>
      <c r="B2101">
        <v>0.99193492352474899</v>
      </c>
      <c r="C2101">
        <v>0.97335182370514906</v>
      </c>
      <c r="D2101">
        <v>0.86565213863311696</v>
      </c>
      <c r="E2101">
        <v>0.78823897919439601</v>
      </c>
      <c r="F2101">
        <v>0.24127426245606701</v>
      </c>
      <c r="G2101">
        <v>0.14666650982570401</v>
      </c>
      <c r="H2101">
        <v>9.6647506458743704E-2</v>
      </c>
      <c r="I2101">
        <v>9.3642713299889796E-2</v>
      </c>
      <c r="J2101">
        <v>7.5918801425721105E-2</v>
      </c>
      <c r="K2101">
        <v>7.7741639576095603E-2</v>
      </c>
      <c r="L2101">
        <v>1750.0830295251999</v>
      </c>
      <c r="M2101">
        <v>34.278194877522999</v>
      </c>
      <c r="N2101">
        <v>51.344859188089401</v>
      </c>
      <c r="O2101">
        <v>50.882460651067497</v>
      </c>
      <c r="P2101">
        <v>-0.15361649787478501</v>
      </c>
      <c r="Q2101">
        <v>8.7891846992140005E-2</v>
      </c>
      <c r="R2101">
        <v>0.98890158280239004</v>
      </c>
      <c r="S2101" t="s">
        <v>8771</v>
      </c>
      <c r="T2101" t="s">
        <v>13338</v>
      </c>
      <c r="U2101" t="s">
        <v>13338</v>
      </c>
      <c r="V2101" t="s">
        <v>13338</v>
      </c>
      <c r="W2101" t="s">
        <v>15403</v>
      </c>
      <c r="X2101">
        <v>18</v>
      </c>
      <c r="Y2101" t="s">
        <v>21983</v>
      </c>
      <c r="Z2101" t="s">
        <v>28516</v>
      </c>
      <c r="AA2101">
        <v>0.42840446205912769</v>
      </c>
      <c r="AB2101" t="str">
        <f>HYPERLINK("Melting_Curves/meltCurve_P14550_AKR1A1.pdf", "Melting_Curves/meltCurve_P14550_AKR1A1.pdf")</f>
        <v>Melting_Curves/meltCurve_P14550_AKR1A1.pdf</v>
      </c>
    </row>
    <row r="2102" spans="1:28" x14ac:dyDescent="0.25">
      <c r="A2102" t="s">
        <v>2106</v>
      </c>
      <c r="B2102">
        <v>0.99193492352474899</v>
      </c>
      <c r="C2102">
        <v>0.90938802766924398</v>
      </c>
      <c r="D2102">
        <v>0.90305876769952798</v>
      </c>
      <c r="E2102">
        <v>0.74844314037352</v>
      </c>
      <c r="F2102">
        <v>0.69001500307966201</v>
      </c>
      <c r="G2102">
        <v>0.49658771925184603</v>
      </c>
      <c r="H2102">
        <v>0.227836423868296</v>
      </c>
      <c r="I2102">
        <v>8.2004191621015701E-2</v>
      </c>
      <c r="J2102">
        <v>8.5221827900043207E-2</v>
      </c>
      <c r="K2102">
        <v>8.4161351448007002E-2</v>
      </c>
      <c r="L2102">
        <v>696.73605896815604</v>
      </c>
      <c r="M2102">
        <v>12.5476857123043</v>
      </c>
      <c r="N2102">
        <v>55.527080048606699</v>
      </c>
      <c r="O2102">
        <v>54.173312118077298</v>
      </c>
      <c r="P2102">
        <v>-5.7917031514190601E-2</v>
      </c>
      <c r="Q2102">
        <v>0</v>
      </c>
      <c r="R2102">
        <v>0.98043110813225498</v>
      </c>
      <c r="S2102" t="s">
        <v>8772</v>
      </c>
      <c r="T2102" t="s">
        <v>13338</v>
      </c>
      <c r="U2102" t="s">
        <v>13338</v>
      </c>
      <c r="V2102" t="s">
        <v>13338</v>
      </c>
      <c r="W2102" t="s">
        <v>15404</v>
      </c>
      <c r="X2102">
        <v>55</v>
      </c>
      <c r="Y2102" t="s">
        <v>20862</v>
      </c>
      <c r="Z2102" t="s">
        <v>28517</v>
      </c>
      <c r="AA2102">
        <v>0.53889526266902343</v>
      </c>
      <c r="AB2102" t="str">
        <f>HYPERLINK("Melting_Curves/meltCurve_P14618_PKM.pdf", "Melting_Curves/meltCurve_P14618_PKM.pdf")</f>
        <v>Melting_Curves/meltCurve_P14618_PKM.pdf</v>
      </c>
    </row>
    <row r="2103" spans="1:28" x14ac:dyDescent="0.25">
      <c r="A2103" t="s">
        <v>2107</v>
      </c>
      <c r="B2103">
        <v>0.99193492352474899</v>
      </c>
      <c r="C2103">
        <v>0.96263602993158803</v>
      </c>
      <c r="D2103">
        <v>0.84888110514613202</v>
      </c>
      <c r="E2103">
        <v>0.80809619284767797</v>
      </c>
      <c r="F2103">
        <v>0.67674546044449502</v>
      </c>
      <c r="G2103">
        <v>0.60346466778117402</v>
      </c>
      <c r="H2103">
        <v>0.30577282047794602</v>
      </c>
      <c r="I2103">
        <v>0.14237198907270099</v>
      </c>
      <c r="J2103">
        <v>0.12165489123209999</v>
      </c>
      <c r="K2103">
        <v>0.16861602152199601</v>
      </c>
      <c r="L2103">
        <v>616.19816682406997</v>
      </c>
      <c r="M2103">
        <v>10.8564071805732</v>
      </c>
      <c r="N2103">
        <v>56.758941161728401</v>
      </c>
      <c r="O2103">
        <v>54.934970497343301</v>
      </c>
      <c r="P2103">
        <v>-4.94232562986021E-2</v>
      </c>
      <c r="Q2103">
        <v>0</v>
      </c>
      <c r="R2103">
        <v>0.973013092122468</v>
      </c>
      <c r="S2103" t="s">
        <v>8773</v>
      </c>
      <c r="T2103" t="s">
        <v>13338</v>
      </c>
      <c r="U2103" t="s">
        <v>13338</v>
      </c>
      <c r="V2103" t="s">
        <v>13338</v>
      </c>
      <c r="W2103" t="s">
        <v>15405</v>
      </c>
      <c r="X2103">
        <v>55</v>
      </c>
      <c r="Y2103" t="s">
        <v>20862</v>
      </c>
      <c r="Z2103" t="s">
        <v>28518</v>
      </c>
      <c r="AA2103">
        <v>0.57625773657033996</v>
      </c>
      <c r="AB2103" t="str">
        <f>HYPERLINK("Melting_Curves/meltCurve_P14618_2_PKM.pdf", "Melting_Curves/meltCurve_P14618_2_PKM.pdf")</f>
        <v>Melting_Curves/meltCurve_P14618_2_PKM.pdf</v>
      </c>
    </row>
    <row r="2104" spans="1:28" x14ac:dyDescent="0.25">
      <c r="A2104" t="s">
        <v>2108</v>
      </c>
      <c r="B2104">
        <v>0.99193492352474899</v>
      </c>
      <c r="C2104">
        <v>0.75168206362026502</v>
      </c>
      <c r="D2104">
        <v>1.05794873324189</v>
      </c>
      <c r="E2104">
        <v>0.63986854458280695</v>
      </c>
      <c r="F2104">
        <v>0.58457041276879695</v>
      </c>
      <c r="G2104">
        <v>0.223119719189981</v>
      </c>
      <c r="H2104">
        <v>9.9476717609539203E-2</v>
      </c>
      <c r="I2104">
        <v>8.9328776743055505E-2</v>
      </c>
      <c r="J2104">
        <v>0.11122843682130901</v>
      </c>
      <c r="K2104">
        <v>0.24241973490834401</v>
      </c>
      <c r="L2104">
        <v>946.32517571229005</v>
      </c>
      <c r="M2104">
        <v>18.179650892949201</v>
      </c>
      <c r="N2104">
        <v>52.779285322017202</v>
      </c>
      <c r="O2104">
        <v>51.436505840546502</v>
      </c>
      <c r="P2104">
        <v>-7.8598168655133693E-2</v>
      </c>
      <c r="Q2104">
        <v>0.110516851872657</v>
      </c>
      <c r="R2104">
        <v>0.90506918192059704</v>
      </c>
      <c r="S2104" t="s">
        <v>8774</v>
      </c>
      <c r="T2104" t="s">
        <v>13338</v>
      </c>
      <c r="U2104" t="s">
        <v>13338</v>
      </c>
      <c r="V2104" t="s">
        <v>13338</v>
      </c>
      <c r="W2104" t="s">
        <v>15406</v>
      </c>
      <c r="X2104">
        <v>4</v>
      </c>
      <c r="Y2104" t="s">
        <v>21984</v>
      </c>
      <c r="Z2104" t="s">
        <v>28519</v>
      </c>
      <c r="AA2104">
        <v>0.48245620624719182</v>
      </c>
      <c r="AB2104" t="str">
        <f>HYPERLINK("Melting_Curves/meltCurve_P14621_ACYP2.pdf", "Melting_Curves/meltCurve_P14621_ACYP2.pdf")</f>
        <v>Melting_Curves/meltCurve_P14621_ACYP2.pdf</v>
      </c>
    </row>
    <row r="2105" spans="1:28" x14ac:dyDescent="0.25">
      <c r="A2105" t="s">
        <v>2109</v>
      </c>
      <c r="B2105">
        <v>0.99193492352474899</v>
      </c>
      <c r="C2105">
        <v>1.00828159798603</v>
      </c>
      <c r="D2105">
        <v>0.91346990172285902</v>
      </c>
      <c r="E2105">
        <v>0.78387356041376699</v>
      </c>
      <c r="F2105">
        <v>0.52316662839092598</v>
      </c>
      <c r="G2105">
        <v>0.19617449691390301</v>
      </c>
      <c r="H2105">
        <v>0.112527067056957</v>
      </c>
      <c r="I2105">
        <v>0.13049865969166999</v>
      </c>
      <c r="J2105">
        <v>0.14103600475612901</v>
      </c>
      <c r="K2105">
        <v>0.16441814659408199</v>
      </c>
      <c r="L2105">
        <v>1190.0835380056999</v>
      </c>
      <c r="M2105">
        <v>22.764207693337902</v>
      </c>
      <c r="N2105">
        <v>52.911564919529198</v>
      </c>
      <c r="O2105">
        <v>51.880279544071399</v>
      </c>
      <c r="P2105">
        <v>-9.6624410531239102E-2</v>
      </c>
      <c r="Q2105">
        <v>0.119177704965784</v>
      </c>
      <c r="R2105">
        <v>0.99175520021790498</v>
      </c>
      <c r="S2105" t="s">
        <v>8775</v>
      </c>
      <c r="T2105" t="s">
        <v>13338</v>
      </c>
      <c r="U2105" t="s">
        <v>13338</v>
      </c>
      <c r="V2105" t="s">
        <v>13338</v>
      </c>
      <c r="W2105" t="s">
        <v>15407</v>
      </c>
      <c r="X2105">
        <v>67</v>
      </c>
      <c r="Y2105" t="s">
        <v>21985</v>
      </c>
      <c r="Z2105" t="s">
        <v>28520</v>
      </c>
      <c r="AA2105">
        <v>0.48931187524753222</v>
      </c>
      <c r="AB2105" t="str">
        <f>HYPERLINK("Melting_Curves/meltCurve_P14625_HSP90B1.pdf", "Melting_Curves/meltCurve_P14625_HSP90B1.pdf")</f>
        <v>Melting_Curves/meltCurve_P14625_HSP90B1.pdf</v>
      </c>
    </row>
    <row r="2106" spans="1:28" x14ac:dyDescent="0.25">
      <c r="A2106" t="s">
        <v>2110</v>
      </c>
      <c r="B2106">
        <v>0.99193492352474899</v>
      </c>
      <c r="C2106">
        <v>0.54043838285261503</v>
      </c>
      <c r="D2106">
        <v>0.83782093497191601</v>
      </c>
      <c r="E2106">
        <v>0.53759026077337702</v>
      </c>
      <c r="F2106">
        <v>0.52908583092669403</v>
      </c>
      <c r="G2106">
        <v>0.23533500996873299</v>
      </c>
      <c r="H2106">
        <v>0.102878644089462</v>
      </c>
      <c r="I2106">
        <v>6.8559928347595694E-2</v>
      </c>
      <c r="J2106">
        <v>0.100853161388827</v>
      </c>
      <c r="K2106">
        <v>8.6346234340663006E-2</v>
      </c>
      <c r="L2106">
        <v>444.00147933219398</v>
      </c>
      <c r="M2106">
        <v>8.7949843805196295</v>
      </c>
      <c r="N2106">
        <v>50.483489939577403</v>
      </c>
      <c r="O2106">
        <v>48.077688680830803</v>
      </c>
      <c r="P2106">
        <v>-4.5769426802847797E-2</v>
      </c>
      <c r="Q2106">
        <v>0</v>
      </c>
      <c r="R2106">
        <v>0.86297823677851304</v>
      </c>
      <c r="S2106" t="s">
        <v>8776</v>
      </c>
      <c r="T2106" t="s">
        <v>13338</v>
      </c>
      <c r="U2106" t="s">
        <v>13338</v>
      </c>
      <c r="V2106" t="s">
        <v>13338</v>
      </c>
      <c r="W2106" t="s">
        <v>15408</v>
      </c>
      <c r="X2106">
        <v>7</v>
      </c>
      <c r="Y2106" t="s">
        <v>21986</v>
      </c>
      <c r="Z2106" t="s">
        <v>28521</v>
      </c>
      <c r="AA2106">
        <v>0.4003731572871233</v>
      </c>
      <c r="AB2106" t="str">
        <f>HYPERLINK("Melting_Curves/meltCurve_P14635_CCNB1.pdf", "Melting_Curves/meltCurve_P14635_CCNB1.pdf")</f>
        <v>Melting_Curves/meltCurve_P14635_CCNB1.pdf</v>
      </c>
    </row>
    <row r="2107" spans="1:28" x14ac:dyDescent="0.25">
      <c r="A2107" t="s">
        <v>2111</v>
      </c>
      <c r="B2107">
        <v>0.99193492352474899</v>
      </c>
      <c r="C2107">
        <v>0.58010253279890001</v>
      </c>
      <c r="D2107">
        <v>0.77435510774604999</v>
      </c>
      <c r="E2107">
        <v>0.43935441415249399</v>
      </c>
      <c r="F2107">
        <v>0.43722174315259599</v>
      </c>
      <c r="G2107">
        <v>0.35596711553921401</v>
      </c>
      <c r="H2107">
        <v>0.27734216143545598</v>
      </c>
      <c r="I2107">
        <v>0.285024669599523</v>
      </c>
      <c r="J2107">
        <v>0.44262164402347498</v>
      </c>
      <c r="K2107">
        <v>0.58065591564892205</v>
      </c>
      <c r="L2107">
        <v>665.76403141477795</v>
      </c>
      <c r="M2107">
        <v>15.0570073383709</v>
      </c>
      <c r="N2107">
        <v>48.999528472355301</v>
      </c>
      <c r="O2107">
        <v>43.458313149480198</v>
      </c>
      <c r="P2107">
        <v>-5.3273374799840303E-2</v>
      </c>
      <c r="Q2107">
        <v>0.38502006039089798</v>
      </c>
      <c r="R2107">
        <v>0.689900120949132</v>
      </c>
      <c r="S2107" t="s">
        <v>8777</v>
      </c>
      <c r="T2107" t="s">
        <v>13338</v>
      </c>
      <c r="U2107" t="s">
        <v>13338</v>
      </c>
      <c r="V2107" t="s">
        <v>13338</v>
      </c>
      <c r="W2107" t="s">
        <v>15409</v>
      </c>
      <c r="X2107">
        <v>9</v>
      </c>
      <c r="Y2107" t="s">
        <v>21987</v>
      </c>
      <c r="Z2107" t="s">
        <v>28522</v>
      </c>
      <c r="AA2107">
        <v>0.49296024775906522</v>
      </c>
      <c r="AB2107" t="str">
        <f>HYPERLINK("Melting_Curves/meltCurve_P14649_MYL6B.pdf", "Melting_Curves/meltCurve_P14649_MYL6B.pdf")</f>
        <v>Melting_Curves/meltCurve_P14649_MYL6B.pdf</v>
      </c>
    </row>
    <row r="2108" spans="1:28" x14ac:dyDescent="0.25">
      <c r="A2108" t="s">
        <v>2112</v>
      </c>
      <c r="B2108">
        <v>0.99193492352474899</v>
      </c>
      <c r="C2108">
        <v>0.77613862093231401</v>
      </c>
      <c r="D2108">
        <v>0.82546004275470397</v>
      </c>
      <c r="E2108">
        <v>0.59964985648454505</v>
      </c>
      <c r="F2108">
        <v>0.65703246856506203</v>
      </c>
      <c r="G2108">
        <v>0.47713141780187701</v>
      </c>
      <c r="H2108">
        <v>0.38427761802604099</v>
      </c>
      <c r="I2108">
        <v>0.39165653093924302</v>
      </c>
      <c r="J2108">
        <v>0.39013368475299998</v>
      </c>
      <c r="K2108">
        <v>0.27368839707975101</v>
      </c>
      <c r="L2108">
        <v>361.55376711435599</v>
      </c>
      <c r="M2108">
        <v>6.8880045906995502</v>
      </c>
      <c r="N2108">
        <v>56.494585468180802</v>
      </c>
      <c r="O2108">
        <v>48.600897426292804</v>
      </c>
      <c r="P2108">
        <v>-2.8644536460356501E-2</v>
      </c>
      <c r="Q2108">
        <v>0.19313784265085601</v>
      </c>
      <c r="R2108">
        <v>0.93295073648794702</v>
      </c>
      <c r="S2108" t="s">
        <v>8778</v>
      </c>
      <c r="T2108" t="s">
        <v>13338</v>
      </c>
      <c r="U2108" t="s">
        <v>13338</v>
      </c>
      <c r="V2108" t="s">
        <v>13338</v>
      </c>
      <c r="W2108" t="s">
        <v>15410</v>
      </c>
      <c r="X2108">
        <v>10</v>
      </c>
      <c r="Y2108" t="s">
        <v>20005</v>
      </c>
      <c r="Z2108" t="s">
        <v>28523</v>
      </c>
      <c r="AA2108">
        <v>0.56852022146613279</v>
      </c>
      <c r="AB2108" t="str">
        <f>HYPERLINK("Melting_Curves/meltCurve_P14678_2_SNRPB.pdf", "Melting_Curves/meltCurve_P14678_2_SNRPB.pdf")</f>
        <v>Melting_Curves/meltCurve_P14678_2_SNRPB.pdf</v>
      </c>
    </row>
    <row r="2109" spans="1:28" x14ac:dyDescent="0.25">
      <c r="A2109" t="s">
        <v>2113</v>
      </c>
      <c r="B2109">
        <v>0.99193492352474899</v>
      </c>
      <c r="C2109">
        <v>0.83438090684460398</v>
      </c>
      <c r="D2109">
        <v>0.71955959865884001</v>
      </c>
      <c r="E2109">
        <v>0.37657103281759102</v>
      </c>
      <c r="F2109">
        <v>0.243889789414859</v>
      </c>
      <c r="G2109">
        <v>0.12893668825294599</v>
      </c>
      <c r="H2109">
        <v>7.4874495826308299E-2</v>
      </c>
      <c r="I2109">
        <v>6.9596142648697998E-2</v>
      </c>
      <c r="J2109">
        <v>7.0558996319233305E-2</v>
      </c>
      <c r="K2109">
        <v>8.0223468008430096E-2</v>
      </c>
      <c r="L2109">
        <v>771.82151476609397</v>
      </c>
      <c r="M2109">
        <v>16.099083239838201</v>
      </c>
      <c r="N2109">
        <v>48.327755945528097</v>
      </c>
      <c r="O2109">
        <v>47.220536721792897</v>
      </c>
      <c r="P2109">
        <v>-8.00997577602615E-2</v>
      </c>
      <c r="Q2109">
        <v>6.0303214120431103E-2</v>
      </c>
      <c r="R2109">
        <v>0.99484912935954395</v>
      </c>
      <c r="S2109" t="s">
        <v>8779</v>
      </c>
      <c r="T2109" t="s">
        <v>13338</v>
      </c>
      <c r="U2109" t="s">
        <v>13338</v>
      </c>
      <c r="V2109" t="s">
        <v>13338</v>
      </c>
      <c r="W2109" t="s">
        <v>15411</v>
      </c>
      <c r="X2109">
        <v>27</v>
      </c>
      <c r="Y2109" t="s">
        <v>21988</v>
      </c>
      <c r="Z2109" t="s">
        <v>28524</v>
      </c>
      <c r="AA2109">
        <v>0.33010594124899278</v>
      </c>
      <c r="AB2109" t="str">
        <f>HYPERLINK("Melting_Curves/meltCurve_P14735_IDE.pdf", "Melting_Curves/meltCurve_P14735_IDE.pdf")</f>
        <v>Melting_Curves/meltCurve_P14735_IDE.pdf</v>
      </c>
    </row>
    <row r="2110" spans="1:28" x14ac:dyDescent="0.25">
      <c r="A2110" t="s">
        <v>2114</v>
      </c>
      <c r="B2110">
        <v>0.99193492352474899</v>
      </c>
      <c r="C2110">
        <v>0.87338689301466699</v>
      </c>
      <c r="D2110">
        <v>0.97389238627832397</v>
      </c>
      <c r="E2110">
        <v>0.753152427317893</v>
      </c>
      <c r="F2110">
        <v>0.48466227756839098</v>
      </c>
      <c r="G2110">
        <v>0.28832234154458902</v>
      </c>
      <c r="H2110">
        <v>0.25917308480815499</v>
      </c>
      <c r="I2110">
        <v>0.21256193152868799</v>
      </c>
      <c r="J2110">
        <v>0.296445226680637</v>
      </c>
      <c r="K2110">
        <v>0.34679967200310902</v>
      </c>
      <c r="L2110">
        <v>1290.67634831136</v>
      </c>
      <c r="M2110">
        <v>25.300392974691199</v>
      </c>
      <c r="N2110">
        <v>52.630842847189101</v>
      </c>
      <c r="O2110">
        <v>50.698581131700003</v>
      </c>
      <c r="P2110">
        <v>-9.1055916008385598E-2</v>
      </c>
      <c r="Q2110">
        <v>0.27015418381391099</v>
      </c>
      <c r="R2110">
        <v>0.96950340858508899</v>
      </c>
      <c r="S2110" t="s">
        <v>8780</v>
      </c>
      <c r="T2110" t="s">
        <v>13338</v>
      </c>
      <c r="U2110" t="s">
        <v>13338</v>
      </c>
      <c r="V2110" t="s">
        <v>13338</v>
      </c>
      <c r="W2110" t="s">
        <v>15412</v>
      </c>
      <c r="X2110">
        <v>8</v>
      </c>
      <c r="Y2110" t="s">
        <v>21989</v>
      </c>
      <c r="Z2110" t="s">
        <v>28525</v>
      </c>
      <c r="AA2110">
        <v>0.544548089932402</v>
      </c>
      <c r="AB2110" t="str">
        <f>HYPERLINK("Melting_Curves/meltCurve_P14854_COX6B1.pdf", "Melting_Curves/meltCurve_P14854_COX6B1.pdf")</f>
        <v>Melting_Curves/meltCurve_P14854_COX6B1.pdf</v>
      </c>
    </row>
    <row r="2111" spans="1:28" x14ac:dyDescent="0.25">
      <c r="A2111" t="s">
        <v>2115</v>
      </c>
      <c r="B2111">
        <v>0.99193492352474899</v>
      </c>
      <c r="C2111">
        <v>0.57677017667189501</v>
      </c>
      <c r="D2111">
        <v>0.55164500347309897</v>
      </c>
      <c r="E2111">
        <v>0.19092922972374801</v>
      </c>
      <c r="F2111">
        <v>0.12383791108629801</v>
      </c>
      <c r="G2111">
        <v>7.6138461590272502E-2</v>
      </c>
      <c r="H2111">
        <v>5.0979422875922401E-2</v>
      </c>
      <c r="I2111">
        <v>7.3314783360565794E-2</v>
      </c>
      <c r="J2111">
        <v>7.9479268230741806E-2</v>
      </c>
      <c r="K2111">
        <v>0.10682170871987701</v>
      </c>
      <c r="L2111">
        <v>747.13034194241902</v>
      </c>
      <c r="M2111">
        <v>16.616605281734099</v>
      </c>
      <c r="N2111">
        <v>45.3461173411388</v>
      </c>
      <c r="O2111">
        <v>44.326804653691298</v>
      </c>
      <c r="P2111">
        <v>-8.7582961098239404E-2</v>
      </c>
      <c r="Q2111">
        <v>6.5510599783423301E-2</v>
      </c>
      <c r="R2111">
        <v>0.95318584950666796</v>
      </c>
      <c r="S2111" t="s">
        <v>8781</v>
      </c>
      <c r="T2111" t="s">
        <v>13338</v>
      </c>
      <c r="U2111" t="s">
        <v>13338</v>
      </c>
      <c r="V2111" t="s">
        <v>13338</v>
      </c>
      <c r="W2111" t="s">
        <v>15413</v>
      </c>
      <c r="X2111">
        <v>17</v>
      </c>
      <c r="Y2111" t="s">
        <v>21990</v>
      </c>
      <c r="Z2111" t="s">
        <v>28526</v>
      </c>
      <c r="AA2111">
        <v>0.24429190035077161</v>
      </c>
      <c r="AB2111" t="str">
        <f>HYPERLINK("Melting_Curves/meltCurve_P14866_HNRNPL.pdf", "Melting_Curves/meltCurve_P14866_HNRNPL.pdf")</f>
        <v>Melting_Curves/meltCurve_P14866_HNRNPL.pdf</v>
      </c>
    </row>
    <row r="2112" spans="1:28" x14ac:dyDescent="0.25">
      <c r="A2112" t="s">
        <v>2116</v>
      </c>
      <c r="B2112">
        <v>0.99193492352474899</v>
      </c>
      <c r="C2112">
        <v>0.77350451749716498</v>
      </c>
      <c r="D2112">
        <v>0.88492879594176699</v>
      </c>
      <c r="E2112">
        <v>0.62106624411768696</v>
      </c>
      <c r="F2112">
        <v>0.62609480356896396</v>
      </c>
      <c r="G2112">
        <v>0.500262034339228</v>
      </c>
      <c r="H2112">
        <v>0.40728732683082203</v>
      </c>
      <c r="I2112">
        <v>0.18462568712614699</v>
      </c>
      <c r="J2112">
        <v>0.15669054972999399</v>
      </c>
      <c r="K2112">
        <v>0.139229325075309</v>
      </c>
      <c r="L2112">
        <v>423.96179939512001</v>
      </c>
      <c r="M2112">
        <v>7.6774596383394096</v>
      </c>
      <c r="N2112">
        <v>55.221625282697701</v>
      </c>
      <c r="O2112">
        <v>51.849537525289499</v>
      </c>
      <c r="P2112">
        <v>-3.7066780454494401E-2</v>
      </c>
      <c r="Q2112">
        <v>0</v>
      </c>
      <c r="R2112">
        <v>0.94210477536238502</v>
      </c>
      <c r="S2112" t="s">
        <v>8782</v>
      </c>
      <c r="T2112" t="s">
        <v>13338</v>
      </c>
      <c r="U2112" t="s">
        <v>13338</v>
      </c>
      <c r="V2112" t="s">
        <v>13338</v>
      </c>
      <c r="W2112" t="s">
        <v>15414</v>
      </c>
      <c r="X2112">
        <v>36</v>
      </c>
      <c r="Y2112" t="s">
        <v>21991</v>
      </c>
      <c r="Z2112" t="s">
        <v>28527</v>
      </c>
      <c r="AA2112">
        <v>0.53287061028093241</v>
      </c>
      <c r="AB2112" t="str">
        <f>HYPERLINK("Melting_Curves/meltCurve_P14868_DARS.pdf", "Melting_Curves/meltCurve_P14868_DARS.pdf")</f>
        <v>Melting_Curves/meltCurve_P14868_DARS.pdf</v>
      </c>
    </row>
    <row r="2113" spans="1:28" x14ac:dyDescent="0.25">
      <c r="A2113" t="s">
        <v>2117</v>
      </c>
      <c r="B2113">
        <v>0.99193492352474899</v>
      </c>
      <c r="C2113">
        <v>0.35681884701775501</v>
      </c>
      <c r="D2113">
        <v>0.21206463127306699</v>
      </c>
      <c r="E2113">
        <v>0.10310933084108601</v>
      </c>
      <c r="F2113">
        <v>6.8595953099502602E-2</v>
      </c>
      <c r="G2113">
        <v>4.43771276448107E-2</v>
      </c>
      <c r="H2113">
        <v>2.4496172062459701E-2</v>
      </c>
      <c r="I2113">
        <v>3.2581357916010502E-2</v>
      </c>
      <c r="J2113">
        <v>3.2188777572156997E-2</v>
      </c>
      <c r="K2113">
        <v>3.1780902531023801E-2</v>
      </c>
      <c r="L2113">
        <v>2091.2164799422299</v>
      </c>
      <c r="M2113">
        <v>49.433858995412002</v>
      </c>
      <c r="N2113">
        <v>42.422168652620698</v>
      </c>
      <c r="O2113">
        <v>42.234266330588397</v>
      </c>
      <c r="P2113">
        <v>-0.27369475262611997</v>
      </c>
      <c r="Q2113">
        <v>6.4666443733058895E-2</v>
      </c>
      <c r="R2113">
        <v>0.96833907135740604</v>
      </c>
      <c r="S2113" t="s">
        <v>8783</v>
      </c>
      <c r="T2113" t="s">
        <v>13338</v>
      </c>
      <c r="U2113" t="s">
        <v>13338</v>
      </c>
      <c r="V2113" t="s">
        <v>13338</v>
      </c>
      <c r="W2113" t="s">
        <v>15415</v>
      </c>
      <c r="X2113">
        <v>7</v>
      </c>
      <c r="Y2113" t="s">
        <v>21992</v>
      </c>
      <c r="Z2113" t="s">
        <v>28528</v>
      </c>
      <c r="AA2113">
        <v>0.13956121834562771</v>
      </c>
      <c r="AB2113" t="str">
        <f>HYPERLINK("Melting_Curves/meltCurve_P14921_ETS1.pdf", "Melting_Curves/meltCurve_P14921_ETS1.pdf")</f>
        <v>Melting_Curves/meltCurve_P14921_ETS1.pdf</v>
      </c>
    </row>
    <row r="2114" spans="1:28" x14ac:dyDescent="0.25">
      <c r="A2114" t="s">
        <v>2118</v>
      </c>
      <c r="B2114">
        <v>0.99193492352474899</v>
      </c>
      <c r="C2114">
        <v>1.00694890755277</v>
      </c>
      <c r="D2114">
        <v>0.883863641741649</v>
      </c>
      <c r="E2114">
        <v>0.58049554306735396</v>
      </c>
      <c r="F2114">
        <v>0.41858600263115098</v>
      </c>
      <c r="G2114">
        <v>0.202100929752417</v>
      </c>
      <c r="H2114">
        <v>0.18374177983888801</v>
      </c>
      <c r="I2114">
        <v>0.113471790680243</v>
      </c>
      <c r="J2114">
        <v>0.13673490046877601</v>
      </c>
      <c r="K2114">
        <v>0.22031776809211301</v>
      </c>
      <c r="L2114">
        <v>971.21274656172204</v>
      </c>
      <c r="M2114">
        <v>19.364012874324001</v>
      </c>
      <c r="N2114">
        <v>51.106975824880699</v>
      </c>
      <c r="O2114">
        <v>49.629850487831099</v>
      </c>
      <c r="P2114">
        <v>-8.2784312580041194E-2</v>
      </c>
      <c r="Q2114">
        <v>0.151328903737696</v>
      </c>
      <c r="R2114">
        <v>0.98787395493428298</v>
      </c>
      <c r="S2114" t="s">
        <v>8784</v>
      </c>
      <c r="T2114" t="s">
        <v>13338</v>
      </c>
      <c r="U2114" t="s">
        <v>13338</v>
      </c>
      <c r="V2114" t="s">
        <v>13338</v>
      </c>
      <c r="W2114" t="s">
        <v>15416</v>
      </c>
      <c r="X2114">
        <v>3</v>
      </c>
      <c r="Y2114" t="s">
        <v>21993</v>
      </c>
      <c r="Z2114" t="s">
        <v>28529</v>
      </c>
      <c r="AA2114">
        <v>0.45118796640818909</v>
      </c>
      <c r="AB2114" t="str">
        <f>HYPERLINK("Melting_Curves/meltCurve_P14923_JUP.pdf", "Melting_Curves/meltCurve_P14923_JUP.pdf")</f>
        <v>Melting_Curves/meltCurve_P14923_JUP.pdf</v>
      </c>
    </row>
    <row r="2115" spans="1:28" x14ac:dyDescent="0.25">
      <c r="A2115" t="s">
        <v>2119</v>
      </c>
      <c r="B2115">
        <v>0.99193492352474899</v>
      </c>
      <c r="C2115">
        <v>1.0097645069883401</v>
      </c>
      <c r="D2115">
        <v>0.93999707601641302</v>
      </c>
      <c r="E2115">
        <v>0.90796574885718095</v>
      </c>
      <c r="F2115">
        <v>0.70356591137000202</v>
      </c>
      <c r="G2115">
        <v>0.54798274025410099</v>
      </c>
      <c r="H2115">
        <v>0.47649104644332502</v>
      </c>
      <c r="I2115">
        <v>0.54452496560153196</v>
      </c>
      <c r="J2115">
        <v>0.54074307225880802</v>
      </c>
      <c r="K2115">
        <v>0.76894531081421802</v>
      </c>
      <c r="L2115">
        <v>1768.8137580837699</v>
      </c>
      <c r="M2115">
        <v>34.314141907085997</v>
      </c>
      <c r="O2115">
        <v>51.373533463383403</v>
      </c>
      <c r="P2115">
        <v>-7.1003501029854102E-2</v>
      </c>
      <c r="Q2115">
        <v>0.57478911364156604</v>
      </c>
      <c r="R2115">
        <v>0.85856898556750305</v>
      </c>
      <c r="S2115" t="s">
        <v>8785</v>
      </c>
      <c r="T2115" t="s">
        <v>13338</v>
      </c>
      <c r="U2115" t="s">
        <v>13338</v>
      </c>
      <c r="V2115" t="s">
        <v>13338</v>
      </c>
      <c r="W2115" t="s">
        <v>13729</v>
      </c>
      <c r="X2115">
        <v>11</v>
      </c>
      <c r="Y2115" t="s">
        <v>20334</v>
      </c>
      <c r="Z2115" t="s">
        <v>28530</v>
      </c>
      <c r="AA2115">
        <v>0.74052372311113401</v>
      </c>
      <c r="AB2115" t="str">
        <f>HYPERLINK("Melting_Curves/meltCurve_P14927_UQCRB.pdf", "Melting_Curves/meltCurve_P14927_UQCRB.pdf")</f>
        <v>Melting_Curves/meltCurve_P14927_UQCRB.pdf</v>
      </c>
    </row>
    <row r="2116" spans="1:28" x14ac:dyDescent="0.25">
      <c r="A2116" t="s">
        <v>2120</v>
      </c>
      <c r="B2116">
        <v>0.99193492352474899</v>
      </c>
      <c r="C2116">
        <v>0.951105632693658</v>
      </c>
      <c r="D2116">
        <v>0.93394452201049405</v>
      </c>
      <c r="E2116">
        <v>0.60611083604137705</v>
      </c>
      <c r="F2116">
        <v>0.19552979252661801</v>
      </c>
      <c r="G2116">
        <v>8.73272934969095E-2</v>
      </c>
      <c r="H2116">
        <v>5.0333864014444299E-2</v>
      </c>
      <c r="I2116">
        <v>6.3458536329155102E-2</v>
      </c>
      <c r="J2116">
        <v>8.1220642597420997E-2</v>
      </c>
      <c r="K2116">
        <v>7.4296222988150307E-2</v>
      </c>
      <c r="L2116">
        <v>1509.03253743143</v>
      </c>
      <c r="M2116">
        <v>30.131340468667901</v>
      </c>
      <c r="N2116">
        <v>50.311841343322101</v>
      </c>
      <c r="O2116">
        <v>49.862779419777098</v>
      </c>
      <c r="P2116">
        <v>-0.14135172854345901</v>
      </c>
      <c r="Q2116">
        <v>6.4343601170711404E-2</v>
      </c>
      <c r="R2116">
        <v>0.99826143955234603</v>
      </c>
      <c r="S2116" t="s">
        <v>8786</v>
      </c>
      <c r="T2116" t="s">
        <v>13338</v>
      </c>
      <c r="U2116" t="s">
        <v>13338</v>
      </c>
      <c r="V2116" t="s">
        <v>13338</v>
      </c>
      <c r="W2116" t="s">
        <v>15417</v>
      </c>
      <c r="X2116">
        <v>7</v>
      </c>
      <c r="Y2116" t="s">
        <v>21994</v>
      </c>
      <c r="Z2116" t="s">
        <v>28531</v>
      </c>
      <c r="AA2116">
        <v>0.38452499791158312</v>
      </c>
      <c r="AB2116" t="str">
        <f>HYPERLINK("Melting_Curves/meltCurve_P15056_BRAF.pdf", "Melting_Curves/meltCurve_P15056_BRAF.pdf")</f>
        <v>Melting_Curves/meltCurve_P15056_BRAF.pdf</v>
      </c>
    </row>
    <row r="2117" spans="1:28" x14ac:dyDescent="0.25">
      <c r="A2117" t="s">
        <v>2121</v>
      </c>
      <c r="B2117">
        <v>0.99193492352474899</v>
      </c>
      <c r="C2117">
        <v>1.06143050863194</v>
      </c>
      <c r="D2117">
        <v>0.98456708108939295</v>
      </c>
      <c r="E2117">
        <v>0.98480619078584697</v>
      </c>
      <c r="F2117">
        <v>0.87092408877013905</v>
      </c>
      <c r="G2117">
        <v>0.76718134710556496</v>
      </c>
      <c r="H2117">
        <v>0.23059794992784</v>
      </c>
      <c r="I2117">
        <v>0.15223792481419099</v>
      </c>
      <c r="J2117">
        <v>0.142172579285339</v>
      </c>
      <c r="K2117">
        <v>0.18319201387713699</v>
      </c>
      <c r="L2117">
        <v>2443.2770328199099</v>
      </c>
      <c r="M2117">
        <v>42.170978654037697</v>
      </c>
      <c r="N2117">
        <v>58.425510233737498</v>
      </c>
      <c r="O2117">
        <v>57.807580501464798</v>
      </c>
      <c r="P2117">
        <v>-0.15529951606765699</v>
      </c>
      <c r="Q2117">
        <v>0.14846903126635499</v>
      </c>
      <c r="R2117">
        <v>0.98732091701904101</v>
      </c>
      <c r="S2117" t="s">
        <v>8787</v>
      </c>
      <c r="T2117" t="s">
        <v>13338</v>
      </c>
      <c r="U2117" t="s">
        <v>13338</v>
      </c>
      <c r="V2117" t="s">
        <v>13338</v>
      </c>
      <c r="W2117" t="s">
        <v>15418</v>
      </c>
      <c r="X2117">
        <v>11</v>
      </c>
      <c r="Y2117" t="s">
        <v>21995</v>
      </c>
      <c r="Z2117" t="s">
        <v>28532</v>
      </c>
      <c r="AA2117">
        <v>0.66063491595459711</v>
      </c>
      <c r="AB2117" t="str">
        <f>HYPERLINK("Melting_Curves/meltCurve_P15104_GLUL.pdf", "Melting_Curves/meltCurve_P15104_GLUL.pdf")</f>
        <v>Melting_Curves/meltCurve_P15104_GLUL.pdf</v>
      </c>
    </row>
    <row r="2118" spans="1:28" x14ac:dyDescent="0.25">
      <c r="A2118" t="s">
        <v>2122</v>
      </c>
      <c r="B2118">
        <v>0.99193492352474899</v>
      </c>
      <c r="C2118">
        <v>0.92688214123898605</v>
      </c>
      <c r="D2118">
        <v>0.98305921504369398</v>
      </c>
      <c r="E2118">
        <v>0.79432061253971498</v>
      </c>
      <c r="F2118">
        <v>0.66433831501284801</v>
      </c>
      <c r="G2118">
        <v>0.37560778300738101</v>
      </c>
      <c r="H2118">
        <v>8.1685259437107097E-2</v>
      </c>
      <c r="I2118">
        <v>8.8656759983782404E-2</v>
      </c>
      <c r="J2118">
        <v>8.8633300053376898E-2</v>
      </c>
      <c r="K2118">
        <v>9.0001233027163605E-2</v>
      </c>
      <c r="L2118">
        <v>981.54107704759099</v>
      </c>
      <c r="M2118">
        <v>18.0255671657983</v>
      </c>
      <c r="N2118">
        <v>54.689194227023002</v>
      </c>
      <c r="O2118">
        <v>53.795802371683997</v>
      </c>
      <c r="P2118">
        <v>-8.0631812114295195E-2</v>
      </c>
      <c r="Q2118">
        <v>3.7491544889190299E-2</v>
      </c>
      <c r="R2118">
        <v>0.98616475669956505</v>
      </c>
      <c r="S2118" t="s">
        <v>8788</v>
      </c>
      <c r="T2118" t="s">
        <v>13338</v>
      </c>
      <c r="U2118" t="s">
        <v>13338</v>
      </c>
      <c r="V2118" t="s">
        <v>13338</v>
      </c>
      <c r="W2118" t="s">
        <v>15419</v>
      </c>
      <c r="X2118">
        <v>18</v>
      </c>
      <c r="Y2118" t="s">
        <v>21996</v>
      </c>
      <c r="Z2118" t="s">
        <v>28533</v>
      </c>
      <c r="AA2118">
        <v>0.51634684934158648</v>
      </c>
      <c r="AB2118" t="str">
        <f>HYPERLINK("Melting_Curves/meltCurve_P15121_AKR1B1.pdf", "Melting_Curves/meltCurve_P15121_AKR1B1.pdf")</f>
        <v>Melting_Curves/meltCurve_P15121_AKR1B1.pdf</v>
      </c>
    </row>
    <row r="2119" spans="1:28" x14ac:dyDescent="0.25">
      <c r="A2119" t="s">
        <v>2123</v>
      </c>
      <c r="B2119">
        <v>0.99193492352474899</v>
      </c>
      <c r="C2119">
        <v>1.22445190735159</v>
      </c>
      <c r="D2119">
        <v>1.2256711594496299</v>
      </c>
      <c r="E2119">
        <v>1.2785777064871899</v>
      </c>
      <c r="F2119">
        <v>1.0713515594924501</v>
      </c>
      <c r="G2119">
        <v>0.89637400436308201</v>
      </c>
      <c r="H2119">
        <v>0.62072331964074501</v>
      </c>
      <c r="I2119">
        <v>0.79158868438253105</v>
      </c>
      <c r="J2119">
        <v>0.86028494070906902</v>
      </c>
      <c r="K2119">
        <v>0.91009592358269398</v>
      </c>
      <c r="L2119">
        <v>14198.373516448601</v>
      </c>
      <c r="M2119">
        <v>250</v>
      </c>
      <c r="O2119">
        <v>56.789836840681801</v>
      </c>
      <c r="P2119">
        <v>-0.22487154810786</v>
      </c>
      <c r="Q2119">
        <v>0.79567322119039396</v>
      </c>
      <c r="R2119">
        <v>0.43151799134326801</v>
      </c>
      <c r="S2119" t="s">
        <v>8789</v>
      </c>
      <c r="T2119" t="s">
        <v>13338</v>
      </c>
      <c r="U2119" t="s">
        <v>13338</v>
      </c>
      <c r="V2119" t="s">
        <v>13338</v>
      </c>
      <c r="W2119" t="s">
        <v>15420</v>
      </c>
      <c r="X2119">
        <v>4</v>
      </c>
      <c r="Y2119" t="s">
        <v>21997</v>
      </c>
      <c r="Z2119" t="s">
        <v>28534</v>
      </c>
      <c r="AA2119">
        <v>0.91007227170148897</v>
      </c>
      <c r="AB2119" t="str">
        <f>HYPERLINK("Melting_Curves/meltCurve_P15151_3_PVR.pdf", "Melting_Curves/meltCurve_P15151_3_PVR.pdf")</f>
        <v>Melting_Curves/meltCurve_P15151_3_PVR.pdf</v>
      </c>
    </row>
    <row r="2120" spans="1:28" x14ac:dyDescent="0.25">
      <c r="A2120" t="s">
        <v>2124</v>
      </c>
      <c r="B2120">
        <v>0.99193492352474899</v>
      </c>
      <c r="C2120">
        <v>2.2877101805984701</v>
      </c>
      <c r="D2120">
        <v>0.867884196605617</v>
      </c>
      <c r="E2120">
        <v>1.61271260401962</v>
      </c>
      <c r="F2120">
        <v>0.35552730184209902</v>
      </c>
      <c r="G2120">
        <v>0.26465204410926901</v>
      </c>
      <c r="H2120">
        <v>9.22556803910905E-2</v>
      </c>
      <c r="I2120">
        <v>0.104529165626112</v>
      </c>
      <c r="J2120">
        <v>7.9375559981558305E-2</v>
      </c>
      <c r="K2120">
        <v>7.1378417979245698E-2</v>
      </c>
      <c r="L2120">
        <v>13245.8950450265</v>
      </c>
      <c r="M2120">
        <v>250</v>
      </c>
      <c r="N2120">
        <v>53.043174019625702</v>
      </c>
      <c r="O2120">
        <v>52.980169850433597</v>
      </c>
      <c r="P2120">
        <v>-1.0352476408107201</v>
      </c>
      <c r="Q2120">
        <v>0.122438138726139</v>
      </c>
      <c r="R2120">
        <v>0.60604789258779401</v>
      </c>
      <c r="S2120" t="s">
        <v>8790</v>
      </c>
      <c r="T2120" t="s">
        <v>13338</v>
      </c>
      <c r="U2120" t="s">
        <v>13338</v>
      </c>
      <c r="V2120" t="s">
        <v>13338</v>
      </c>
      <c r="W2120" t="s">
        <v>15421</v>
      </c>
      <c r="X2120">
        <v>9</v>
      </c>
      <c r="Y2120" t="s">
        <v>21998</v>
      </c>
      <c r="Z2120" t="s">
        <v>28535</v>
      </c>
      <c r="AA2120">
        <v>0.50231623209225296</v>
      </c>
      <c r="AB2120" t="str">
        <f>HYPERLINK("Melting_Curves/meltCurve_P15153_RAC2.pdf", "Melting_Curves/meltCurve_P15153_RAC2.pdf")</f>
        <v>Melting_Curves/meltCurve_P15153_RAC2.pdf</v>
      </c>
    </row>
    <row r="2121" spans="1:28" x14ac:dyDescent="0.25">
      <c r="A2121" t="s">
        <v>2125</v>
      </c>
      <c r="B2121">
        <v>0.99193492352474899</v>
      </c>
      <c r="C2121">
        <v>0.91812929338146498</v>
      </c>
      <c r="D2121">
        <v>0.92388921950744196</v>
      </c>
      <c r="E2121">
        <v>0.79563028281246895</v>
      </c>
      <c r="F2121">
        <v>0.43452355557783501</v>
      </c>
      <c r="G2121">
        <v>0.119153869801408</v>
      </c>
      <c r="H2121">
        <v>6.04409947970551E-2</v>
      </c>
      <c r="I2121">
        <v>6.61502680315805E-2</v>
      </c>
      <c r="J2121">
        <v>7.5531989337417504E-2</v>
      </c>
      <c r="K2121">
        <v>7.2643849331601798E-2</v>
      </c>
      <c r="L2121">
        <v>1309.8143317187901</v>
      </c>
      <c r="M2121">
        <v>25.1277139406528</v>
      </c>
      <c r="N2121">
        <v>52.362039628839597</v>
      </c>
      <c r="O2121">
        <v>51.799490103169497</v>
      </c>
      <c r="P2121">
        <v>-0.114789061900877</v>
      </c>
      <c r="Q2121">
        <v>5.3485256610436099E-2</v>
      </c>
      <c r="R2121">
        <v>0.99268775373964402</v>
      </c>
      <c r="S2121" t="s">
        <v>8791</v>
      </c>
      <c r="T2121" t="s">
        <v>13338</v>
      </c>
      <c r="U2121" t="s">
        <v>13338</v>
      </c>
      <c r="V2121" t="s">
        <v>13338</v>
      </c>
      <c r="W2121" t="s">
        <v>15422</v>
      </c>
      <c r="X2121">
        <v>35</v>
      </c>
      <c r="Y2121" t="s">
        <v>21999</v>
      </c>
      <c r="Z2121" t="s">
        <v>28536</v>
      </c>
      <c r="AA2121">
        <v>0.44464246734460539</v>
      </c>
      <c r="AB2121" t="str">
        <f>HYPERLINK("Melting_Curves/meltCurve_P15170_2_GSPT1.pdf", "Melting_Curves/meltCurve_P15170_2_GSPT1.pdf")</f>
        <v>Melting_Curves/meltCurve_P15170_2_GSPT1.pdf</v>
      </c>
    </row>
    <row r="2122" spans="1:28" x14ac:dyDescent="0.25">
      <c r="A2122" t="s">
        <v>2126</v>
      </c>
      <c r="B2122">
        <v>0.99193492352474899</v>
      </c>
      <c r="C2122">
        <v>1.00845014790484</v>
      </c>
      <c r="D2122">
        <v>0.92783849474281099</v>
      </c>
      <c r="E2122">
        <v>0.88570176434663395</v>
      </c>
      <c r="F2122">
        <v>0.77449197465428699</v>
      </c>
      <c r="G2122">
        <v>0.59586605072489696</v>
      </c>
      <c r="H2122">
        <v>0.39861493589860397</v>
      </c>
      <c r="I2122">
        <v>0.449879524448557</v>
      </c>
      <c r="J2122">
        <v>0.44370215438310701</v>
      </c>
      <c r="K2122">
        <v>0.338190432376825</v>
      </c>
      <c r="L2122">
        <v>864.22115068835501</v>
      </c>
      <c r="M2122">
        <v>15.8019229819496</v>
      </c>
      <c r="N2122">
        <v>59.408179731916697</v>
      </c>
      <c r="O2122">
        <v>53.837476520173396</v>
      </c>
      <c r="P2122">
        <v>-4.7154600419925002E-2</v>
      </c>
      <c r="Q2122">
        <v>0.35742615510360598</v>
      </c>
      <c r="R2122">
        <v>0.97943589539554599</v>
      </c>
      <c r="S2122" t="s">
        <v>8792</v>
      </c>
      <c r="T2122" t="s">
        <v>13338</v>
      </c>
      <c r="U2122" t="s">
        <v>13338</v>
      </c>
      <c r="V2122" t="s">
        <v>13338</v>
      </c>
      <c r="W2122" t="s">
        <v>15423</v>
      </c>
      <c r="X2122">
        <v>4</v>
      </c>
      <c r="Y2122" t="s">
        <v>22000</v>
      </c>
      <c r="Z2122" t="s">
        <v>28537</v>
      </c>
      <c r="AA2122">
        <v>0.68400404590674724</v>
      </c>
      <c r="AB2122" t="str">
        <f>HYPERLINK("Melting_Curves/meltCurve_P15289_ARSA.pdf", "Melting_Curves/meltCurve_P15289_ARSA.pdf")</f>
        <v>Melting_Curves/meltCurve_P15289_ARSA.pdf</v>
      </c>
    </row>
    <row r="2123" spans="1:28" x14ac:dyDescent="0.25">
      <c r="A2123" t="s">
        <v>2127</v>
      </c>
      <c r="B2123">
        <v>0.99193492352474899</v>
      </c>
      <c r="C2123">
        <v>0.96264823635800401</v>
      </c>
      <c r="D2123">
        <v>0.85056166554711299</v>
      </c>
      <c r="E2123">
        <v>0.78436803547607703</v>
      </c>
      <c r="F2123">
        <v>0.17612501819006801</v>
      </c>
      <c r="G2123">
        <v>0.103712125902712</v>
      </c>
      <c r="H2123">
        <v>6.2079831666394601E-2</v>
      </c>
      <c r="I2123">
        <v>7.6736124941953504E-2</v>
      </c>
      <c r="J2123">
        <v>7.5182216889600501E-2</v>
      </c>
      <c r="K2123">
        <v>8.5128988750285406E-2</v>
      </c>
      <c r="L2123">
        <v>2204.61685037198</v>
      </c>
      <c r="M2123">
        <v>43.360118312964097</v>
      </c>
      <c r="N2123">
        <v>51.038042125609202</v>
      </c>
      <c r="O2123">
        <v>50.736536519143598</v>
      </c>
      <c r="P2123">
        <v>-0.19744449550339199</v>
      </c>
      <c r="Q2123">
        <v>7.5866147541225601E-2</v>
      </c>
      <c r="R2123">
        <v>0.98587341513551796</v>
      </c>
      <c r="S2123" t="s">
        <v>8793</v>
      </c>
      <c r="T2123" t="s">
        <v>13338</v>
      </c>
      <c r="U2123" t="s">
        <v>13338</v>
      </c>
      <c r="V2123" t="s">
        <v>13338</v>
      </c>
      <c r="W2123" t="s">
        <v>15424</v>
      </c>
      <c r="X2123">
        <v>55</v>
      </c>
      <c r="Y2123" t="s">
        <v>22001</v>
      </c>
      <c r="Z2123" t="s">
        <v>28538</v>
      </c>
      <c r="AA2123">
        <v>0.41268117667069087</v>
      </c>
      <c r="AB2123" t="str">
        <f>HYPERLINK("Melting_Curves/meltCurve_P15311_EZR.pdf", "Melting_Curves/meltCurve_P15311_EZR.pdf")</f>
        <v>Melting_Curves/meltCurve_P15311_EZR.pdf</v>
      </c>
    </row>
    <row r="2124" spans="1:28" x14ac:dyDescent="0.25">
      <c r="A2124" t="s">
        <v>2128</v>
      </c>
      <c r="B2124">
        <v>0.99193492352474899</v>
      </c>
      <c r="C2124">
        <v>0.78237022235697595</v>
      </c>
      <c r="D2124">
        <v>0.832968265435441</v>
      </c>
      <c r="E2124">
        <v>0.55735911471739297</v>
      </c>
      <c r="F2124">
        <v>0.18073282454346601</v>
      </c>
      <c r="G2124">
        <v>8.2948428749682501E-2</v>
      </c>
      <c r="H2124">
        <v>5.1124608552428903E-2</v>
      </c>
      <c r="I2124">
        <v>5.68632448035295E-2</v>
      </c>
      <c r="J2124">
        <v>6.3756634512497606E-2</v>
      </c>
      <c r="K2124">
        <v>7.0327825815182404E-2</v>
      </c>
      <c r="L2124">
        <v>899.272301216453</v>
      </c>
      <c r="M2124">
        <v>18.220464109880201</v>
      </c>
      <c r="N2124">
        <v>49.550926571150299</v>
      </c>
      <c r="O2124">
        <v>48.772077392559503</v>
      </c>
      <c r="P2124">
        <v>-9.0155355427684505E-2</v>
      </c>
      <c r="Q2124">
        <v>3.4743096115664403E-2</v>
      </c>
      <c r="R2124">
        <v>0.97207618797510298</v>
      </c>
      <c r="S2124" t="s">
        <v>8794</v>
      </c>
      <c r="T2124" t="s">
        <v>13338</v>
      </c>
      <c r="U2124" t="s">
        <v>13338</v>
      </c>
      <c r="V2124" t="s">
        <v>13338</v>
      </c>
      <c r="W2124" t="s">
        <v>15425</v>
      </c>
      <c r="X2124">
        <v>13</v>
      </c>
      <c r="Y2124" t="s">
        <v>22002</v>
      </c>
      <c r="Z2124" t="s">
        <v>28539</v>
      </c>
      <c r="AA2124">
        <v>0.35196784591944791</v>
      </c>
      <c r="AB2124" t="str">
        <f>HYPERLINK("Melting_Curves/meltCurve_P15374_UCHL3.pdf", "Melting_Curves/meltCurve_P15374_UCHL3.pdf")</f>
        <v>Melting_Curves/meltCurve_P15374_UCHL3.pdf</v>
      </c>
    </row>
    <row r="2125" spans="1:28" x14ac:dyDescent="0.25">
      <c r="A2125" t="s">
        <v>2129</v>
      </c>
      <c r="B2125">
        <v>0.99193492352474899</v>
      </c>
      <c r="C2125">
        <v>0.71389186278145</v>
      </c>
      <c r="D2125">
        <v>0.79225051802549695</v>
      </c>
      <c r="E2125">
        <v>0.45199369150346402</v>
      </c>
      <c r="F2125">
        <v>0.22320968620800599</v>
      </c>
      <c r="G2125">
        <v>0.11294195852102</v>
      </c>
      <c r="H2125">
        <v>5.8723510661952097E-2</v>
      </c>
      <c r="I2125">
        <v>4.8294076006987402E-2</v>
      </c>
      <c r="J2125">
        <v>5.7377914845028202E-2</v>
      </c>
      <c r="K2125">
        <v>4.3388282171472899E-2</v>
      </c>
      <c r="L2125">
        <v>658.52530216528396</v>
      </c>
      <c r="M2125">
        <v>13.5241597829223</v>
      </c>
      <c r="N2125">
        <v>48.773852504773899</v>
      </c>
      <c r="O2125">
        <v>47.664883057673997</v>
      </c>
      <c r="P2125">
        <v>-7.0153305198363505E-2</v>
      </c>
      <c r="Q2125">
        <v>1.11495874752851E-2</v>
      </c>
      <c r="R2125">
        <v>0.969146422524929</v>
      </c>
      <c r="S2125" t="s">
        <v>8795</v>
      </c>
      <c r="T2125" t="s">
        <v>13338</v>
      </c>
      <c r="U2125" t="s">
        <v>13338</v>
      </c>
      <c r="V2125" t="s">
        <v>13338</v>
      </c>
      <c r="W2125" t="s">
        <v>15426</v>
      </c>
      <c r="X2125">
        <v>7</v>
      </c>
      <c r="Y2125" t="s">
        <v>22003</v>
      </c>
      <c r="Z2125" t="s">
        <v>28540</v>
      </c>
      <c r="AA2125">
        <v>0.32764253749613459</v>
      </c>
      <c r="AB2125" t="str">
        <f>HYPERLINK("Melting_Curves/meltCurve_P15428_HPGD.pdf", "Melting_Curves/meltCurve_P15428_HPGD.pdf")</f>
        <v>Melting_Curves/meltCurve_P15428_HPGD.pdf</v>
      </c>
    </row>
    <row r="2126" spans="1:28" x14ac:dyDescent="0.25">
      <c r="A2126" t="s">
        <v>2130</v>
      </c>
      <c r="B2126">
        <v>0.99193492352474899</v>
      </c>
      <c r="C2126">
        <v>0.59542989127106205</v>
      </c>
      <c r="D2126">
        <v>0.29872555478644902</v>
      </c>
      <c r="E2126">
        <v>0.140323400830344</v>
      </c>
      <c r="F2126">
        <v>0.10268947199252</v>
      </c>
      <c r="G2126">
        <v>6.1359125620358397E-2</v>
      </c>
      <c r="H2126">
        <v>4.4082990390817103E-2</v>
      </c>
      <c r="I2126">
        <v>4.7550595695188103E-2</v>
      </c>
      <c r="J2126">
        <v>5.8128567401513301E-2</v>
      </c>
      <c r="K2126">
        <v>6.1963594617643301E-2</v>
      </c>
      <c r="L2126">
        <v>1078.76253160133</v>
      </c>
      <c r="M2126">
        <v>24.661957517819701</v>
      </c>
      <c r="N2126">
        <v>43.989423674891498</v>
      </c>
      <c r="O2126">
        <v>43.457405313025902</v>
      </c>
      <c r="P2126">
        <v>-0.132687083678795</v>
      </c>
      <c r="Q2126">
        <v>6.4769369034836904E-2</v>
      </c>
      <c r="R2126">
        <v>0.98788022775465101</v>
      </c>
      <c r="S2126" t="s">
        <v>8796</v>
      </c>
      <c r="T2126" t="s">
        <v>13338</v>
      </c>
      <c r="U2126" t="s">
        <v>13338</v>
      </c>
      <c r="V2126" t="s">
        <v>13338</v>
      </c>
      <c r="W2126" t="s">
        <v>15427</v>
      </c>
      <c r="X2126">
        <v>22</v>
      </c>
      <c r="Y2126" t="s">
        <v>22004</v>
      </c>
      <c r="Z2126" t="s">
        <v>28541</v>
      </c>
      <c r="AA2126">
        <v>0.1930475078654679</v>
      </c>
      <c r="AB2126" t="str">
        <f>HYPERLINK("Melting_Curves/meltCurve_P15498_VAV1.pdf", "Melting_Curves/meltCurve_P15498_VAV1.pdf")</f>
        <v>Melting_Curves/meltCurve_P15498_VAV1.pdf</v>
      </c>
    </row>
    <row r="2127" spans="1:28" x14ac:dyDescent="0.25">
      <c r="A2127" t="s">
        <v>2131</v>
      </c>
      <c r="B2127">
        <v>0.99193492352474899</v>
      </c>
      <c r="C2127">
        <v>1.1098176085695901</v>
      </c>
      <c r="D2127">
        <v>0.93273655296090696</v>
      </c>
      <c r="E2127">
        <v>0.73427539297194999</v>
      </c>
      <c r="F2127">
        <v>0.21315774979049801</v>
      </c>
      <c r="G2127">
        <v>0.252312359823129</v>
      </c>
      <c r="H2127">
        <v>0.20612277007297999</v>
      </c>
      <c r="I2127">
        <v>0.27089729902639997</v>
      </c>
      <c r="J2127">
        <v>0.25172937797940198</v>
      </c>
      <c r="K2127">
        <v>0.33577099406134597</v>
      </c>
      <c r="L2127">
        <v>12429.254979122899</v>
      </c>
      <c r="M2127">
        <v>250</v>
      </c>
      <c r="N2127">
        <v>49.859287032352199</v>
      </c>
      <c r="O2127">
        <v>49.713838640783699</v>
      </c>
      <c r="P2127">
        <v>-0.93661243116232595</v>
      </c>
      <c r="Q2127">
        <v>0.25499841677778101</v>
      </c>
      <c r="R2127">
        <v>0.97735677166537305</v>
      </c>
      <c r="S2127" t="s">
        <v>8797</v>
      </c>
      <c r="T2127" t="s">
        <v>13338</v>
      </c>
      <c r="U2127" t="s">
        <v>13338</v>
      </c>
      <c r="V2127" t="s">
        <v>13338</v>
      </c>
      <c r="W2127" t="s">
        <v>15428</v>
      </c>
      <c r="X2127">
        <v>2</v>
      </c>
      <c r="Y2127" t="s">
        <v>22005</v>
      </c>
      <c r="Z2127" t="s">
        <v>28542</v>
      </c>
      <c r="AA2127">
        <v>0.49636992749968212</v>
      </c>
      <c r="AB2127" t="str">
        <f>HYPERLINK("Melting_Curves/meltCurve_P15529_15_CD46.pdf", "Melting_Curves/meltCurve_P15529_15_CD46.pdf")</f>
        <v>Melting_Curves/meltCurve_P15529_15_CD46.pdf</v>
      </c>
    </row>
    <row r="2128" spans="1:28" x14ac:dyDescent="0.25">
      <c r="A2128" t="s">
        <v>2132</v>
      </c>
      <c r="B2128">
        <v>0.99193492352474899</v>
      </c>
      <c r="C2128">
        <v>0.892888100288173</v>
      </c>
      <c r="D2128">
        <v>0.892464743081131</v>
      </c>
      <c r="E2128">
        <v>0.72264191320570503</v>
      </c>
      <c r="F2128">
        <v>0.54588659235690795</v>
      </c>
      <c r="G2128">
        <v>0.46331680792671398</v>
      </c>
      <c r="H2128">
        <v>0.31125649230452801</v>
      </c>
      <c r="I2128">
        <v>0.33921318748811102</v>
      </c>
      <c r="J2128">
        <v>0.49565204764576198</v>
      </c>
      <c r="K2128">
        <v>0.36034376581681898</v>
      </c>
      <c r="L2128">
        <v>803.63968413492</v>
      </c>
      <c r="M2128">
        <v>16.039379859956099</v>
      </c>
      <c r="N2128">
        <v>54.550199010898901</v>
      </c>
      <c r="O2128">
        <v>49.344727742351502</v>
      </c>
      <c r="P2128">
        <v>-5.1627955437705098E-2</v>
      </c>
      <c r="Q2128">
        <v>0.36472119274743903</v>
      </c>
      <c r="R2128">
        <v>0.94901223387960498</v>
      </c>
      <c r="S2128" t="s">
        <v>8798</v>
      </c>
      <c r="T2128" t="s">
        <v>13338</v>
      </c>
      <c r="U2128" t="s">
        <v>13338</v>
      </c>
      <c r="V2128" t="s">
        <v>13338</v>
      </c>
      <c r="W2128" t="s">
        <v>15429</v>
      </c>
      <c r="X2128">
        <v>3</v>
      </c>
      <c r="Y2128" t="s">
        <v>22005</v>
      </c>
      <c r="Z2128" t="s">
        <v>28543</v>
      </c>
      <c r="AA2128">
        <v>0.59208201961343554</v>
      </c>
      <c r="AB2128" t="str">
        <f>HYPERLINK("Melting_Curves/meltCurve_P15529_16_CD46.pdf", "Melting_Curves/meltCurve_P15529_16_CD46.pdf")</f>
        <v>Melting_Curves/meltCurve_P15529_16_CD46.pdf</v>
      </c>
    </row>
    <row r="2129" spans="1:28" x14ac:dyDescent="0.25">
      <c r="A2129" t="s">
        <v>2133</v>
      </c>
      <c r="B2129">
        <v>0.99193492352474899</v>
      </c>
      <c r="C2129">
        <v>0.68822747023180397</v>
      </c>
      <c r="D2129">
        <v>0.923177063838446</v>
      </c>
      <c r="E2129">
        <v>0.58563852709235298</v>
      </c>
      <c r="F2129">
        <v>0.61650439232381504</v>
      </c>
      <c r="G2129">
        <v>0.396749674530745</v>
      </c>
      <c r="H2129">
        <v>0.291978002793919</v>
      </c>
      <c r="I2129">
        <v>0.311294505135088</v>
      </c>
      <c r="J2129">
        <v>0.32057272449436103</v>
      </c>
      <c r="K2129">
        <v>0.29628426194053498</v>
      </c>
      <c r="L2129">
        <v>443.96999880400301</v>
      </c>
      <c r="M2129">
        <v>8.7125311018850091</v>
      </c>
      <c r="N2129">
        <v>54.217996985204003</v>
      </c>
      <c r="O2129">
        <v>48.4867043944488</v>
      </c>
      <c r="P2129">
        <v>-3.5791849268380901E-2</v>
      </c>
      <c r="Q2129">
        <v>0.20390290662630101</v>
      </c>
      <c r="R2129">
        <v>0.87573774637919</v>
      </c>
      <c r="S2129" t="s">
        <v>8799</v>
      </c>
      <c r="T2129" t="s">
        <v>13338</v>
      </c>
      <c r="U2129" t="s">
        <v>13338</v>
      </c>
      <c r="V2129" t="s">
        <v>13338</v>
      </c>
      <c r="W2129" t="s">
        <v>15430</v>
      </c>
      <c r="X2129">
        <v>14</v>
      </c>
      <c r="Y2129" t="s">
        <v>22006</v>
      </c>
      <c r="Z2129" t="s">
        <v>28544</v>
      </c>
      <c r="AA2129">
        <v>0.53372023020704051</v>
      </c>
      <c r="AB2129" t="str">
        <f>HYPERLINK("Melting_Curves/meltCurve_P15531_NME1.pdf", "Melting_Curves/meltCurve_P15531_NME1.pdf")</f>
        <v>Melting_Curves/meltCurve_P15531_NME1.pdf</v>
      </c>
    </row>
    <row r="2130" spans="1:28" x14ac:dyDescent="0.25">
      <c r="A2130" t="s">
        <v>2134</v>
      </c>
      <c r="B2130">
        <v>0.99193492352474899</v>
      </c>
      <c r="C2130">
        <v>0.98509464610178799</v>
      </c>
      <c r="D2130">
        <v>0.87255376078874003</v>
      </c>
      <c r="E2130">
        <v>1.05933431621992</v>
      </c>
      <c r="F2130">
        <v>0.70780286701032402</v>
      </c>
      <c r="G2130">
        <v>0.69646068312355003</v>
      </c>
      <c r="H2130">
        <v>0.57955814086602897</v>
      </c>
      <c r="I2130">
        <v>0.41670865943922503</v>
      </c>
      <c r="J2130">
        <v>0.74287321284067498</v>
      </c>
      <c r="K2130">
        <v>0.592323424152851</v>
      </c>
      <c r="L2130">
        <v>10463.363457539401</v>
      </c>
      <c r="M2130">
        <v>197.73006798810599</v>
      </c>
      <c r="O2130">
        <v>52.911998942298297</v>
      </c>
      <c r="P2130">
        <v>-0.36847878456252497</v>
      </c>
      <c r="Q2130">
        <v>0.60558453900745401</v>
      </c>
      <c r="R2130">
        <v>0.78657968338306306</v>
      </c>
      <c r="S2130" t="s">
        <v>8800</v>
      </c>
      <c r="T2130" t="s">
        <v>13338</v>
      </c>
      <c r="U2130" t="s">
        <v>13338</v>
      </c>
      <c r="V2130" t="s">
        <v>13338</v>
      </c>
      <c r="W2130" t="s">
        <v>15431</v>
      </c>
      <c r="X2130">
        <v>2</v>
      </c>
      <c r="Y2130" t="s">
        <v>22007</v>
      </c>
      <c r="Z2130" t="s">
        <v>28545</v>
      </c>
      <c r="AA2130">
        <v>0.77547066724335489</v>
      </c>
      <c r="AB2130" t="str">
        <f>HYPERLINK("Melting_Curves/meltCurve_P15813_CD1D.pdf", "Melting_Curves/meltCurve_P15813_CD1D.pdf")</f>
        <v>Melting_Curves/meltCurve_P15813_CD1D.pdf</v>
      </c>
    </row>
    <row r="2131" spans="1:28" x14ac:dyDescent="0.25">
      <c r="A2131" t="s">
        <v>2135</v>
      </c>
      <c r="B2131">
        <v>0.99193492352474899</v>
      </c>
      <c r="C2131">
        <v>0.91742111641165502</v>
      </c>
      <c r="D2131">
        <v>0.81076248584001198</v>
      </c>
      <c r="E2131">
        <v>0.78844005837119302</v>
      </c>
      <c r="F2131">
        <v>0.71993936372664202</v>
      </c>
      <c r="G2131">
        <v>0.49897215315833798</v>
      </c>
      <c r="H2131">
        <v>0.38746576664424798</v>
      </c>
      <c r="I2131">
        <v>0.34433601893777599</v>
      </c>
      <c r="J2131">
        <v>0.332169412495119</v>
      </c>
      <c r="K2131">
        <v>0.29948874025751199</v>
      </c>
      <c r="L2131">
        <v>476.26401490539399</v>
      </c>
      <c r="M2131">
        <v>8.6566954935266995</v>
      </c>
      <c r="N2131">
        <v>57.812365978215396</v>
      </c>
      <c r="O2131">
        <v>52.317327903436201</v>
      </c>
      <c r="P2131">
        <v>-3.4320890965394799E-2</v>
      </c>
      <c r="Q2131">
        <v>0.17101513250084599</v>
      </c>
      <c r="R2131">
        <v>0.97873772281378502</v>
      </c>
      <c r="S2131" t="s">
        <v>8801</v>
      </c>
      <c r="T2131" t="s">
        <v>13338</v>
      </c>
      <c r="U2131" t="s">
        <v>13338</v>
      </c>
      <c r="V2131" t="s">
        <v>13338</v>
      </c>
      <c r="W2131" t="s">
        <v>15432</v>
      </c>
      <c r="X2131">
        <v>9</v>
      </c>
      <c r="Y2131" t="s">
        <v>22008</v>
      </c>
      <c r="Z2131" t="s">
        <v>28546</v>
      </c>
      <c r="AA2131">
        <v>0.60820912907907398</v>
      </c>
      <c r="AB2131" t="str">
        <f>HYPERLINK("Melting_Curves/meltCurve_P15848_ARSB.pdf", "Melting_Curves/meltCurve_P15848_ARSB.pdf")</f>
        <v>Melting_Curves/meltCurve_P15848_ARSB.pdf</v>
      </c>
    </row>
    <row r="2132" spans="1:28" x14ac:dyDescent="0.25">
      <c r="A2132" t="s">
        <v>2136</v>
      </c>
      <c r="B2132">
        <v>0.99193492352474899</v>
      </c>
      <c r="C2132">
        <v>0.62293096954055105</v>
      </c>
      <c r="D2132">
        <v>0.83735125378762998</v>
      </c>
      <c r="E2132">
        <v>0.50863227459028004</v>
      </c>
      <c r="F2132">
        <v>0.44586592989910001</v>
      </c>
      <c r="G2132">
        <v>0.15080289581939299</v>
      </c>
      <c r="H2132">
        <v>5.22028482961715E-2</v>
      </c>
      <c r="I2132">
        <v>5.6190158476497297E-2</v>
      </c>
      <c r="J2132">
        <v>7.5953229777582301E-2</v>
      </c>
      <c r="K2132">
        <v>8.4645868917980399E-2</v>
      </c>
      <c r="L2132">
        <v>525.29132867865906</v>
      </c>
      <c r="M2132">
        <v>10.518178751813201</v>
      </c>
      <c r="N2132">
        <v>49.941279245926502</v>
      </c>
      <c r="O2132">
        <v>48.237388555175897</v>
      </c>
      <c r="P2132">
        <v>-5.4534433694832699E-2</v>
      </c>
      <c r="Q2132">
        <v>0</v>
      </c>
      <c r="R2132">
        <v>0.91433420446879599</v>
      </c>
      <c r="S2132" t="s">
        <v>8802</v>
      </c>
      <c r="T2132" t="s">
        <v>13338</v>
      </c>
      <c r="U2132" t="s">
        <v>13338</v>
      </c>
      <c r="V2132" t="s">
        <v>13338</v>
      </c>
      <c r="W2132" t="s">
        <v>15433</v>
      </c>
      <c r="X2132">
        <v>9</v>
      </c>
      <c r="Y2132" t="s">
        <v>22009</v>
      </c>
      <c r="Z2132" t="s">
        <v>28547</v>
      </c>
      <c r="AA2132">
        <v>0.37369656312384841</v>
      </c>
      <c r="AB2132" t="str">
        <f>HYPERLINK("Melting_Curves/meltCurve_P15880_RPS2.pdf", "Melting_Curves/meltCurve_P15880_RPS2.pdf")</f>
        <v>Melting_Curves/meltCurve_P15880_RPS2.pdf</v>
      </c>
    </row>
    <row r="2133" spans="1:28" x14ac:dyDescent="0.25">
      <c r="A2133" t="s">
        <v>2137</v>
      </c>
      <c r="B2133">
        <v>0.99193492352474899</v>
      </c>
      <c r="C2133">
        <v>0.92883499685752202</v>
      </c>
      <c r="D2133">
        <v>0.913691535321282</v>
      </c>
      <c r="E2133">
        <v>0.61546730820389695</v>
      </c>
      <c r="F2133">
        <v>0.21420051014740399</v>
      </c>
      <c r="G2133">
        <v>0.12003993251505</v>
      </c>
      <c r="H2133">
        <v>7.1350776830022306E-2</v>
      </c>
      <c r="I2133">
        <v>9.1564219644336697E-2</v>
      </c>
      <c r="J2133">
        <v>0.11476800883624801</v>
      </c>
      <c r="K2133">
        <v>0.13602520685977701</v>
      </c>
      <c r="L2133">
        <v>1454.8123367984099</v>
      </c>
      <c r="M2133">
        <v>29.110534068022002</v>
      </c>
      <c r="N2133">
        <v>50.354596375108699</v>
      </c>
      <c r="O2133">
        <v>49.7414149458927</v>
      </c>
      <c r="P2133">
        <v>-0.13191089280937901</v>
      </c>
      <c r="Q2133">
        <v>9.8417772963397404E-2</v>
      </c>
      <c r="R2133">
        <v>0.99444449773730204</v>
      </c>
      <c r="S2133" t="s">
        <v>8803</v>
      </c>
      <c r="T2133" t="s">
        <v>13338</v>
      </c>
      <c r="U2133" t="s">
        <v>13338</v>
      </c>
      <c r="V2133" t="s">
        <v>13338</v>
      </c>
      <c r="W2133" t="s">
        <v>15434</v>
      </c>
      <c r="X2133">
        <v>5</v>
      </c>
      <c r="Y2133" t="s">
        <v>22010</v>
      </c>
      <c r="Z2133" t="s">
        <v>28548</v>
      </c>
      <c r="AA2133">
        <v>0.40413200882545969</v>
      </c>
      <c r="AB2133" t="str">
        <f>HYPERLINK("Melting_Curves/meltCurve_P15882_CHN1.pdf", "Melting_Curves/meltCurve_P15882_CHN1.pdf")</f>
        <v>Melting_Curves/meltCurve_P15882_CHN1.pdf</v>
      </c>
    </row>
    <row r="2134" spans="1:28" x14ac:dyDescent="0.25">
      <c r="A2134" t="s">
        <v>2138</v>
      </c>
      <c r="B2134">
        <v>0.99193492352474899</v>
      </c>
      <c r="C2134">
        <v>0.83069007647655102</v>
      </c>
      <c r="D2134">
        <v>0.91413918313294196</v>
      </c>
      <c r="E2134">
        <v>0.65956230721003095</v>
      </c>
      <c r="F2134">
        <v>0.392254923311604</v>
      </c>
      <c r="G2134">
        <v>0.22024128580291699</v>
      </c>
      <c r="H2134">
        <v>0.12801637402685001</v>
      </c>
      <c r="I2134">
        <v>0.20936925862570599</v>
      </c>
      <c r="J2134">
        <v>0.167632829801422</v>
      </c>
      <c r="K2134">
        <v>0.158635981647196</v>
      </c>
      <c r="L2134">
        <v>924.91429383426703</v>
      </c>
      <c r="M2134">
        <v>18.307768537429101</v>
      </c>
      <c r="N2134">
        <v>51.488163874633898</v>
      </c>
      <c r="O2134">
        <v>49.9291297180241</v>
      </c>
      <c r="P2134">
        <v>-7.8326965924012601E-2</v>
      </c>
      <c r="Q2134">
        <v>0.14558311190786399</v>
      </c>
      <c r="R2134">
        <v>0.97554234937031403</v>
      </c>
      <c r="S2134" t="s">
        <v>8804</v>
      </c>
      <c r="T2134" t="s">
        <v>13338</v>
      </c>
      <c r="U2134" t="s">
        <v>13338</v>
      </c>
      <c r="V2134" t="s">
        <v>13338</v>
      </c>
      <c r="W2134" t="s">
        <v>15435</v>
      </c>
      <c r="X2134">
        <v>3</v>
      </c>
      <c r="Y2134" t="s">
        <v>22011</v>
      </c>
      <c r="Z2134" t="s">
        <v>28549</v>
      </c>
      <c r="AA2134">
        <v>0.45923686989540491</v>
      </c>
      <c r="AB2134" t="str">
        <f>HYPERLINK("Melting_Curves/meltCurve_P15907_ST6GAL1.pdf", "Melting_Curves/meltCurve_P15907_ST6GAL1.pdf")</f>
        <v>Melting_Curves/meltCurve_P15907_ST6GAL1.pdf</v>
      </c>
    </row>
    <row r="2135" spans="1:28" x14ac:dyDescent="0.25">
      <c r="A2135" t="s">
        <v>2139</v>
      </c>
      <c r="B2135">
        <v>0.99193492352474899</v>
      </c>
      <c r="C2135">
        <v>0.76600191924338801</v>
      </c>
      <c r="D2135">
        <v>0.64002900010765795</v>
      </c>
      <c r="E2135">
        <v>0.426038758517995</v>
      </c>
      <c r="F2135">
        <v>0.35559748725396201</v>
      </c>
      <c r="G2135">
        <v>0.26783628180392299</v>
      </c>
      <c r="H2135">
        <v>0.20569663037393299</v>
      </c>
      <c r="I2135">
        <v>0.35963494464771401</v>
      </c>
      <c r="J2135">
        <v>0.32354581457972098</v>
      </c>
      <c r="K2135">
        <v>0.437303980309667</v>
      </c>
      <c r="L2135">
        <v>866.77257907857597</v>
      </c>
      <c r="M2135">
        <v>19.169678422674</v>
      </c>
      <c r="N2135">
        <v>47.723640672541201</v>
      </c>
      <c r="O2135">
        <v>44.732384118172199</v>
      </c>
      <c r="P2135">
        <v>-7.3132686006961795E-2</v>
      </c>
      <c r="Q2135">
        <v>0.31740673085981103</v>
      </c>
      <c r="R2135">
        <v>0.92771326435609602</v>
      </c>
      <c r="S2135" t="s">
        <v>8805</v>
      </c>
      <c r="T2135" t="s">
        <v>13338</v>
      </c>
      <c r="U2135" t="s">
        <v>13338</v>
      </c>
      <c r="V2135" t="s">
        <v>13338</v>
      </c>
      <c r="W2135" t="s">
        <v>15436</v>
      </c>
      <c r="X2135">
        <v>7</v>
      </c>
      <c r="Y2135" t="s">
        <v>22012</v>
      </c>
      <c r="Z2135" t="s">
        <v>28550</v>
      </c>
      <c r="AA2135">
        <v>0.44853722542032493</v>
      </c>
      <c r="AB2135" t="str">
        <f>HYPERLINK("Melting_Curves/meltCurve_P15923_2_TCF3.pdf", "Melting_Curves/meltCurve_P15923_2_TCF3.pdf")</f>
        <v>Melting_Curves/meltCurve_P15923_2_TCF3.pdf</v>
      </c>
    </row>
    <row r="2136" spans="1:28" x14ac:dyDescent="0.25">
      <c r="A2136" t="s">
        <v>2140</v>
      </c>
      <c r="B2136">
        <v>0.99193492352474899</v>
      </c>
      <c r="C2136">
        <v>0.66127434873246504</v>
      </c>
      <c r="D2136">
        <v>0.81157121051714898</v>
      </c>
      <c r="E2136">
        <v>0.43779715560471799</v>
      </c>
      <c r="F2136">
        <v>0.52464365039553795</v>
      </c>
      <c r="G2136">
        <v>0.36909597175687298</v>
      </c>
      <c r="H2136">
        <v>0.13956586603714</v>
      </c>
      <c r="I2136">
        <v>0.111754715513999</v>
      </c>
      <c r="J2136">
        <v>0.106604263906553</v>
      </c>
      <c r="K2136">
        <v>0.124610049271438</v>
      </c>
      <c r="L2136">
        <v>412.53993460709302</v>
      </c>
      <c r="M2136">
        <v>8.0974648529770406</v>
      </c>
      <c r="N2136">
        <v>50.946794161414203</v>
      </c>
      <c r="O2136">
        <v>48.121908964347199</v>
      </c>
      <c r="P2136">
        <v>-4.2112926290961201E-2</v>
      </c>
      <c r="Q2136">
        <v>0</v>
      </c>
      <c r="R2136">
        <v>0.90827989330512204</v>
      </c>
      <c r="S2136" t="s">
        <v>8806</v>
      </c>
      <c r="T2136" t="s">
        <v>13338</v>
      </c>
      <c r="U2136" t="s">
        <v>13338</v>
      </c>
      <c r="V2136" t="s">
        <v>13338</v>
      </c>
      <c r="W2136" t="s">
        <v>15437</v>
      </c>
      <c r="X2136">
        <v>9</v>
      </c>
      <c r="Y2136" t="s">
        <v>22013</v>
      </c>
      <c r="Z2136" t="s">
        <v>28551</v>
      </c>
      <c r="AA2136">
        <v>0.41794946295899221</v>
      </c>
      <c r="AB2136" t="str">
        <f>HYPERLINK("Melting_Curves/meltCurve_P15927_RPA2.pdf", "Melting_Curves/meltCurve_P15927_RPA2.pdf")</f>
        <v>Melting_Curves/meltCurve_P15927_RPA2.pdf</v>
      </c>
    </row>
    <row r="2137" spans="1:28" x14ac:dyDescent="0.25">
      <c r="A2137" t="s">
        <v>2141</v>
      </c>
      <c r="B2137">
        <v>0.99193492352474899</v>
      </c>
      <c r="C2137">
        <v>0.94494582425331197</v>
      </c>
      <c r="D2137">
        <v>0.88338227348570597</v>
      </c>
      <c r="E2137">
        <v>0.82551371281340102</v>
      </c>
      <c r="F2137">
        <v>0.58135930004166503</v>
      </c>
      <c r="G2137">
        <v>0.38666813446134102</v>
      </c>
      <c r="H2137">
        <v>0.331362828468659</v>
      </c>
      <c r="I2137">
        <v>0.30934300809816501</v>
      </c>
      <c r="J2137">
        <v>0.303526710624832</v>
      </c>
      <c r="K2137">
        <v>0.24170227454110299</v>
      </c>
      <c r="L2137">
        <v>831.02017774928697</v>
      </c>
      <c r="M2137">
        <v>15.8732050346105</v>
      </c>
      <c r="N2137">
        <v>54.806168939244202</v>
      </c>
      <c r="O2137">
        <v>51.543820050959198</v>
      </c>
      <c r="P2137">
        <v>-5.7418761803403003E-2</v>
      </c>
      <c r="Q2137">
        <v>0.254254156620697</v>
      </c>
      <c r="R2137">
        <v>0.99065657809989704</v>
      </c>
      <c r="S2137" t="s">
        <v>8807</v>
      </c>
      <c r="T2137" t="s">
        <v>13338</v>
      </c>
      <c r="U2137" t="s">
        <v>13338</v>
      </c>
      <c r="V2137" t="s">
        <v>13338</v>
      </c>
      <c r="W2137" t="s">
        <v>15438</v>
      </c>
      <c r="X2137">
        <v>2</v>
      </c>
      <c r="Y2137" t="s">
        <v>22014</v>
      </c>
      <c r="Z2137" t="s">
        <v>28552</v>
      </c>
      <c r="AA2137">
        <v>0.57645546443090867</v>
      </c>
      <c r="AB2137" t="str">
        <f>HYPERLINK("Melting_Curves/meltCurve_P16035_TIMP2.pdf", "Melting_Curves/meltCurve_P16035_TIMP2.pdf")</f>
        <v>Melting_Curves/meltCurve_P16035_TIMP2.pdf</v>
      </c>
    </row>
    <row r="2138" spans="1:28" x14ac:dyDescent="0.25">
      <c r="A2138" t="s">
        <v>2142</v>
      </c>
      <c r="B2138">
        <v>0.99193492352474899</v>
      </c>
      <c r="C2138">
        <v>0.91554572364373998</v>
      </c>
      <c r="D2138">
        <v>0.98246649238766404</v>
      </c>
      <c r="E2138">
        <v>0.79811695125475002</v>
      </c>
      <c r="F2138">
        <v>0.76385719874403402</v>
      </c>
      <c r="G2138">
        <v>0.55262416484214205</v>
      </c>
      <c r="H2138">
        <v>0.53229880095494697</v>
      </c>
      <c r="I2138">
        <v>0.61731897313735495</v>
      </c>
      <c r="J2138">
        <v>0.76335406518590498</v>
      </c>
      <c r="K2138">
        <v>0.96241069649945898</v>
      </c>
      <c r="L2138">
        <v>1672.60822769989</v>
      </c>
      <c r="M2138">
        <v>34.249344559745197</v>
      </c>
      <c r="O2138">
        <v>48.670619713678299</v>
      </c>
      <c r="P2138">
        <v>-5.3807663793483999E-2</v>
      </c>
      <c r="Q2138">
        <v>0.69414395433265896</v>
      </c>
      <c r="R2138">
        <v>0.49680225307070203</v>
      </c>
      <c r="S2138" t="s">
        <v>8808</v>
      </c>
      <c r="T2138" t="s">
        <v>13338</v>
      </c>
      <c r="U2138" t="s">
        <v>13338</v>
      </c>
      <c r="V2138" t="s">
        <v>13338</v>
      </c>
      <c r="W2138" t="s">
        <v>15439</v>
      </c>
      <c r="X2138">
        <v>7</v>
      </c>
      <c r="Y2138" t="s">
        <v>22015</v>
      </c>
      <c r="Z2138" t="s">
        <v>28553</v>
      </c>
      <c r="AA2138">
        <v>0.7856480055860996</v>
      </c>
      <c r="AB2138" t="str">
        <f>HYPERLINK("Melting_Curves/meltCurve_P16150_SPN.pdf", "Melting_Curves/meltCurve_P16150_SPN.pdf")</f>
        <v>Melting_Curves/meltCurve_P16150_SPN.pdf</v>
      </c>
    </row>
    <row r="2139" spans="1:28" x14ac:dyDescent="0.25">
      <c r="A2139" t="s">
        <v>2143</v>
      </c>
      <c r="B2139">
        <v>0.99193492352474899</v>
      </c>
      <c r="C2139">
        <v>1.0560429974852199</v>
      </c>
      <c r="D2139">
        <v>1.1416921768729</v>
      </c>
      <c r="E2139">
        <v>1.0363901340977999</v>
      </c>
      <c r="F2139">
        <v>0.77126325873912105</v>
      </c>
      <c r="G2139">
        <v>0.42637711065869499</v>
      </c>
      <c r="H2139">
        <v>0.20761395393931001</v>
      </c>
      <c r="I2139">
        <v>0.13609041678796899</v>
      </c>
      <c r="J2139">
        <v>0.146669371177305</v>
      </c>
      <c r="K2139">
        <v>0.128334286391868</v>
      </c>
      <c r="L2139">
        <v>1619.1828001660999</v>
      </c>
      <c r="M2139">
        <v>29.232189472234602</v>
      </c>
      <c r="N2139">
        <v>55.988914781623002</v>
      </c>
      <c r="O2139">
        <v>55.133132586625699</v>
      </c>
      <c r="P2139">
        <v>-0.114767125159494</v>
      </c>
      <c r="Q2139">
        <v>0.13418392859171699</v>
      </c>
      <c r="R2139">
        <v>0.98268072447719601</v>
      </c>
      <c r="S2139" t="s">
        <v>8809</v>
      </c>
      <c r="T2139" t="s">
        <v>13338</v>
      </c>
      <c r="U2139" t="s">
        <v>13338</v>
      </c>
      <c r="V2139" t="s">
        <v>13338</v>
      </c>
      <c r="W2139" t="s">
        <v>15440</v>
      </c>
      <c r="X2139">
        <v>10</v>
      </c>
      <c r="Y2139" t="s">
        <v>22016</v>
      </c>
      <c r="Z2139" t="s">
        <v>28554</v>
      </c>
      <c r="AA2139">
        <v>0.58440248581740895</v>
      </c>
      <c r="AB2139" t="str">
        <f>HYPERLINK("Melting_Curves/meltCurve_P16219_ACADS.pdf", "Melting_Curves/meltCurve_P16219_ACADS.pdf")</f>
        <v>Melting_Curves/meltCurve_P16219_ACADS.pdf</v>
      </c>
    </row>
    <row r="2140" spans="1:28" x14ac:dyDescent="0.25">
      <c r="A2140" t="s">
        <v>2144</v>
      </c>
      <c r="B2140">
        <v>0.99193492352474899</v>
      </c>
      <c r="C2140">
        <v>0.82011617335868303</v>
      </c>
      <c r="D2140">
        <v>0.76206144809982801</v>
      </c>
      <c r="E2140">
        <v>0.62937964487645104</v>
      </c>
      <c r="F2140">
        <v>0.498694390685754</v>
      </c>
      <c r="G2140">
        <v>0.36744911590863499</v>
      </c>
      <c r="H2140">
        <v>0.28689654270752202</v>
      </c>
      <c r="I2140">
        <v>0.29506595589351098</v>
      </c>
      <c r="J2140">
        <v>0.36125256627901198</v>
      </c>
      <c r="K2140">
        <v>0.56997624068281405</v>
      </c>
      <c r="L2140">
        <v>689.92947843499803</v>
      </c>
      <c r="M2140">
        <v>14.5493847562516</v>
      </c>
      <c r="N2140">
        <v>52.119063523626401</v>
      </c>
      <c r="O2140">
        <v>46.551035965627499</v>
      </c>
      <c r="P2140">
        <v>-4.9596288131026602E-2</v>
      </c>
      <c r="Q2140">
        <v>0.36533528829631701</v>
      </c>
      <c r="R2140">
        <v>0.86982490365169596</v>
      </c>
      <c r="S2140" t="s">
        <v>8810</v>
      </c>
      <c r="T2140" t="s">
        <v>13338</v>
      </c>
      <c r="U2140" t="s">
        <v>13338</v>
      </c>
      <c r="V2140" t="s">
        <v>13338</v>
      </c>
      <c r="W2140" t="s">
        <v>15441</v>
      </c>
      <c r="X2140">
        <v>4</v>
      </c>
      <c r="Y2140" t="s">
        <v>22017</v>
      </c>
      <c r="Z2140" t="s">
        <v>28555</v>
      </c>
      <c r="AA2140">
        <v>0.5401954612340194</v>
      </c>
      <c r="AB2140" t="str">
        <f>HYPERLINK("Melting_Curves/meltCurve_P16220_CREB1.pdf", "Melting_Curves/meltCurve_P16220_CREB1.pdf")</f>
        <v>Melting_Curves/meltCurve_P16220_CREB1.pdf</v>
      </c>
    </row>
    <row r="2141" spans="1:28" x14ac:dyDescent="0.25">
      <c r="A2141" t="s">
        <v>2145</v>
      </c>
      <c r="B2141">
        <v>0.99193492352474899</v>
      </c>
      <c r="C2141">
        <v>1.0406595856937999</v>
      </c>
      <c r="D2141">
        <v>1.0574701480640001</v>
      </c>
      <c r="E2141">
        <v>0.87114435175320504</v>
      </c>
      <c r="F2141">
        <v>0.87967710063542504</v>
      </c>
      <c r="G2141">
        <v>0.73280815818233902</v>
      </c>
      <c r="H2141">
        <v>0.18173923230411301</v>
      </c>
      <c r="I2141">
        <v>0.19154613843095</v>
      </c>
      <c r="J2141">
        <v>0.236722630550074</v>
      </c>
      <c r="K2141">
        <v>0.1920414329981</v>
      </c>
      <c r="L2141">
        <v>4198.4910262350304</v>
      </c>
      <c r="M2141">
        <v>73.243037945410194</v>
      </c>
      <c r="N2141">
        <v>57.719344798409502</v>
      </c>
      <c r="O2141">
        <v>57.280043002462897</v>
      </c>
      <c r="P2141">
        <v>-0.25646321242813902</v>
      </c>
      <c r="Q2141">
        <v>0.19772737303919899</v>
      </c>
      <c r="R2141">
        <v>0.972023435826051</v>
      </c>
      <c r="S2141" t="s">
        <v>8811</v>
      </c>
      <c r="T2141" t="s">
        <v>13338</v>
      </c>
      <c r="U2141" t="s">
        <v>13338</v>
      </c>
      <c r="V2141" t="s">
        <v>13338</v>
      </c>
      <c r="W2141" t="s">
        <v>15442</v>
      </c>
      <c r="X2141">
        <v>10</v>
      </c>
      <c r="Y2141" t="s">
        <v>22018</v>
      </c>
      <c r="Z2141" t="s">
        <v>28556</v>
      </c>
      <c r="AA2141">
        <v>0.6619216382687938</v>
      </c>
      <c r="AB2141" t="str">
        <f>HYPERLINK("Melting_Curves/meltCurve_P16278_3_GLB1.pdf", "Melting_Curves/meltCurve_P16278_3_GLB1.pdf")</f>
        <v>Melting_Curves/meltCurve_P16278_3_GLB1.pdf</v>
      </c>
    </row>
    <row r="2142" spans="1:28" x14ac:dyDescent="0.25">
      <c r="A2142" t="s">
        <v>2146</v>
      </c>
      <c r="B2142">
        <v>0.99193492352474899</v>
      </c>
      <c r="C2142">
        <v>0.97414014487265299</v>
      </c>
      <c r="D2142">
        <v>1.00472002854577</v>
      </c>
      <c r="E2142">
        <v>0.90067488160231401</v>
      </c>
      <c r="F2142">
        <v>0.68727511287249299</v>
      </c>
      <c r="G2142">
        <v>0.67145578435221598</v>
      </c>
      <c r="H2142">
        <v>0.49780310346814599</v>
      </c>
      <c r="I2142">
        <v>0.66997989305822603</v>
      </c>
      <c r="J2142">
        <v>0.63275342415473101</v>
      </c>
      <c r="K2142">
        <v>1.2906665984358201</v>
      </c>
      <c r="L2142">
        <v>12423.3430695885</v>
      </c>
      <c r="M2142">
        <v>250</v>
      </c>
      <c r="O2142">
        <v>49.690192355001798</v>
      </c>
      <c r="P2142">
        <v>-0.32494383874604599</v>
      </c>
      <c r="Q2142">
        <v>0.74165565131176203</v>
      </c>
      <c r="R2142">
        <v>0.24957669336906099</v>
      </c>
      <c r="S2142" t="s">
        <v>8812</v>
      </c>
      <c r="T2142" t="s">
        <v>13338</v>
      </c>
      <c r="U2142" t="s">
        <v>13338</v>
      </c>
      <c r="V2142" t="s">
        <v>13338</v>
      </c>
      <c r="W2142" t="s">
        <v>15443</v>
      </c>
      <c r="X2142">
        <v>28</v>
      </c>
      <c r="Y2142" t="s">
        <v>22019</v>
      </c>
      <c r="Z2142" t="s">
        <v>28557</v>
      </c>
      <c r="AA2142">
        <v>0.8251524467334177</v>
      </c>
      <c r="AB2142" t="str">
        <f>HYPERLINK("Melting_Curves/meltCurve_P16284_3_PECAM1.pdf", "Melting_Curves/meltCurve_P16284_3_PECAM1.pdf")</f>
        <v>Melting_Curves/meltCurve_P16284_3_PECAM1.pdf</v>
      </c>
    </row>
    <row r="2143" spans="1:28" x14ac:dyDescent="0.25">
      <c r="A2143" t="s">
        <v>2147</v>
      </c>
      <c r="B2143">
        <v>0.99193492352474899</v>
      </c>
      <c r="C2143">
        <v>1.0386321132055301</v>
      </c>
      <c r="D2143">
        <v>0.97345438161008002</v>
      </c>
      <c r="E2143">
        <v>0.80586428676882205</v>
      </c>
      <c r="F2143">
        <v>0.249099026542737</v>
      </c>
      <c r="G2143">
        <v>8.7746607993243297E-2</v>
      </c>
      <c r="H2143">
        <v>5.4993298050568802E-2</v>
      </c>
      <c r="I2143">
        <v>8.5516999496537904E-2</v>
      </c>
      <c r="J2143">
        <v>6.6015696401442406E-2</v>
      </c>
      <c r="K2143">
        <v>3.69848980626548E-2</v>
      </c>
      <c r="L2143">
        <v>1978.2110214531201</v>
      </c>
      <c r="M2143">
        <v>38.554425538667701</v>
      </c>
      <c r="N2143">
        <v>51.483225758079499</v>
      </c>
      <c r="O2143">
        <v>51.172113198148203</v>
      </c>
      <c r="P2143">
        <v>-0.17687249508807501</v>
      </c>
      <c r="Q2143">
        <v>6.0972374731711299E-2</v>
      </c>
      <c r="R2143">
        <v>0.99828129388351505</v>
      </c>
      <c r="S2143" t="s">
        <v>8813</v>
      </c>
      <c r="T2143" t="s">
        <v>13338</v>
      </c>
      <c r="U2143" t="s">
        <v>13338</v>
      </c>
      <c r="V2143" t="s">
        <v>13338</v>
      </c>
      <c r="W2143" t="s">
        <v>15444</v>
      </c>
      <c r="X2143">
        <v>10</v>
      </c>
      <c r="Y2143" t="s">
        <v>22020</v>
      </c>
      <c r="Z2143" t="s">
        <v>28558</v>
      </c>
      <c r="AA2143">
        <v>0.41855828981156717</v>
      </c>
      <c r="AB2143" t="str">
        <f>HYPERLINK("Melting_Curves/meltCurve_P16298_PPP3CB.pdf", "Melting_Curves/meltCurve_P16298_PPP3CB.pdf")</f>
        <v>Melting_Curves/meltCurve_P16298_PPP3CB.pdf</v>
      </c>
    </row>
    <row r="2144" spans="1:28" x14ac:dyDescent="0.25">
      <c r="A2144" t="s">
        <v>2148</v>
      </c>
      <c r="B2144">
        <v>0.99193492352474899</v>
      </c>
      <c r="C2144">
        <v>0.60472019330520799</v>
      </c>
      <c r="D2144">
        <v>0.63179767370294304</v>
      </c>
      <c r="E2144">
        <v>0.21117635377498101</v>
      </c>
      <c r="F2144">
        <v>0.17879900387015901</v>
      </c>
      <c r="G2144">
        <v>9.1585058027613506E-2</v>
      </c>
      <c r="H2144">
        <v>6.7158069765973494E-2</v>
      </c>
      <c r="I2144">
        <v>8.37147977773091E-2</v>
      </c>
      <c r="J2144">
        <v>9.6748940160746102E-2</v>
      </c>
      <c r="K2144">
        <v>0.10052519905414201</v>
      </c>
      <c r="L2144">
        <v>709.59578593008803</v>
      </c>
      <c r="M2144">
        <v>15.560628812617299</v>
      </c>
      <c r="N2144">
        <v>46.062797438043702</v>
      </c>
      <c r="O2144">
        <v>44.868774617954799</v>
      </c>
      <c r="P2144">
        <v>-8.0458716224535598E-2</v>
      </c>
      <c r="Q2144">
        <v>7.2076679948514202E-2</v>
      </c>
      <c r="R2144">
        <v>0.94575361345737197</v>
      </c>
      <c r="S2144" t="s">
        <v>8814</v>
      </c>
      <c r="T2144" t="s">
        <v>13338</v>
      </c>
      <c r="U2144" t="s">
        <v>13338</v>
      </c>
      <c r="V2144" t="s">
        <v>13338</v>
      </c>
      <c r="W2144" t="s">
        <v>15445</v>
      </c>
      <c r="X2144">
        <v>11</v>
      </c>
      <c r="Y2144" t="s">
        <v>22021</v>
      </c>
      <c r="Z2144" t="s">
        <v>28559</v>
      </c>
      <c r="AA2144">
        <v>0.27130729088118061</v>
      </c>
      <c r="AB2144" t="str">
        <f>HYPERLINK("Melting_Curves/meltCurve_P16333_NCK1.pdf", "Melting_Curves/meltCurve_P16333_NCK1.pdf")</f>
        <v>Melting_Curves/meltCurve_P16333_NCK1.pdf</v>
      </c>
    </row>
    <row r="2145" spans="1:28" x14ac:dyDescent="0.25">
      <c r="A2145" t="s">
        <v>2149</v>
      </c>
      <c r="B2145">
        <v>0.99193492352474899</v>
      </c>
      <c r="C2145">
        <v>0.61708158814138303</v>
      </c>
      <c r="D2145">
        <v>0.35916539449687301</v>
      </c>
      <c r="E2145">
        <v>0.221232846635743</v>
      </c>
      <c r="F2145">
        <v>0.13471940962291601</v>
      </c>
      <c r="G2145">
        <v>0.104959451807626</v>
      </c>
      <c r="H2145">
        <v>6.5433542529091004E-2</v>
      </c>
      <c r="I2145">
        <v>8.2281642913337394E-2</v>
      </c>
      <c r="J2145">
        <v>7.6624709623964199E-2</v>
      </c>
      <c r="K2145">
        <v>7.7766545501775405E-2</v>
      </c>
      <c r="L2145">
        <v>914.14311604353304</v>
      </c>
      <c r="M2145">
        <v>20.730116363584798</v>
      </c>
      <c r="N2145">
        <v>44.518830861383897</v>
      </c>
      <c r="O2145">
        <v>43.6931437146714</v>
      </c>
      <c r="P2145">
        <v>-0.10804613817735401</v>
      </c>
      <c r="Q2145">
        <v>8.91045630851591E-2</v>
      </c>
      <c r="R2145">
        <v>0.98229476827023798</v>
      </c>
      <c r="S2145" t="s">
        <v>8815</v>
      </c>
      <c r="T2145" t="s">
        <v>13338</v>
      </c>
      <c r="U2145" t="s">
        <v>13338</v>
      </c>
      <c r="V2145" t="s">
        <v>13338</v>
      </c>
      <c r="W2145" t="s">
        <v>15446</v>
      </c>
      <c r="X2145">
        <v>7</v>
      </c>
      <c r="Y2145" t="s">
        <v>22022</v>
      </c>
      <c r="Z2145" t="s">
        <v>28560</v>
      </c>
      <c r="AA2145">
        <v>0.22955490906154899</v>
      </c>
      <c r="AB2145" t="str">
        <f>HYPERLINK("Melting_Curves/meltCurve_P16383_GCFC2.pdf", "Melting_Curves/meltCurve_P16383_GCFC2.pdf")</f>
        <v>Melting_Curves/meltCurve_P16383_GCFC2.pdf</v>
      </c>
    </row>
    <row r="2146" spans="1:28" x14ac:dyDescent="0.25">
      <c r="A2146" t="s">
        <v>2150</v>
      </c>
      <c r="B2146">
        <v>0.99193492352474899</v>
      </c>
      <c r="C2146">
        <v>0.69502815967288301</v>
      </c>
      <c r="D2146">
        <v>0.78154088428258295</v>
      </c>
      <c r="E2146">
        <v>0.485855271842346</v>
      </c>
      <c r="F2146">
        <v>0.34980802694062701</v>
      </c>
      <c r="G2146">
        <v>0.61922352341484699</v>
      </c>
      <c r="H2146">
        <v>0.219720755847788</v>
      </c>
      <c r="I2146">
        <v>0.18756429208761599</v>
      </c>
      <c r="J2146">
        <v>0.36758766525265901</v>
      </c>
      <c r="K2146">
        <v>0</v>
      </c>
      <c r="L2146">
        <v>335.91598062949498</v>
      </c>
      <c r="M2146">
        <v>6.4391207980248204</v>
      </c>
      <c r="N2146">
        <v>52.1679881533978</v>
      </c>
      <c r="O2146">
        <v>47.819136674141703</v>
      </c>
      <c r="P2146">
        <v>-3.3748522635956103E-2</v>
      </c>
      <c r="Q2146">
        <v>0</v>
      </c>
      <c r="R2146">
        <v>0.78465507188878303</v>
      </c>
      <c r="S2146" t="s">
        <v>8816</v>
      </c>
      <c r="T2146" t="s">
        <v>13338</v>
      </c>
      <c r="U2146" t="s">
        <v>13338</v>
      </c>
      <c r="V2146" t="s">
        <v>13338</v>
      </c>
      <c r="W2146" t="s">
        <v>15447</v>
      </c>
      <c r="X2146">
        <v>1</v>
      </c>
      <c r="Y2146" t="s">
        <v>22023</v>
      </c>
      <c r="Z2146" t="s">
        <v>28561</v>
      </c>
      <c r="AA2146">
        <v>0.45959368264511868</v>
      </c>
      <c r="AB2146" t="str">
        <f>HYPERLINK("Melting_Curves/meltCurve_P16389_2_KCNA2.pdf", "Melting_Curves/meltCurve_P16389_2_KCNA2.pdf")</f>
        <v>Melting_Curves/meltCurve_P16389_2_KCNA2.pdf</v>
      </c>
    </row>
    <row r="2147" spans="1:28" x14ac:dyDescent="0.25">
      <c r="A2147" t="s">
        <v>2151</v>
      </c>
      <c r="B2147">
        <v>0.99193492352474899</v>
      </c>
      <c r="C2147">
        <v>0.80035545359933502</v>
      </c>
      <c r="D2147">
        <v>0.86313648088080797</v>
      </c>
      <c r="E2147">
        <v>1.0604588483559501</v>
      </c>
      <c r="F2147">
        <v>1.18461609761436</v>
      </c>
      <c r="G2147">
        <v>0.91076147789691397</v>
      </c>
      <c r="H2147">
        <v>0.437052384446316</v>
      </c>
      <c r="I2147">
        <v>0.35644074132065001</v>
      </c>
      <c r="J2147">
        <v>0.400605431977969</v>
      </c>
      <c r="K2147">
        <v>0.56581386283609902</v>
      </c>
      <c r="L2147">
        <v>14294.463251007301</v>
      </c>
      <c r="M2147">
        <v>250</v>
      </c>
      <c r="N2147">
        <v>57.666851953951998</v>
      </c>
      <c r="O2147">
        <v>57.174195735605302</v>
      </c>
      <c r="P2147">
        <v>-0.61218827921435803</v>
      </c>
      <c r="Q2147">
        <v>0.43997805759647002</v>
      </c>
      <c r="R2147">
        <v>0.84777044079444697</v>
      </c>
      <c r="S2147" t="s">
        <v>8817</v>
      </c>
      <c r="T2147" t="s">
        <v>13338</v>
      </c>
      <c r="U2147" t="s">
        <v>13338</v>
      </c>
      <c r="V2147" t="s">
        <v>13338</v>
      </c>
      <c r="W2147" t="s">
        <v>15448</v>
      </c>
      <c r="X2147">
        <v>10</v>
      </c>
      <c r="Y2147" t="s">
        <v>22024</v>
      </c>
      <c r="Z2147" t="s">
        <v>28562</v>
      </c>
      <c r="AA2147">
        <v>0.76070007388186411</v>
      </c>
      <c r="AB2147" t="str">
        <f>HYPERLINK("Melting_Curves/meltCurve_P16401_HIST1H1B.pdf", "Melting_Curves/meltCurve_P16401_HIST1H1B.pdf")</f>
        <v>Melting_Curves/meltCurve_P16401_HIST1H1B.pdf</v>
      </c>
    </row>
    <row r="2148" spans="1:28" x14ac:dyDescent="0.25">
      <c r="A2148" t="s">
        <v>2152</v>
      </c>
      <c r="B2148">
        <v>0.99193492352474899</v>
      </c>
      <c r="C2148">
        <v>1.0747418745469599</v>
      </c>
      <c r="D2148">
        <v>1.0997167738279101</v>
      </c>
      <c r="E2148">
        <v>0.930380943288312</v>
      </c>
      <c r="F2148">
        <v>0.55594379633913704</v>
      </c>
      <c r="G2148">
        <v>0.20523599273024701</v>
      </c>
      <c r="H2148">
        <v>7.7153519372188298E-2</v>
      </c>
      <c r="I2148">
        <v>8.4724816852275397E-2</v>
      </c>
      <c r="J2148">
        <v>9.7932776748832898E-2</v>
      </c>
      <c r="K2148">
        <v>0.110650451162049</v>
      </c>
      <c r="L2148">
        <v>1834.8606481605</v>
      </c>
      <c r="M2148">
        <v>34.422694328396403</v>
      </c>
      <c r="N2148">
        <v>53.618866328138701</v>
      </c>
      <c r="O2148">
        <v>53.124872377942502</v>
      </c>
      <c r="P2148">
        <v>-0.14715818160785701</v>
      </c>
      <c r="Q2148">
        <v>9.15609241134233E-2</v>
      </c>
      <c r="R2148">
        <v>0.99038699857609103</v>
      </c>
      <c r="S2148" t="s">
        <v>8818</v>
      </c>
      <c r="T2148" t="s">
        <v>13338</v>
      </c>
      <c r="U2148" t="s">
        <v>13338</v>
      </c>
      <c r="V2148" t="s">
        <v>13338</v>
      </c>
      <c r="W2148" t="s">
        <v>15449</v>
      </c>
      <c r="X2148">
        <v>22</v>
      </c>
      <c r="Y2148" t="s">
        <v>22025</v>
      </c>
      <c r="Z2148" t="s">
        <v>28563</v>
      </c>
      <c r="AA2148">
        <v>0.49892909776299099</v>
      </c>
      <c r="AB2148" t="str">
        <f>HYPERLINK("Melting_Curves/meltCurve_P16435_POR.pdf", "Melting_Curves/meltCurve_P16435_POR.pdf")</f>
        <v>Melting_Curves/meltCurve_P16435_POR.pdf</v>
      </c>
    </row>
    <row r="2149" spans="1:28" x14ac:dyDescent="0.25">
      <c r="A2149" t="s">
        <v>2153</v>
      </c>
      <c r="B2149">
        <v>0.99193492352474899</v>
      </c>
      <c r="C2149">
        <v>0.62250132654358303</v>
      </c>
      <c r="D2149">
        <v>0.71938689476180995</v>
      </c>
      <c r="E2149">
        <v>0.29204911590492799</v>
      </c>
      <c r="F2149">
        <v>0.140641273404328</v>
      </c>
      <c r="G2149">
        <v>6.4183180472210194E-2</v>
      </c>
      <c r="H2149">
        <v>5.2189116854502803E-2</v>
      </c>
      <c r="I2149">
        <v>5.88693071171629E-2</v>
      </c>
      <c r="J2149">
        <v>9.1880009984771402E-2</v>
      </c>
      <c r="K2149">
        <v>0.11238428488219</v>
      </c>
      <c r="L2149">
        <v>704.85858273474696</v>
      </c>
      <c r="M2149">
        <v>15.1348892248682</v>
      </c>
      <c r="N2149">
        <v>46.901119744505102</v>
      </c>
      <c r="O2149">
        <v>45.781408813689602</v>
      </c>
      <c r="P2149">
        <v>-7.8488630242441598E-2</v>
      </c>
      <c r="Q2149">
        <v>5.0413754863109603E-2</v>
      </c>
      <c r="R2149">
        <v>0.93673945683846704</v>
      </c>
      <c r="S2149" t="s">
        <v>8819</v>
      </c>
      <c r="T2149" t="s">
        <v>13338</v>
      </c>
      <c r="U2149" t="s">
        <v>13338</v>
      </c>
      <c r="V2149" t="s">
        <v>13338</v>
      </c>
      <c r="W2149" t="s">
        <v>15450</v>
      </c>
      <c r="X2149">
        <v>5</v>
      </c>
      <c r="Y2149" t="s">
        <v>22026</v>
      </c>
      <c r="Z2149" t="s">
        <v>28564</v>
      </c>
      <c r="AA2149">
        <v>0.28448193713287723</v>
      </c>
      <c r="AB2149" t="str">
        <f>HYPERLINK("Melting_Curves/meltCurve_P16455_MGMT.pdf", "Melting_Curves/meltCurve_P16455_MGMT.pdf")</f>
        <v>Melting_Curves/meltCurve_P16455_MGMT.pdf</v>
      </c>
    </row>
    <row r="2150" spans="1:28" x14ac:dyDescent="0.25">
      <c r="A2150" t="s">
        <v>2154</v>
      </c>
      <c r="B2150">
        <v>0.99193492352474899</v>
      </c>
      <c r="C2150">
        <v>1.2455529014362099</v>
      </c>
      <c r="D2150">
        <v>1.15968997968864</v>
      </c>
      <c r="E2150">
        <v>0.77532712162543704</v>
      </c>
      <c r="F2150">
        <v>0.60030870558725802</v>
      </c>
      <c r="G2150">
        <v>0.40452347222634999</v>
      </c>
      <c r="H2150">
        <v>0.276693418440562</v>
      </c>
      <c r="I2150">
        <v>0.220155081930064</v>
      </c>
      <c r="J2150">
        <v>0.155110827331083</v>
      </c>
      <c r="K2150">
        <v>0.14742153142952399</v>
      </c>
      <c r="L2150">
        <v>1053.6130042268401</v>
      </c>
      <c r="M2150">
        <v>19.637824471286802</v>
      </c>
      <c r="N2150">
        <v>54.790477024410798</v>
      </c>
      <c r="O2150">
        <v>53.105174277021902</v>
      </c>
      <c r="P2150">
        <v>-7.69656313908164E-2</v>
      </c>
      <c r="Q2150">
        <v>0.167498517291223</v>
      </c>
      <c r="R2150">
        <v>0.93078160289718304</v>
      </c>
      <c r="S2150" t="s">
        <v>8820</v>
      </c>
      <c r="T2150" t="s">
        <v>13338</v>
      </c>
      <c r="U2150" t="s">
        <v>13338</v>
      </c>
      <c r="V2150" t="s">
        <v>13338</v>
      </c>
      <c r="W2150" t="s">
        <v>15451</v>
      </c>
      <c r="X2150">
        <v>1</v>
      </c>
      <c r="Y2150" t="s">
        <v>22027</v>
      </c>
      <c r="Z2150" t="s">
        <v>28565</v>
      </c>
      <c r="AA2150">
        <v>0.55806454558690666</v>
      </c>
      <c r="AB2150" t="str">
        <f>HYPERLINK("Melting_Curves/meltCurve_P16473_TSHR.pdf", "Melting_Curves/meltCurve_P16473_TSHR.pdf")</f>
        <v>Melting_Curves/meltCurve_P16473_TSHR.pdf</v>
      </c>
    </row>
    <row r="2151" spans="1:28" x14ac:dyDescent="0.25">
      <c r="A2151" t="s">
        <v>2155</v>
      </c>
      <c r="B2151">
        <v>0.99193492352474899</v>
      </c>
      <c r="C2151">
        <v>0.94704259680294001</v>
      </c>
      <c r="D2151">
        <v>0.67235042624151198</v>
      </c>
      <c r="E2151">
        <v>0.19442551752107901</v>
      </c>
      <c r="F2151">
        <v>0.14979342008815599</v>
      </c>
      <c r="G2151">
        <v>8.8711683616040801E-2</v>
      </c>
      <c r="H2151">
        <v>6.9276461587151505E-2</v>
      </c>
      <c r="I2151">
        <v>7.7166331310270495E-2</v>
      </c>
      <c r="J2151">
        <v>8.8061172727894196E-2</v>
      </c>
      <c r="K2151">
        <v>9.6248292156128804E-2</v>
      </c>
      <c r="L2151">
        <v>1536.33880021141</v>
      </c>
      <c r="M2151">
        <v>32.852107722362902</v>
      </c>
      <c r="N2151">
        <v>47.047441361256404</v>
      </c>
      <c r="O2151">
        <v>46.5930460412089</v>
      </c>
      <c r="P2151">
        <v>-0.16051224122487001</v>
      </c>
      <c r="Q2151">
        <v>8.9407600834371298E-2</v>
      </c>
      <c r="R2151">
        <v>0.99774287191371402</v>
      </c>
      <c r="S2151" t="s">
        <v>8821</v>
      </c>
      <c r="T2151" t="s">
        <v>13338</v>
      </c>
      <c r="U2151" t="s">
        <v>13338</v>
      </c>
      <c r="V2151" t="s">
        <v>13338</v>
      </c>
      <c r="W2151" t="s">
        <v>15452</v>
      </c>
      <c r="X2151">
        <v>6</v>
      </c>
      <c r="Y2151" t="s">
        <v>22028</v>
      </c>
      <c r="Z2151" t="s">
        <v>28566</v>
      </c>
      <c r="AA2151">
        <v>0.29925341843111619</v>
      </c>
      <c r="AB2151" t="str">
        <f>HYPERLINK("Melting_Curves/meltCurve_P16591_3_FER.pdf", "Melting_Curves/meltCurve_P16591_3_FER.pdf")</f>
        <v>Melting_Curves/meltCurve_P16591_3_FER.pdf</v>
      </c>
    </row>
    <row r="2152" spans="1:28" x14ac:dyDescent="0.25">
      <c r="A2152" t="s">
        <v>2156</v>
      </c>
      <c r="B2152">
        <v>0.99193492352474899</v>
      </c>
      <c r="C2152">
        <v>1.10498442494695</v>
      </c>
      <c r="D2152">
        <v>1.14578011518643</v>
      </c>
      <c r="E2152">
        <v>1.0195887385934099</v>
      </c>
      <c r="F2152">
        <v>0.31035046303246999</v>
      </c>
      <c r="G2152">
        <v>0.113459566193648</v>
      </c>
      <c r="H2152">
        <v>6.4800203111021401E-2</v>
      </c>
      <c r="I2152">
        <v>7.3274661632355201E-2</v>
      </c>
      <c r="J2152">
        <v>8.3941089831972904E-2</v>
      </c>
      <c r="K2152">
        <v>9.44261580986447E-2</v>
      </c>
      <c r="L2152">
        <v>11833.861359231199</v>
      </c>
      <c r="M2152">
        <v>223.563889484707</v>
      </c>
      <c r="N2152">
        <v>52.977513202611597</v>
      </c>
      <c r="O2152">
        <v>52.928553994344</v>
      </c>
      <c r="P2152">
        <v>-0.96517744681657802</v>
      </c>
      <c r="Q2152">
        <v>8.5980280378993204E-2</v>
      </c>
      <c r="R2152">
        <v>0.98439675988534303</v>
      </c>
      <c r="S2152" t="s">
        <v>8822</v>
      </c>
      <c r="T2152" t="s">
        <v>13338</v>
      </c>
      <c r="U2152" t="s">
        <v>13338</v>
      </c>
      <c r="V2152" t="s">
        <v>13338</v>
      </c>
      <c r="W2152" t="s">
        <v>15453</v>
      </c>
      <c r="X2152">
        <v>34</v>
      </c>
      <c r="Y2152" t="s">
        <v>22029</v>
      </c>
      <c r="Z2152" t="s">
        <v>28567</v>
      </c>
      <c r="AA2152">
        <v>0.4801140950925058</v>
      </c>
      <c r="AB2152" t="str">
        <f>HYPERLINK("Melting_Curves/meltCurve_P16615_ATP2A2.pdf", "Melting_Curves/meltCurve_P16615_ATP2A2.pdf")</f>
        <v>Melting_Curves/meltCurve_P16615_ATP2A2.pdf</v>
      </c>
    </row>
    <row r="2153" spans="1:28" x14ac:dyDescent="0.25">
      <c r="A2153" t="s">
        <v>2157</v>
      </c>
      <c r="B2153">
        <v>0.99193492352474899</v>
      </c>
      <c r="C2153">
        <v>0.85449266740357399</v>
      </c>
      <c r="D2153">
        <v>0.32651509878611001</v>
      </c>
      <c r="E2153">
        <v>0.153939233130436</v>
      </c>
      <c r="F2153">
        <v>9.7253500038919596E-2</v>
      </c>
      <c r="G2153">
        <v>7.0996406256587E-2</v>
      </c>
      <c r="H2153">
        <v>4.1843678277172502E-2</v>
      </c>
      <c r="I2153">
        <v>5.2048187617392501E-2</v>
      </c>
      <c r="J2153">
        <v>5.6385724309786202E-2</v>
      </c>
      <c r="K2153">
        <v>4.1892529150237903E-2</v>
      </c>
      <c r="L2153">
        <v>1548.93329150303</v>
      </c>
      <c r="M2153">
        <v>34.523128838675397</v>
      </c>
      <c r="N2153">
        <v>45.051677540747797</v>
      </c>
      <c r="O2153">
        <v>44.716806946411403</v>
      </c>
      <c r="P2153">
        <v>-0.18024602821371999</v>
      </c>
      <c r="Q2153">
        <v>6.6133883034016294E-2</v>
      </c>
      <c r="R2153">
        <v>0.99496778645733597</v>
      </c>
      <c r="S2153" t="s">
        <v>8823</v>
      </c>
      <c r="T2153" t="s">
        <v>13338</v>
      </c>
      <c r="U2153" t="s">
        <v>13338</v>
      </c>
      <c r="V2153" t="s">
        <v>13338</v>
      </c>
      <c r="W2153" t="s">
        <v>15454</v>
      </c>
      <c r="X2153">
        <v>16</v>
      </c>
      <c r="Y2153" t="s">
        <v>22030</v>
      </c>
      <c r="Z2153" t="s">
        <v>28568</v>
      </c>
      <c r="AA2153">
        <v>0.22197983359797341</v>
      </c>
      <c r="AB2153" t="str">
        <f>HYPERLINK("Melting_Curves/meltCurve_P16885_PLCG2.pdf", "Melting_Curves/meltCurve_P16885_PLCG2.pdf")</f>
        <v>Melting_Curves/meltCurve_P16885_PLCG2.pdf</v>
      </c>
    </row>
    <row r="2154" spans="1:28" x14ac:dyDescent="0.25">
      <c r="A2154" t="s">
        <v>2158</v>
      </c>
      <c r="B2154">
        <v>0.99193492352474899</v>
      </c>
      <c r="C2154">
        <v>1.0078803887362699</v>
      </c>
      <c r="D2154">
        <v>0.91149188141802395</v>
      </c>
      <c r="E2154">
        <v>0.79284259945017199</v>
      </c>
      <c r="F2154">
        <v>0.75055977338783297</v>
      </c>
      <c r="G2154">
        <v>0.562473756226057</v>
      </c>
      <c r="H2154">
        <v>0.48611176035498199</v>
      </c>
      <c r="I2154">
        <v>0.51951931624059999</v>
      </c>
      <c r="J2154">
        <v>0.62232596690338504</v>
      </c>
      <c r="K2154">
        <v>0.41021554576465502</v>
      </c>
      <c r="L2154">
        <v>749.73767637727303</v>
      </c>
      <c r="M2154">
        <v>14.473967287297</v>
      </c>
      <c r="N2154">
        <v>66.941897504374694</v>
      </c>
      <c r="O2154">
        <v>50.840382727912498</v>
      </c>
      <c r="P2154">
        <v>-3.6938014843539001E-2</v>
      </c>
      <c r="Q2154">
        <v>0.48107532317360602</v>
      </c>
      <c r="R2154">
        <v>0.92664442454543505</v>
      </c>
      <c r="S2154" t="s">
        <v>8824</v>
      </c>
      <c r="T2154" t="s">
        <v>13338</v>
      </c>
      <c r="U2154" t="s">
        <v>13338</v>
      </c>
      <c r="V2154" t="s">
        <v>13338</v>
      </c>
      <c r="W2154" t="s">
        <v>15455</v>
      </c>
      <c r="X2154">
        <v>17</v>
      </c>
      <c r="Y2154" t="s">
        <v>22031</v>
      </c>
      <c r="Z2154" t="s">
        <v>28569</v>
      </c>
      <c r="AA2154">
        <v>0.6975093342540154</v>
      </c>
      <c r="AB2154" t="str">
        <f>HYPERLINK("Melting_Curves/meltCurve_P16930_FAH.pdf", "Melting_Curves/meltCurve_P16930_FAH.pdf")</f>
        <v>Melting_Curves/meltCurve_P16930_FAH.pdf</v>
      </c>
    </row>
    <row r="2155" spans="1:28" x14ac:dyDescent="0.25">
      <c r="A2155" t="s">
        <v>2159</v>
      </c>
      <c r="B2155">
        <v>0.99193492352474899</v>
      </c>
      <c r="C2155">
        <v>0.84904079175308</v>
      </c>
      <c r="D2155">
        <v>0.76025899380416595</v>
      </c>
      <c r="E2155">
        <v>0.80969113883294597</v>
      </c>
      <c r="F2155">
        <v>0.56913936361768702</v>
      </c>
      <c r="G2155">
        <v>0.43585577505543699</v>
      </c>
      <c r="H2155">
        <v>0.450537010162189</v>
      </c>
      <c r="I2155">
        <v>0.48757420577066302</v>
      </c>
      <c r="J2155">
        <v>0.46415305615958102</v>
      </c>
      <c r="K2155">
        <v>0.60614070165759004</v>
      </c>
      <c r="L2155">
        <v>619.02769262316997</v>
      </c>
      <c r="M2155">
        <v>12.9492256766669</v>
      </c>
      <c r="N2155">
        <v>61.9623200878302</v>
      </c>
      <c r="O2155">
        <v>46.707231382386297</v>
      </c>
      <c r="P2155">
        <v>-3.64597344816543E-2</v>
      </c>
      <c r="Q2155">
        <v>0.47406034010459203</v>
      </c>
      <c r="R2155">
        <v>0.85083310611555596</v>
      </c>
      <c r="S2155" t="s">
        <v>8825</v>
      </c>
      <c r="T2155" t="s">
        <v>13338</v>
      </c>
      <c r="U2155" t="s">
        <v>13338</v>
      </c>
      <c r="V2155" t="s">
        <v>13338</v>
      </c>
      <c r="W2155" t="s">
        <v>13558</v>
      </c>
      <c r="X2155">
        <v>28</v>
      </c>
      <c r="Y2155" t="s">
        <v>22032</v>
      </c>
      <c r="Z2155" t="s">
        <v>28570</v>
      </c>
      <c r="AA2155">
        <v>0.6290304644720438</v>
      </c>
      <c r="AB2155" t="str">
        <f>HYPERLINK("Melting_Curves/meltCurve_P16949_STMN1.pdf", "Melting_Curves/meltCurve_P16949_STMN1.pdf")</f>
        <v>Melting_Curves/meltCurve_P16949_STMN1.pdf</v>
      </c>
    </row>
    <row r="2156" spans="1:28" x14ac:dyDescent="0.25">
      <c r="A2156" t="s">
        <v>2160</v>
      </c>
      <c r="B2156">
        <v>0.99193492352474899</v>
      </c>
      <c r="C2156">
        <v>1.0841110586142499</v>
      </c>
      <c r="D2156">
        <v>0.83294113161216998</v>
      </c>
      <c r="E2156">
        <v>0.66087038994454494</v>
      </c>
      <c r="F2156">
        <v>0.59992818689364202</v>
      </c>
      <c r="G2156">
        <v>0.49075840884467897</v>
      </c>
      <c r="H2156">
        <v>0.36074784939839299</v>
      </c>
      <c r="I2156">
        <v>0.40617658564220899</v>
      </c>
      <c r="J2156">
        <v>0.49878183334257498</v>
      </c>
      <c r="K2156">
        <v>0.59939575842348702</v>
      </c>
      <c r="L2156">
        <v>1093.0863369843801</v>
      </c>
      <c r="M2156">
        <v>22.556763936213301</v>
      </c>
      <c r="N2156">
        <v>55.862363721810901</v>
      </c>
      <c r="O2156">
        <v>48.0833343400163</v>
      </c>
      <c r="P2156">
        <v>-6.1592039313054903E-2</v>
      </c>
      <c r="Q2156">
        <v>0.47483789166387602</v>
      </c>
      <c r="R2156">
        <v>0.89966073170061001</v>
      </c>
      <c r="S2156" t="s">
        <v>8826</v>
      </c>
      <c r="T2156" t="s">
        <v>13338</v>
      </c>
      <c r="U2156" t="s">
        <v>13338</v>
      </c>
      <c r="V2156" t="s">
        <v>13338</v>
      </c>
      <c r="W2156" t="s">
        <v>15456</v>
      </c>
      <c r="X2156">
        <v>8</v>
      </c>
      <c r="Y2156" t="s">
        <v>22033</v>
      </c>
      <c r="Z2156" t="s">
        <v>28571</v>
      </c>
      <c r="AA2156">
        <v>0.62868051324396557</v>
      </c>
      <c r="AB2156" t="str">
        <f>HYPERLINK("Melting_Curves/meltCurve_P16989_YBX3.pdf", "Melting_Curves/meltCurve_P16989_YBX3.pdf")</f>
        <v>Melting_Curves/meltCurve_P16989_YBX3.pdf</v>
      </c>
    </row>
    <row r="2157" spans="1:28" x14ac:dyDescent="0.25">
      <c r="A2157" t="s">
        <v>2161</v>
      </c>
      <c r="B2157">
        <v>0.99193492352474899</v>
      </c>
      <c r="C2157">
        <v>0.88883113308995498</v>
      </c>
      <c r="D2157">
        <v>0.81948252469994598</v>
      </c>
      <c r="E2157">
        <v>0.69402273419288496</v>
      </c>
      <c r="F2157">
        <v>0.27450590341772602</v>
      </c>
      <c r="G2157">
        <v>0.47683785772547099</v>
      </c>
      <c r="H2157">
        <v>0.143374182620183</v>
      </c>
      <c r="I2157">
        <v>0.25897500316633199</v>
      </c>
      <c r="J2157">
        <v>0.25862204912124498</v>
      </c>
      <c r="K2157">
        <v>0.34953556682461001</v>
      </c>
      <c r="L2157">
        <v>876.47368726447201</v>
      </c>
      <c r="M2157">
        <v>17.8017679448614</v>
      </c>
      <c r="N2157">
        <v>51.346484361415001</v>
      </c>
      <c r="O2157">
        <v>48.626514676569499</v>
      </c>
      <c r="P2157">
        <v>-6.7774130536856297E-2</v>
      </c>
      <c r="Q2157">
        <v>0.25952300850434101</v>
      </c>
      <c r="R2157">
        <v>0.902556644317276</v>
      </c>
      <c r="S2157" t="s">
        <v>8827</v>
      </c>
      <c r="T2157" t="s">
        <v>13338</v>
      </c>
      <c r="U2157" t="s">
        <v>13338</v>
      </c>
      <c r="V2157" t="s">
        <v>13338</v>
      </c>
      <c r="W2157" t="s">
        <v>15457</v>
      </c>
      <c r="X2157">
        <v>1</v>
      </c>
      <c r="Y2157" t="s">
        <v>22034</v>
      </c>
      <c r="Z2157" t="s">
        <v>28572</v>
      </c>
      <c r="AA2157">
        <v>0.50052478292118585</v>
      </c>
      <c r="AB2157" t="str">
        <f>HYPERLINK("Melting_Curves/meltCurve_P17026_ZNF22.pdf", "Melting_Curves/meltCurve_P17026_ZNF22.pdf")</f>
        <v>Melting_Curves/meltCurve_P17026_ZNF22.pdf</v>
      </c>
    </row>
    <row r="2158" spans="1:28" x14ac:dyDescent="0.25">
      <c r="A2158" t="s">
        <v>2162</v>
      </c>
      <c r="B2158">
        <v>0.99193492352474899</v>
      </c>
      <c r="C2158">
        <v>0.74366053995030701</v>
      </c>
      <c r="D2158">
        <v>0.72139082923357301</v>
      </c>
      <c r="E2158">
        <v>0.48822243040136099</v>
      </c>
      <c r="F2158">
        <v>0.30790330502141799</v>
      </c>
      <c r="G2158">
        <v>0.14146213941646499</v>
      </c>
      <c r="H2158">
        <v>6.6207982251565503E-2</v>
      </c>
      <c r="I2158">
        <v>8.2441108087840401E-2</v>
      </c>
      <c r="J2158">
        <v>9.7878185286686903E-2</v>
      </c>
      <c r="K2158">
        <v>0.13822548944136101</v>
      </c>
      <c r="L2158">
        <v>613.15149539419701</v>
      </c>
      <c r="M2158">
        <v>12.646782323867001</v>
      </c>
      <c r="N2158">
        <v>48.943922045162701</v>
      </c>
      <c r="O2158">
        <v>47.318506838264099</v>
      </c>
      <c r="P2158">
        <v>-6.3077152471667203E-2</v>
      </c>
      <c r="Q2158">
        <v>5.6161261563136299E-2</v>
      </c>
      <c r="R2158">
        <v>0.97489905711262304</v>
      </c>
      <c r="S2158" t="s">
        <v>8828</v>
      </c>
      <c r="T2158" t="s">
        <v>13338</v>
      </c>
      <c r="U2158" t="s">
        <v>13338</v>
      </c>
      <c r="V2158" t="s">
        <v>13338</v>
      </c>
      <c r="W2158" t="s">
        <v>15458</v>
      </c>
      <c r="X2158">
        <v>7</v>
      </c>
      <c r="Y2158" t="s">
        <v>22035</v>
      </c>
      <c r="Z2158" t="s">
        <v>28573</v>
      </c>
      <c r="AA2158">
        <v>0.35569645354596979</v>
      </c>
      <c r="AB2158" t="str">
        <f>HYPERLINK("Melting_Curves/meltCurve_P17028_ZNF24.pdf", "Melting_Curves/meltCurve_P17028_ZNF24.pdf")</f>
        <v>Melting_Curves/meltCurve_P17028_ZNF24.pdf</v>
      </c>
    </row>
    <row r="2159" spans="1:28" x14ac:dyDescent="0.25">
      <c r="A2159" t="s">
        <v>2163</v>
      </c>
      <c r="B2159">
        <v>0.99193492352474899</v>
      </c>
      <c r="C2159">
        <v>0.88173306943168495</v>
      </c>
      <c r="D2159">
        <v>0.86384653073474305</v>
      </c>
      <c r="E2159">
        <v>0.85831207834915002</v>
      </c>
      <c r="F2159">
        <v>0.80059096336110902</v>
      </c>
      <c r="G2159">
        <v>0.57463455689949405</v>
      </c>
      <c r="H2159">
        <v>0.290606559436423</v>
      </c>
      <c r="I2159">
        <v>0.123815095468261</v>
      </c>
      <c r="J2159">
        <v>0.131985039229993</v>
      </c>
      <c r="K2159">
        <v>9.7198040610102704E-2</v>
      </c>
      <c r="L2159">
        <v>800.09898557728798</v>
      </c>
      <c r="M2159">
        <v>13.947597042342499</v>
      </c>
      <c r="N2159">
        <v>57.364647362406998</v>
      </c>
      <c r="O2159">
        <v>56.224028364925303</v>
      </c>
      <c r="P2159">
        <v>-6.2026295272847497E-2</v>
      </c>
      <c r="Q2159">
        <v>0</v>
      </c>
      <c r="R2159">
        <v>0.970860131913026</v>
      </c>
      <c r="S2159" t="s">
        <v>8829</v>
      </c>
      <c r="T2159" t="s">
        <v>13338</v>
      </c>
      <c r="U2159" t="s">
        <v>13338</v>
      </c>
      <c r="V2159" t="s">
        <v>13338</v>
      </c>
      <c r="W2159" t="s">
        <v>15459</v>
      </c>
      <c r="X2159">
        <v>9</v>
      </c>
      <c r="Y2159" t="s">
        <v>22036</v>
      </c>
      <c r="Z2159" t="s">
        <v>28574</v>
      </c>
      <c r="AA2159">
        <v>0.59420890076262534</v>
      </c>
      <c r="AB2159" t="str">
        <f>HYPERLINK("Melting_Curves/meltCurve_P17050_NAGA.pdf", "Melting_Curves/meltCurve_P17050_NAGA.pdf")</f>
        <v>Melting_Curves/meltCurve_P17050_NAGA.pdf</v>
      </c>
    </row>
    <row r="2160" spans="1:28" x14ac:dyDescent="0.25">
      <c r="A2160" t="s">
        <v>2164</v>
      </c>
      <c r="B2160">
        <v>0.99193492352474899</v>
      </c>
      <c r="C2160">
        <v>1.1993921850637801</v>
      </c>
      <c r="D2160">
        <v>0.69780839557756802</v>
      </c>
      <c r="E2160">
        <v>0.674151809287866</v>
      </c>
      <c r="F2160">
        <v>0.57276842458261401</v>
      </c>
      <c r="G2160">
        <v>0.47669518641228598</v>
      </c>
      <c r="H2160">
        <v>0.29863568669573698</v>
      </c>
      <c r="I2160">
        <v>0.14392072230038999</v>
      </c>
      <c r="J2160">
        <v>0.16002958297768999</v>
      </c>
      <c r="K2160">
        <v>0.236986224849008</v>
      </c>
      <c r="L2160">
        <v>592.50628863794202</v>
      </c>
      <c r="M2160">
        <v>11.182657745442301</v>
      </c>
      <c r="N2160">
        <v>54.304673953853403</v>
      </c>
      <c r="O2160">
        <v>51.374711166017399</v>
      </c>
      <c r="P2160">
        <v>-4.7955197763976498E-2</v>
      </c>
      <c r="Q2160">
        <v>0.11902669129387</v>
      </c>
      <c r="R2160">
        <v>0.89810880115582503</v>
      </c>
      <c r="S2160" t="s">
        <v>8830</v>
      </c>
      <c r="T2160" t="s">
        <v>13338</v>
      </c>
      <c r="U2160" t="s">
        <v>13338</v>
      </c>
      <c r="V2160" t="s">
        <v>13338</v>
      </c>
      <c r="W2160" t="s">
        <v>15460</v>
      </c>
      <c r="X2160">
        <v>12</v>
      </c>
      <c r="Y2160" t="s">
        <v>22037</v>
      </c>
      <c r="Z2160" t="s">
        <v>28575</v>
      </c>
      <c r="AA2160">
        <v>0.52741759699300694</v>
      </c>
      <c r="AB2160" t="str">
        <f>HYPERLINK("Melting_Curves/meltCurve_P17066_HSPA6.pdf", "Melting_Curves/meltCurve_P17066_HSPA6.pdf")</f>
        <v>Melting_Curves/meltCurve_P17066_HSPA6.pdf</v>
      </c>
    </row>
    <row r="2161" spans="1:28" x14ac:dyDescent="0.25">
      <c r="A2161" t="s">
        <v>2165</v>
      </c>
      <c r="B2161">
        <v>0.99193492352474899</v>
      </c>
      <c r="C2161">
        <v>0.56949995591227598</v>
      </c>
      <c r="D2161">
        <v>0.91578827192121903</v>
      </c>
      <c r="E2161">
        <v>0.61527420718249004</v>
      </c>
      <c r="F2161">
        <v>0.59832835566620302</v>
      </c>
      <c r="G2161">
        <v>0.52053049161454401</v>
      </c>
      <c r="H2161">
        <v>0.60146232666131205</v>
      </c>
      <c r="I2161">
        <v>0.354794677641459</v>
      </c>
      <c r="J2161">
        <v>0.64361606800145899</v>
      </c>
      <c r="K2161">
        <v>1.2161335372095501</v>
      </c>
      <c r="L2161">
        <v>10147.368776322301</v>
      </c>
      <c r="M2161">
        <v>250</v>
      </c>
      <c r="O2161">
        <v>40.586879895108702</v>
      </c>
      <c r="P2161">
        <v>-0.50724048806905597</v>
      </c>
      <c r="Q2161">
        <v>0.67060307833163602</v>
      </c>
      <c r="R2161">
        <v>0.15568015584200001</v>
      </c>
      <c r="S2161" t="s">
        <v>8831</v>
      </c>
      <c r="T2161" t="s">
        <v>13338</v>
      </c>
      <c r="U2161" t="s">
        <v>13338</v>
      </c>
      <c r="V2161" t="s">
        <v>13338</v>
      </c>
      <c r="W2161" t="s">
        <v>15461</v>
      </c>
      <c r="X2161">
        <v>4</v>
      </c>
      <c r="Y2161" t="s">
        <v>22038</v>
      </c>
      <c r="Z2161" t="s">
        <v>28576</v>
      </c>
      <c r="AA2161">
        <v>0.67714152882060363</v>
      </c>
      <c r="AB2161" t="str">
        <f>HYPERLINK("Melting_Curves/meltCurve_P17096_HMGA1.pdf", "Melting_Curves/meltCurve_P17096_HMGA1.pdf")</f>
        <v>Melting_Curves/meltCurve_P17096_HMGA1.pdf</v>
      </c>
    </row>
    <row r="2162" spans="1:28" x14ac:dyDescent="0.25">
      <c r="A2162" t="s">
        <v>2166</v>
      </c>
      <c r="B2162">
        <v>0.99193492352474899</v>
      </c>
      <c r="C2162">
        <v>0.83169983031712902</v>
      </c>
      <c r="D2162">
        <v>0.86435099774848601</v>
      </c>
      <c r="E2162">
        <v>0.40773320239447203</v>
      </c>
      <c r="F2162">
        <v>0.30731364764869301</v>
      </c>
      <c r="G2162">
        <v>0.16938874794228001</v>
      </c>
      <c r="H2162">
        <v>0.11827204381862599</v>
      </c>
      <c r="I2162">
        <v>0.136550333656246</v>
      </c>
      <c r="J2162">
        <v>0.16457390729056701</v>
      </c>
      <c r="K2162">
        <v>0.30098154623972201</v>
      </c>
      <c r="L2162">
        <v>1109.84525045702</v>
      </c>
      <c r="M2162">
        <v>23.049939985454198</v>
      </c>
      <c r="N2162">
        <v>49.073798498921001</v>
      </c>
      <c r="O2162">
        <v>47.791574690734301</v>
      </c>
      <c r="P2162">
        <v>-9.9346556211398401E-2</v>
      </c>
      <c r="Q2162">
        <v>0.17607765583683499</v>
      </c>
      <c r="R2162">
        <v>0.95362430190207104</v>
      </c>
      <c r="S2162" t="s">
        <v>8832</v>
      </c>
      <c r="T2162" t="s">
        <v>13338</v>
      </c>
      <c r="U2162" t="s">
        <v>13338</v>
      </c>
      <c r="V2162" t="s">
        <v>13338</v>
      </c>
      <c r="W2162" t="s">
        <v>15462</v>
      </c>
      <c r="X2162">
        <v>4</v>
      </c>
      <c r="Y2162" t="s">
        <v>22039</v>
      </c>
      <c r="Z2162" t="s">
        <v>28577</v>
      </c>
      <c r="AA2162">
        <v>0.40854508648681531</v>
      </c>
      <c r="AB2162" t="str">
        <f>HYPERLINK("Melting_Curves/meltCurve_P17098_ZNF8.pdf", "Melting_Curves/meltCurve_P17098_ZNF8.pdf")</f>
        <v>Melting_Curves/meltCurve_P17098_ZNF8.pdf</v>
      </c>
    </row>
    <row r="2163" spans="1:28" x14ac:dyDescent="0.25">
      <c r="A2163" t="s">
        <v>2167</v>
      </c>
      <c r="B2163">
        <v>0.99193492352474899</v>
      </c>
      <c r="C2163">
        <v>0.88988370450156995</v>
      </c>
      <c r="D2163">
        <v>0.95612005293907398</v>
      </c>
      <c r="E2163">
        <v>0.75851482445544705</v>
      </c>
      <c r="F2163">
        <v>0.42652859402057203</v>
      </c>
      <c r="G2163">
        <v>0.200907523267218</v>
      </c>
      <c r="H2163">
        <v>0.103719283350256</v>
      </c>
      <c r="I2163">
        <v>0.13042911678768199</v>
      </c>
      <c r="J2163">
        <v>0.154616499970926</v>
      </c>
      <c r="K2163">
        <v>0.180660999937614</v>
      </c>
      <c r="L2163">
        <v>1259.35915919781</v>
      </c>
      <c r="M2163">
        <v>24.429255234343501</v>
      </c>
      <c r="N2163">
        <v>52.216052195970903</v>
      </c>
      <c r="O2163">
        <v>51.209558122608598</v>
      </c>
      <c r="P2163">
        <v>-0.103323531380584</v>
      </c>
      <c r="Q2163">
        <v>0.13364950675704601</v>
      </c>
      <c r="R2163">
        <v>0.987130455993806</v>
      </c>
      <c r="S2163" t="s">
        <v>8833</v>
      </c>
      <c r="T2163" t="s">
        <v>13338</v>
      </c>
      <c r="U2163" t="s">
        <v>13338</v>
      </c>
      <c r="V2163" t="s">
        <v>13338</v>
      </c>
      <c r="W2163" t="s">
        <v>15463</v>
      </c>
      <c r="X2163">
        <v>3</v>
      </c>
      <c r="Y2163" t="s">
        <v>22040</v>
      </c>
      <c r="Z2163" t="s">
        <v>28578</v>
      </c>
      <c r="AA2163">
        <v>0.47546490188440871</v>
      </c>
      <c r="AB2163" t="str">
        <f>HYPERLINK("Melting_Curves/meltCurve_P17152_TMEM11.pdf", "Melting_Curves/meltCurve_P17152_TMEM11.pdf")</f>
        <v>Melting_Curves/meltCurve_P17152_TMEM11.pdf</v>
      </c>
    </row>
    <row r="2164" spans="1:28" x14ac:dyDescent="0.25">
      <c r="A2164" t="s">
        <v>2168</v>
      </c>
      <c r="B2164">
        <v>0.99193492352474899</v>
      </c>
      <c r="C2164">
        <v>0.93234472070035301</v>
      </c>
      <c r="D2164">
        <v>0.84064910234376999</v>
      </c>
      <c r="E2164">
        <v>0.67488790320611602</v>
      </c>
      <c r="F2164">
        <v>0.54924431075187197</v>
      </c>
      <c r="G2164">
        <v>0.432863674382028</v>
      </c>
      <c r="H2164">
        <v>0.33323716296660399</v>
      </c>
      <c r="I2164">
        <v>0.43397149680557601</v>
      </c>
      <c r="J2164">
        <v>0.45362980901623201</v>
      </c>
      <c r="K2164">
        <v>0.33948995303554202</v>
      </c>
      <c r="L2164">
        <v>761.71777356317295</v>
      </c>
      <c r="M2164">
        <v>15.452146039440599</v>
      </c>
      <c r="N2164">
        <v>54.154332632646998</v>
      </c>
      <c r="O2164">
        <v>48.4917890922288</v>
      </c>
      <c r="P2164">
        <v>-4.9792661863810699E-2</v>
      </c>
      <c r="Q2164">
        <v>0.37502060531415599</v>
      </c>
      <c r="R2164">
        <v>0.97347217641362005</v>
      </c>
      <c r="S2164" t="s">
        <v>8834</v>
      </c>
      <c r="T2164" t="s">
        <v>13338</v>
      </c>
      <c r="U2164" t="s">
        <v>13338</v>
      </c>
      <c r="V2164" t="s">
        <v>13338</v>
      </c>
      <c r="W2164" t="s">
        <v>15464</v>
      </c>
      <c r="X2164">
        <v>17</v>
      </c>
      <c r="Y2164" t="s">
        <v>22041</v>
      </c>
      <c r="Z2164" t="s">
        <v>28579</v>
      </c>
      <c r="AA2164">
        <v>0.58310583629523671</v>
      </c>
      <c r="AB2164" t="str">
        <f>HYPERLINK("Melting_Curves/meltCurve_P17174_GOT1.pdf", "Melting_Curves/meltCurve_P17174_GOT1.pdf")</f>
        <v>Melting_Curves/meltCurve_P17174_GOT1.pdf</v>
      </c>
    </row>
    <row r="2165" spans="1:28" x14ac:dyDescent="0.25">
      <c r="A2165" t="s">
        <v>2169</v>
      </c>
      <c r="B2165">
        <v>0.99193492352474899</v>
      </c>
      <c r="C2165">
        <v>0.78004407878944704</v>
      </c>
      <c r="D2165">
        <v>0.98959346578021001</v>
      </c>
      <c r="E2165">
        <v>0.64402055366603195</v>
      </c>
      <c r="F2165">
        <v>0.451725675888972</v>
      </c>
      <c r="G2165">
        <v>0.35313504867357598</v>
      </c>
      <c r="H2165">
        <v>0.19666594862629999</v>
      </c>
      <c r="I2165">
        <v>0.29039345395997002</v>
      </c>
      <c r="J2165">
        <v>0.26217001893055097</v>
      </c>
      <c r="K2165">
        <v>0.55220251336525605</v>
      </c>
      <c r="L2165">
        <v>1282.8362978621501</v>
      </c>
      <c r="M2165">
        <v>25.855194587449201</v>
      </c>
      <c r="N2165">
        <v>51.743702992952301</v>
      </c>
      <c r="O2165">
        <v>49.322237656956098</v>
      </c>
      <c r="P2165">
        <v>-8.81598093587391E-2</v>
      </c>
      <c r="Q2165">
        <v>0.327301504537442</v>
      </c>
      <c r="R2165">
        <v>0.83982774993882303</v>
      </c>
      <c r="S2165" t="s">
        <v>8835</v>
      </c>
      <c r="T2165" t="s">
        <v>13338</v>
      </c>
      <c r="U2165" t="s">
        <v>13338</v>
      </c>
      <c r="V2165" t="s">
        <v>13338</v>
      </c>
      <c r="W2165" t="s">
        <v>15465</v>
      </c>
      <c r="X2165">
        <v>1</v>
      </c>
      <c r="Y2165" t="s">
        <v>22042</v>
      </c>
      <c r="Z2165" t="s">
        <v>28580</v>
      </c>
      <c r="AA2165">
        <v>0.5485228699743705</v>
      </c>
      <c r="AB2165" t="str">
        <f>HYPERLINK("Melting_Curves/meltCurve_P17181_IFNAR1.pdf", "Melting_Curves/meltCurve_P17181_IFNAR1.pdf")</f>
        <v>Melting_Curves/meltCurve_P17181_IFNAR1.pdf</v>
      </c>
    </row>
    <row r="2166" spans="1:28" x14ac:dyDescent="0.25">
      <c r="A2166" t="s">
        <v>2170</v>
      </c>
      <c r="B2166">
        <v>0.99193492352474899</v>
      </c>
      <c r="C2166">
        <v>1.18017457202156</v>
      </c>
      <c r="D2166">
        <v>0.95011780774853005</v>
      </c>
      <c r="E2166">
        <v>0.68484880185512298</v>
      </c>
      <c r="F2166">
        <v>0.221278080861954</v>
      </c>
      <c r="G2166">
        <v>0.123534561667532</v>
      </c>
      <c r="H2166">
        <v>6.69352045596288E-2</v>
      </c>
      <c r="I2166">
        <v>8.9964888330220399E-2</v>
      </c>
      <c r="J2166">
        <v>0.101176476622447</v>
      </c>
      <c r="K2166">
        <v>9.1684047875929098E-2</v>
      </c>
      <c r="L2166">
        <v>1754.0475903936899</v>
      </c>
      <c r="M2166">
        <v>34.733814169139002</v>
      </c>
      <c r="N2166">
        <v>50.789422395600099</v>
      </c>
      <c r="O2166">
        <v>50.333206317032698</v>
      </c>
      <c r="P2166">
        <v>-0.157016291347535</v>
      </c>
      <c r="Q2166">
        <v>8.9866364910599406E-2</v>
      </c>
      <c r="R2166">
        <v>0.98093968757174399</v>
      </c>
      <c r="S2166" t="s">
        <v>8836</v>
      </c>
      <c r="T2166" t="s">
        <v>13338</v>
      </c>
      <c r="U2166" t="s">
        <v>13338</v>
      </c>
      <c r="V2166" t="s">
        <v>13338</v>
      </c>
      <c r="W2166" t="s">
        <v>15466</v>
      </c>
      <c r="X2166">
        <v>27</v>
      </c>
      <c r="Y2166" t="s">
        <v>22043</v>
      </c>
      <c r="Z2166" t="s">
        <v>28581</v>
      </c>
      <c r="AA2166">
        <v>0.41262841960170599</v>
      </c>
      <c r="AB2166" t="str">
        <f>HYPERLINK("Melting_Curves/meltCurve_P17252_PRKCA.pdf", "Melting_Curves/meltCurve_P17252_PRKCA.pdf")</f>
        <v>Melting_Curves/meltCurve_P17252_PRKCA.pdf</v>
      </c>
    </row>
    <row r="2167" spans="1:28" x14ac:dyDescent="0.25">
      <c r="A2167" t="s">
        <v>2171</v>
      </c>
      <c r="B2167">
        <v>0.99193492352474899</v>
      </c>
      <c r="C2167">
        <v>0.90949813048830697</v>
      </c>
      <c r="D2167">
        <v>0.91508854057370503</v>
      </c>
      <c r="E2167">
        <v>0.75189930064920696</v>
      </c>
      <c r="F2167">
        <v>0.51535247399364303</v>
      </c>
      <c r="G2167">
        <v>0.37848297768700501</v>
      </c>
      <c r="H2167">
        <v>0.30925135299423001</v>
      </c>
      <c r="I2167">
        <v>0.50052192797535</v>
      </c>
      <c r="J2167">
        <v>0.63787773459099295</v>
      </c>
      <c r="K2167">
        <v>0.87441781056408696</v>
      </c>
      <c r="L2167">
        <v>1734.3585765556199</v>
      </c>
      <c r="M2167">
        <v>35.391305269375202</v>
      </c>
      <c r="O2167">
        <v>48.849547593604498</v>
      </c>
      <c r="P2167">
        <v>-8.4384121554821001E-2</v>
      </c>
      <c r="Q2167">
        <v>0.53411018770433505</v>
      </c>
      <c r="R2167">
        <v>0.59712407829014602</v>
      </c>
      <c r="S2167" t="s">
        <v>8837</v>
      </c>
      <c r="T2167" t="s">
        <v>13338</v>
      </c>
      <c r="U2167" t="s">
        <v>13338</v>
      </c>
      <c r="V2167" t="s">
        <v>13338</v>
      </c>
      <c r="W2167" t="s">
        <v>15467</v>
      </c>
      <c r="X2167">
        <v>4</v>
      </c>
      <c r="Y2167" t="s">
        <v>22044</v>
      </c>
      <c r="Z2167" t="s">
        <v>28582</v>
      </c>
      <c r="AA2167">
        <v>0.67598323413137484</v>
      </c>
      <c r="AB2167" t="str">
        <f>HYPERLINK("Melting_Curves/meltCurve_P17275_JUNB.pdf", "Melting_Curves/meltCurve_P17275_JUNB.pdf")</f>
        <v>Melting_Curves/meltCurve_P17275_JUNB.pdf</v>
      </c>
    </row>
    <row r="2168" spans="1:28" x14ac:dyDescent="0.25">
      <c r="A2168" t="s">
        <v>2172</v>
      </c>
      <c r="B2168">
        <v>0.99193492352474899</v>
      </c>
      <c r="C2168">
        <v>0.84657857796109404</v>
      </c>
      <c r="D2168">
        <v>0.66263404351110999</v>
      </c>
      <c r="E2168">
        <v>0.42877395900602999</v>
      </c>
      <c r="F2168">
        <v>0.258175708569642</v>
      </c>
      <c r="G2168">
        <v>0.17977552606010699</v>
      </c>
      <c r="H2168">
        <v>0.13292193418324399</v>
      </c>
      <c r="I2168">
        <v>0.14957558442448099</v>
      </c>
      <c r="J2168">
        <v>0.19764182874938799</v>
      </c>
      <c r="K2168">
        <v>0.17546494741072799</v>
      </c>
      <c r="L2168">
        <v>805.05005285039601</v>
      </c>
      <c r="M2168">
        <v>17.069612871553701</v>
      </c>
      <c r="N2168">
        <v>48.1952073084232</v>
      </c>
      <c r="O2168">
        <v>46.529726521427897</v>
      </c>
      <c r="P2168">
        <v>-7.7673765019590599E-2</v>
      </c>
      <c r="Q2168">
        <v>0.15313369739364799</v>
      </c>
      <c r="R2168">
        <v>0.99380720477539697</v>
      </c>
      <c r="S2168" t="s">
        <v>8838</v>
      </c>
      <c r="T2168" t="s">
        <v>13338</v>
      </c>
      <c r="U2168" t="s">
        <v>13338</v>
      </c>
      <c r="V2168" t="s">
        <v>13338</v>
      </c>
      <c r="W2168" t="s">
        <v>15468</v>
      </c>
      <c r="X2168">
        <v>7</v>
      </c>
      <c r="Y2168" t="s">
        <v>22045</v>
      </c>
      <c r="Z2168" t="s">
        <v>28583</v>
      </c>
      <c r="AA2168">
        <v>0.37270898708043543</v>
      </c>
      <c r="AB2168" t="str">
        <f>HYPERLINK("Melting_Curves/meltCurve_P17480_UBTF.pdf", "Melting_Curves/meltCurve_P17480_UBTF.pdf")</f>
        <v>Melting_Curves/meltCurve_P17480_UBTF.pdf</v>
      </c>
    </row>
    <row r="2169" spans="1:28" x14ac:dyDescent="0.25">
      <c r="A2169" t="s">
        <v>2173</v>
      </c>
      <c r="B2169">
        <v>0.99193492352474899</v>
      </c>
      <c r="C2169">
        <v>0.83895858316811101</v>
      </c>
      <c r="D2169">
        <v>0.89692189136195499</v>
      </c>
      <c r="E2169">
        <v>0.64897898386752995</v>
      </c>
      <c r="F2169">
        <v>0.49996039781463802</v>
      </c>
      <c r="G2169">
        <v>0.41832255200721802</v>
      </c>
      <c r="H2169">
        <v>0.42153958577731898</v>
      </c>
      <c r="I2169">
        <v>0.47835941475247001</v>
      </c>
      <c r="J2169">
        <v>0.56387748870489196</v>
      </c>
      <c r="K2169">
        <v>0.76817648358678103</v>
      </c>
      <c r="L2169">
        <v>1221.4266165423801</v>
      </c>
      <c r="M2169">
        <v>25.7721304725438</v>
      </c>
      <c r="O2169">
        <v>47.110753329661399</v>
      </c>
      <c r="P2169">
        <v>-6.5331355327040902E-2</v>
      </c>
      <c r="Q2169">
        <v>0.52231017764538501</v>
      </c>
      <c r="R2169">
        <v>0.72312456726900598</v>
      </c>
      <c r="S2169" t="s">
        <v>8839</v>
      </c>
      <c r="T2169" t="s">
        <v>13338</v>
      </c>
      <c r="U2169" t="s">
        <v>13338</v>
      </c>
      <c r="V2169" t="s">
        <v>13338</v>
      </c>
      <c r="W2169" t="s">
        <v>15469</v>
      </c>
      <c r="X2169">
        <v>5</v>
      </c>
      <c r="Y2169" t="s">
        <v>22046</v>
      </c>
      <c r="Z2169" t="s">
        <v>28584</v>
      </c>
      <c r="AA2169">
        <v>0.64400240983141777</v>
      </c>
      <c r="AB2169" t="str">
        <f>HYPERLINK("Melting_Curves/meltCurve_P17535_JUND.pdf", "Melting_Curves/meltCurve_P17535_JUND.pdf")</f>
        <v>Melting_Curves/meltCurve_P17535_JUND.pdf</v>
      </c>
    </row>
    <row r="2170" spans="1:28" x14ac:dyDescent="0.25">
      <c r="A2170" t="s">
        <v>2174</v>
      </c>
      <c r="B2170">
        <v>0.99193492352474899</v>
      </c>
      <c r="C2170">
        <v>0.77925228194490803</v>
      </c>
      <c r="D2170">
        <v>0.86552424520468996</v>
      </c>
      <c r="E2170">
        <v>0.51148809515039595</v>
      </c>
      <c r="F2170">
        <v>0.46752671648934802</v>
      </c>
      <c r="G2170">
        <v>0.36612575412693599</v>
      </c>
      <c r="H2170">
        <v>0.27633168483461801</v>
      </c>
      <c r="I2170">
        <v>0.45907121638426601</v>
      </c>
      <c r="J2170">
        <v>0.36182086124281598</v>
      </c>
      <c r="K2170">
        <v>0.79001176165268205</v>
      </c>
      <c r="L2170">
        <v>983.29065085936998</v>
      </c>
      <c r="M2170">
        <v>21.169547003335602</v>
      </c>
      <c r="N2170">
        <v>51.810258449635697</v>
      </c>
      <c r="O2170">
        <v>46.039842613166002</v>
      </c>
      <c r="P2170">
        <v>-6.3904844761439802E-2</v>
      </c>
      <c r="Q2170">
        <v>0.444089689447001</v>
      </c>
      <c r="R2170">
        <v>0.64003278340922098</v>
      </c>
      <c r="S2170" t="s">
        <v>8840</v>
      </c>
      <c r="T2170" t="s">
        <v>13338</v>
      </c>
      <c r="U2170" t="s">
        <v>13338</v>
      </c>
      <c r="V2170" t="s">
        <v>13338</v>
      </c>
      <c r="W2170" t="s">
        <v>15470</v>
      </c>
      <c r="X2170">
        <v>5</v>
      </c>
      <c r="Y2170" t="s">
        <v>20408</v>
      </c>
      <c r="Z2170" t="s">
        <v>28585</v>
      </c>
      <c r="AA2170">
        <v>0.57092641625932894</v>
      </c>
      <c r="AB2170" t="str">
        <f>HYPERLINK("Melting_Curves/meltCurve_P17542_3_TAL1.pdf", "Melting_Curves/meltCurve_P17542_3_TAL1.pdf")</f>
        <v>Melting_Curves/meltCurve_P17542_3_TAL1.pdf</v>
      </c>
    </row>
    <row r="2171" spans="1:28" x14ac:dyDescent="0.25">
      <c r="A2171" t="s">
        <v>2175</v>
      </c>
      <c r="B2171">
        <v>0.99193492352474899</v>
      </c>
      <c r="C2171">
        <v>0.79327209477832905</v>
      </c>
      <c r="D2171">
        <v>0.76871912494700101</v>
      </c>
      <c r="E2171">
        <v>0.37293745144715601</v>
      </c>
      <c r="F2171">
        <v>0.26407440556988998</v>
      </c>
      <c r="G2171">
        <v>0.16590857933856201</v>
      </c>
      <c r="H2171">
        <v>0.13819009403968399</v>
      </c>
      <c r="I2171">
        <v>0.18254475189359801</v>
      </c>
      <c r="J2171">
        <v>0.25528835857385601</v>
      </c>
      <c r="K2171">
        <v>0.38853386915250998</v>
      </c>
      <c r="L2171">
        <v>1021.43806445235</v>
      </c>
      <c r="M2171">
        <v>21.7925876075814</v>
      </c>
      <c r="N2171">
        <v>48.144536093577898</v>
      </c>
      <c r="O2171">
        <v>46.4815759823883</v>
      </c>
      <c r="P2171">
        <v>-9.1535277870752899E-2</v>
      </c>
      <c r="Q2171">
        <v>0.219072932381217</v>
      </c>
      <c r="R2171">
        <v>0.92382590564508904</v>
      </c>
      <c r="S2171" t="s">
        <v>8841</v>
      </c>
      <c r="T2171" t="s">
        <v>13338</v>
      </c>
      <c r="U2171" t="s">
        <v>13338</v>
      </c>
      <c r="V2171" t="s">
        <v>13338</v>
      </c>
      <c r="W2171" t="s">
        <v>15471</v>
      </c>
      <c r="X2171">
        <v>6</v>
      </c>
      <c r="Y2171" t="s">
        <v>22047</v>
      </c>
      <c r="Z2171" t="s">
        <v>28586</v>
      </c>
      <c r="AA2171">
        <v>0.40742180792571159</v>
      </c>
      <c r="AB2171" t="str">
        <f>HYPERLINK("Melting_Curves/meltCurve_P17544_4_ATF7.pdf", "Melting_Curves/meltCurve_P17544_4_ATF7.pdf")</f>
        <v>Melting_Curves/meltCurve_P17544_4_ATF7.pdf</v>
      </c>
    </row>
    <row r="2172" spans="1:28" x14ac:dyDescent="0.25">
      <c r="A2172" t="s">
        <v>2176</v>
      </c>
      <c r="B2172">
        <v>0.99193492352474899</v>
      </c>
      <c r="C2172">
        <v>1.0363837268063201</v>
      </c>
      <c r="D2172">
        <v>0.80359425735142498</v>
      </c>
      <c r="E2172">
        <v>0.78663669687766802</v>
      </c>
      <c r="F2172">
        <v>0.43540687643268999</v>
      </c>
      <c r="G2172">
        <v>0.202477415619882</v>
      </c>
      <c r="H2172">
        <v>0.117675313990366</v>
      </c>
      <c r="I2172">
        <v>0.13978305889835901</v>
      </c>
      <c r="J2172">
        <v>0.141855137563378</v>
      </c>
      <c r="K2172">
        <v>0.130030229942078</v>
      </c>
      <c r="L2172">
        <v>1026.0272681377301</v>
      </c>
      <c r="M2172">
        <v>19.8608540168782</v>
      </c>
      <c r="N2172">
        <v>52.311315386846601</v>
      </c>
      <c r="O2172">
        <v>51.145595845994997</v>
      </c>
      <c r="P2172">
        <v>-8.6459802280120401E-2</v>
      </c>
      <c r="Q2172">
        <v>0.109425978013156</v>
      </c>
      <c r="R2172">
        <v>0.981239468614448</v>
      </c>
      <c r="S2172" t="s">
        <v>8842</v>
      </c>
      <c r="T2172" t="s">
        <v>13338</v>
      </c>
      <c r="U2172" t="s">
        <v>13338</v>
      </c>
      <c r="V2172" t="s">
        <v>13338</v>
      </c>
      <c r="W2172" t="s">
        <v>15472</v>
      </c>
      <c r="X2172">
        <v>6</v>
      </c>
      <c r="Y2172" t="s">
        <v>22048</v>
      </c>
      <c r="Z2172" t="s">
        <v>28587</v>
      </c>
      <c r="AA2172">
        <v>0.46808314368048359</v>
      </c>
      <c r="AB2172" t="str">
        <f>HYPERLINK("Melting_Curves/meltCurve_P17568_NDUFB7.pdf", "Melting_Curves/meltCurve_P17568_NDUFB7.pdf")</f>
        <v>Melting_Curves/meltCurve_P17568_NDUFB7.pdf</v>
      </c>
    </row>
    <row r="2173" spans="1:28" x14ac:dyDescent="0.25">
      <c r="A2173" t="s">
        <v>2177</v>
      </c>
      <c r="B2173">
        <v>0.99193492352474899</v>
      </c>
      <c r="C2173">
        <v>1.1402897059961901</v>
      </c>
      <c r="D2173">
        <v>0.794377313320069</v>
      </c>
      <c r="E2173">
        <v>0.63029664547018405</v>
      </c>
      <c r="F2173">
        <v>0.32649503054382401</v>
      </c>
      <c r="G2173">
        <v>0.14409632201947301</v>
      </c>
      <c r="H2173">
        <v>6.4743602470567194E-2</v>
      </c>
      <c r="I2173">
        <v>9.3364558961893704E-2</v>
      </c>
      <c r="J2173">
        <v>9.4639047245560506E-2</v>
      </c>
      <c r="K2173">
        <v>0.22691520568218601</v>
      </c>
      <c r="L2173">
        <v>1103.1443877588899</v>
      </c>
      <c r="M2173">
        <v>22.014103340146299</v>
      </c>
      <c r="N2173">
        <v>50.688443057198398</v>
      </c>
      <c r="O2173">
        <v>49.702795154928303</v>
      </c>
      <c r="P2173">
        <v>-9.8446979883403493E-2</v>
      </c>
      <c r="Q2173">
        <v>0.110937008630333</v>
      </c>
      <c r="R2173">
        <v>0.96245984189241796</v>
      </c>
      <c r="S2173" t="s">
        <v>8843</v>
      </c>
      <c r="T2173" t="s">
        <v>13338</v>
      </c>
      <c r="U2173" t="s">
        <v>13338</v>
      </c>
      <c r="V2173" t="s">
        <v>13338</v>
      </c>
      <c r="W2173" t="s">
        <v>15473</v>
      </c>
      <c r="X2173">
        <v>2</v>
      </c>
      <c r="Y2173" t="s">
        <v>22049</v>
      </c>
      <c r="Z2173" t="s">
        <v>28588</v>
      </c>
      <c r="AA2173">
        <v>0.42082543436995812</v>
      </c>
      <c r="AB2173" t="str">
        <f>HYPERLINK("Melting_Curves/meltCurve_P17600_2_SYN1.pdf", "Melting_Curves/meltCurve_P17600_2_SYN1.pdf")</f>
        <v>Melting_Curves/meltCurve_P17600_2_SYN1.pdf</v>
      </c>
    </row>
    <row r="2174" spans="1:28" x14ac:dyDescent="0.25">
      <c r="A2174" t="s">
        <v>2178</v>
      </c>
      <c r="B2174">
        <v>0.99193492352474899</v>
      </c>
      <c r="C2174">
        <v>0.86281671730799803</v>
      </c>
      <c r="D2174">
        <v>0.89962094906491397</v>
      </c>
      <c r="E2174">
        <v>0.61778550679871302</v>
      </c>
      <c r="F2174">
        <v>0.34145104597616099</v>
      </c>
      <c r="G2174">
        <v>0.104587863360888</v>
      </c>
      <c r="H2174">
        <v>5.2509707225736203E-2</v>
      </c>
      <c r="I2174">
        <v>5.0197323185220397E-2</v>
      </c>
      <c r="J2174">
        <v>7.2142302817654394E-2</v>
      </c>
      <c r="K2174">
        <v>5.5628797755551802E-2</v>
      </c>
      <c r="L2174">
        <v>948.50207893519803</v>
      </c>
      <c r="M2174">
        <v>18.709904104029999</v>
      </c>
      <c r="N2174">
        <v>50.885310311184199</v>
      </c>
      <c r="O2174">
        <v>50.126708514697398</v>
      </c>
      <c r="P2174">
        <v>-9.0166681329042805E-2</v>
      </c>
      <c r="Q2174">
        <v>3.3759342673130098E-2</v>
      </c>
      <c r="R2174">
        <v>0.98881325421757704</v>
      </c>
      <c r="S2174" t="s">
        <v>8844</v>
      </c>
      <c r="T2174" t="s">
        <v>13338</v>
      </c>
      <c r="U2174" t="s">
        <v>13338</v>
      </c>
      <c r="V2174" t="s">
        <v>13338</v>
      </c>
      <c r="W2174" t="s">
        <v>15474</v>
      </c>
      <c r="X2174">
        <v>12</v>
      </c>
      <c r="Y2174" t="s">
        <v>22050</v>
      </c>
      <c r="Z2174" t="s">
        <v>28589</v>
      </c>
      <c r="AA2174">
        <v>0.39344298791002758</v>
      </c>
      <c r="AB2174" t="str">
        <f>HYPERLINK("Melting_Curves/meltCurve_P17612_PRKACA.pdf", "Melting_Curves/meltCurve_P17612_PRKACA.pdf")</f>
        <v>Melting_Curves/meltCurve_P17612_PRKACA.pdf</v>
      </c>
    </row>
    <row r="2175" spans="1:28" x14ac:dyDescent="0.25">
      <c r="A2175" t="s">
        <v>2179</v>
      </c>
      <c r="B2175">
        <v>0.99193492352474899</v>
      </c>
      <c r="C2175">
        <v>0.91936671513444901</v>
      </c>
      <c r="D2175">
        <v>0.94233925720175404</v>
      </c>
      <c r="E2175">
        <v>0.47587028909947998</v>
      </c>
      <c r="F2175">
        <v>0.20185808619399501</v>
      </c>
      <c r="G2175">
        <v>0.108832718193463</v>
      </c>
      <c r="H2175">
        <v>6.75975895196331E-2</v>
      </c>
      <c r="I2175">
        <v>8.1264621495798897E-2</v>
      </c>
      <c r="J2175">
        <v>8.5011390733682898E-2</v>
      </c>
      <c r="K2175">
        <v>8.0763769511441194E-2</v>
      </c>
      <c r="L2175">
        <v>1469.5488115794799</v>
      </c>
      <c r="M2175">
        <v>29.819323454896502</v>
      </c>
      <c r="N2175">
        <v>49.585035173798701</v>
      </c>
      <c r="O2175">
        <v>49.061696874294199</v>
      </c>
      <c r="P2175">
        <v>-0.13928336156912999</v>
      </c>
      <c r="Q2175">
        <v>8.3354737406051996E-2</v>
      </c>
      <c r="R2175">
        <v>0.99438571072815396</v>
      </c>
      <c r="S2175" t="s">
        <v>8845</v>
      </c>
      <c r="T2175" t="s">
        <v>13338</v>
      </c>
      <c r="U2175" t="s">
        <v>13338</v>
      </c>
      <c r="V2175" t="s">
        <v>13338</v>
      </c>
      <c r="W2175" t="s">
        <v>15475</v>
      </c>
      <c r="X2175">
        <v>15</v>
      </c>
      <c r="Y2175" t="s">
        <v>22051</v>
      </c>
      <c r="Z2175" t="s">
        <v>28590</v>
      </c>
      <c r="AA2175">
        <v>0.37263311662613002</v>
      </c>
      <c r="AB2175" t="str">
        <f>HYPERLINK("Melting_Curves/meltCurve_P17706_2_PTPN2.pdf", "Melting_Curves/meltCurve_P17706_2_PTPN2.pdf")</f>
        <v>Melting_Curves/meltCurve_P17706_2_PTPN2.pdf</v>
      </c>
    </row>
    <row r="2176" spans="1:28" x14ac:dyDescent="0.25">
      <c r="A2176" t="s">
        <v>2180</v>
      </c>
      <c r="B2176">
        <v>0.99193492352474899</v>
      </c>
      <c r="C2176">
        <v>0.71345955913266101</v>
      </c>
      <c r="D2176">
        <v>0.99901766477883003</v>
      </c>
      <c r="E2176">
        <v>0.68460135215204498</v>
      </c>
      <c r="F2176">
        <v>0.54997424894260805</v>
      </c>
      <c r="G2176">
        <v>0.25846224195489997</v>
      </c>
      <c r="H2176">
        <v>0.19168470136628399</v>
      </c>
      <c r="I2176">
        <v>0.165772414711159</v>
      </c>
      <c r="J2176">
        <v>0.17634725095734699</v>
      </c>
      <c r="K2176">
        <v>0.192025763083395</v>
      </c>
      <c r="L2176">
        <v>768.18245361100696</v>
      </c>
      <c r="M2176">
        <v>14.8081846561837</v>
      </c>
      <c r="N2176">
        <v>52.9713993635877</v>
      </c>
      <c r="O2176">
        <v>50.957050429819603</v>
      </c>
      <c r="P2176">
        <v>-6.3071935813271293E-2</v>
      </c>
      <c r="Q2176">
        <v>0.131934541121045</v>
      </c>
      <c r="R2176">
        <v>0.91693710052636701</v>
      </c>
      <c r="S2176" t="s">
        <v>8846</v>
      </c>
      <c r="T2176" t="s">
        <v>13338</v>
      </c>
      <c r="U2176" t="s">
        <v>13338</v>
      </c>
      <c r="V2176" t="s">
        <v>13338</v>
      </c>
      <c r="W2176" t="s">
        <v>15476</v>
      </c>
      <c r="X2176">
        <v>4</v>
      </c>
      <c r="Y2176" t="s">
        <v>22052</v>
      </c>
      <c r="Z2176" t="s">
        <v>28591</v>
      </c>
      <c r="AA2176">
        <v>0.49543940613811011</v>
      </c>
      <c r="AB2176" t="str">
        <f>HYPERLINK("Melting_Curves/meltCurve_P17707_AMD1.pdf", "Melting_Curves/meltCurve_P17707_AMD1.pdf")</f>
        <v>Melting_Curves/meltCurve_P17707_AMD1.pdf</v>
      </c>
    </row>
    <row r="2177" spans="1:28" x14ac:dyDescent="0.25">
      <c r="A2177" t="s">
        <v>2181</v>
      </c>
      <c r="B2177">
        <v>0.99193492352474899</v>
      </c>
      <c r="C2177">
        <v>1.01083802381346</v>
      </c>
      <c r="D2177">
        <v>0.96014627136902297</v>
      </c>
      <c r="E2177">
        <v>0.89165078420762001</v>
      </c>
      <c r="F2177">
        <v>0.82265755730111101</v>
      </c>
      <c r="G2177">
        <v>0.62664502566402602</v>
      </c>
      <c r="H2177">
        <v>0.33340873465649401</v>
      </c>
      <c r="I2177">
        <v>0.13550846031612901</v>
      </c>
      <c r="J2177">
        <v>0.12105872171965799</v>
      </c>
      <c r="K2177">
        <v>0.118145820906636</v>
      </c>
      <c r="L2177">
        <v>988.905644366959</v>
      </c>
      <c r="M2177">
        <v>17.0988503427693</v>
      </c>
      <c r="N2177">
        <v>58.095742620512603</v>
      </c>
      <c r="O2177">
        <v>57.060964576820297</v>
      </c>
      <c r="P2177">
        <v>-7.2148372557836293E-2</v>
      </c>
      <c r="Q2177">
        <v>3.6986341277901298E-2</v>
      </c>
      <c r="R2177">
        <v>0.99277399135634703</v>
      </c>
      <c r="S2177" t="s">
        <v>8847</v>
      </c>
      <c r="T2177" t="s">
        <v>13338</v>
      </c>
      <c r="U2177" t="s">
        <v>13338</v>
      </c>
      <c r="V2177" t="s">
        <v>13338</v>
      </c>
      <c r="W2177" t="s">
        <v>15477</v>
      </c>
      <c r="X2177">
        <v>39</v>
      </c>
      <c r="Y2177" t="s">
        <v>22053</v>
      </c>
      <c r="Z2177" t="s">
        <v>28592</v>
      </c>
      <c r="AA2177">
        <v>0.62207951441971288</v>
      </c>
      <c r="AB2177" t="str">
        <f>HYPERLINK("Melting_Curves/meltCurve_P17812_CTPS1.pdf", "Melting_Curves/meltCurve_P17812_CTPS1.pdf")</f>
        <v>Melting_Curves/meltCurve_P17812_CTPS1.pdf</v>
      </c>
    </row>
    <row r="2178" spans="1:28" x14ac:dyDescent="0.25">
      <c r="A2178" t="s">
        <v>2182</v>
      </c>
      <c r="B2178">
        <v>0.99193492352474899</v>
      </c>
      <c r="C2178">
        <v>0.371243007789684</v>
      </c>
      <c r="D2178">
        <v>0.80300936054254601</v>
      </c>
      <c r="E2178">
        <v>0.27629533955031199</v>
      </c>
      <c r="F2178">
        <v>0.13747398810953201</v>
      </c>
      <c r="G2178">
        <v>8.9596862012677303E-2</v>
      </c>
      <c r="H2178">
        <v>5.4806208097886097E-2</v>
      </c>
      <c r="I2178">
        <v>6.5618493410995099E-2</v>
      </c>
      <c r="J2178">
        <v>8.4497048809816899E-2</v>
      </c>
      <c r="K2178">
        <v>6.2849844517755604E-2</v>
      </c>
      <c r="L2178">
        <v>518.20612642306605</v>
      </c>
      <c r="M2178">
        <v>11.25108465954</v>
      </c>
      <c r="N2178">
        <v>46.214302897869501</v>
      </c>
      <c r="O2178">
        <v>44.675236937420699</v>
      </c>
      <c r="P2178">
        <v>-6.1806653808467497E-2</v>
      </c>
      <c r="Q2178">
        <v>1.86290451218835E-2</v>
      </c>
      <c r="R2178">
        <v>0.78241118199718995</v>
      </c>
      <c r="S2178" t="s">
        <v>8848</v>
      </c>
      <c r="T2178" t="s">
        <v>13338</v>
      </c>
      <c r="U2178" t="s">
        <v>13338</v>
      </c>
      <c r="V2178" t="s">
        <v>13338</v>
      </c>
      <c r="W2178" t="s">
        <v>15478</v>
      </c>
      <c r="X2178">
        <v>48</v>
      </c>
      <c r="Y2178" t="s">
        <v>22054</v>
      </c>
      <c r="Z2178" t="s">
        <v>28593</v>
      </c>
      <c r="AA2178">
        <v>0.26677366247678319</v>
      </c>
      <c r="AB2178" t="str">
        <f>HYPERLINK("Melting_Curves/meltCurve_P17844_DDX5.pdf", "Melting_Curves/meltCurve_P17844_DDX5.pdf")</f>
        <v>Melting_Curves/meltCurve_P17844_DDX5.pdf</v>
      </c>
    </row>
    <row r="2179" spans="1:28" x14ac:dyDescent="0.25">
      <c r="A2179" t="s">
        <v>2183</v>
      </c>
      <c r="B2179">
        <v>0.99193492352474899</v>
      </c>
      <c r="C2179">
        <v>1.1120233014373599</v>
      </c>
      <c r="D2179">
        <v>0.98816038198261102</v>
      </c>
      <c r="E2179">
        <v>0.94967300619220896</v>
      </c>
      <c r="F2179">
        <v>0.88019158185982604</v>
      </c>
      <c r="G2179">
        <v>0.74496198141990899</v>
      </c>
      <c r="H2179">
        <v>0.49140159060605099</v>
      </c>
      <c r="I2179">
        <v>0.44779941775238302</v>
      </c>
      <c r="J2179">
        <v>0.32989339467205298</v>
      </c>
      <c r="K2179">
        <v>0.19009100208794699</v>
      </c>
      <c r="L2179">
        <v>764.94736579034998</v>
      </c>
      <c r="M2179">
        <v>12.526571726833</v>
      </c>
      <c r="N2179">
        <v>61.7939689233745</v>
      </c>
      <c r="O2179">
        <v>59.572353198855801</v>
      </c>
      <c r="P2179">
        <v>-4.8972439842483298E-2</v>
      </c>
      <c r="Q2179">
        <v>6.8600935505085406E-2</v>
      </c>
      <c r="R2179">
        <v>0.97750005583849497</v>
      </c>
      <c r="S2179" t="s">
        <v>8849</v>
      </c>
      <c r="T2179" t="s">
        <v>13338</v>
      </c>
      <c r="U2179" t="s">
        <v>13338</v>
      </c>
      <c r="V2179" t="s">
        <v>13338</v>
      </c>
      <c r="W2179" t="s">
        <v>15479</v>
      </c>
      <c r="X2179">
        <v>28</v>
      </c>
      <c r="Y2179" t="s">
        <v>22055</v>
      </c>
      <c r="Z2179" t="s">
        <v>28594</v>
      </c>
      <c r="AA2179">
        <v>0.71992175975164052</v>
      </c>
      <c r="AB2179" t="str">
        <f>HYPERLINK("Melting_Curves/meltCurve_P17858_PFKL.pdf", "Melting_Curves/meltCurve_P17858_PFKL.pdf")</f>
        <v>Melting_Curves/meltCurve_P17858_PFKL.pdf</v>
      </c>
    </row>
    <row r="2180" spans="1:28" x14ac:dyDescent="0.25">
      <c r="A2180" t="s">
        <v>2184</v>
      </c>
      <c r="B2180">
        <v>0.99193492352474899</v>
      </c>
      <c r="C2180">
        <v>0.63604823373305197</v>
      </c>
      <c r="D2180">
        <v>0.85789732179159695</v>
      </c>
      <c r="E2180">
        <v>0.63017024823573897</v>
      </c>
      <c r="F2180">
        <v>0.60445202255460295</v>
      </c>
      <c r="G2180">
        <v>0.43442537139524501</v>
      </c>
      <c r="H2180">
        <v>0.45880793982525903</v>
      </c>
      <c r="I2180">
        <v>0.48035780012546297</v>
      </c>
      <c r="J2180">
        <v>0.63272675810666301</v>
      </c>
      <c r="K2180">
        <v>0.59014538447050402</v>
      </c>
      <c r="L2180">
        <v>551.33882699491301</v>
      </c>
      <c r="M2180">
        <v>12.353940030220899</v>
      </c>
      <c r="O2180">
        <v>43.507570730055697</v>
      </c>
      <c r="P2180">
        <v>-3.4198588447638303E-2</v>
      </c>
      <c r="Q2180">
        <v>0.51834733423041002</v>
      </c>
      <c r="R2180">
        <v>0.64023651135223103</v>
      </c>
      <c r="S2180" t="s">
        <v>8850</v>
      </c>
      <c r="T2180" t="s">
        <v>13338</v>
      </c>
      <c r="U2180" t="s">
        <v>13338</v>
      </c>
      <c r="V2180" t="s">
        <v>13338</v>
      </c>
      <c r="W2180" t="s">
        <v>15480</v>
      </c>
      <c r="X2180">
        <v>6</v>
      </c>
      <c r="Y2180" t="s">
        <v>22056</v>
      </c>
      <c r="Z2180" t="s">
        <v>28595</v>
      </c>
      <c r="AA2180">
        <v>0.61634357646186488</v>
      </c>
      <c r="AB2180" t="str">
        <f>HYPERLINK("Melting_Curves/meltCurve_P17900_GM2A.pdf", "Melting_Curves/meltCurve_P17900_GM2A.pdf")</f>
        <v>Melting_Curves/meltCurve_P17900_GM2A.pdf</v>
      </c>
    </row>
    <row r="2181" spans="1:28" x14ac:dyDescent="0.25">
      <c r="A2181" t="s">
        <v>2185</v>
      </c>
      <c r="B2181">
        <v>0.99193492352474899</v>
      </c>
      <c r="C2181">
        <v>0.84153760584249204</v>
      </c>
      <c r="D2181">
        <v>0.92939868797448599</v>
      </c>
      <c r="E2181">
        <v>0.784500648305691</v>
      </c>
      <c r="F2181">
        <v>0.80943174686222896</v>
      </c>
      <c r="G2181">
        <v>0.52624103213375895</v>
      </c>
      <c r="H2181">
        <v>0.23246445310623101</v>
      </c>
      <c r="I2181">
        <v>0.117084737782259</v>
      </c>
      <c r="J2181">
        <v>0.10347397858129199</v>
      </c>
      <c r="K2181">
        <v>9.02281719714597E-2</v>
      </c>
      <c r="L2181">
        <v>803.78815161269404</v>
      </c>
      <c r="M2181">
        <v>14.176566027950701</v>
      </c>
      <c r="N2181">
        <v>56.698349643063402</v>
      </c>
      <c r="O2181">
        <v>55.605960283279501</v>
      </c>
      <c r="P2181">
        <v>-6.3744751039778502E-2</v>
      </c>
      <c r="Q2181">
        <v>0</v>
      </c>
      <c r="R2181">
        <v>0.96172469210176204</v>
      </c>
      <c r="S2181" t="s">
        <v>8851</v>
      </c>
      <c r="T2181" t="s">
        <v>13338</v>
      </c>
      <c r="U2181" t="s">
        <v>13338</v>
      </c>
      <c r="V2181" t="s">
        <v>13338</v>
      </c>
      <c r="W2181" t="s">
        <v>15481</v>
      </c>
      <c r="X2181">
        <v>35</v>
      </c>
      <c r="Y2181" t="s">
        <v>22057</v>
      </c>
      <c r="Z2181" t="s">
        <v>28596</v>
      </c>
      <c r="AA2181">
        <v>0.57362156757306715</v>
      </c>
      <c r="AB2181" t="str">
        <f>HYPERLINK("Melting_Curves/meltCurve_P17987_TCP1.pdf", "Melting_Curves/meltCurve_P17987_TCP1.pdf")</f>
        <v>Melting_Curves/meltCurve_P17987_TCP1.pdf</v>
      </c>
    </row>
    <row r="2182" spans="1:28" x14ac:dyDescent="0.25">
      <c r="A2182" t="s">
        <v>2186</v>
      </c>
      <c r="B2182">
        <v>0.99193492352474899</v>
      </c>
      <c r="C2182">
        <v>0.79796682671611097</v>
      </c>
      <c r="D2182">
        <v>0.78720079578068003</v>
      </c>
      <c r="E2182">
        <v>0.204442432803979</v>
      </c>
      <c r="F2182">
        <v>0.111396278964771</v>
      </c>
      <c r="G2182">
        <v>6.4406237548479905E-2</v>
      </c>
      <c r="H2182">
        <v>4.48545640733546E-2</v>
      </c>
      <c r="I2182">
        <v>4.7100019141150903E-2</v>
      </c>
      <c r="J2182">
        <v>5.5243513020770102E-2</v>
      </c>
      <c r="K2182">
        <v>5.3838639913322897E-2</v>
      </c>
      <c r="L2182">
        <v>1339.5463122184001</v>
      </c>
      <c r="M2182">
        <v>28.279522496485999</v>
      </c>
      <c r="N2182">
        <v>47.543051951139503</v>
      </c>
      <c r="O2182">
        <v>47.133107824559502</v>
      </c>
      <c r="P2182">
        <v>-0.14258492954907401</v>
      </c>
      <c r="Q2182">
        <v>4.9430226657891603E-2</v>
      </c>
      <c r="R2182">
        <v>0.97506288839391997</v>
      </c>
      <c r="S2182" t="s">
        <v>8852</v>
      </c>
      <c r="T2182" t="s">
        <v>13338</v>
      </c>
      <c r="U2182" t="s">
        <v>13338</v>
      </c>
      <c r="V2182" t="s">
        <v>13338</v>
      </c>
      <c r="W2182" t="s">
        <v>15482</v>
      </c>
      <c r="X2182">
        <v>18</v>
      </c>
      <c r="Y2182" t="s">
        <v>22058</v>
      </c>
      <c r="Z2182" t="s">
        <v>28597</v>
      </c>
      <c r="AA2182">
        <v>0.28935870539955938</v>
      </c>
      <c r="AB2182" t="str">
        <f>HYPERLINK("Melting_Curves/meltCurve_P18031_PTPN1.pdf", "Melting_Curves/meltCurve_P18031_PTPN1.pdf")</f>
        <v>Melting_Curves/meltCurve_P18031_PTPN1.pdf</v>
      </c>
    </row>
    <row r="2183" spans="1:28" x14ac:dyDescent="0.25">
      <c r="A2183" t="s">
        <v>2187</v>
      </c>
      <c r="B2183">
        <v>0.99193492352474899</v>
      </c>
      <c r="C2183">
        <v>0.75186289987825194</v>
      </c>
      <c r="D2183">
        <v>0.87568046166948299</v>
      </c>
      <c r="E2183">
        <v>0.66860673189522901</v>
      </c>
      <c r="F2183">
        <v>0.551789367048098</v>
      </c>
      <c r="G2183">
        <v>0.37871062540779998</v>
      </c>
      <c r="H2183">
        <v>0.237718091856088</v>
      </c>
      <c r="I2183">
        <v>0.212415481312281</v>
      </c>
      <c r="J2183">
        <v>0.234399101671146</v>
      </c>
      <c r="K2183">
        <v>0.25431834106291101</v>
      </c>
      <c r="L2183">
        <v>510.831119160855</v>
      </c>
      <c r="M2183">
        <v>9.8756123063787999</v>
      </c>
      <c r="N2183">
        <v>53.483811440668603</v>
      </c>
      <c r="O2183">
        <v>49.739499533102801</v>
      </c>
      <c r="P2183">
        <v>-4.2781462537377697E-2</v>
      </c>
      <c r="Q2183">
        <v>0.138547233323568</v>
      </c>
      <c r="R2183">
        <v>0.94978238156243699</v>
      </c>
      <c r="S2183" t="s">
        <v>8853</v>
      </c>
      <c r="T2183" t="s">
        <v>13338</v>
      </c>
      <c r="U2183" t="s">
        <v>13338</v>
      </c>
      <c r="V2183" t="s">
        <v>13338</v>
      </c>
      <c r="W2183" t="s">
        <v>15483</v>
      </c>
      <c r="X2183">
        <v>8</v>
      </c>
      <c r="Y2183" t="s">
        <v>22059</v>
      </c>
      <c r="Z2183" t="s">
        <v>28598</v>
      </c>
      <c r="AA2183">
        <v>0.509317091367532</v>
      </c>
      <c r="AB2183" t="str">
        <f>HYPERLINK("Melting_Curves/meltCurve_P18065_IGFBP2.pdf", "Melting_Curves/meltCurve_P18065_IGFBP2.pdf")</f>
        <v>Melting_Curves/meltCurve_P18065_IGFBP2.pdf</v>
      </c>
    </row>
    <row r="2184" spans="1:28" x14ac:dyDescent="0.25">
      <c r="A2184" t="s">
        <v>2188</v>
      </c>
      <c r="B2184">
        <v>0.99193492352474899</v>
      </c>
      <c r="C2184">
        <v>0.96072623513358801</v>
      </c>
      <c r="D2184">
        <v>0.94730355001335598</v>
      </c>
      <c r="E2184">
        <v>0.55157947641437899</v>
      </c>
      <c r="F2184">
        <v>0.26486732270563701</v>
      </c>
      <c r="G2184">
        <v>0.17078614209930701</v>
      </c>
      <c r="H2184">
        <v>9.2182046341572996E-2</v>
      </c>
      <c r="I2184">
        <v>0.107279760937321</v>
      </c>
      <c r="J2184">
        <v>0.11148563088163201</v>
      </c>
      <c r="K2184">
        <v>9.9315394405290094E-2</v>
      </c>
      <c r="L2184">
        <v>1296.8528700037</v>
      </c>
      <c r="M2184">
        <v>26.042990580377801</v>
      </c>
      <c r="N2184">
        <v>50.264470598827202</v>
      </c>
      <c r="O2184">
        <v>49.505804111071399</v>
      </c>
      <c r="P2184">
        <v>-0.117361800796616</v>
      </c>
      <c r="Q2184">
        <v>0.107625940908063</v>
      </c>
      <c r="R2184">
        <v>0.99666269775211502</v>
      </c>
      <c r="S2184" t="s">
        <v>8854</v>
      </c>
      <c r="T2184" t="s">
        <v>13338</v>
      </c>
      <c r="U2184" t="s">
        <v>13338</v>
      </c>
      <c r="V2184" t="s">
        <v>13338</v>
      </c>
      <c r="W2184" t="s">
        <v>15484</v>
      </c>
      <c r="X2184">
        <v>9</v>
      </c>
      <c r="Y2184" t="s">
        <v>22060</v>
      </c>
      <c r="Z2184" t="s">
        <v>28599</v>
      </c>
      <c r="AA2184">
        <v>0.40636252931675848</v>
      </c>
      <c r="AB2184" t="str">
        <f>HYPERLINK("Melting_Curves/meltCurve_P18074_ERCC2.pdf", "Melting_Curves/meltCurve_P18074_ERCC2.pdf")</f>
        <v>Melting_Curves/meltCurve_P18074_ERCC2.pdf</v>
      </c>
    </row>
    <row r="2185" spans="1:28" x14ac:dyDescent="0.25">
      <c r="A2185" t="s">
        <v>2189</v>
      </c>
      <c r="B2185">
        <v>0.99193492352474899</v>
      </c>
      <c r="C2185">
        <v>0.84898326047473105</v>
      </c>
      <c r="D2185">
        <v>1.0504267094063799</v>
      </c>
      <c r="E2185">
        <v>1.21077207829083</v>
      </c>
      <c r="F2185">
        <v>1.7295940441833499</v>
      </c>
      <c r="G2185">
        <v>0.70525694258412597</v>
      </c>
      <c r="H2185">
        <v>0.23379329791307699</v>
      </c>
      <c r="I2185">
        <v>0.29767071442951698</v>
      </c>
      <c r="J2185">
        <v>0.330175461059391</v>
      </c>
      <c r="K2185">
        <v>0.34108474349642398</v>
      </c>
      <c r="L2185">
        <v>14217.9905966899</v>
      </c>
      <c r="M2185">
        <v>250</v>
      </c>
      <c r="N2185">
        <v>57.081955811819299</v>
      </c>
      <c r="O2185">
        <v>56.868337740513297</v>
      </c>
      <c r="P2185">
        <v>-0.76857261312950298</v>
      </c>
      <c r="Q2185">
        <v>0.30068103079564901</v>
      </c>
      <c r="R2185">
        <v>0.71553100504382205</v>
      </c>
      <c r="S2185" t="s">
        <v>8855</v>
      </c>
      <c r="T2185" t="s">
        <v>13338</v>
      </c>
      <c r="U2185" t="s">
        <v>13338</v>
      </c>
      <c r="V2185" t="s">
        <v>13338</v>
      </c>
      <c r="W2185" t="s">
        <v>15485</v>
      </c>
      <c r="X2185">
        <v>7</v>
      </c>
      <c r="Y2185" t="s">
        <v>22061</v>
      </c>
      <c r="Z2185" t="s">
        <v>28600</v>
      </c>
      <c r="AA2185">
        <v>0.69404694090068386</v>
      </c>
      <c r="AB2185" t="str">
        <f>HYPERLINK("Melting_Curves/meltCurve_P18077_RPL35A.pdf", "Melting_Curves/meltCurve_P18077_RPL35A.pdf")</f>
        <v>Melting_Curves/meltCurve_P18077_RPL35A.pdf</v>
      </c>
    </row>
    <row r="2186" spans="1:28" x14ac:dyDescent="0.25">
      <c r="A2186" t="s">
        <v>2190</v>
      </c>
      <c r="B2186">
        <v>0.99193492352474899</v>
      </c>
      <c r="C2186">
        <v>0.55542687125429102</v>
      </c>
      <c r="D2186">
        <v>0.80055144616598395</v>
      </c>
      <c r="E2186">
        <v>0.34324630238762999</v>
      </c>
      <c r="F2186">
        <v>0.33829335886263101</v>
      </c>
      <c r="G2186">
        <v>0.12045524074641401</v>
      </c>
      <c r="H2186">
        <v>9.1305776294316396E-2</v>
      </c>
      <c r="I2186">
        <v>6.1805676375783297E-2</v>
      </c>
      <c r="J2186">
        <v>0.110987666202324</v>
      </c>
      <c r="K2186">
        <v>8.5917582344114396E-2</v>
      </c>
      <c r="L2186">
        <v>510.48673632434998</v>
      </c>
      <c r="M2186">
        <v>10.6830487592671</v>
      </c>
      <c r="N2186">
        <v>48.0490997066792</v>
      </c>
      <c r="O2186">
        <v>46.201648818513704</v>
      </c>
      <c r="P2186">
        <v>-5.6178004119790098E-2</v>
      </c>
      <c r="Q2186">
        <v>2.85407079098862E-2</v>
      </c>
      <c r="R2186">
        <v>0.88672245064049304</v>
      </c>
      <c r="S2186" t="s">
        <v>8856</v>
      </c>
      <c r="T2186" t="s">
        <v>13338</v>
      </c>
      <c r="U2186" t="s">
        <v>13338</v>
      </c>
      <c r="V2186" t="s">
        <v>13338</v>
      </c>
      <c r="W2186" t="s">
        <v>15486</v>
      </c>
      <c r="X2186">
        <v>1</v>
      </c>
      <c r="Y2186" t="s">
        <v>22062</v>
      </c>
      <c r="Z2186" t="s">
        <v>28601</v>
      </c>
      <c r="AA2186">
        <v>0.32770383193348113</v>
      </c>
      <c r="AB2186" t="str">
        <f>HYPERLINK("Melting_Curves/meltCurve_P18084_ITGB5.pdf", "Melting_Curves/meltCurve_P18084_ITGB5.pdf")</f>
        <v>Melting_Curves/meltCurve_P18084_ITGB5.pdf</v>
      </c>
    </row>
    <row r="2187" spans="1:28" x14ac:dyDescent="0.25">
      <c r="A2187" t="s">
        <v>2191</v>
      </c>
      <c r="B2187">
        <v>0.99193492352474899</v>
      </c>
      <c r="C2187">
        <v>0.68461923928650004</v>
      </c>
      <c r="D2187">
        <v>0.926982427427397</v>
      </c>
      <c r="E2187">
        <v>0.64977468358182799</v>
      </c>
      <c r="F2187">
        <v>0.50341297220105896</v>
      </c>
      <c r="G2187">
        <v>0.13493061275250401</v>
      </c>
      <c r="H2187">
        <v>6.3909801440921205E-2</v>
      </c>
      <c r="I2187">
        <v>5.7279402961911398E-2</v>
      </c>
      <c r="J2187">
        <v>7.1269524891898195E-2</v>
      </c>
      <c r="K2187">
        <v>5.5896280560584398E-2</v>
      </c>
      <c r="L2187">
        <v>700.62539774621598</v>
      </c>
      <c r="M2187">
        <v>13.538520396424699</v>
      </c>
      <c r="N2187">
        <v>51.750514638130802</v>
      </c>
      <c r="O2187">
        <v>50.660584101613999</v>
      </c>
      <c r="P2187">
        <v>-6.6820006597021503E-2</v>
      </c>
      <c r="Q2187">
        <v>0</v>
      </c>
      <c r="R2187">
        <v>0.92651087246347896</v>
      </c>
      <c r="S2187" t="s">
        <v>8857</v>
      </c>
      <c r="T2187" t="s">
        <v>13338</v>
      </c>
      <c r="U2187" t="s">
        <v>13338</v>
      </c>
      <c r="V2187" t="s">
        <v>13338</v>
      </c>
      <c r="W2187" t="s">
        <v>15487</v>
      </c>
      <c r="X2187">
        <v>9</v>
      </c>
      <c r="Y2187" t="s">
        <v>22063</v>
      </c>
      <c r="Z2187" t="s">
        <v>28602</v>
      </c>
      <c r="AA2187">
        <v>0.41799994707864679</v>
      </c>
      <c r="AB2187" t="str">
        <f>HYPERLINK("Melting_Curves/meltCurve_P18085_ARF4.pdf", "Melting_Curves/meltCurve_P18085_ARF4.pdf")</f>
        <v>Melting_Curves/meltCurve_P18085_ARF4.pdf</v>
      </c>
    </row>
    <row r="2188" spans="1:28" x14ac:dyDescent="0.25">
      <c r="A2188" t="s">
        <v>2192</v>
      </c>
      <c r="B2188">
        <v>0.99193492352474899</v>
      </c>
      <c r="C2188">
        <v>0.88739734903460599</v>
      </c>
      <c r="D2188">
        <v>1.1229617105096901</v>
      </c>
      <c r="E2188">
        <v>1.4035736756039701</v>
      </c>
      <c r="F2188">
        <v>1.5697137434258599</v>
      </c>
      <c r="G2188">
        <v>0.68200456294126</v>
      </c>
      <c r="H2188">
        <v>0.168475603419588</v>
      </c>
      <c r="I2188">
        <v>0.18073347666478601</v>
      </c>
      <c r="J2188">
        <v>0.241954314642956</v>
      </c>
      <c r="K2188">
        <v>0.21882249833617801</v>
      </c>
      <c r="L2188">
        <v>14223.3291293082</v>
      </c>
      <c r="M2188">
        <v>250</v>
      </c>
      <c r="N2188">
        <v>57.011712595575602</v>
      </c>
      <c r="O2188">
        <v>56.889675737166499</v>
      </c>
      <c r="P2188">
        <v>-0.87615145992861299</v>
      </c>
      <c r="Q2188">
        <v>0.20249644191087701</v>
      </c>
      <c r="R2188">
        <v>0.79435453657781696</v>
      </c>
      <c r="S2188" t="s">
        <v>8858</v>
      </c>
      <c r="T2188" t="s">
        <v>13338</v>
      </c>
      <c r="U2188" t="s">
        <v>13338</v>
      </c>
      <c r="V2188" t="s">
        <v>13338</v>
      </c>
      <c r="W2188" t="s">
        <v>15488</v>
      </c>
      <c r="X2188">
        <v>9</v>
      </c>
      <c r="Y2188" t="s">
        <v>22064</v>
      </c>
      <c r="Z2188" t="s">
        <v>28603</v>
      </c>
      <c r="AA2188">
        <v>0.65165873783758443</v>
      </c>
      <c r="AB2188" t="str">
        <f>HYPERLINK("Melting_Curves/meltCurve_P18124_RPL7.pdf", "Melting_Curves/meltCurve_P18124_RPL7.pdf")</f>
        <v>Melting_Curves/meltCurve_P18124_RPL7.pdf</v>
      </c>
    </row>
    <row r="2189" spans="1:28" x14ac:dyDescent="0.25">
      <c r="A2189" t="s">
        <v>2193</v>
      </c>
      <c r="B2189">
        <v>0.99193492352474899</v>
      </c>
      <c r="C2189">
        <v>0.81859600423931</v>
      </c>
      <c r="D2189">
        <v>0.92453288296804004</v>
      </c>
      <c r="E2189">
        <v>0.62674001894921105</v>
      </c>
      <c r="F2189">
        <v>0.53469598353689196</v>
      </c>
      <c r="G2189">
        <v>0.33604024050582398</v>
      </c>
      <c r="H2189">
        <v>0.30459698231461901</v>
      </c>
      <c r="I2189">
        <v>0.41922075270112502</v>
      </c>
      <c r="J2189">
        <v>0.54694158405635096</v>
      </c>
      <c r="K2189">
        <v>0.65221853735829804</v>
      </c>
      <c r="L2189">
        <v>1169.5280636244299</v>
      </c>
      <c r="M2189">
        <v>24.288973519600798</v>
      </c>
      <c r="N2189">
        <v>53.4259057714577</v>
      </c>
      <c r="O2189">
        <v>47.827755179341999</v>
      </c>
      <c r="P2189">
        <v>-6.9249930038919397E-2</v>
      </c>
      <c r="Q2189">
        <v>0.45456431049889101</v>
      </c>
      <c r="R2189">
        <v>0.76631645962528205</v>
      </c>
      <c r="S2189" t="s">
        <v>8859</v>
      </c>
      <c r="T2189" t="s">
        <v>13338</v>
      </c>
      <c r="U2189" t="s">
        <v>13338</v>
      </c>
      <c r="V2189" t="s">
        <v>13338</v>
      </c>
      <c r="W2189" t="s">
        <v>15489</v>
      </c>
      <c r="X2189">
        <v>3</v>
      </c>
      <c r="Y2189" t="s">
        <v>22065</v>
      </c>
      <c r="Z2189" t="s">
        <v>28604</v>
      </c>
      <c r="AA2189">
        <v>0.60787455436050564</v>
      </c>
      <c r="AB2189" t="str">
        <f>HYPERLINK("Melting_Curves/meltCurve_P18146_EGR1.pdf", "Melting_Curves/meltCurve_P18146_EGR1.pdf")</f>
        <v>Melting_Curves/meltCurve_P18146_EGR1.pdf</v>
      </c>
    </row>
    <row r="2190" spans="1:28" x14ac:dyDescent="0.25">
      <c r="A2190" t="s">
        <v>2194</v>
      </c>
      <c r="B2190">
        <v>0.99193492352474899</v>
      </c>
      <c r="C2190">
        <v>0.89602960352869598</v>
      </c>
      <c r="D2190">
        <v>0.92284734190025997</v>
      </c>
      <c r="E2190">
        <v>0.75120502068915895</v>
      </c>
      <c r="F2190">
        <v>0.71856948708483803</v>
      </c>
      <c r="G2190">
        <v>0.60056335346536405</v>
      </c>
      <c r="H2190">
        <v>0.36823105352845098</v>
      </c>
      <c r="I2190">
        <v>0.193363057230765</v>
      </c>
      <c r="J2190">
        <v>0.15728945701973299</v>
      </c>
      <c r="K2190">
        <v>0.157312323014277</v>
      </c>
      <c r="L2190">
        <v>571.91160083673799</v>
      </c>
      <c r="M2190">
        <v>9.9783412656076997</v>
      </c>
      <c r="N2190">
        <v>57.315321662162802</v>
      </c>
      <c r="O2190">
        <v>55.155906702066098</v>
      </c>
      <c r="P2190">
        <v>-4.5250072275450699E-2</v>
      </c>
      <c r="Q2190">
        <v>0</v>
      </c>
      <c r="R2190">
        <v>0.97611174438845305</v>
      </c>
      <c r="S2190" t="s">
        <v>8860</v>
      </c>
      <c r="T2190" t="s">
        <v>13338</v>
      </c>
      <c r="U2190" t="s">
        <v>13338</v>
      </c>
      <c r="V2190" t="s">
        <v>13338</v>
      </c>
      <c r="W2190" t="s">
        <v>15490</v>
      </c>
      <c r="X2190">
        <v>42</v>
      </c>
      <c r="Y2190" t="s">
        <v>22066</v>
      </c>
      <c r="Z2190" t="s">
        <v>28605</v>
      </c>
      <c r="AA2190">
        <v>0.5911632815708312</v>
      </c>
      <c r="AB2190" t="str">
        <f>HYPERLINK("Melting_Curves/meltCurve_P18206_2_VCL.pdf", "Melting_Curves/meltCurve_P18206_2_VCL.pdf")</f>
        <v>Melting_Curves/meltCurve_P18206_2_VCL.pdf</v>
      </c>
    </row>
    <row r="2191" spans="1:28" x14ac:dyDescent="0.25">
      <c r="A2191" t="s">
        <v>2195</v>
      </c>
      <c r="B2191">
        <v>0.99193492352474899</v>
      </c>
      <c r="C2191">
        <v>0.67044318106211997</v>
      </c>
      <c r="D2191">
        <v>0.73679620748660202</v>
      </c>
      <c r="E2191">
        <v>0.400278300403272</v>
      </c>
      <c r="F2191">
        <v>0.262919787010715</v>
      </c>
      <c r="G2191">
        <v>0.15064224866943199</v>
      </c>
      <c r="H2191">
        <v>0.145607115914163</v>
      </c>
      <c r="I2191">
        <v>0.203358009498913</v>
      </c>
      <c r="J2191">
        <v>0.25626421321200499</v>
      </c>
      <c r="K2191">
        <v>0.353879320851338</v>
      </c>
      <c r="L2191">
        <v>746.63227658348603</v>
      </c>
      <c r="M2191">
        <v>16.184873912828099</v>
      </c>
      <c r="N2191">
        <v>47.735698521209002</v>
      </c>
      <c r="O2191">
        <v>45.444472543981803</v>
      </c>
      <c r="P2191">
        <v>-7.0365373430088807E-2</v>
      </c>
      <c r="Q2191">
        <v>0.20976152094217701</v>
      </c>
      <c r="R2191">
        <v>0.89438864605079604</v>
      </c>
      <c r="S2191" t="s">
        <v>8861</v>
      </c>
      <c r="T2191" t="s">
        <v>13338</v>
      </c>
      <c r="U2191" t="s">
        <v>13338</v>
      </c>
      <c r="V2191" t="s">
        <v>13338</v>
      </c>
      <c r="W2191" t="s">
        <v>15491</v>
      </c>
      <c r="X2191">
        <v>17</v>
      </c>
      <c r="Y2191" t="s">
        <v>19954</v>
      </c>
      <c r="Z2191" t="s">
        <v>28606</v>
      </c>
      <c r="AA2191">
        <v>0.39068755607155142</v>
      </c>
      <c r="AB2191" t="str">
        <f>HYPERLINK("Melting_Curves/meltCurve_P18615_NELFE.pdf", "Melting_Curves/meltCurve_P18615_NELFE.pdf")</f>
        <v>Melting_Curves/meltCurve_P18615_NELFE.pdf</v>
      </c>
    </row>
    <row r="2192" spans="1:28" x14ac:dyDescent="0.25">
      <c r="A2192" t="s">
        <v>2196</v>
      </c>
      <c r="B2192">
        <v>0.99193492352474899</v>
      </c>
      <c r="C2192">
        <v>1.0303332931418301</v>
      </c>
      <c r="D2192">
        <v>0.92374121712935997</v>
      </c>
      <c r="E2192">
        <v>0.84004354746793597</v>
      </c>
      <c r="F2192">
        <v>0.71264467055722402</v>
      </c>
      <c r="G2192">
        <v>0.56692715825374296</v>
      </c>
      <c r="H2192">
        <v>0.42238405477379398</v>
      </c>
      <c r="I2192">
        <v>0.34231433241146297</v>
      </c>
      <c r="J2192">
        <v>0.27856221014992999</v>
      </c>
      <c r="K2192">
        <v>0.244042876631135</v>
      </c>
      <c r="L2192">
        <v>627.84847454813303</v>
      </c>
      <c r="M2192">
        <v>11.1312609600797</v>
      </c>
      <c r="N2192">
        <v>58.430891387408003</v>
      </c>
      <c r="O2192">
        <v>54.675468664446399</v>
      </c>
      <c r="P2192">
        <v>-4.2759400948339001E-2</v>
      </c>
      <c r="Q2192">
        <v>0.160153725828142</v>
      </c>
      <c r="R2192">
        <v>0.99594227310831596</v>
      </c>
      <c r="S2192" t="s">
        <v>8862</v>
      </c>
      <c r="T2192" t="s">
        <v>13338</v>
      </c>
      <c r="U2192" t="s">
        <v>13338</v>
      </c>
      <c r="V2192" t="s">
        <v>13338</v>
      </c>
      <c r="W2192" t="s">
        <v>15492</v>
      </c>
      <c r="X2192">
        <v>25</v>
      </c>
      <c r="Y2192" t="s">
        <v>22067</v>
      </c>
      <c r="Z2192" t="s">
        <v>28607</v>
      </c>
      <c r="AA2192">
        <v>0.6355243538960369</v>
      </c>
      <c r="AB2192" t="str">
        <f>HYPERLINK("Melting_Curves/meltCurve_P18669_PGAM1.pdf", "Melting_Curves/meltCurve_P18669_PGAM1.pdf")</f>
        <v>Melting_Curves/meltCurve_P18669_PGAM1.pdf</v>
      </c>
    </row>
    <row r="2193" spans="1:28" x14ac:dyDescent="0.25">
      <c r="A2193" t="s">
        <v>2197</v>
      </c>
      <c r="B2193">
        <v>0.99193492352474899</v>
      </c>
      <c r="C2193">
        <v>0.45472250591723901</v>
      </c>
      <c r="D2193">
        <v>0.79331852358694399</v>
      </c>
      <c r="E2193">
        <v>0.21953617732231601</v>
      </c>
      <c r="F2193">
        <v>0.117525298579973</v>
      </c>
      <c r="G2193">
        <v>5.8014994346959801E-2</v>
      </c>
      <c r="H2193">
        <v>3.6131151230317703E-2</v>
      </c>
      <c r="I2193">
        <v>4.2380650821982599E-2</v>
      </c>
      <c r="J2193">
        <v>5.3088617382655502E-2</v>
      </c>
      <c r="K2193">
        <v>5.5186125430870599E-2</v>
      </c>
      <c r="L2193">
        <v>597.65661297608403</v>
      </c>
      <c r="M2193">
        <v>12.9256392575709</v>
      </c>
      <c r="N2193">
        <v>46.296690368260997</v>
      </c>
      <c r="O2193">
        <v>45.173271798228299</v>
      </c>
      <c r="P2193">
        <v>-7.0966058200788801E-2</v>
      </c>
      <c r="Q2193">
        <v>8.1137057657572099E-3</v>
      </c>
      <c r="R2193">
        <v>0.83965984162529805</v>
      </c>
      <c r="S2193" t="s">
        <v>8863</v>
      </c>
      <c r="T2193" t="s">
        <v>13338</v>
      </c>
      <c r="U2193" t="s">
        <v>13338</v>
      </c>
      <c r="V2193" t="s">
        <v>13338</v>
      </c>
      <c r="W2193" t="s">
        <v>15493</v>
      </c>
      <c r="X2193">
        <v>12</v>
      </c>
      <c r="Y2193" t="s">
        <v>22068</v>
      </c>
      <c r="Z2193" t="s">
        <v>28608</v>
      </c>
      <c r="AA2193">
        <v>0.25276555099062481</v>
      </c>
      <c r="AB2193" t="str">
        <f>HYPERLINK("Melting_Curves/meltCurve_P18754_2_RCC1.pdf", "Melting_Curves/meltCurve_P18754_2_RCC1.pdf")</f>
        <v>Melting_Curves/meltCurve_P18754_2_RCC1.pdf</v>
      </c>
    </row>
    <row r="2194" spans="1:28" x14ac:dyDescent="0.25">
      <c r="A2194" t="s">
        <v>2198</v>
      </c>
      <c r="B2194">
        <v>0.99193492352474899</v>
      </c>
      <c r="C2194">
        <v>0.86128445346836302</v>
      </c>
      <c r="D2194">
        <v>0.84933649948341505</v>
      </c>
      <c r="E2194">
        <v>0.76468575385169801</v>
      </c>
      <c r="F2194">
        <v>0.37426099780366301</v>
      </c>
      <c r="G2194">
        <v>0.346468114949739</v>
      </c>
      <c r="H2194">
        <v>0.27303200332630501</v>
      </c>
      <c r="I2194">
        <v>0.35832551892033099</v>
      </c>
      <c r="J2194">
        <v>0.39801654535270597</v>
      </c>
      <c r="K2194">
        <v>0.60347264259376199</v>
      </c>
      <c r="L2194">
        <v>1345.1497426621499</v>
      </c>
      <c r="M2194">
        <v>27.220485781961301</v>
      </c>
      <c r="N2194">
        <v>52.210673650933799</v>
      </c>
      <c r="O2194">
        <v>49.152418924936498</v>
      </c>
      <c r="P2194">
        <v>-8.5356803927920999E-2</v>
      </c>
      <c r="Q2194">
        <v>0.38348593502737299</v>
      </c>
      <c r="R2194">
        <v>0.83560972147702095</v>
      </c>
      <c r="S2194" t="s">
        <v>8864</v>
      </c>
      <c r="T2194" t="s">
        <v>13338</v>
      </c>
      <c r="U2194" t="s">
        <v>13338</v>
      </c>
      <c r="V2194" t="s">
        <v>13338</v>
      </c>
      <c r="W2194" t="s">
        <v>15494</v>
      </c>
      <c r="X2194">
        <v>4</v>
      </c>
      <c r="Y2194" t="s">
        <v>22069</v>
      </c>
      <c r="Z2194" t="s">
        <v>28609</v>
      </c>
      <c r="AA2194">
        <v>0.58161280454503195</v>
      </c>
      <c r="AB2194" t="str">
        <f>HYPERLINK("Melting_Curves/meltCurve_P18846_ATF1.pdf", "Melting_Curves/meltCurve_P18846_ATF1.pdf")</f>
        <v>Melting_Curves/meltCurve_P18846_ATF1.pdf</v>
      </c>
    </row>
    <row r="2195" spans="1:28" x14ac:dyDescent="0.25">
      <c r="A2195" t="s">
        <v>2199</v>
      </c>
      <c r="B2195">
        <v>0.99193492352474899</v>
      </c>
      <c r="C2195">
        <v>0.987696117887088</v>
      </c>
      <c r="D2195">
        <v>0.82811988931109404</v>
      </c>
      <c r="E2195">
        <v>0.41890082915311999</v>
      </c>
      <c r="F2195">
        <v>0.166032481310393</v>
      </c>
      <c r="G2195">
        <v>0.109064105824923</v>
      </c>
      <c r="H2195">
        <v>6.76036947771122E-2</v>
      </c>
      <c r="I2195">
        <v>9.0942410726400802E-2</v>
      </c>
      <c r="J2195">
        <v>9.7887106416682301E-2</v>
      </c>
      <c r="K2195">
        <v>0.11644531190086101</v>
      </c>
      <c r="L2195">
        <v>1325.77912352251</v>
      </c>
      <c r="M2195">
        <v>27.321841126784701</v>
      </c>
      <c r="N2195">
        <v>48.888409886540003</v>
      </c>
      <c r="O2195">
        <v>48.266798015427803</v>
      </c>
      <c r="P2195">
        <v>-0.12849507932478099</v>
      </c>
      <c r="Q2195">
        <v>9.2010321205049594E-2</v>
      </c>
      <c r="R2195">
        <v>0.99882404295601801</v>
      </c>
      <c r="S2195" t="s">
        <v>8865</v>
      </c>
      <c r="T2195" t="s">
        <v>13338</v>
      </c>
      <c r="U2195" t="s">
        <v>13338</v>
      </c>
      <c r="V2195" t="s">
        <v>13338</v>
      </c>
      <c r="W2195" t="s">
        <v>15495</v>
      </c>
      <c r="X2195">
        <v>42</v>
      </c>
      <c r="Y2195" t="s">
        <v>22070</v>
      </c>
      <c r="Z2195" t="s">
        <v>28610</v>
      </c>
      <c r="AA2195">
        <v>0.35668704279812602</v>
      </c>
      <c r="AB2195" t="str">
        <f>HYPERLINK("Melting_Curves/meltCurve_P18858_LIG1.pdf", "Melting_Curves/meltCurve_P18858_LIG1.pdf")</f>
        <v>Melting_Curves/meltCurve_P18858_LIG1.pdf</v>
      </c>
    </row>
    <row r="2196" spans="1:28" x14ac:dyDescent="0.25">
      <c r="A2196" t="s">
        <v>2200</v>
      </c>
      <c r="B2196">
        <v>0.99193492352474899</v>
      </c>
      <c r="C2196">
        <v>0.93547215473415102</v>
      </c>
      <c r="D2196">
        <v>0.915728191488698</v>
      </c>
      <c r="E2196">
        <v>0.92242385012755401</v>
      </c>
      <c r="F2196">
        <v>0.86310827943196</v>
      </c>
      <c r="G2196">
        <v>0.70889718094243803</v>
      </c>
      <c r="H2196">
        <v>0.70845904333193899</v>
      </c>
      <c r="I2196">
        <v>0.86078972423412503</v>
      </c>
      <c r="J2196">
        <v>0.98178626426454496</v>
      </c>
      <c r="K2196">
        <v>1.3398415136453501</v>
      </c>
      <c r="L2196">
        <v>15000</v>
      </c>
      <c r="M2196">
        <v>215.03787403232201</v>
      </c>
      <c r="O2196">
        <v>69.749123551185605</v>
      </c>
      <c r="P2196">
        <v>0.38537739293469703</v>
      </c>
      <c r="Q2196">
        <v>1.5</v>
      </c>
      <c r="R2196">
        <v>0.19878728565405701</v>
      </c>
      <c r="S2196" t="s">
        <v>8866</v>
      </c>
      <c r="T2196" t="s">
        <v>13338</v>
      </c>
      <c r="U2196" t="s">
        <v>13338</v>
      </c>
      <c r="V2196" t="s">
        <v>13338</v>
      </c>
      <c r="W2196" t="s">
        <v>15496</v>
      </c>
      <c r="X2196">
        <v>10</v>
      </c>
      <c r="Y2196" t="s">
        <v>22071</v>
      </c>
      <c r="Z2196" t="s">
        <v>28611</v>
      </c>
      <c r="AA2196">
        <v>1.0061224819187209</v>
      </c>
      <c r="AB2196" t="str">
        <f>HYPERLINK("Melting_Curves/meltCurve_P18859_ATP5J.pdf", "Melting_Curves/meltCurve_P18859_ATP5J.pdf")</f>
        <v>Melting_Curves/meltCurve_P18859_ATP5J.pdf</v>
      </c>
    </row>
    <row r="2197" spans="1:28" x14ac:dyDescent="0.25">
      <c r="A2197" t="s">
        <v>2201</v>
      </c>
      <c r="B2197">
        <v>0.99193492352474899</v>
      </c>
      <c r="C2197">
        <v>0.74137980687409399</v>
      </c>
      <c r="D2197">
        <v>0.65981872596903501</v>
      </c>
      <c r="E2197">
        <v>0.26049688846087798</v>
      </c>
      <c r="F2197">
        <v>0.18097981955679901</v>
      </c>
      <c r="G2197">
        <v>9.0768547812951697E-2</v>
      </c>
      <c r="H2197">
        <v>7.1046210267904406E-2</v>
      </c>
      <c r="I2197">
        <v>8.9562039091421103E-2</v>
      </c>
      <c r="J2197">
        <v>9.6219689902891495E-2</v>
      </c>
      <c r="K2197">
        <v>0.112143912140216</v>
      </c>
      <c r="L2197">
        <v>826.10850385596598</v>
      </c>
      <c r="M2197">
        <v>17.777992562250802</v>
      </c>
      <c r="N2197">
        <v>46.9266029447232</v>
      </c>
      <c r="O2197">
        <v>45.892062854603097</v>
      </c>
      <c r="P2197">
        <v>-8.9129254200731797E-2</v>
      </c>
      <c r="Q2197">
        <v>7.9735737652648103E-2</v>
      </c>
      <c r="R2197">
        <v>0.98061551362736099</v>
      </c>
      <c r="S2197" t="s">
        <v>8867</v>
      </c>
      <c r="T2197" t="s">
        <v>13338</v>
      </c>
      <c r="U2197" t="s">
        <v>13338</v>
      </c>
      <c r="V2197" t="s">
        <v>13338</v>
      </c>
      <c r="W2197" t="s">
        <v>15497</v>
      </c>
      <c r="X2197">
        <v>15</v>
      </c>
      <c r="Y2197" t="s">
        <v>22072</v>
      </c>
      <c r="Z2197" t="s">
        <v>28612</v>
      </c>
      <c r="AA2197">
        <v>0.29612171664696391</v>
      </c>
      <c r="AB2197" t="str">
        <f>HYPERLINK("Melting_Curves/meltCurve_P18887_XRCC1.pdf", "Melting_Curves/meltCurve_P18887_XRCC1.pdf")</f>
        <v>Melting_Curves/meltCurve_P18887_XRCC1.pdf</v>
      </c>
    </row>
    <row r="2198" spans="1:28" x14ac:dyDescent="0.25">
      <c r="A2198" t="s">
        <v>2202</v>
      </c>
      <c r="B2198">
        <v>0.99193492352474899</v>
      </c>
      <c r="C2198">
        <v>1.0459027182337599</v>
      </c>
      <c r="D2198">
        <v>0.87574175928063402</v>
      </c>
      <c r="E2198">
        <v>0.76949837318816905</v>
      </c>
      <c r="F2198">
        <v>0.61568549545402196</v>
      </c>
      <c r="G2198">
        <v>0.47942276483805402</v>
      </c>
      <c r="H2198">
        <v>0.31461273061964001</v>
      </c>
      <c r="I2198">
        <v>0.36471580272985199</v>
      </c>
      <c r="J2198">
        <v>0.38578595220203299</v>
      </c>
      <c r="K2198">
        <v>0.32944247463445903</v>
      </c>
      <c r="L2198">
        <v>819.04400723158597</v>
      </c>
      <c r="M2198">
        <v>15.80765424138</v>
      </c>
      <c r="N2198">
        <v>55.512028103703599</v>
      </c>
      <c r="O2198">
        <v>51.005206520342398</v>
      </c>
      <c r="P2198">
        <v>-5.2256674155598697E-2</v>
      </c>
      <c r="Q2198">
        <v>0.32560704375386401</v>
      </c>
      <c r="R2198">
        <v>0.97988452023442796</v>
      </c>
      <c r="S2198" t="s">
        <v>8868</v>
      </c>
      <c r="T2198" t="s">
        <v>13338</v>
      </c>
      <c r="U2198" t="s">
        <v>13338</v>
      </c>
      <c r="V2198" t="s">
        <v>13338</v>
      </c>
      <c r="W2198" t="s">
        <v>15498</v>
      </c>
      <c r="X2198">
        <v>3</v>
      </c>
      <c r="Y2198" t="s">
        <v>22073</v>
      </c>
      <c r="Z2198" t="s">
        <v>28613</v>
      </c>
      <c r="AA2198">
        <v>0.6051320524155257</v>
      </c>
      <c r="AB2198" t="str">
        <f>HYPERLINK("Melting_Curves/meltCurve_P19022_CDH2.pdf", "Melting_Curves/meltCurve_P19022_CDH2.pdf")</f>
        <v>Melting_Curves/meltCurve_P19022_CDH2.pdf</v>
      </c>
    </row>
    <row r="2199" spans="1:28" x14ac:dyDescent="0.25">
      <c r="A2199" t="s">
        <v>2203</v>
      </c>
      <c r="B2199">
        <v>0.99193492352474899</v>
      </c>
      <c r="C2199">
        <v>0.95058960350067201</v>
      </c>
      <c r="D2199">
        <v>0.73746970987139704</v>
      </c>
      <c r="E2199">
        <v>0.26445361620951602</v>
      </c>
      <c r="F2199">
        <v>0.154047114805623</v>
      </c>
      <c r="G2199">
        <v>8.5964905140546902E-2</v>
      </c>
      <c r="H2199">
        <v>5.3640238047803601E-2</v>
      </c>
      <c r="I2199">
        <v>6.3013069792919499E-2</v>
      </c>
      <c r="J2199">
        <v>7.1599481039106502E-2</v>
      </c>
      <c r="K2199">
        <v>7.00949597898156E-2</v>
      </c>
      <c r="L2199">
        <v>1329.0526718556</v>
      </c>
      <c r="M2199">
        <v>28.009989862406702</v>
      </c>
      <c r="N2199">
        <v>47.712051534316799</v>
      </c>
      <c r="O2199">
        <v>47.209358339929402</v>
      </c>
      <c r="P2199">
        <v>-0.13772690856327699</v>
      </c>
      <c r="Q2199">
        <v>7.1482231750893493E-2</v>
      </c>
      <c r="R2199">
        <v>0.99811206809722997</v>
      </c>
      <c r="S2199" t="s">
        <v>8869</v>
      </c>
      <c r="T2199" t="s">
        <v>13338</v>
      </c>
      <c r="U2199" t="s">
        <v>13338</v>
      </c>
      <c r="V2199" t="s">
        <v>13338</v>
      </c>
      <c r="W2199" t="s">
        <v>15499</v>
      </c>
      <c r="X2199">
        <v>32</v>
      </c>
      <c r="Y2199" t="s">
        <v>22074</v>
      </c>
      <c r="Z2199" t="s">
        <v>28614</v>
      </c>
      <c r="AA2199">
        <v>0.30848684152175571</v>
      </c>
      <c r="AB2199" t="str">
        <f>HYPERLINK("Melting_Curves/meltCurve_P19174_PLCG1.pdf", "Melting_Curves/meltCurve_P19174_PLCG1.pdf")</f>
        <v>Melting_Curves/meltCurve_P19174_PLCG1.pdf</v>
      </c>
    </row>
    <row r="2200" spans="1:28" x14ac:dyDescent="0.25">
      <c r="A2200" t="s">
        <v>2204</v>
      </c>
      <c r="B2200">
        <v>0.99193492352474899</v>
      </c>
      <c r="C2200">
        <v>0.833889392158638</v>
      </c>
      <c r="D2200">
        <v>0.70044545704512995</v>
      </c>
      <c r="E2200">
        <v>0.220748969596884</v>
      </c>
      <c r="F2200">
        <v>0.140338897832676</v>
      </c>
      <c r="G2200">
        <v>6.5509421798375503E-2</v>
      </c>
      <c r="H2200">
        <v>3.5036956643482803E-2</v>
      </c>
      <c r="I2200">
        <v>2.3940167213062101E-2</v>
      </c>
      <c r="J2200">
        <v>3.2047225793936103E-2</v>
      </c>
      <c r="K2200">
        <v>2.04210927338365E-2</v>
      </c>
      <c r="L2200">
        <v>1016.19737884566</v>
      </c>
      <c r="M2200">
        <v>21.5553764468468</v>
      </c>
      <c r="N2200">
        <v>47.273856160392498</v>
      </c>
      <c r="O2200">
        <v>46.743442443239601</v>
      </c>
      <c r="P2200">
        <v>-0.11196396591645399</v>
      </c>
      <c r="Q2200">
        <v>2.8835419123248399E-2</v>
      </c>
      <c r="R2200">
        <v>0.99056855834559099</v>
      </c>
      <c r="S2200" t="s">
        <v>8870</v>
      </c>
      <c r="T2200" t="s">
        <v>13338</v>
      </c>
      <c r="U2200" t="s">
        <v>13338</v>
      </c>
      <c r="V2200" t="s">
        <v>13338</v>
      </c>
      <c r="W2200" t="s">
        <v>15500</v>
      </c>
      <c r="X2200">
        <v>33</v>
      </c>
      <c r="Y2200" t="s">
        <v>22074</v>
      </c>
      <c r="Z2200" t="s">
        <v>28615</v>
      </c>
      <c r="AA2200">
        <v>0.27207636083680647</v>
      </c>
      <c r="AB2200" t="str">
        <f>HYPERLINK("Melting_Curves/meltCurve_P19174_2_PLCG1.pdf", "Melting_Curves/meltCurve_P19174_2_PLCG1.pdf")</f>
        <v>Melting_Curves/meltCurve_P19174_2_PLCG1.pdf</v>
      </c>
    </row>
    <row r="2201" spans="1:28" x14ac:dyDescent="0.25">
      <c r="A2201" t="s">
        <v>2205</v>
      </c>
      <c r="B2201">
        <v>0.99193492352474899</v>
      </c>
      <c r="C2201">
        <v>0.79574995498804402</v>
      </c>
      <c r="D2201">
        <v>0.60791095889649005</v>
      </c>
      <c r="E2201">
        <v>0.51560785481506899</v>
      </c>
      <c r="F2201">
        <v>0.25418852448703799</v>
      </c>
      <c r="G2201">
        <v>0.136802740339632</v>
      </c>
      <c r="H2201">
        <v>8.9425925429861705E-2</v>
      </c>
      <c r="I2201">
        <v>0.11486481763967001</v>
      </c>
      <c r="J2201">
        <v>0.15891259074458999</v>
      </c>
      <c r="K2201">
        <v>0.16918380216098999</v>
      </c>
      <c r="L2201">
        <v>661.34907195021901</v>
      </c>
      <c r="M2201">
        <v>13.929815171981801</v>
      </c>
      <c r="N2201">
        <v>48.304255165315901</v>
      </c>
      <c r="O2201">
        <v>46.530876269940499</v>
      </c>
      <c r="P2201">
        <v>-6.6910603419712E-2</v>
      </c>
      <c r="Q2201">
        <v>0.106093390638668</v>
      </c>
      <c r="R2201">
        <v>0.972994807823505</v>
      </c>
      <c r="S2201" t="s">
        <v>8871</v>
      </c>
      <c r="T2201" t="s">
        <v>13338</v>
      </c>
      <c r="U2201" t="s">
        <v>13338</v>
      </c>
      <c r="V2201" t="s">
        <v>13338</v>
      </c>
      <c r="W2201" t="s">
        <v>15501</v>
      </c>
      <c r="X2201">
        <v>38</v>
      </c>
      <c r="Y2201" t="s">
        <v>22075</v>
      </c>
      <c r="Z2201" t="s">
        <v>28616</v>
      </c>
      <c r="AA2201">
        <v>0.35626473526349872</v>
      </c>
      <c r="AB2201" t="str">
        <f>HYPERLINK("Melting_Curves/meltCurve_P19338_NCL.pdf", "Melting_Curves/meltCurve_P19338_NCL.pdf")</f>
        <v>Melting_Curves/meltCurve_P19338_NCL.pdf</v>
      </c>
    </row>
    <row r="2202" spans="1:28" x14ac:dyDescent="0.25">
      <c r="A2202" t="s">
        <v>2206</v>
      </c>
      <c r="B2202">
        <v>0.99193492352474899</v>
      </c>
      <c r="C2202">
        <v>0.78851654881518696</v>
      </c>
      <c r="D2202">
        <v>0.84607129687574201</v>
      </c>
      <c r="E2202">
        <v>0.62862375408266302</v>
      </c>
      <c r="F2202">
        <v>0.59236788738423096</v>
      </c>
      <c r="G2202">
        <v>0.381905573190994</v>
      </c>
      <c r="H2202">
        <v>0.29218958196383399</v>
      </c>
      <c r="I2202">
        <v>0.15566539969194099</v>
      </c>
      <c r="J2202">
        <v>0.14677741915123499</v>
      </c>
      <c r="K2202">
        <v>0.116120868607768</v>
      </c>
      <c r="L2202">
        <v>454.82075626677101</v>
      </c>
      <c r="M2202">
        <v>8.4648642630064206</v>
      </c>
      <c r="N2202">
        <v>53.730424951274998</v>
      </c>
      <c r="O2202">
        <v>50.983202313128402</v>
      </c>
      <c r="P2202">
        <v>-4.1546090707306797E-2</v>
      </c>
      <c r="Q2202">
        <v>0</v>
      </c>
      <c r="R2202">
        <v>0.97334418635418596</v>
      </c>
      <c r="S2202" t="s">
        <v>8872</v>
      </c>
      <c r="T2202" t="s">
        <v>13338</v>
      </c>
      <c r="U2202" t="s">
        <v>13338</v>
      </c>
      <c r="V2202" t="s">
        <v>13338</v>
      </c>
      <c r="W2202" t="s">
        <v>15502</v>
      </c>
      <c r="X2202">
        <v>8</v>
      </c>
      <c r="Y2202" t="s">
        <v>22076</v>
      </c>
      <c r="Z2202" t="s">
        <v>28617</v>
      </c>
      <c r="AA2202">
        <v>0.49255140784733292</v>
      </c>
      <c r="AB2202" t="str">
        <f>HYPERLINK("Melting_Curves/meltCurve_P19387_POLR2C.pdf", "Melting_Curves/meltCurve_P19387_POLR2C.pdf")</f>
        <v>Melting_Curves/meltCurve_P19387_POLR2C.pdf</v>
      </c>
    </row>
    <row r="2203" spans="1:28" x14ac:dyDescent="0.25">
      <c r="A2203" t="s">
        <v>2207</v>
      </c>
      <c r="B2203">
        <v>0.99193492352474899</v>
      </c>
      <c r="C2203">
        <v>0.68154905847510105</v>
      </c>
      <c r="D2203">
        <v>0.74514862159140904</v>
      </c>
      <c r="E2203">
        <v>0.48876741913363703</v>
      </c>
      <c r="F2203">
        <v>0.43796893437571599</v>
      </c>
      <c r="G2203">
        <v>0.29308912975760598</v>
      </c>
      <c r="H2203">
        <v>0.185623076969509</v>
      </c>
      <c r="I2203">
        <v>0.14474423435067699</v>
      </c>
      <c r="J2203">
        <v>0.14497701206804001</v>
      </c>
      <c r="K2203">
        <v>0.141184772034957</v>
      </c>
      <c r="L2203">
        <v>433.15243544257999</v>
      </c>
      <c r="M2203">
        <v>8.7251832037964494</v>
      </c>
      <c r="N2203">
        <v>50.271092225223299</v>
      </c>
      <c r="O2203">
        <v>47.243131597513603</v>
      </c>
      <c r="P2203">
        <v>-4.3826478906096901E-2</v>
      </c>
      <c r="Q2203">
        <v>5.1567937118267897E-2</v>
      </c>
      <c r="R2203">
        <v>0.95756720240180004</v>
      </c>
      <c r="S2203" t="s">
        <v>8873</v>
      </c>
      <c r="T2203" t="s">
        <v>13338</v>
      </c>
      <c r="U2203" t="s">
        <v>13338</v>
      </c>
      <c r="V2203" t="s">
        <v>13338</v>
      </c>
      <c r="W2203" t="s">
        <v>15503</v>
      </c>
      <c r="X2203">
        <v>6</v>
      </c>
      <c r="Y2203" t="s">
        <v>22077</v>
      </c>
      <c r="Z2203" t="s">
        <v>28618</v>
      </c>
      <c r="AA2203">
        <v>0.40933262111599361</v>
      </c>
      <c r="AB2203" t="str">
        <f>HYPERLINK("Melting_Curves/meltCurve_P19388_POLR2E.pdf", "Melting_Curves/meltCurve_P19388_POLR2E.pdf")</f>
        <v>Melting_Curves/meltCurve_P19388_POLR2E.pdf</v>
      </c>
    </row>
    <row r="2204" spans="1:28" x14ac:dyDescent="0.25">
      <c r="A2204" t="s">
        <v>2208</v>
      </c>
      <c r="B2204">
        <v>0.99193492352474899</v>
      </c>
      <c r="C2204">
        <v>1.2392557652479701</v>
      </c>
      <c r="D2204">
        <v>1.37390045300341</v>
      </c>
      <c r="E2204">
        <v>0.87342307518402795</v>
      </c>
      <c r="F2204">
        <v>0.64819689376088097</v>
      </c>
      <c r="G2204">
        <v>0.41926185510994302</v>
      </c>
      <c r="H2204">
        <v>0.429448456433279</v>
      </c>
      <c r="I2204">
        <v>0.45886985750118597</v>
      </c>
      <c r="J2204">
        <v>0.56244415379567603</v>
      </c>
      <c r="K2204">
        <v>0.489803516999122</v>
      </c>
      <c r="L2204">
        <v>2103.3230351319799</v>
      </c>
      <c r="M2204">
        <v>40.527872977899399</v>
      </c>
      <c r="N2204">
        <v>55.907685361330003</v>
      </c>
      <c r="O2204">
        <v>51.7723068856412</v>
      </c>
      <c r="P2204">
        <v>-0.103200562267971</v>
      </c>
      <c r="Q2204">
        <v>0.47266704484364802</v>
      </c>
      <c r="R2204">
        <v>0.803233761778681</v>
      </c>
      <c r="S2204" t="s">
        <v>8874</v>
      </c>
      <c r="T2204" t="s">
        <v>13338</v>
      </c>
      <c r="U2204" t="s">
        <v>13338</v>
      </c>
      <c r="V2204" t="s">
        <v>13338</v>
      </c>
      <c r="W2204" t="s">
        <v>15504</v>
      </c>
      <c r="X2204">
        <v>2</v>
      </c>
      <c r="Y2204" t="s">
        <v>22078</v>
      </c>
      <c r="Z2204" t="s">
        <v>28619</v>
      </c>
      <c r="AA2204">
        <v>0.68365225670226537</v>
      </c>
      <c r="AB2204" t="str">
        <f>HYPERLINK("Melting_Curves/meltCurve_P19397_CD53.pdf", "Melting_Curves/meltCurve_P19397_CD53.pdf")</f>
        <v>Melting_Curves/meltCurve_P19397_CD53.pdf</v>
      </c>
    </row>
    <row r="2205" spans="1:28" x14ac:dyDescent="0.25">
      <c r="A2205" t="s">
        <v>2209</v>
      </c>
      <c r="B2205">
        <v>0.99193492352474899</v>
      </c>
      <c r="C2205">
        <v>0.53149516060180202</v>
      </c>
      <c r="D2205">
        <v>0.64908065181414099</v>
      </c>
      <c r="E2205">
        <v>0.24046070461421201</v>
      </c>
      <c r="F2205">
        <v>0.14451089146730101</v>
      </c>
      <c r="G2205">
        <v>6.7038637023403305E-2</v>
      </c>
      <c r="H2205">
        <v>4.6445435758976701E-2</v>
      </c>
      <c r="I2205">
        <v>5.5388189106104199E-2</v>
      </c>
      <c r="J2205">
        <v>7.7041588254865997E-2</v>
      </c>
      <c r="K2205">
        <v>6.7214697919206395E-2</v>
      </c>
      <c r="L2205">
        <v>631.07126792725296</v>
      </c>
      <c r="M2205">
        <v>13.8086968420759</v>
      </c>
      <c r="N2205">
        <v>45.955270296306701</v>
      </c>
      <c r="O2205">
        <v>44.774532531193799</v>
      </c>
      <c r="P2205">
        <v>-7.4275979247929197E-2</v>
      </c>
      <c r="Q2205">
        <v>3.6778688144537199E-2</v>
      </c>
      <c r="R2205">
        <v>0.92109783513108401</v>
      </c>
      <c r="S2205" t="s">
        <v>8875</v>
      </c>
      <c r="T2205" t="s">
        <v>13338</v>
      </c>
      <c r="U2205" t="s">
        <v>13338</v>
      </c>
      <c r="V2205" t="s">
        <v>13338</v>
      </c>
      <c r="W2205" t="s">
        <v>15505</v>
      </c>
      <c r="X2205">
        <v>9</v>
      </c>
      <c r="Y2205" t="s">
        <v>22079</v>
      </c>
      <c r="Z2205" t="s">
        <v>28620</v>
      </c>
      <c r="AA2205">
        <v>0.25407578747727311</v>
      </c>
      <c r="AB2205" t="str">
        <f>HYPERLINK("Melting_Curves/meltCurve_P19447_ERCC3.pdf", "Melting_Curves/meltCurve_P19447_ERCC3.pdf")</f>
        <v>Melting_Curves/meltCurve_P19447_ERCC3.pdf</v>
      </c>
    </row>
    <row r="2206" spans="1:28" x14ac:dyDescent="0.25">
      <c r="A2206" t="s">
        <v>2210</v>
      </c>
      <c r="B2206">
        <v>0.99193492352474899</v>
      </c>
      <c r="C2206">
        <v>0.52947393109627705</v>
      </c>
      <c r="D2206">
        <v>0.51139067527369797</v>
      </c>
      <c r="E2206">
        <v>0.16558278551425901</v>
      </c>
      <c r="F2206">
        <v>0.11563844964342</v>
      </c>
      <c r="G2206">
        <v>9.5223347101757602E-2</v>
      </c>
      <c r="H2206">
        <v>5.91029260178298E-2</v>
      </c>
      <c r="I2206">
        <v>7.5269057123882793E-2</v>
      </c>
      <c r="J2206">
        <v>7.2903482025713701E-2</v>
      </c>
      <c r="K2206">
        <v>7.2862816557601004E-2</v>
      </c>
      <c r="L2206">
        <v>750.656025522454</v>
      </c>
      <c r="M2206">
        <v>16.8791155785771</v>
      </c>
      <c r="N2206">
        <v>44.844453197321002</v>
      </c>
      <c r="O2206">
        <v>43.862316576053502</v>
      </c>
      <c r="P2206">
        <v>-8.99261911891963E-2</v>
      </c>
      <c r="Q2206">
        <v>6.5325333073443806E-2</v>
      </c>
      <c r="R2206">
        <v>0.94616319882161004</v>
      </c>
      <c r="S2206" t="s">
        <v>8876</v>
      </c>
      <c r="T2206" t="s">
        <v>13338</v>
      </c>
      <c r="U2206" t="s">
        <v>13338</v>
      </c>
      <c r="V2206" t="s">
        <v>13338</v>
      </c>
      <c r="W2206" t="s">
        <v>15506</v>
      </c>
      <c r="X2206">
        <v>5</v>
      </c>
      <c r="Y2206" t="s">
        <v>22080</v>
      </c>
      <c r="Z2206" t="s">
        <v>28621</v>
      </c>
      <c r="AA2206">
        <v>0.22947660620833929</v>
      </c>
      <c r="AB2206" t="str">
        <f>HYPERLINK("Melting_Curves/meltCurve_P19525_EIF2AK2.pdf", "Melting_Curves/meltCurve_P19525_EIF2AK2.pdf")</f>
        <v>Melting_Curves/meltCurve_P19525_EIF2AK2.pdf</v>
      </c>
    </row>
    <row r="2207" spans="1:28" x14ac:dyDescent="0.25">
      <c r="A2207" t="s">
        <v>2211</v>
      </c>
      <c r="B2207">
        <v>0.99193492352474899</v>
      </c>
      <c r="C2207">
        <v>0.80940342131121601</v>
      </c>
      <c r="D2207">
        <v>0.96137638696581096</v>
      </c>
      <c r="E2207">
        <v>0.44475234615493398</v>
      </c>
      <c r="F2207">
        <v>0.43177886094930901</v>
      </c>
      <c r="G2207">
        <v>0.15185566764193001</v>
      </c>
      <c r="H2207">
        <v>0.119337645534521</v>
      </c>
      <c r="I2207">
        <v>0.131939499392244</v>
      </c>
      <c r="J2207">
        <v>0.26752446335335001</v>
      </c>
      <c r="K2207">
        <v>0.34891451091932801</v>
      </c>
      <c r="L2207">
        <v>1201.8570285882899</v>
      </c>
      <c r="M2207">
        <v>24.6317596032229</v>
      </c>
      <c r="N2207">
        <v>49.920038325632099</v>
      </c>
      <c r="O2207">
        <v>48.474807933342902</v>
      </c>
      <c r="P2207">
        <v>-9.9940971943892495E-2</v>
      </c>
      <c r="Q2207">
        <v>0.21328418535510499</v>
      </c>
      <c r="R2207">
        <v>0.89553677828824196</v>
      </c>
      <c r="S2207" t="s">
        <v>8877</v>
      </c>
      <c r="T2207" t="s">
        <v>13338</v>
      </c>
      <c r="U2207" t="s">
        <v>13338</v>
      </c>
      <c r="V2207" t="s">
        <v>13338</v>
      </c>
      <c r="W2207" t="s">
        <v>15507</v>
      </c>
      <c r="X2207">
        <v>1</v>
      </c>
      <c r="Y2207" t="s">
        <v>22081</v>
      </c>
      <c r="Z2207" t="s">
        <v>28622</v>
      </c>
      <c r="AA2207">
        <v>0.45105071625571019</v>
      </c>
      <c r="AB2207" t="str">
        <f>HYPERLINK("Melting_Curves/meltCurve_P19532_TFE3.pdf", "Melting_Curves/meltCurve_P19532_TFE3.pdf")</f>
        <v>Melting_Curves/meltCurve_P19532_TFE3.pdf</v>
      </c>
    </row>
    <row r="2208" spans="1:28" x14ac:dyDescent="0.25">
      <c r="A2208" t="s">
        <v>2212</v>
      </c>
      <c r="B2208">
        <v>0.99193492352474899</v>
      </c>
      <c r="C2208">
        <v>0.85576173426019497</v>
      </c>
      <c r="D2208">
        <v>0.93262380616164897</v>
      </c>
      <c r="E2208">
        <v>0.57923624914553995</v>
      </c>
      <c r="F2208">
        <v>0.17882617192517899</v>
      </c>
      <c r="G2208">
        <v>9.5860914816189496E-2</v>
      </c>
      <c r="H2208">
        <v>5.7618039588077499E-2</v>
      </c>
      <c r="I2208">
        <v>6.6571595563201497E-2</v>
      </c>
      <c r="J2208">
        <v>6.9285341245767296E-2</v>
      </c>
      <c r="K2208">
        <v>6.4960575914301197E-2</v>
      </c>
      <c r="L2208">
        <v>1418.7314974835399</v>
      </c>
      <c r="M2208">
        <v>28.4413807748826</v>
      </c>
      <c r="N2208">
        <v>50.112641962721</v>
      </c>
      <c r="O2208">
        <v>49.638005815487404</v>
      </c>
      <c r="P2208">
        <v>-0.13448070407430501</v>
      </c>
      <c r="Q2208">
        <v>6.1184895463618202E-2</v>
      </c>
      <c r="R2208">
        <v>0.98695621779421705</v>
      </c>
      <c r="S2208" t="s">
        <v>8878</v>
      </c>
      <c r="T2208" t="s">
        <v>13338</v>
      </c>
      <c r="U2208" t="s">
        <v>13338</v>
      </c>
      <c r="V2208" t="s">
        <v>13338</v>
      </c>
      <c r="W2208" t="s">
        <v>15508</v>
      </c>
      <c r="X2208">
        <v>11</v>
      </c>
      <c r="Y2208" t="s">
        <v>22082</v>
      </c>
      <c r="Z2208" t="s">
        <v>28623</v>
      </c>
      <c r="AA2208">
        <v>0.37690830719536361</v>
      </c>
      <c r="AB2208" t="str">
        <f>HYPERLINK("Melting_Curves/meltCurve_P19623_SRM.pdf", "Melting_Curves/meltCurve_P19623_SRM.pdf")</f>
        <v>Melting_Curves/meltCurve_P19623_SRM.pdf</v>
      </c>
    </row>
    <row r="2209" spans="1:28" x14ac:dyDescent="0.25">
      <c r="A2209" t="s">
        <v>2213</v>
      </c>
      <c r="B2209">
        <v>0.99193492352474899</v>
      </c>
      <c r="C2209">
        <v>1.0496235190654799</v>
      </c>
      <c r="D2209">
        <v>0.96836325929896805</v>
      </c>
      <c r="E2209">
        <v>0.88364757888871504</v>
      </c>
      <c r="F2209">
        <v>0.543960819567052</v>
      </c>
      <c r="G2209">
        <v>0.25239609355556503</v>
      </c>
      <c r="H2209">
        <v>0.109607305263011</v>
      </c>
      <c r="I2209">
        <v>0.10619457285325801</v>
      </c>
      <c r="J2209">
        <v>0.128878498283614</v>
      </c>
      <c r="K2209">
        <v>0.11832966258298</v>
      </c>
      <c r="L2209">
        <v>1419.07799721162</v>
      </c>
      <c r="M2209">
        <v>26.712143370341501</v>
      </c>
      <c r="N2209">
        <v>53.6084837998716</v>
      </c>
      <c r="O2209">
        <v>52.829783000616601</v>
      </c>
      <c r="P2209">
        <v>-0.112872454279885</v>
      </c>
      <c r="Q2209">
        <v>0.107078153026218</v>
      </c>
      <c r="R2209">
        <v>0.99719643531879298</v>
      </c>
      <c r="S2209" t="s">
        <v>8879</v>
      </c>
      <c r="T2209" t="s">
        <v>13338</v>
      </c>
      <c r="U2209" t="s">
        <v>13338</v>
      </c>
      <c r="V2209" t="s">
        <v>13338</v>
      </c>
      <c r="W2209" t="s">
        <v>13793</v>
      </c>
      <c r="X2209">
        <v>15</v>
      </c>
      <c r="Y2209" t="s">
        <v>22083</v>
      </c>
      <c r="Z2209" t="s">
        <v>28624</v>
      </c>
      <c r="AA2209">
        <v>0.50498636079778259</v>
      </c>
      <c r="AB2209" t="str">
        <f>HYPERLINK("Melting_Curves/meltCurve_P19784_CSNK2A2.pdf", "Melting_Curves/meltCurve_P19784_CSNK2A2.pdf")</f>
        <v>Melting_Curves/meltCurve_P19784_CSNK2A2.pdf</v>
      </c>
    </row>
    <row r="2210" spans="1:28" x14ac:dyDescent="0.25">
      <c r="A2210" t="s">
        <v>2214</v>
      </c>
      <c r="B2210">
        <v>0.99193492352474899</v>
      </c>
      <c r="C2210">
        <v>0.95417060115268104</v>
      </c>
      <c r="D2210">
        <v>1.0067369007184099</v>
      </c>
      <c r="E2210">
        <v>0.99423518924396104</v>
      </c>
      <c r="F2210">
        <v>0.60970433700210203</v>
      </c>
      <c r="G2210">
        <v>0.60895509703488804</v>
      </c>
      <c r="H2210">
        <v>0.792250331098866</v>
      </c>
      <c r="I2210">
        <v>0.83855264285544395</v>
      </c>
      <c r="J2210">
        <v>1.23573833770302</v>
      </c>
      <c r="K2210">
        <v>1.6983596613581</v>
      </c>
      <c r="L2210">
        <v>15000</v>
      </c>
      <c r="M2210">
        <v>223.433315763454</v>
      </c>
      <c r="O2210">
        <v>67.128745268009595</v>
      </c>
      <c r="P2210">
        <v>0.41605372071799901</v>
      </c>
      <c r="Q2210">
        <v>1.5</v>
      </c>
      <c r="R2210">
        <v>0.54413425074186295</v>
      </c>
      <c r="S2210" t="s">
        <v>8880</v>
      </c>
      <c r="T2210" t="s">
        <v>13338</v>
      </c>
      <c r="U2210" t="s">
        <v>13338</v>
      </c>
      <c r="V2210" t="s">
        <v>13338</v>
      </c>
      <c r="W2210" t="s">
        <v>15509</v>
      </c>
      <c r="X2210">
        <v>1</v>
      </c>
      <c r="Y2210" t="s">
        <v>22084</v>
      </c>
      <c r="Z2210" t="s">
        <v>28625</v>
      </c>
      <c r="AA2210">
        <v>1.047691424053089</v>
      </c>
      <c r="AB2210" t="str">
        <f>HYPERLINK("Melting_Curves/meltCurve_P19835_CEL.pdf", "Melting_Curves/meltCurve_P19835_CEL.pdf")</f>
        <v>Melting_Curves/meltCurve_P19835_CEL.pdf</v>
      </c>
    </row>
    <row r="2211" spans="1:28" x14ac:dyDescent="0.25">
      <c r="A2211" t="s">
        <v>2215</v>
      </c>
      <c r="B2211">
        <v>0.99193492352474899</v>
      </c>
      <c r="C2211">
        <v>0.77544331116012299</v>
      </c>
      <c r="D2211">
        <v>0.48842164154628098</v>
      </c>
      <c r="E2211">
        <v>0.24776353143377</v>
      </c>
      <c r="F2211">
        <v>0.16605322306487499</v>
      </c>
      <c r="G2211">
        <v>0.117574449412644</v>
      </c>
      <c r="H2211">
        <v>6.8401356627490195E-2</v>
      </c>
      <c r="I2211">
        <v>7.58120196014095E-2</v>
      </c>
      <c r="J2211">
        <v>9.8664632309740402E-2</v>
      </c>
      <c r="K2211">
        <v>0.109186029612536</v>
      </c>
      <c r="L2211">
        <v>904.86996866621098</v>
      </c>
      <c r="M2211">
        <v>19.888954565273199</v>
      </c>
      <c r="N2211">
        <v>45.972835570644598</v>
      </c>
      <c r="O2211">
        <v>45.043656301187099</v>
      </c>
      <c r="P2211">
        <v>-0.100104215186734</v>
      </c>
      <c r="Q2211">
        <v>9.3183155508037394E-2</v>
      </c>
      <c r="R2211">
        <v>0.994983280161442</v>
      </c>
      <c r="S2211" t="s">
        <v>8881</v>
      </c>
      <c r="T2211" t="s">
        <v>13338</v>
      </c>
      <c r="U2211" t="s">
        <v>13338</v>
      </c>
      <c r="V2211" t="s">
        <v>13338</v>
      </c>
      <c r="W2211" t="s">
        <v>15510</v>
      </c>
      <c r="X2211">
        <v>9</v>
      </c>
      <c r="Y2211" t="s">
        <v>22085</v>
      </c>
      <c r="Z2211" t="s">
        <v>28626</v>
      </c>
      <c r="AA2211">
        <v>0.27410199616533298</v>
      </c>
      <c r="AB2211" t="str">
        <f>HYPERLINK("Melting_Curves/meltCurve_P19838_NFKB1.pdf", "Melting_Curves/meltCurve_P19838_NFKB1.pdf")</f>
        <v>Melting_Curves/meltCurve_P19838_NFKB1.pdf</v>
      </c>
    </row>
    <row r="2212" spans="1:28" x14ac:dyDescent="0.25">
      <c r="A2212" t="s">
        <v>2216</v>
      </c>
      <c r="B2212">
        <v>0.99193492352474899</v>
      </c>
      <c r="C2212">
        <v>1.08831718319693</v>
      </c>
      <c r="D2212">
        <v>0.92902313457869401</v>
      </c>
      <c r="E2212">
        <v>0.83576385100764805</v>
      </c>
      <c r="F2212">
        <v>0.73670648988591103</v>
      </c>
      <c r="G2212">
        <v>0.50418788480798404</v>
      </c>
      <c r="H2212">
        <v>0.14422755231484399</v>
      </c>
      <c r="I2212">
        <v>0.18992148960199701</v>
      </c>
      <c r="J2212">
        <v>0.216985298916961</v>
      </c>
      <c r="K2212">
        <v>0.21080639176486299</v>
      </c>
      <c r="L2212">
        <v>1088.42806895682</v>
      </c>
      <c r="M2212">
        <v>19.830802481246</v>
      </c>
      <c r="N2212">
        <v>55.954892990320701</v>
      </c>
      <c r="O2212">
        <v>54.336749695298302</v>
      </c>
      <c r="P2212">
        <v>-7.6854337137651593E-2</v>
      </c>
      <c r="Q2212">
        <v>0.157699379596422</v>
      </c>
      <c r="R2212">
        <v>0.96887147743554203</v>
      </c>
      <c r="S2212" t="s">
        <v>8882</v>
      </c>
      <c r="T2212" t="s">
        <v>13338</v>
      </c>
      <c r="U2212" t="s">
        <v>13338</v>
      </c>
      <c r="V2212" t="s">
        <v>13338</v>
      </c>
      <c r="W2212" t="s">
        <v>15511</v>
      </c>
      <c r="X2212">
        <v>18</v>
      </c>
      <c r="Y2212" t="s">
        <v>22086</v>
      </c>
      <c r="Z2212" t="s">
        <v>28627</v>
      </c>
      <c r="AA2212">
        <v>0.58703364008322745</v>
      </c>
      <c r="AB2212" t="str">
        <f>HYPERLINK("Melting_Curves/meltCurve_P20020_5_ATP2B1.pdf", "Melting_Curves/meltCurve_P20020_5_ATP2B1.pdf")</f>
        <v>Melting_Curves/meltCurve_P20020_5_ATP2B1.pdf</v>
      </c>
    </row>
    <row r="2213" spans="1:28" x14ac:dyDescent="0.25">
      <c r="A2213" t="s">
        <v>2217</v>
      </c>
      <c r="B2213">
        <v>0.99193492352474899</v>
      </c>
      <c r="C2213">
        <v>0.57161995648879205</v>
      </c>
      <c r="D2213">
        <v>0.90085909378993501</v>
      </c>
      <c r="E2213">
        <v>0.53625209627141501</v>
      </c>
      <c r="F2213">
        <v>0.465926142174305</v>
      </c>
      <c r="G2213">
        <v>0.14848091855775999</v>
      </c>
      <c r="H2213">
        <v>7.7724588558023402E-2</v>
      </c>
      <c r="I2213">
        <v>7.3568654674777301E-2</v>
      </c>
      <c r="J2213">
        <v>8.0397181057736397E-2</v>
      </c>
      <c r="K2213">
        <v>7.8836493045547296E-2</v>
      </c>
      <c r="L2213">
        <v>521.50936989936395</v>
      </c>
      <c r="M2213">
        <v>10.3512414697741</v>
      </c>
      <c r="N2213">
        <v>50.381335552822797</v>
      </c>
      <c r="O2213">
        <v>48.6097569079677</v>
      </c>
      <c r="P2213">
        <v>-5.3259127648407498E-2</v>
      </c>
      <c r="Q2213">
        <v>0</v>
      </c>
      <c r="R2213">
        <v>0.87708428926053095</v>
      </c>
      <c r="S2213" t="s">
        <v>8883</v>
      </c>
      <c r="T2213" t="s">
        <v>13338</v>
      </c>
      <c r="U2213" t="s">
        <v>13338</v>
      </c>
      <c r="V2213" t="s">
        <v>13338</v>
      </c>
      <c r="W2213" t="s">
        <v>15512</v>
      </c>
      <c r="X2213">
        <v>23</v>
      </c>
      <c r="Y2213" t="s">
        <v>22087</v>
      </c>
      <c r="Z2213" t="s">
        <v>28628</v>
      </c>
      <c r="AA2213">
        <v>0.38788843985502819</v>
      </c>
      <c r="AB2213" t="str">
        <f>HYPERLINK("Melting_Curves/meltCurve_P20042_EIF2S2.pdf", "Melting_Curves/meltCurve_P20042_EIF2S2.pdf")</f>
        <v>Melting_Curves/meltCurve_P20042_EIF2S2.pdf</v>
      </c>
    </row>
    <row r="2214" spans="1:28" x14ac:dyDescent="0.25">
      <c r="A2214" t="s">
        <v>2218</v>
      </c>
      <c r="B2214">
        <v>0.99193492352474899</v>
      </c>
      <c r="C2214">
        <v>0.83389370650815497</v>
      </c>
      <c r="D2214">
        <v>0.91847356595604102</v>
      </c>
      <c r="E2214">
        <v>0.71605063980866801</v>
      </c>
      <c r="F2214">
        <v>0.64853079247782497</v>
      </c>
      <c r="G2214">
        <v>0.46950826416297298</v>
      </c>
      <c r="H2214">
        <v>0.33308455165645801</v>
      </c>
      <c r="I2214">
        <v>0.220257287369647</v>
      </c>
      <c r="J2214">
        <v>0.202578027600442</v>
      </c>
      <c r="K2214">
        <v>0.25674179493627503</v>
      </c>
      <c r="L2214">
        <v>514.36359937393502</v>
      </c>
      <c r="M2214">
        <v>9.4316007397090509</v>
      </c>
      <c r="N2214">
        <v>55.782423262108502</v>
      </c>
      <c r="O2214">
        <v>52.253145986008001</v>
      </c>
      <c r="P2214">
        <v>-4.08627428120431E-2</v>
      </c>
      <c r="Q2214">
        <v>9.4995829227783601E-2</v>
      </c>
      <c r="R2214">
        <v>0.97058718863426496</v>
      </c>
      <c r="S2214" t="s">
        <v>8884</v>
      </c>
      <c r="T2214" t="s">
        <v>13338</v>
      </c>
      <c r="U2214" t="s">
        <v>13338</v>
      </c>
      <c r="V2214" t="s">
        <v>13338</v>
      </c>
      <c r="W2214" t="s">
        <v>15513</v>
      </c>
      <c r="X2214">
        <v>8</v>
      </c>
      <c r="Y2214" t="s">
        <v>22088</v>
      </c>
      <c r="Z2214" t="s">
        <v>28629</v>
      </c>
      <c r="AA2214">
        <v>0.55952476621366543</v>
      </c>
      <c r="AB2214" t="str">
        <f>HYPERLINK("Melting_Curves/meltCurve_P20248_CCNA2.pdf", "Melting_Curves/meltCurve_P20248_CCNA2.pdf")</f>
        <v>Melting_Curves/meltCurve_P20248_CCNA2.pdf</v>
      </c>
    </row>
    <row r="2215" spans="1:28" x14ac:dyDescent="0.25">
      <c r="A2215" t="s">
        <v>2219</v>
      </c>
      <c r="B2215">
        <v>0.99193492352474899</v>
      </c>
      <c r="C2215">
        <v>0.96131749116574905</v>
      </c>
      <c r="D2215">
        <v>0.78230464092470797</v>
      </c>
      <c r="E2215">
        <v>0.78708820576050198</v>
      </c>
      <c r="F2215">
        <v>0.55917690811978105</v>
      </c>
      <c r="G2215">
        <v>0.43950166113706401</v>
      </c>
      <c r="H2215">
        <v>0.448960593724824</v>
      </c>
      <c r="I2215">
        <v>0.52264481859550005</v>
      </c>
      <c r="J2215">
        <v>0.50547642566000905</v>
      </c>
      <c r="K2215">
        <v>0.58673983458590795</v>
      </c>
      <c r="L2215">
        <v>852.52812040847596</v>
      </c>
      <c r="M2215">
        <v>17.637655319328701</v>
      </c>
      <c r="N2215">
        <v>65.052377398817796</v>
      </c>
      <c r="O2215">
        <v>47.727190872592701</v>
      </c>
      <c r="P2215">
        <v>-4.6693261327152298E-2</v>
      </c>
      <c r="Q2215">
        <v>0.49462255048861098</v>
      </c>
      <c r="R2215">
        <v>0.90943085019136405</v>
      </c>
      <c r="S2215" t="s">
        <v>8885</v>
      </c>
      <c r="T2215" t="s">
        <v>13338</v>
      </c>
      <c r="U2215" t="s">
        <v>13338</v>
      </c>
      <c r="V2215" t="s">
        <v>13338</v>
      </c>
      <c r="W2215" t="s">
        <v>15514</v>
      </c>
      <c r="X2215">
        <v>13</v>
      </c>
      <c r="Y2215" t="s">
        <v>22089</v>
      </c>
      <c r="Z2215" t="s">
        <v>28630</v>
      </c>
      <c r="AA2215">
        <v>0.6443062437449828</v>
      </c>
      <c r="AB2215" t="str">
        <f>HYPERLINK("Melting_Curves/meltCurve_P20290_BTF3.pdf", "Melting_Curves/meltCurve_P20290_BTF3.pdf")</f>
        <v>Melting_Curves/meltCurve_P20290_BTF3.pdf</v>
      </c>
    </row>
    <row r="2216" spans="1:28" x14ac:dyDescent="0.25">
      <c r="A2216" t="s">
        <v>2220</v>
      </c>
      <c r="B2216">
        <v>0.99193492352474899</v>
      </c>
      <c r="C2216">
        <v>0.84168302547973695</v>
      </c>
      <c r="D2216">
        <v>0.77913968243196896</v>
      </c>
      <c r="E2216">
        <v>0.72064237059273994</v>
      </c>
      <c r="F2216">
        <v>0.56676209115171705</v>
      </c>
      <c r="G2216">
        <v>0.39551127985303303</v>
      </c>
      <c r="H2216">
        <v>0.35576152998203697</v>
      </c>
      <c r="I2216">
        <v>0.44777494964664299</v>
      </c>
      <c r="J2216">
        <v>0.460488926454591</v>
      </c>
      <c r="K2216">
        <v>0.64200622069778801</v>
      </c>
      <c r="L2216">
        <v>701.01808196355</v>
      </c>
      <c r="M2216">
        <v>14.7954553666693</v>
      </c>
      <c r="N2216">
        <v>56.767382591711097</v>
      </c>
      <c r="O2216">
        <v>46.540349691884302</v>
      </c>
      <c r="P2216">
        <v>-4.31840419728243E-2</v>
      </c>
      <c r="Q2216">
        <v>0.45670191360352702</v>
      </c>
      <c r="R2216">
        <v>0.82593334472176805</v>
      </c>
      <c r="S2216" t="s">
        <v>8886</v>
      </c>
      <c r="T2216" t="s">
        <v>13338</v>
      </c>
      <c r="U2216" t="s">
        <v>13338</v>
      </c>
      <c r="V2216" t="s">
        <v>13338</v>
      </c>
      <c r="W2216" t="s">
        <v>15515</v>
      </c>
      <c r="X2216">
        <v>11</v>
      </c>
      <c r="Y2216" t="s">
        <v>22089</v>
      </c>
      <c r="Z2216" t="s">
        <v>28631</v>
      </c>
      <c r="AA2216">
        <v>0.60520457875618072</v>
      </c>
      <c r="AB2216" t="str">
        <f>HYPERLINK("Melting_Curves/meltCurve_P20290_2_BTF3.pdf", "Melting_Curves/meltCurve_P20290_2_BTF3.pdf")</f>
        <v>Melting_Curves/meltCurve_P20290_2_BTF3.pdf</v>
      </c>
    </row>
    <row r="2217" spans="1:28" x14ac:dyDescent="0.25">
      <c r="A2217" t="s">
        <v>2221</v>
      </c>
      <c r="B2217">
        <v>0.99193492352474899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10192.4845627659</v>
      </c>
      <c r="M2217">
        <v>250</v>
      </c>
      <c r="N2217">
        <v>40.7699514368731</v>
      </c>
      <c r="O2217">
        <v>40.767329674844298</v>
      </c>
      <c r="P2217">
        <v>-1.5330903748164999</v>
      </c>
      <c r="Q2217">
        <v>0</v>
      </c>
      <c r="R2217">
        <v>0.99999999998133404</v>
      </c>
      <c r="S2217" t="s">
        <v>8887</v>
      </c>
      <c r="T2217" t="s">
        <v>13338</v>
      </c>
      <c r="U2217" t="s">
        <v>13338</v>
      </c>
      <c r="V2217" t="s">
        <v>13338</v>
      </c>
      <c r="W2217" t="s">
        <v>15516</v>
      </c>
      <c r="X2217">
        <v>1</v>
      </c>
      <c r="Y2217" t="s">
        <v>22090</v>
      </c>
      <c r="Z2217" t="s">
        <v>28632</v>
      </c>
      <c r="AA2217">
        <v>2.577820212876281E-2</v>
      </c>
      <c r="AB2217" t="str">
        <f>HYPERLINK("Melting_Curves/meltCurve_P20292_ALOX5AP.pdf", "Melting_Curves/meltCurve_P20292_ALOX5AP.pdf")</f>
        <v>Melting_Curves/meltCurve_P20292_ALOX5AP.pdf</v>
      </c>
    </row>
    <row r="2218" spans="1:28" x14ac:dyDescent="0.25">
      <c r="A2218" t="s">
        <v>2222</v>
      </c>
      <c r="B2218">
        <v>0.99193492352474899</v>
      </c>
      <c r="C2218">
        <v>0.96777789365121003</v>
      </c>
      <c r="D2218">
        <v>0.928860189980935</v>
      </c>
      <c r="E2218">
        <v>0.93578477421391504</v>
      </c>
      <c r="F2218">
        <v>0.73705349695895295</v>
      </c>
      <c r="G2218">
        <v>0.65240280728357503</v>
      </c>
      <c r="H2218">
        <v>0.47392495755618202</v>
      </c>
      <c r="I2218">
        <v>0.29579822694809399</v>
      </c>
      <c r="J2218">
        <v>0.16167462179490399</v>
      </c>
      <c r="K2218">
        <v>9.9799295057777807E-2</v>
      </c>
      <c r="L2218">
        <v>712.75488478931698</v>
      </c>
      <c r="M2218">
        <v>12.028710721096299</v>
      </c>
      <c r="N2218">
        <v>59.2544705553154</v>
      </c>
      <c r="O2218">
        <v>57.6880432151723</v>
      </c>
      <c r="P2218">
        <v>-5.2140714311735802E-2</v>
      </c>
      <c r="Q2218">
        <v>0</v>
      </c>
      <c r="R2218">
        <v>0.98878836430405503</v>
      </c>
      <c r="S2218" t="s">
        <v>8888</v>
      </c>
      <c r="T2218" t="s">
        <v>13338</v>
      </c>
      <c r="U2218" t="s">
        <v>13338</v>
      </c>
      <c r="V2218" t="s">
        <v>13338</v>
      </c>
      <c r="W2218" t="s">
        <v>15517</v>
      </c>
      <c r="X2218">
        <v>10</v>
      </c>
      <c r="Y2218" t="s">
        <v>22091</v>
      </c>
      <c r="Z2218" t="s">
        <v>28633</v>
      </c>
      <c r="AA2218">
        <v>0.64844391844447202</v>
      </c>
      <c r="AB2218" t="str">
        <f>HYPERLINK("Melting_Curves/meltCurve_P20336_RAB3A.pdf", "Melting_Curves/meltCurve_P20336_RAB3A.pdf")</f>
        <v>Melting_Curves/meltCurve_P20336_RAB3A.pdf</v>
      </c>
    </row>
    <row r="2219" spans="1:28" x14ac:dyDescent="0.25">
      <c r="A2219" t="s">
        <v>2223</v>
      </c>
      <c r="B2219">
        <v>0.99193492352474899</v>
      </c>
      <c r="C2219">
        <v>0.76114920771886696</v>
      </c>
      <c r="D2219">
        <v>0.98509458696059904</v>
      </c>
      <c r="E2219">
        <v>0.606121841968979</v>
      </c>
      <c r="F2219">
        <v>0.55641320778190995</v>
      </c>
      <c r="G2219">
        <v>0.248193755946512</v>
      </c>
      <c r="H2219">
        <v>0.16471336784955201</v>
      </c>
      <c r="I2219">
        <v>0.214732317777798</v>
      </c>
      <c r="J2219">
        <v>0.32404204298438199</v>
      </c>
      <c r="K2219">
        <v>0.36807509113256398</v>
      </c>
      <c r="L2219">
        <v>921.78317771769605</v>
      </c>
      <c r="M2219">
        <v>18.3728167806794</v>
      </c>
      <c r="N2219">
        <v>52.167473693351397</v>
      </c>
      <c r="O2219">
        <v>49.587984289961703</v>
      </c>
      <c r="P2219">
        <v>-6.9243747276290707E-2</v>
      </c>
      <c r="Q2219">
        <v>0.25248203898126198</v>
      </c>
      <c r="R2219">
        <v>0.87344327500669205</v>
      </c>
      <c r="S2219" t="s">
        <v>8889</v>
      </c>
      <c r="T2219" t="s">
        <v>13338</v>
      </c>
      <c r="U2219" t="s">
        <v>13338</v>
      </c>
      <c r="V2219" t="s">
        <v>13338</v>
      </c>
      <c r="W2219" t="s">
        <v>15518</v>
      </c>
      <c r="X2219">
        <v>3</v>
      </c>
      <c r="Y2219" t="s">
        <v>22092</v>
      </c>
      <c r="Z2219" t="s">
        <v>28634</v>
      </c>
      <c r="AA2219">
        <v>0.51815323512574374</v>
      </c>
      <c r="AB2219" t="str">
        <f>HYPERLINK("Melting_Curves/meltCurve_P20337_RAB3B.pdf", "Melting_Curves/meltCurve_P20337_RAB3B.pdf")</f>
        <v>Melting_Curves/meltCurve_P20337_RAB3B.pdf</v>
      </c>
    </row>
    <row r="2220" spans="1:28" x14ac:dyDescent="0.25">
      <c r="A2220" t="s">
        <v>2224</v>
      </c>
      <c r="B2220">
        <v>0.99193492352474899</v>
      </c>
      <c r="C2220">
        <v>0.917995100032444</v>
      </c>
      <c r="D2220">
        <v>1.0285081425987801</v>
      </c>
      <c r="E2220">
        <v>0.86347450929576897</v>
      </c>
      <c r="F2220">
        <v>0.79403966695237305</v>
      </c>
      <c r="G2220">
        <v>0.60623580386811404</v>
      </c>
      <c r="H2220">
        <v>0.48985135089010801</v>
      </c>
      <c r="I2220">
        <v>0.53622094731449699</v>
      </c>
      <c r="J2220">
        <v>0.40508170163268797</v>
      </c>
      <c r="K2220">
        <v>0.48775052206930702</v>
      </c>
      <c r="L2220">
        <v>926.42273525171697</v>
      </c>
      <c r="M2220">
        <v>17.121139762070701</v>
      </c>
      <c r="N2220">
        <v>62.141938431348997</v>
      </c>
      <c r="O2220">
        <v>53.387874263565699</v>
      </c>
      <c r="P2220">
        <v>-4.4473854294397999E-2</v>
      </c>
      <c r="Q2220">
        <v>0.445312192068262</v>
      </c>
      <c r="R2220">
        <v>0.95953434898478895</v>
      </c>
      <c r="S2220" t="s">
        <v>8890</v>
      </c>
      <c r="T2220" t="s">
        <v>13338</v>
      </c>
      <c r="U2220" t="s">
        <v>13338</v>
      </c>
      <c r="V2220" t="s">
        <v>13338</v>
      </c>
      <c r="W2220" t="s">
        <v>15519</v>
      </c>
      <c r="X2220">
        <v>8</v>
      </c>
      <c r="Y2220" t="s">
        <v>22093</v>
      </c>
      <c r="Z2220" t="s">
        <v>28635</v>
      </c>
      <c r="AA2220">
        <v>0.71570570859025462</v>
      </c>
      <c r="AB2220" t="str">
        <f>HYPERLINK("Melting_Curves/meltCurve_P20338_RAB4A.pdf", "Melting_Curves/meltCurve_P20338_RAB4A.pdf")</f>
        <v>Melting_Curves/meltCurve_P20338_RAB4A.pdf</v>
      </c>
    </row>
    <row r="2221" spans="1:28" x14ac:dyDescent="0.25">
      <c r="A2221" t="s">
        <v>2225</v>
      </c>
      <c r="B2221">
        <v>0.99193492352474899</v>
      </c>
      <c r="C2221">
        <v>0.84859035540218697</v>
      </c>
      <c r="D2221">
        <v>0.94227522699837896</v>
      </c>
      <c r="E2221">
        <v>0.73624114759396497</v>
      </c>
      <c r="F2221">
        <v>0.69493107010106503</v>
      </c>
      <c r="G2221">
        <v>0.507826428113205</v>
      </c>
      <c r="H2221">
        <v>0.42951786699062999</v>
      </c>
      <c r="I2221">
        <v>0.42129986776120898</v>
      </c>
      <c r="J2221">
        <v>0.48466559330487702</v>
      </c>
      <c r="K2221">
        <v>0.36183122703235499</v>
      </c>
      <c r="L2221">
        <v>566.62549642550698</v>
      </c>
      <c r="M2221">
        <v>10.8749398911093</v>
      </c>
      <c r="N2221">
        <v>58.828113343070399</v>
      </c>
      <c r="O2221">
        <v>50.434824488658201</v>
      </c>
      <c r="P2221">
        <v>-3.4741161384926701E-2</v>
      </c>
      <c r="Q2221">
        <v>0.35574954272779202</v>
      </c>
      <c r="R2221">
        <v>0.94470590812963995</v>
      </c>
      <c r="S2221" t="s">
        <v>8891</v>
      </c>
      <c r="T2221" t="s">
        <v>13338</v>
      </c>
      <c r="U2221" t="s">
        <v>13338</v>
      </c>
      <c r="V2221" t="s">
        <v>13338</v>
      </c>
      <c r="W2221" t="s">
        <v>15520</v>
      </c>
      <c r="X2221">
        <v>14</v>
      </c>
      <c r="Y2221" t="s">
        <v>22094</v>
      </c>
      <c r="Z2221" t="s">
        <v>28636</v>
      </c>
      <c r="AA2221">
        <v>0.63773807703436181</v>
      </c>
      <c r="AB2221" t="str">
        <f>HYPERLINK("Melting_Curves/meltCurve_P20340_RAB6A.pdf", "Melting_Curves/meltCurve_P20340_RAB6A.pdf")</f>
        <v>Melting_Curves/meltCurve_P20340_RAB6A.pdf</v>
      </c>
    </row>
    <row r="2222" spans="1:28" x14ac:dyDescent="0.25">
      <c r="A2222" t="s">
        <v>2226</v>
      </c>
      <c r="B2222">
        <v>0.99193492352474899</v>
      </c>
      <c r="C2222">
        <v>1.13327432317909</v>
      </c>
      <c r="D2222">
        <v>1.0556566681817501</v>
      </c>
      <c r="E2222">
        <v>0.91391632437111203</v>
      </c>
      <c r="F2222">
        <v>0.52743630544475795</v>
      </c>
      <c r="G2222">
        <v>0.47498069139114102</v>
      </c>
      <c r="H2222">
        <v>0.41781187915880802</v>
      </c>
      <c r="I2222">
        <v>0.42774957451061002</v>
      </c>
      <c r="J2222">
        <v>0.59550522618925406</v>
      </c>
      <c r="K2222">
        <v>0.40365299488707201</v>
      </c>
      <c r="L2222">
        <v>2718.6944231972502</v>
      </c>
      <c r="M2222">
        <v>53.125155679877899</v>
      </c>
      <c r="N2222">
        <v>53.827731878610003</v>
      </c>
      <c r="O2222">
        <v>51.102902828129302</v>
      </c>
      <c r="P2222">
        <v>-0.13942757783347701</v>
      </c>
      <c r="Q2222">
        <v>0.46351962179953299</v>
      </c>
      <c r="R2222">
        <v>0.941435924831731</v>
      </c>
      <c r="S2222" t="s">
        <v>8892</v>
      </c>
      <c r="T2222" t="s">
        <v>13338</v>
      </c>
      <c r="U2222" t="s">
        <v>13338</v>
      </c>
      <c r="V2222" t="s">
        <v>13338</v>
      </c>
      <c r="W2222" t="s">
        <v>15521</v>
      </c>
      <c r="X2222">
        <v>14</v>
      </c>
      <c r="Y2222" t="s">
        <v>22094</v>
      </c>
      <c r="Z2222" t="s">
        <v>28637</v>
      </c>
      <c r="AA2222">
        <v>0.66443550515231042</v>
      </c>
      <c r="AB2222" t="str">
        <f>HYPERLINK("Melting_Curves/meltCurve_P20340_2_RAB6A.pdf", "Melting_Curves/meltCurve_P20340_2_RAB6A.pdf")</f>
        <v>Melting_Curves/meltCurve_P20340_2_RAB6A.pdf</v>
      </c>
    </row>
    <row r="2223" spans="1:28" x14ac:dyDescent="0.25">
      <c r="A2223" t="s">
        <v>2227</v>
      </c>
      <c r="B2223">
        <v>0.99193492352474899</v>
      </c>
      <c r="C2223">
        <v>1.07427740845522</v>
      </c>
      <c r="D2223">
        <v>0.99242410550302895</v>
      </c>
      <c r="E2223">
        <v>0.99989464332448996</v>
      </c>
      <c r="F2223">
        <v>1.0200295209466499</v>
      </c>
      <c r="G2223">
        <v>1.0109901714757901</v>
      </c>
      <c r="H2223">
        <v>0.73368781667670802</v>
      </c>
      <c r="I2223">
        <v>0.76253229213488405</v>
      </c>
      <c r="J2223">
        <v>0.64145958280816495</v>
      </c>
      <c r="K2223">
        <v>0.27708180451171199</v>
      </c>
      <c r="L2223">
        <v>1141.5001598265101</v>
      </c>
      <c r="M2223">
        <v>16.8649557238592</v>
      </c>
      <c r="N2223">
        <v>67.684742385170196</v>
      </c>
      <c r="O2223">
        <v>66.754577183040297</v>
      </c>
      <c r="P2223">
        <v>-6.3164312288381999E-2</v>
      </c>
      <c r="Q2223">
        <v>0</v>
      </c>
      <c r="R2223">
        <v>0.91491032650252802</v>
      </c>
      <c r="S2223" t="s">
        <v>8893</v>
      </c>
      <c r="T2223" t="s">
        <v>13338</v>
      </c>
      <c r="U2223" t="s">
        <v>13338</v>
      </c>
      <c r="V2223" t="s">
        <v>13338</v>
      </c>
      <c r="W2223" t="s">
        <v>15522</v>
      </c>
      <c r="X2223">
        <v>17</v>
      </c>
      <c r="Y2223" t="s">
        <v>22095</v>
      </c>
      <c r="Z2223" t="s">
        <v>28638</v>
      </c>
      <c r="AA2223">
        <v>0.87430772797403078</v>
      </c>
      <c r="AB2223" t="str">
        <f>HYPERLINK("Melting_Curves/meltCurve_P20618_PSMB1.pdf", "Melting_Curves/meltCurve_P20618_PSMB1.pdf")</f>
        <v>Melting_Curves/meltCurve_P20618_PSMB1.pdf</v>
      </c>
    </row>
    <row r="2224" spans="1:28" x14ac:dyDescent="0.25">
      <c r="A2224" t="s">
        <v>2228</v>
      </c>
      <c r="B2224">
        <v>0.99193492352474899</v>
      </c>
      <c r="C2224">
        <v>0.87124612977841898</v>
      </c>
      <c r="D2224">
        <v>0.86613412077698104</v>
      </c>
      <c r="E2224">
        <v>0.67946008180051298</v>
      </c>
      <c r="F2224">
        <v>0.61320719752142405</v>
      </c>
      <c r="G2224">
        <v>0.45236074615476002</v>
      </c>
      <c r="H2224">
        <v>0.36250288639452199</v>
      </c>
      <c r="I2224">
        <v>0.36796978354390403</v>
      </c>
      <c r="J2224">
        <v>0.37330429885801297</v>
      </c>
      <c r="K2224">
        <v>0.412886238252204</v>
      </c>
      <c r="L2224">
        <v>616.57009500413596</v>
      </c>
      <c r="M2224">
        <v>12.278049312666701</v>
      </c>
      <c r="N2224">
        <v>55.451438083094502</v>
      </c>
      <c r="O2224">
        <v>48.940896745652402</v>
      </c>
      <c r="P2224">
        <v>-4.12095327817944E-2</v>
      </c>
      <c r="Q2224">
        <v>0.343092304778918</v>
      </c>
      <c r="R2224">
        <v>0.97545406684589298</v>
      </c>
      <c r="S2224" t="s">
        <v>8894</v>
      </c>
      <c r="T2224" t="s">
        <v>13338</v>
      </c>
      <c r="U2224" t="s">
        <v>13338</v>
      </c>
      <c r="V2224" t="s">
        <v>13338</v>
      </c>
      <c r="W2224" t="s">
        <v>15523</v>
      </c>
      <c r="X2224">
        <v>9</v>
      </c>
      <c r="Y2224" t="s">
        <v>22096</v>
      </c>
      <c r="Z2224" t="s">
        <v>28639</v>
      </c>
      <c r="AA2224">
        <v>0.58848829611275499</v>
      </c>
      <c r="AB2224" t="str">
        <f>HYPERLINK("Melting_Curves/meltCurve_P20645_M6PR.pdf", "Melting_Curves/meltCurve_P20645_M6PR.pdf")</f>
        <v>Melting_Curves/meltCurve_P20645_M6PR.pdf</v>
      </c>
    </row>
    <row r="2225" spans="1:28" x14ac:dyDescent="0.25">
      <c r="A2225" t="s">
        <v>2229</v>
      </c>
      <c r="B2225">
        <v>0.99193492352474899</v>
      </c>
      <c r="C2225">
        <v>0.77836812700098501</v>
      </c>
      <c r="D2225">
        <v>0.79492510212054901</v>
      </c>
      <c r="E2225">
        <v>0.57444201060067002</v>
      </c>
      <c r="F2225">
        <v>0.61499346807940403</v>
      </c>
      <c r="G2225">
        <v>0.336636512521302</v>
      </c>
      <c r="H2225">
        <v>0.53634794214349102</v>
      </c>
      <c r="I2225">
        <v>0.77426852322820305</v>
      </c>
      <c r="J2225">
        <v>2.7931511719839501</v>
      </c>
      <c r="K2225">
        <v>3.4976021006634799</v>
      </c>
      <c r="L2225">
        <v>5124.18516845452</v>
      </c>
      <c r="M2225">
        <v>79.1386319049452</v>
      </c>
      <c r="O2225">
        <v>64.708178608535206</v>
      </c>
      <c r="P2225">
        <v>0.152876067184578</v>
      </c>
      <c r="Q2225">
        <v>1.5</v>
      </c>
      <c r="R2225">
        <v>0.32401008273619702</v>
      </c>
      <c r="S2225" t="s">
        <v>8895</v>
      </c>
      <c r="T2225" t="s">
        <v>13338</v>
      </c>
      <c r="U2225" t="s">
        <v>13338</v>
      </c>
      <c r="V2225" t="s">
        <v>13338</v>
      </c>
      <c r="W2225" t="s">
        <v>15524</v>
      </c>
      <c r="X2225">
        <v>5</v>
      </c>
      <c r="Y2225" t="s">
        <v>22097</v>
      </c>
      <c r="Z2225" t="s">
        <v>28640</v>
      </c>
      <c r="AA2225">
        <v>1.0869838168508159</v>
      </c>
      <c r="AB2225" t="str">
        <f>HYPERLINK("Melting_Curves/meltCurve_P20671_HIST1H2AD.pdf", "Melting_Curves/meltCurve_P20671_HIST1H2AD.pdf")</f>
        <v>Melting_Curves/meltCurve_P20671_HIST1H2AD.pdf</v>
      </c>
    </row>
    <row r="2226" spans="1:28" x14ac:dyDescent="0.25">
      <c r="A2226" t="s">
        <v>2230</v>
      </c>
      <c r="B2226">
        <v>0.99193492352474899</v>
      </c>
      <c r="C2226">
        <v>1.07310552855445</v>
      </c>
      <c r="D2226">
        <v>0.91527160518542705</v>
      </c>
      <c r="E2226">
        <v>0.87430444312454303</v>
      </c>
      <c r="F2226">
        <v>0.63656593647280602</v>
      </c>
      <c r="G2226">
        <v>0.38556544536858001</v>
      </c>
      <c r="H2226">
        <v>0.37808339999191998</v>
      </c>
      <c r="I2226">
        <v>0.53545883889786505</v>
      </c>
      <c r="J2226">
        <v>0.52067351938488604</v>
      </c>
      <c r="K2226">
        <v>0.58858885358502999</v>
      </c>
      <c r="L2226">
        <v>1799.89726696145</v>
      </c>
      <c r="M2226">
        <v>35.077615854541399</v>
      </c>
      <c r="N2226">
        <v>56.8717495377768</v>
      </c>
      <c r="O2226">
        <v>51.1459371194954</v>
      </c>
      <c r="P2226">
        <v>-8.8508100410711693E-2</v>
      </c>
      <c r="Q2226">
        <v>0.483794572477451</v>
      </c>
      <c r="R2226">
        <v>0.90919672084234804</v>
      </c>
      <c r="S2226" t="s">
        <v>8896</v>
      </c>
      <c r="T2226" t="s">
        <v>13338</v>
      </c>
      <c r="U2226" t="s">
        <v>13338</v>
      </c>
      <c r="V2226" t="s">
        <v>13338</v>
      </c>
      <c r="W2226" t="s">
        <v>15525</v>
      </c>
      <c r="X2226">
        <v>8</v>
      </c>
      <c r="Y2226" t="s">
        <v>22098</v>
      </c>
      <c r="Z2226" t="s">
        <v>28641</v>
      </c>
      <c r="AA2226">
        <v>0.68082005256214539</v>
      </c>
      <c r="AB2226" t="str">
        <f>HYPERLINK("Melting_Curves/meltCurve_P20674_COX5A.pdf", "Melting_Curves/meltCurve_P20674_COX5A.pdf")</f>
        <v>Melting_Curves/meltCurve_P20674_COX5A.pdf</v>
      </c>
    </row>
    <row r="2227" spans="1:28" x14ac:dyDescent="0.25">
      <c r="A2227" t="s">
        <v>2231</v>
      </c>
      <c r="B2227">
        <v>0.99193492352474899</v>
      </c>
      <c r="C2227">
        <v>0.96419697006286997</v>
      </c>
      <c r="D2227">
        <v>0.89837339587494802</v>
      </c>
      <c r="E2227">
        <v>0.53071789831519001</v>
      </c>
      <c r="F2227">
        <v>0.21012183472938301</v>
      </c>
      <c r="G2227">
        <v>0.12515191253897201</v>
      </c>
      <c r="H2227">
        <v>7.7015076847467903E-2</v>
      </c>
      <c r="I2227">
        <v>9.2718273911085003E-2</v>
      </c>
      <c r="J2227">
        <v>0.111237804056614</v>
      </c>
      <c r="K2227">
        <v>0.103821737738905</v>
      </c>
      <c r="L2227">
        <v>1336.6301778398099</v>
      </c>
      <c r="M2227">
        <v>27.026372215951699</v>
      </c>
      <c r="N2227">
        <v>49.843523687511599</v>
      </c>
      <c r="O2227">
        <v>49.188124093748002</v>
      </c>
      <c r="P2227">
        <v>-0.124363197158365</v>
      </c>
      <c r="Q2227">
        <v>9.4642526675434005E-2</v>
      </c>
      <c r="R2227">
        <v>0.99898893192712201</v>
      </c>
      <c r="S2227" t="s">
        <v>8897</v>
      </c>
      <c r="T2227" t="s">
        <v>13338</v>
      </c>
      <c r="U2227" t="s">
        <v>13338</v>
      </c>
      <c r="V2227" t="s">
        <v>13338</v>
      </c>
      <c r="W2227" t="s">
        <v>15526</v>
      </c>
      <c r="X2227">
        <v>66</v>
      </c>
      <c r="Y2227" t="s">
        <v>22099</v>
      </c>
      <c r="Z2227" t="s">
        <v>28642</v>
      </c>
      <c r="AA2227">
        <v>0.38689478075783901</v>
      </c>
      <c r="AB2227" t="str">
        <f>HYPERLINK("Melting_Curves/meltCurve_P20700_LMNB1.pdf", "Melting_Curves/meltCurve_P20700_LMNB1.pdf")</f>
        <v>Melting_Curves/meltCurve_P20700_LMNB1.pdf</v>
      </c>
    </row>
    <row r="2228" spans="1:28" x14ac:dyDescent="0.25">
      <c r="A2228" t="s">
        <v>2232</v>
      </c>
      <c r="B2228">
        <v>0.99193492352474899</v>
      </c>
      <c r="C2228">
        <v>1.01369735383507</v>
      </c>
      <c r="D2228">
        <v>0.99078535239506105</v>
      </c>
      <c r="E2228">
        <v>0.78148505289987702</v>
      </c>
      <c r="F2228">
        <v>0.62947899684453601</v>
      </c>
      <c r="G2228">
        <v>0.39754135027241799</v>
      </c>
      <c r="H2228">
        <v>0.277348587431132</v>
      </c>
      <c r="I2228">
        <v>0.29277180972619699</v>
      </c>
      <c r="J2228">
        <v>0.34863545340649599</v>
      </c>
      <c r="K2228">
        <v>0.32873602740687302</v>
      </c>
      <c r="L2228">
        <v>1109.7124083138301</v>
      </c>
      <c r="M2228">
        <v>21.244618806544299</v>
      </c>
      <c r="N2228">
        <v>54.596344764607501</v>
      </c>
      <c r="O2228">
        <v>51.778775156305599</v>
      </c>
      <c r="P2228">
        <v>-7.1751266951994797E-2</v>
      </c>
      <c r="Q2228">
        <v>0.30051042939970102</v>
      </c>
      <c r="R2228">
        <v>0.98674483367308896</v>
      </c>
      <c r="S2228" t="s">
        <v>8898</v>
      </c>
      <c r="T2228" t="s">
        <v>13338</v>
      </c>
      <c r="U2228" t="s">
        <v>13338</v>
      </c>
      <c r="V2228" t="s">
        <v>13338</v>
      </c>
      <c r="W2228" t="s">
        <v>15527</v>
      </c>
      <c r="X2228">
        <v>23</v>
      </c>
      <c r="Y2228" t="s">
        <v>22100</v>
      </c>
      <c r="Z2228" t="s">
        <v>28643</v>
      </c>
      <c r="AA2228">
        <v>0.59446145887528057</v>
      </c>
      <c r="AB2228" t="str">
        <f>HYPERLINK("Melting_Curves/meltCurve_P20701_ITGAL.pdf", "Melting_Curves/meltCurve_P20701_ITGAL.pdf")</f>
        <v>Melting_Curves/meltCurve_P20701_ITGAL.pdf</v>
      </c>
    </row>
    <row r="2229" spans="1:28" x14ac:dyDescent="0.25">
      <c r="A2229" t="s">
        <v>2233</v>
      </c>
      <c r="B2229">
        <v>0.99193492352474899</v>
      </c>
      <c r="C2229">
        <v>0.81857301011518901</v>
      </c>
      <c r="D2229">
        <v>0.80572785786085499</v>
      </c>
      <c r="E2229">
        <v>0.450433267331531</v>
      </c>
      <c r="F2229">
        <v>0.23499395144205501</v>
      </c>
      <c r="G2229">
        <v>0.143005202780948</v>
      </c>
      <c r="H2229">
        <v>9.5929890413413293E-2</v>
      </c>
      <c r="I2229">
        <v>8.3910767040164702E-2</v>
      </c>
      <c r="J2229">
        <v>0.120957790936494</v>
      </c>
      <c r="K2229">
        <v>0.13581470118823399</v>
      </c>
      <c r="L2229">
        <v>864.644200920137</v>
      </c>
      <c r="M2229">
        <v>17.8476474570693</v>
      </c>
      <c r="N2229">
        <v>49.017911664292299</v>
      </c>
      <c r="O2229">
        <v>47.849917631978002</v>
      </c>
      <c r="P2229">
        <v>-8.4485519811377793E-2</v>
      </c>
      <c r="Q2229">
        <v>9.4016417153168302E-2</v>
      </c>
      <c r="R2229">
        <v>0.98524916159355902</v>
      </c>
      <c r="S2229" t="s">
        <v>8899</v>
      </c>
      <c r="T2229" t="s">
        <v>13338</v>
      </c>
      <c r="U2229" t="s">
        <v>13338</v>
      </c>
      <c r="V2229" t="s">
        <v>13338</v>
      </c>
      <c r="W2229" t="s">
        <v>15528</v>
      </c>
      <c r="X2229">
        <v>1</v>
      </c>
      <c r="Y2229" t="s">
        <v>22101</v>
      </c>
      <c r="Z2229" t="s">
        <v>28644</v>
      </c>
      <c r="AA2229">
        <v>0.36523471932259921</v>
      </c>
      <c r="AB2229" t="str">
        <f>HYPERLINK("Melting_Curves/meltCurve_P20774_OGN.pdf", "Melting_Curves/meltCurve_P20774_OGN.pdf")</f>
        <v>Melting_Curves/meltCurve_P20774_OGN.pdf</v>
      </c>
    </row>
    <row r="2230" spans="1:28" x14ac:dyDescent="0.25">
      <c r="A2230" t="s">
        <v>2234</v>
      </c>
      <c r="B2230">
        <v>0.99193492352474899</v>
      </c>
      <c r="C2230">
        <v>0.80322604584878399</v>
      </c>
      <c r="D2230">
        <v>0.69912665153182196</v>
      </c>
      <c r="E2230">
        <v>0.63311868075933897</v>
      </c>
      <c r="F2230">
        <v>0.51624983181772399</v>
      </c>
      <c r="G2230">
        <v>0.46823109640168398</v>
      </c>
      <c r="H2230">
        <v>0.430054693640333</v>
      </c>
      <c r="I2230">
        <v>0.62820033205389803</v>
      </c>
      <c r="J2230">
        <v>0.68478871129001695</v>
      </c>
      <c r="K2230">
        <v>0.86047283340694003</v>
      </c>
      <c r="L2230">
        <v>1187.05160078064</v>
      </c>
      <c r="M2230">
        <v>27.396656697491501</v>
      </c>
      <c r="O2230">
        <v>43.099463900005802</v>
      </c>
      <c r="P2230">
        <v>-6.3072760302149894E-2</v>
      </c>
      <c r="Q2230">
        <v>0.60310827562617797</v>
      </c>
      <c r="R2230">
        <v>0.53311352137245605</v>
      </c>
      <c r="S2230" t="s">
        <v>8900</v>
      </c>
      <c r="T2230" t="s">
        <v>13338</v>
      </c>
      <c r="U2230" t="s">
        <v>13338</v>
      </c>
      <c r="V2230" t="s">
        <v>13338</v>
      </c>
      <c r="W2230" t="s">
        <v>15529</v>
      </c>
      <c r="X2230">
        <v>3</v>
      </c>
      <c r="Y2230" t="s">
        <v>22102</v>
      </c>
      <c r="Z2230" t="s">
        <v>28645</v>
      </c>
      <c r="AA2230">
        <v>0.65132834337737078</v>
      </c>
      <c r="AB2230" t="str">
        <f>HYPERLINK("Melting_Curves/meltCurve_P20962_PTMS.pdf", "Melting_Curves/meltCurve_P20962_PTMS.pdf")</f>
        <v>Melting_Curves/meltCurve_P20962_PTMS.pdf</v>
      </c>
    </row>
    <row r="2231" spans="1:28" x14ac:dyDescent="0.25">
      <c r="A2231" t="s">
        <v>2235</v>
      </c>
      <c r="B2231">
        <v>0.99193492352474899</v>
      </c>
      <c r="C2231">
        <v>0.79317998461732497</v>
      </c>
      <c r="D2231">
        <v>0.87310745341441098</v>
      </c>
      <c r="E2231">
        <v>0.64854709369858998</v>
      </c>
      <c r="F2231">
        <v>0.55966506367665603</v>
      </c>
      <c r="G2231">
        <v>0.389111602265791</v>
      </c>
      <c r="H2231">
        <v>0.365805686949079</v>
      </c>
      <c r="I2231">
        <v>0.41677707834675298</v>
      </c>
      <c r="J2231">
        <v>0.56633965941481501</v>
      </c>
      <c r="K2231">
        <v>0.66335844954426604</v>
      </c>
      <c r="L2231">
        <v>804.38498014244703</v>
      </c>
      <c r="M2231">
        <v>17.070928211376199</v>
      </c>
      <c r="N2231">
        <v>57.943104561798002</v>
      </c>
      <c r="O2231">
        <v>46.487799583624799</v>
      </c>
      <c r="P2231">
        <v>-4.7797027660424797E-2</v>
      </c>
      <c r="Q2231">
        <v>0.47938530195201901</v>
      </c>
      <c r="R2231">
        <v>0.75833023195469296</v>
      </c>
      <c r="S2231" t="s">
        <v>8901</v>
      </c>
      <c r="T2231" t="s">
        <v>13338</v>
      </c>
      <c r="U2231" t="s">
        <v>13338</v>
      </c>
      <c r="V2231" t="s">
        <v>13338</v>
      </c>
      <c r="W2231" t="s">
        <v>15530</v>
      </c>
      <c r="X2231">
        <v>17</v>
      </c>
      <c r="Y2231" t="s">
        <v>22103</v>
      </c>
      <c r="Z2231" t="s">
        <v>28646</v>
      </c>
      <c r="AA2231">
        <v>0.61365214485120534</v>
      </c>
      <c r="AB2231" t="str">
        <f>HYPERLINK("Melting_Curves/meltCurve_P20963_CD247.pdf", "Melting_Curves/meltCurve_P20963_CD247.pdf")</f>
        <v>Melting_Curves/meltCurve_P20963_CD247.pdf</v>
      </c>
    </row>
    <row r="2232" spans="1:28" x14ac:dyDescent="0.25">
      <c r="A2232" t="s">
        <v>2236</v>
      </c>
      <c r="B2232">
        <v>0.99193492352474899</v>
      </c>
      <c r="C2232">
        <v>0.84018347916812397</v>
      </c>
      <c r="D2232">
        <v>0.91449045169433196</v>
      </c>
      <c r="E2232">
        <v>0.50030202740822205</v>
      </c>
      <c r="F2232">
        <v>0.25224424840899101</v>
      </c>
      <c r="G2232">
        <v>0.12981465263827099</v>
      </c>
      <c r="H2232">
        <v>8.4857944384565495E-2</v>
      </c>
      <c r="I2232">
        <v>0.113461546999556</v>
      </c>
      <c r="J2232">
        <v>0.13107812714963801</v>
      </c>
      <c r="K2232">
        <v>0.13526113894504799</v>
      </c>
      <c r="L2232">
        <v>1173.10743324852</v>
      </c>
      <c r="M2232">
        <v>23.823605982404001</v>
      </c>
      <c r="N2232">
        <v>49.7612400512756</v>
      </c>
      <c r="O2232">
        <v>48.898381278541201</v>
      </c>
      <c r="P2232">
        <v>-0.108385310663694</v>
      </c>
      <c r="Q2232">
        <v>0.110163400172871</v>
      </c>
      <c r="R2232">
        <v>0.98068021609065703</v>
      </c>
      <c r="S2232" t="s">
        <v>8902</v>
      </c>
      <c r="T2232" t="s">
        <v>13338</v>
      </c>
      <c r="U2232" t="s">
        <v>13338</v>
      </c>
      <c r="V2232" t="s">
        <v>13338</v>
      </c>
      <c r="W2232" t="s">
        <v>15531</v>
      </c>
      <c r="X2232">
        <v>17</v>
      </c>
      <c r="Y2232" t="s">
        <v>22104</v>
      </c>
      <c r="Z2232" t="s">
        <v>28647</v>
      </c>
      <c r="AA2232">
        <v>0.3929917489625388</v>
      </c>
      <c r="AB2232" t="str">
        <f>HYPERLINK("Melting_Curves/meltCurve_P21127_8_CDK11B.pdf", "Melting_Curves/meltCurve_P21127_8_CDK11B.pdf")</f>
        <v>Melting_Curves/meltCurve_P21127_8_CDK11B.pdf</v>
      </c>
    </row>
    <row r="2233" spans="1:28" x14ac:dyDescent="0.25">
      <c r="A2233" t="s">
        <v>2237</v>
      </c>
      <c r="B2233">
        <v>0.99193492352474899</v>
      </c>
      <c r="C2233">
        <v>0.90997458253998698</v>
      </c>
      <c r="D2233">
        <v>0.81996191927297102</v>
      </c>
      <c r="E2233">
        <v>0.35959410682173998</v>
      </c>
      <c r="F2233">
        <v>0.193260779536056</v>
      </c>
      <c r="G2233">
        <v>0.13373428715476801</v>
      </c>
      <c r="H2233">
        <v>8.5713314254687298E-2</v>
      </c>
      <c r="I2233">
        <v>0.11003756192316599</v>
      </c>
      <c r="J2233">
        <v>9.0118724860905594E-2</v>
      </c>
      <c r="K2233">
        <v>0.110246440166454</v>
      </c>
      <c r="L2233">
        <v>1240.3751862020699</v>
      </c>
      <c r="M2233">
        <v>25.7910513924584</v>
      </c>
      <c r="N2233">
        <v>48.5263309516357</v>
      </c>
      <c r="O2233">
        <v>47.806907462344498</v>
      </c>
      <c r="P2233">
        <v>-0.121006287132298</v>
      </c>
      <c r="Q2233">
        <v>0.10281027160536001</v>
      </c>
      <c r="R2233">
        <v>0.99548751934474899</v>
      </c>
      <c r="S2233" t="s">
        <v>8903</v>
      </c>
      <c r="T2233" t="s">
        <v>13338</v>
      </c>
      <c r="U2233" t="s">
        <v>13338</v>
      </c>
      <c r="V2233" t="s">
        <v>13338</v>
      </c>
      <c r="W2233" t="s">
        <v>15532</v>
      </c>
      <c r="X2233">
        <v>11</v>
      </c>
      <c r="Y2233" t="s">
        <v>22105</v>
      </c>
      <c r="Z2233" t="s">
        <v>28648</v>
      </c>
      <c r="AA2233">
        <v>0.35227233767243848</v>
      </c>
      <c r="AB2233" t="str">
        <f>HYPERLINK("Melting_Curves/meltCurve_P21266_GSTM3.pdf", "Melting_Curves/meltCurve_P21266_GSTM3.pdf")</f>
        <v>Melting_Curves/meltCurve_P21266_GSTM3.pdf</v>
      </c>
    </row>
    <row r="2234" spans="1:28" x14ac:dyDescent="0.25">
      <c r="A2234" t="s">
        <v>2238</v>
      </c>
      <c r="B2234">
        <v>0.99193492352474899</v>
      </c>
      <c r="C2234">
        <v>0.90989732485516195</v>
      </c>
      <c r="D2234">
        <v>0.95031355500771797</v>
      </c>
      <c r="E2234">
        <v>0.79991044823907798</v>
      </c>
      <c r="F2234">
        <v>0.61074188521995099</v>
      </c>
      <c r="G2234">
        <v>0.45588253368084802</v>
      </c>
      <c r="H2234">
        <v>0.281931383965006</v>
      </c>
      <c r="I2234">
        <v>0.18751206655130601</v>
      </c>
      <c r="J2234">
        <v>0.17041310135676799</v>
      </c>
      <c r="K2234">
        <v>0.15541708507037</v>
      </c>
      <c r="L2234">
        <v>681.76110018411703</v>
      </c>
      <c r="M2234">
        <v>12.471717790965601</v>
      </c>
      <c r="N2234">
        <v>55.4894482777948</v>
      </c>
      <c r="O2234">
        <v>53.316219657236303</v>
      </c>
      <c r="P2234">
        <v>-5.3542856833207302E-2</v>
      </c>
      <c r="Q2234">
        <v>8.4613422395904095E-2</v>
      </c>
      <c r="R2234">
        <v>0.99439117734037596</v>
      </c>
      <c r="S2234" t="s">
        <v>8904</v>
      </c>
      <c r="T2234" t="s">
        <v>13338</v>
      </c>
      <c r="U2234" t="s">
        <v>13338</v>
      </c>
      <c r="V2234" t="s">
        <v>13338</v>
      </c>
      <c r="W2234" t="s">
        <v>15533</v>
      </c>
      <c r="X2234">
        <v>17</v>
      </c>
      <c r="Y2234" t="s">
        <v>22106</v>
      </c>
      <c r="Z2234" t="s">
        <v>28649</v>
      </c>
      <c r="AA2234">
        <v>0.55371278348406816</v>
      </c>
      <c r="AB2234" t="str">
        <f>HYPERLINK("Melting_Curves/meltCurve_P21281_ATP6V1B2.pdf", "Melting_Curves/meltCurve_P21281_ATP6V1B2.pdf")</f>
        <v>Melting_Curves/meltCurve_P21281_ATP6V1B2.pdf</v>
      </c>
    </row>
    <row r="2235" spans="1:28" x14ac:dyDescent="0.25">
      <c r="A2235" t="s">
        <v>2239</v>
      </c>
      <c r="B2235">
        <v>0.99193492352474899</v>
      </c>
      <c r="C2235">
        <v>0.909001905709932</v>
      </c>
      <c r="D2235">
        <v>0.73739290255355405</v>
      </c>
      <c r="E2235">
        <v>0.57176714075216495</v>
      </c>
      <c r="F2235">
        <v>0.29308713466143399</v>
      </c>
      <c r="G2235">
        <v>0.15111119793293801</v>
      </c>
      <c r="H2235">
        <v>5.3383752954456999E-2</v>
      </c>
      <c r="I2235">
        <v>6.2895099213662903E-2</v>
      </c>
      <c r="J2235">
        <v>7.3451656266415893E-2</v>
      </c>
      <c r="K2235">
        <v>8.4520785303366694E-2</v>
      </c>
      <c r="L2235">
        <v>746.035923647971</v>
      </c>
      <c r="M2235">
        <v>15.019019608354199</v>
      </c>
      <c r="N2235">
        <v>49.937947693903901</v>
      </c>
      <c r="O2235">
        <v>48.817086688660901</v>
      </c>
      <c r="P2235">
        <v>-7.3973952779240001E-2</v>
      </c>
      <c r="Q2235">
        <v>3.83314139362078E-2</v>
      </c>
      <c r="R2235">
        <v>0.99390568764431497</v>
      </c>
      <c r="S2235" t="s">
        <v>8905</v>
      </c>
      <c r="T2235" t="s">
        <v>13338</v>
      </c>
      <c r="U2235" t="s">
        <v>13338</v>
      </c>
      <c r="V2235" t="s">
        <v>13338</v>
      </c>
      <c r="W2235" t="s">
        <v>15534</v>
      </c>
      <c r="X2235">
        <v>16</v>
      </c>
      <c r="Y2235" t="s">
        <v>22107</v>
      </c>
      <c r="Z2235" t="s">
        <v>28650</v>
      </c>
      <c r="AA2235">
        <v>0.37152381956230329</v>
      </c>
      <c r="AB2235" t="str">
        <f>HYPERLINK("Melting_Curves/meltCurve_P21283_ATP6V1C1.pdf", "Melting_Curves/meltCurve_P21283_ATP6V1C1.pdf")</f>
        <v>Melting_Curves/meltCurve_P21283_ATP6V1C1.pdf</v>
      </c>
    </row>
    <row r="2236" spans="1:28" x14ac:dyDescent="0.25">
      <c r="A2236" t="s">
        <v>2240</v>
      </c>
      <c r="B2236">
        <v>0.99193492352474899</v>
      </c>
      <c r="C2236">
        <v>1.01494300983985</v>
      </c>
      <c r="D2236">
        <v>1.03736662221299</v>
      </c>
      <c r="E2236">
        <v>0.94162829148499005</v>
      </c>
      <c r="F2236">
        <v>0.70906744086200202</v>
      </c>
      <c r="G2236">
        <v>0.512000013628368</v>
      </c>
      <c r="H2236">
        <v>0.43738269524766399</v>
      </c>
      <c r="I2236">
        <v>0.44328120057849402</v>
      </c>
      <c r="J2236">
        <v>0.56471737178681403</v>
      </c>
      <c r="K2236">
        <v>0.72551092035556697</v>
      </c>
      <c r="L2236">
        <v>2321.4126546806401</v>
      </c>
      <c r="M2236">
        <v>44.273100446054002</v>
      </c>
      <c r="O2236">
        <v>52.327290593921603</v>
      </c>
      <c r="P2236">
        <v>-9.8351698108494895E-2</v>
      </c>
      <c r="Q2236">
        <v>0.53502504102901205</v>
      </c>
      <c r="R2236">
        <v>0.88844324618006798</v>
      </c>
      <c r="S2236" t="s">
        <v>8906</v>
      </c>
      <c r="T2236" t="s">
        <v>13338</v>
      </c>
      <c r="U2236" t="s">
        <v>13338</v>
      </c>
      <c r="V2236" t="s">
        <v>13338</v>
      </c>
      <c r="W2236" t="s">
        <v>15535</v>
      </c>
      <c r="X2236">
        <v>9</v>
      </c>
      <c r="Y2236" t="s">
        <v>22108</v>
      </c>
      <c r="Z2236" t="s">
        <v>28651</v>
      </c>
      <c r="AA2236">
        <v>0.72911385683937069</v>
      </c>
      <c r="AB2236" t="str">
        <f>HYPERLINK("Melting_Curves/meltCurve_P21291_CSRP1.pdf", "Melting_Curves/meltCurve_P21291_CSRP1.pdf")</f>
        <v>Melting_Curves/meltCurve_P21291_CSRP1.pdf</v>
      </c>
    </row>
    <row r="2237" spans="1:28" x14ac:dyDescent="0.25">
      <c r="A2237" t="s">
        <v>2241</v>
      </c>
      <c r="B2237">
        <v>0.99193492352474899</v>
      </c>
      <c r="C2237">
        <v>0.88501431928741103</v>
      </c>
      <c r="D2237">
        <v>0.81947582999394997</v>
      </c>
      <c r="E2237">
        <v>0.36374180564715197</v>
      </c>
      <c r="F2237">
        <v>0.139534004034886</v>
      </c>
      <c r="G2237">
        <v>8.1480126372335204E-2</v>
      </c>
      <c r="H2237">
        <v>5.7286496506138603E-2</v>
      </c>
      <c r="I2237">
        <v>6.7236586134867896E-2</v>
      </c>
      <c r="J2237">
        <v>7.0519223857455002E-2</v>
      </c>
      <c r="K2237">
        <v>7.9073031498245405E-2</v>
      </c>
      <c r="L2237">
        <v>1224.8348777001199</v>
      </c>
      <c r="M2237">
        <v>25.4015236256888</v>
      </c>
      <c r="N2237">
        <v>48.482131845702497</v>
      </c>
      <c r="O2237">
        <v>47.923082918121104</v>
      </c>
      <c r="P2237">
        <v>-0.123979448999345</v>
      </c>
      <c r="Q2237">
        <v>6.4402193973435995E-2</v>
      </c>
      <c r="R2237">
        <v>0.99454577375146003</v>
      </c>
      <c r="S2237" t="s">
        <v>8907</v>
      </c>
      <c r="T2237" t="s">
        <v>13338</v>
      </c>
      <c r="U2237" t="s">
        <v>13338</v>
      </c>
      <c r="V2237" t="s">
        <v>13338</v>
      </c>
      <c r="W2237" t="s">
        <v>15536</v>
      </c>
      <c r="X2237">
        <v>116</v>
      </c>
      <c r="Y2237" t="s">
        <v>22109</v>
      </c>
      <c r="Z2237" t="s">
        <v>28652</v>
      </c>
      <c r="AA2237">
        <v>0.3287178177672006</v>
      </c>
      <c r="AB2237" t="str">
        <f>HYPERLINK("Melting_Curves/meltCurve_P21333_2_FLNA.pdf", "Melting_Curves/meltCurve_P21333_2_FLNA.pdf")</f>
        <v>Melting_Curves/meltCurve_P21333_2_FLNA.pdf</v>
      </c>
    </row>
    <row r="2238" spans="1:28" x14ac:dyDescent="0.25">
      <c r="A2238" t="s">
        <v>2242</v>
      </c>
      <c r="B2238">
        <v>0.99193492352474899</v>
      </c>
      <c r="C2238">
        <v>0.87729855839112703</v>
      </c>
      <c r="D2238">
        <v>0.85757417031658101</v>
      </c>
      <c r="E2238">
        <v>0.74547621832461997</v>
      </c>
      <c r="F2238">
        <v>0.43680911071406098</v>
      </c>
      <c r="G2238">
        <v>0.13575041047414099</v>
      </c>
      <c r="H2238">
        <v>6.9791839432768704E-2</v>
      </c>
      <c r="I2238">
        <v>7.0006550656389901E-2</v>
      </c>
      <c r="J2238">
        <v>7.2734070385506597E-2</v>
      </c>
      <c r="K2238">
        <v>7.6809273888851101E-2</v>
      </c>
      <c r="L2238">
        <v>951.31122499068204</v>
      </c>
      <c r="M2238">
        <v>18.3672788418171</v>
      </c>
      <c r="N2238">
        <v>52.020991936119799</v>
      </c>
      <c r="O2238">
        <v>51.191556381432797</v>
      </c>
      <c r="P2238">
        <v>-8.6245638956728002E-2</v>
      </c>
      <c r="Q2238">
        <v>3.8540793046264801E-2</v>
      </c>
      <c r="R2238">
        <v>0.984146567972913</v>
      </c>
      <c r="S2238" t="s">
        <v>8908</v>
      </c>
      <c r="T2238" t="s">
        <v>13338</v>
      </c>
      <c r="U2238" t="s">
        <v>13338</v>
      </c>
      <c r="V2238" t="s">
        <v>13338</v>
      </c>
      <c r="W2238" t="s">
        <v>15537</v>
      </c>
      <c r="X2238">
        <v>35</v>
      </c>
      <c r="Y2238" t="s">
        <v>22110</v>
      </c>
      <c r="Z2238" t="s">
        <v>28653</v>
      </c>
      <c r="AA2238">
        <v>0.43200754398424751</v>
      </c>
      <c r="AB2238" t="str">
        <f>HYPERLINK("Melting_Curves/meltCurve_P21399_ACO1.pdf", "Melting_Curves/meltCurve_P21399_ACO1.pdf")</f>
        <v>Melting_Curves/meltCurve_P21399_ACO1.pdf</v>
      </c>
    </row>
    <row r="2239" spans="1:28" x14ac:dyDescent="0.25">
      <c r="A2239" t="s">
        <v>2243</v>
      </c>
      <c r="B2239">
        <v>0.99193492352474899</v>
      </c>
      <c r="C2239">
        <v>1.2041749271100399</v>
      </c>
      <c r="D2239">
        <v>0.97034623204611503</v>
      </c>
      <c r="E2239">
        <v>0.96009049786106404</v>
      </c>
      <c r="F2239">
        <v>0.79268566123178097</v>
      </c>
      <c r="G2239">
        <v>0.441659526706978</v>
      </c>
      <c r="H2239">
        <v>0.36232318126209401</v>
      </c>
      <c r="I2239">
        <v>0.34937911331691701</v>
      </c>
      <c r="J2239">
        <v>0.184522326384046</v>
      </c>
      <c r="K2239">
        <v>0.15111963192125</v>
      </c>
      <c r="L2239">
        <v>1133.43541504838</v>
      </c>
      <c r="M2239">
        <v>20.407819635676098</v>
      </c>
      <c r="N2239">
        <v>56.968202035378397</v>
      </c>
      <c r="O2239">
        <v>55.014237957858903</v>
      </c>
      <c r="P2239">
        <v>-7.4163717210406099E-2</v>
      </c>
      <c r="Q2239">
        <v>0.20031873937511499</v>
      </c>
      <c r="R2239">
        <v>0.950282810797765</v>
      </c>
      <c r="S2239" t="s">
        <v>8909</v>
      </c>
      <c r="T2239" t="s">
        <v>13338</v>
      </c>
      <c r="U2239" t="s">
        <v>13338</v>
      </c>
      <c r="V2239" t="s">
        <v>13338</v>
      </c>
      <c r="W2239" t="s">
        <v>15538</v>
      </c>
      <c r="X2239">
        <v>1</v>
      </c>
      <c r="Y2239" t="s">
        <v>22111</v>
      </c>
      <c r="Z2239" t="s">
        <v>28654</v>
      </c>
      <c r="AA2239">
        <v>0.62471243340406746</v>
      </c>
      <c r="AB2239" t="str">
        <f>HYPERLINK("Melting_Curves/meltCurve_P21549_AGXT.pdf", "Melting_Curves/meltCurve_P21549_AGXT.pdf")</f>
        <v>Melting_Curves/meltCurve_P21549_AGXT.pdf</v>
      </c>
    </row>
    <row r="2240" spans="1:28" x14ac:dyDescent="0.25">
      <c r="A2240" t="s">
        <v>2244</v>
      </c>
      <c r="B2240">
        <v>0.99193492352474899</v>
      </c>
      <c r="C2240">
        <v>0.87987252611445299</v>
      </c>
      <c r="D2240">
        <v>0.902738139023325</v>
      </c>
      <c r="E2240">
        <v>0.64844625954463597</v>
      </c>
      <c r="F2240">
        <v>0.42275483583323797</v>
      </c>
      <c r="G2240">
        <v>0.25190568782911099</v>
      </c>
      <c r="H2240">
        <v>0.159736355696661</v>
      </c>
      <c r="I2240">
        <v>0.14482904068247801</v>
      </c>
      <c r="J2240">
        <v>0.156711079992675</v>
      </c>
      <c r="K2240">
        <v>0.13771184167428599</v>
      </c>
      <c r="L2240">
        <v>817.25157673864805</v>
      </c>
      <c r="M2240">
        <v>16.048581834603901</v>
      </c>
      <c r="N2240">
        <v>51.804784755132701</v>
      </c>
      <c r="O2240">
        <v>50.152609378843998</v>
      </c>
      <c r="P2240">
        <v>-7.0448642554491597E-2</v>
      </c>
      <c r="Q2240">
        <v>0.119446326003555</v>
      </c>
      <c r="R2240">
        <v>0.99237448661811201</v>
      </c>
      <c r="S2240" t="s">
        <v>8910</v>
      </c>
      <c r="T2240" t="s">
        <v>13338</v>
      </c>
      <c r="U2240" t="s">
        <v>13338</v>
      </c>
      <c r="V2240" t="s">
        <v>13338</v>
      </c>
      <c r="W2240" t="s">
        <v>15539</v>
      </c>
      <c r="X2240">
        <v>5</v>
      </c>
      <c r="Y2240" t="s">
        <v>22112</v>
      </c>
      <c r="Z2240" t="s">
        <v>28655</v>
      </c>
      <c r="AA2240">
        <v>0.4582633232462156</v>
      </c>
      <c r="AB2240" t="str">
        <f>HYPERLINK("Melting_Curves/meltCurve_P21580_TNFAIP3.pdf", "Melting_Curves/meltCurve_P21580_TNFAIP3.pdf")</f>
        <v>Melting_Curves/meltCurve_P21580_TNFAIP3.pdf</v>
      </c>
    </row>
    <row r="2241" spans="1:28" x14ac:dyDescent="0.25">
      <c r="A2241" t="s">
        <v>2245</v>
      </c>
      <c r="B2241">
        <v>0.99193492352474899</v>
      </c>
      <c r="C2241">
        <v>0.88290798865319597</v>
      </c>
      <c r="D2241">
        <v>1.3239054805113</v>
      </c>
      <c r="E2241">
        <v>1.0126068113089699</v>
      </c>
      <c r="F2241">
        <v>1.41615665849346</v>
      </c>
      <c r="G2241">
        <v>2.6937898368809701</v>
      </c>
      <c r="H2241">
        <v>0.48357109626558997</v>
      </c>
      <c r="I2241">
        <v>0.16612387949492499</v>
      </c>
      <c r="J2241">
        <v>9.9600566857193498E-2</v>
      </c>
      <c r="K2241">
        <v>0.11162856419589801</v>
      </c>
      <c r="L2241">
        <v>14344.209064641</v>
      </c>
      <c r="M2241">
        <v>236.29147952041799</v>
      </c>
      <c r="N2241">
        <v>60.780120510172999</v>
      </c>
      <c r="O2241">
        <v>60.701228167317403</v>
      </c>
      <c r="P2241">
        <v>-0.85076604770143405</v>
      </c>
      <c r="Q2241">
        <v>0.125782466094013</v>
      </c>
      <c r="R2241">
        <v>0.44069274209917397</v>
      </c>
      <c r="S2241" t="s">
        <v>8911</v>
      </c>
      <c r="T2241" t="s">
        <v>13338</v>
      </c>
      <c r="U2241" t="s">
        <v>13338</v>
      </c>
      <c r="V2241" t="s">
        <v>13338</v>
      </c>
      <c r="W2241" t="s">
        <v>15540</v>
      </c>
      <c r="X2241">
        <v>1</v>
      </c>
      <c r="Y2241" t="s">
        <v>22113</v>
      </c>
      <c r="Z2241" t="s">
        <v>28656</v>
      </c>
      <c r="AA2241">
        <v>0.72925915138320851</v>
      </c>
      <c r="AB2241" t="str">
        <f>HYPERLINK("Melting_Curves/meltCurve_P21675_TAF1.pdf", "Melting_Curves/meltCurve_P21675_TAF1.pdf")</f>
        <v>Melting_Curves/meltCurve_P21675_TAF1.pdf</v>
      </c>
    </row>
    <row r="2242" spans="1:28" x14ac:dyDescent="0.25">
      <c r="A2242" t="s">
        <v>2246</v>
      </c>
      <c r="B2242">
        <v>0.99193492352474899</v>
      </c>
      <c r="C2242">
        <v>0.87091262845051098</v>
      </c>
      <c r="D2242">
        <v>0.93302462884684201</v>
      </c>
      <c r="E2242">
        <v>0.68584040924827905</v>
      </c>
      <c r="F2242">
        <v>0.58424678959451104</v>
      </c>
      <c r="G2242">
        <v>0.41355969495257799</v>
      </c>
      <c r="H2242">
        <v>0.41079076229653599</v>
      </c>
      <c r="I2242">
        <v>0.478093093253951</v>
      </c>
      <c r="J2242">
        <v>0.63760867930380005</v>
      </c>
      <c r="K2242">
        <v>0.56734735467445296</v>
      </c>
      <c r="L2242">
        <v>1228.38352546497</v>
      </c>
      <c r="M2242">
        <v>25.287509035907899</v>
      </c>
      <c r="O2242">
        <v>48.275954855077998</v>
      </c>
      <c r="P2242">
        <v>-6.4932974936804805E-2</v>
      </c>
      <c r="Q2242">
        <v>0.50415654896626205</v>
      </c>
      <c r="R2242">
        <v>0.85829936755579905</v>
      </c>
      <c r="S2242" t="s">
        <v>8912</v>
      </c>
      <c r="T2242" t="s">
        <v>13338</v>
      </c>
      <c r="U2242" t="s">
        <v>13338</v>
      </c>
      <c r="V2242" t="s">
        <v>13338</v>
      </c>
      <c r="W2242" t="s">
        <v>15541</v>
      </c>
      <c r="X2242">
        <v>28</v>
      </c>
      <c r="Y2242" t="s">
        <v>22114</v>
      </c>
      <c r="Z2242" t="s">
        <v>28657</v>
      </c>
      <c r="AA2242">
        <v>0.65019433710501062</v>
      </c>
      <c r="AB2242" t="str">
        <f>HYPERLINK("Melting_Curves/meltCurve_P21796_VDAC1.pdf", "Melting_Curves/meltCurve_P21796_VDAC1.pdf")</f>
        <v>Melting_Curves/meltCurve_P21796_VDAC1.pdf</v>
      </c>
    </row>
    <row r="2243" spans="1:28" x14ac:dyDescent="0.25">
      <c r="A2243" t="s">
        <v>2247</v>
      </c>
      <c r="B2243">
        <v>0.99193492352474899</v>
      </c>
      <c r="C2243">
        <v>0.99859526657584696</v>
      </c>
      <c r="D2243">
        <v>0.98310770774885903</v>
      </c>
      <c r="E2243">
        <v>0.92863739529620803</v>
      </c>
      <c r="F2243">
        <v>0.72558500865103603</v>
      </c>
      <c r="G2243">
        <v>0.52151824299956295</v>
      </c>
      <c r="H2243">
        <v>0.31808688350372999</v>
      </c>
      <c r="I2243">
        <v>0.123951889889778</v>
      </c>
      <c r="J2243">
        <v>0.136361743785511</v>
      </c>
      <c r="K2243">
        <v>0.124005802516039</v>
      </c>
      <c r="L2243">
        <v>934.68460467316595</v>
      </c>
      <c r="M2243">
        <v>16.559450131601398</v>
      </c>
      <c r="N2243">
        <v>56.940960853916302</v>
      </c>
      <c r="O2243">
        <v>55.640321949591403</v>
      </c>
      <c r="P2243">
        <v>-6.9404417646845004E-2</v>
      </c>
      <c r="Q2243">
        <v>6.7259383196160497E-2</v>
      </c>
      <c r="R2243">
        <v>0.99543592418945204</v>
      </c>
      <c r="S2243" t="s">
        <v>8913</v>
      </c>
      <c r="T2243" t="s">
        <v>13338</v>
      </c>
      <c r="U2243" t="s">
        <v>13338</v>
      </c>
      <c r="V2243" t="s">
        <v>13338</v>
      </c>
      <c r="W2243" t="s">
        <v>15542</v>
      </c>
      <c r="X2243">
        <v>16</v>
      </c>
      <c r="Y2243" t="s">
        <v>22115</v>
      </c>
      <c r="Z2243" t="s">
        <v>28658</v>
      </c>
      <c r="AA2243">
        <v>0.59307527643207714</v>
      </c>
      <c r="AB2243" t="str">
        <f>HYPERLINK("Melting_Curves/meltCurve_P21912_SDHB.pdf", "Melting_Curves/meltCurve_P21912_SDHB.pdf")</f>
        <v>Melting_Curves/meltCurve_P21912_SDHB.pdf</v>
      </c>
    </row>
    <row r="2244" spans="1:28" x14ac:dyDescent="0.25">
      <c r="A2244" t="s">
        <v>2248</v>
      </c>
      <c r="B2244">
        <v>0.99193492352474899</v>
      </c>
      <c r="C2244">
        <v>1.08447646761425</v>
      </c>
      <c r="D2244">
        <v>1.02229207985652</v>
      </c>
      <c r="E2244">
        <v>0.90635510654937901</v>
      </c>
      <c r="F2244">
        <v>0.59638570453426798</v>
      </c>
      <c r="G2244">
        <v>0.19762273828936799</v>
      </c>
      <c r="H2244">
        <v>8.6006128470872106E-2</v>
      </c>
      <c r="I2244">
        <v>0.10071846962358701</v>
      </c>
      <c r="J2244">
        <v>0.104507200363672</v>
      </c>
      <c r="K2244">
        <v>0.11214089500638599</v>
      </c>
      <c r="L2244">
        <v>1770.1449984717201</v>
      </c>
      <c r="M2244">
        <v>33.1139242855334</v>
      </c>
      <c r="N2244">
        <v>53.796371374518003</v>
      </c>
      <c r="O2244">
        <v>53.262401326236798</v>
      </c>
      <c r="P2244">
        <v>-0.140747527885865</v>
      </c>
      <c r="Q2244">
        <v>9.4457469619657897E-2</v>
      </c>
      <c r="R2244">
        <v>0.99425650993618397</v>
      </c>
      <c r="S2244" t="s">
        <v>8914</v>
      </c>
      <c r="T2244" t="s">
        <v>13338</v>
      </c>
      <c r="U2244" t="s">
        <v>13338</v>
      </c>
      <c r="V2244" t="s">
        <v>13338</v>
      </c>
      <c r="W2244" t="s">
        <v>15543</v>
      </c>
      <c r="X2244">
        <v>4</v>
      </c>
      <c r="Y2244" t="s">
        <v>22116</v>
      </c>
      <c r="Z2244" t="s">
        <v>28659</v>
      </c>
      <c r="AA2244">
        <v>0.50549786291288923</v>
      </c>
      <c r="AB2244" t="str">
        <f>HYPERLINK("Melting_Curves/meltCurve_P21953_BCKDHB.pdf", "Melting_Curves/meltCurve_P21953_BCKDHB.pdf")</f>
        <v>Melting_Curves/meltCurve_P21953_BCKDHB.pdf</v>
      </c>
    </row>
    <row r="2245" spans="1:28" x14ac:dyDescent="0.25">
      <c r="A2245" t="s">
        <v>2249</v>
      </c>
      <c r="B2245">
        <v>0.99193492352474899</v>
      </c>
      <c r="C2245">
        <v>0.85187536256135399</v>
      </c>
      <c r="D2245">
        <v>0.84480429736533802</v>
      </c>
      <c r="E2245">
        <v>0.67781236226087704</v>
      </c>
      <c r="F2245">
        <v>0.42708478192590998</v>
      </c>
      <c r="G2245">
        <v>0.190749749509734</v>
      </c>
      <c r="H2245">
        <v>0.119311174410272</v>
      </c>
      <c r="I2245">
        <v>0.13074187250845801</v>
      </c>
      <c r="J2245">
        <v>0.12521354241511301</v>
      </c>
      <c r="K2245">
        <v>0.115556766852506</v>
      </c>
      <c r="L2245">
        <v>758.30587124014801</v>
      </c>
      <c r="M2245">
        <v>14.8551711488855</v>
      </c>
      <c r="N2245">
        <v>51.631120186917002</v>
      </c>
      <c r="O2245">
        <v>50.148329105208902</v>
      </c>
      <c r="P2245">
        <v>-6.8331486198931798E-2</v>
      </c>
      <c r="Q2245">
        <v>7.73985972200813E-2</v>
      </c>
      <c r="R2245">
        <v>0.98547585914042901</v>
      </c>
      <c r="S2245" t="s">
        <v>8915</v>
      </c>
      <c r="T2245" t="s">
        <v>13338</v>
      </c>
      <c r="U2245" t="s">
        <v>13338</v>
      </c>
      <c r="V2245" t="s">
        <v>13338</v>
      </c>
      <c r="W2245" t="s">
        <v>15544</v>
      </c>
      <c r="X2245">
        <v>13</v>
      </c>
      <c r="Y2245" t="s">
        <v>22117</v>
      </c>
      <c r="Z2245" t="s">
        <v>28660</v>
      </c>
      <c r="AA2245">
        <v>0.43874594245307019</v>
      </c>
      <c r="AB2245" t="str">
        <f>HYPERLINK("Melting_Curves/meltCurve_P21964_2_COMT.pdf", "Melting_Curves/meltCurve_P21964_2_COMT.pdf")</f>
        <v>Melting_Curves/meltCurve_P21964_2_COMT.pdf</v>
      </c>
    </row>
    <row r="2246" spans="1:28" x14ac:dyDescent="0.25">
      <c r="A2246" t="s">
        <v>2250</v>
      </c>
      <c r="B2246">
        <v>0.99193492352474899</v>
      </c>
      <c r="C2246">
        <v>0.92973041109642796</v>
      </c>
      <c r="D2246">
        <v>0.89821315647621802</v>
      </c>
      <c r="E2246">
        <v>0.70995242558500105</v>
      </c>
      <c r="F2246">
        <v>0.23072376276047599</v>
      </c>
      <c r="G2246">
        <v>9.2030836622567794E-2</v>
      </c>
      <c r="H2246">
        <v>5.4789999670671198E-2</v>
      </c>
      <c r="I2246">
        <v>5.4367214614579003E-2</v>
      </c>
      <c r="J2246">
        <v>5.8162131212973998E-2</v>
      </c>
      <c r="K2246">
        <v>5.4872035726113703E-2</v>
      </c>
      <c r="L2246">
        <v>1454.35304796479</v>
      </c>
      <c r="M2246">
        <v>28.6423291448634</v>
      </c>
      <c r="N2246">
        <v>50.962610013445698</v>
      </c>
      <c r="O2246">
        <v>50.530764480054501</v>
      </c>
      <c r="P2246">
        <v>-0.13466655874769201</v>
      </c>
      <c r="Q2246">
        <v>4.9692915934202199E-2</v>
      </c>
      <c r="R2246">
        <v>0.99436214253981403</v>
      </c>
      <c r="S2246" t="s">
        <v>8916</v>
      </c>
      <c r="T2246" t="s">
        <v>13338</v>
      </c>
      <c r="U2246" t="s">
        <v>13338</v>
      </c>
      <c r="V2246" t="s">
        <v>13338</v>
      </c>
      <c r="W2246" t="s">
        <v>15545</v>
      </c>
      <c r="X2246">
        <v>24</v>
      </c>
      <c r="Y2246" t="s">
        <v>22118</v>
      </c>
      <c r="Z2246" t="s">
        <v>28661</v>
      </c>
      <c r="AA2246">
        <v>0.3975867638038369</v>
      </c>
      <c r="AB2246" t="str">
        <f>HYPERLINK("Melting_Curves/meltCurve_P22033_MUT.pdf", "Melting_Curves/meltCurve_P22033_MUT.pdf")</f>
        <v>Melting_Curves/meltCurve_P22033_MUT.pdf</v>
      </c>
    </row>
    <row r="2247" spans="1:28" x14ac:dyDescent="0.25">
      <c r="A2247" t="s">
        <v>2251</v>
      </c>
      <c r="B2247">
        <v>0.99193492352474899</v>
      </c>
      <c r="C2247">
        <v>1.0030057943786601</v>
      </c>
      <c r="D2247">
        <v>0.93898435131997204</v>
      </c>
      <c r="E2247">
        <v>0.74463131515866099</v>
      </c>
      <c r="F2247">
        <v>0.19359927325079401</v>
      </c>
      <c r="G2247">
        <v>0.113814172453786</v>
      </c>
      <c r="H2247">
        <v>7.0015634782553196E-2</v>
      </c>
      <c r="I2247">
        <v>7.6051735686554101E-2</v>
      </c>
      <c r="J2247">
        <v>7.7775519950389893E-2</v>
      </c>
      <c r="K2247">
        <v>7.6329895727320796E-2</v>
      </c>
      <c r="L2247">
        <v>2009.0132389656301</v>
      </c>
      <c r="M2247">
        <v>39.593497168894103</v>
      </c>
      <c r="N2247">
        <v>50.959458396839601</v>
      </c>
      <c r="O2247">
        <v>50.612066568776498</v>
      </c>
      <c r="P2247">
        <v>-0.180306758848159</v>
      </c>
      <c r="Q2247">
        <v>7.8062938682699895E-2</v>
      </c>
      <c r="R2247">
        <v>0.99820092369248303</v>
      </c>
      <c r="S2247" t="s">
        <v>8917</v>
      </c>
      <c r="T2247" t="s">
        <v>13338</v>
      </c>
      <c r="U2247" t="s">
        <v>13338</v>
      </c>
      <c r="V2247" t="s">
        <v>13338</v>
      </c>
      <c r="W2247" t="s">
        <v>15546</v>
      </c>
      <c r="X2247">
        <v>26</v>
      </c>
      <c r="Y2247" t="s">
        <v>22119</v>
      </c>
      <c r="Z2247" t="s">
        <v>28662</v>
      </c>
      <c r="AA2247">
        <v>0.41144775870003503</v>
      </c>
      <c r="AB2247" t="str">
        <f>HYPERLINK("Melting_Curves/meltCurve_P22059_OSBP.pdf", "Melting_Curves/meltCurve_P22059_OSBP.pdf")</f>
        <v>Melting_Curves/meltCurve_P22059_OSBP.pdf</v>
      </c>
    </row>
    <row r="2248" spans="1:28" x14ac:dyDescent="0.25">
      <c r="A2248" t="s">
        <v>2252</v>
      </c>
      <c r="B2248">
        <v>0.99193492352474899</v>
      </c>
      <c r="C2248">
        <v>0.66024920386513197</v>
      </c>
      <c r="D2248">
        <v>0.97387030016883702</v>
      </c>
      <c r="E2248">
        <v>0.69582209282587903</v>
      </c>
      <c r="F2248">
        <v>0.36913928095637299</v>
      </c>
      <c r="G2248">
        <v>0.14604402876551401</v>
      </c>
      <c r="H2248">
        <v>8.7998712951980904E-2</v>
      </c>
      <c r="I2248">
        <v>9.3832075587542293E-2</v>
      </c>
      <c r="J2248">
        <v>0.138597549272475</v>
      </c>
      <c r="K2248">
        <v>0.108636720889406</v>
      </c>
      <c r="L2248">
        <v>1039.1901252197799</v>
      </c>
      <c r="M2248">
        <v>20.361164995646899</v>
      </c>
      <c r="N2248">
        <v>51.515473264290698</v>
      </c>
      <c r="O2248">
        <v>50.553193694235297</v>
      </c>
      <c r="P2248">
        <v>-9.2033637432580501E-2</v>
      </c>
      <c r="Q2248">
        <v>8.6014338845757099E-2</v>
      </c>
      <c r="R2248">
        <v>0.90889533185223803</v>
      </c>
      <c r="S2248" t="s">
        <v>8918</v>
      </c>
      <c r="T2248" t="s">
        <v>13338</v>
      </c>
      <c r="U2248" t="s">
        <v>13338</v>
      </c>
      <c r="V2248" t="s">
        <v>13338</v>
      </c>
      <c r="W2248" t="s">
        <v>15547</v>
      </c>
      <c r="X2248">
        <v>13</v>
      </c>
      <c r="Y2248" t="s">
        <v>22120</v>
      </c>
      <c r="Z2248" t="s">
        <v>28663</v>
      </c>
      <c r="AA2248">
        <v>0.43456354167065819</v>
      </c>
      <c r="AB2248" t="str">
        <f>HYPERLINK("Melting_Curves/meltCurve_P22087_FBL.pdf", "Melting_Curves/meltCurve_P22087_FBL.pdf")</f>
        <v>Melting_Curves/meltCurve_P22087_FBL.pdf</v>
      </c>
    </row>
    <row r="2249" spans="1:28" x14ac:dyDescent="0.25">
      <c r="A2249" t="s">
        <v>2253</v>
      </c>
      <c r="B2249">
        <v>0.99193492352474899</v>
      </c>
      <c r="C2249">
        <v>1.0148276506270799</v>
      </c>
      <c r="D2249">
        <v>0.92069784017058498</v>
      </c>
      <c r="E2249">
        <v>0.52973868875454599</v>
      </c>
      <c r="F2249">
        <v>0.20147914793448901</v>
      </c>
      <c r="G2249">
        <v>8.9755177571944803E-2</v>
      </c>
      <c r="H2249">
        <v>5.1844170367678501E-2</v>
      </c>
      <c r="I2249">
        <v>5.5198022782982102E-2</v>
      </c>
      <c r="J2249">
        <v>6.5311623425418103E-2</v>
      </c>
      <c r="K2249">
        <v>5.4047292330178999E-2</v>
      </c>
      <c r="L2249">
        <v>1388.25515941397</v>
      </c>
      <c r="M2249">
        <v>27.933662587220098</v>
      </c>
      <c r="N2249">
        <v>49.916874766292999</v>
      </c>
      <c r="O2249">
        <v>49.445673484262201</v>
      </c>
      <c r="P2249">
        <v>-0.13310464924502899</v>
      </c>
      <c r="Q2249">
        <v>5.7568332520230102E-2</v>
      </c>
      <c r="R2249">
        <v>0.99911772769451201</v>
      </c>
      <c r="S2249" t="s">
        <v>8919</v>
      </c>
      <c r="T2249" t="s">
        <v>13338</v>
      </c>
      <c r="U2249" t="s">
        <v>13338</v>
      </c>
      <c r="V2249" t="s">
        <v>13338</v>
      </c>
      <c r="W2249" t="s">
        <v>15548</v>
      </c>
      <c r="X2249">
        <v>41</v>
      </c>
      <c r="Y2249" t="s">
        <v>22121</v>
      </c>
      <c r="Z2249" t="s">
        <v>28664</v>
      </c>
      <c r="AA2249">
        <v>0.36893977989370041</v>
      </c>
      <c r="AB2249" t="str">
        <f>HYPERLINK("Melting_Curves/meltCurve_P22102_GART.pdf", "Melting_Curves/meltCurve_P22102_GART.pdf")</f>
        <v>Melting_Curves/meltCurve_P22102_GART.pdf</v>
      </c>
    </row>
    <row r="2250" spans="1:28" x14ac:dyDescent="0.25">
      <c r="A2250" t="s">
        <v>2254</v>
      </c>
      <c r="B2250">
        <v>0.99193492352474899</v>
      </c>
      <c r="C2250">
        <v>1.0604706454117101</v>
      </c>
      <c r="D2250">
        <v>0.958439784262057</v>
      </c>
      <c r="E2250">
        <v>0.84599650645240798</v>
      </c>
      <c r="F2250">
        <v>0.86126299406330098</v>
      </c>
      <c r="G2250">
        <v>0.71497426578365597</v>
      </c>
      <c r="H2250">
        <v>0.51112924766915402</v>
      </c>
      <c r="I2250">
        <v>0.58433100792291304</v>
      </c>
      <c r="J2250">
        <v>0.77624666055703295</v>
      </c>
      <c r="K2250">
        <v>0.64402621814729399</v>
      </c>
      <c r="L2250">
        <v>1004.6751323818399</v>
      </c>
      <c r="M2250">
        <v>19.161908492718599</v>
      </c>
      <c r="O2250">
        <v>51.869832193924701</v>
      </c>
      <c r="P2250">
        <v>-3.41987399203093E-2</v>
      </c>
      <c r="Q2250">
        <v>0.62972069870977998</v>
      </c>
      <c r="R2250">
        <v>0.80639930171880003</v>
      </c>
      <c r="S2250" t="s">
        <v>8920</v>
      </c>
      <c r="T2250" t="s">
        <v>13338</v>
      </c>
      <c r="U2250" t="s">
        <v>13338</v>
      </c>
      <c r="V2250" t="s">
        <v>13338</v>
      </c>
      <c r="W2250" t="s">
        <v>15549</v>
      </c>
      <c r="X2250">
        <v>36</v>
      </c>
      <c r="Y2250" t="s">
        <v>22122</v>
      </c>
      <c r="Z2250" t="s">
        <v>28665</v>
      </c>
      <c r="AA2250">
        <v>0.78865854918326339</v>
      </c>
      <c r="AB2250" t="str">
        <f>HYPERLINK("Melting_Curves/meltCurve_P22234_PAICS.pdf", "Melting_Curves/meltCurve_P22234_PAICS.pdf")</f>
        <v>Melting_Curves/meltCurve_P22234_PAICS.pdf</v>
      </c>
    </row>
    <row r="2251" spans="1:28" x14ac:dyDescent="0.25">
      <c r="A2251" t="s">
        <v>2255</v>
      </c>
      <c r="B2251">
        <v>0.99193492352474899</v>
      </c>
      <c r="C2251">
        <v>0.78067826759858605</v>
      </c>
      <c r="D2251">
        <v>0.86608446573498898</v>
      </c>
      <c r="E2251">
        <v>0.69603742860694895</v>
      </c>
      <c r="F2251">
        <v>0.52531846098991397</v>
      </c>
      <c r="G2251">
        <v>0.23255979279112701</v>
      </c>
      <c r="H2251">
        <v>0.11276021858213101</v>
      </c>
      <c r="I2251">
        <v>0.110318520471093</v>
      </c>
      <c r="J2251">
        <v>0.13433939182909399</v>
      </c>
      <c r="K2251">
        <v>0.15974127465997101</v>
      </c>
      <c r="L2251">
        <v>669.67805198029203</v>
      </c>
      <c r="M2251">
        <v>12.9180004527781</v>
      </c>
      <c r="N2251">
        <v>52.384736499273103</v>
      </c>
      <c r="O2251">
        <v>50.645529632148602</v>
      </c>
      <c r="P2251">
        <v>-5.9774574349559503E-2</v>
      </c>
      <c r="Q2251">
        <v>6.2775409669879101E-2</v>
      </c>
      <c r="R2251">
        <v>0.95802513297713299</v>
      </c>
      <c r="S2251" t="s">
        <v>8921</v>
      </c>
      <c r="T2251" t="s">
        <v>13338</v>
      </c>
      <c r="U2251" t="s">
        <v>13338</v>
      </c>
      <c r="V2251" t="s">
        <v>13338</v>
      </c>
      <c r="W2251" t="s">
        <v>15550</v>
      </c>
      <c r="X2251">
        <v>28</v>
      </c>
      <c r="Y2251" t="s">
        <v>22123</v>
      </c>
      <c r="Z2251" t="s">
        <v>28666</v>
      </c>
      <c r="AA2251">
        <v>0.45893215612531651</v>
      </c>
      <c r="AB2251" t="str">
        <f>HYPERLINK("Melting_Curves/meltCurve_P22307_SCP2.pdf", "Melting_Curves/meltCurve_P22307_SCP2.pdf")</f>
        <v>Melting_Curves/meltCurve_P22307_SCP2.pdf</v>
      </c>
    </row>
    <row r="2252" spans="1:28" x14ac:dyDescent="0.25">
      <c r="A2252" t="s">
        <v>2256</v>
      </c>
      <c r="B2252">
        <v>0.99193492352474899</v>
      </c>
      <c r="C2252">
        <v>1.0780743799769801</v>
      </c>
      <c r="D2252">
        <v>0.83333904647769097</v>
      </c>
      <c r="E2252">
        <v>0.27069977752729801</v>
      </c>
      <c r="F2252">
        <v>0.16735720578118901</v>
      </c>
      <c r="G2252">
        <v>0.104048979956268</v>
      </c>
      <c r="H2252">
        <v>7.0073339518716499E-2</v>
      </c>
      <c r="I2252">
        <v>8.1590182872769396E-2</v>
      </c>
      <c r="J2252">
        <v>9.4881853796899507E-2</v>
      </c>
      <c r="K2252">
        <v>0.101427726994561</v>
      </c>
      <c r="L2252">
        <v>1871.9683210998401</v>
      </c>
      <c r="M2252">
        <v>39.153761676577901</v>
      </c>
      <c r="N2252">
        <v>48.082278617753701</v>
      </c>
      <c r="O2252">
        <v>47.686480150937697</v>
      </c>
      <c r="P2252">
        <v>-0.18490356756349799</v>
      </c>
      <c r="Q2252">
        <v>9.9204784529965007E-2</v>
      </c>
      <c r="R2252">
        <v>0.99238503275756595</v>
      </c>
      <c r="S2252" t="s">
        <v>8922</v>
      </c>
      <c r="T2252" t="s">
        <v>13338</v>
      </c>
      <c r="U2252" t="s">
        <v>13338</v>
      </c>
      <c r="V2252" t="s">
        <v>13338</v>
      </c>
      <c r="W2252" t="s">
        <v>15551</v>
      </c>
      <c r="X2252">
        <v>47</v>
      </c>
      <c r="Y2252" t="s">
        <v>22124</v>
      </c>
      <c r="Z2252" t="s">
        <v>28667</v>
      </c>
      <c r="AA2252">
        <v>0.33685306223830253</v>
      </c>
      <c r="AB2252" t="str">
        <f>HYPERLINK("Melting_Curves/meltCurve_P22314_UBA1.pdf", "Melting_Curves/meltCurve_P22314_UBA1.pdf")</f>
        <v>Melting_Curves/meltCurve_P22314_UBA1.pdf</v>
      </c>
    </row>
    <row r="2253" spans="1:28" x14ac:dyDescent="0.25">
      <c r="A2253" t="s">
        <v>2257</v>
      </c>
      <c r="B2253">
        <v>0.99193492352474899</v>
      </c>
      <c r="C2253">
        <v>0.68076417888044904</v>
      </c>
      <c r="D2253">
        <v>0.62138705968407904</v>
      </c>
      <c r="E2253">
        <v>0.431832661466729</v>
      </c>
      <c r="F2253">
        <v>0.298946058465903</v>
      </c>
      <c r="G2253">
        <v>0.15920256388263801</v>
      </c>
      <c r="H2253">
        <v>0.123858521677036</v>
      </c>
      <c r="I2253">
        <v>0.156279177675089</v>
      </c>
      <c r="J2253">
        <v>0.17672611866788401</v>
      </c>
      <c r="K2253">
        <v>0.28379449509431798</v>
      </c>
      <c r="L2253">
        <v>642.10089671999697</v>
      </c>
      <c r="M2253">
        <v>13.925164521671901</v>
      </c>
      <c r="N2253">
        <v>47.486611713589703</v>
      </c>
      <c r="O2253">
        <v>45.191107024749101</v>
      </c>
      <c r="P2253">
        <v>-6.4256465221445097E-2</v>
      </c>
      <c r="Q2253">
        <v>0.165990848845846</v>
      </c>
      <c r="R2253">
        <v>0.94424246248686405</v>
      </c>
      <c r="S2253" t="s">
        <v>8923</v>
      </c>
      <c r="T2253" t="s">
        <v>13338</v>
      </c>
      <c r="U2253" t="s">
        <v>13338</v>
      </c>
      <c r="V2253" t="s">
        <v>13338</v>
      </c>
      <c r="W2253" t="s">
        <v>15552</v>
      </c>
      <c r="X2253">
        <v>15</v>
      </c>
      <c r="Y2253" t="s">
        <v>21033</v>
      </c>
      <c r="Z2253" t="s">
        <v>28668</v>
      </c>
      <c r="AA2253">
        <v>0.36401672518608957</v>
      </c>
      <c r="AB2253" t="str">
        <f>HYPERLINK("Melting_Curves/meltCurve_P22570_5_FDXR.pdf", "Melting_Curves/meltCurve_P22570_5_FDXR.pdf")</f>
        <v>Melting_Curves/meltCurve_P22570_5_FDXR.pdf</v>
      </c>
    </row>
    <row r="2254" spans="1:28" x14ac:dyDescent="0.25">
      <c r="A2254" t="s">
        <v>2258</v>
      </c>
      <c r="B2254">
        <v>0.99193492352474899</v>
      </c>
      <c r="C2254">
        <v>0.42999027831644998</v>
      </c>
      <c r="D2254">
        <v>0.71535514816776902</v>
      </c>
      <c r="E2254">
        <v>0.34992667502039199</v>
      </c>
      <c r="F2254">
        <v>0.20105121070700699</v>
      </c>
      <c r="G2254">
        <v>0.11559720655486699</v>
      </c>
      <c r="H2254">
        <v>9.2700900063380803E-2</v>
      </c>
      <c r="I2254">
        <v>0.123293574372036</v>
      </c>
      <c r="J2254">
        <v>0.15203291520449799</v>
      </c>
      <c r="K2254">
        <v>0.249859061648884</v>
      </c>
      <c r="L2254">
        <v>563.41707085913902</v>
      </c>
      <c r="M2254">
        <v>12.474331958257199</v>
      </c>
      <c r="N2254">
        <v>46.211588395786897</v>
      </c>
      <c r="O2254">
        <v>44.052499670998699</v>
      </c>
      <c r="P2254">
        <v>-6.2101753245486703E-2</v>
      </c>
      <c r="Q2254">
        <v>0.122944470596291</v>
      </c>
      <c r="R2254">
        <v>0.80052500440912999</v>
      </c>
      <c r="S2254" t="s">
        <v>8924</v>
      </c>
      <c r="T2254" t="s">
        <v>13338</v>
      </c>
      <c r="U2254" t="s">
        <v>13338</v>
      </c>
      <c r="V2254" t="s">
        <v>13338</v>
      </c>
      <c r="W2254" t="s">
        <v>15553</v>
      </c>
      <c r="X2254">
        <v>21</v>
      </c>
      <c r="Y2254" t="s">
        <v>22125</v>
      </c>
      <c r="Z2254" t="s">
        <v>28669</v>
      </c>
      <c r="AA2254">
        <v>0.3140440600948336</v>
      </c>
      <c r="AB2254" t="str">
        <f>HYPERLINK("Melting_Curves/meltCurve_P22626_HNRNPA2B1.pdf", "Melting_Curves/meltCurve_P22626_HNRNPA2B1.pdf")</f>
        <v>Melting_Curves/meltCurve_P22626_HNRNPA2B1.pdf</v>
      </c>
    </row>
    <row r="2255" spans="1:28" x14ac:dyDescent="0.25">
      <c r="A2255" t="s">
        <v>2259</v>
      </c>
      <c r="B2255">
        <v>0.99193492352474899</v>
      </c>
      <c r="C2255">
        <v>1.02231953658639</v>
      </c>
      <c r="D2255">
        <v>0.84746713563907805</v>
      </c>
      <c r="E2255">
        <v>0.74853273880534199</v>
      </c>
      <c r="F2255">
        <v>0.31192874852469998</v>
      </c>
      <c r="G2255">
        <v>0.19983380677473001</v>
      </c>
      <c r="H2255">
        <v>0.12960019248580901</v>
      </c>
      <c r="I2255">
        <v>0.157171513311505</v>
      </c>
      <c r="J2255">
        <v>0.109815571128178</v>
      </c>
      <c r="K2255">
        <v>0.128938691687354</v>
      </c>
      <c r="L2255">
        <v>1225.06226029868</v>
      </c>
      <c r="M2255">
        <v>24.075448237287699</v>
      </c>
      <c r="N2255">
        <v>51.488968508067799</v>
      </c>
      <c r="O2255">
        <v>50.5371200899245</v>
      </c>
      <c r="P2255">
        <v>-0.104433959262044</v>
      </c>
      <c r="Q2255">
        <v>0.123138188147593</v>
      </c>
      <c r="R2255">
        <v>0.98905756227421004</v>
      </c>
      <c r="S2255" t="s">
        <v>8925</v>
      </c>
      <c r="T2255" t="s">
        <v>13338</v>
      </c>
      <c r="U2255" t="s">
        <v>13338</v>
      </c>
      <c r="V2255" t="s">
        <v>13338</v>
      </c>
      <c r="W2255" t="s">
        <v>15554</v>
      </c>
      <c r="X2255">
        <v>3</v>
      </c>
      <c r="Y2255" t="s">
        <v>22126</v>
      </c>
      <c r="Z2255" t="s">
        <v>28670</v>
      </c>
      <c r="AA2255">
        <v>0.44979258438246039</v>
      </c>
      <c r="AB2255" t="str">
        <f>HYPERLINK("Melting_Curves/meltCurve_P22670_RFX1.pdf", "Melting_Curves/meltCurve_P22670_RFX1.pdf")</f>
        <v>Melting_Curves/meltCurve_P22670_RFX1.pdf</v>
      </c>
    </row>
    <row r="2256" spans="1:28" x14ac:dyDescent="0.25">
      <c r="A2256" t="s">
        <v>2260</v>
      </c>
      <c r="B2256">
        <v>0.99193492352474899</v>
      </c>
      <c r="C2256">
        <v>0.92697924807493104</v>
      </c>
      <c r="D2256">
        <v>0.91250253291071504</v>
      </c>
      <c r="E2256">
        <v>0.79809349337824698</v>
      </c>
      <c r="F2256">
        <v>0.59092648423461602</v>
      </c>
      <c r="G2256">
        <v>0.24402185627676201</v>
      </c>
      <c r="H2256">
        <v>0.11740403689069299</v>
      </c>
      <c r="I2256">
        <v>0.12375976989083599</v>
      </c>
      <c r="J2256">
        <v>0.14420309985887</v>
      </c>
      <c r="K2256">
        <v>0.17894258025877499</v>
      </c>
      <c r="L2256">
        <v>1107.87950446215</v>
      </c>
      <c r="M2256">
        <v>20.960644925507101</v>
      </c>
      <c r="N2256">
        <v>53.538216707107502</v>
      </c>
      <c r="O2256">
        <v>52.381196788785402</v>
      </c>
      <c r="P2256">
        <v>-8.8305273399485004E-2</v>
      </c>
      <c r="Q2256">
        <v>0.117315407727522</v>
      </c>
      <c r="R2256">
        <v>0.98461698053588997</v>
      </c>
      <c r="S2256" t="s">
        <v>8926</v>
      </c>
      <c r="T2256" t="s">
        <v>13338</v>
      </c>
      <c r="U2256" t="s">
        <v>13338</v>
      </c>
      <c r="V2256" t="s">
        <v>13338</v>
      </c>
      <c r="W2256" t="s">
        <v>15555</v>
      </c>
      <c r="X2256">
        <v>22</v>
      </c>
      <c r="Y2256" t="s">
        <v>22127</v>
      </c>
      <c r="Z2256" t="s">
        <v>28671</v>
      </c>
      <c r="AA2256">
        <v>0.50675392466752534</v>
      </c>
      <c r="AB2256" t="str">
        <f>HYPERLINK("Melting_Curves/meltCurve_P22681_CBL.pdf", "Melting_Curves/meltCurve_P22681_CBL.pdf")</f>
        <v>Melting_Curves/meltCurve_P22681_CBL.pdf</v>
      </c>
    </row>
    <row r="2257" spans="1:28" x14ac:dyDescent="0.25">
      <c r="A2257" t="s">
        <v>2261</v>
      </c>
      <c r="B2257">
        <v>0.99193492352474899</v>
      </c>
      <c r="C2257">
        <v>1.0464015426331299</v>
      </c>
      <c r="D2257">
        <v>0.98385778697174198</v>
      </c>
      <c r="E2257">
        <v>0.58604669731716397</v>
      </c>
      <c r="F2257">
        <v>0.30327392629577199</v>
      </c>
      <c r="G2257">
        <v>0.167713204010146</v>
      </c>
      <c r="H2257">
        <v>0.10216201087834</v>
      </c>
      <c r="I2257">
        <v>9.6662003871972907E-2</v>
      </c>
      <c r="J2257">
        <v>0.121794197071407</v>
      </c>
      <c r="K2257">
        <v>0.108220156212324</v>
      </c>
      <c r="L2257">
        <v>1360.31811221416</v>
      </c>
      <c r="M2257">
        <v>27.107672248481499</v>
      </c>
      <c r="N2257">
        <v>50.659451819141999</v>
      </c>
      <c r="O2257">
        <v>49.911319901054298</v>
      </c>
      <c r="P2257">
        <v>-0.12047457826607599</v>
      </c>
      <c r="Q2257">
        <v>0.112725465827581</v>
      </c>
      <c r="R2257">
        <v>0.99355053379359304</v>
      </c>
      <c r="S2257" t="s">
        <v>8927</v>
      </c>
      <c r="T2257" t="s">
        <v>13338</v>
      </c>
      <c r="U2257" t="s">
        <v>13338</v>
      </c>
      <c r="V2257" t="s">
        <v>13338</v>
      </c>
      <c r="W2257" t="s">
        <v>15556</v>
      </c>
      <c r="X2257">
        <v>9</v>
      </c>
      <c r="Y2257" t="s">
        <v>22128</v>
      </c>
      <c r="Z2257" t="s">
        <v>28672</v>
      </c>
      <c r="AA2257">
        <v>0.42062046671723963</v>
      </c>
      <c r="AB2257" t="str">
        <f>HYPERLINK("Melting_Curves/meltCurve_P22694_4_PRKACB.pdf", "Melting_Curves/meltCurve_P22694_4_PRKACB.pdf")</f>
        <v>Melting_Curves/meltCurve_P22694_4_PRKACB.pdf</v>
      </c>
    </row>
    <row r="2258" spans="1:28" x14ac:dyDescent="0.25">
      <c r="A2258" t="s">
        <v>2262</v>
      </c>
      <c r="B2258">
        <v>0.99193492352474899</v>
      </c>
      <c r="C2258">
        <v>1.11715806618202</v>
      </c>
      <c r="D2258">
        <v>1.11292548033077</v>
      </c>
      <c r="E2258">
        <v>0.96153032272000305</v>
      </c>
      <c r="F2258">
        <v>0.79317687139997195</v>
      </c>
      <c r="G2258">
        <v>0.55708403646716498</v>
      </c>
      <c r="H2258">
        <v>0.223995452529725</v>
      </c>
      <c r="I2258">
        <v>0.14360623416344601</v>
      </c>
      <c r="J2258">
        <v>0.148328907995294</v>
      </c>
      <c r="K2258">
        <v>0.14085215849229399</v>
      </c>
      <c r="L2258">
        <v>1346.1882869000201</v>
      </c>
      <c r="M2258">
        <v>23.873818960493299</v>
      </c>
      <c r="N2258">
        <v>57.0207944522544</v>
      </c>
      <c r="O2258">
        <v>55.996475288561697</v>
      </c>
      <c r="P2258">
        <v>-9.4177625574877105E-2</v>
      </c>
      <c r="Q2258">
        <v>0.11643295085878599</v>
      </c>
      <c r="R2258">
        <v>0.98029317703043195</v>
      </c>
      <c r="S2258" t="s">
        <v>8928</v>
      </c>
      <c r="T2258" t="s">
        <v>13338</v>
      </c>
      <c r="U2258" t="s">
        <v>13338</v>
      </c>
      <c r="V2258" t="s">
        <v>13338</v>
      </c>
      <c r="W2258" t="s">
        <v>15557</v>
      </c>
      <c r="X2258">
        <v>17</v>
      </c>
      <c r="Y2258" t="s">
        <v>22129</v>
      </c>
      <c r="Z2258" t="s">
        <v>28673</v>
      </c>
      <c r="AA2258">
        <v>0.60776357644384027</v>
      </c>
      <c r="AB2258" t="str">
        <f>HYPERLINK("Melting_Curves/meltCurve_P22695_UQCRC2.pdf", "Melting_Curves/meltCurve_P22695_UQCRC2.pdf")</f>
        <v>Melting_Curves/meltCurve_P22695_UQCRC2.pdf</v>
      </c>
    </row>
    <row r="2259" spans="1:28" x14ac:dyDescent="0.25">
      <c r="A2259" t="s">
        <v>2263</v>
      </c>
      <c r="B2259">
        <v>0.99193492352474899</v>
      </c>
      <c r="C2259">
        <v>1.0243336091059001</v>
      </c>
      <c r="D2259">
        <v>0.91227836367052795</v>
      </c>
      <c r="E2259">
        <v>0.68503624801805496</v>
      </c>
      <c r="F2259">
        <v>0.27188675428411102</v>
      </c>
      <c r="G2259">
        <v>0.12600450776915301</v>
      </c>
      <c r="H2259">
        <v>6.5979202643358895E-2</v>
      </c>
      <c r="I2259">
        <v>6.6107979105977294E-2</v>
      </c>
      <c r="J2259">
        <v>7.1577131719873899E-2</v>
      </c>
      <c r="K2259">
        <v>7.6208264348763502E-2</v>
      </c>
      <c r="L2259">
        <v>1333.1846761071999</v>
      </c>
      <c r="M2259">
        <v>26.264537058452301</v>
      </c>
      <c r="N2259">
        <v>51.034185225609498</v>
      </c>
      <c r="O2259">
        <v>50.4683607056105</v>
      </c>
      <c r="P2259">
        <v>-0.12154064006651</v>
      </c>
      <c r="Q2259">
        <v>6.5829566687626503E-2</v>
      </c>
      <c r="R2259">
        <v>0.99842421541875404</v>
      </c>
      <c r="S2259" t="s">
        <v>8929</v>
      </c>
      <c r="T2259" t="s">
        <v>13338</v>
      </c>
      <c r="U2259" t="s">
        <v>13338</v>
      </c>
      <c r="V2259" t="s">
        <v>13338</v>
      </c>
      <c r="W2259" t="s">
        <v>15558</v>
      </c>
      <c r="X2259">
        <v>17</v>
      </c>
      <c r="Y2259" t="s">
        <v>22130</v>
      </c>
      <c r="Z2259" t="s">
        <v>28674</v>
      </c>
      <c r="AA2259">
        <v>0.40851391721791208</v>
      </c>
      <c r="AB2259" t="str">
        <f>HYPERLINK("Melting_Curves/meltCurve_P22830_FECH.pdf", "Melting_Curves/meltCurve_P22830_FECH.pdf")</f>
        <v>Melting_Curves/meltCurve_P22830_FECH.pdf</v>
      </c>
    </row>
    <row r="2260" spans="1:28" x14ac:dyDescent="0.25">
      <c r="A2260" t="s">
        <v>2264</v>
      </c>
      <c r="B2260">
        <v>0.99193492352474899</v>
      </c>
      <c r="C2260">
        <v>0.85248760354224995</v>
      </c>
      <c r="D2260">
        <v>0.61789166365668902</v>
      </c>
      <c r="E2260">
        <v>0.227913056463175</v>
      </c>
      <c r="F2260">
        <v>0.17455606684064601</v>
      </c>
      <c r="G2260">
        <v>8.0959715314993505E-2</v>
      </c>
      <c r="H2260">
        <v>8.6310324903278002E-2</v>
      </c>
      <c r="I2260">
        <v>7.1584695455960703E-2</v>
      </c>
      <c r="J2260">
        <v>7.7565135678136402E-2</v>
      </c>
      <c r="K2260">
        <v>0.10433725569706701</v>
      </c>
      <c r="L2260">
        <v>1047.2421231491901</v>
      </c>
      <c r="M2260">
        <v>22.538650989896901</v>
      </c>
      <c r="N2260">
        <v>46.844567620458299</v>
      </c>
      <c r="O2260">
        <v>46.103155806621999</v>
      </c>
      <c r="P2260">
        <v>-0.112003042114501</v>
      </c>
      <c r="Q2260">
        <v>8.3603149933071302E-2</v>
      </c>
      <c r="R2260">
        <v>0.99538081278619694</v>
      </c>
      <c r="S2260" t="s">
        <v>8930</v>
      </c>
      <c r="T2260" t="s">
        <v>13338</v>
      </c>
      <c r="U2260" t="s">
        <v>13338</v>
      </c>
      <c r="V2260" t="s">
        <v>13338</v>
      </c>
      <c r="W2260" t="s">
        <v>15559</v>
      </c>
      <c r="X2260">
        <v>2</v>
      </c>
      <c r="Y2260" t="s">
        <v>22131</v>
      </c>
      <c r="Z2260" t="s">
        <v>28675</v>
      </c>
      <c r="AA2260">
        <v>0.29156136256713339</v>
      </c>
      <c r="AB2260" t="str">
        <f>HYPERLINK("Melting_Curves/meltCurve_P23025_XPA.pdf", "Melting_Curves/meltCurve_P23025_XPA.pdf")</f>
        <v>Melting_Curves/meltCurve_P23025_XPA.pdf</v>
      </c>
    </row>
    <row r="2261" spans="1:28" x14ac:dyDescent="0.25">
      <c r="A2261" t="s">
        <v>2265</v>
      </c>
      <c r="B2261">
        <v>0.99193492352474899</v>
      </c>
      <c r="C2261">
        <v>1.0719528012567801</v>
      </c>
      <c r="D2261">
        <v>0.92200054576276302</v>
      </c>
      <c r="E2261">
        <v>0.79851479665853198</v>
      </c>
      <c r="F2261">
        <v>0.34755389469543302</v>
      </c>
      <c r="G2261">
        <v>0.232626178453363</v>
      </c>
      <c r="H2261">
        <v>0.14100110553355799</v>
      </c>
      <c r="I2261">
        <v>0.19516522254941299</v>
      </c>
      <c r="J2261">
        <v>0.17608360147738</v>
      </c>
      <c r="K2261">
        <v>0.21565985210746899</v>
      </c>
      <c r="L2261">
        <v>1699.5061443182999</v>
      </c>
      <c r="M2261">
        <v>33.240639634292101</v>
      </c>
      <c r="N2261">
        <v>51.842305228470899</v>
      </c>
      <c r="O2261">
        <v>50.943384179770597</v>
      </c>
      <c r="P2261">
        <v>-0.133134147591743</v>
      </c>
      <c r="Q2261">
        <v>0.18385753141029901</v>
      </c>
      <c r="R2261">
        <v>0.99029137930549205</v>
      </c>
      <c r="S2261" t="s">
        <v>8931</v>
      </c>
      <c r="T2261" t="s">
        <v>13338</v>
      </c>
      <c r="U2261" t="s">
        <v>13338</v>
      </c>
      <c r="V2261" t="s">
        <v>13338</v>
      </c>
      <c r="W2261" t="s">
        <v>15560</v>
      </c>
      <c r="X2261">
        <v>2</v>
      </c>
      <c r="Y2261" t="s">
        <v>22132</v>
      </c>
      <c r="Z2261" t="s">
        <v>28676</v>
      </c>
      <c r="AA2261">
        <v>0.49076056024886561</v>
      </c>
      <c r="AB2261" t="str">
        <f>HYPERLINK("Melting_Curves/meltCurve_P23109_2_AMPD1.pdf", "Melting_Curves/meltCurve_P23109_2_AMPD1.pdf")</f>
        <v>Melting_Curves/meltCurve_P23109_2_AMPD1.pdf</v>
      </c>
    </row>
    <row r="2262" spans="1:28" x14ac:dyDescent="0.25">
      <c r="A2262" t="s">
        <v>2266</v>
      </c>
      <c r="B2262">
        <v>0.99193492352474899</v>
      </c>
      <c r="C2262">
        <v>0.81604642079971401</v>
      </c>
      <c r="D2262">
        <v>0.90318611000623095</v>
      </c>
      <c r="E2262">
        <v>0.71058771304997803</v>
      </c>
      <c r="F2262">
        <v>0.41382786209711703</v>
      </c>
      <c r="G2262">
        <v>0.18321779824412601</v>
      </c>
      <c r="H2262">
        <v>0.118069629814988</v>
      </c>
      <c r="I2262">
        <v>0.133120393140474</v>
      </c>
      <c r="J2262">
        <v>0.163718438475527</v>
      </c>
      <c r="K2262">
        <v>0.19736670690035699</v>
      </c>
      <c r="L2262">
        <v>1006.72752979794</v>
      </c>
      <c r="M2262">
        <v>19.756535624188</v>
      </c>
      <c r="N2262">
        <v>51.761700957186797</v>
      </c>
      <c r="O2262">
        <v>50.443227846776097</v>
      </c>
      <c r="P2262">
        <v>-8.4966480815526602E-2</v>
      </c>
      <c r="Q2262">
        <v>0.13226950916374799</v>
      </c>
      <c r="R2262">
        <v>0.96699893943255</v>
      </c>
      <c r="S2262" t="s">
        <v>8932</v>
      </c>
      <c r="T2262" t="s">
        <v>13338</v>
      </c>
      <c r="U2262" t="s">
        <v>13338</v>
      </c>
      <c r="V2262" t="s">
        <v>13338</v>
      </c>
      <c r="W2262" t="s">
        <v>15561</v>
      </c>
      <c r="X2262">
        <v>23</v>
      </c>
      <c r="Y2262" t="s">
        <v>22133</v>
      </c>
      <c r="Z2262" t="s">
        <v>28677</v>
      </c>
      <c r="AA2262">
        <v>0.46151053247536711</v>
      </c>
      <c r="AB2262" t="str">
        <f>HYPERLINK("Melting_Curves/meltCurve_P23193_TCEA1.pdf", "Melting_Curves/meltCurve_P23193_TCEA1.pdf")</f>
        <v>Melting_Curves/meltCurve_P23193_TCEA1.pdf</v>
      </c>
    </row>
    <row r="2263" spans="1:28" x14ac:dyDescent="0.25">
      <c r="A2263" t="s">
        <v>2267</v>
      </c>
      <c r="B2263">
        <v>0.99193492352474899</v>
      </c>
      <c r="C2263">
        <v>0.30759979557969103</v>
      </c>
      <c r="D2263">
        <v>0.59785814406082805</v>
      </c>
      <c r="E2263">
        <v>0.21498853639165</v>
      </c>
      <c r="F2263">
        <v>0.112167613995132</v>
      </c>
      <c r="G2263">
        <v>6.9907917867502195E-2</v>
      </c>
      <c r="H2263">
        <v>5.5023876047208597E-2</v>
      </c>
      <c r="I2263">
        <v>8.7233169340452596E-2</v>
      </c>
      <c r="J2263">
        <v>0.101721742248189</v>
      </c>
      <c r="K2263">
        <v>0.123515086911212</v>
      </c>
      <c r="L2263">
        <v>622.85511299838697</v>
      </c>
      <c r="M2263">
        <v>14.2328675962814</v>
      </c>
      <c r="N2263">
        <v>44.280384020423298</v>
      </c>
      <c r="O2263">
        <v>42.925035407116098</v>
      </c>
      <c r="P2263">
        <v>-7.6539248687107195E-2</v>
      </c>
      <c r="Q2263">
        <v>7.6772891925514897E-2</v>
      </c>
      <c r="R2263">
        <v>0.79033792664450198</v>
      </c>
      <c r="S2263" t="s">
        <v>8933</v>
      </c>
      <c r="T2263" t="s">
        <v>13338</v>
      </c>
      <c r="U2263" t="s">
        <v>13338</v>
      </c>
      <c r="V2263" t="s">
        <v>13338</v>
      </c>
      <c r="W2263" t="s">
        <v>15562</v>
      </c>
      <c r="X2263">
        <v>37</v>
      </c>
      <c r="Y2263" t="s">
        <v>22134</v>
      </c>
      <c r="Z2263" t="s">
        <v>28678</v>
      </c>
      <c r="AA2263">
        <v>0.23093876797331969</v>
      </c>
      <c r="AB2263" t="str">
        <f>HYPERLINK("Melting_Curves/meltCurve_P23246_SFPQ.pdf", "Melting_Curves/meltCurve_P23246_SFPQ.pdf")</f>
        <v>Melting_Curves/meltCurve_P23246_SFPQ.pdf</v>
      </c>
    </row>
    <row r="2264" spans="1:28" x14ac:dyDescent="0.25">
      <c r="A2264" t="s">
        <v>2268</v>
      </c>
      <c r="B2264">
        <v>0.99193492352474899</v>
      </c>
      <c r="C2264">
        <v>0.80055199064844396</v>
      </c>
      <c r="D2264">
        <v>0.86927520472264697</v>
      </c>
      <c r="E2264">
        <v>0.68672345714457905</v>
      </c>
      <c r="F2264">
        <v>0.65504469517215502</v>
      </c>
      <c r="G2264">
        <v>0.36290715426582199</v>
      </c>
      <c r="H2264">
        <v>0.194211060334434</v>
      </c>
      <c r="I2264">
        <v>0.12735710446193399</v>
      </c>
      <c r="J2264">
        <v>0.13027313184550099</v>
      </c>
      <c r="K2264">
        <v>0.133923180099491</v>
      </c>
      <c r="L2264">
        <v>539.078468191806</v>
      </c>
      <c r="M2264">
        <v>9.9703493140041903</v>
      </c>
      <c r="N2264">
        <v>54.068162426228</v>
      </c>
      <c r="O2264">
        <v>52.028043504322497</v>
      </c>
      <c r="P2264">
        <v>-4.7932102612345699E-2</v>
      </c>
      <c r="Q2264">
        <v>0</v>
      </c>
      <c r="R2264">
        <v>0.96315686640389997</v>
      </c>
      <c r="S2264" t="s">
        <v>8934</v>
      </c>
      <c r="T2264" t="s">
        <v>13338</v>
      </c>
      <c r="U2264" t="s">
        <v>13338</v>
      </c>
      <c r="V2264" t="s">
        <v>13338</v>
      </c>
      <c r="W2264" t="s">
        <v>15563</v>
      </c>
      <c r="X2264">
        <v>17</v>
      </c>
      <c r="Y2264" t="s">
        <v>22135</v>
      </c>
      <c r="Z2264" t="s">
        <v>28679</v>
      </c>
      <c r="AA2264">
        <v>0.49892438624891311</v>
      </c>
      <c r="AB2264" t="str">
        <f>HYPERLINK("Melting_Curves/meltCurve_P23258_TUBG1.pdf", "Melting_Curves/meltCurve_P23258_TUBG1.pdf")</f>
        <v>Melting_Curves/meltCurve_P23258_TUBG1.pdf</v>
      </c>
    </row>
    <row r="2265" spans="1:28" x14ac:dyDescent="0.25">
      <c r="A2265" t="s">
        <v>2269</v>
      </c>
      <c r="B2265">
        <v>0.99193492352474899</v>
      </c>
      <c r="C2265">
        <v>0.73965357897712503</v>
      </c>
      <c r="D2265">
        <v>0.83194342278216804</v>
      </c>
      <c r="E2265">
        <v>0.62532055120765695</v>
      </c>
      <c r="F2265">
        <v>0.27296923925210698</v>
      </c>
      <c r="G2265">
        <v>0.13770415559407601</v>
      </c>
      <c r="H2265">
        <v>7.9528651234120701E-2</v>
      </c>
      <c r="I2265">
        <v>0.10538142689100399</v>
      </c>
      <c r="J2265">
        <v>0.113211051600623</v>
      </c>
      <c r="K2265">
        <v>0.11520442893461801</v>
      </c>
      <c r="L2265">
        <v>742.38755823665304</v>
      </c>
      <c r="M2265">
        <v>14.9320173231081</v>
      </c>
      <c r="N2265">
        <v>50.171582858271499</v>
      </c>
      <c r="O2265">
        <v>48.851678116320798</v>
      </c>
      <c r="P2265">
        <v>-7.1595950587085497E-2</v>
      </c>
      <c r="Q2265">
        <v>6.3161373851507996E-2</v>
      </c>
      <c r="R2265">
        <v>0.95481097005631499</v>
      </c>
      <c r="S2265" t="s">
        <v>8935</v>
      </c>
      <c r="T2265" t="s">
        <v>13338</v>
      </c>
      <c r="U2265" t="s">
        <v>13338</v>
      </c>
      <c r="V2265" t="s">
        <v>13338</v>
      </c>
      <c r="W2265" t="s">
        <v>15564</v>
      </c>
      <c r="X2265">
        <v>18</v>
      </c>
      <c r="Y2265" t="s">
        <v>22136</v>
      </c>
      <c r="Z2265" t="s">
        <v>28680</v>
      </c>
      <c r="AA2265">
        <v>0.38936195982820421</v>
      </c>
      <c r="AB2265" t="str">
        <f>HYPERLINK("Melting_Curves/meltCurve_P23284_PPIB.pdf", "Melting_Curves/meltCurve_P23284_PPIB.pdf")</f>
        <v>Melting_Curves/meltCurve_P23284_PPIB.pdf</v>
      </c>
    </row>
    <row r="2266" spans="1:28" x14ac:dyDescent="0.25">
      <c r="A2266" t="s">
        <v>2270</v>
      </c>
      <c r="B2266">
        <v>0.99193492352474899</v>
      </c>
      <c r="C2266">
        <v>1.0105893589930699</v>
      </c>
      <c r="D2266">
        <v>0.91893810606120396</v>
      </c>
      <c r="E2266">
        <v>0.75888856155279905</v>
      </c>
      <c r="F2266">
        <v>0.46626808982755102</v>
      </c>
      <c r="G2266">
        <v>0.18778650197769201</v>
      </c>
      <c r="H2266">
        <v>9.5484686294751306E-2</v>
      </c>
      <c r="I2266">
        <v>8.8839198633374306E-2</v>
      </c>
      <c r="J2266">
        <v>0.102720979584473</v>
      </c>
      <c r="K2266">
        <v>0.100023054258529</v>
      </c>
      <c r="L2266">
        <v>1112.1650165942499</v>
      </c>
      <c r="M2266">
        <v>21.346683968754899</v>
      </c>
      <c r="N2266">
        <v>52.5151541953567</v>
      </c>
      <c r="O2266">
        <v>51.649373070092899</v>
      </c>
      <c r="P2266">
        <v>-9.5307409586844805E-2</v>
      </c>
      <c r="Q2266">
        <v>7.7618984655815196E-2</v>
      </c>
      <c r="R2266">
        <v>0.99733042785409298</v>
      </c>
      <c r="S2266" t="s">
        <v>8936</v>
      </c>
      <c r="T2266" t="s">
        <v>13338</v>
      </c>
      <c r="U2266" t="s">
        <v>13338</v>
      </c>
      <c r="V2266" t="s">
        <v>13338</v>
      </c>
      <c r="W2266" t="s">
        <v>15565</v>
      </c>
      <c r="X2266">
        <v>28</v>
      </c>
      <c r="Y2266" t="s">
        <v>22137</v>
      </c>
      <c r="Z2266" t="s">
        <v>28681</v>
      </c>
      <c r="AA2266">
        <v>0.46099101151082522</v>
      </c>
      <c r="AB2266" t="str">
        <f>HYPERLINK("Melting_Curves/meltCurve_P23368_ME2.pdf", "Melting_Curves/meltCurve_P23368_ME2.pdf")</f>
        <v>Melting_Curves/meltCurve_P23368_ME2.pdf</v>
      </c>
    </row>
    <row r="2267" spans="1:28" x14ac:dyDescent="0.25">
      <c r="A2267" t="s">
        <v>2271</v>
      </c>
      <c r="B2267">
        <v>0.99193492352474899</v>
      </c>
      <c r="C2267">
        <v>1.01703863189725</v>
      </c>
      <c r="D2267">
        <v>1.0093105591609901</v>
      </c>
      <c r="E2267">
        <v>0.76139761875502698</v>
      </c>
      <c r="F2267">
        <v>0.46145172477512297</v>
      </c>
      <c r="G2267">
        <v>0.224914329289752</v>
      </c>
      <c r="H2267">
        <v>0.13410844106745301</v>
      </c>
      <c r="I2267">
        <v>0.21056887362561</v>
      </c>
      <c r="J2267">
        <v>0.32062786572327401</v>
      </c>
      <c r="K2267">
        <v>0.247779407633961</v>
      </c>
      <c r="L2267">
        <v>1509.06415285667</v>
      </c>
      <c r="M2267">
        <v>29.425243045863699</v>
      </c>
      <c r="N2267">
        <v>52.328767636279402</v>
      </c>
      <c r="O2267">
        <v>51.049564394765099</v>
      </c>
      <c r="P2267">
        <v>-0.11210684297172401</v>
      </c>
      <c r="Q2267">
        <v>0.22203324328194099</v>
      </c>
      <c r="R2267">
        <v>0.97926743394177995</v>
      </c>
      <c r="S2267" t="s">
        <v>8937</v>
      </c>
      <c r="T2267" t="s">
        <v>13338</v>
      </c>
      <c r="U2267" t="s">
        <v>13338</v>
      </c>
      <c r="V2267" t="s">
        <v>13338</v>
      </c>
      <c r="W2267" t="s">
        <v>15566</v>
      </c>
      <c r="X2267">
        <v>1</v>
      </c>
      <c r="Y2267" t="s">
        <v>22138</v>
      </c>
      <c r="Z2267" t="s">
        <v>28682</v>
      </c>
      <c r="AA2267">
        <v>0.5197777647962446</v>
      </c>
      <c r="AB2267" t="str">
        <f>HYPERLINK("Melting_Curves/meltCurve_P23378_GLDC.pdf", "Melting_Curves/meltCurve_P23378_GLDC.pdf")</f>
        <v>Melting_Curves/meltCurve_P23378_GLDC.pdf</v>
      </c>
    </row>
    <row r="2268" spans="1:28" x14ac:dyDescent="0.25">
      <c r="A2268" t="s">
        <v>2272</v>
      </c>
      <c r="B2268">
        <v>0.99193492352474899</v>
      </c>
      <c r="C2268">
        <v>0.86913943881084199</v>
      </c>
      <c r="D2268">
        <v>0.88971491256642499</v>
      </c>
      <c r="E2268">
        <v>0.69445005787665803</v>
      </c>
      <c r="F2268">
        <v>0.58789320660886002</v>
      </c>
      <c r="G2268">
        <v>0.36241057844788899</v>
      </c>
      <c r="H2268">
        <v>0.21883531054100999</v>
      </c>
      <c r="I2268">
        <v>0.214694932112549</v>
      </c>
      <c r="J2268">
        <v>0.27317573247271498</v>
      </c>
      <c r="K2268">
        <v>0.24979615889399301</v>
      </c>
      <c r="L2268">
        <v>684.23950623355199</v>
      </c>
      <c r="M2268">
        <v>13.216558023689601</v>
      </c>
      <c r="N2268">
        <v>53.707892043613498</v>
      </c>
      <c r="O2268">
        <v>50.629199274749197</v>
      </c>
      <c r="P2268">
        <v>-5.2900891141656199E-2</v>
      </c>
      <c r="Q2268">
        <v>0.189535991853922</v>
      </c>
      <c r="R2268">
        <v>0.97513306862988003</v>
      </c>
      <c r="S2268" t="s">
        <v>8938</v>
      </c>
      <c r="T2268" t="s">
        <v>13338</v>
      </c>
      <c r="U2268" t="s">
        <v>13338</v>
      </c>
      <c r="V2268" t="s">
        <v>13338</v>
      </c>
      <c r="W2268" t="s">
        <v>15567</v>
      </c>
      <c r="X2268">
        <v>27</v>
      </c>
      <c r="Y2268" t="s">
        <v>22139</v>
      </c>
      <c r="Z2268" t="s">
        <v>28683</v>
      </c>
      <c r="AA2268">
        <v>0.52960256614884582</v>
      </c>
      <c r="AB2268" t="str">
        <f>HYPERLINK("Melting_Curves/meltCurve_P23381_WARS.pdf", "Melting_Curves/meltCurve_P23381_WARS.pdf")</f>
        <v>Melting_Curves/meltCurve_P23381_WARS.pdf</v>
      </c>
    </row>
    <row r="2269" spans="1:28" x14ac:dyDescent="0.25">
      <c r="A2269" t="s">
        <v>2273</v>
      </c>
      <c r="B2269">
        <v>0.99193492352474899</v>
      </c>
      <c r="C2269">
        <v>0.85350885540950905</v>
      </c>
      <c r="D2269">
        <v>0.97150719447297496</v>
      </c>
      <c r="E2269">
        <v>0.65430921074559301</v>
      </c>
      <c r="F2269">
        <v>0.53740909982225504</v>
      </c>
      <c r="G2269">
        <v>0.224266863304211</v>
      </c>
      <c r="H2269">
        <v>9.9130602739857104E-2</v>
      </c>
      <c r="I2269">
        <v>0.10758803889285699</v>
      </c>
      <c r="J2269">
        <v>0.100404502534507</v>
      </c>
      <c r="K2269">
        <v>9.9311658593339402E-2</v>
      </c>
      <c r="L2269">
        <v>827.07655219377102</v>
      </c>
      <c r="M2269">
        <v>15.8427988231333</v>
      </c>
      <c r="N2269">
        <v>52.6078907520778</v>
      </c>
      <c r="O2269">
        <v>51.394673445573297</v>
      </c>
      <c r="P2269">
        <v>-7.2669801112778099E-2</v>
      </c>
      <c r="Q2269">
        <v>5.71019058329163E-2</v>
      </c>
      <c r="R2269">
        <v>0.97472891084837998</v>
      </c>
      <c r="S2269" t="s">
        <v>8939</v>
      </c>
      <c r="T2269" t="s">
        <v>13338</v>
      </c>
      <c r="U2269" t="s">
        <v>13338</v>
      </c>
      <c r="V2269" t="s">
        <v>13338</v>
      </c>
      <c r="W2269" t="s">
        <v>15568</v>
      </c>
      <c r="X2269">
        <v>21</v>
      </c>
      <c r="Y2269" t="s">
        <v>22140</v>
      </c>
      <c r="Z2269" t="s">
        <v>28684</v>
      </c>
      <c r="AA2269">
        <v>0.45995836915386629</v>
      </c>
      <c r="AB2269" t="str">
        <f>HYPERLINK("Melting_Curves/meltCurve_P23396_RPS3.pdf", "Melting_Curves/meltCurve_P23396_RPS3.pdf")</f>
        <v>Melting_Curves/meltCurve_P23396_RPS3.pdf</v>
      </c>
    </row>
    <row r="2270" spans="1:28" x14ac:dyDescent="0.25">
      <c r="A2270" t="s">
        <v>2274</v>
      </c>
      <c r="B2270">
        <v>0.99193492352474899</v>
      </c>
      <c r="C2270">
        <v>1.06533783135246</v>
      </c>
      <c r="D2270">
        <v>1.03843606348649</v>
      </c>
      <c r="E2270">
        <v>1.0346999116809099</v>
      </c>
      <c r="F2270">
        <v>0.862875844102443</v>
      </c>
      <c r="G2270">
        <v>0.73874747490475301</v>
      </c>
      <c r="H2270">
        <v>0.70226974609543003</v>
      </c>
      <c r="I2270">
        <v>0.45065242930330501</v>
      </c>
      <c r="J2270">
        <v>0.49281525236485202</v>
      </c>
      <c r="K2270">
        <v>0.41523312210014302</v>
      </c>
      <c r="L2270">
        <v>898.86887190500897</v>
      </c>
      <c r="M2270">
        <v>15.211115649880201</v>
      </c>
      <c r="N2270">
        <v>64.888992477740302</v>
      </c>
      <c r="O2270">
        <v>58.099805358672</v>
      </c>
      <c r="P2270">
        <v>-4.1140615084788501E-2</v>
      </c>
      <c r="Q2270">
        <v>0.371503528445919</v>
      </c>
      <c r="R2270">
        <v>0.95410923706209605</v>
      </c>
      <c r="S2270" t="s">
        <v>8940</v>
      </c>
      <c r="T2270" t="s">
        <v>13338</v>
      </c>
      <c r="U2270" t="s">
        <v>13338</v>
      </c>
      <c r="V2270" t="s">
        <v>13338</v>
      </c>
      <c r="W2270" t="s">
        <v>15569</v>
      </c>
      <c r="X2270">
        <v>3</v>
      </c>
      <c r="Y2270" t="s">
        <v>22141</v>
      </c>
      <c r="Z2270" t="s">
        <v>28685</v>
      </c>
      <c r="AA2270">
        <v>0.7779401333681798</v>
      </c>
      <c r="AB2270" t="str">
        <f>HYPERLINK("Melting_Curves/meltCurve_P23434_GCSH.pdf", "Melting_Curves/meltCurve_P23434_GCSH.pdf")</f>
        <v>Melting_Curves/meltCurve_P23434_GCSH.pdf</v>
      </c>
    </row>
    <row r="2271" spans="1:28" x14ac:dyDescent="0.25">
      <c r="A2271" t="s">
        <v>2275</v>
      </c>
      <c r="B2271">
        <v>0.99193492352474899</v>
      </c>
      <c r="C2271">
        <v>1.0270904070150599</v>
      </c>
      <c r="D2271">
        <v>0.85469238495031696</v>
      </c>
      <c r="E2271">
        <v>0.32069321011938801</v>
      </c>
      <c r="F2271">
        <v>0.23359348100434801</v>
      </c>
      <c r="G2271">
        <v>0.19896878647864399</v>
      </c>
      <c r="H2271">
        <v>0.101449716046427</v>
      </c>
      <c r="I2271">
        <v>0.12489667587306499</v>
      </c>
      <c r="J2271">
        <v>0.12753417744870299</v>
      </c>
      <c r="K2271">
        <v>0.17788805874170099</v>
      </c>
      <c r="L2271">
        <v>1818.59953449809</v>
      </c>
      <c r="M2271">
        <v>37.984029624178298</v>
      </c>
      <c r="N2271">
        <v>48.351953234250601</v>
      </c>
      <c r="O2271">
        <v>47.745876879053597</v>
      </c>
      <c r="P2271">
        <v>-0.167973402690729</v>
      </c>
      <c r="Q2271">
        <v>0.15543273736216401</v>
      </c>
      <c r="R2271">
        <v>0.99080183551147005</v>
      </c>
      <c r="S2271" t="s">
        <v>8941</v>
      </c>
      <c r="T2271" t="s">
        <v>13338</v>
      </c>
      <c r="U2271" t="s">
        <v>13338</v>
      </c>
      <c r="V2271" t="s">
        <v>13338</v>
      </c>
      <c r="W2271" t="s">
        <v>15570</v>
      </c>
      <c r="X2271">
        <v>2</v>
      </c>
      <c r="Y2271" t="s">
        <v>22142</v>
      </c>
      <c r="Z2271" t="s">
        <v>28686</v>
      </c>
      <c r="AA2271">
        <v>0.38033264168402969</v>
      </c>
      <c r="AB2271" t="str">
        <f>HYPERLINK("Melting_Curves/meltCurve_P23469_3_PTPRE.pdf", "Melting_Curves/meltCurve_P23469_3_PTPRE.pdf")</f>
        <v>Melting_Curves/meltCurve_P23469_3_PTPRE.pdf</v>
      </c>
    </row>
    <row r="2272" spans="1:28" x14ac:dyDescent="0.25">
      <c r="A2272" t="s">
        <v>2276</v>
      </c>
      <c r="B2272">
        <v>0.99193492352474899</v>
      </c>
      <c r="C2272">
        <v>0.91579339105352398</v>
      </c>
      <c r="D2272">
        <v>0.86456692792159395</v>
      </c>
      <c r="E2272">
        <v>0.59786230248705896</v>
      </c>
      <c r="F2272">
        <v>0.46728308790800199</v>
      </c>
      <c r="G2272">
        <v>0.27645094835220702</v>
      </c>
      <c r="H2272">
        <v>0.223526715402913</v>
      </c>
      <c r="I2272">
        <v>0.28955448907707998</v>
      </c>
      <c r="J2272">
        <v>0.35654852407819898</v>
      </c>
      <c r="K2272">
        <v>0.44030213072365698</v>
      </c>
      <c r="L2272">
        <v>1036.2132330489101</v>
      </c>
      <c r="M2272">
        <v>21.223615137676799</v>
      </c>
      <c r="N2272">
        <v>51.237276840348898</v>
      </c>
      <c r="O2272">
        <v>48.396347722755799</v>
      </c>
      <c r="P2272">
        <v>-7.4989284916592805E-2</v>
      </c>
      <c r="Q2272">
        <v>0.316023429794974</v>
      </c>
      <c r="R2272">
        <v>0.94764772223622895</v>
      </c>
      <c r="S2272" t="s">
        <v>8942</v>
      </c>
      <c r="T2272" t="s">
        <v>13338</v>
      </c>
      <c r="U2272" t="s">
        <v>13338</v>
      </c>
      <c r="V2272" t="s">
        <v>13338</v>
      </c>
      <c r="W2272" t="s">
        <v>15571</v>
      </c>
      <c r="X2272">
        <v>11</v>
      </c>
      <c r="Y2272" t="s">
        <v>22143</v>
      </c>
      <c r="Z2272" t="s">
        <v>28687</v>
      </c>
      <c r="AA2272">
        <v>0.52569008203394174</v>
      </c>
      <c r="AB2272" t="str">
        <f>HYPERLINK("Melting_Curves/meltCurve_P23497_SP100.pdf", "Melting_Curves/meltCurve_P23497_SP100.pdf")</f>
        <v>Melting_Curves/meltCurve_P23497_SP100.pdf</v>
      </c>
    </row>
    <row r="2273" spans="1:28" x14ac:dyDescent="0.25">
      <c r="A2273" t="s">
        <v>2277</v>
      </c>
      <c r="B2273">
        <v>0.99193492352474899</v>
      </c>
      <c r="C2273">
        <v>0.55410177660419202</v>
      </c>
      <c r="D2273">
        <v>0.60368651573235499</v>
      </c>
      <c r="E2273">
        <v>0.41687810562482802</v>
      </c>
      <c r="F2273">
        <v>0.31328431974826598</v>
      </c>
      <c r="G2273">
        <v>0.17396647268544299</v>
      </c>
      <c r="H2273">
        <v>0.14798767390290901</v>
      </c>
      <c r="I2273">
        <v>8.9850299702620096E-2</v>
      </c>
      <c r="J2273">
        <v>0.106709241214875</v>
      </c>
      <c r="K2273">
        <v>0.18663859260541699</v>
      </c>
      <c r="L2273">
        <v>493.43985654375302</v>
      </c>
      <c r="M2273">
        <v>10.6774735815981</v>
      </c>
      <c r="N2273">
        <v>47.153685744901701</v>
      </c>
      <c r="O2273">
        <v>44.680647795584001</v>
      </c>
      <c r="P2273">
        <v>-5.4033746099553998E-2</v>
      </c>
      <c r="Q2273">
        <v>9.5910296174687507E-2</v>
      </c>
      <c r="R2273">
        <v>0.91922174535646495</v>
      </c>
      <c r="S2273" t="s">
        <v>8943</v>
      </c>
      <c r="T2273" t="s">
        <v>13338</v>
      </c>
      <c r="U2273" t="s">
        <v>13338</v>
      </c>
      <c r="V2273" t="s">
        <v>13338</v>
      </c>
      <c r="W2273" t="s">
        <v>15572</v>
      </c>
      <c r="X2273">
        <v>3</v>
      </c>
      <c r="Y2273" t="s">
        <v>22144</v>
      </c>
      <c r="Z2273" t="s">
        <v>28688</v>
      </c>
      <c r="AA2273">
        <v>0.33291722687554642</v>
      </c>
      <c r="AB2273" t="str">
        <f>HYPERLINK("Melting_Curves/meltCurve_P23511_2_NFYA.pdf", "Melting_Curves/meltCurve_P23511_2_NFYA.pdf")</f>
        <v>Melting_Curves/meltCurve_P23511_2_NFYA.pdf</v>
      </c>
    </row>
    <row r="2274" spans="1:28" x14ac:dyDescent="0.25">
      <c r="A2274" t="s">
        <v>2278</v>
      </c>
      <c r="B2274">
        <v>0.99193492352474899</v>
      </c>
      <c r="C2274">
        <v>1.0336280127828601</v>
      </c>
      <c r="D2274">
        <v>0.99259946928306597</v>
      </c>
      <c r="E2274">
        <v>0.86388374812990798</v>
      </c>
      <c r="F2274">
        <v>0.77531097877923105</v>
      </c>
      <c r="G2274">
        <v>0.69344689291325201</v>
      </c>
      <c r="H2274">
        <v>0.375055820376134</v>
      </c>
      <c r="I2274">
        <v>0.14575078337262301</v>
      </c>
      <c r="J2274">
        <v>0.14995806888600699</v>
      </c>
      <c r="K2274">
        <v>0.15269729493559001</v>
      </c>
      <c r="L2274">
        <v>867.34094244943799</v>
      </c>
      <c r="M2274">
        <v>14.8738074705365</v>
      </c>
      <c r="N2274">
        <v>58.549636071199799</v>
      </c>
      <c r="O2274">
        <v>57.289671887784898</v>
      </c>
      <c r="P2274">
        <v>-6.3021717145509998E-2</v>
      </c>
      <c r="Q2274">
        <v>2.9134534875516201E-2</v>
      </c>
      <c r="R2274">
        <v>0.98016710757081404</v>
      </c>
      <c r="S2274" t="s">
        <v>8944</v>
      </c>
      <c r="T2274" t="s">
        <v>13338</v>
      </c>
      <c r="U2274" t="s">
        <v>13338</v>
      </c>
      <c r="V2274" t="s">
        <v>13338</v>
      </c>
      <c r="W2274" t="s">
        <v>15573</v>
      </c>
      <c r="X2274">
        <v>27</v>
      </c>
      <c r="Y2274" t="s">
        <v>22145</v>
      </c>
      <c r="Z2274" t="s">
        <v>28689</v>
      </c>
      <c r="AA2274">
        <v>0.63399922348068538</v>
      </c>
      <c r="AB2274" t="str">
        <f>HYPERLINK("Melting_Curves/meltCurve_P23526_AHCY.pdf", "Melting_Curves/meltCurve_P23526_AHCY.pdf")</f>
        <v>Melting_Curves/meltCurve_P23526_AHCY.pdf</v>
      </c>
    </row>
    <row r="2275" spans="1:28" x14ac:dyDescent="0.25">
      <c r="A2275" t="s">
        <v>2279</v>
      </c>
      <c r="B2275">
        <v>0.99193492352474899</v>
      </c>
      <c r="C2275">
        <v>3.53596122206315</v>
      </c>
      <c r="D2275">
        <v>0.63752954952725005</v>
      </c>
      <c r="E2275">
        <v>1.2265960920283401</v>
      </c>
      <c r="F2275">
        <v>0.31235930561359398</v>
      </c>
      <c r="G2275">
        <v>0.447230196786923</v>
      </c>
      <c r="H2275">
        <v>0.48612427825986998</v>
      </c>
      <c r="I2275">
        <v>0.68799955845749505</v>
      </c>
      <c r="J2275">
        <v>0.61197838128272997</v>
      </c>
      <c r="K2275">
        <v>0.209462785737072</v>
      </c>
      <c r="L2275">
        <v>4765.5569584477498</v>
      </c>
      <c r="M2275">
        <v>92.591952173067597</v>
      </c>
      <c r="N2275">
        <v>52.8778657998878</v>
      </c>
      <c r="O2275">
        <v>51.444376556082197</v>
      </c>
      <c r="P2275">
        <v>-0.24404694390969001</v>
      </c>
      <c r="Q2275">
        <v>0.45762707747386699</v>
      </c>
      <c r="R2275">
        <v>0.19707072339767001</v>
      </c>
      <c r="S2275" t="s">
        <v>8945</v>
      </c>
      <c r="T2275" t="s">
        <v>13338</v>
      </c>
      <c r="U2275" t="s">
        <v>13338</v>
      </c>
      <c r="V2275" t="s">
        <v>13338</v>
      </c>
      <c r="W2275" t="s">
        <v>15574</v>
      </c>
      <c r="X2275">
        <v>11</v>
      </c>
      <c r="Y2275" t="s">
        <v>22146</v>
      </c>
      <c r="Z2275" t="s">
        <v>28690</v>
      </c>
      <c r="AA2275">
        <v>0.66532252057096775</v>
      </c>
      <c r="AB2275" t="str">
        <f>HYPERLINK("Melting_Curves/meltCurve_P23527_HIST1H2BO.pdf", "Melting_Curves/meltCurve_P23527_HIST1H2BO.pdf")</f>
        <v>Melting_Curves/meltCurve_P23527_HIST1H2BO.pdf</v>
      </c>
    </row>
    <row r="2276" spans="1:28" x14ac:dyDescent="0.25">
      <c r="A2276" t="s">
        <v>2280</v>
      </c>
      <c r="B2276">
        <v>0.99193492352474899</v>
      </c>
      <c r="C2276">
        <v>0.85806302410555702</v>
      </c>
      <c r="D2276">
        <v>0.83667587436936297</v>
      </c>
      <c r="E2276">
        <v>0.77844380497186305</v>
      </c>
      <c r="F2276">
        <v>0.40131268881280502</v>
      </c>
      <c r="G2276">
        <v>0.13534219749409601</v>
      </c>
      <c r="H2276">
        <v>8.9047965874389498E-2</v>
      </c>
      <c r="I2276">
        <v>0.103426007141991</v>
      </c>
      <c r="J2276">
        <v>0.133850571303893</v>
      </c>
      <c r="K2276">
        <v>0.152995430713844</v>
      </c>
      <c r="L2276">
        <v>1117.6831111695201</v>
      </c>
      <c r="M2276">
        <v>21.747375092927701</v>
      </c>
      <c r="N2276">
        <v>51.913653217200903</v>
      </c>
      <c r="O2276">
        <v>50.965298480594598</v>
      </c>
      <c r="P2276">
        <v>-9.6243997837897693E-2</v>
      </c>
      <c r="Q2276">
        <v>9.7824199643309198E-2</v>
      </c>
      <c r="R2276">
        <v>0.96848677911936398</v>
      </c>
      <c r="S2276" t="s">
        <v>8946</v>
      </c>
      <c r="T2276" t="s">
        <v>13338</v>
      </c>
      <c r="U2276" t="s">
        <v>13338</v>
      </c>
      <c r="V2276" t="s">
        <v>13338</v>
      </c>
      <c r="W2276" t="s">
        <v>15575</v>
      </c>
      <c r="X2276">
        <v>22</v>
      </c>
      <c r="Y2276" t="s">
        <v>22147</v>
      </c>
      <c r="Z2276" t="s">
        <v>28691</v>
      </c>
      <c r="AA2276">
        <v>0.45116889128148402</v>
      </c>
      <c r="AB2276" t="str">
        <f>HYPERLINK("Melting_Curves/meltCurve_P23528_CFL1.pdf", "Melting_Curves/meltCurve_P23528_CFL1.pdf")</f>
        <v>Melting_Curves/meltCurve_P23528_CFL1.pdf</v>
      </c>
    </row>
    <row r="2277" spans="1:28" x14ac:dyDescent="0.25">
      <c r="A2277" t="s">
        <v>2281</v>
      </c>
      <c r="B2277">
        <v>0.99193492352474899</v>
      </c>
      <c r="C2277">
        <v>0.860665649593361</v>
      </c>
      <c r="D2277">
        <v>0.91121376303021595</v>
      </c>
      <c r="E2277">
        <v>0.468243419745899</v>
      </c>
      <c r="F2277">
        <v>0.18545764577620499</v>
      </c>
      <c r="G2277">
        <v>0.10420097976659801</v>
      </c>
      <c r="H2277">
        <v>0.104351841694303</v>
      </c>
      <c r="I2277">
        <v>0.12712759995095299</v>
      </c>
      <c r="J2277">
        <v>0.13285950777327099</v>
      </c>
      <c r="K2277">
        <v>0.13739349298272199</v>
      </c>
      <c r="L2277">
        <v>1479.7214171089799</v>
      </c>
      <c r="M2277">
        <v>30.245066874798599</v>
      </c>
      <c r="N2277">
        <v>49.361489517042799</v>
      </c>
      <c r="O2277">
        <v>48.712014337095603</v>
      </c>
      <c r="P2277">
        <v>-0.13698915969720399</v>
      </c>
      <c r="Q2277">
        <v>0.11747931940145</v>
      </c>
      <c r="R2277">
        <v>0.98547174649800895</v>
      </c>
      <c r="S2277" t="s">
        <v>8947</v>
      </c>
      <c r="T2277" t="s">
        <v>13338</v>
      </c>
      <c r="U2277" t="s">
        <v>13338</v>
      </c>
      <c r="V2277" t="s">
        <v>13338</v>
      </c>
      <c r="W2277" t="s">
        <v>15576</v>
      </c>
      <c r="X2277">
        <v>6</v>
      </c>
      <c r="Y2277" t="s">
        <v>22148</v>
      </c>
      <c r="Z2277" t="s">
        <v>28692</v>
      </c>
      <c r="AA2277">
        <v>0.38529174811055428</v>
      </c>
      <c r="AB2277" t="str">
        <f>HYPERLINK("Melting_Curves/meltCurve_P23610_F8A1.pdf", "Melting_Curves/meltCurve_P23610_F8A1.pdf")</f>
        <v>Melting_Curves/meltCurve_P23610_F8A1.pdf</v>
      </c>
    </row>
    <row r="2278" spans="1:28" x14ac:dyDescent="0.25">
      <c r="A2278" t="s">
        <v>2282</v>
      </c>
      <c r="B2278">
        <v>0.99193492352474899</v>
      </c>
      <c r="C2278">
        <v>0.93671967201310402</v>
      </c>
      <c r="D2278">
        <v>0.96858625055096403</v>
      </c>
      <c r="E2278">
        <v>0.82072573715376496</v>
      </c>
      <c r="F2278">
        <v>0.81017035690319505</v>
      </c>
      <c r="G2278">
        <v>0.57490091675228705</v>
      </c>
      <c r="H2278">
        <v>0.16557257681439699</v>
      </c>
      <c r="I2278">
        <v>0.114132035363521</v>
      </c>
      <c r="J2278">
        <v>0.11917163078622001</v>
      </c>
      <c r="K2278">
        <v>0.12635589279284901</v>
      </c>
      <c r="L2278">
        <v>1129.36705262741</v>
      </c>
      <c r="M2278">
        <v>19.991543653671702</v>
      </c>
      <c r="N2278">
        <v>56.877043793933403</v>
      </c>
      <c r="O2278">
        <v>55.936091878820598</v>
      </c>
      <c r="P2278">
        <v>-8.3701006368860104E-2</v>
      </c>
      <c r="Q2278">
        <v>6.3253021360112696E-2</v>
      </c>
      <c r="R2278">
        <v>0.97458080318558504</v>
      </c>
      <c r="S2278" t="s">
        <v>8948</v>
      </c>
      <c r="T2278" t="s">
        <v>13338</v>
      </c>
      <c r="U2278" t="s">
        <v>13338</v>
      </c>
      <c r="V2278" t="s">
        <v>13338</v>
      </c>
      <c r="W2278" t="s">
        <v>15577</v>
      </c>
      <c r="X2278">
        <v>30</v>
      </c>
      <c r="Y2278" t="s">
        <v>22149</v>
      </c>
      <c r="Z2278" t="s">
        <v>28693</v>
      </c>
      <c r="AA2278">
        <v>0.59002692793505629</v>
      </c>
      <c r="AB2278" t="str">
        <f>HYPERLINK("Melting_Curves/meltCurve_P23634_7_ATP2B4.pdf", "Melting_Curves/meltCurve_P23634_7_ATP2B4.pdf")</f>
        <v>Melting_Curves/meltCurve_P23634_7_ATP2B4.pdf</v>
      </c>
    </row>
    <row r="2279" spans="1:28" x14ac:dyDescent="0.25">
      <c r="A2279" t="s">
        <v>2283</v>
      </c>
      <c r="B2279">
        <v>0.99193492352474899</v>
      </c>
      <c r="C2279">
        <v>1.1087040172639</v>
      </c>
      <c r="D2279">
        <v>0.99873598472177505</v>
      </c>
      <c r="E2279">
        <v>0.40557886863959602</v>
      </c>
      <c r="F2279">
        <v>0.17040363931810801</v>
      </c>
      <c r="G2279">
        <v>0.103066054074443</v>
      </c>
      <c r="H2279">
        <v>6.3778346380387999E-2</v>
      </c>
      <c r="I2279">
        <v>5.7763351014159997E-2</v>
      </c>
      <c r="J2279">
        <v>6.8731850436668199E-2</v>
      </c>
      <c r="K2279">
        <v>5.7124132952757901E-2</v>
      </c>
      <c r="L2279">
        <v>2462.3103717496201</v>
      </c>
      <c r="M2279">
        <v>50.202544429173201</v>
      </c>
      <c r="N2279">
        <v>49.2243323419193</v>
      </c>
      <c r="O2279">
        <v>48.969882617543099</v>
      </c>
      <c r="P2279">
        <v>-0.235151355803737</v>
      </c>
      <c r="Q2279">
        <v>8.2490755406368202E-2</v>
      </c>
      <c r="R2279">
        <v>0.98885544006956205</v>
      </c>
      <c r="S2279" t="s">
        <v>8949</v>
      </c>
      <c r="T2279" t="s">
        <v>13338</v>
      </c>
      <c r="U2279" t="s">
        <v>13338</v>
      </c>
      <c r="V2279" t="s">
        <v>13338</v>
      </c>
      <c r="W2279" t="s">
        <v>15578</v>
      </c>
      <c r="X2279">
        <v>22</v>
      </c>
      <c r="Y2279" t="s">
        <v>22150</v>
      </c>
      <c r="Z2279" t="s">
        <v>28694</v>
      </c>
      <c r="AA2279">
        <v>0.36116607632779518</v>
      </c>
      <c r="AB2279" t="str">
        <f>HYPERLINK("Melting_Curves/meltCurve_P23743_DGKA.pdf", "Melting_Curves/meltCurve_P23743_DGKA.pdf")</f>
        <v>Melting_Curves/meltCurve_P23743_DGKA.pdf</v>
      </c>
    </row>
    <row r="2280" spans="1:28" x14ac:dyDescent="0.25">
      <c r="A2280" t="s">
        <v>2284</v>
      </c>
      <c r="B2280">
        <v>0.99193492352474899</v>
      </c>
      <c r="C2280">
        <v>0.67468277846564295</v>
      </c>
      <c r="D2280">
        <v>0.81848092700147701</v>
      </c>
      <c r="E2280">
        <v>0.24237203278751801</v>
      </c>
      <c r="F2280">
        <v>0.222584687010592</v>
      </c>
      <c r="G2280">
        <v>0.12611449323121701</v>
      </c>
      <c r="H2280">
        <v>0.16428764154696701</v>
      </c>
      <c r="I2280">
        <v>0.21162160092485</v>
      </c>
      <c r="J2280">
        <v>0.38212479877303301</v>
      </c>
      <c r="K2280">
        <v>0.397287762123754</v>
      </c>
      <c r="L2280">
        <v>1037.98152441978</v>
      </c>
      <c r="M2280">
        <v>22.520806453775101</v>
      </c>
      <c r="N2280">
        <v>47.4351514675663</v>
      </c>
      <c r="O2280">
        <v>45.731101114306398</v>
      </c>
      <c r="P2280">
        <v>-9.4061297355057999E-2</v>
      </c>
      <c r="Q2280">
        <v>0.23600614784662</v>
      </c>
      <c r="R2280">
        <v>0.79904148261921004</v>
      </c>
      <c r="S2280" t="s">
        <v>8950</v>
      </c>
      <c r="T2280" t="s">
        <v>13338</v>
      </c>
      <c r="U2280" t="s">
        <v>13338</v>
      </c>
      <c r="V2280" t="s">
        <v>13338</v>
      </c>
      <c r="W2280" t="s">
        <v>15579</v>
      </c>
      <c r="X2280">
        <v>2</v>
      </c>
      <c r="Y2280" t="s">
        <v>22151</v>
      </c>
      <c r="Z2280" t="s">
        <v>28695</v>
      </c>
      <c r="AA2280">
        <v>0.40003050137119872</v>
      </c>
      <c r="AB2280" t="str">
        <f>HYPERLINK("Melting_Curves/meltCurve_P23771_GATA3.pdf", "Melting_Curves/meltCurve_P23771_GATA3.pdf")</f>
        <v>Melting_Curves/meltCurve_P23771_GATA3.pdf</v>
      </c>
    </row>
    <row r="2281" spans="1:28" x14ac:dyDescent="0.25">
      <c r="A2281" t="s">
        <v>2285</v>
      </c>
      <c r="B2281">
        <v>0.99193492352474899</v>
      </c>
      <c r="C2281">
        <v>0.88597554083653296</v>
      </c>
      <c r="D2281">
        <v>0.82965319295923001</v>
      </c>
      <c r="E2281">
        <v>0.21215843347423999</v>
      </c>
      <c r="F2281">
        <v>0.153837065586618</v>
      </c>
      <c r="G2281">
        <v>7.5223554667465997E-2</v>
      </c>
      <c r="H2281">
        <v>3.9839480810327101E-2</v>
      </c>
      <c r="I2281">
        <v>4.83861199900186E-2</v>
      </c>
      <c r="J2281">
        <v>6.0785935378065897E-2</v>
      </c>
      <c r="K2281">
        <v>6.80258809165631E-2</v>
      </c>
      <c r="L2281">
        <v>1787.89336725464</v>
      </c>
      <c r="M2281">
        <v>37.541637066196898</v>
      </c>
      <c r="N2281">
        <v>47.809797296252803</v>
      </c>
      <c r="O2281">
        <v>47.4897524882022</v>
      </c>
      <c r="P2281">
        <v>-0.18423685153233599</v>
      </c>
      <c r="Q2281">
        <v>6.7772283632993896E-2</v>
      </c>
      <c r="R2281">
        <v>0.98784203327989295</v>
      </c>
      <c r="S2281" t="s">
        <v>8951</v>
      </c>
      <c r="T2281" t="s">
        <v>13338</v>
      </c>
      <c r="U2281" t="s">
        <v>13338</v>
      </c>
      <c r="V2281" t="s">
        <v>13338</v>
      </c>
      <c r="W2281" t="s">
        <v>15580</v>
      </c>
      <c r="X2281">
        <v>9</v>
      </c>
      <c r="Y2281" t="s">
        <v>22152</v>
      </c>
      <c r="Z2281" t="s">
        <v>28696</v>
      </c>
      <c r="AA2281">
        <v>0.3082003962941241</v>
      </c>
      <c r="AB2281" t="str">
        <f>HYPERLINK("Melting_Curves/meltCurve_P23786_CPT2.pdf", "Melting_Curves/meltCurve_P23786_CPT2.pdf")</f>
        <v>Melting_Curves/meltCurve_P23786_CPT2.pdf</v>
      </c>
    </row>
    <row r="2282" spans="1:28" x14ac:dyDescent="0.25">
      <c r="A2282" t="s">
        <v>2286</v>
      </c>
      <c r="B2282">
        <v>0.99193492352474899</v>
      </c>
      <c r="C2282">
        <v>0.781306103087413</v>
      </c>
      <c r="D2282">
        <v>0.88411476648667597</v>
      </c>
      <c r="E2282">
        <v>0.69298740031935802</v>
      </c>
      <c r="F2282">
        <v>0.63535231045723295</v>
      </c>
      <c r="G2282">
        <v>0.39778604419596802</v>
      </c>
      <c r="H2282">
        <v>0.154159256342114</v>
      </c>
      <c r="I2282">
        <v>8.2577649508015494E-2</v>
      </c>
      <c r="J2282">
        <v>9.29504109391181E-2</v>
      </c>
      <c r="K2282">
        <v>0.109352256824284</v>
      </c>
      <c r="L2282">
        <v>592.15304539959595</v>
      </c>
      <c r="M2282">
        <v>10.980935316347599</v>
      </c>
      <c r="N2282">
        <v>53.925555959613199</v>
      </c>
      <c r="O2282">
        <v>52.229701508474697</v>
      </c>
      <c r="P2282">
        <v>-5.2578631637838401E-2</v>
      </c>
      <c r="Q2282">
        <v>0</v>
      </c>
      <c r="R2282">
        <v>0.95688533976077395</v>
      </c>
      <c r="S2282" t="s">
        <v>8952</v>
      </c>
      <c r="T2282" t="s">
        <v>13338</v>
      </c>
      <c r="U2282" t="s">
        <v>13338</v>
      </c>
      <c r="V2282" t="s">
        <v>13338</v>
      </c>
      <c r="W2282" t="s">
        <v>15581</v>
      </c>
      <c r="X2282">
        <v>19</v>
      </c>
      <c r="Y2282" t="s">
        <v>22153</v>
      </c>
      <c r="Z2282" t="s">
        <v>28697</v>
      </c>
      <c r="AA2282">
        <v>0.49261918538153321</v>
      </c>
      <c r="AB2282" t="str">
        <f>HYPERLINK("Melting_Curves/meltCurve_P23919_DTYMK.pdf", "Melting_Curves/meltCurve_P23919_DTYMK.pdf")</f>
        <v>Melting_Curves/meltCurve_P23919_DTYMK.pdf</v>
      </c>
    </row>
    <row r="2283" spans="1:28" x14ac:dyDescent="0.25">
      <c r="A2283" t="s">
        <v>2287</v>
      </c>
      <c r="B2283">
        <v>0.99193492352474899</v>
      </c>
      <c r="C2283">
        <v>0.98412013089290895</v>
      </c>
      <c r="D2283">
        <v>1.00494284675906</v>
      </c>
      <c r="E2283">
        <v>0.92014274503605398</v>
      </c>
      <c r="F2283">
        <v>0.68962878309018705</v>
      </c>
      <c r="G2283">
        <v>0.28063550475174198</v>
      </c>
      <c r="H2283">
        <v>0.10699966332617999</v>
      </c>
      <c r="I2283">
        <v>9.5345709728981196E-2</v>
      </c>
      <c r="J2283">
        <v>9.8037560369107699E-2</v>
      </c>
      <c r="K2283">
        <v>0.100825941684331</v>
      </c>
      <c r="L2283">
        <v>1606.39852905463</v>
      </c>
      <c r="M2283">
        <v>29.585385898954101</v>
      </c>
      <c r="N2283">
        <v>54.6536255283565</v>
      </c>
      <c r="O2283">
        <v>54.050772764674498</v>
      </c>
      <c r="P2283">
        <v>-0.124830556145727</v>
      </c>
      <c r="Q2283">
        <v>8.7773771540037501E-2</v>
      </c>
      <c r="R2283">
        <v>0.99889837172623097</v>
      </c>
      <c r="S2283" t="s">
        <v>8953</v>
      </c>
      <c r="T2283" t="s">
        <v>13338</v>
      </c>
      <c r="U2283" t="s">
        <v>13338</v>
      </c>
      <c r="V2283" t="s">
        <v>13338</v>
      </c>
      <c r="W2283" t="s">
        <v>15582</v>
      </c>
      <c r="X2283">
        <v>25</v>
      </c>
      <c r="Y2283" t="s">
        <v>22154</v>
      </c>
      <c r="Z2283" t="s">
        <v>28698</v>
      </c>
      <c r="AA2283">
        <v>0.52868542199926671</v>
      </c>
      <c r="AB2283" t="str">
        <f>HYPERLINK("Melting_Curves/meltCurve_P23921_RRM1.pdf", "Melting_Curves/meltCurve_P23921_RRM1.pdf")</f>
        <v>Melting_Curves/meltCurve_P23921_RRM1.pdf</v>
      </c>
    </row>
    <row r="2284" spans="1:28" x14ac:dyDescent="0.25">
      <c r="A2284" t="s">
        <v>2288</v>
      </c>
      <c r="B2284">
        <v>0.99193492352474899</v>
      </c>
      <c r="C2284">
        <v>1.00137910260227</v>
      </c>
      <c r="D2284">
        <v>0.82163815961907405</v>
      </c>
      <c r="E2284">
        <v>0.79468010681063805</v>
      </c>
      <c r="F2284">
        <v>0.59373479643588201</v>
      </c>
      <c r="G2284">
        <v>0.49337017724923898</v>
      </c>
      <c r="H2284">
        <v>0.35725805134583</v>
      </c>
      <c r="I2284">
        <v>0.43673801699315101</v>
      </c>
      <c r="J2284">
        <v>0.46227159246914501</v>
      </c>
      <c r="K2284">
        <v>0.59136614508100105</v>
      </c>
      <c r="L2284">
        <v>906.68118809093403</v>
      </c>
      <c r="M2284">
        <v>18.202528741604102</v>
      </c>
      <c r="N2284">
        <v>57.446623089800099</v>
      </c>
      <c r="O2284">
        <v>49.221211338073601</v>
      </c>
      <c r="P2284">
        <v>-5.03412458545704E-2</v>
      </c>
      <c r="Q2284">
        <v>0.45551735769271601</v>
      </c>
      <c r="R2284">
        <v>0.91186937261373202</v>
      </c>
      <c r="S2284" t="s">
        <v>8954</v>
      </c>
      <c r="T2284" t="s">
        <v>13338</v>
      </c>
      <c r="U2284" t="s">
        <v>13338</v>
      </c>
      <c r="V2284" t="s">
        <v>13338</v>
      </c>
      <c r="W2284" t="s">
        <v>15583</v>
      </c>
      <c r="X2284">
        <v>5</v>
      </c>
      <c r="Y2284" t="s">
        <v>22155</v>
      </c>
      <c r="Z2284" t="s">
        <v>28699</v>
      </c>
      <c r="AA2284">
        <v>0.64268752307817256</v>
      </c>
      <c r="AB2284" t="str">
        <f>HYPERLINK("Melting_Curves/meltCurve_P24001_2_IL32.pdf", "Melting_Curves/meltCurve_P24001_2_IL32.pdf")</f>
        <v>Melting_Curves/meltCurve_P24001_2_IL32.pdf</v>
      </c>
    </row>
    <row r="2285" spans="1:28" x14ac:dyDescent="0.25">
      <c r="A2285" t="s">
        <v>2289</v>
      </c>
      <c r="B2285">
        <v>0.99193492352474899</v>
      </c>
      <c r="C2285">
        <v>1.1166731822298801</v>
      </c>
      <c r="D2285">
        <v>1.02357245820064</v>
      </c>
      <c r="E2285">
        <v>0.94346647536524297</v>
      </c>
      <c r="F2285">
        <v>0.78852118231493096</v>
      </c>
      <c r="G2285">
        <v>0.62359915206605598</v>
      </c>
      <c r="H2285">
        <v>0.65829030257729004</v>
      </c>
      <c r="I2285">
        <v>0.65679698230476702</v>
      </c>
      <c r="J2285">
        <v>0.69867646006872797</v>
      </c>
      <c r="K2285">
        <v>0.80183423973298096</v>
      </c>
      <c r="L2285">
        <v>2202.2496275170301</v>
      </c>
      <c r="M2285">
        <v>42.446964499915502</v>
      </c>
      <c r="O2285">
        <v>51.767625159055498</v>
      </c>
      <c r="P2285">
        <v>-6.3765876535432406E-2</v>
      </c>
      <c r="Q2285">
        <v>0.68892922675282198</v>
      </c>
      <c r="R2285">
        <v>0.87462048044696805</v>
      </c>
      <c r="S2285" t="s">
        <v>8955</v>
      </c>
      <c r="T2285" t="s">
        <v>13338</v>
      </c>
      <c r="U2285" t="s">
        <v>13338</v>
      </c>
      <c r="V2285" t="s">
        <v>13338</v>
      </c>
      <c r="W2285" t="s">
        <v>15584</v>
      </c>
      <c r="X2285">
        <v>2</v>
      </c>
      <c r="Y2285" t="s">
        <v>22156</v>
      </c>
      <c r="Z2285" t="s">
        <v>28700</v>
      </c>
      <c r="AA2285">
        <v>0.81312752381058295</v>
      </c>
      <c r="AB2285" t="str">
        <f>HYPERLINK("Melting_Curves/meltCurve_P24311_COX7B.pdf", "Melting_Curves/meltCurve_P24311_COX7B.pdf")</f>
        <v>Melting_Curves/meltCurve_P24311_COX7B.pdf</v>
      </c>
    </row>
    <row r="2286" spans="1:28" x14ac:dyDescent="0.25">
      <c r="A2286" t="s">
        <v>2290</v>
      </c>
      <c r="B2286">
        <v>0.99193492352474899</v>
      </c>
      <c r="C2286">
        <v>0.87118397274414805</v>
      </c>
      <c r="D2286">
        <v>0.86324478220623502</v>
      </c>
      <c r="E2286">
        <v>0.49208545216427302</v>
      </c>
      <c r="F2286">
        <v>0.147777563427722</v>
      </c>
      <c r="G2286">
        <v>8.7973598498165301E-2</v>
      </c>
      <c r="H2286">
        <v>5.8607881768291202E-2</v>
      </c>
      <c r="I2286">
        <v>7.1511051407787601E-2</v>
      </c>
      <c r="J2286">
        <v>0.10452003725317199</v>
      </c>
      <c r="K2286">
        <v>0.129324307033027</v>
      </c>
      <c r="L2286">
        <v>1272.5286835781701</v>
      </c>
      <c r="M2286">
        <v>25.9726243170456</v>
      </c>
      <c r="N2286">
        <v>49.324588597010298</v>
      </c>
      <c r="O2286">
        <v>48.707292345733798</v>
      </c>
      <c r="P2286">
        <v>-0.122691342991122</v>
      </c>
      <c r="Q2286">
        <v>7.9662232988761697E-2</v>
      </c>
      <c r="R2286">
        <v>0.98695605032262201</v>
      </c>
      <c r="S2286" t="s">
        <v>8956</v>
      </c>
      <c r="T2286" t="s">
        <v>13338</v>
      </c>
      <c r="U2286" t="s">
        <v>13338</v>
      </c>
      <c r="V2286" t="s">
        <v>13338</v>
      </c>
      <c r="W2286" t="s">
        <v>15585</v>
      </c>
      <c r="X2286">
        <v>11</v>
      </c>
      <c r="Y2286" t="s">
        <v>22157</v>
      </c>
      <c r="Z2286" t="s">
        <v>28701</v>
      </c>
      <c r="AA2286">
        <v>0.36314854665349838</v>
      </c>
      <c r="AB2286" t="str">
        <f>HYPERLINK("Melting_Curves/meltCurve_P24534_EEF1B2.pdf", "Melting_Curves/meltCurve_P24534_EEF1B2.pdf")</f>
        <v>Melting_Curves/meltCurve_P24534_EEF1B2.pdf</v>
      </c>
    </row>
    <row r="2287" spans="1:28" x14ac:dyDescent="0.25">
      <c r="A2287" t="s">
        <v>2291</v>
      </c>
      <c r="B2287">
        <v>0.99193492352474899</v>
      </c>
      <c r="C2287">
        <v>0.91804524666051501</v>
      </c>
      <c r="D2287">
        <v>0.92508593685927099</v>
      </c>
      <c r="E2287">
        <v>0.534490066035612</v>
      </c>
      <c r="F2287">
        <v>0.45578136511772899</v>
      </c>
      <c r="G2287">
        <v>0.16549453340328699</v>
      </c>
      <c r="H2287">
        <v>0.12545741066032301</v>
      </c>
      <c r="I2287">
        <v>0.20417764315199399</v>
      </c>
      <c r="J2287">
        <v>0.28928179971301099</v>
      </c>
      <c r="K2287">
        <v>0.241550419433506</v>
      </c>
      <c r="L2287">
        <v>1076.44940492048</v>
      </c>
      <c r="M2287">
        <v>21.742491491722301</v>
      </c>
      <c r="N2287">
        <v>50.7417227902707</v>
      </c>
      <c r="O2287">
        <v>49.095898858415097</v>
      </c>
      <c r="P2287">
        <v>-8.8001262426571206E-2</v>
      </c>
      <c r="Q2287">
        <v>0.20516899457259899</v>
      </c>
      <c r="R2287">
        <v>0.95736823015427797</v>
      </c>
      <c r="S2287" t="s">
        <v>8957</v>
      </c>
      <c r="T2287" t="s">
        <v>13338</v>
      </c>
      <c r="U2287" t="s">
        <v>13338</v>
      </c>
      <c r="V2287" t="s">
        <v>13338</v>
      </c>
      <c r="W2287" t="s">
        <v>15586</v>
      </c>
      <c r="X2287">
        <v>2</v>
      </c>
      <c r="Y2287" t="s">
        <v>22158</v>
      </c>
      <c r="Z2287" t="s">
        <v>28702</v>
      </c>
      <c r="AA2287">
        <v>0.46648665757481828</v>
      </c>
      <c r="AB2287" t="str">
        <f>HYPERLINK("Melting_Curves/meltCurve_P24588_AKAP5.pdf", "Melting_Curves/meltCurve_P24588_AKAP5.pdf")</f>
        <v>Melting_Curves/meltCurve_P24588_AKAP5.pdf</v>
      </c>
    </row>
    <row r="2288" spans="1:28" x14ac:dyDescent="0.25">
      <c r="A2288" t="s">
        <v>2292</v>
      </c>
      <c r="B2288">
        <v>0.99193492352474899</v>
      </c>
      <c r="C2288">
        <v>0.98828173175087197</v>
      </c>
      <c r="D2288">
        <v>0.73974357170781802</v>
      </c>
      <c r="E2288">
        <v>0.60895929685255901</v>
      </c>
      <c r="F2288">
        <v>0.27421851123181101</v>
      </c>
      <c r="G2288">
        <v>0.126975655371493</v>
      </c>
      <c r="H2288">
        <v>9.1262868055153101E-2</v>
      </c>
      <c r="I2288">
        <v>8.6342255241382199E-2</v>
      </c>
      <c r="J2288">
        <v>9.7484446894371496E-2</v>
      </c>
      <c r="K2288">
        <v>9.4635505135509307E-2</v>
      </c>
      <c r="L2288">
        <v>878.40239881996899</v>
      </c>
      <c r="M2288">
        <v>17.673626492676298</v>
      </c>
      <c r="N2288">
        <v>50.124700505673196</v>
      </c>
      <c r="O2288">
        <v>49.078120309167602</v>
      </c>
      <c r="P2288">
        <v>-8.3790155321444695E-2</v>
      </c>
      <c r="Q2288">
        <v>6.9337879640861799E-2</v>
      </c>
      <c r="R2288">
        <v>0.98882322888694096</v>
      </c>
      <c r="S2288" t="s">
        <v>8958</v>
      </c>
      <c r="T2288" t="s">
        <v>13338</v>
      </c>
      <c r="U2288" t="s">
        <v>13338</v>
      </c>
      <c r="V2288" t="s">
        <v>13338</v>
      </c>
      <c r="W2288" t="s">
        <v>15587</v>
      </c>
      <c r="X2288">
        <v>10</v>
      </c>
      <c r="Y2288" t="s">
        <v>22159</v>
      </c>
      <c r="Z2288" t="s">
        <v>28703</v>
      </c>
      <c r="AA2288">
        <v>0.38679903400435739</v>
      </c>
      <c r="AB2288" t="str">
        <f>HYPERLINK("Melting_Curves/meltCurve_P24666_ACP1.pdf", "Melting_Curves/meltCurve_P24666_ACP1.pdf")</f>
        <v>Melting_Curves/meltCurve_P24666_ACP1.pdf</v>
      </c>
    </row>
    <row r="2289" spans="1:28" x14ac:dyDescent="0.25">
      <c r="A2289" t="s">
        <v>2293</v>
      </c>
      <c r="B2289">
        <v>0.99193492352474899</v>
      </c>
      <c r="C2289">
        <v>1.18202099644625</v>
      </c>
      <c r="D2289">
        <v>1.04614423975038</v>
      </c>
      <c r="E2289">
        <v>1.12462549041603</v>
      </c>
      <c r="F2289">
        <v>0.46017661409518801</v>
      </c>
      <c r="G2289">
        <v>0.19943812582520901</v>
      </c>
      <c r="H2289">
        <v>0.15758005407164599</v>
      </c>
      <c r="I2289">
        <v>0.129753663682312</v>
      </c>
      <c r="J2289">
        <v>0.128335264975351</v>
      </c>
      <c r="K2289">
        <v>0.13511181863934801</v>
      </c>
      <c r="L2289">
        <v>12609.7037987033</v>
      </c>
      <c r="M2289">
        <v>237.57874881167299</v>
      </c>
      <c r="N2289">
        <v>53.155724606970203</v>
      </c>
      <c r="O2289">
        <v>53.072130268407101</v>
      </c>
      <c r="P2289">
        <v>-0.95121273448644705</v>
      </c>
      <c r="Q2289">
        <v>0.15004374313795399</v>
      </c>
      <c r="R2289">
        <v>0.97252689589756902</v>
      </c>
      <c r="S2289" t="s">
        <v>8959</v>
      </c>
      <c r="T2289" t="s">
        <v>13338</v>
      </c>
      <c r="U2289" t="s">
        <v>13338</v>
      </c>
      <c r="V2289" t="s">
        <v>13338</v>
      </c>
      <c r="W2289" t="s">
        <v>15588</v>
      </c>
      <c r="X2289">
        <v>9</v>
      </c>
      <c r="Y2289" t="s">
        <v>22159</v>
      </c>
      <c r="Z2289" t="s">
        <v>28704</v>
      </c>
      <c r="AA2289">
        <v>0.52059592641990771</v>
      </c>
      <c r="AB2289" t="str">
        <f>HYPERLINK("Melting_Curves/meltCurve_P24666_2_ACP1.pdf", "Melting_Curves/meltCurve_P24666_2_ACP1.pdf")</f>
        <v>Melting_Curves/meltCurve_P24666_2_ACP1.pdf</v>
      </c>
    </row>
    <row r="2290" spans="1:28" x14ac:dyDescent="0.25">
      <c r="A2290" t="s">
        <v>2294</v>
      </c>
      <c r="B2290">
        <v>0.99193492352474899</v>
      </c>
      <c r="C2290">
        <v>1.13019538944284</v>
      </c>
      <c r="D2290">
        <v>1.01260274141731</v>
      </c>
      <c r="E2290">
        <v>1.0000796063727699</v>
      </c>
      <c r="F2290">
        <v>0.79556845546798804</v>
      </c>
      <c r="G2290">
        <v>0.52619681855079303</v>
      </c>
      <c r="H2290">
        <v>0.12176055064176899</v>
      </c>
      <c r="I2290">
        <v>9.5656871709830005E-2</v>
      </c>
      <c r="J2290">
        <v>9.1871909836694396E-2</v>
      </c>
      <c r="K2290">
        <v>8.5034510058148105E-2</v>
      </c>
      <c r="L2290">
        <v>1526.9512564567201</v>
      </c>
      <c r="M2290">
        <v>27.1070580058588</v>
      </c>
      <c r="N2290">
        <v>56.615749893037901</v>
      </c>
      <c r="O2290">
        <v>56.0265008683823</v>
      </c>
      <c r="P2290">
        <v>-0.11323425116743401</v>
      </c>
      <c r="Q2290">
        <v>6.3851634345199498E-2</v>
      </c>
      <c r="R2290">
        <v>0.98585355151634102</v>
      </c>
      <c r="S2290" t="s">
        <v>8960</v>
      </c>
      <c r="T2290" t="s">
        <v>13338</v>
      </c>
      <c r="U2290" t="s">
        <v>13338</v>
      </c>
      <c r="V2290" t="s">
        <v>13338</v>
      </c>
      <c r="W2290" t="s">
        <v>15589</v>
      </c>
      <c r="X2290">
        <v>23</v>
      </c>
      <c r="Y2290" t="s">
        <v>22160</v>
      </c>
      <c r="Z2290" t="s">
        <v>28705</v>
      </c>
      <c r="AA2290">
        <v>0.58091029676767725</v>
      </c>
      <c r="AB2290" t="str">
        <f>HYPERLINK("Melting_Curves/meltCurve_P24752_ACAT1.pdf", "Melting_Curves/meltCurve_P24752_ACAT1.pdf")</f>
        <v>Melting_Curves/meltCurve_P24752_ACAT1.pdf</v>
      </c>
    </row>
    <row r="2291" spans="1:28" x14ac:dyDescent="0.25">
      <c r="A2291" t="s">
        <v>2295</v>
      </c>
      <c r="B2291">
        <v>0.99193492352474899</v>
      </c>
      <c r="C2291">
        <v>0.86962434951978895</v>
      </c>
      <c r="D2291">
        <v>1.0875757484228701</v>
      </c>
      <c r="E2291">
        <v>0.96308782740458398</v>
      </c>
      <c r="F2291">
        <v>0.90614784847276697</v>
      </c>
      <c r="G2291">
        <v>0.80249286624650795</v>
      </c>
      <c r="H2291">
        <v>0.56680162007808899</v>
      </c>
      <c r="I2291">
        <v>0.31948262634073799</v>
      </c>
      <c r="J2291">
        <v>0.276452746018582</v>
      </c>
      <c r="K2291">
        <v>0.22668613639386201</v>
      </c>
      <c r="L2291">
        <v>1150.48269684559</v>
      </c>
      <c r="M2291">
        <v>19.137206850603601</v>
      </c>
      <c r="N2291">
        <v>61.402589414434203</v>
      </c>
      <c r="O2291">
        <v>59.472700096761699</v>
      </c>
      <c r="P2291">
        <v>-6.7174231179618099E-2</v>
      </c>
      <c r="Q2291">
        <v>0.165003044713354</v>
      </c>
      <c r="R2291">
        <v>0.96895689330828105</v>
      </c>
      <c r="S2291" t="s">
        <v>8961</v>
      </c>
      <c r="T2291" t="s">
        <v>13338</v>
      </c>
      <c r="U2291" t="s">
        <v>13338</v>
      </c>
      <c r="V2291" t="s">
        <v>13338</v>
      </c>
      <c r="W2291" t="s">
        <v>15590</v>
      </c>
      <c r="X2291">
        <v>45</v>
      </c>
      <c r="Y2291" t="s">
        <v>22161</v>
      </c>
      <c r="Z2291" t="s">
        <v>28706</v>
      </c>
      <c r="AA2291">
        <v>0.73170992121353207</v>
      </c>
      <c r="AB2291" t="str">
        <f>HYPERLINK("Melting_Curves/meltCurve_P24928_POLR2A.pdf", "Melting_Curves/meltCurve_P24928_POLR2A.pdf")</f>
        <v>Melting_Curves/meltCurve_P24928_POLR2A.pdf</v>
      </c>
    </row>
    <row r="2292" spans="1:28" x14ac:dyDescent="0.25">
      <c r="A2292" t="s">
        <v>2296</v>
      </c>
      <c r="B2292">
        <v>0.99193492352474899</v>
      </c>
      <c r="C2292">
        <v>0.94136385057219296</v>
      </c>
      <c r="D2292">
        <v>0.89565211265739098</v>
      </c>
      <c r="E2292">
        <v>0.72419220730917999</v>
      </c>
      <c r="F2292">
        <v>0.28201401478441401</v>
      </c>
      <c r="G2292">
        <v>0.12094575799825601</v>
      </c>
      <c r="H2292">
        <v>7.9040185969976307E-2</v>
      </c>
      <c r="I2292">
        <v>9.6824927630484406E-2</v>
      </c>
      <c r="J2292">
        <v>9.7021904880606399E-2</v>
      </c>
      <c r="K2292">
        <v>0.13963535238528399</v>
      </c>
      <c r="L2292">
        <v>1438.4705668358599</v>
      </c>
      <c r="M2292">
        <v>28.313301409866</v>
      </c>
      <c r="N2292">
        <v>51.187211690353301</v>
      </c>
      <c r="O2292">
        <v>50.554029692179</v>
      </c>
      <c r="P2292">
        <v>-0.12669006905632399</v>
      </c>
      <c r="Q2292">
        <v>9.5175291521748695E-2</v>
      </c>
      <c r="R2292">
        <v>0.99284455784860803</v>
      </c>
      <c r="S2292" t="s">
        <v>8962</v>
      </c>
      <c r="T2292" t="s">
        <v>13338</v>
      </c>
      <c r="U2292" t="s">
        <v>13338</v>
      </c>
      <c r="V2292" t="s">
        <v>13338</v>
      </c>
      <c r="W2292" t="s">
        <v>15591</v>
      </c>
      <c r="X2292">
        <v>32</v>
      </c>
      <c r="Y2292" t="s">
        <v>22162</v>
      </c>
      <c r="Z2292" t="s">
        <v>28707</v>
      </c>
      <c r="AA2292">
        <v>0.42744515250795151</v>
      </c>
      <c r="AB2292" t="str">
        <f>HYPERLINK("Melting_Curves/meltCurve_P25098_ADRBK1.pdf", "Melting_Curves/meltCurve_P25098_ADRBK1.pdf")</f>
        <v>Melting_Curves/meltCurve_P25098_ADRBK1.pdf</v>
      </c>
    </row>
    <row r="2293" spans="1:28" x14ac:dyDescent="0.25">
      <c r="A2293" t="s">
        <v>2297</v>
      </c>
      <c r="B2293">
        <v>0.99193492352474899</v>
      </c>
      <c r="C2293">
        <v>0.85862299084897897</v>
      </c>
      <c r="D2293">
        <v>0.95478081463511399</v>
      </c>
      <c r="E2293">
        <v>0.74390066202694705</v>
      </c>
      <c r="F2293">
        <v>0.397203300832768</v>
      </c>
      <c r="G2293">
        <v>0.13443291864215701</v>
      </c>
      <c r="H2293">
        <v>7.0316357183892703E-2</v>
      </c>
      <c r="I2293">
        <v>7.0785137690924704E-2</v>
      </c>
      <c r="J2293">
        <v>8.5723984799893502E-2</v>
      </c>
      <c r="K2293">
        <v>8.0282400623426606E-2</v>
      </c>
      <c r="L2293">
        <v>1207.1746685077001</v>
      </c>
      <c r="M2293">
        <v>23.3626696957189</v>
      </c>
      <c r="N2293">
        <v>51.966450652844102</v>
      </c>
      <c r="O2293">
        <v>51.296982053809501</v>
      </c>
      <c r="P2293">
        <v>-0.10678283467181</v>
      </c>
      <c r="Q2293">
        <v>6.2172113034632798E-2</v>
      </c>
      <c r="R2293">
        <v>0.98625513362951001</v>
      </c>
      <c r="S2293" t="s">
        <v>8963</v>
      </c>
      <c r="T2293" t="s">
        <v>13338</v>
      </c>
      <c r="U2293" t="s">
        <v>13338</v>
      </c>
      <c r="V2293" t="s">
        <v>13338</v>
      </c>
      <c r="W2293" t="s">
        <v>15592</v>
      </c>
      <c r="X2293">
        <v>43</v>
      </c>
      <c r="Y2293" t="s">
        <v>22163</v>
      </c>
      <c r="Z2293" t="s">
        <v>28708</v>
      </c>
      <c r="AA2293">
        <v>0.43674295700007332</v>
      </c>
      <c r="AB2293" t="str">
        <f>HYPERLINK("Melting_Curves/meltCurve_P25205_MCM3.pdf", "Melting_Curves/meltCurve_P25205_MCM3.pdf")</f>
        <v>Melting_Curves/meltCurve_P25205_MCM3.pdf</v>
      </c>
    </row>
    <row r="2294" spans="1:28" x14ac:dyDescent="0.25">
      <c r="A2294" t="s">
        <v>2298</v>
      </c>
      <c r="B2294">
        <v>0.99193492352474899</v>
      </c>
      <c r="C2294">
        <v>0.99551591648826898</v>
      </c>
      <c r="D2294">
        <v>0.87450389395702999</v>
      </c>
      <c r="E2294">
        <v>0.590445874011576</v>
      </c>
      <c r="F2294">
        <v>0.263466638824018</v>
      </c>
      <c r="G2294">
        <v>0.13910828497869401</v>
      </c>
      <c r="H2294">
        <v>7.5970553925730794E-2</v>
      </c>
      <c r="I2294">
        <v>5.8381009601072099E-2</v>
      </c>
      <c r="J2294">
        <v>6.2034363322151197E-2</v>
      </c>
      <c r="K2294">
        <v>7.0039756606158105E-2</v>
      </c>
      <c r="L2294">
        <v>1089.2020824019301</v>
      </c>
      <c r="M2294">
        <v>21.719149727175001</v>
      </c>
      <c r="N2294">
        <v>50.444042524399698</v>
      </c>
      <c r="O2294">
        <v>49.730056329057803</v>
      </c>
      <c r="P2294">
        <v>-0.10268302734120099</v>
      </c>
      <c r="Q2294">
        <v>5.9574083589713903E-2</v>
      </c>
      <c r="R2294">
        <v>0.99944911573126405</v>
      </c>
      <c r="S2294" t="s">
        <v>8964</v>
      </c>
      <c r="T2294" t="s">
        <v>13338</v>
      </c>
      <c r="U2294" t="s">
        <v>13338</v>
      </c>
      <c r="V2294" t="s">
        <v>13338</v>
      </c>
      <c r="W2294" t="s">
        <v>15593</v>
      </c>
      <c r="X2294">
        <v>12</v>
      </c>
      <c r="Y2294" t="s">
        <v>22164</v>
      </c>
      <c r="Z2294" t="s">
        <v>28709</v>
      </c>
      <c r="AA2294">
        <v>0.388868781714721</v>
      </c>
      <c r="AB2294" t="str">
        <f>HYPERLINK("Melting_Curves/meltCurve_P25325_MPST.pdf", "Melting_Curves/meltCurve_P25325_MPST.pdf")</f>
        <v>Melting_Curves/meltCurve_P25325_MPST.pdf</v>
      </c>
    </row>
    <row r="2295" spans="1:28" x14ac:dyDescent="0.25">
      <c r="A2295" t="s">
        <v>2299</v>
      </c>
      <c r="B2295">
        <v>0.99193492352474899</v>
      </c>
      <c r="C2295">
        <v>0.88162120449843495</v>
      </c>
      <c r="D2295">
        <v>0.77109172085871902</v>
      </c>
      <c r="E2295">
        <v>0.71237540981941705</v>
      </c>
      <c r="F2295">
        <v>0.45067760386551697</v>
      </c>
      <c r="G2295">
        <v>0.25862379468594199</v>
      </c>
      <c r="H2295">
        <v>0.10799019079242</v>
      </c>
      <c r="I2295">
        <v>0.110636506537025</v>
      </c>
      <c r="J2295">
        <v>0.12864340497126001</v>
      </c>
      <c r="K2295">
        <v>0.190486160889066</v>
      </c>
      <c r="L2295">
        <v>679.56195507262203</v>
      </c>
      <c r="M2295">
        <v>13.273437625562099</v>
      </c>
      <c r="N2295">
        <v>51.912415605465398</v>
      </c>
      <c r="O2295">
        <v>50.076948902706597</v>
      </c>
      <c r="P2295">
        <v>-6.0737348629689797E-2</v>
      </c>
      <c r="Q2295">
        <v>8.3569894864631206E-2</v>
      </c>
      <c r="R2295">
        <v>0.97549140129434697</v>
      </c>
      <c r="S2295" t="s">
        <v>8965</v>
      </c>
      <c r="T2295" t="s">
        <v>13338</v>
      </c>
      <c r="U2295" t="s">
        <v>13338</v>
      </c>
      <c r="V2295" t="s">
        <v>13338</v>
      </c>
      <c r="W2295" t="s">
        <v>15594</v>
      </c>
      <c r="X2295">
        <v>10</v>
      </c>
      <c r="Y2295" t="s">
        <v>22165</v>
      </c>
      <c r="Z2295" t="s">
        <v>28710</v>
      </c>
      <c r="AA2295">
        <v>0.45111197134033532</v>
      </c>
      <c r="AB2295" t="str">
        <f>HYPERLINK("Melting_Curves/meltCurve_P25398_RPS12.pdf", "Melting_Curves/meltCurve_P25398_RPS12.pdf")</f>
        <v>Melting_Curves/meltCurve_P25398_RPS12.pdf</v>
      </c>
    </row>
    <row r="2296" spans="1:28" x14ac:dyDescent="0.25">
      <c r="A2296" t="s">
        <v>2300</v>
      </c>
      <c r="B2296">
        <v>0.99193492352474899</v>
      </c>
      <c r="C2296">
        <v>0.89859163820583898</v>
      </c>
      <c r="D2296">
        <v>1.06654288410716</v>
      </c>
      <c r="E2296">
        <v>0.84245662095543505</v>
      </c>
      <c r="F2296">
        <v>0.75683988601581298</v>
      </c>
      <c r="G2296">
        <v>0.49771432633770002</v>
      </c>
      <c r="H2296">
        <v>0.366398195813391</v>
      </c>
      <c r="I2296">
        <v>0.33785255737079201</v>
      </c>
      <c r="J2296">
        <v>0.41800987963060099</v>
      </c>
      <c r="K2296">
        <v>0.459110611723821</v>
      </c>
      <c r="L2296">
        <v>1289.82571776129</v>
      </c>
      <c r="M2296">
        <v>24.133607633543399</v>
      </c>
      <c r="N2296">
        <v>56.927419599797801</v>
      </c>
      <c r="O2296">
        <v>53.082283552077499</v>
      </c>
      <c r="P2296">
        <v>-6.9817244231780096E-2</v>
      </c>
      <c r="Q2296">
        <v>0.38575232767557599</v>
      </c>
      <c r="R2296">
        <v>0.94768087258850497</v>
      </c>
      <c r="S2296" t="s">
        <v>8966</v>
      </c>
      <c r="T2296" t="s">
        <v>13338</v>
      </c>
      <c r="U2296" t="s">
        <v>13338</v>
      </c>
      <c r="V2296" t="s">
        <v>13338</v>
      </c>
      <c r="W2296" t="s">
        <v>15595</v>
      </c>
      <c r="X2296">
        <v>8</v>
      </c>
      <c r="Y2296" t="s">
        <v>22166</v>
      </c>
      <c r="Z2296" t="s">
        <v>28711</v>
      </c>
      <c r="AA2296">
        <v>0.66709377539697379</v>
      </c>
      <c r="AB2296" t="str">
        <f>HYPERLINK("Melting_Curves/meltCurve_P25445_6_FAS.pdf", "Melting_Curves/meltCurve_P25445_6_FAS.pdf")</f>
        <v>Melting_Curves/meltCurve_P25445_6_FAS.pdf</v>
      </c>
    </row>
    <row r="2297" spans="1:28" x14ac:dyDescent="0.25">
      <c r="A2297" t="s">
        <v>2301</v>
      </c>
      <c r="B2297">
        <v>0.99193492352474899</v>
      </c>
      <c r="C2297">
        <v>0.66396281470822804</v>
      </c>
      <c r="D2297">
        <v>0.43087155482012901</v>
      </c>
      <c r="E2297">
        <v>0.21137622272861101</v>
      </c>
      <c r="F2297">
        <v>0.140550249091247</v>
      </c>
      <c r="G2297">
        <v>6.5295472946671304E-2</v>
      </c>
      <c r="H2297">
        <v>5.3391240259711897E-2</v>
      </c>
      <c r="I2297">
        <v>7.2674049100279095E-2</v>
      </c>
      <c r="J2297">
        <v>7.9553358526463794E-2</v>
      </c>
      <c r="K2297">
        <v>0.14543688281268699</v>
      </c>
      <c r="L2297">
        <v>885.15105125494699</v>
      </c>
      <c r="M2297">
        <v>19.820949753638001</v>
      </c>
      <c r="N2297">
        <v>45.082993865399899</v>
      </c>
      <c r="O2297">
        <v>44.210237752670203</v>
      </c>
      <c r="P2297">
        <v>-0.10252183920537999</v>
      </c>
      <c r="Q2297">
        <v>8.5339084726172507E-2</v>
      </c>
      <c r="R2297">
        <v>0.98257848001928305</v>
      </c>
      <c r="S2297" t="s">
        <v>8967</v>
      </c>
      <c r="T2297" t="s">
        <v>13338</v>
      </c>
      <c r="U2297" t="s">
        <v>13338</v>
      </c>
      <c r="V2297" t="s">
        <v>13338</v>
      </c>
      <c r="W2297" t="s">
        <v>15596</v>
      </c>
      <c r="X2297">
        <v>11</v>
      </c>
      <c r="Y2297" t="s">
        <v>22167</v>
      </c>
      <c r="Z2297" t="s">
        <v>28712</v>
      </c>
      <c r="AA2297">
        <v>0.2438183410909813</v>
      </c>
      <c r="AB2297" t="str">
        <f>HYPERLINK("Melting_Curves/meltCurve_P25490_YY1.pdf", "Melting_Curves/meltCurve_P25490_YY1.pdf")</f>
        <v>Melting_Curves/meltCurve_P25490_YY1.pdf</v>
      </c>
    </row>
    <row r="2298" spans="1:28" x14ac:dyDescent="0.25">
      <c r="A2298" t="s">
        <v>2302</v>
      </c>
      <c r="B2298">
        <v>0.99193492352474899</v>
      </c>
      <c r="C2298">
        <v>0.81099260478558899</v>
      </c>
      <c r="D2298">
        <v>0.84026108251623399</v>
      </c>
      <c r="E2298">
        <v>0.33962195125378603</v>
      </c>
      <c r="F2298">
        <v>0.150956950072653</v>
      </c>
      <c r="G2298">
        <v>8.7257840342482296E-2</v>
      </c>
      <c r="H2298">
        <v>5.0229390345120903E-2</v>
      </c>
      <c r="I2298">
        <v>6.1848940905673E-2</v>
      </c>
      <c r="J2298">
        <v>6.4495518740839503E-2</v>
      </c>
      <c r="K2298">
        <v>7.9706898701215695E-2</v>
      </c>
      <c r="L2298">
        <v>1144.10781621961</v>
      </c>
      <c r="M2298">
        <v>23.767408940665302</v>
      </c>
      <c r="N2298">
        <v>48.398005642424501</v>
      </c>
      <c r="O2298">
        <v>47.800782765991997</v>
      </c>
      <c r="P2298">
        <v>-0.116847948693968</v>
      </c>
      <c r="Q2298">
        <v>6.0001649160884997E-2</v>
      </c>
      <c r="R2298">
        <v>0.97938661305610397</v>
      </c>
      <c r="S2298" t="s">
        <v>8968</v>
      </c>
      <c r="T2298" t="s">
        <v>13338</v>
      </c>
      <c r="U2298" t="s">
        <v>13338</v>
      </c>
      <c r="V2298" t="s">
        <v>13338</v>
      </c>
      <c r="W2298" t="s">
        <v>15597</v>
      </c>
      <c r="X2298">
        <v>25</v>
      </c>
      <c r="Y2298" t="s">
        <v>22168</v>
      </c>
      <c r="Z2298" t="s">
        <v>28713</v>
      </c>
      <c r="AA2298">
        <v>0.32422643557461922</v>
      </c>
      <c r="AB2298" t="str">
        <f>HYPERLINK("Melting_Curves/meltCurve_P25685_DNAJB1.pdf", "Melting_Curves/meltCurve_P25685_DNAJB1.pdf")</f>
        <v>Melting_Curves/meltCurve_P25685_DNAJB1.pdf</v>
      </c>
    </row>
    <row r="2299" spans="1:28" x14ac:dyDescent="0.25">
      <c r="A2299" t="s">
        <v>2303</v>
      </c>
      <c r="B2299">
        <v>0.99193492352474899</v>
      </c>
      <c r="C2299">
        <v>0.87607844906386401</v>
      </c>
      <c r="D2299">
        <v>0.84644821677259596</v>
      </c>
      <c r="E2299">
        <v>0.65490460686816099</v>
      </c>
      <c r="F2299">
        <v>0.55921011999896297</v>
      </c>
      <c r="G2299">
        <v>0.24283074518849301</v>
      </c>
      <c r="H2299">
        <v>0.120274983019028</v>
      </c>
      <c r="I2299">
        <v>8.75727645370344E-2</v>
      </c>
      <c r="J2299">
        <v>0.106367841052042</v>
      </c>
      <c r="K2299">
        <v>7.5494364583051796E-2</v>
      </c>
      <c r="L2299">
        <v>631.21379061912296</v>
      </c>
      <c r="M2299">
        <v>12.008459352998001</v>
      </c>
      <c r="N2299">
        <v>52.599960218130803</v>
      </c>
      <c r="O2299">
        <v>51.170047637927702</v>
      </c>
      <c r="P2299">
        <v>-5.8444313858414899E-2</v>
      </c>
      <c r="Q2299">
        <v>4.0755654401503603E-3</v>
      </c>
      <c r="R2299">
        <v>0.98384315980175396</v>
      </c>
      <c r="S2299" t="s">
        <v>8969</v>
      </c>
      <c r="T2299" t="s">
        <v>13338</v>
      </c>
      <c r="U2299" t="s">
        <v>13338</v>
      </c>
      <c r="V2299" t="s">
        <v>13338</v>
      </c>
      <c r="W2299" t="s">
        <v>15598</v>
      </c>
      <c r="X2299">
        <v>3</v>
      </c>
      <c r="Y2299" t="s">
        <v>22169</v>
      </c>
      <c r="Z2299" t="s">
        <v>28714</v>
      </c>
      <c r="AA2299">
        <v>0.45044934603762138</v>
      </c>
      <c r="AB2299" t="str">
        <f>HYPERLINK("Melting_Curves/meltCurve_P25686_DNAJB2.pdf", "Melting_Curves/meltCurve_P25686_DNAJB2.pdf")</f>
        <v>Melting_Curves/meltCurve_P25686_DNAJB2.pdf</v>
      </c>
    </row>
    <row r="2300" spans="1:28" x14ac:dyDescent="0.25">
      <c r="A2300" t="s">
        <v>2304</v>
      </c>
      <c r="B2300">
        <v>0.99193492352474899</v>
      </c>
      <c r="C2300">
        <v>0.948544142750534</v>
      </c>
      <c r="D2300">
        <v>1.0139720417098701</v>
      </c>
      <c r="E2300">
        <v>0.87255853853965404</v>
      </c>
      <c r="F2300">
        <v>0.91954994010259095</v>
      </c>
      <c r="G2300">
        <v>0.68737667791852597</v>
      </c>
      <c r="H2300">
        <v>0.56562417332506798</v>
      </c>
      <c r="I2300">
        <v>0.37053210063289599</v>
      </c>
      <c r="J2300">
        <v>0.192207080626075</v>
      </c>
      <c r="K2300">
        <v>0.13548995793733401</v>
      </c>
      <c r="L2300">
        <v>816.45358442764598</v>
      </c>
      <c r="M2300">
        <v>13.369236623407099</v>
      </c>
      <c r="N2300">
        <v>61.069574010432397</v>
      </c>
      <c r="O2300">
        <v>59.751783367289804</v>
      </c>
      <c r="P2300">
        <v>-5.5945441225312503E-2</v>
      </c>
      <c r="Q2300">
        <v>0</v>
      </c>
      <c r="R2300">
        <v>0.98174144170825794</v>
      </c>
      <c r="S2300" t="s">
        <v>8970</v>
      </c>
      <c r="T2300" t="s">
        <v>13338</v>
      </c>
      <c r="U2300" t="s">
        <v>13338</v>
      </c>
      <c r="V2300" t="s">
        <v>13338</v>
      </c>
      <c r="W2300" t="s">
        <v>15599</v>
      </c>
      <c r="X2300">
        <v>50</v>
      </c>
      <c r="Y2300" t="s">
        <v>22170</v>
      </c>
      <c r="Z2300" t="s">
        <v>28715</v>
      </c>
      <c r="AA2300">
        <v>0.70149633705234626</v>
      </c>
      <c r="AB2300" t="str">
        <f>HYPERLINK("Melting_Curves/meltCurve_P25705_ATP5A1.pdf", "Melting_Curves/meltCurve_P25705_ATP5A1.pdf")</f>
        <v>Melting_Curves/meltCurve_P25705_ATP5A1.pdf</v>
      </c>
    </row>
    <row r="2301" spans="1:28" x14ac:dyDescent="0.25">
      <c r="A2301" t="s">
        <v>2305</v>
      </c>
      <c r="B2301">
        <v>0.99193492352474899</v>
      </c>
      <c r="C2301">
        <v>0.96613187226924202</v>
      </c>
      <c r="D2301">
        <v>0.94255357562600695</v>
      </c>
      <c r="E2301">
        <v>0.88797878126030505</v>
      </c>
      <c r="F2301">
        <v>0.94964941314338602</v>
      </c>
      <c r="G2301">
        <v>0.77473033169675098</v>
      </c>
      <c r="H2301">
        <v>0.53442682272498199</v>
      </c>
      <c r="I2301">
        <v>0.52558524586608102</v>
      </c>
      <c r="J2301">
        <v>0.44298838153700798</v>
      </c>
      <c r="K2301">
        <v>0.29716705720005498</v>
      </c>
      <c r="L2301">
        <v>608.12346228915897</v>
      </c>
      <c r="M2301">
        <v>9.6327884906934305</v>
      </c>
      <c r="N2301">
        <v>63.988427464645099</v>
      </c>
      <c r="O2301">
        <v>60.589806072354001</v>
      </c>
      <c r="P2301">
        <v>-3.7359223644271099E-2</v>
      </c>
      <c r="Q2301">
        <v>6.0575717570234798E-2</v>
      </c>
      <c r="R2301">
        <v>0.96469809532830697</v>
      </c>
      <c r="S2301" t="s">
        <v>8971</v>
      </c>
      <c r="T2301" t="s">
        <v>13338</v>
      </c>
      <c r="U2301" t="s">
        <v>13338</v>
      </c>
      <c r="V2301" t="s">
        <v>13338</v>
      </c>
      <c r="W2301" t="s">
        <v>15600</v>
      </c>
      <c r="X2301">
        <v>24</v>
      </c>
      <c r="Y2301" t="s">
        <v>22171</v>
      </c>
      <c r="Z2301" t="s">
        <v>28716</v>
      </c>
      <c r="AA2301">
        <v>0.75168631182179313</v>
      </c>
      <c r="AB2301" t="str">
        <f>HYPERLINK("Melting_Curves/meltCurve_P25786_PSMA1.pdf", "Melting_Curves/meltCurve_P25786_PSMA1.pdf")</f>
        <v>Melting_Curves/meltCurve_P25786_PSMA1.pdf</v>
      </c>
    </row>
    <row r="2302" spans="1:28" x14ac:dyDescent="0.25">
      <c r="A2302" t="s">
        <v>2306</v>
      </c>
      <c r="B2302">
        <v>0.99193492352474899</v>
      </c>
      <c r="C2302">
        <v>0.99745343634782802</v>
      </c>
      <c r="D2302">
        <v>0.99217020117444499</v>
      </c>
      <c r="E2302">
        <v>0.91787040319166702</v>
      </c>
      <c r="F2302">
        <v>1.0274282564122501</v>
      </c>
      <c r="G2302">
        <v>0.81450051790201605</v>
      </c>
      <c r="H2302">
        <v>0.61221083079118099</v>
      </c>
      <c r="I2302">
        <v>0.52575303287401598</v>
      </c>
      <c r="J2302">
        <v>0.44914873114328302</v>
      </c>
      <c r="K2302">
        <v>0.22210569087624599</v>
      </c>
      <c r="L2302">
        <v>783.053066975874</v>
      </c>
      <c r="M2302">
        <v>12.1743529880157</v>
      </c>
      <c r="N2302">
        <v>64.319905754603695</v>
      </c>
      <c r="O2302">
        <v>62.6582827174987</v>
      </c>
      <c r="P2302">
        <v>-4.8585470542749302E-2</v>
      </c>
      <c r="Q2302">
        <v>0</v>
      </c>
      <c r="R2302">
        <v>0.96604069532543702</v>
      </c>
      <c r="S2302" t="s">
        <v>8972</v>
      </c>
      <c r="T2302" t="s">
        <v>13338</v>
      </c>
      <c r="U2302" t="s">
        <v>13338</v>
      </c>
      <c r="V2302" t="s">
        <v>13338</v>
      </c>
      <c r="W2302" t="s">
        <v>15601</v>
      </c>
      <c r="X2302">
        <v>16</v>
      </c>
      <c r="Y2302" t="s">
        <v>22172</v>
      </c>
      <c r="Z2302" t="s">
        <v>28717</v>
      </c>
      <c r="AA2302">
        <v>0.77915149198091072</v>
      </c>
      <c r="AB2302" t="str">
        <f>HYPERLINK("Melting_Curves/meltCurve_P25787_PSMA2.pdf", "Melting_Curves/meltCurve_P25787_PSMA2.pdf")</f>
        <v>Melting_Curves/meltCurve_P25787_PSMA2.pdf</v>
      </c>
    </row>
    <row r="2303" spans="1:28" x14ac:dyDescent="0.25">
      <c r="A2303" t="s">
        <v>2307</v>
      </c>
      <c r="B2303">
        <v>0.99193492352474899</v>
      </c>
      <c r="C2303">
        <v>1.0351818235202901</v>
      </c>
      <c r="D2303">
        <v>0.99165442297087802</v>
      </c>
      <c r="E2303">
        <v>0.965720736767404</v>
      </c>
      <c r="F2303">
        <v>1.0438570519082799</v>
      </c>
      <c r="G2303">
        <v>0.95750731284672796</v>
      </c>
      <c r="H2303">
        <v>0.64162467307538096</v>
      </c>
      <c r="I2303">
        <v>0.60287311894825302</v>
      </c>
      <c r="J2303">
        <v>0.549358954751622</v>
      </c>
      <c r="K2303">
        <v>0.37433846455359099</v>
      </c>
      <c r="L2303">
        <v>1504.2964243270701</v>
      </c>
      <c r="M2303">
        <v>24.7410017414545</v>
      </c>
      <c r="N2303">
        <v>65.957975840758905</v>
      </c>
      <c r="O2303">
        <v>60.408718820475102</v>
      </c>
      <c r="P2303">
        <v>-5.85962001391441E-2</v>
      </c>
      <c r="Q2303">
        <v>0.427723842696418</v>
      </c>
      <c r="R2303">
        <v>0.95280492423283603</v>
      </c>
      <c r="S2303" t="s">
        <v>8973</v>
      </c>
      <c r="T2303" t="s">
        <v>13338</v>
      </c>
      <c r="U2303" t="s">
        <v>13338</v>
      </c>
      <c r="V2303" t="s">
        <v>13338</v>
      </c>
      <c r="W2303" t="s">
        <v>15602</v>
      </c>
      <c r="X2303">
        <v>21</v>
      </c>
      <c r="Y2303" t="s">
        <v>22173</v>
      </c>
      <c r="Z2303" t="s">
        <v>28718</v>
      </c>
      <c r="AA2303">
        <v>0.82829590608775594</v>
      </c>
      <c r="AB2303" t="str">
        <f>HYPERLINK("Melting_Curves/meltCurve_P25788_2_PSMA3.pdf", "Melting_Curves/meltCurve_P25788_2_PSMA3.pdf")</f>
        <v>Melting_Curves/meltCurve_P25788_2_PSMA3.pdf</v>
      </c>
    </row>
    <row r="2304" spans="1:28" x14ac:dyDescent="0.25">
      <c r="A2304" t="s">
        <v>2308</v>
      </c>
      <c r="B2304">
        <v>0.99193492352474899</v>
      </c>
      <c r="C2304">
        <v>0.93276938152005695</v>
      </c>
      <c r="D2304">
        <v>0.94116285354391505</v>
      </c>
      <c r="E2304">
        <v>0.86250522803864804</v>
      </c>
      <c r="F2304">
        <v>0.88715642672634998</v>
      </c>
      <c r="G2304">
        <v>0.87612172896973695</v>
      </c>
      <c r="H2304">
        <v>0.51837078097106304</v>
      </c>
      <c r="I2304">
        <v>0.51103286107468304</v>
      </c>
      <c r="J2304">
        <v>0.49667451229840498</v>
      </c>
      <c r="K2304">
        <v>0.30761488109823099</v>
      </c>
      <c r="L2304">
        <v>540.18163273222297</v>
      </c>
      <c r="M2304">
        <v>8.3576368494127493</v>
      </c>
      <c r="N2304">
        <v>64.633295518730606</v>
      </c>
      <c r="O2304">
        <v>61.250536608330499</v>
      </c>
      <c r="P2304">
        <v>-3.4145261952898499E-2</v>
      </c>
      <c r="Q2304">
        <v>0</v>
      </c>
      <c r="R2304">
        <v>0.92468897852327903</v>
      </c>
      <c r="S2304" t="s">
        <v>8974</v>
      </c>
      <c r="T2304" t="s">
        <v>13338</v>
      </c>
      <c r="U2304" t="s">
        <v>13338</v>
      </c>
      <c r="V2304" t="s">
        <v>13338</v>
      </c>
      <c r="W2304" t="s">
        <v>15603</v>
      </c>
      <c r="X2304">
        <v>17</v>
      </c>
      <c r="Y2304" t="s">
        <v>22174</v>
      </c>
      <c r="Z2304" t="s">
        <v>28719</v>
      </c>
      <c r="AA2304">
        <v>0.75506532292936968</v>
      </c>
      <c r="AB2304" t="str">
        <f>HYPERLINK("Melting_Curves/meltCurve_P25789_PSMA4.pdf", "Melting_Curves/meltCurve_P25789_PSMA4.pdf")</f>
        <v>Melting_Curves/meltCurve_P25789_PSMA4.pdf</v>
      </c>
    </row>
    <row r="2305" spans="1:28" x14ac:dyDescent="0.25">
      <c r="A2305" t="s">
        <v>2309</v>
      </c>
      <c r="B2305">
        <v>0.99193492352474899</v>
      </c>
      <c r="C2305">
        <v>0.93873113175565004</v>
      </c>
      <c r="D2305">
        <v>0.94255761970771301</v>
      </c>
      <c r="E2305">
        <v>0.56106956344481795</v>
      </c>
      <c r="F2305">
        <v>0.54105951017807297</v>
      </c>
      <c r="G2305">
        <v>0.27210101299164802</v>
      </c>
      <c r="H2305">
        <v>0.150845394083375</v>
      </c>
      <c r="I2305">
        <v>0.227789620483035</v>
      </c>
      <c r="J2305">
        <v>0.28423902080240998</v>
      </c>
      <c r="K2305">
        <v>0.27216898085421098</v>
      </c>
      <c r="L2305">
        <v>923.92294619068696</v>
      </c>
      <c r="M2305">
        <v>18.417241430367699</v>
      </c>
      <c r="N2305">
        <v>51.861369050402999</v>
      </c>
      <c r="O2305">
        <v>49.585960494297503</v>
      </c>
      <c r="P2305">
        <v>-7.1859922561990405E-2</v>
      </c>
      <c r="Q2305">
        <v>0.22614171876863901</v>
      </c>
      <c r="R2305">
        <v>0.95562291019552703</v>
      </c>
      <c r="S2305" t="s">
        <v>8975</v>
      </c>
      <c r="T2305" t="s">
        <v>13338</v>
      </c>
      <c r="U2305" t="s">
        <v>13338</v>
      </c>
      <c r="V2305" t="s">
        <v>13338</v>
      </c>
      <c r="W2305" t="s">
        <v>15604</v>
      </c>
      <c r="X2305">
        <v>3</v>
      </c>
      <c r="Y2305" t="s">
        <v>22175</v>
      </c>
      <c r="Z2305" t="s">
        <v>28720</v>
      </c>
      <c r="AA2305">
        <v>0.50099242922305998</v>
      </c>
      <c r="AB2305" t="str">
        <f>HYPERLINK("Melting_Curves/meltCurve_P26010_2_ITGB7.pdf", "Melting_Curves/meltCurve_P26010_2_ITGB7.pdf")</f>
        <v>Melting_Curves/meltCurve_P26010_2_ITGB7.pdf</v>
      </c>
    </row>
    <row r="2306" spans="1:28" x14ac:dyDescent="0.25">
      <c r="A2306" t="s">
        <v>2310</v>
      </c>
      <c r="B2306">
        <v>0.99193492352474899</v>
      </c>
      <c r="C2306">
        <v>0.93285205146967098</v>
      </c>
      <c r="D2306">
        <v>0.90264764439879197</v>
      </c>
      <c r="E2306">
        <v>0.75040446362285695</v>
      </c>
      <c r="F2306">
        <v>0.161083414751967</v>
      </c>
      <c r="G2306">
        <v>9.9718684131333196E-2</v>
      </c>
      <c r="H2306">
        <v>5.6968033460436399E-2</v>
      </c>
      <c r="I2306">
        <v>6.9747500068771603E-2</v>
      </c>
      <c r="J2306">
        <v>7.0171794115540406E-2</v>
      </c>
      <c r="K2306">
        <v>7.4566255646115798E-2</v>
      </c>
      <c r="L2306">
        <v>2180.6835005734101</v>
      </c>
      <c r="M2306">
        <v>43.029400623493999</v>
      </c>
      <c r="N2306">
        <v>50.856904039930797</v>
      </c>
      <c r="O2306">
        <v>50.569824081461398</v>
      </c>
      <c r="P2306">
        <v>-0.197853494417636</v>
      </c>
      <c r="Q2306">
        <v>6.9900939477765003E-2</v>
      </c>
      <c r="R2306">
        <v>0.991899090352511</v>
      </c>
      <c r="S2306" t="s">
        <v>8976</v>
      </c>
      <c r="T2306" t="s">
        <v>13338</v>
      </c>
      <c r="U2306" t="s">
        <v>13338</v>
      </c>
      <c r="V2306" t="s">
        <v>13338</v>
      </c>
      <c r="W2306" t="s">
        <v>15605</v>
      </c>
      <c r="X2306">
        <v>75</v>
      </c>
      <c r="Y2306" t="s">
        <v>22176</v>
      </c>
      <c r="Z2306" t="s">
        <v>28721</v>
      </c>
      <c r="AA2306">
        <v>0.40379538080838062</v>
      </c>
      <c r="AB2306" t="str">
        <f>HYPERLINK("Melting_Curves/meltCurve_P26038_MSN.pdf", "Melting_Curves/meltCurve_P26038_MSN.pdf")</f>
        <v>Melting_Curves/meltCurve_P26038_MSN.pdf</v>
      </c>
    </row>
    <row r="2307" spans="1:28" x14ac:dyDescent="0.25">
      <c r="A2307" t="s">
        <v>2311</v>
      </c>
      <c r="B2307">
        <v>0.99193492352474899</v>
      </c>
      <c r="C2307">
        <v>0.68595013168484598</v>
      </c>
      <c r="D2307">
        <v>0.84555946424945405</v>
      </c>
      <c r="E2307">
        <v>0.58484056672176699</v>
      </c>
      <c r="F2307">
        <v>0.28212118821660498</v>
      </c>
      <c r="G2307">
        <v>9.3476531514244607E-2</v>
      </c>
      <c r="H2307">
        <v>5.7694932420179701E-2</v>
      </c>
      <c r="I2307">
        <v>7.8391929964402696E-2</v>
      </c>
      <c r="J2307">
        <v>8.2622330223856094E-2</v>
      </c>
      <c r="K2307">
        <v>8.4841330112336896E-2</v>
      </c>
      <c r="L2307">
        <v>681.32023928795604</v>
      </c>
      <c r="M2307">
        <v>13.7179075847883</v>
      </c>
      <c r="N2307">
        <v>49.846237886634</v>
      </c>
      <c r="O2307">
        <v>48.646703963921901</v>
      </c>
      <c r="P2307">
        <v>-6.8806179711112594E-2</v>
      </c>
      <c r="Q2307">
        <v>2.4132685182612201E-2</v>
      </c>
      <c r="R2307">
        <v>0.94088256758908895</v>
      </c>
      <c r="S2307" t="s">
        <v>8977</v>
      </c>
      <c r="T2307" t="s">
        <v>13338</v>
      </c>
      <c r="U2307" t="s">
        <v>13338</v>
      </c>
      <c r="V2307" t="s">
        <v>13338</v>
      </c>
      <c r="W2307" t="s">
        <v>15606</v>
      </c>
      <c r="X2307">
        <v>20</v>
      </c>
      <c r="Y2307" t="s">
        <v>22177</v>
      </c>
      <c r="Z2307" t="s">
        <v>28722</v>
      </c>
      <c r="AA2307">
        <v>0.36613383410848588</v>
      </c>
      <c r="AB2307" t="str">
        <f>HYPERLINK("Melting_Curves/meltCurve_P26196_DDX6.pdf", "Melting_Curves/meltCurve_P26196_DDX6.pdf")</f>
        <v>Melting_Curves/meltCurve_P26196_DDX6.pdf</v>
      </c>
    </row>
    <row r="2308" spans="1:28" x14ac:dyDescent="0.25">
      <c r="A2308" t="s">
        <v>2312</v>
      </c>
      <c r="B2308">
        <v>0.99193492352474899</v>
      </c>
      <c r="C2308">
        <v>0.66326321157740697</v>
      </c>
      <c r="D2308">
        <v>1.0451013772477</v>
      </c>
      <c r="E2308">
        <v>0.71296458195986401</v>
      </c>
      <c r="F2308">
        <v>0.33395872613507499</v>
      </c>
      <c r="G2308">
        <v>0.107952164930653</v>
      </c>
      <c r="H2308">
        <v>6.4671276700922195E-2</v>
      </c>
      <c r="I2308">
        <v>8.2677126849638793E-2</v>
      </c>
      <c r="J2308">
        <v>9.5370227896800594E-2</v>
      </c>
      <c r="K2308">
        <v>0.105992412565915</v>
      </c>
      <c r="L2308">
        <v>1434.9570551609299</v>
      </c>
      <c r="M2308">
        <v>28.045390455135699</v>
      </c>
      <c r="N2308">
        <v>51.485750034305603</v>
      </c>
      <c r="O2308">
        <v>50.9075028461857</v>
      </c>
      <c r="P2308">
        <v>-0.126705389511171</v>
      </c>
      <c r="Q2308">
        <v>8.0034205618794804E-2</v>
      </c>
      <c r="R2308">
        <v>0.91466141047799299</v>
      </c>
      <c r="S2308" t="s">
        <v>8978</v>
      </c>
      <c r="T2308" t="s">
        <v>13338</v>
      </c>
      <c r="U2308" t="s">
        <v>13338</v>
      </c>
      <c r="V2308" t="s">
        <v>13338</v>
      </c>
      <c r="W2308" t="s">
        <v>15607</v>
      </c>
      <c r="X2308">
        <v>60</v>
      </c>
      <c r="Y2308" t="s">
        <v>20541</v>
      </c>
      <c r="Z2308" t="s">
        <v>28723</v>
      </c>
      <c r="AA2308">
        <v>0.42906500225176158</v>
      </c>
      <c r="AB2308" t="str">
        <f>HYPERLINK("Melting_Curves/meltCurve_P26358_DNMT1.pdf", "Melting_Curves/meltCurve_P26358_DNMT1.pdf")</f>
        <v>Melting_Curves/meltCurve_P26358_DNMT1.pdf</v>
      </c>
    </row>
    <row r="2309" spans="1:28" x14ac:dyDescent="0.25">
      <c r="A2309" t="s">
        <v>2313</v>
      </c>
      <c r="B2309">
        <v>0.99193492352474899</v>
      </c>
      <c r="C2309">
        <v>0.69059918314838298</v>
      </c>
      <c r="D2309">
        <v>0.88478619806800796</v>
      </c>
      <c r="E2309">
        <v>0.50891673387790504</v>
      </c>
      <c r="F2309">
        <v>0.15596506405466201</v>
      </c>
      <c r="G2309">
        <v>0.11771913266844999</v>
      </c>
      <c r="H2309">
        <v>6.1300259544917302E-2</v>
      </c>
      <c r="I2309">
        <v>6.3404726656840105E-2</v>
      </c>
      <c r="J2309">
        <v>5.1282984972456702E-2</v>
      </c>
      <c r="K2309">
        <v>6.8725933034662998E-2</v>
      </c>
      <c r="L2309">
        <v>837.62894539126603</v>
      </c>
      <c r="M2309">
        <v>17.067884249475</v>
      </c>
      <c r="N2309">
        <v>49.283800788228803</v>
      </c>
      <c r="O2309">
        <v>48.417494402687502</v>
      </c>
      <c r="P2309">
        <v>-8.5078760482000707E-2</v>
      </c>
      <c r="Q2309">
        <v>3.46668330932417E-2</v>
      </c>
      <c r="R2309">
        <v>0.93867903596426705</v>
      </c>
      <c r="S2309" t="s">
        <v>8979</v>
      </c>
      <c r="T2309" t="s">
        <v>13338</v>
      </c>
      <c r="U2309" t="s">
        <v>13338</v>
      </c>
      <c r="V2309" t="s">
        <v>13338</v>
      </c>
      <c r="W2309" t="s">
        <v>15608</v>
      </c>
      <c r="X2309">
        <v>11</v>
      </c>
      <c r="Y2309" t="s">
        <v>22178</v>
      </c>
      <c r="Z2309" t="s">
        <v>28724</v>
      </c>
      <c r="AA2309">
        <v>0.34526654246112293</v>
      </c>
      <c r="AB2309" t="str">
        <f>HYPERLINK("Melting_Curves/meltCurve_P26368_2_U2AF2.pdf", "Melting_Curves/meltCurve_P26368_2_U2AF2.pdf")</f>
        <v>Melting_Curves/meltCurve_P26368_2_U2AF2.pdf</v>
      </c>
    </row>
    <row r="2310" spans="1:28" x14ac:dyDescent="0.25">
      <c r="A2310" t="s">
        <v>2314</v>
      </c>
      <c r="B2310">
        <v>0.99193492352474899</v>
      </c>
      <c r="C2310">
        <v>0.70514040983910298</v>
      </c>
      <c r="D2310">
        <v>0.87860993897532003</v>
      </c>
      <c r="E2310">
        <v>0.88211167673124002</v>
      </c>
      <c r="F2310">
        <v>0.73147109656194398</v>
      </c>
      <c r="G2310">
        <v>0.43405244947257798</v>
      </c>
      <c r="H2310">
        <v>0.16708174347812901</v>
      </c>
      <c r="I2310">
        <v>0.203268021513133</v>
      </c>
      <c r="J2310">
        <v>0.28917215388692602</v>
      </c>
      <c r="K2310">
        <v>0.249364294645645</v>
      </c>
      <c r="L2310">
        <v>1220.3016064393601</v>
      </c>
      <c r="M2310">
        <v>22.5060493022015</v>
      </c>
      <c r="N2310">
        <v>55.557080146227896</v>
      </c>
      <c r="O2310">
        <v>53.798403590779799</v>
      </c>
      <c r="P2310">
        <v>-8.2730370331610306E-2</v>
      </c>
      <c r="Q2310">
        <v>0.208982053099285</v>
      </c>
      <c r="R2310">
        <v>0.86955709868105502</v>
      </c>
      <c r="S2310" t="s">
        <v>8980</v>
      </c>
      <c r="T2310" t="s">
        <v>13338</v>
      </c>
      <c r="U2310" t="s">
        <v>13338</v>
      </c>
      <c r="V2310" t="s">
        <v>13338</v>
      </c>
      <c r="W2310" t="s">
        <v>15609</v>
      </c>
      <c r="X2310">
        <v>10</v>
      </c>
      <c r="Y2310" t="s">
        <v>22179</v>
      </c>
      <c r="Z2310" t="s">
        <v>28725</v>
      </c>
      <c r="AA2310">
        <v>0.59276546435142585</v>
      </c>
      <c r="AB2310" t="str">
        <f>HYPERLINK("Melting_Curves/meltCurve_P26373_RPL13.pdf", "Melting_Curves/meltCurve_P26373_RPL13.pdf")</f>
        <v>Melting_Curves/meltCurve_P26373_RPL13.pdf</v>
      </c>
    </row>
    <row r="2311" spans="1:28" x14ac:dyDescent="0.25">
      <c r="A2311" t="s">
        <v>2315</v>
      </c>
      <c r="B2311">
        <v>0.99193492352474899</v>
      </c>
      <c r="C2311">
        <v>0.91634298502815004</v>
      </c>
      <c r="D2311">
        <v>0.95021616450359003</v>
      </c>
      <c r="E2311">
        <v>0.77446069032818199</v>
      </c>
      <c r="F2311">
        <v>0.58083151007486999</v>
      </c>
      <c r="G2311">
        <v>0.28203157286464098</v>
      </c>
      <c r="H2311">
        <v>0.114053216961875</v>
      </c>
      <c r="I2311">
        <v>0.10714486714966499</v>
      </c>
      <c r="J2311">
        <v>9.9891216418550893E-2</v>
      </c>
      <c r="K2311">
        <v>9.4614951636445496E-2</v>
      </c>
      <c r="L2311">
        <v>940.41392483981701</v>
      </c>
      <c r="M2311">
        <v>17.650885749125699</v>
      </c>
      <c r="N2311">
        <v>53.675455566717602</v>
      </c>
      <c r="O2311">
        <v>52.608815828727401</v>
      </c>
      <c r="P2311">
        <v>-7.8750545524510093E-2</v>
      </c>
      <c r="Q2311">
        <v>6.11797513442906E-2</v>
      </c>
      <c r="R2311">
        <v>0.99253199539867198</v>
      </c>
      <c r="S2311" t="s">
        <v>8981</v>
      </c>
      <c r="T2311" t="s">
        <v>13338</v>
      </c>
      <c r="U2311" t="s">
        <v>13338</v>
      </c>
      <c r="V2311" t="s">
        <v>13338</v>
      </c>
      <c r="W2311" t="s">
        <v>15610</v>
      </c>
      <c r="X2311">
        <v>7</v>
      </c>
      <c r="Y2311" t="s">
        <v>22180</v>
      </c>
      <c r="Z2311" t="s">
        <v>28726</v>
      </c>
      <c r="AA2311">
        <v>0.49247970005732422</v>
      </c>
      <c r="AB2311" t="str">
        <f>HYPERLINK("Melting_Curves/meltCurve_P26374_CHML.pdf", "Melting_Curves/meltCurve_P26374_CHML.pdf")</f>
        <v>Melting_Curves/meltCurve_P26374_CHML.pdf</v>
      </c>
    </row>
    <row r="2312" spans="1:28" x14ac:dyDescent="0.25">
      <c r="A2312" t="s">
        <v>2316</v>
      </c>
      <c r="B2312">
        <v>0.99193492352474899</v>
      </c>
      <c r="C2312">
        <v>0.92084106166509005</v>
      </c>
      <c r="D2312">
        <v>0.91272024958487896</v>
      </c>
      <c r="E2312">
        <v>0.74321673114313702</v>
      </c>
      <c r="F2312">
        <v>0.43916488599245002</v>
      </c>
      <c r="G2312">
        <v>0.28396683111718801</v>
      </c>
      <c r="H2312">
        <v>0.177104285053721</v>
      </c>
      <c r="I2312">
        <v>0.12655682030279899</v>
      </c>
      <c r="J2312">
        <v>0.13779468361041899</v>
      </c>
      <c r="K2312">
        <v>0.114898821428711</v>
      </c>
      <c r="L2312">
        <v>878.200691338708</v>
      </c>
      <c r="M2312">
        <v>16.921986181442399</v>
      </c>
      <c r="N2312">
        <v>52.636162365045301</v>
      </c>
      <c r="O2312">
        <v>51.1885009344116</v>
      </c>
      <c r="P2312">
        <v>-7.3910286525663199E-2</v>
      </c>
      <c r="Q2312">
        <v>0.105750277412882</v>
      </c>
      <c r="R2312">
        <v>0.99631720986234995</v>
      </c>
      <c r="S2312" t="s">
        <v>8982</v>
      </c>
      <c r="T2312" t="s">
        <v>13338</v>
      </c>
      <c r="U2312" t="s">
        <v>13338</v>
      </c>
      <c r="V2312" t="s">
        <v>13338</v>
      </c>
      <c r="W2312" t="s">
        <v>15611</v>
      </c>
      <c r="X2312">
        <v>14</v>
      </c>
      <c r="Y2312" t="s">
        <v>22181</v>
      </c>
      <c r="Z2312" t="s">
        <v>28727</v>
      </c>
      <c r="AA2312">
        <v>0.47692048805826792</v>
      </c>
      <c r="AB2312" t="str">
        <f>HYPERLINK("Melting_Curves/meltCurve_P26440_IVD.pdf", "Melting_Curves/meltCurve_P26440_IVD.pdf")</f>
        <v>Melting_Curves/meltCurve_P26440_IVD.pdf</v>
      </c>
    </row>
    <row r="2313" spans="1:28" x14ac:dyDescent="0.25">
      <c r="A2313" t="s">
        <v>2317</v>
      </c>
      <c r="B2313">
        <v>0.99193492352474899</v>
      </c>
      <c r="C2313">
        <v>1.0519390483470601</v>
      </c>
      <c r="D2313">
        <v>0.91664901297402701</v>
      </c>
      <c r="E2313">
        <v>0.67784507478177902</v>
      </c>
      <c r="F2313">
        <v>0.32553648045100197</v>
      </c>
      <c r="G2313">
        <v>0.13424902039068701</v>
      </c>
      <c r="H2313">
        <v>6.8818323975805007E-2</v>
      </c>
      <c r="I2313">
        <v>7.0009090286005701E-2</v>
      </c>
      <c r="J2313">
        <v>8.9667213593864994E-2</v>
      </c>
      <c r="K2313">
        <v>0.116230795693162</v>
      </c>
      <c r="L2313">
        <v>1255.8873689305899</v>
      </c>
      <c r="M2313">
        <v>24.689037923925401</v>
      </c>
      <c r="N2313">
        <v>51.228077523718603</v>
      </c>
      <c r="O2313">
        <v>50.537995678206201</v>
      </c>
      <c r="P2313">
        <v>-0.112409426826556</v>
      </c>
      <c r="Q2313">
        <v>7.9612742394633298E-2</v>
      </c>
      <c r="R2313">
        <v>0.99568851422843996</v>
      </c>
      <c r="S2313" t="s">
        <v>8983</v>
      </c>
      <c r="T2313" t="s">
        <v>13338</v>
      </c>
      <c r="U2313" t="s">
        <v>13338</v>
      </c>
      <c r="V2313" t="s">
        <v>13338</v>
      </c>
      <c r="W2313" t="s">
        <v>15612</v>
      </c>
      <c r="X2313">
        <v>4</v>
      </c>
      <c r="Y2313" t="s">
        <v>22182</v>
      </c>
      <c r="Z2313" t="s">
        <v>28728</v>
      </c>
      <c r="AA2313">
        <v>0.42155526171851621</v>
      </c>
      <c r="AB2313" t="str">
        <f>HYPERLINK("Melting_Curves/meltCurve_P26572_MGAT1.pdf", "Melting_Curves/meltCurve_P26572_MGAT1.pdf")</f>
        <v>Melting_Curves/meltCurve_P26572_MGAT1.pdf</v>
      </c>
    </row>
    <row r="2314" spans="1:28" x14ac:dyDescent="0.25">
      <c r="A2314" t="s">
        <v>2318</v>
      </c>
      <c r="B2314">
        <v>0.99193492352474899</v>
      </c>
      <c r="C2314">
        <v>0.83923781544313902</v>
      </c>
      <c r="D2314">
        <v>0.87925755077416601</v>
      </c>
      <c r="E2314">
        <v>0.74284564926893404</v>
      </c>
      <c r="F2314">
        <v>0.50318045582170301</v>
      </c>
      <c r="G2314">
        <v>0.339172389404996</v>
      </c>
      <c r="H2314">
        <v>0.31069199754782001</v>
      </c>
      <c r="I2314">
        <v>0.32802618522659699</v>
      </c>
      <c r="J2314">
        <v>0.335794546947285</v>
      </c>
      <c r="K2314">
        <v>0.40834665067625697</v>
      </c>
      <c r="L2314">
        <v>863.571890325298</v>
      </c>
      <c r="M2314">
        <v>17.2516057442765</v>
      </c>
      <c r="N2314">
        <v>53.2562334513065</v>
      </c>
      <c r="O2314">
        <v>49.399390514037002</v>
      </c>
      <c r="P2314">
        <v>-5.9145221086671203E-2</v>
      </c>
      <c r="Q2314">
        <v>0.32259806799534602</v>
      </c>
      <c r="R2314">
        <v>0.95205720124281701</v>
      </c>
      <c r="S2314" t="s">
        <v>8984</v>
      </c>
      <c r="T2314" t="s">
        <v>13338</v>
      </c>
      <c r="U2314" t="s">
        <v>13338</v>
      </c>
      <c r="V2314" t="s">
        <v>13338</v>
      </c>
      <c r="W2314" t="s">
        <v>15613</v>
      </c>
      <c r="X2314">
        <v>22</v>
      </c>
      <c r="Y2314" t="s">
        <v>22183</v>
      </c>
      <c r="Z2314" t="s">
        <v>28729</v>
      </c>
      <c r="AA2314">
        <v>0.56219983017802078</v>
      </c>
      <c r="AB2314" t="str">
        <f>HYPERLINK("Melting_Curves/meltCurve_P26583_HMGB2.pdf", "Melting_Curves/meltCurve_P26583_HMGB2.pdf")</f>
        <v>Melting_Curves/meltCurve_P26583_HMGB2.pdf</v>
      </c>
    </row>
    <row r="2315" spans="1:28" x14ac:dyDescent="0.25">
      <c r="A2315" t="s">
        <v>2319</v>
      </c>
      <c r="B2315">
        <v>0.99193492352474899</v>
      </c>
      <c r="C2315">
        <v>0.41964993858101501</v>
      </c>
      <c r="D2315">
        <v>0.75168386514199703</v>
      </c>
      <c r="E2315">
        <v>0.22566630212387501</v>
      </c>
      <c r="F2315">
        <v>0.113294964345832</v>
      </c>
      <c r="G2315">
        <v>6.7457921914350003E-2</v>
      </c>
      <c r="H2315">
        <v>3.5059088885091398E-2</v>
      </c>
      <c r="I2315">
        <v>4.0360779642391403E-2</v>
      </c>
      <c r="J2315">
        <v>4.56292448027973E-2</v>
      </c>
      <c r="K2315">
        <v>4.1639462543991597E-2</v>
      </c>
      <c r="L2315">
        <v>563.66845867277698</v>
      </c>
      <c r="M2315">
        <v>12.2745843060124</v>
      </c>
      <c r="N2315">
        <v>45.9400912504722</v>
      </c>
      <c r="O2315">
        <v>44.753775839379898</v>
      </c>
      <c r="P2315">
        <v>-6.8413532402651495E-2</v>
      </c>
      <c r="Q2315">
        <v>2.4633106777281499E-3</v>
      </c>
      <c r="R2315">
        <v>0.83707145887913204</v>
      </c>
      <c r="S2315" t="s">
        <v>8985</v>
      </c>
      <c r="T2315" t="s">
        <v>13338</v>
      </c>
      <c r="U2315" t="s">
        <v>13338</v>
      </c>
      <c r="V2315" t="s">
        <v>13338</v>
      </c>
      <c r="W2315" t="s">
        <v>15614</v>
      </c>
      <c r="X2315">
        <v>17</v>
      </c>
      <c r="Y2315" t="s">
        <v>22184</v>
      </c>
      <c r="Z2315" t="s">
        <v>28730</v>
      </c>
      <c r="AA2315">
        <v>0.2431669603219053</v>
      </c>
      <c r="AB2315" t="str">
        <f>HYPERLINK("Melting_Curves/meltCurve_P26599_PTBP1.pdf", "Melting_Curves/meltCurve_P26599_PTBP1.pdf")</f>
        <v>Melting_Curves/meltCurve_P26599_PTBP1.pdf</v>
      </c>
    </row>
    <row r="2316" spans="1:28" x14ac:dyDescent="0.25">
      <c r="A2316" t="s">
        <v>2320</v>
      </c>
      <c r="B2316">
        <v>0.99193492352474899</v>
      </c>
      <c r="C2316">
        <v>1.1054095201823</v>
      </c>
      <c r="D2316">
        <v>1.06713711626255</v>
      </c>
      <c r="E2316">
        <v>0.765330557289991</v>
      </c>
      <c r="F2316">
        <v>0.26744202739575901</v>
      </c>
      <c r="G2316">
        <v>0.12834696703434301</v>
      </c>
      <c r="H2316">
        <v>7.6963011018861105E-2</v>
      </c>
      <c r="I2316">
        <v>8.0734097011136804E-2</v>
      </c>
      <c r="J2316">
        <v>8.9434715762999301E-2</v>
      </c>
      <c r="K2316">
        <v>8.8633587406084402E-2</v>
      </c>
      <c r="L2316">
        <v>1903.5751598138099</v>
      </c>
      <c r="M2316">
        <v>37.233891320530198</v>
      </c>
      <c r="N2316">
        <v>51.393283813927397</v>
      </c>
      <c r="O2316">
        <v>50.977994614234497</v>
      </c>
      <c r="P2316">
        <v>-0.16646029691935499</v>
      </c>
      <c r="Q2316">
        <v>8.8380122681287906E-2</v>
      </c>
      <c r="R2316">
        <v>0.989973689294949</v>
      </c>
      <c r="S2316" t="s">
        <v>8986</v>
      </c>
      <c r="T2316" t="s">
        <v>13338</v>
      </c>
      <c r="U2316" t="s">
        <v>13338</v>
      </c>
      <c r="V2316" t="s">
        <v>13338</v>
      </c>
      <c r="W2316" t="s">
        <v>15615</v>
      </c>
      <c r="X2316">
        <v>40</v>
      </c>
      <c r="Y2316" t="s">
        <v>22185</v>
      </c>
      <c r="Z2316" t="s">
        <v>28731</v>
      </c>
      <c r="AA2316">
        <v>0.43015430145916761</v>
      </c>
      <c r="AB2316" t="str">
        <f>HYPERLINK("Melting_Curves/meltCurve_P26639_TARS.pdf", "Melting_Curves/meltCurve_P26639_TARS.pdf")</f>
        <v>Melting_Curves/meltCurve_P26639_TARS.pdf</v>
      </c>
    </row>
    <row r="2317" spans="1:28" x14ac:dyDescent="0.25">
      <c r="A2317" t="s">
        <v>2321</v>
      </c>
      <c r="B2317">
        <v>0.99193492352474899</v>
      </c>
      <c r="C2317">
        <v>0.95847909930767405</v>
      </c>
      <c r="D2317">
        <v>0.81672964338580001</v>
      </c>
      <c r="E2317">
        <v>0.50720196909288395</v>
      </c>
      <c r="F2317">
        <v>0.140502992271999</v>
      </c>
      <c r="G2317">
        <v>8.5063484944707196E-2</v>
      </c>
      <c r="H2317">
        <v>5.9327360444142802E-2</v>
      </c>
      <c r="I2317">
        <v>6.9355280142029005E-2</v>
      </c>
      <c r="J2317">
        <v>7.2287245546959797E-2</v>
      </c>
      <c r="K2317">
        <v>8.8045473305288002E-2</v>
      </c>
      <c r="L2317">
        <v>1197.29927569552</v>
      </c>
      <c r="M2317">
        <v>24.4069818535617</v>
      </c>
      <c r="N2317">
        <v>49.321273394723498</v>
      </c>
      <c r="O2317">
        <v>48.729845575872602</v>
      </c>
      <c r="P2317">
        <v>-0.117504728453943</v>
      </c>
      <c r="Q2317">
        <v>6.1595925570928897E-2</v>
      </c>
      <c r="R2317">
        <v>0.996278472223456</v>
      </c>
      <c r="S2317" t="s">
        <v>8987</v>
      </c>
      <c r="T2317" t="s">
        <v>13338</v>
      </c>
      <c r="U2317" t="s">
        <v>13338</v>
      </c>
      <c r="V2317" t="s">
        <v>13338</v>
      </c>
      <c r="W2317" t="s">
        <v>15616</v>
      </c>
      <c r="X2317">
        <v>23</v>
      </c>
      <c r="Y2317" t="s">
        <v>22186</v>
      </c>
      <c r="Z2317" t="s">
        <v>28732</v>
      </c>
      <c r="AA2317">
        <v>0.35359630511908768</v>
      </c>
      <c r="AB2317" t="str">
        <f>HYPERLINK("Melting_Curves/meltCurve_P26641_EEF1G.pdf", "Melting_Curves/meltCurve_P26641_EEF1G.pdf")</f>
        <v>Melting_Curves/meltCurve_P26641_EEF1G.pdf</v>
      </c>
    </row>
    <row r="2318" spans="1:28" x14ac:dyDescent="0.25">
      <c r="A2318" t="s">
        <v>2322</v>
      </c>
      <c r="B2318">
        <v>0.99193492352474899</v>
      </c>
      <c r="C2318">
        <v>0.74766297135827298</v>
      </c>
      <c r="D2318">
        <v>0.75910245436183299</v>
      </c>
      <c r="E2318">
        <v>0.70963471607932005</v>
      </c>
      <c r="F2318">
        <v>0.418652490799576</v>
      </c>
      <c r="G2318">
        <v>0.198208215013708</v>
      </c>
      <c r="H2318">
        <v>0.10479601727238499</v>
      </c>
      <c r="I2318">
        <v>7.7224297240802903E-2</v>
      </c>
      <c r="J2318">
        <v>6.9394005232278996E-2</v>
      </c>
      <c r="K2318">
        <v>9.6534217180824597E-2</v>
      </c>
      <c r="L2318">
        <v>562.83533352810798</v>
      </c>
      <c r="M2318">
        <v>10.978214356583001</v>
      </c>
      <c r="N2318">
        <v>51.268386229287003</v>
      </c>
      <c r="O2318">
        <v>49.655338479532197</v>
      </c>
      <c r="P2318">
        <v>-5.5290868264549597E-2</v>
      </c>
      <c r="Q2318">
        <v>0</v>
      </c>
      <c r="R2318">
        <v>0.95935775413979296</v>
      </c>
      <c r="S2318" t="s">
        <v>8988</v>
      </c>
      <c r="T2318" t="s">
        <v>13338</v>
      </c>
      <c r="U2318" t="s">
        <v>13338</v>
      </c>
      <c r="V2318" t="s">
        <v>13338</v>
      </c>
      <c r="W2318" t="s">
        <v>15617</v>
      </c>
      <c r="X2318">
        <v>7</v>
      </c>
      <c r="Y2318" t="s">
        <v>22187</v>
      </c>
      <c r="Z2318" t="s">
        <v>28733</v>
      </c>
      <c r="AA2318">
        <v>0.41177378782159901</v>
      </c>
      <c r="AB2318" t="str">
        <f>HYPERLINK("Melting_Curves/meltCurve_P26885_FKBP2.pdf", "Melting_Curves/meltCurve_P26885_FKBP2.pdf")</f>
        <v>Melting_Curves/meltCurve_P26885_FKBP2.pdf</v>
      </c>
    </row>
    <row r="2319" spans="1:28" x14ac:dyDescent="0.25">
      <c r="A2319" t="s">
        <v>2323</v>
      </c>
      <c r="B2319">
        <v>0.99193492352474899</v>
      </c>
      <c r="C2319">
        <v>0.96701347452645003</v>
      </c>
      <c r="D2319">
        <v>1.12862527308578</v>
      </c>
      <c r="E2319">
        <v>0.83936730051244701</v>
      </c>
      <c r="F2319">
        <v>0.50163846701428805</v>
      </c>
      <c r="G2319">
        <v>0.15608809091008699</v>
      </c>
      <c r="H2319">
        <v>7.5110542715612599E-2</v>
      </c>
      <c r="I2319">
        <v>8.0166289457543893E-2</v>
      </c>
      <c r="J2319">
        <v>8.9693764489211403E-2</v>
      </c>
      <c r="K2319">
        <v>0.14423019246549501</v>
      </c>
      <c r="L2319">
        <v>1653.9447022680799</v>
      </c>
      <c r="M2319">
        <v>31.390666593308701</v>
      </c>
      <c r="N2319">
        <v>53.027136213143798</v>
      </c>
      <c r="O2319">
        <v>52.476612110508903</v>
      </c>
      <c r="P2319">
        <v>-0.13598459605791999</v>
      </c>
      <c r="Q2319">
        <v>9.0688705187061999E-2</v>
      </c>
      <c r="R2319">
        <v>0.98431660450968494</v>
      </c>
      <c r="S2319" t="s">
        <v>8989</v>
      </c>
      <c r="T2319" t="s">
        <v>13338</v>
      </c>
      <c r="U2319" t="s">
        <v>13338</v>
      </c>
      <c r="V2319" t="s">
        <v>13338</v>
      </c>
      <c r="W2319" t="s">
        <v>15618</v>
      </c>
      <c r="X2319">
        <v>4</v>
      </c>
      <c r="Y2319" t="s">
        <v>22188</v>
      </c>
      <c r="Z2319" t="s">
        <v>28734</v>
      </c>
      <c r="AA2319">
        <v>0.48066757153543571</v>
      </c>
      <c r="AB2319" t="str">
        <f>HYPERLINK("Melting_Curves/meltCurve_P27144_AK4.pdf", "Melting_Curves/meltCurve_P27144_AK4.pdf")</f>
        <v>Melting_Curves/meltCurve_P27144_AK4.pdf</v>
      </c>
    </row>
    <row r="2320" spans="1:28" x14ac:dyDescent="0.25">
      <c r="A2320" t="s">
        <v>2324</v>
      </c>
      <c r="B2320">
        <v>0.99193492352474899</v>
      </c>
      <c r="C2320">
        <v>0.97521097477437002</v>
      </c>
      <c r="D2320">
        <v>0.98862106969631303</v>
      </c>
      <c r="E2320">
        <v>0.79783533884959501</v>
      </c>
      <c r="F2320">
        <v>0.30384952863402998</v>
      </c>
      <c r="G2320">
        <v>0.133715263136194</v>
      </c>
      <c r="H2320">
        <v>7.3285453522076299E-2</v>
      </c>
      <c r="I2320">
        <v>9.1202731908522294E-2</v>
      </c>
      <c r="J2320">
        <v>0.102936629634252</v>
      </c>
      <c r="K2320">
        <v>0.113698879349021</v>
      </c>
      <c r="L2320">
        <v>1795.4242360916101</v>
      </c>
      <c r="M2320">
        <v>34.951415154873203</v>
      </c>
      <c r="N2320">
        <v>51.682981471222298</v>
      </c>
      <c r="O2320">
        <v>51.201852252015001</v>
      </c>
      <c r="P2320">
        <v>-0.154338514609029</v>
      </c>
      <c r="Q2320">
        <v>9.56143225242303E-2</v>
      </c>
      <c r="R2320">
        <v>0.99888214817319498</v>
      </c>
      <c r="S2320" t="s">
        <v>8990</v>
      </c>
      <c r="T2320" t="s">
        <v>13338</v>
      </c>
      <c r="U2320" t="s">
        <v>13338</v>
      </c>
      <c r="V2320" t="s">
        <v>13338</v>
      </c>
      <c r="W2320" t="s">
        <v>15619</v>
      </c>
      <c r="X2320">
        <v>25</v>
      </c>
      <c r="Y2320" t="s">
        <v>22189</v>
      </c>
      <c r="Z2320" t="s">
        <v>28735</v>
      </c>
      <c r="AA2320">
        <v>0.44256262675923153</v>
      </c>
      <c r="AB2320" t="str">
        <f>HYPERLINK("Melting_Curves/meltCurve_P27348_YWHAQ.pdf", "Melting_Curves/meltCurve_P27348_YWHAQ.pdf")</f>
        <v>Melting_Curves/meltCurve_P27348_YWHAQ.pdf</v>
      </c>
    </row>
    <row r="2321" spans="1:28" x14ac:dyDescent="0.25">
      <c r="A2321" t="s">
        <v>2325</v>
      </c>
      <c r="B2321">
        <v>0.99193492352474899</v>
      </c>
      <c r="C2321">
        <v>0.92774223819470303</v>
      </c>
      <c r="D2321">
        <v>1.0037050831005001</v>
      </c>
      <c r="E2321">
        <v>0.61626259094546099</v>
      </c>
      <c r="F2321">
        <v>0.19324218025735801</v>
      </c>
      <c r="G2321">
        <v>9.2527491111281598E-2</v>
      </c>
      <c r="H2321">
        <v>5.1809238304665099E-2</v>
      </c>
      <c r="I2321">
        <v>7.8082789172266895E-2</v>
      </c>
      <c r="J2321">
        <v>0.11214814269182</v>
      </c>
      <c r="K2321">
        <v>0.136458738237207</v>
      </c>
      <c r="L2321">
        <v>1930.2195153366499</v>
      </c>
      <c r="M2321">
        <v>38.569923547019897</v>
      </c>
      <c r="N2321">
        <v>50.3177821420702</v>
      </c>
      <c r="O2321">
        <v>49.910721783214797</v>
      </c>
      <c r="P2321">
        <v>-0.17494970988858699</v>
      </c>
      <c r="Q2321">
        <v>9.44400013581074E-2</v>
      </c>
      <c r="R2321">
        <v>0.99299601026278905</v>
      </c>
      <c r="S2321" t="s">
        <v>8991</v>
      </c>
      <c r="T2321" t="s">
        <v>13338</v>
      </c>
      <c r="U2321" t="s">
        <v>13338</v>
      </c>
      <c r="V2321" t="s">
        <v>13338</v>
      </c>
      <c r="W2321" t="s">
        <v>15620</v>
      </c>
      <c r="X2321">
        <v>14</v>
      </c>
      <c r="Y2321" t="s">
        <v>22190</v>
      </c>
      <c r="Z2321" t="s">
        <v>28736</v>
      </c>
      <c r="AA2321">
        <v>0.40101453137180743</v>
      </c>
      <c r="AB2321" t="str">
        <f>HYPERLINK("Melting_Curves/meltCurve_P27361_MAPK3.pdf", "Melting_Curves/meltCurve_P27361_MAPK3.pdf")</f>
        <v>Melting_Curves/meltCurve_P27361_MAPK3.pdf</v>
      </c>
    </row>
    <row r="2322" spans="1:28" x14ac:dyDescent="0.25">
      <c r="A2322" t="s">
        <v>2326</v>
      </c>
      <c r="B2322">
        <v>0.99193492352474899</v>
      </c>
      <c r="C2322">
        <v>0.723010979376429</v>
      </c>
      <c r="D2322">
        <v>0.74256233951227801</v>
      </c>
      <c r="E2322">
        <v>0.41766035925933598</v>
      </c>
      <c r="F2322">
        <v>0.289715654831674</v>
      </c>
      <c r="G2322">
        <v>0.17257198050223199</v>
      </c>
      <c r="H2322">
        <v>0.110923676505884</v>
      </c>
      <c r="I2322">
        <v>0.130849942011142</v>
      </c>
      <c r="J2322">
        <v>0.10412846584676599</v>
      </c>
      <c r="K2322">
        <v>0.14527051264822</v>
      </c>
      <c r="L2322">
        <v>634.90196919126697</v>
      </c>
      <c r="M2322">
        <v>13.287403528751399</v>
      </c>
      <c r="N2322">
        <v>48.535173825417701</v>
      </c>
      <c r="O2322">
        <v>46.738876509115599</v>
      </c>
      <c r="P2322">
        <v>-6.4463541681116301E-2</v>
      </c>
      <c r="Q2322">
        <v>9.3136671128945497E-2</v>
      </c>
      <c r="R2322">
        <v>0.97224871696276005</v>
      </c>
      <c r="S2322" t="s">
        <v>8992</v>
      </c>
      <c r="T2322" t="s">
        <v>13338</v>
      </c>
      <c r="U2322" t="s">
        <v>13338</v>
      </c>
      <c r="V2322" t="s">
        <v>13338</v>
      </c>
      <c r="W2322" t="s">
        <v>15621</v>
      </c>
      <c r="X2322">
        <v>7</v>
      </c>
      <c r="Y2322" t="s">
        <v>22191</v>
      </c>
      <c r="Z2322" t="s">
        <v>28737</v>
      </c>
      <c r="AA2322">
        <v>0.3582450946341626</v>
      </c>
      <c r="AB2322" t="str">
        <f>HYPERLINK("Melting_Curves/meltCurve_P27540_2_ARNT.pdf", "Melting_Curves/meltCurve_P27540_2_ARNT.pdf")</f>
        <v>Melting_Curves/meltCurve_P27540_2_ARNT.pdf</v>
      </c>
    </row>
    <row r="2323" spans="1:28" x14ac:dyDescent="0.25">
      <c r="A2323" t="s">
        <v>2327</v>
      </c>
      <c r="B2323">
        <v>0.99193492352474899</v>
      </c>
      <c r="C2323">
        <v>1.03287320585234</v>
      </c>
      <c r="D2323">
        <v>0.77258374081643899</v>
      </c>
      <c r="E2323">
        <v>0.78541978141325897</v>
      </c>
      <c r="F2323">
        <v>0.49644167946932399</v>
      </c>
      <c r="G2323">
        <v>0.307260619511255</v>
      </c>
      <c r="H2323">
        <v>0.121343435135312</v>
      </c>
      <c r="I2323">
        <v>9.5121448306568795E-2</v>
      </c>
      <c r="J2323">
        <v>0.10849886693899199</v>
      </c>
      <c r="K2323">
        <v>0.10904485308492599</v>
      </c>
      <c r="L2323">
        <v>764.25942740582298</v>
      </c>
      <c r="M2323">
        <v>14.5047929017444</v>
      </c>
      <c r="N2323">
        <v>53.080589839971999</v>
      </c>
      <c r="O2323">
        <v>51.718992556068898</v>
      </c>
      <c r="P2323">
        <v>-6.6573333315998601E-2</v>
      </c>
      <c r="Q2323">
        <v>5.0600975577084102E-2</v>
      </c>
      <c r="R2323">
        <v>0.97899073262764902</v>
      </c>
      <c r="S2323" t="s">
        <v>8993</v>
      </c>
      <c r="T2323" t="s">
        <v>13338</v>
      </c>
      <c r="U2323" t="s">
        <v>13338</v>
      </c>
      <c r="V2323" t="s">
        <v>13338</v>
      </c>
      <c r="W2323" t="s">
        <v>15622</v>
      </c>
      <c r="X2323">
        <v>14</v>
      </c>
      <c r="Y2323" t="s">
        <v>22192</v>
      </c>
      <c r="Z2323" t="s">
        <v>28738</v>
      </c>
      <c r="AA2323">
        <v>0.47389789905951318</v>
      </c>
      <c r="AB2323" t="str">
        <f>HYPERLINK("Melting_Curves/meltCurve_P27635_RPL10.pdf", "Melting_Curves/meltCurve_P27635_RPL10.pdf")</f>
        <v>Melting_Curves/meltCurve_P27635_RPL10.pdf</v>
      </c>
    </row>
    <row r="2324" spans="1:28" x14ac:dyDescent="0.25">
      <c r="A2324" t="s">
        <v>2328</v>
      </c>
      <c r="B2324">
        <v>0.99193492352474899</v>
      </c>
      <c r="C2324">
        <v>0.90353195576242795</v>
      </c>
      <c r="D2324">
        <v>0.73574631699340298</v>
      </c>
      <c r="E2324">
        <v>0.40033222750776998</v>
      </c>
      <c r="F2324">
        <v>0.16861362521932499</v>
      </c>
      <c r="G2324">
        <v>9.6661353198880196E-2</v>
      </c>
      <c r="H2324">
        <v>5.8885450701763202E-2</v>
      </c>
      <c r="I2324">
        <v>6.2289713222875298E-2</v>
      </c>
      <c r="J2324">
        <v>7.9547627404547405E-2</v>
      </c>
      <c r="K2324">
        <v>7.9967877427342696E-2</v>
      </c>
      <c r="L2324">
        <v>969.67526392794696</v>
      </c>
      <c r="M2324">
        <v>20.166379242563</v>
      </c>
      <c r="N2324">
        <v>48.400162836639602</v>
      </c>
      <c r="O2324">
        <v>47.618429389623898</v>
      </c>
      <c r="P2324">
        <v>-9.9339115740423395E-2</v>
      </c>
      <c r="Q2324">
        <v>6.1760449373289297E-2</v>
      </c>
      <c r="R2324">
        <v>0.99878050356221004</v>
      </c>
      <c r="S2324" t="s">
        <v>8994</v>
      </c>
      <c r="T2324" t="s">
        <v>13338</v>
      </c>
      <c r="U2324" t="s">
        <v>13338</v>
      </c>
      <c r="V2324" t="s">
        <v>13338</v>
      </c>
      <c r="W2324" t="s">
        <v>15623</v>
      </c>
      <c r="X2324">
        <v>35</v>
      </c>
      <c r="Y2324" t="s">
        <v>22193</v>
      </c>
      <c r="Z2324" t="s">
        <v>28739</v>
      </c>
      <c r="AA2324">
        <v>0.32765730805282373</v>
      </c>
      <c r="AB2324" t="str">
        <f>HYPERLINK("Melting_Curves/meltCurve_P27694_RPA1.pdf", "Melting_Curves/meltCurve_P27694_RPA1.pdf")</f>
        <v>Melting_Curves/meltCurve_P27694_RPA1.pdf</v>
      </c>
    </row>
    <row r="2325" spans="1:28" x14ac:dyDescent="0.25">
      <c r="A2325" t="s">
        <v>2329</v>
      </c>
      <c r="B2325">
        <v>0.99193492352474899</v>
      </c>
      <c r="C2325">
        <v>0.70741027259313505</v>
      </c>
      <c r="D2325">
        <v>0.88775798827950603</v>
      </c>
      <c r="E2325">
        <v>0.43428584659229902</v>
      </c>
      <c r="F2325">
        <v>0.17350766668692899</v>
      </c>
      <c r="G2325">
        <v>0.105548019167695</v>
      </c>
      <c r="H2325">
        <v>7.3317768685047302E-2</v>
      </c>
      <c r="I2325">
        <v>9.3148114030576601E-2</v>
      </c>
      <c r="J2325">
        <v>0.118591257814729</v>
      </c>
      <c r="K2325">
        <v>8.2041725929923301E-2</v>
      </c>
      <c r="L2325">
        <v>939.57799525995699</v>
      </c>
      <c r="M2325">
        <v>19.354174581085299</v>
      </c>
      <c r="N2325">
        <v>48.9418630370591</v>
      </c>
      <c r="O2325">
        <v>48.037163212836099</v>
      </c>
      <c r="P2325">
        <v>-9.3439599505081794E-2</v>
      </c>
      <c r="Q2325">
        <v>7.2364022072659601E-2</v>
      </c>
      <c r="R2325">
        <v>0.94060634943133803</v>
      </c>
      <c r="S2325" t="s">
        <v>8995</v>
      </c>
      <c r="T2325" t="s">
        <v>13338</v>
      </c>
      <c r="U2325" t="s">
        <v>13338</v>
      </c>
      <c r="V2325" t="s">
        <v>13338</v>
      </c>
      <c r="W2325" t="s">
        <v>15624</v>
      </c>
      <c r="X2325">
        <v>24</v>
      </c>
      <c r="Y2325" t="s">
        <v>22194</v>
      </c>
      <c r="Z2325" t="s">
        <v>28740</v>
      </c>
      <c r="AA2325">
        <v>0.35061149352253312</v>
      </c>
      <c r="AB2325" t="str">
        <f>HYPERLINK("Melting_Curves/meltCurve_P27695_APEX1.pdf", "Melting_Curves/meltCurve_P27695_APEX1.pdf")</f>
        <v>Melting_Curves/meltCurve_P27695_APEX1.pdf</v>
      </c>
    </row>
    <row r="2326" spans="1:28" x14ac:dyDescent="0.25">
      <c r="A2326" t="s">
        <v>2330</v>
      </c>
      <c r="B2326">
        <v>0.99193492352474899</v>
      </c>
      <c r="C2326">
        <v>0.67957797494574401</v>
      </c>
      <c r="D2326">
        <v>1.03469429394102</v>
      </c>
      <c r="E2326">
        <v>0.63543513271611296</v>
      </c>
      <c r="F2326">
        <v>0.70269327847584495</v>
      </c>
      <c r="G2326">
        <v>0.30770233597139501</v>
      </c>
      <c r="H2326">
        <v>0.39349125129130103</v>
      </c>
      <c r="I2326">
        <v>0.26048666476149401</v>
      </c>
      <c r="J2326">
        <v>0.70371165805506897</v>
      </c>
      <c r="K2326">
        <v>0.94352966506665903</v>
      </c>
      <c r="L2326">
        <v>7603.8735845109704</v>
      </c>
      <c r="M2326">
        <v>154.77754603455401</v>
      </c>
      <c r="O2326">
        <v>49.119556992000497</v>
      </c>
      <c r="P2326">
        <v>-0.35296858639252399</v>
      </c>
      <c r="Q2326">
        <v>0.55193345693263396</v>
      </c>
      <c r="R2326">
        <v>0.31501395905789398</v>
      </c>
      <c r="S2326" t="s">
        <v>8996</v>
      </c>
      <c r="T2326" t="s">
        <v>13338</v>
      </c>
      <c r="U2326" t="s">
        <v>13338</v>
      </c>
      <c r="V2326" t="s">
        <v>13338</v>
      </c>
      <c r="W2326" t="s">
        <v>15625</v>
      </c>
      <c r="X2326">
        <v>3</v>
      </c>
      <c r="Y2326" t="s">
        <v>22195</v>
      </c>
      <c r="Z2326" t="s">
        <v>28741</v>
      </c>
      <c r="AA2326">
        <v>0.68836235622796049</v>
      </c>
      <c r="AB2326" t="str">
        <f>HYPERLINK("Melting_Curves/meltCurve_P27701_CD82.pdf", "Melting_Curves/meltCurve_P27701_CD82.pdf")</f>
        <v>Melting_Curves/meltCurve_P27701_CD82.pdf</v>
      </c>
    </row>
    <row r="2327" spans="1:28" x14ac:dyDescent="0.25">
      <c r="A2327" t="s">
        <v>2331</v>
      </c>
      <c r="B2327">
        <v>0.99193492352474899</v>
      </c>
      <c r="C2327">
        <v>0.93803519484585796</v>
      </c>
      <c r="D2327">
        <v>0.85112410814568595</v>
      </c>
      <c r="E2327">
        <v>0.62551583541459499</v>
      </c>
      <c r="F2327">
        <v>0.370946092792869</v>
      </c>
      <c r="G2327">
        <v>0.18324506699575699</v>
      </c>
      <c r="H2327">
        <v>0.12863343752510001</v>
      </c>
      <c r="I2327">
        <v>0.13921787696364801</v>
      </c>
      <c r="J2327">
        <v>0.155346606145772</v>
      </c>
      <c r="K2327">
        <v>0.213362562608788</v>
      </c>
      <c r="L2327">
        <v>968.68502641061104</v>
      </c>
      <c r="M2327">
        <v>19.351738933577099</v>
      </c>
      <c r="N2327">
        <v>50.9452082935614</v>
      </c>
      <c r="O2327">
        <v>49.531420825164901</v>
      </c>
      <c r="P2327">
        <v>-8.3688561915533102E-2</v>
      </c>
      <c r="Q2327">
        <v>0.14321739850665399</v>
      </c>
      <c r="R2327">
        <v>0.99142811601462699</v>
      </c>
      <c r="S2327" t="s">
        <v>8997</v>
      </c>
      <c r="T2327" t="s">
        <v>13338</v>
      </c>
      <c r="U2327" t="s">
        <v>13338</v>
      </c>
      <c r="V2327" t="s">
        <v>13338</v>
      </c>
      <c r="W2327" t="s">
        <v>15626</v>
      </c>
      <c r="X2327">
        <v>28</v>
      </c>
      <c r="Y2327" t="s">
        <v>21061</v>
      </c>
      <c r="Z2327" t="s">
        <v>28742</v>
      </c>
      <c r="AA2327">
        <v>0.44314387524121518</v>
      </c>
      <c r="AB2327" t="str">
        <f>HYPERLINK("Melting_Curves/meltCurve_P27797_CALR.pdf", "Melting_Curves/meltCurve_P27797_CALR.pdf")</f>
        <v>Melting_Curves/meltCurve_P27797_CALR.pdf</v>
      </c>
    </row>
    <row r="2328" spans="1:28" x14ac:dyDescent="0.25">
      <c r="A2328" t="s">
        <v>2332</v>
      </c>
      <c r="B2328">
        <v>0.99193492352474899</v>
      </c>
      <c r="C2328">
        <v>1.11764024080208</v>
      </c>
      <c r="D2328">
        <v>0.896967310705025</v>
      </c>
      <c r="E2328">
        <v>0.70026028825781805</v>
      </c>
      <c r="F2328">
        <v>0.32018320813036599</v>
      </c>
      <c r="G2328">
        <v>0.155085384239011</v>
      </c>
      <c r="H2328">
        <v>6.2667444791968993E-2</v>
      </c>
      <c r="I2328">
        <v>9.3397432909827799E-2</v>
      </c>
      <c r="J2328">
        <v>7.3211660426331204E-2</v>
      </c>
      <c r="K2328">
        <v>6.0368422963891603E-2</v>
      </c>
      <c r="L2328">
        <v>1227.9542159534301</v>
      </c>
      <c r="M2328">
        <v>24.044934897689501</v>
      </c>
      <c r="N2328">
        <v>51.376484933308198</v>
      </c>
      <c r="O2328">
        <v>50.7198317263436</v>
      </c>
      <c r="P2328">
        <v>-0.11058094382448801</v>
      </c>
      <c r="Q2328">
        <v>6.6986889474473302E-2</v>
      </c>
      <c r="R2328">
        <v>0.98857061764162402</v>
      </c>
      <c r="S2328" t="s">
        <v>8998</v>
      </c>
      <c r="T2328" t="s">
        <v>13338</v>
      </c>
      <c r="U2328" t="s">
        <v>13338</v>
      </c>
      <c r="V2328" t="s">
        <v>13338</v>
      </c>
      <c r="W2328" t="s">
        <v>15627</v>
      </c>
      <c r="X2328">
        <v>1</v>
      </c>
      <c r="Y2328" t="s">
        <v>22196</v>
      </c>
      <c r="Z2328" t="s">
        <v>28743</v>
      </c>
      <c r="AA2328">
        <v>0.42034589371239578</v>
      </c>
      <c r="AB2328" t="str">
        <f>HYPERLINK("Melting_Curves/meltCurve_P27815_PDE4A.pdf", "Melting_Curves/meltCurve_P27815_PDE4A.pdf")</f>
        <v>Melting_Curves/meltCurve_P27815_PDE4A.pdf</v>
      </c>
    </row>
    <row r="2329" spans="1:28" x14ac:dyDescent="0.25">
      <c r="A2329" t="s">
        <v>2333</v>
      </c>
      <c r="B2329">
        <v>0.99193492352474899</v>
      </c>
      <c r="C2329">
        <v>0.75782879265532999</v>
      </c>
      <c r="D2329">
        <v>0.85972166439618403</v>
      </c>
      <c r="E2329">
        <v>0.65091265697293499</v>
      </c>
      <c r="F2329">
        <v>0.60066892076077805</v>
      </c>
      <c r="G2329">
        <v>0.378838761367359</v>
      </c>
      <c r="H2329">
        <v>0.33395419398902099</v>
      </c>
      <c r="I2329">
        <v>0.33825623226041102</v>
      </c>
      <c r="J2329">
        <v>0.53671566002715099</v>
      </c>
      <c r="K2329">
        <v>0.57799507492629798</v>
      </c>
      <c r="L2329">
        <v>649.31769150270895</v>
      </c>
      <c r="M2329">
        <v>13.647799605405201</v>
      </c>
      <c r="N2329">
        <v>55.353617446483902</v>
      </c>
      <c r="O2329">
        <v>46.590145884941101</v>
      </c>
      <c r="P2329">
        <v>-4.2004808083820698E-2</v>
      </c>
      <c r="Q2329">
        <v>0.42650859228730498</v>
      </c>
      <c r="R2329">
        <v>0.77851642794225495</v>
      </c>
      <c r="S2329" t="s">
        <v>8999</v>
      </c>
      <c r="T2329" t="s">
        <v>13338</v>
      </c>
      <c r="U2329" t="s">
        <v>13338</v>
      </c>
      <c r="V2329" t="s">
        <v>13338</v>
      </c>
      <c r="W2329" t="s">
        <v>15628</v>
      </c>
      <c r="X2329">
        <v>26</v>
      </c>
      <c r="Y2329" t="s">
        <v>20404</v>
      </c>
      <c r="Z2329" t="s">
        <v>28744</v>
      </c>
      <c r="AA2329">
        <v>0.58951343242820731</v>
      </c>
      <c r="AB2329" t="str">
        <f>HYPERLINK("Melting_Curves/meltCurve_P27816_5_MAP4.pdf", "Melting_Curves/meltCurve_P27816_5_MAP4.pdf")</f>
        <v>Melting_Curves/meltCurve_P27816_5_MAP4.pdf</v>
      </c>
    </row>
    <row r="2330" spans="1:28" x14ac:dyDescent="0.25">
      <c r="A2330" t="s">
        <v>2334</v>
      </c>
      <c r="B2330">
        <v>0.99193492352474899</v>
      </c>
      <c r="C2330">
        <v>0.94724229979302899</v>
      </c>
      <c r="D2330">
        <v>0.73199766655786402</v>
      </c>
      <c r="E2330">
        <v>0.47102325488043101</v>
      </c>
      <c r="F2330">
        <v>0.25954101314476602</v>
      </c>
      <c r="G2330">
        <v>0.127489051834423</v>
      </c>
      <c r="H2330">
        <v>8.2143830835713402E-2</v>
      </c>
      <c r="I2330">
        <v>9.40437689597515E-2</v>
      </c>
      <c r="J2330">
        <v>0.11682187937303699</v>
      </c>
      <c r="K2330">
        <v>0.115949172345989</v>
      </c>
      <c r="L2330">
        <v>891.67872265107997</v>
      </c>
      <c r="M2330">
        <v>18.365809867509999</v>
      </c>
      <c r="N2330">
        <v>49.086987891651503</v>
      </c>
      <c r="O2330">
        <v>47.986386734377703</v>
      </c>
      <c r="P2330">
        <v>-8.6993350683990597E-2</v>
      </c>
      <c r="Q2330">
        <v>9.08527647691766E-2</v>
      </c>
      <c r="R2330">
        <v>0.996625313997623</v>
      </c>
      <c r="S2330" t="s">
        <v>9000</v>
      </c>
      <c r="T2330" t="s">
        <v>13338</v>
      </c>
      <c r="U2330" t="s">
        <v>13338</v>
      </c>
      <c r="V2330" t="s">
        <v>13338</v>
      </c>
      <c r="W2330" t="s">
        <v>15629</v>
      </c>
      <c r="X2330">
        <v>32</v>
      </c>
      <c r="Y2330" t="s">
        <v>22197</v>
      </c>
      <c r="Z2330" t="s">
        <v>28745</v>
      </c>
      <c r="AA2330">
        <v>0.36524690204374322</v>
      </c>
      <c r="AB2330" t="str">
        <f>HYPERLINK("Melting_Curves/meltCurve_P27824_CANX.pdf", "Melting_Curves/meltCurve_P27824_CANX.pdf")</f>
        <v>Melting_Curves/meltCurve_P27824_CANX.pdf</v>
      </c>
    </row>
    <row r="2331" spans="1:28" x14ac:dyDescent="0.25">
      <c r="A2331" t="s">
        <v>2335</v>
      </c>
      <c r="B2331">
        <v>0.99193492352474899</v>
      </c>
      <c r="C2331">
        <v>0.88782571808599098</v>
      </c>
      <c r="D2331">
        <v>0.76901639388630305</v>
      </c>
      <c r="E2331">
        <v>0.45355566001741598</v>
      </c>
      <c r="F2331">
        <v>0.14488949452558</v>
      </c>
      <c r="G2331">
        <v>8.7664989274172794E-2</v>
      </c>
      <c r="H2331">
        <v>5.36249674345202E-2</v>
      </c>
      <c r="I2331">
        <v>5.9744251726666898E-2</v>
      </c>
      <c r="J2331">
        <v>0.117721558872093</v>
      </c>
      <c r="K2331">
        <v>6.5961721195878995E-2</v>
      </c>
      <c r="L2331">
        <v>1006.46755021281</v>
      </c>
      <c r="M2331">
        <v>20.775987628312802</v>
      </c>
      <c r="N2331">
        <v>48.745623433284003</v>
      </c>
      <c r="O2331">
        <v>48.001670273427301</v>
      </c>
      <c r="P2331">
        <v>-0.10167640810501299</v>
      </c>
      <c r="Q2331">
        <v>6.0357307127620399E-2</v>
      </c>
      <c r="R2331">
        <v>0.99277591076772498</v>
      </c>
      <c r="S2331" t="s">
        <v>9001</v>
      </c>
      <c r="T2331" t="s">
        <v>13338</v>
      </c>
      <c r="U2331" t="s">
        <v>13338</v>
      </c>
      <c r="V2331" t="s">
        <v>13338</v>
      </c>
      <c r="W2331" t="s">
        <v>15630</v>
      </c>
      <c r="X2331">
        <v>21</v>
      </c>
      <c r="Y2331" t="s">
        <v>22198</v>
      </c>
      <c r="Z2331" t="s">
        <v>28746</v>
      </c>
      <c r="AA2331">
        <v>0.33706756627270928</v>
      </c>
      <c r="AB2331" t="str">
        <f>HYPERLINK("Melting_Curves/meltCurve_P27986_PIK3R1.pdf", "Melting_Curves/meltCurve_P27986_PIK3R1.pdf")</f>
        <v>Melting_Curves/meltCurve_P27986_PIK3R1.pdf</v>
      </c>
    </row>
    <row r="2332" spans="1:28" x14ac:dyDescent="0.25">
      <c r="A2332" t="s">
        <v>2336</v>
      </c>
      <c r="B2332">
        <v>0.99193492352474899</v>
      </c>
      <c r="C2332">
        <v>0.73233061353877105</v>
      </c>
      <c r="D2332">
        <v>0.79669159418779401</v>
      </c>
      <c r="E2332">
        <v>0.44517759202925</v>
      </c>
      <c r="F2332">
        <v>0.303793327653193</v>
      </c>
      <c r="G2332">
        <v>0.19252287546913999</v>
      </c>
      <c r="H2332">
        <v>0.15657227900680401</v>
      </c>
      <c r="I2332">
        <v>0.17448842770339201</v>
      </c>
      <c r="J2332">
        <v>0.266290054954264</v>
      </c>
      <c r="K2332">
        <v>0.24310932543434499</v>
      </c>
      <c r="L2332">
        <v>753.14691014150799</v>
      </c>
      <c r="M2332">
        <v>15.8827960066698</v>
      </c>
      <c r="N2332">
        <v>48.867588527350101</v>
      </c>
      <c r="O2332">
        <v>46.686446174511801</v>
      </c>
      <c r="P2332">
        <v>-6.9087799084073101E-2</v>
      </c>
      <c r="Q2332">
        <v>0.187749564750013</v>
      </c>
      <c r="R2332">
        <v>0.94414557744750205</v>
      </c>
      <c r="S2332" t="s">
        <v>9002</v>
      </c>
      <c r="T2332" t="s">
        <v>13338</v>
      </c>
      <c r="U2332" t="s">
        <v>13338</v>
      </c>
      <c r="V2332" t="s">
        <v>13338</v>
      </c>
      <c r="W2332" t="s">
        <v>15631</v>
      </c>
      <c r="X2332">
        <v>2</v>
      </c>
      <c r="Y2332" t="s">
        <v>22199</v>
      </c>
      <c r="Z2332" t="s">
        <v>28747</v>
      </c>
      <c r="AA2332">
        <v>0.40776991847044691</v>
      </c>
      <c r="AB2332" t="str">
        <f>HYPERLINK("Melting_Curves/meltCurve_P27987_2_ITPKB.pdf", "Melting_Curves/meltCurve_P27987_2_ITPKB.pdf")</f>
        <v>Melting_Curves/meltCurve_P27987_2_ITPKB.pdf</v>
      </c>
    </row>
    <row r="2333" spans="1:28" x14ac:dyDescent="0.25">
      <c r="A2333" t="s">
        <v>2337</v>
      </c>
      <c r="B2333">
        <v>0.99193492352474899</v>
      </c>
      <c r="C2333">
        <v>0.83369195081356695</v>
      </c>
      <c r="D2333">
        <v>0.88133606145523302</v>
      </c>
      <c r="E2333">
        <v>0.77392623273050098</v>
      </c>
      <c r="F2333">
        <v>0.81307948557282805</v>
      </c>
      <c r="G2333">
        <v>0.68423042481192398</v>
      </c>
      <c r="H2333">
        <v>0.493322892338526</v>
      </c>
      <c r="I2333">
        <v>0.468207358943735</v>
      </c>
      <c r="J2333">
        <v>0.48039499507661099</v>
      </c>
      <c r="K2333">
        <v>0.297119668839949</v>
      </c>
      <c r="L2333">
        <v>348.500629438869</v>
      </c>
      <c r="M2333">
        <v>5.5446142586931897</v>
      </c>
      <c r="N2333">
        <v>62.853899921230301</v>
      </c>
      <c r="O2333">
        <v>56.098984930073598</v>
      </c>
      <c r="P2333">
        <v>-2.4814866278402799E-2</v>
      </c>
      <c r="Q2333">
        <v>0</v>
      </c>
      <c r="R2333">
        <v>0.93002800628784399</v>
      </c>
      <c r="S2333" t="s">
        <v>9003</v>
      </c>
      <c r="T2333" t="s">
        <v>13338</v>
      </c>
      <c r="U2333" t="s">
        <v>13338</v>
      </c>
      <c r="V2333" t="s">
        <v>13338</v>
      </c>
      <c r="W2333" t="s">
        <v>15632</v>
      </c>
      <c r="X2333">
        <v>11</v>
      </c>
      <c r="Y2333" t="s">
        <v>22200</v>
      </c>
      <c r="Z2333" t="s">
        <v>28748</v>
      </c>
      <c r="AA2333">
        <v>0.67979375016630939</v>
      </c>
      <c r="AB2333" t="str">
        <f>HYPERLINK("Melting_Curves/meltCurve_P28062_PSMB8.pdf", "Melting_Curves/meltCurve_P28062_PSMB8.pdf")</f>
        <v>Melting_Curves/meltCurve_P28062_PSMB8.pdf</v>
      </c>
    </row>
    <row r="2334" spans="1:28" x14ac:dyDescent="0.25">
      <c r="A2334" t="s">
        <v>2338</v>
      </c>
      <c r="B2334">
        <v>0.99193492352474899</v>
      </c>
      <c r="C2334">
        <v>0.98725249521351199</v>
      </c>
      <c r="D2334">
        <v>1.03120124789343</v>
      </c>
      <c r="E2334">
        <v>0.91062192523741403</v>
      </c>
      <c r="F2334">
        <v>0.98614515345884002</v>
      </c>
      <c r="G2334">
        <v>0.92377049353698104</v>
      </c>
      <c r="H2334">
        <v>0.63471445495073597</v>
      </c>
      <c r="I2334">
        <v>0.68659710428785004</v>
      </c>
      <c r="J2334">
        <v>0.72285058184148998</v>
      </c>
      <c r="K2334">
        <v>0.35455262482880401</v>
      </c>
      <c r="L2334">
        <v>638.44732189687397</v>
      </c>
      <c r="M2334">
        <v>9.2753844757320802</v>
      </c>
      <c r="N2334">
        <v>68.832437459512605</v>
      </c>
      <c r="O2334">
        <v>65.859922289891102</v>
      </c>
      <c r="P2334">
        <v>-3.5231567281795197E-2</v>
      </c>
      <c r="Q2334">
        <v>0</v>
      </c>
      <c r="R2334">
        <v>0.84131426619062599</v>
      </c>
      <c r="S2334" t="s">
        <v>9004</v>
      </c>
      <c r="T2334" t="s">
        <v>13338</v>
      </c>
      <c r="U2334" t="s">
        <v>13338</v>
      </c>
      <c r="V2334" t="s">
        <v>13338</v>
      </c>
      <c r="W2334" t="s">
        <v>15633</v>
      </c>
      <c r="X2334">
        <v>14</v>
      </c>
      <c r="Y2334" t="s">
        <v>22201</v>
      </c>
      <c r="Z2334" t="s">
        <v>28749</v>
      </c>
      <c r="AA2334">
        <v>0.84136812002459149</v>
      </c>
      <c r="AB2334" t="str">
        <f>HYPERLINK("Melting_Curves/meltCurve_P28065_PSMB9.pdf", "Melting_Curves/meltCurve_P28065_PSMB9.pdf")</f>
        <v>Melting_Curves/meltCurve_P28065_PSMB9.pdf</v>
      </c>
    </row>
    <row r="2335" spans="1:28" x14ac:dyDescent="0.25">
      <c r="A2335" t="s">
        <v>2339</v>
      </c>
      <c r="B2335">
        <v>0.99193492352474899</v>
      </c>
      <c r="C2335">
        <v>0.96259053759272795</v>
      </c>
      <c r="D2335">
        <v>0.95012359311370098</v>
      </c>
      <c r="E2335">
        <v>0.87710228170723703</v>
      </c>
      <c r="F2335">
        <v>0.89322041018394105</v>
      </c>
      <c r="G2335">
        <v>0.72265106195642104</v>
      </c>
      <c r="H2335">
        <v>0.54270283749447101</v>
      </c>
      <c r="I2335">
        <v>0.48784990559784802</v>
      </c>
      <c r="J2335">
        <v>0.446463613111934</v>
      </c>
      <c r="K2335">
        <v>0.23617415521780899</v>
      </c>
      <c r="L2335">
        <v>552.51154741282505</v>
      </c>
      <c r="M2335">
        <v>8.7447356897622406</v>
      </c>
      <c r="N2335">
        <v>63.182182826569203</v>
      </c>
      <c r="O2335">
        <v>60.1392473893671</v>
      </c>
      <c r="P2335">
        <v>-3.6381465386902102E-2</v>
      </c>
      <c r="Q2335">
        <v>0</v>
      </c>
      <c r="R2335">
        <v>0.97415770276789404</v>
      </c>
      <c r="S2335" t="s">
        <v>9005</v>
      </c>
      <c r="T2335" t="s">
        <v>13338</v>
      </c>
      <c r="U2335" t="s">
        <v>13338</v>
      </c>
      <c r="V2335" t="s">
        <v>13338</v>
      </c>
      <c r="W2335" t="s">
        <v>15634</v>
      </c>
      <c r="X2335">
        <v>17</v>
      </c>
      <c r="Y2335" t="s">
        <v>22202</v>
      </c>
      <c r="Z2335" t="s">
        <v>28750</v>
      </c>
      <c r="AA2335">
        <v>0.72923325872938671</v>
      </c>
      <c r="AB2335" t="str">
        <f>HYPERLINK("Melting_Curves/meltCurve_P28066_PSMA5.pdf", "Melting_Curves/meltCurve_P28066_PSMA5.pdf")</f>
        <v>Melting_Curves/meltCurve_P28066_PSMA5.pdf</v>
      </c>
    </row>
    <row r="2336" spans="1:28" x14ac:dyDescent="0.25">
      <c r="A2336" t="s">
        <v>2340</v>
      </c>
      <c r="B2336">
        <v>0.99193492352474899</v>
      </c>
      <c r="C2336">
        <v>0.80829887823484103</v>
      </c>
      <c r="D2336">
        <v>1.0417184660696099</v>
      </c>
      <c r="E2336">
        <v>0.795444023309409</v>
      </c>
      <c r="F2336">
        <v>1.1786904048470499</v>
      </c>
      <c r="G2336">
        <v>0.781684817465094</v>
      </c>
      <c r="H2336">
        <v>0.57177650619930598</v>
      </c>
      <c r="I2336">
        <v>0.44298668428413801</v>
      </c>
      <c r="J2336">
        <v>0.43319528776782701</v>
      </c>
      <c r="K2336">
        <v>0.231555616141258</v>
      </c>
      <c r="L2336">
        <v>1375.0951526526001</v>
      </c>
      <c r="M2336">
        <v>22.927212351124801</v>
      </c>
      <c r="N2336">
        <v>62.318785077732898</v>
      </c>
      <c r="O2336">
        <v>59.525888121753297</v>
      </c>
      <c r="P2336">
        <v>-6.8485268255921702E-2</v>
      </c>
      <c r="Q2336">
        <v>0.28878095548265398</v>
      </c>
      <c r="R2336">
        <v>0.82584692038440399</v>
      </c>
      <c r="S2336" t="s">
        <v>9006</v>
      </c>
      <c r="T2336" t="s">
        <v>13338</v>
      </c>
      <c r="U2336" t="s">
        <v>13338</v>
      </c>
      <c r="V2336" t="s">
        <v>13338</v>
      </c>
      <c r="W2336" t="s">
        <v>15635</v>
      </c>
      <c r="X2336">
        <v>7</v>
      </c>
      <c r="Y2336" t="s">
        <v>22203</v>
      </c>
      <c r="Z2336" t="s">
        <v>28751</v>
      </c>
      <c r="AA2336">
        <v>0.7680261700940505</v>
      </c>
      <c r="AB2336" t="str">
        <f>HYPERLINK("Melting_Curves/meltCurve_P28070_PSMB4.pdf", "Melting_Curves/meltCurve_P28070_PSMB4.pdf")</f>
        <v>Melting_Curves/meltCurve_P28070_PSMB4.pdf</v>
      </c>
    </row>
    <row r="2337" spans="1:28" x14ac:dyDescent="0.25">
      <c r="A2337" t="s">
        <v>2341</v>
      </c>
      <c r="B2337">
        <v>0.99193492352474899</v>
      </c>
      <c r="C2337">
        <v>0.99401653583389105</v>
      </c>
      <c r="D2337">
        <v>1.0881334631233299</v>
      </c>
      <c r="E2337">
        <v>0.98026851288999095</v>
      </c>
      <c r="F2337">
        <v>1.28327473183638</v>
      </c>
      <c r="G2337">
        <v>0.90127517167854798</v>
      </c>
      <c r="H2337">
        <v>0.62822770212662804</v>
      </c>
      <c r="I2337">
        <v>0.44924600770760897</v>
      </c>
      <c r="J2337">
        <v>0.408727840265669</v>
      </c>
      <c r="K2337">
        <v>0.18387913356079</v>
      </c>
      <c r="L2337">
        <v>1637.83379905165</v>
      </c>
      <c r="M2337">
        <v>26.663421424938399</v>
      </c>
      <c r="N2337">
        <v>62.976774617336098</v>
      </c>
      <c r="O2337">
        <v>61.083844435029199</v>
      </c>
      <c r="P2337">
        <v>-8.2864763136456895E-2</v>
      </c>
      <c r="Q2337">
        <v>0.24066077674021899</v>
      </c>
      <c r="R2337">
        <v>0.89764905306628096</v>
      </c>
      <c r="S2337" t="s">
        <v>9007</v>
      </c>
      <c r="T2337" t="s">
        <v>13338</v>
      </c>
      <c r="U2337" t="s">
        <v>13338</v>
      </c>
      <c r="V2337" t="s">
        <v>13338</v>
      </c>
      <c r="W2337" t="s">
        <v>15636</v>
      </c>
      <c r="X2337">
        <v>8</v>
      </c>
      <c r="Y2337" t="s">
        <v>22204</v>
      </c>
      <c r="Z2337" t="s">
        <v>28752</v>
      </c>
      <c r="AA2337">
        <v>0.78720865938286011</v>
      </c>
      <c r="AB2337" t="str">
        <f>HYPERLINK("Melting_Curves/meltCurve_P28072_PSMB6.pdf", "Melting_Curves/meltCurve_P28072_PSMB6.pdf")</f>
        <v>Melting_Curves/meltCurve_P28072_PSMB6.pdf</v>
      </c>
    </row>
    <row r="2338" spans="1:28" x14ac:dyDescent="0.25">
      <c r="A2338" t="s">
        <v>2342</v>
      </c>
      <c r="B2338">
        <v>0.99193492352474899</v>
      </c>
      <c r="C2338">
        <v>0.95669586943902596</v>
      </c>
      <c r="D2338">
        <v>1.03916427476398</v>
      </c>
      <c r="E2338">
        <v>0.905847849507185</v>
      </c>
      <c r="F2338">
        <v>0.90787343441819601</v>
      </c>
      <c r="G2338">
        <v>0.82316425601194598</v>
      </c>
      <c r="H2338">
        <v>0.57417147189700302</v>
      </c>
      <c r="I2338">
        <v>0.51647775281039698</v>
      </c>
      <c r="J2338">
        <v>0.58609518609095901</v>
      </c>
      <c r="K2338">
        <v>0.30474966042377299</v>
      </c>
      <c r="L2338">
        <v>620.45907232346406</v>
      </c>
      <c r="M2338">
        <v>9.8117922630534498</v>
      </c>
      <c r="N2338">
        <v>65.364801865578102</v>
      </c>
      <c r="O2338">
        <v>60.777215216014397</v>
      </c>
      <c r="P2338">
        <v>-3.4858328692994399E-2</v>
      </c>
      <c r="Q2338">
        <v>0.136759260496021</v>
      </c>
      <c r="R2338">
        <v>0.92850037563244803</v>
      </c>
      <c r="S2338" t="s">
        <v>9008</v>
      </c>
      <c r="T2338" t="s">
        <v>13338</v>
      </c>
      <c r="U2338" t="s">
        <v>13338</v>
      </c>
      <c r="V2338" t="s">
        <v>13338</v>
      </c>
      <c r="W2338" t="s">
        <v>15637</v>
      </c>
      <c r="X2338">
        <v>14</v>
      </c>
      <c r="Y2338" t="s">
        <v>22205</v>
      </c>
      <c r="Z2338" t="s">
        <v>28753</v>
      </c>
      <c r="AA2338">
        <v>0.77504008493082677</v>
      </c>
      <c r="AB2338" t="str">
        <f>HYPERLINK("Melting_Curves/meltCurve_P28074_PSMB5.pdf", "Melting_Curves/meltCurve_P28074_PSMB5.pdf")</f>
        <v>Melting_Curves/meltCurve_P28074_PSMB5.pdf</v>
      </c>
    </row>
    <row r="2339" spans="1:28" x14ac:dyDescent="0.25">
      <c r="A2339" t="s">
        <v>2343</v>
      </c>
      <c r="B2339">
        <v>0.99193492352474899</v>
      </c>
      <c r="C2339">
        <v>0.80782848160725396</v>
      </c>
      <c r="D2339">
        <v>0.76229105926367402</v>
      </c>
      <c r="E2339">
        <v>0.44054381942074899</v>
      </c>
      <c r="F2339">
        <v>0.39954346544827202</v>
      </c>
      <c r="G2339">
        <v>0.81218779074229397</v>
      </c>
      <c r="H2339">
        <v>0.29558599107107503</v>
      </c>
      <c r="I2339">
        <v>0.40156574226271502</v>
      </c>
      <c r="J2339">
        <v>0.32006045482468398</v>
      </c>
      <c r="K2339">
        <v>0.53284568201470295</v>
      </c>
      <c r="L2339">
        <v>886.24301548759502</v>
      </c>
      <c r="M2339">
        <v>19.539065666241498</v>
      </c>
      <c r="N2339">
        <v>51.114861657840997</v>
      </c>
      <c r="O2339">
        <v>44.890399819060498</v>
      </c>
      <c r="P2339">
        <v>-6.0433577100401502E-2</v>
      </c>
      <c r="Q2339">
        <v>0.44464271592022903</v>
      </c>
      <c r="R2339">
        <v>0.63131454414778299</v>
      </c>
      <c r="S2339" t="s">
        <v>9009</v>
      </c>
      <c r="T2339" t="s">
        <v>13338</v>
      </c>
      <c r="U2339" t="s">
        <v>13338</v>
      </c>
      <c r="V2339" t="s">
        <v>13338</v>
      </c>
      <c r="W2339" t="s">
        <v>15638</v>
      </c>
      <c r="X2339">
        <v>11</v>
      </c>
      <c r="Y2339" t="s">
        <v>22205</v>
      </c>
      <c r="Z2339" t="s">
        <v>28754</v>
      </c>
      <c r="AA2339">
        <v>0.55337932856263639</v>
      </c>
      <c r="AB2339" t="str">
        <f>HYPERLINK("Melting_Curves/meltCurve_P28074_3_PSMB5.pdf", "Melting_Curves/meltCurve_P28074_3_PSMB5.pdf")</f>
        <v>Melting_Curves/meltCurve_P28074_3_PSMB5.pdf</v>
      </c>
    </row>
    <row r="2340" spans="1:28" x14ac:dyDescent="0.25">
      <c r="A2340" t="s">
        <v>2344</v>
      </c>
      <c r="B2340">
        <v>0.99193492352474899</v>
      </c>
      <c r="C2340">
        <v>0.81751028877073695</v>
      </c>
      <c r="D2340">
        <v>1.02423990059363</v>
      </c>
      <c r="E2340">
        <v>0.70647131241352201</v>
      </c>
      <c r="F2340">
        <v>0.45504907524437799</v>
      </c>
      <c r="G2340">
        <v>0.14039624678454801</v>
      </c>
      <c r="H2340">
        <v>7.18961709826305E-2</v>
      </c>
      <c r="I2340">
        <v>6.1653082706956103E-2</v>
      </c>
      <c r="J2340">
        <v>7.5022497278593905E-2</v>
      </c>
      <c r="K2340">
        <v>6.5605404927836203E-2</v>
      </c>
      <c r="L2340">
        <v>1115.4830347216</v>
      </c>
      <c r="M2340">
        <v>21.464052995635999</v>
      </c>
      <c r="N2340">
        <v>52.216491222639704</v>
      </c>
      <c r="O2340">
        <v>51.525033252806701</v>
      </c>
      <c r="P2340">
        <v>-9.9125283632401806E-2</v>
      </c>
      <c r="Q2340">
        <v>4.8211983188003599E-2</v>
      </c>
      <c r="R2340">
        <v>0.97168981801821896</v>
      </c>
      <c r="S2340" t="s">
        <v>9010</v>
      </c>
      <c r="T2340" t="s">
        <v>13338</v>
      </c>
      <c r="U2340" t="s">
        <v>13338</v>
      </c>
      <c r="V2340" t="s">
        <v>13338</v>
      </c>
      <c r="W2340" t="s">
        <v>15639</v>
      </c>
      <c r="X2340">
        <v>11</v>
      </c>
      <c r="Y2340" t="s">
        <v>22206</v>
      </c>
      <c r="Z2340" t="s">
        <v>28755</v>
      </c>
      <c r="AA2340">
        <v>0.43955374888710919</v>
      </c>
      <c r="AB2340" t="str">
        <f>HYPERLINK("Melting_Curves/meltCurve_P28161_GSTM2.pdf", "Melting_Curves/meltCurve_P28161_GSTM2.pdf")</f>
        <v>Melting_Curves/meltCurve_P28161_GSTM2.pdf</v>
      </c>
    </row>
    <row r="2341" spans="1:28" x14ac:dyDescent="0.25">
      <c r="A2341" t="s">
        <v>2345</v>
      </c>
      <c r="B2341">
        <v>0.99193492352474899</v>
      </c>
      <c r="C2341">
        <v>0.90527071231711298</v>
      </c>
      <c r="D2341">
        <v>0.79830088755713302</v>
      </c>
      <c r="E2341">
        <v>0.57580109906672905</v>
      </c>
      <c r="F2341">
        <v>0.21832016130426299</v>
      </c>
      <c r="G2341">
        <v>0.13865723323711299</v>
      </c>
      <c r="H2341">
        <v>0.10909845373636801</v>
      </c>
      <c r="I2341">
        <v>8.9584867705249802E-2</v>
      </c>
      <c r="J2341">
        <v>0.10773640348427301</v>
      </c>
      <c r="K2341">
        <v>9.6956865881155804E-2</v>
      </c>
      <c r="L2341">
        <v>944.38270130158196</v>
      </c>
      <c r="M2341">
        <v>19.133484882568499</v>
      </c>
      <c r="N2341">
        <v>49.828020935736902</v>
      </c>
      <c r="O2341">
        <v>48.827909621863199</v>
      </c>
      <c r="P2341">
        <v>-8.9872361399777695E-2</v>
      </c>
      <c r="Q2341">
        <v>8.2632380612511699E-2</v>
      </c>
      <c r="R2341">
        <v>0.99308860228821605</v>
      </c>
      <c r="S2341" t="s">
        <v>9011</v>
      </c>
      <c r="T2341" t="s">
        <v>13338</v>
      </c>
      <c r="U2341" t="s">
        <v>13338</v>
      </c>
      <c r="V2341" t="s">
        <v>13338</v>
      </c>
      <c r="W2341" t="s">
        <v>15640</v>
      </c>
      <c r="X2341">
        <v>22</v>
      </c>
      <c r="Y2341" t="s">
        <v>22207</v>
      </c>
      <c r="Z2341" t="s">
        <v>28756</v>
      </c>
      <c r="AA2341">
        <v>0.38277471851897088</v>
      </c>
      <c r="AB2341" t="str">
        <f>HYPERLINK("Melting_Curves/meltCurve_P28331_4_NDUFS1.pdf", "Melting_Curves/meltCurve_P28331_4_NDUFS1.pdf")</f>
        <v>Melting_Curves/meltCurve_P28331_4_NDUFS1.pdf</v>
      </c>
    </row>
    <row r="2342" spans="1:28" x14ac:dyDescent="0.25">
      <c r="A2342" t="s">
        <v>2346</v>
      </c>
      <c r="B2342">
        <v>0.99193492352474899</v>
      </c>
      <c r="C2342">
        <v>0.90298250350069498</v>
      </c>
      <c r="D2342">
        <v>0.91410438574657205</v>
      </c>
      <c r="E2342">
        <v>0.73194955855063604</v>
      </c>
      <c r="F2342">
        <v>0.58615256334150601</v>
      </c>
      <c r="G2342">
        <v>0.39134591967563298</v>
      </c>
      <c r="H2342">
        <v>0.113915882778912</v>
      </c>
      <c r="I2342">
        <v>8.5344333247702506E-2</v>
      </c>
      <c r="J2342">
        <v>8.5479293815544394E-2</v>
      </c>
      <c r="K2342">
        <v>9.0211858232860903E-2</v>
      </c>
      <c r="L2342">
        <v>701.32796923127103</v>
      </c>
      <c r="M2342">
        <v>12.981054060145601</v>
      </c>
      <c r="N2342">
        <v>54.027043709268803</v>
      </c>
      <c r="O2342">
        <v>52.793096369965802</v>
      </c>
      <c r="P2342">
        <v>-6.1482285126265898E-2</v>
      </c>
      <c r="Q2342">
        <v>0</v>
      </c>
      <c r="R2342">
        <v>0.98704554450875504</v>
      </c>
      <c r="S2342" t="s">
        <v>9012</v>
      </c>
      <c r="T2342" t="s">
        <v>13338</v>
      </c>
      <c r="U2342" t="s">
        <v>13338</v>
      </c>
      <c r="V2342" t="s">
        <v>13338</v>
      </c>
      <c r="W2342" t="s">
        <v>15641</v>
      </c>
      <c r="X2342">
        <v>19</v>
      </c>
      <c r="Y2342" t="s">
        <v>22208</v>
      </c>
      <c r="Z2342" t="s">
        <v>28757</v>
      </c>
      <c r="AA2342">
        <v>0.49169980713634159</v>
      </c>
      <c r="AB2342" t="str">
        <f>HYPERLINK("Melting_Curves/meltCurve_P28482_MAPK1.pdf", "Melting_Curves/meltCurve_P28482_MAPK1.pdf")</f>
        <v>Melting_Curves/meltCurve_P28482_MAPK1.pdf</v>
      </c>
    </row>
    <row r="2343" spans="1:28" x14ac:dyDescent="0.25">
      <c r="A2343" t="s">
        <v>2347</v>
      </c>
      <c r="B2343">
        <v>0.99193492352474899</v>
      </c>
      <c r="C2343">
        <v>0.56378413597580002</v>
      </c>
      <c r="D2343">
        <v>0.37929624642026799</v>
      </c>
      <c r="E2343">
        <v>0.17227378590907</v>
      </c>
      <c r="F2343">
        <v>0.121990773243788</v>
      </c>
      <c r="G2343">
        <v>6.3539150062274702E-2</v>
      </c>
      <c r="H2343">
        <v>4.5016004222125698E-2</v>
      </c>
      <c r="I2343">
        <v>7.1716515010019896E-2</v>
      </c>
      <c r="J2343">
        <v>7.5338225943320306E-2</v>
      </c>
      <c r="K2343">
        <v>0.124113696418122</v>
      </c>
      <c r="L2343">
        <v>917.15267168170999</v>
      </c>
      <c r="M2343">
        <v>20.899689483580399</v>
      </c>
      <c r="N2343">
        <v>44.261091807896797</v>
      </c>
      <c r="O2343">
        <v>43.487729847679198</v>
      </c>
      <c r="P2343">
        <v>-0.110341119425982</v>
      </c>
      <c r="Q2343">
        <v>8.1641474923314195E-2</v>
      </c>
      <c r="R2343">
        <v>0.97202750444720898</v>
      </c>
      <c r="S2343" t="s">
        <v>9013</v>
      </c>
      <c r="T2343" t="s">
        <v>13338</v>
      </c>
      <c r="U2343" t="s">
        <v>13338</v>
      </c>
      <c r="V2343" t="s">
        <v>13338</v>
      </c>
      <c r="W2343" t="s">
        <v>15642</v>
      </c>
      <c r="X2343">
        <v>5</v>
      </c>
      <c r="Y2343" t="s">
        <v>22209</v>
      </c>
      <c r="Z2343" t="s">
        <v>28758</v>
      </c>
      <c r="AA2343">
        <v>0.21697784250959079</v>
      </c>
      <c r="AB2343" t="str">
        <f>HYPERLINK("Melting_Curves/meltCurve_P28702_RXRB.pdf", "Melting_Curves/meltCurve_P28702_RXRB.pdf")</f>
        <v>Melting_Curves/meltCurve_P28702_RXRB.pdf</v>
      </c>
    </row>
    <row r="2344" spans="1:28" x14ac:dyDescent="0.25">
      <c r="A2344" t="s">
        <v>2348</v>
      </c>
      <c r="B2344">
        <v>0.99193492352474899</v>
      </c>
      <c r="C2344">
        <v>0.82435369931826197</v>
      </c>
      <c r="D2344">
        <v>0.69023608925556601</v>
      </c>
      <c r="E2344">
        <v>0.40736969530289202</v>
      </c>
      <c r="F2344">
        <v>0.163218089147805</v>
      </c>
      <c r="G2344">
        <v>8.6164217994960393E-2</v>
      </c>
      <c r="H2344">
        <v>5.3342992509925698E-2</v>
      </c>
      <c r="I2344">
        <v>5.471857098407E-2</v>
      </c>
      <c r="J2344">
        <v>7.0195961520915201E-2</v>
      </c>
      <c r="K2344">
        <v>6.2876449077155505E-2</v>
      </c>
      <c r="L2344">
        <v>799.01098433646098</v>
      </c>
      <c r="M2344">
        <v>16.709151404524398</v>
      </c>
      <c r="N2344">
        <v>48.066306907092901</v>
      </c>
      <c r="O2344">
        <v>47.149585837775398</v>
      </c>
      <c r="P2344">
        <v>-8.4949473647652193E-2</v>
      </c>
      <c r="Q2344">
        <v>4.1227610607111602E-2</v>
      </c>
      <c r="R2344">
        <v>0.994546410996899</v>
      </c>
      <c r="S2344" t="s">
        <v>9014</v>
      </c>
      <c r="T2344" t="s">
        <v>13338</v>
      </c>
      <c r="U2344" t="s">
        <v>13338</v>
      </c>
      <c r="V2344" t="s">
        <v>13338</v>
      </c>
      <c r="W2344" t="s">
        <v>15643</v>
      </c>
      <c r="X2344">
        <v>9</v>
      </c>
      <c r="Y2344" t="s">
        <v>22210</v>
      </c>
      <c r="Z2344" t="s">
        <v>28759</v>
      </c>
      <c r="AA2344">
        <v>0.3110931566610361</v>
      </c>
      <c r="AB2344" t="str">
        <f>HYPERLINK("Melting_Curves/meltCurve_P28715_ERCC5.pdf", "Melting_Curves/meltCurve_P28715_ERCC5.pdf")</f>
        <v>Melting_Curves/meltCurve_P28715_ERCC5.pdf</v>
      </c>
    </row>
    <row r="2345" spans="1:28" x14ac:dyDescent="0.25">
      <c r="A2345" t="s">
        <v>2349</v>
      </c>
      <c r="B2345">
        <v>0.99193492352474899</v>
      </c>
      <c r="C2345">
        <v>0.89263834499169104</v>
      </c>
      <c r="D2345">
        <v>0.85470477627927899</v>
      </c>
      <c r="E2345">
        <v>0.72143642388157203</v>
      </c>
      <c r="F2345">
        <v>0.66422136666405995</v>
      </c>
      <c r="G2345">
        <v>0.56023969262310203</v>
      </c>
      <c r="H2345">
        <v>0.435288139499932</v>
      </c>
      <c r="I2345">
        <v>0.58905208288692601</v>
      </c>
      <c r="J2345">
        <v>0.67699526714641001</v>
      </c>
      <c r="K2345">
        <v>0.99310633105243795</v>
      </c>
      <c r="L2345">
        <v>990.88811966642299</v>
      </c>
      <c r="M2345">
        <v>21.568203557250801</v>
      </c>
      <c r="O2345">
        <v>45.552604602925904</v>
      </c>
      <c r="P2345">
        <v>-4.11899379607681E-2</v>
      </c>
      <c r="Q2345">
        <v>0.65203151691699202</v>
      </c>
      <c r="R2345">
        <v>0.43693887939801501</v>
      </c>
      <c r="S2345" t="s">
        <v>9015</v>
      </c>
      <c r="T2345" t="s">
        <v>13338</v>
      </c>
      <c r="U2345" t="s">
        <v>13338</v>
      </c>
      <c r="V2345" t="s">
        <v>13338</v>
      </c>
      <c r="W2345" t="s">
        <v>15644</v>
      </c>
      <c r="X2345">
        <v>6</v>
      </c>
      <c r="Y2345" t="s">
        <v>22211</v>
      </c>
      <c r="Z2345" t="s">
        <v>28760</v>
      </c>
      <c r="AA2345">
        <v>0.72549256858435751</v>
      </c>
      <c r="AB2345" t="str">
        <f>HYPERLINK("Melting_Curves/meltCurve_P28799_GRN.pdf", "Melting_Curves/meltCurve_P28799_GRN.pdf")</f>
        <v>Melting_Curves/meltCurve_P28799_GRN.pdf</v>
      </c>
    </row>
    <row r="2346" spans="1:28" x14ac:dyDescent="0.25">
      <c r="A2346" t="s">
        <v>2350</v>
      </c>
      <c r="B2346">
        <v>0.99193492352474899</v>
      </c>
      <c r="C2346">
        <v>1.28731192752501</v>
      </c>
      <c r="D2346">
        <v>0.832484664843261</v>
      </c>
      <c r="E2346">
        <v>0.91081196737760395</v>
      </c>
      <c r="F2346">
        <v>0.65277925354699096</v>
      </c>
      <c r="G2346">
        <v>0.48561816970347199</v>
      </c>
      <c r="H2346">
        <v>0.35531413757315899</v>
      </c>
      <c r="I2346">
        <v>0.39948448323815999</v>
      </c>
      <c r="J2346">
        <v>0.38030792277064301</v>
      </c>
      <c r="K2346">
        <v>0.43430018744842802</v>
      </c>
      <c r="L2346">
        <v>1280.88974795626</v>
      </c>
      <c r="M2346">
        <v>24.339296669973798</v>
      </c>
      <c r="N2346">
        <v>56.043816167310297</v>
      </c>
      <c r="O2346">
        <v>52.275013336281702</v>
      </c>
      <c r="P2346">
        <v>-7.1394888622776403E-2</v>
      </c>
      <c r="Q2346">
        <v>0.38665230453536298</v>
      </c>
      <c r="R2346">
        <v>0.87731381449882295</v>
      </c>
      <c r="S2346" t="s">
        <v>9016</v>
      </c>
      <c r="T2346" t="s">
        <v>13338</v>
      </c>
      <c r="U2346" t="s">
        <v>13338</v>
      </c>
      <c r="V2346" t="s">
        <v>13338</v>
      </c>
      <c r="W2346" t="s">
        <v>15645</v>
      </c>
      <c r="X2346">
        <v>35</v>
      </c>
      <c r="Y2346" t="s">
        <v>22212</v>
      </c>
      <c r="Z2346" t="s">
        <v>28761</v>
      </c>
      <c r="AA2346">
        <v>0.65072148681583875</v>
      </c>
      <c r="AB2346" t="str">
        <f>HYPERLINK("Melting_Curves/meltCurve_P28838_LAP3.pdf", "Melting_Curves/meltCurve_P28838_LAP3.pdf")</f>
        <v>Melting_Curves/meltCurve_P28838_LAP3.pdf</v>
      </c>
    </row>
    <row r="2347" spans="1:28" x14ac:dyDescent="0.25">
      <c r="A2347" t="s">
        <v>2351</v>
      </c>
      <c r="B2347">
        <v>0.99193492352474899</v>
      </c>
      <c r="C2347">
        <v>0.87928679558711598</v>
      </c>
      <c r="D2347">
        <v>0.976438412928336</v>
      </c>
      <c r="E2347">
        <v>0.73856242414758599</v>
      </c>
      <c r="F2347">
        <v>0.63564188479120698</v>
      </c>
      <c r="G2347">
        <v>0.45289207151442901</v>
      </c>
      <c r="H2347">
        <v>0.35890602905451002</v>
      </c>
      <c r="I2347">
        <v>0.32184559551084702</v>
      </c>
      <c r="J2347">
        <v>0.379373195406701</v>
      </c>
      <c r="K2347">
        <v>0.37038993574394102</v>
      </c>
      <c r="L2347">
        <v>815.05972399728296</v>
      </c>
      <c r="M2347">
        <v>15.7528370751543</v>
      </c>
      <c r="N2347">
        <v>55.566611194235897</v>
      </c>
      <c r="O2347">
        <v>50.928232677542397</v>
      </c>
      <c r="P2347">
        <v>-5.1737608017254598E-2</v>
      </c>
      <c r="Q2347">
        <v>0.33099419424927001</v>
      </c>
      <c r="R2347">
        <v>0.96922432287634297</v>
      </c>
      <c r="S2347" t="s">
        <v>9017</v>
      </c>
      <c r="T2347" t="s">
        <v>13338</v>
      </c>
      <c r="U2347" t="s">
        <v>13338</v>
      </c>
      <c r="V2347" t="s">
        <v>13338</v>
      </c>
      <c r="W2347" t="s">
        <v>15646</v>
      </c>
      <c r="X2347">
        <v>16</v>
      </c>
      <c r="Y2347" t="s">
        <v>22213</v>
      </c>
      <c r="Z2347" t="s">
        <v>28762</v>
      </c>
      <c r="AA2347">
        <v>0.60677226132761353</v>
      </c>
      <c r="AB2347" t="str">
        <f>HYPERLINK("Melting_Curves/meltCurve_P28907_CD38.pdf", "Melting_Curves/meltCurve_P28907_CD38.pdf")</f>
        <v>Melting_Curves/meltCurve_P28907_CD38.pdf</v>
      </c>
    </row>
    <row r="2348" spans="1:28" x14ac:dyDescent="0.25">
      <c r="A2348" t="s">
        <v>2352</v>
      </c>
      <c r="B2348">
        <v>0.99193492352474899</v>
      </c>
      <c r="C2348">
        <v>0.92689156803080996</v>
      </c>
      <c r="D2348">
        <v>1.0105117117528799</v>
      </c>
      <c r="E2348">
        <v>0.70262562825658703</v>
      </c>
      <c r="F2348">
        <v>0.65546837747951803</v>
      </c>
      <c r="G2348">
        <v>0.481584839226738</v>
      </c>
      <c r="H2348">
        <v>0.365437415877713</v>
      </c>
      <c r="I2348">
        <v>0.464530832329617</v>
      </c>
      <c r="J2348">
        <v>0.52584063082924504</v>
      </c>
      <c r="K2348">
        <v>0.63062870688794803</v>
      </c>
      <c r="L2348">
        <v>1298.6884872169001</v>
      </c>
      <c r="M2348">
        <v>26.1324144698781</v>
      </c>
      <c r="N2348">
        <v>64.696229885692802</v>
      </c>
      <c r="O2348">
        <v>49.408203559165699</v>
      </c>
      <c r="P2348">
        <v>-6.6268853511533304E-2</v>
      </c>
      <c r="Q2348">
        <v>0.49883137485269002</v>
      </c>
      <c r="R2348">
        <v>0.88033536892734898</v>
      </c>
      <c r="S2348" t="s">
        <v>9018</v>
      </c>
      <c r="T2348" t="s">
        <v>13338</v>
      </c>
      <c r="U2348" t="s">
        <v>13338</v>
      </c>
      <c r="V2348" t="s">
        <v>13338</v>
      </c>
      <c r="W2348" t="s">
        <v>15647</v>
      </c>
      <c r="X2348">
        <v>10</v>
      </c>
      <c r="Y2348" t="s">
        <v>22214</v>
      </c>
      <c r="Z2348" t="s">
        <v>28763</v>
      </c>
      <c r="AA2348">
        <v>0.66489927792087478</v>
      </c>
      <c r="AB2348" t="str">
        <f>HYPERLINK("Melting_Curves/meltCurve_P28908_TNFRSF8.pdf", "Melting_Curves/meltCurve_P28908_TNFRSF8.pdf")</f>
        <v>Melting_Curves/meltCurve_P28908_TNFRSF8.pdf</v>
      </c>
    </row>
    <row r="2349" spans="1:28" x14ac:dyDescent="0.25">
      <c r="A2349" t="s">
        <v>2353</v>
      </c>
      <c r="B2349">
        <v>0.99193492352474899</v>
      </c>
      <c r="C2349">
        <v>0.92914084927182095</v>
      </c>
      <c r="D2349">
        <v>0.86504925874826499</v>
      </c>
      <c r="E2349">
        <v>0.74754642899646095</v>
      </c>
      <c r="F2349">
        <v>0.65490720718901996</v>
      </c>
      <c r="G2349">
        <v>0.37002838019363299</v>
      </c>
      <c r="H2349">
        <v>0.33376925503003302</v>
      </c>
      <c r="I2349">
        <v>0.36371605271957902</v>
      </c>
      <c r="J2349">
        <v>0.42766922842635102</v>
      </c>
      <c r="K2349">
        <v>0.379773574254474</v>
      </c>
      <c r="L2349">
        <v>793.089126377649</v>
      </c>
      <c r="M2349">
        <v>15.5722412960888</v>
      </c>
      <c r="N2349">
        <v>55.134428619764101</v>
      </c>
      <c r="O2349">
        <v>50.111964002038299</v>
      </c>
      <c r="P2349">
        <v>-5.0693518053639502E-2</v>
      </c>
      <c r="Q2349">
        <v>0.34752355495244602</v>
      </c>
      <c r="R2349">
        <v>0.95778895359801997</v>
      </c>
      <c r="S2349" t="s">
        <v>9019</v>
      </c>
      <c r="T2349" t="s">
        <v>13338</v>
      </c>
      <c r="U2349" t="s">
        <v>13338</v>
      </c>
      <c r="V2349" t="s">
        <v>13338</v>
      </c>
      <c r="W2349" t="s">
        <v>15648</v>
      </c>
      <c r="X2349">
        <v>2</v>
      </c>
      <c r="Y2349" t="s">
        <v>22215</v>
      </c>
      <c r="Z2349" t="s">
        <v>28764</v>
      </c>
      <c r="AA2349">
        <v>0.59942364969989304</v>
      </c>
      <c r="AB2349" t="str">
        <f>HYPERLINK("Melting_Curves/meltCurve_P29016_CD1B.pdf", "Melting_Curves/meltCurve_P29016_CD1B.pdf")</f>
        <v>Melting_Curves/meltCurve_P29016_CD1B.pdf</v>
      </c>
    </row>
    <row r="2350" spans="1:28" x14ac:dyDescent="0.25">
      <c r="A2350" t="s">
        <v>2354</v>
      </c>
      <c r="B2350">
        <v>0.99193492352474899</v>
      </c>
      <c r="C2350">
        <v>0.77650881126098503</v>
      </c>
      <c r="D2350">
        <v>0.75789415023746498</v>
      </c>
      <c r="E2350">
        <v>0.36605408447122401</v>
      </c>
      <c r="F2350">
        <v>0.17426692482860501</v>
      </c>
      <c r="G2350">
        <v>0.11173045743532101</v>
      </c>
      <c r="H2350">
        <v>7.6674640852736398E-2</v>
      </c>
      <c r="I2350">
        <v>0.105993914893807</v>
      </c>
      <c r="J2350">
        <v>0.1165882538865</v>
      </c>
      <c r="K2350">
        <v>0.12702064459182999</v>
      </c>
      <c r="L2350">
        <v>875.63744715009102</v>
      </c>
      <c r="M2350">
        <v>18.427627179250099</v>
      </c>
      <c r="N2350">
        <v>48.034054480965899</v>
      </c>
      <c r="O2350">
        <v>46.968639398087703</v>
      </c>
      <c r="P2350">
        <v>-8.9274774109765295E-2</v>
      </c>
      <c r="Q2350">
        <v>8.9860399521862006E-2</v>
      </c>
      <c r="R2350">
        <v>0.97847089226231898</v>
      </c>
      <c r="S2350" t="s">
        <v>9020</v>
      </c>
      <c r="T2350" t="s">
        <v>13338</v>
      </c>
      <c r="U2350" t="s">
        <v>13338</v>
      </c>
      <c r="V2350" t="s">
        <v>13338</v>
      </c>
      <c r="W2350" t="s">
        <v>15649</v>
      </c>
      <c r="X2350">
        <v>11</v>
      </c>
      <c r="Y2350" t="s">
        <v>22216</v>
      </c>
      <c r="Z2350" t="s">
        <v>28765</v>
      </c>
      <c r="AA2350">
        <v>0.33354418823729509</v>
      </c>
      <c r="AB2350" t="str">
        <f>HYPERLINK("Melting_Curves/meltCurve_P29083_GTF2E1.pdf", "Melting_Curves/meltCurve_P29083_GTF2E1.pdf")</f>
        <v>Melting_Curves/meltCurve_P29083_GTF2E1.pdf</v>
      </c>
    </row>
    <row r="2351" spans="1:28" x14ac:dyDescent="0.25">
      <c r="A2351" t="s">
        <v>2355</v>
      </c>
      <c r="B2351">
        <v>0.99193492352474899</v>
      </c>
      <c r="C2351">
        <v>0.67854445835027599</v>
      </c>
      <c r="D2351">
        <v>0.85585385141665904</v>
      </c>
      <c r="E2351">
        <v>0.30699814883364601</v>
      </c>
      <c r="F2351">
        <v>0.14940248653216701</v>
      </c>
      <c r="G2351">
        <v>7.9535118312400205E-2</v>
      </c>
      <c r="H2351">
        <v>6.9827268946258597E-2</v>
      </c>
      <c r="I2351">
        <v>9.4586326690532893E-2</v>
      </c>
      <c r="J2351">
        <v>0.14363353306966201</v>
      </c>
      <c r="K2351">
        <v>0.190092306315674</v>
      </c>
      <c r="L2351">
        <v>1019.9899296183401</v>
      </c>
      <c r="M2351">
        <v>21.477109469667599</v>
      </c>
      <c r="N2351">
        <v>47.993612199198303</v>
      </c>
      <c r="O2351">
        <v>47.085948644754303</v>
      </c>
      <c r="P2351">
        <v>-0.102569276466346</v>
      </c>
      <c r="Q2351">
        <v>0.100539043271497</v>
      </c>
      <c r="R2351">
        <v>0.91070965284290295</v>
      </c>
      <c r="S2351" t="s">
        <v>9021</v>
      </c>
      <c r="T2351" t="s">
        <v>13338</v>
      </c>
      <c r="U2351" t="s">
        <v>13338</v>
      </c>
      <c r="V2351" t="s">
        <v>13338</v>
      </c>
      <c r="W2351" t="s">
        <v>15650</v>
      </c>
      <c r="X2351">
        <v>11</v>
      </c>
      <c r="Y2351" t="s">
        <v>22217</v>
      </c>
      <c r="Z2351" t="s">
        <v>28766</v>
      </c>
      <c r="AA2351">
        <v>0.3362525065303073</v>
      </c>
      <c r="AB2351" t="str">
        <f>HYPERLINK("Melting_Curves/meltCurve_P29084_GTF2E2.pdf", "Melting_Curves/meltCurve_P29084_GTF2E2.pdf")</f>
        <v>Melting_Curves/meltCurve_P29084_GTF2E2.pdf</v>
      </c>
    </row>
    <row r="2352" spans="1:28" x14ac:dyDescent="0.25">
      <c r="A2352" t="s">
        <v>2356</v>
      </c>
      <c r="B2352">
        <v>0.99193492352474899</v>
      </c>
      <c r="C2352">
        <v>0.93762119781594599</v>
      </c>
      <c r="D2352">
        <v>0.92800355006911805</v>
      </c>
      <c r="E2352">
        <v>0.799423218400939</v>
      </c>
      <c r="F2352">
        <v>0.82035100443329101</v>
      </c>
      <c r="G2352">
        <v>0.66096614465834902</v>
      </c>
      <c r="H2352">
        <v>0.122224879199252</v>
      </c>
      <c r="I2352">
        <v>0.13808536922688899</v>
      </c>
      <c r="J2352">
        <v>0.17848390178719301</v>
      </c>
      <c r="K2352">
        <v>0.14883316960838699</v>
      </c>
      <c r="L2352">
        <v>1398.89332436013</v>
      </c>
      <c r="M2352">
        <v>24.638133000517701</v>
      </c>
      <c r="N2352">
        <v>57.335477496946702</v>
      </c>
      <c r="O2352">
        <v>56.407491229512701</v>
      </c>
      <c r="P2352">
        <v>-9.7559674931051596E-2</v>
      </c>
      <c r="Q2352">
        <v>0.10658509083203201</v>
      </c>
      <c r="R2352">
        <v>0.94193889828112998</v>
      </c>
      <c r="S2352" t="s">
        <v>9022</v>
      </c>
      <c r="T2352" t="s">
        <v>13338</v>
      </c>
      <c r="U2352" t="s">
        <v>13338</v>
      </c>
      <c r="V2352" t="s">
        <v>13338</v>
      </c>
      <c r="W2352" t="s">
        <v>15651</v>
      </c>
      <c r="X2352">
        <v>57</v>
      </c>
      <c r="Y2352" t="s">
        <v>22218</v>
      </c>
      <c r="Z2352" t="s">
        <v>28767</v>
      </c>
      <c r="AA2352">
        <v>0.61450775987955963</v>
      </c>
      <c r="AB2352" t="str">
        <f>HYPERLINK("Melting_Curves/meltCurve_P29144_TPP2.pdf", "Melting_Curves/meltCurve_P29144_TPP2.pdf")</f>
        <v>Melting_Curves/meltCurve_P29144_TPP2.pdf</v>
      </c>
    </row>
    <row r="2353" spans="1:28" x14ac:dyDescent="0.25">
      <c r="A2353" t="s">
        <v>2357</v>
      </c>
      <c r="B2353">
        <v>0.99193492352474899</v>
      </c>
      <c r="C2353">
        <v>1.0004968079110099</v>
      </c>
      <c r="D2353">
        <v>0.95762487167974297</v>
      </c>
      <c r="E2353">
        <v>0.86442496520572698</v>
      </c>
      <c r="F2353">
        <v>0.73259190044568501</v>
      </c>
      <c r="G2353">
        <v>0.64999788761786803</v>
      </c>
      <c r="H2353">
        <v>0.52737509018004602</v>
      </c>
      <c r="I2353">
        <v>0.666450247461568</v>
      </c>
      <c r="J2353">
        <v>0.78612132770232201</v>
      </c>
      <c r="K2353">
        <v>0.78478782533406199</v>
      </c>
      <c r="L2353">
        <v>1615.93293271065</v>
      </c>
      <c r="M2353">
        <v>32.365088860281297</v>
      </c>
      <c r="O2353">
        <v>49.738803163321101</v>
      </c>
      <c r="P2353">
        <v>-5.1435941762551902E-2</v>
      </c>
      <c r="Q2353">
        <v>0.68381354741719702</v>
      </c>
      <c r="R2353">
        <v>0.786710665300701</v>
      </c>
      <c r="S2353" t="s">
        <v>9023</v>
      </c>
      <c r="T2353" t="s">
        <v>13338</v>
      </c>
      <c r="U2353" t="s">
        <v>13338</v>
      </c>
      <c r="V2353" t="s">
        <v>13338</v>
      </c>
      <c r="W2353" t="s">
        <v>15652</v>
      </c>
      <c r="X2353">
        <v>18</v>
      </c>
      <c r="Y2353" t="s">
        <v>20340</v>
      </c>
      <c r="Z2353" t="s">
        <v>28768</v>
      </c>
      <c r="AA2353">
        <v>0.79012817910522248</v>
      </c>
      <c r="AB2353" t="str">
        <f>HYPERLINK("Melting_Curves/meltCurve_P29218_IMPA1.pdf", "Melting_Curves/meltCurve_P29218_IMPA1.pdf")</f>
        <v>Melting_Curves/meltCurve_P29218_IMPA1.pdf</v>
      </c>
    </row>
    <row r="2354" spans="1:28" x14ac:dyDescent="0.25">
      <c r="A2354" t="s">
        <v>2358</v>
      </c>
      <c r="B2354">
        <v>0.99193492352474899</v>
      </c>
      <c r="C2354">
        <v>0.87237188327448401</v>
      </c>
      <c r="D2354">
        <v>0.79516241607798999</v>
      </c>
      <c r="E2354">
        <v>0.152993391097346</v>
      </c>
      <c r="F2354">
        <v>0.11043533563067801</v>
      </c>
      <c r="G2354">
        <v>5.7551391203861497E-2</v>
      </c>
      <c r="H2354">
        <v>3.36693811854036E-2</v>
      </c>
      <c r="I2354">
        <v>4.0553558207431999E-2</v>
      </c>
      <c r="J2354">
        <v>4.6510963005845701E-2</v>
      </c>
      <c r="K2354">
        <v>4.33209289186509E-2</v>
      </c>
      <c r="L2354">
        <v>1930.3724859408301</v>
      </c>
      <c r="M2354">
        <v>40.799493253127103</v>
      </c>
      <c r="N2354">
        <v>47.437518350308203</v>
      </c>
      <c r="O2354">
        <v>47.200398444576003</v>
      </c>
      <c r="P2354">
        <v>-0.20517708873427601</v>
      </c>
      <c r="Q2354">
        <v>5.0535093656105999E-2</v>
      </c>
      <c r="R2354">
        <v>0.98822985277958997</v>
      </c>
      <c r="S2354" t="s">
        <v>9024</v>
      </c>
      <c r="T2354" t="s">
        <v>13338</v>
      </c>
      <c r="U2354" t="s">
        <v>13338</v>
      </c>
      <c r="V2354" t="s">
        <v>13338</v>
      </c>
      <c r="W2354" t="s">
        <v>15653</v>
      </c>
      <c r="X2354">
        <v>26</v>
      </c>
      <c r="Y2354" t="s">
        <v>22219</v>
      </c>
      <c r="Z2354" t="s">
        <v>28769</v>
      </c>
      <c r="AA2354">
        <v>0.28500206403562028</v>
      </c>
      <c r="AB2354" t="str">
        <f>HYPERLINK("Melting_Curves/meltCurve_P29350_PTPN6.pdf", "Melting_Curves/meltCurve_P29350_PTPN6.pdf")</f>
        <v>Melting_Curves/meltCurve_P29350_PTPN6.pdf</v>
      </c>
    </row>
    <row r="2355" spans="1:28" x14ac:dyDescent="0.25">
      <c r="A2355" t="s">
        <v>2359</v>
      </c>
      <c r="B2355">
        <v>0.99193492352474899</v>
      </c>
      <c r="C2355">
        <v>0.93042369151991799</v>
      </c>
      <c r="D2355">
        <v>0.87586571123892398</v>
      </c>
      <c r="E2355">
        <v>0.77342686842081698</v>
      </c>
      <c r="F2355">
        <v>0.46032486841793402</v>
      </c>
      <c r="G2355">
        <v>0.23135204007752699</v>
      </c>
      <c r="H2355">
        <v>0.12989782846446499</v>
      </c>
      <c r="I2355">
        <v>0.132999561479025</v>
      </c>
      <c r="J2355">
        <v>0.11456218035791201</v>
      </c>
      <c r="K2355">
        <v>0.13902166039771499</v>
      </c>
      <c r="L2355">
        <v>974.33297915111905</v>
      </c>
      <c r="M2355">
        <v>18.757395558409399</v>
      </c>
      <c r="N2355">
        <v>52.585833186795803</v>
      </c>
      <c r="O2355">
        <v>51.364331619727501</v>
      </c>
      <c r="P2355">
        <v>-8.1957830151089595E-2</v>
      </c>
      <c r="Q2355">
        <v>0.10232016477287301</v>
      </c>
      <c r="R2355">
        <v>0.99301912627352096</v>
      </c>
      <c r="S2355" t="s">
        <v>9025</v>
      </c>
      <c r="T2355" t="s">
        <v>13338</v>
      </c>
      <c r="U2355" t="s">
        <v>13338</v>
      </c>
      <c r="V2355" t="s">
        <v>13338</v>
      </c>
      <c r="W2355" t="s">
        <v>15654</v>
      </c>
      <c r="X2355">
        <v>12</v>
      </c>
      <c r="Y2355" t="s">
        <v>22220</v>
      </c>
      <c r="Z2355" t="s">
        <v>28770</v>
      </c>
      <c r="AA2355">
        <v>0.47363588325661982</v>
      </c>
      <c r="AB2355" t="str">
        <f>HYPERLINK("Melting_Curves/meltCurve_P29353_7_SHC1.pdf", "Melting_Curves/meltCurve_P29353_7_SHC1.pdf")</f>
        <v>Melting_Curves/meltCurve_P29353_7_SHC1.pdf</v>
      </c>
    </row>
    <row r="2356" spans="1:28" x14ac:dyDescent="0.25">
      <c r="A2356" t="s">
        <v>2360</v>
      </c>
      <c r="B2356">
        <v>0.99193492352474899</v>
      </c>
      <c r="C2356">
        <v>0.39659391147284501</v>
      </c>
      <c r="D2356">
        <v>0.90335546068740502</v>
      </c>
      <c r="E2356">
        <v>0.47998992012962</v>
      </c>
      <c r="F2356">
        <v>0.22782782111618699</v>
      </c>
      <c r="G2356">
        <v>6.4825976747035996E-2</v>
      </c>
      <c r="H2356">
        <v>3.5277307976116598E-2</v>
      </c>
      <c r="I2356">
        <v>4.1060913003868299E-2</v>
      </c>
      <c r="J2356">
        <v>4.7052082429944297E-2</v>
      </c>
      <c r="K2356">
        <v>6.00687313775944E-2</v>
      </c>
      <c r="L2356">
        <v>520.70954138714706</v>
      </c>
      <c r="M2356">
        <v>10.8277531627011</v>
      </c>
      <c r="N2356">
        <v>48.090267469792899</v>
      </c>
      <c r="O2356">
        <v>46.5371098263441</v>
      </c>
      <c r="P2356">
        <v>-5.8188159682661701E-2</v>
      </c>
      <c r="Q2356">
        <v>0</v>
      </c>
      <c r="R2356">
        <v>0.78289682802683802</v>
      </c>
      <c r="S2356" t="s">
        <v>9026</v>
      </c>
      <c r="T2356" t="s">
        <v>13338</v>
      </c>
      <c r="U2356" t="s">
        <v>13338</v>
      </c>
      <c r="V2356" t="s">
        <v>13338</v>
      </c>
      <c r="W2356" t="s">
        <v>15655</v>
      </c>
      <c r="X2356">
        <v>5</v>
      </c>
      <c r="Y2356" t="s">
        <v>22221</v>
      </c>
      <c r="Z2356" t="s">
        <v>28771</v>
      </c>
      <c r="AA2356">
        <v>0.31600578915377242</v>
      </c>
      <c r="AB2356" t="str">
        <f>HYPERLINK("Melting_Curves/meltCurve_P29372_5_MPG.pdf", "Melting_Curves/meltCurve_P29372_5_MPG.pdf")</f>
        <v>Melting_Curves/meltCurve_P29372_5_MPG.pdf</v>
      </c>
    </row>
    <row r="2357" spans="1:28" x14ac:dyDescent="0.25">
      <c r="A2357" t="s">
        <v>2361</v>
      </c>
      <c r="B2357">
        <v>0.99193492352474899</v>
      </c>
      <c r="C2357">
        <v>1.00797054007125</v>
      </c>
      <c r="D2357">
        <v>0.91559424402412004</v>
      </c>
      <c r="E2357">
        <v>0.824783156252761</v>
      </c>
      <c r="F2357">
        <v>0.73743068402821299</v>
      </c>
      <c r="G2357">
        <v>0.59131538384113402</v>
      </c>
      <c r="H2357">
        <v>0.45323909132936202</v>
      </c>
      <c r="I2357">
        <v>0.46446042407683602</v>
      </c>
      <c r="J2357">
        <v>0.41737767247839502</v>
      </c>
      <c r="K2357">
        <v>0.187132317235572</v>
      </c>
      <c r="L2357">
        <v>446.32708797625997</v>
      </c>
      <c r="M2357">
        <v>7.3585262641769198</v>
      </c>
      <c r="N2357">
        <v>60.654412559079397</v>
      </c>
      <c r="O2357">
        <v>56.6574196973624</v>
      </c>
      <c r="P2357">
        <v>-3.2519468765121198E-2</v>
      </c>
      <c r="Q2357">
        <v>0</v>
      </c>
      <c r="R2357">
        <v>0.96509625905206398</v>
      </c>
      <c r="S2357" t="s">
        <v>9027</v>
      </c>
      <c r="T2357" t="s">
        <v>13338</v>
      </c>
      <c r="U2357" t="s">
        <v>13338</v>
      </c>
      <c r="V2357" t="s">
        <v>13338</v>
      </c>
      <c r="W2357" t="s">
        <v>15656</v>
      </c>
      <c r="X2357">
        <v>42</v>
      </c>
      <c r="Y2357" t="s">
        <v>22222</v>
      </c>
      <c r="Z2357" t="s">
        <v>28772</v>
      </c>
      <c r="AA2357">
        <v>0.66102233494937157</v>
      </c>
      <c r="AB2357" t="str">
        <f>HYPERLINK("Melting_Curves/meltCurve_P29401_TKT.pdf", "Melting_Curves/meltCurve_P29401_TKT.pdf")</f>
        <v>Melting_Curves/meltCurve_P29401_TKT.pdf</v>
      </c>
    </row>
    <row r="2358" spans="1:28" x14ac:dyDescent="0.25">
      <c r="A2358" t="s">
        <v>2362</v>
      </c>
      <c r="B2358">
        <v>0.99193492352474899</v>
      </c>
      <c r="C2358">
        <v>0.83936260278206498</v>
      </c>
      <c r="D2358">
        <v>0.85078754130899503</v>
      </c>
      <c r="E2358">
        <v>0.49981161872280699</v>
      </c>
      <c r="F2358">
        <v>0.28534970698144801</v>
      </c>
      <c r="G2358">
        <v>0.150803671555861</v>
      </c>
      <c r="H2358">
        <v>0.10713069113324999</v>
      </c>
      <c r="I2358">
        <v>0.122617540678221</v>
      </c>
      <c r="J2358">
        <v>0.14175987045629801</v>
      </c>
      <c r="K2358">
        <v>0.20290447359798899</v>
      </c>
      <c r="L2358">
        <v>956.24072290537595</v>
      </c>
      <c r="M2358">
        <v>19.564722080492</v>
      </c>
      <c r="N2358">
        <v>49.640259448862203</v>
      </c>
      <c r="O2358">
        <v>48.373742004610698</v>
      </c>
      <c r="P2358">
        <v>-8.7963150811953897E-2</v>
      </c>
      <c r="Q2358">
        <v>0.13007602724274001</v>
      </c>
      <c r="R2358">
        <v>0.97996598473617302</v>
      </c>
      <c r="S2358" t="s">
        <v>9028</v>
      </c>
      <c r="T2358" t="s">
        <v>13338</v>
      </c>
      <c r="U2358" t="s">
        <v>13338</v>
      </c>
      <c r="V2358" t="s">
        <v>13338</v>
      </c>
      <c r="W2358" t="s">
        <v>15657</v>
      </c>
      <c r="X2358">
        <v>18</v>
      </c>
      <c r="Y2358" t="s">
        <v>22223</v>
      </c>
      <c r="Z2358" t="s">
        <v>28773</v>
      </c>
      <c r="AA2358">
        <v>0.40021149702692582</v>
      </c>
      <c r="AB2358" t="str">
        <f>HYPERLINK("Melting_Curves/meltCurve_P29590_PML.pdf", "Melting_Curves/meltCurve_P29590_PML.pdf")</f>
        <v>Melting_Curves/meltCurve_P29590_PML.pdf</v>
      </c>
    </row>
    <row r="2359" spans="1:28" x14ac:dyDescent="0.25">
      <c r="A2359" t="s">
        <v>2363</v>
      </c>
      <c r="B2359">
        <v>0.99193492352474899</v>
      </c>
      <c r="C2359">
        <v>0.90225424097260198</v>
      </c>
      <c r="D2359">
        <v>0.93529840520349805</v>
      </c>
      <c r="E2359">
        <v>0.77335046098551996</v>
      </c>
      <c r="F2359">
        <v>0.78683749986937102</v>
      </c>
      <c r="G2359">
        <v>0.54445867246675295</v>
      </c>
      <c r="H2359">
        <v>0.40927968970221801</v>
      </c>
      <c r="I2359">
        <v>0.385075544811398</v>
      </c>
      <c r="J2359">
        <v>0.49144090602016099</v>
      </c>
      <c r="K2359">
        <v>0.46535302112822002</v>
      </c>
      <c r="L2359">
        <v>712.52818127637704</v>
      </c>
      <c r="M2359">
        <v>13.509621388779401</v>
      </c>
      <c r="N2359">
        <v>59.8458701139811</v>
      </c>
      <c r="O2359">
        <v>51.626866702340799</v>
      </c>
      <c r="P2359">
        <v>-3.9296217328140502E-2</v>
      </c>
      <c r="Q2359">
        <v>0.39941112685728702</v>
      </c>
      <c r="R2359">
        <v>0.92952927701014099</v>
      </c>
      <c r="S2359" t="s">
        <v>9029</v>
      </c>
      <c r="T2359" t="s">
        <v>13338</v>
      </c>
      <c r="U2359" t="s">
        <v>13338</v>
      </c>
      <c r="V2359" t="s">
        <v>13338</v>
      </c>
      <c r="W2359" t="s">
        <v>15658</v>
      </c>
      <c r="X2359">
        <v>12</v>
      </c>
      <c r="Y2359" t="s">
        <v>22224</v>
      </c>
      <c r="Z2359" t="s">
        <v>28774</v>
      </c>
      <c r="AA2359">
        <v>0.66957594315767721</v>
      </c>
      <c r="AB2359" t="str">
        <f>HYPERLINK("Melting_Curves/meltCurve_P29965_CD40LG.pdf", "Melting_Curves/meltCurve_P29965_CD40LG.pdf")</f>
        <v>Melting_Curves/meltCurve_P29965_CD40LG.pdf</v>
      </c>
    </row>
    <row r="2360" spans="1:28" x14ac:dyDescent="0.25">
      <c r="A2360" t="s">
        <v>2364</v>
      </c>
      <c r="B2360">
        <v>0.99193492352474899</v>
      </c>
      <c r="C2360">
        <v>1.14496551736579</v>
      </c>
      <c r="D2360">
        <v>1.2484064563411099</v>
      </c>
      <c r="E2360">
        <v>0.58249059465296305</v>
      </c>
      <c r="F2360">
        <v>0.38059052822441902</v>
      </c>
      <c r="G2360">
        <v>0.13572531090466</v>
      </c>
      <c r="H2360">
        <v>8.9405524375086795E-2</v>
      </c>
      <c r="I2360">
        <v>2.9709775529906699E-2</v>
      </c>
      <c r="J2360">
        <v>0.143766639763934</v>
      </c>
      <c r="K2360">
        <v>0.23109199948154299</v>
      </c>
      <c r="L2360">
        <v>1669.70968596074</v>
      </c>
      <c r="M2360">
        <v>33.078786027940097</v>
      </c>
      <c r="N2360">
        <v>50.959050786238898</v>
      </c>
      <c r="O2360">
        <v>50.293349548022803</v>
      </c>
      <c r="P2360">
        <v>-0.142330376351091</v>
      </c>
      <c r="Q2360">
        <v>0.134401233454221</v>
      </c>
      <c r="R2360">
        <v>0.924260677415224</v>
      </c>
      <c r="S2360" t="s">
        <v>9030</v>
      </c>
      <c r="T2360" t="s">
        <v>13338</v>
      </c>
      <c r="U2360" t="s">
        <v>13338</v>
      </c>
      <c r="V2360" t="s">
        <v>13338</v>
      </c>
      <c r="W2360" t="s">
        <v>15659</v>
      </c>
      <c r="X2360">
        <v>7</v>
      </c>
      <c r="Y2360" t="s">
        <v>22225</v>
      </c>
      <c r="Z2360" t="s">
        <v>28775</v>
      </c>
      <c r="AA2360">
        <v>0.44112131874598498</v>
      </c>
      <c r="AB2360" t="str">
        <f>HYPERLINK("Melting_Curves/meltCurve_P29992_GNA11.pdf", "Melting_Curves/meltCurve_P29992_GNA11.pdf")</f>
        <v>Melting_Curves/meltCurve_P29992_GNA11.pdf</v>
      </c>
    </row>
    <row r="2361" spans="1:28" x14ac:dyDescent="0.25">
      <c r="A2361" t="s">
        <v>2365</v>
      </c>
      <c r="B2361">
        <v>0.99193492352474899</v>
      </c>
      <c r="C2361">
        <v>1.0362062776301599</v>
      </c>
      <c r="D2361">
        <v>0.84027477511252702</v>
      </c>
      <c r="E2361">
        <v>0.70768824175867495</v>
      </c>
      <c r="F2361">
        <v>0.15623368667079199</v>
      </c>
      <c r="G2361">
        <v>7.68674818332402E-2</v>
      </c>
      <c r="H2361">
        <v>5.2731330750227401E-2</v>
      </c>
      <c r="I2361">
        <v>6.1647011332794099E-2</v>
      </c>
      <c r="J2361">
        <v>6.8575873895333206E-2</v>
      </c>
      <c r="K2361">
        <v>0.101753843692831</v>
      </c>
      <c r="L2361">
        <v>1814.9876144611401</v>
      </c>
      <c r="M2361">
        <v>35.970818561980103</v>
      </c>
      <c r="N2361">
        <v>50.650603860482299</v>
      </c>
      <c r="O2361">
        <v>50.302039520599301</v>
      </c>
      <c r="P2361">
        <v>-0.16730496650520901</v>
      </c>
      <c r="Q2361">
        <v>6.4157631734616402E-2</v>
      </c>
      <c r="R2361">
        <v>0.98602356752683196</v>
      </c>
      <c r="S2361" t="s">
        <v>9031</v>
      </c>
      <c r="T2361" t="s">
        <v>13338</v>
      </c>
      <c r="U2361" t="s">
        <v>13338</v>
      </c>
      <c r="V2361" t="s">
        <v>13338</v>
      </c>
      <c r="W2361" t="s">
        <v>15660</v>
      </c>
      <c r="X2361">
        <v>11</v>
      </c>
      <c r="Y2361" t="s">
        <v>22226</v>
      </c>
      <c r="Z2361" t="s">
        <v>28776</v>
      </c>
      <c r="AA2361">
        <v>0.39441209819883211</v>
      </c>
      <c r="AB2361" t="str">
        <f>HYPERLINK("Melting_Curves/meltCurve_P30038_ALDH4A1.pdf", "Melting_Curves/meltCurve_P30038_ALDH4A1.pdf")</f>
        <v>Melting_Curves/meltCurve_P30038_ALDH4A1.pdf</v>
      </c>
    </row>
    <row r="2362" spans="1:28" x14ac:dyDescent="0.25">
      <c r="A2362" t="s">
        <v>2366</v>
      </c>
      <c r="B2362">
        <v>0.99193492352474899</v>
      </c>
      <c r="C2362">
        <v>0.93318498845696396</v>
      </c>
      <c r="D2362">
        <v>0.91840129734390397</v>
      </c>
      <c r="E2362">
        <v>0.855719476755046</v>
      </c>
      <c r="F2362">
        <v>0.47579956545148799</v>
      </c>
      <c r="G2362">
        <v>0.26033238033571898</v>
      </c>
      <c r="H2362">
        <v>0.168347578664435</v>
      </c>
      <c r="I2362">
        <v>0.165257714749424</v>
      </c>
      <c r="J2362">
        <v>0.178742851657789</v>
      </c>
      <c r="K2362">
        <v>0.181924076415766</v>
      </c>
      <c r="L2362">
        <v>1366.7986369923799</v>
      </c>
      <c r="M2362">
        <v>26.177861596775799</v>
      </c>
      <c r="N2362">
        <v>53.032185370566303</v>
      </c>
      <c r="O2362">
        <v>51.910174262847498</v>
      </c>
      <c r="P2362">
        <v>-0.105087357522523</v>
      </c>
      <c r="Q2362">
        <v>0.16646485417332599</v>
      </c>
      <c r="R2362">
        <v>0.99271181224417004</v>
      </c>
      <c r="S2362" t="s">
        <v>9032</v>
      </c>
      <c r="T2362" t="s">
        <v>13338</v>
      </c>
      <c r="U2362" t="s">
        <v>13338</v>
      </c>
      <c r="V2362" t="s">
        <v>13338</v>
      </c>
      <c r="W2362" t="s">
        <v>15661</v>
      </c>
      <c r="X2362">
        <v>14</v>
      </c>
      <c r="Y2362" t="s">
        <v>22227</v>
      </c>
      <c r="Z2362" t="s">
        <v>28777</v>
      </c>
      <c r="AA2362">
        <v>0.51274729469013025</v>
      </c>
      <c r="AB2362" t="str">
        <f>HYPERLINK("Melting_Curves/meltCurve_P30040_ERP29.pdf", "Melting_Curves/meltCurve_P30040_ERP29.pdf")</f>
        <v>Melting_Curves/meltCurve_P30040_ERP29.pdf</v>
      </c>
    </row>
    <row r="2363" spans="1:28" x14ac:dyDescent="0.25">
      <c r="A2363" t="s">
        <v>2367</v>
      </c>
      <c r="B2363">
        <v>0.99193492352474899</v>
      </c>
      <c r="C2363">
        <v>0.79937394777730797</v>
      </c>
      <c r="D2363">
        <v>0.95808141167479</v>
      </c>
      <c r="E2363">
        <v>0.69529246420673396</v>
      </c>
      <c r="F2363">
        <v>0.41802034622914502</v>
      </c>
      <c r="G2363">
        <v>0.16065924707714299</v>
      </c>
      <c r="H2363">
        <v>0.10474122500083299</v>
      </c>
      <c r="I2363">
        <v>9.5426583386550495E-2</v>
      </c>
      <c r="J2363">
        <v>0.111196506505927</v>
      </c>
      <c r="K2363">
        <v>0.11567923267911499</v>
      </c>
      <c r="L2363">
        <v>1021.30267376133</v>
      </c>
      <c r="M2363">
        <v>19.8852965795943</v>
      </c>
      <c r="N2363">
        <v>51.841783418380103</v>
      </c>
      <c r="O2363">
        <v>50.848741474251703</v>
      </c>
      <c r="P2363">
        <v>-8.9517209060067895E-2</v>
      </c>
      <c r="Q2363">
        <v>8.4411734599071794E-2</v>
      </c>
      <c r="R2363">
        <v>0.96969471866884804</v>
      </c>
      <c r="S2363" t="s">
        <v>9033</v>
      </c>
      <c r="T2363" t="s">
        <v>13338</v>
      </c>
      <c r="U2363" t="s">
        <v>13338</v>
      </c>
      <c r="V2363" t="s">
        <v>13338</v>
      </c>
      <c r="W2363" t="s">
        <v>15662</v>
      </c>
      <c r="X2363">
        <v>20</v>
      </c>
      <c r="Y2363" t="s">
        <v>22228</v>
      </c>
      <c r="Z2363" t="s">
        <v>28778</v>
      </c>
      <c r="AA2363">
        <v>0.44393826940029618</v>
      </c>
      <c r="AB2363" t="str">
        <f>HYPERLINK("Melting_Curves/meltCurve_P30041_PRDX6.pdf", "Melting_Curves/meltCurve_P30041_PRDX6.pdf")</f>
        <v>Melting_Curves/meltCurve_P30041_PRDX6.pdf</v>
      </c>
    </row>
    <row r="2364" spans="1:28" x14ac:dyDescent="0.25">
      <c r="A2364" t="s">
        <v>2368</v>
      </c>
      <c r="B2364">
        <v>0.99193492352474899</v>
      </c>
      <c r="C2364">
        <v>0.96918369221953804</v>
      </c>
      <c r="D2364">
        <v>0.88739829831324502</v>
      </c>
      <c r="E2364">
        <v>0.82161855826466401</v>
      </c>
      <c r="F2364">
        <v>0.69415564896584403</v>
      </c>
      <c r="G2364">
        <v>0.53483872667572396</v>
      </c>
      <c r="H2364">
        <v>0.42649294988043401</v>
      </c>
      <c r="I2364">
        <v>0.42663623881832202</v>
      </c>
      <c r="J2364">
        <v>0.34150393175629101</v>
      </c>
      <c r="K2364">
        <v>0.38511798428387101</v>
      </c>
      <c r="L2364">
        <v>650.63825071232395</v>
      </c>
      <c r="M2364">
        <v>12.1628594863834</v>
      </c>
      <c r="N2364">
        <v>58.448184075022098</v>
      </c>
      <c r="O2364">
        <v>52.1094181094129</v>
      </c>
      <c r="P2364">
        <v>-3.9591248097070202E-2</v>
      </c>
      <c r="Q2364">
        <v>0.32167103214718501</v>
      </c>
      <c r="R2364">
        <v>0.99220568298795697</v>
      </c>
      <c r="S2364" t="s">
        <v>9034</v>
      </c>
      <c r="T2364" t="s">
        <v>13338</v>
      </c>
      <c r="U2364" t="s">
        <v>13338</v>
      </c>
      <c r="V2364" t="s">
        <v>13338</v>
      </c>
      <c r="W2364" t="s">
        <v>15663</v>
      </c>
      <c r="X2364">
        <v>15</v>
      </c>
      <c r="Y2364" t="s">
        <v>22229</v>
      </c>
      <c r="Z2364" t="s">
        <v>28779</v>
      </c>
      <c r="AA2364">
        <v>0.64507038845473252</v>
      </c>
      <c r="AB2364" t="str">
        <f>HYPERLINK("Melting_Curves/meltCurve_P30042_C21orf33.pdf", "Melting_Curves/meltCurve_P30042_C21orf33.pdf")</f>
        <v>Melting_Curves/meltCurve_P30042_C21orf33.pdf</v>
      </c>
    </row>
    <row r="2365" spans="1:28" x14ac:dyDescent="0.25">
      <c r="A2365" t="s">
        <v>2369</v>
      </c>
      <c r="B2365">
        <v>0.99193492352474899</v>
      </c>
      <c r="C2365">
        <v>0.77449817095098294</v>
      </c>
      <c r="D2365">
        <v>0.76454169672002203</v>
      </c>
      <c r="E2365">
        <v>0.53306219564809998</v>
      </c>
      <c r="F2365">
        <v>0.21719715074364401</v>
      </c>
      <c r="G2365">
        <v>0.121667907367704</v>
      </c>
      <c r="H2365">
        <v>9.2644824993890096E-2</v>
      </c>
      <c r="I2365">
        <v>9.22607061526282E-2</v>
      </c>
      <c r="J2365">
        <v>0.13848020187073801</v>
      </c>
      <c r="K2365">
        <v>0.13234430733577501</v>
      </c>
      <c r="L2365">
        <v>755.13104473988096</v>
      </c>
      <c r="M2365">
        <v>15.5584197014064</v>
      </c>
      <c r="N2365">
        <v>49.105390182401401</v>
      </c>
      <c r="O2365">
        <v>47.754591416594899</v>
      </c>
      <c r="P2365">
        <v>-7.4725458685451898E-2</v>
      </c>
      <c r="Q2365">
        <v>8.2639122311572E-2</v>
      </c>
      <c r="R2365">
        <v>0.97165470142870702</v>
      </c>
      <c r="S2365" t="s">
        <v>9035</v>
      </c>
      <c r="T2365" t="s">
        <v>13338</v>
      </c>
      <c r="U2365" t="s">
        <v>13338</v>
      </c>
      <c r="V2365" t="s">
        <v>13338</v>
      </c>
      <c r="W2365" t="s">
        <v>15664</v>
      </c>
      <c r="X2365">
        <v>9</v>
      </c>
      <c r="Y2365" t="s">
        <v>22230</v>
      </c>
      <c r="Z2365" t="s">
        <v>28780</v>
      </c>
      <c r="AA2365">
        <v>0.36511124160978808</v>
      </c>
      <c r="AB2365" t="str">
        <f>HYPERLINK("Melting_Curves/meltCurve_P30043_BLVRB.pdf", "Melting_Curves/meltCurve_P30043_BLVRB.pdf")</f>
        <v>Melting_Curves/meltCurve_P30043_BLVRB.pdf</v>
      </c>
    </row>
    <row r="2366" spans="1:28" x14ac:dyDescent="0.25">
      <c r="A2366" t="s">
        <v>2370</v>
      </c>
      <c r="B2366">
        <v>0.99193492352474899</v>
      </c>
      <c r="C2366">
        <v>0.96404541488670803</v>
      </c>
      <c r="D2366">
        <v>0.94489147404513696</v>
      </c>
      <c r="E2366">
        <v>0.90257235481255504</v>
      </c>
      <c r="F2366">
        <v>0.71984264190814495</v>
      </c>
      <c r="G2366">
        <v>0.451497402947315</v>
      </c>
      <c r="H2366">
        <v>0.19702301736959199</v>
      </c>
      <c r="I2366">
        <v>0.14844831547686299</v>
      </c>
      <c r="J2366">
        <v>0.15745324508053701</v>
      </c>
      <c r="K2366">
        <v>0.17146988899029</v>
      </c>
      <c r="L2366">
        <v>1146.7515307112999</v>
      </c>
      <c r="M2366">
        <v>20.840545224924</v>
      </c>
      <c r="N2366">
        <v>55.822500865954702</v>
      </c>
      <c r="O2366">
        <v>54.525906522641002</v>
      </c>
      <c r="P2366">
        <v>-8.3253351387945193E-2</v>
      </c>
      <c r="Q2366">
        <v>0.12874849181008699</v>
      </c>
      <c r="R2366">
        <v>0.99454740095707805</v>
      </c>
      <c r="S2366" t="s">
        <v>9036</v>
      </c>
      <c r="T2366" t="s">
        <v>13338</v>
      </c>
      <c r="U2366" t="s">
        <v>13338</v>
      </c>
      <c r="V2366" t="s">
        <v>13338</v>
      </c>
      <c r="W2366" t="s">
        <v>15665</v>
      </c>
      <c r="X2366">
        <v>11</v>
      </c>
      <c r="Y2366" t="s">
        <v>22231</v>
      </c>
      <c r="Z2366" t="s">
        <v>28781</v>
      </c>
      <c r="AA2366">
        <v>0.57599020394750089</v>
      </c>
      <c r="AB2366" t="str">
        <f>HYPERLINK("Melting_Curves/meltCurve_P30044_2_PRDX5.pdf", "Melting_Curves/meltCurve_P30044_2_PRDX5.pdf")</f>
        <v>Melting_Curves/meltCurve_P30044_2_PRDX5.pdf</v>
      </c>
    </row>
    <row r="2367" spans="1:28" x14ac:dyDescent="0.25">
      <c r="A2367" t="s">
        <v>2371</v>
      </c>
      <c r="B2367">
        <v>0.99193492352474899</v>
      </c>
      <c r="C2367">
        <v>1.0092481762900201</v>
      </c>
      <c r="D2367">
        <v>0.918988651518032</v>
      </c>
      <c r="E2367">
        <v>0.82044364036367201</v>
      </c>
      <c r="F2367">
        <v>0.78024880827536403</v>
      </c>
      <c r="G2367">
        <v>0.48555996488514802</v>
      </c>
      <c r="H2367">
        <v>0.42137710718857502</v>
      </c>
      <c r="I2367">
        <v>0.471270077989282</v>
      </c>
      <c r="J2367">
        <v>0.54108619248032497</v>
      </c>
      <c r="K2367">
        <v>0.78437373850043102</v>
      </c>
      <c r="L2367">
        <v>1179.6411660006199</v>
      </c>
      <c r="M2367">
        <v>23.063208171677001</v>
      </c>
      <c r="O2367">
        <v>50.7682960652849</v>
      </c>
      <c r="P2367">
        <v>-5.1868790299817398E-2</v>
      </c>
      <c r="Q2367">
        <v>0.54330006555894295</v>
      </c>
      <c r="R2367">
        <v>0.76691004389622797</v>
      </c>
      <c r="S2367" t="s">
        <v>9037</v>
      </c>
      <c r="T2367" t="s">
        <v>13338</v>
      </c>
      <c r="U2367" t="s">
        <v>13338</v>
      </c>
      <c r="V2367" t="s">
        <v>13338</v>
      </c>
      <c r="W2367" t="s">
        <v>15666</v>
      </c>
      <c r="X2367">
        <v>11</v>
      </c>
      <c r="Y2367" t="s">
        <v>22232</v>
      </c>
      <c r="Z2367" t="s">
        <v>28782</v>
      </c>
      <c r="AA2367">
        <v>0.71784767980384967</v>
      </c>
      <c r="AB2367" t="str">
        <f>HYPERLINK("Melting_Curves/meltCurve_P30046_DDT.pdf", "Melting_Curves/meltCurve_P30046_DDT.pdf")</f>
        <v>Melting_Curves/meltCurve_P30046_DDT.pdf</v>
      </c>
    </row>
    <row r="2368" spans="1:28" x14ac:dyDescent="0.25">
      <c r="A2368" t="s">
        <v>2372</v>
      </c>
      <c r="B2368">
        <v>0.99193492352474899</v>
      </c>
      <c r="C2368">
        <v>1.1574464943051399</v>
      </c>
      <c r="D2368">
        <v>0.88980642312717195</v>
      </c>
      <c r="E2368">
        <v>0.79892542777536701</v>
      </c>
      <c r="F2368">
        <v>0.59919721546341898</v>
      </c>
      <c r="G2368">
        <v>0.52082942860256498</v>
      </c>
      <c r="H2368">
        <v>0.44332631253392901</v>
      </c>
      <c r="I2368">
        <v>0.45083758589105499</v>
      </c>
      <c r="J2368">
        <v>0.26897387780170101</v>
      </c>
      <c r="K2368">
        <v>0.20465600764989</v>
      </c>
      <c r="L2368">
        <v>609.26113721039098</v>
      </c>
      <c r="M2368">
        <v>11.135262637443301</v>
      </c>
      <c r="N2368">
        <v>57.537408183289003</v>
      </c>
      <c r="O2368">
        <v>53.038888963663801</v>
      </c>
      <c r="P2368">
        <v>-4.14535225518834E-2</v>
      </c>
      <c r="Q2368">
        <v>0.210457293522545</v>
      </c>
      <c r="R2368">
        <v>0.931123922325511</v>
      </c>
      <c r="S2368" t="s">
        <v>9038</v>
      </c>
      <c r="T2368" t="s">
        <v>13338</v>
      </c>
      <c r="U2368" t="s">
        <v>13338</v>
      </c>
      <c r="V2368" t="s">
        <v>13338</v>
      </c>
      <c r="W2368" t="s">
        <v>15667</v>
      </c>
      <c r="X2368">
        <v>6</v>
      </c>
      <c r="Y2368" t="s">
        <v>22233</v>
      </c>
      <c r="Z2368" t="s">
        <v>28783</v>
      </c>
      <c r="AA2368">
        <v>0.61789608292471854</v>
      </c>
      <c r="AB2368" t="str">
        <f>HYPERLINK("Melting_Curves/meltCurve_P30049_ATP5D.pdf", "Melting_Curves/meltCurve_P30049_ATP5D.pdf")</f>
        <v>Melting_Curves/meltCurve_P30049_ATP5D.pdf</v>
      </c>
    </row>
    <row r="2369" spans="1:28" x14ac:dyDescent="0.25">
      <c r="A2369" t="s">
        <v>2373</v>
      </c>
      <c r="B2369">
        <v>0.99193492352474899</v>
      </c>
      <c r="C2369">
        <v>0.44837676413136202</v>
      </c>
      <c r="D2369">
        <v>0.50103922504770004</v>
      </c>
      <c r="E2369">
        <v>0.42719284059109902</v>
      </c>
      <c r="F2369">
        <v>0.36530082099321898</v>
      </c>
      <c r="G2369">
        <v>0.312459723236992</v>
      </c>
      <c r="H2369">
        <v>0.25463762472579898</v>
      </c>
      <c r="I2369">
        <v>7.9088969920111801E-2</v>
      </c>
      <c r="J2369">
        <v>0.104261035629941</v>
      </c>
      <c r="K2369">
        <v>8.4830928509452494E-2</v>
      </c>
      <c r="L2369">
        <v>316.92829579542001</v>
      </c>
      <c r="M2369">
        <v>6.7139966438349497</v>
      </c>
      <c r="N2369">
        <v>47.264786192786502</v>
      </c>
      <c r="O2369">
        <v>43.545541124935802</v>
      </c>
      <c r="P2369">
        <v>-3.8463326324521499E-2</v>
      </c>
      <c r="Q2369">
        <v>4.29037497952696E-3</v>
      </c>
      <c r="R2369">
        <v>0.82862623991866402</v>
      </c>
      <c r="S2369" t="s">
        <v>9039</v>
      </c>
      <c r="T2369" t="s">
        <v>13338</v>
      </c>
      <c r="U2369" t="s">
        <v>13338</v>
      </c>
      <c r="V2369" t="s">
        <v>13338</v>
      </c>
      <c r="W2369" t="s">
        <v>15668</v>
      </c>
      <c r="X2369">
        <v>11</v>
      </c>
      <c r="Y2369" t="s">
        <v>22234</v>
      </c>
      <c r="Z2369" t="s">
        <v>28784</v>
      </c>
      <c r="AA2369">
        <v>0.33961864114759172</v>
      </c>
      <c r="AB2369" t="str">
        <f>HYPERLINK("Melting_Curves/meltCurve_P30050_RPL12.pdf", "Melting_Curves/meltCurve_P30050_RPL12.pdf")</f>
        <v>Melting_Curves/meltCurve_P30050_RPL12.pdf</v>
      </c>
    </row>
    <row r="2370" spans="1:28" x14ac:dyDescent="0.25">
      <c r="A2370" t="s">
        <v>2374</v>
      </c>
      <c r="B2370">
        <v>0.99193492352474899</v>
      </c>
      <c r="C2370">
        <v>0.83916308159703201</v>
      </c>
      <c r="D2370">
        <v>0.88718439638971902</v>
      </c>
      <c r="E2370">
        <v>0.75687085211571303</v>
      </c>
      <c r="F2370">
        <v>0.27737943967490403</v>
      </c>
      <c r="G2370">
        <v>0.10211530937520399</v>
      </c>
      <c r="H2370">
        <v>6.3780656679268202E-2</v>
      </c>
      <c r="I2370">
        <v>7.21788107419747E-2</v>
      </c>
      <c r="J2370">
        <v>9.4745783914028603E-2</v>
      </c>
      <c r="K2370">
        <v>8.9448468021033706E-2</v>
      </c>
      <c r="L2370">
        <v>1466.2874315625099</v>
      </c>
      <c r="M2370">
        <v>28.7174022630854</v>
      </c>
      <c r="N2370">
        <v>51.334060842938101</v>
      </c>
      <c r="O2370">
        <v>50.813525154758999</v>
      </c>
      <c r="P2370">
        <v>-0.13122047049963001</v>
      </c>
      <c r="Q2370">
        <v>7.1263768272355796E-2</v>
      </c>
      <c r="R2370">
        <v>0.97655045649232397</v>
      </c>
      <c r="S2370" t="s">
        <v>9040</v>
      </c>
      <c r="T2370" t="s">
        <v>13338</v>
      </c>
      <c r="U2370" t="s">
        <v>13338</v>
      </c>
      <c r="V2370" t="s">
        <v>13338</v>
      </c>
      <c r="W2370" t="s">
        <v>15669</v>
      </c>
      <c r="X2370">
        <v>18</v>
      </c>
      <c r="Y2370" t="s">
        <v>22235</v>
      </c>
      <c r="Z2370" t="s">
        <v>28785</v>
      </c>
      <c r="AA2370">
        <v>0.4200114424939928</v>
      </c>
      <c r="AB2370" t="str">
        <f>HYPERLINK("Melting_Curves/meltCurve_P30084_ECHS1.pdf", "Melting_Curves/meltCurve_P30084_ECHS1.pdf")</f>
        <v>Melting_Curves/meltCurve_P30084_ECHS1.pdf</v>
      </c>
    </row>
    <row r="2371" spans="1:28" x14ac:dyDescent="0.25">
      <c r="A2371" t="s">
        <v>2375</v>
      </c>
      <c r="B2371">
        <v>0.99193492352474899</v>
      </c>
      <c r="C2371">
        <v>0.97749243387177498</v>
      </c>
      <c r="D2371">
        <v>0.89992690527298003</v>
      </c>
      <c r="E2371">
        <v>0.826643245702533</v>
      </c>
      <c r="F2371">
        <v>0.33923670249654497</v>
      </c>
      <c r="G2371">
        <v>0.12801783286096</v>
      </c>
      <c r="H2371">
        <v>7.5341937147332894E-2</v>
      </c>
      <c r="I2371">
        <v>8.4344151782471399E-2</v>
      </c>
      <c r="J2371">
        <v>9.2335870263113198E-2</v>
      </c>
      <c r="K2371">
        <v>0.10941428482938401</v>
      </c>
      <c r="L2371">
        <v>1659.3043674492601</v>
      </c>
      <c r="M2371">
        <v>32.1241813453261</v>
      </c>
      <c r="N2371">
        <v>51.959327915103003</v>
      </c>
      <c r="O2371">
        <v>51.4538861991809</v>
      </c>
      <c r="P2371">
        <v>-0.14261078966683999</v>
      </c>
      <c r="Q2371">
        <v>8.6315341370182305E-2</v>
      </c>
      <c r="R2371">
        <v>0.994429536877241</v>
      </c>
      <c r="S2371" t="s">
        <v>9041</v>
      </c>
      <c r="T2371" t="s">
        <v>13338</v>
      </c>
      <c r="U2371" t="s">
        <v>13338</v>
      </c>
      <c r="V2371" t="s">
        <v>13338</v>
      </c>
      <c r="W2371" t="s">
        <v>15670</v>
      </c>
      <c r="X2371">
        <v>16</v>
      </c>
      <c r="Y2371" t="s">
        <v>22236</v>
      </c>
      <c r="Z2371" t="s">
        <v>28786</v>
      </c>
      <c r="AA2371">
        <v>0.4462803689486029</v>
      </c>
      <c r="AB2371" t="str">
        <f>HYPERLINK("Melting_Curves/meltCurve_P30085_CMPK1.pdf", "Melting_Curves/meltCurve_P30085_CMPK1.pdf")</f>
        <v>Melting_Curves/meltCurve_P30085_CMPK1.pdf</v>
      </c>
    </row>
    <row r="2372" spans="1:28" x14ac:dyDescent="0.25">
      <c r="A2372" t="s">
        <v>2376</v>
      </c>
      <c r="B2372">
        <v>0.99193492352474899</v>
      </c>
      <c r="C2372">
        <v>1.020448682064</v>
      </c>
      <c r="D2372">
        <v>0.89577093185138601</v>
      </c>
      <c r="E2372">
        <v>0.93821735407121698</v>
      </c>
      <c r="F2372">
        <v>0.70298683318154598</v>
      </c>
      <c r="G2372">
        <v>0.533248946046191</v>
      </c>
      <c r="H2372">
        <v>0.34536105500029102</v>
      </c>
      <c r="I2372">
        <v>0.17652409911463501</v>
      </c>
      <c r="J2372">
        <v>0.16915863076873</v>
      </c>
      <c r="K2372">
        <v>0.16782288442801199</v>
      </c>
      <c r="L2372">
        <v>834.05576065488799</v>
      </c>
      <c r="M2372">
        <v>14.816897653461</v>
      </c>
      <c r="N2372">
        <v>57.109629628056403</v>
      </c>
      <c r="O2372">
        <v>55.295312984829302</v>
      </c>
      <c r="P2372">
        <v>-6.0585871848331502E-2</v>
      </c>
      <c r="Q2372">
        <v>9.5691731738615796E-2</v>
      </c>
      <c r="R2372">
        <v>0.98889627201556196</v>
      </c>
      <c r="S2372" t="s">
        <v>9042</v>
      </c>
      <c r="T2372" t="s">
        <v>13338</v>
      </c>
      <c r="U2372" t="s">
        <v>13338</v>
      </c>
      <c r="V2372" t="s">
        <v>13338</v>
      </c>
      <c r="W2372" t="s">
        <v>15671</v>
      </c>
      <c r="X2372">
        <v>16</v>
      </c>
      <c r="Y2372" t="s">
        <v>22237</v>
      </c>
      <c r="Z2372" t="s">
        <v>28787</v>
      </c>
      <c r="AA2372">
        <v>0.60248091317049512</v>
      </c>
      <c r="AB2372" t="str">
        <f>HYPERLINK("Melting_Curves/meltCurve_P30086_PEBP1.pdf", "Melting_Curves/meltCurve_P30086_PEBP1.pdf")</f>
        <v>Melting_Curves/meltCurve_P30086_PEBP1.pdf</v>
      </c>
    </row>
    <row r="2373" spans="1:28" x14ac:dyDescent="0.25">
      <c r="A2373" t="s">
        <v>2377</v>
      </c>
      <c r="B2373">
        <v>0.99193492352474899</v>
      </c>
      <c r="C2373">
        <v>0.90116000798666196</v>
      </c>
      <c r="D2373">
        <v>0.924340327330889</v>
      </c>
      <c r="E2373">
        <v>0.76975167492987795</v>
      </c>
      <c r="F2373">
        <v>0.360367872284444</v>
      </c>
      <c r="G2373">
        <v>0.127671050837528</v>
      </c>
      <c r="H2373">
        <v>7.0438704920844503E-2</v>
      </c>
      <c r="I2373">
        <v>8.2541838542751003E-2</v>
      </c>
      <c r="J2373">
        <v>8.6203297966017903E-2</v>
      </c>
      <c r="K2373">
        <v>8.1842093580753894E-2</v>
      </c>
      <c r="L2373">
        <v>1335.8392587299199</v>
      </c>
      <c r="M2373">
        <v>25.912822680413601</v>
      </c>
      <c r="N2373">
        <v>51.853072939578503</v>
      </c>
      <c r="O2373">
        <v>51.2472222464216</v>
      </c>
      <c r="P2373">
        <v>-0.117563269033875</v>
      </c>
      <c r="Q2373">
        <v>7.0001950753828104E-2</v>
      </c>
      <c r="R2373">
        <v>0.99221743589544098</v>
      </c>
      <c r="S2373" t="s">
        <v>9043</v>
      </c>
      <c r="T2373" t="s">
        <v>13338</v>
      </c>
      <c r="U2373" t="s">
        <v>13338</v>
      </c>
      <c r="V2373" t="s">
        <v>13338</v>
      </c>
      <c r="W2373" t="s">
        <v>15672</v>
      </c>
      <c r="X2373">
        <v>33</v>
      </c>
      <c r="Y2373" t="s">
        <v>22238</v>
      </c>
      <c r="Z2373" t="s">
        <v>28788</v>
      </c>
      <c r="AA2373">
        <v>0.43597141413668672</v>
      </c>
      <c r="AB2373" t="str">
        <f>HYPERLINK("Melting_Curves/meltCurve_P30153_PPP2R1A.pdf", "Melting_Curves/meltCurve_P30153_PPP2R1A.pdf")</f>
        <v>Melting_Curves/meltCurve_P30153_PPP2R1A.pdf</v>
      </c>
    </row>
    <row r="2374" spans="1:28" x14ac:dyDescent="0.25">
      <c r="A2374" t="s">
        <v>2378</v>
      </c>
      <c r="B2374">
        <v>0.99193492352474899</v>
      </c>
      <c r="C2374">
        <v>0.69023944209098298</v>
      </c>
      <c r="D2374">
        <v>0.53473104778412395</v>
      </c>
      <c r="E2374">
        <v>0.190041251427536</v>
      </c>
      <c r="F2374">
        <v>0.14218068896090799</v>
      </c>
      <c r="G2374">
        <v>7.8401242370559496E-2</v>
      </c>
      <c r="H2374">
        <v>4.8446100292585802E-2</v>
      </c>
      <c r="I2374">
        <v>6.5367391403735597E-2</v>
      </c>
      <c r="J2374">
        <v>5.9897577534714301E-2</v>
      </c>
      <c r="K2374">
        <v>5.0352671986350198E-2</v>
      </c>
      <c r="L2374">
        <v>813.50673714103596</v>
      </c>
      <c r="M2374">
        <v>17.8734555844105</v>
      </c>
      <c r="N2374">
        <v>45.797949055921002</v>
      </c>
      <c r="O2374">
        <v>44.956502764722799</v>
      </c>
      <c r="P2374">
        <v>-9.4198628587844793E-2</v>
      </c>
      <c r="Q2374">
        <v>5.2309184140890599E-2</v>
      </c>
      <c r="R2374">
        <v>0.98547301385800601</v>
      </c>
      <c r="S2374" t="s">
        <v>9044</v>
      </c>
      <c r="T2374" t="s">
        <v>13338</v>
      </c>
      <c r="U2374" t="s">
        <v>13338</v>
      </c>
      <c r="V2374" t="s">
        <v>13338</v>
      </c>
      <c r="W2374" t="s">
        <v>15673</v>
      </c>
      <c r="X2374">
        <v>23</v>
      </c>
      <c r="Y2374" t="s">
        <v>22239</v>
      </c>
      <c r="Z2374" t="s">
        <v>28789</v>
      </c>
      <c r="AA2374">
        <v>0.2462171565069606</v>
      </c>
      <c r="AB2374" t="str">
        <f>HYPERLINK("Melting_Curves/meltCurve_P30154_PPP2R1B.pdf", "Melting_Curves/meltCurve_P30154_PPP2R1B.pdf")</f>
        <v>Melting_Curves/meltCurve_P30154_PPP2R1B.pdf</v>
      </c>
    </row>
    <row r="2375" spans="1:28" x14ac:dyDescent="0.25">
      <c r="A2375" t="s">
        <v>2379</v>
      </c>
      <c r="B2375">
        <v>0.99193492352474899</v>
      </c>
      <c r="C2375">
        <v>1.2809045976707301</v>
      </c>
      <c r="D2375">
        <v>0.91103285637017395</v>
      </c>
      <c r="E2375">
        <v>0.91603030233529903</v>
      </c>
      <c r="F2375">
        <v>0.69416006166906596</v>
      </c>
      <c r="G2375">
        <v>0.54303492062402603</v>
      </c>
      <c r="H2375">
        <v>0.41932899151465802</v>
      </c>
      <c r="I2375">
        <v>0.40228440892886003</v>
      </c>
      <c r="J2375">
        <v>0.54516077806354302</v>
      </c>
      <c r="K2375">
        <v>0.517166250152583</v>
      </c>
      <c r="L2375">
        <v>1484.7111179589899</v>
      </c>
      <c r="M2375">
        <v>28.258213286096399</v>
      </c>
      <c r="N2375">
        <v>58.439224153773203</v>
      </c>
      <c r="O2375">
        <v>52.279857569230103</v>
      </c>
      <c r="P2375">
        <v>-7.1465240142890005E-2</v>
      </c>
      <c r="Q2375">
        <v>0.47113971308376901</v>
      </c>
      <c r="R2375">
        <v>0.86467520638865503</v>
      </c>
      <c r="S2375" t="s">
        <v>9045</v>
      </c>
      <c r="T2375" t="s">
        <v>13338</v>
      </c>
      <c r="U2375" t="s">
        <v>13338</v>
      </c>
      <c r="V2375" t="s">
        <v>13338</v>
      </c>
      <c r="W2375" t="s">
        <v>15674</v>
      </c>
      <c r="X2375">
        <v>4</v>
      </c>
      <c r="Y2375" t="s">
        <v>22240</v>
      </c>
      <c r="Z2375" t="s">
        <v>28790</v>
      </c>
      <c r="AA2375">
        <v>0.69604986382709044</v>
      </c>
      <c r="AB2375" t="str">
        <f>HYPERLINK("Melting_Curves/meltCurve_P30203_5_CD6.pdf", "Melting_Curves/meltCurve_P30203_5_CD6.pdf")</f>
        <v>Melting_Curves/meltCurve_P30203_5_CD6.pdf</v>
      </c>
    </row>
    <row r="2376" spans="1:28" x14ac:dyDescent="0.25">
      <c r="A2376" t="s">
        <v>2380</v>
      </c>
      <c r="B2376">
        <v>0.99193492352474899</v>
      </c>
      <c r="C2376">
        <v>0.64589527953932202</v>
      </c>
      <c r="D2376">
        <v>0.96478778670364695</v>
      </c>
      <c r="E2376">
        <v>0.51227933373512602</v>
      </c>
      <c r="F2376">
        <v>0.52266934435579704</v>
      </c>
      <c r="G2376">
        <v>0.135065064738874</v>
      </c>
      <c r="H2376">
        <v>7.3623956568714496E-2</v>
      </c>
      <c r="I2376">
        <v>8.7318983311167095E-2</v>
      </c>
      <c r="J2376">
        <v>0.106543840668455</v>
      </c>
      <c r="K2376">
        <v>4.8763948374730297E-2</v>
      </c>
      <c r="L2376">
        <v>590.44211020693797</v>
      </c>
      <c r="M2376">
        <v>11.555174113986499</v>
      </c>
      <c r="N2376">
        <v>51.097638577992001</v>
      </c>
      <c r="O2376">
        <v>49.639168511841902</v>
      </c>
      <c r="P2376">
        <v>-5.8212091054837302E-2</v>
      </c>
      <c r="Q2376">
        <v>0</v>
      </c>
      <c r="R2376">
        <v>0.88728693519831303</v>
      </c>
      <c r="S2376" t="s">
        <v>9046</v>
      </c>
      <c r="T2376" t="s">
        <v>13338</v>
      </c>
      <c r="U2376" t="s">
        <v>13338</v>
      </c>
      <c r="V2376" t="s">
        <v>13338</v>
      </c>
      <c r="W2376" t="s">
        <v>15675</v>
      </c>
      <c r="X2376">
        <v>11</v>
      </c>
      <c r="Y2376" t="s">
        <v>20745</v>
      </c>
      <c r="Z2376" t="s">
        <v>28791</v>
      </c>
      <c r="AA2376">
        <v>0.40409882860936908</v>
      </c>
      <c r="AB2376" t="str">
        <f>HYPERLINK("Melting_Curves/meltCurve_P30260_CDC27.pdf", "Melting_Curves/meltCurve_P30260_CDC27.pdf")</f>
        <v>Melting_Curves/meltCurve_P30260_CDC27.pdf</v>
      </c>
    </row>
    <row r="2377" spans="1:28" x14ac:dyDescent="0.25">
      <c r="A2377" t="s">
        <v>2381</v>
      </c>
      <c r="B2377">
        <v>0.99193492352474899</v>
      </c>
      <c r="C2377">
        <v>0.82697512902589299</v>
      </c>
      <c r="D2377">
        <v>0.85609295793699702</v>
      </c>
      <c r="E2377">
        <v>0.57247226669533102</v>
      </c>
      <c r="F2377">
        <v>0.34065912460202002</v>
      </c>
      <c r="G2377">
        <v>0.18111521173053499</v>
      </c>
      <c r="H2377">
        <v>0.10150934800139599</v>
      </c>
      <c r="I2377">
        <v>0.12770244680805401</v>
      </c>
      <c r="J2377">
        <v>0.104712452737781</v>
      </c>
      <c r="K2377">
        <v>0.185718337233194</v>
      </c>
      <c r="L2377">
        <v>818.68565307695803</v>
      </c>
      <c r="M2377">
        <v>16.469996823681299</v>
      </c>
      <c r="N2377">
        <v>50.442364195015102</v>
      </c>
      <c r="O2377">
        <v>48.992228886908599</v>
      </c>
      <c r="P2377">
        <v>-7.5086966640924402E-2</v>
      </c>
      <c r="Q2377">
        <v>0.106637218200499</v>
      </c>
      <c r="R2377">
        <v>0.97930810611912</v>
      </c>
      <c r="S2377" t="s">
        <v>9047</v>
      </c>
      <c r="T2377" t="s">
        <v>13338</v>
      </c>
      <c r="U2377" t="s">
        <v>13338</v>
      </c>
      <c r="V2377" t="s">
        <v>13338</v>
      </c>
      <c r="W2377" t="s">
        <v>15676</v>
      </c>
      <c r="X2377">
        <v>4</v>
      </c>
      <c r="Y2377" t="s">
        <v>22241</v>
      </c>
      <c r="Z2377" t="s">
        <v>28792</v>
      </c>
      <c r="AA2377">
        <v>0.413829988375429</v>
      </c>
      <c r="AB2377" t="str">
        <f>HYPERLINK("Melting_Curves/meltCurve_P30281_CCND3.pdf", "Melting_Curves/meltCurve_P30281_CCND3.pdf")</f>
        <v>Melting_Curves/meltCurve_P30281_CCND3.pdf</v>
      </c>
    </row>
    <row r="2378" spans="1:28" x14ac:dyDescent="0.25">
      <c r="A2378" t="s">
        <v>2382</v>
      </c>
      <c r="B2378">
        <v>0.99193492352474899</v>
      </c>
      <c r="C2378">
        <v>0.870001492450164</v>
      </c>
      <c r="D2378">
        <v>0.67070153083166695</v>
      </c>
      <c r="E2378">
        <v>0.61238340957564397</v>
      </c>
      <c r="F2378">
        <v>0.45499013576401798</v>
      </c>
      <c r="G2378">
        <v>0.28991478406814702</v>
      </c>
      <c r="H2378">
        <v>0.162165551035345</v>
      </c>
      <c r="I2378">
        <v>0.15107432927999001</v>
      </c>
      <c r="J2378">
        <v>0.184144011171054</v>
      </c>
      <c r="K2378">
        <v>0.226531873910684</v>
      </c>
      <c r="L2378">
        <v>557.00034206424903</v>
      </c>
      <c r="M2378">
        <v>11.221599475624201</v>
      </c>
      <c r="N2378">
        <v>51.001398194255998</v>
      </c>
      <c r="O2378">
        <v>48.138436142797403</v>
      </c>
      <c r="P2378">
        <v>-5.0734353462042497E-2</v>
      </c>
      <c r="Q2378">
        <v>0.12971066919198801</v>
      </c>
      <c r="R2378">
        <v>0.97363348210338296</v>
      </c>
      <c r="S2378" t="s">
        <v>9048</v>
      </c>
      <c r="T2378" t="s">
        <v>13338</v>
      </c>
      <c r="U2378" t="s">
        <v>13338</v>
      </c>
      <c r="V2378" t="s">
        <v>13338</v>
      </c>
      <c r="W2378" t="s">
        <v>15677</v>
      </c>
      <c r="X2378">
        <v>6</v>
      </c>
      <c r="Y2378" t="s">
        <v>22242</v>
      </c>
      <c r="Z2378" t="s">
        <v>28793</v>
      </c>
      <c r="AA2378">
        <v>0.44345475259837719</v>
      </c>
      <c r="AB2378" t="str">
        <f>HYPERLINK("Melting_Curves/meltCurve_P30291_WEE1.pdf", "Melting_Curves/meltCurve_P30291_WEE1.pdf")</f>
        <v>Melting_Curves/meltCurve_P30291_WEE1.pdf</v>
      </c>
    </row>
    <row r="2379" spans="1:28" x14ac:dyDescent="0.25">
      <c r="A2379" t="s">
        <v>2383</v>
      </c>
      <c r="B2379">
        <v>0.99193492352474899</v>
      </c>
      <c r="C2379">
        <v>1.0233395039317099</v>
      </c>
      <c r="D2379">
        <v>0.92569108706570902</v>
      </c>
      <c r="E2379">
        <v>0.92250917257210197</v>
      </c>
      <c r="F2379">
        <v>0.29208448730592901</v>
      </c>
      <c r="G2379">
        <v>0.12831196826567101</v>
      </c>
      <c r="H2379">
        <v>8.0557389730879794E-2</v>
      </c>
      <c r="I2379">
        <v>9.7315764838105501E-2</v>
      </c>
      <c r="J2379">
        <v>0.103443052060375</v>
      </c>
      <c r="K2379">
        <v>0.120417071815185</v>
      </c>
      <c r="L2379">
        <v>2641.86322252951</v>
      </c>
      <c r="M2379">
        <v>50.965731344090102</v>
      </c>
      <c r="N2379">
        <v>52.073018476686201</v>
      </c>
      <c r="O2379">
        <v>51.7564512044937</v>
      </c>
      <c r="P2379">
        <v>-0.22070468107768801</v>
      </c>
      <c r="Q2379">
        <v>0.103485303434353</v>
      </c>
      <c r="R2379">
        <v>0.99582747950601402</v>
      </c>
      <c r="S2379" t="s">
        <v>9049</v>
      </c>
      <c r="T2379" t="s">
        <v>13338</v>
      </c>
      <c r="U2379" t="s">
        <v>13338</v>
      </c>
      <c r="V2379" t="s">
        <v>13338</v>
      </c>
      <c r="W2379" t="s">
        <v>15678</v>
      </c>
      <c r="X2379">
        <v>11</v>
      </c>
      <c r="Y2379" t="s">
        <v>22243</v>
      </c>
      <c r="Z2379" t="s">
        <v>28794</v>
      </c>
      <c r="AA2379">
        <v>0.45916475411187962</v>
      </c>
      <c r="AB2379" t="str">
        <f>HYPERLINK("Melting_Curves/meltCurve_P30405_PPIF.pdf", "Melting_Curves/meltCurve_P30405_PPIF.pdf")</f>
        <v>Melting_Curves/meltCurve_P30405_PPIF.pdf</v>
      </c>
    </row>
    <row r="2380" spans="1:28" x14ac:dyDescent="0.25">
      <c r="A2380" t="s">
        <v>2384</v>
      </c>
      <c r="B2380">
        <v>0.99193492352474899</v>
      </c>
      <c r="C2380">
        <v>0.757335735279137</v>
      </c>
      <c r="D2380">
        <v>0.83876266715387005</v>
      </c>
      <c r="E2380">
        <v>0.58777464364704901</v>
      </c>
      <c r="F2380">
        <v>0.18042544880577799</v>
      </c>
      <c r="G2380">
        <v>8.9756473589152799E-2</v>
      </c>
      <c r="H2380">
        <v>5.8257679567409702E-2</v>
      </c>
      <c r="I2380">
        <v>6.5713839918782296E-2</v>
      </c>
      <c r="J2380">
        <v>7.2092707601435796E-2</v>
      </c>
      <c r="K2380">
        <v>8.0300584144556195E-2</v>
      </c>
      <c r="L2380">
        <v>890.26619633150699</v>
      </c>
      <c r="M2380">
        <v>17.9981535335065</v>
      </c>
      <c r="N2380">
        <v>49.698667002536197</v>
      </c>
      <c r="O2380">
        <v>48.865777868595003</v>
      </c>
      <c r="P2380">
        <v>-8.8337600884691003E-2</v>
      </c>
      <c r="Q2380">
        <v>4.0685215076219403E-2</v>
      </c>
      <c r="R2380">
        <v>0.960676481997087</v>
      </c>
      <c r="S2380" t="s">
        <v>9050</v>
      </c>
      <c r="T2380" t="s">
        <v>13338</v>
      </c>
      <c r="U2380" t="s">
        <v>13338</v>
      </c>
      <c r="V2380" t="s">
        <v>13338</v>
      </c>
      <c r="W2380" t="s">
        <v>15679</v>
      </c>
      <c r="X2380">
        <v>19</v>
      </c>
      <c r="Y2380" t="s">
        <v>22244</v>
      </c>
      <c r="Z2380" t="s">
        <v>28795</v>
      </c>
      <c r="AA2380">
        <v>0.35981481619795291</v>
      </c>
      <c r="AB2380" t="str">
        <f>HYPERLINK("Melting_Curves/meltCurve_P30419_NMT1.pdf", "Melting_Curves/meltCurve_P30419_NMT1.pdf")</f>
        <v>Melting_Curves/meltCurve_P30419_NMT1.pdf</v>
      </c>
    </row>
    <row r="2381" spans="1:28" x14ac:dyDescent="0.25">
      <c r="A2381" t="s">
        <v>2385</v>
      </c>
      <c r="B2381">
        <v>0.99193492352474899</v>
      </c>
      <c r="C2381">
        <v>1.9255342661711199</v>
      </c>
      <c r="D2381">
        <v>1.3750603776502599</v>
      </c>
      <c r="E2381">
        <v>1.5880496659647001</v>
      </c>
      <c r="F2381">
        <v>1.03157201628472</v>
      </c>
      <c r="G2381">
        <v>1.0098739926984299</v>
      </c>
      <c r="H2381">
        <v>0.74673410553380704</v>
      </c>
      <c r="I2381">
        <v>0.83053670343410102</v>
      </c>
      <c r="J2381">
        <v>0.68298623101579203</v>
      </c>
      <c r="K2381">
        <v>0.65650077050156497</v>
      </c>
      <c r="L2381">
        <v>8088.2449675184098</v>
      </c>
      <c r="M2381">
        <v>135.39455120741701</v>
      </c>
      <c r="O2381">
        <v>59.725304108486498</v>
      </c>
      <c r="P2381">
        <v>-0.156850639657128</v>
      </c>
      <c r="Q2381">
        <v>0.72323991128564702</v>
      </c>
      <c r="R2381">
        <v>0.140931386815975</v>
      </c>
      <c r="S2381" t="s">
        <v>9051</v>
      </c>
      <c r="T2381" t="s">
        <v>13338</v>
      </c>
      <c r="U2381" t="s">
        <v>13338</v>
      </c>
      <c r="V2381" t="s">
        <v>13338</v>
      </c>
      <c r="W2381" t="s">
        <v>15680</v>
      </c>
      <c r="X2381">
        <v>20</v>
      </c>
      <c r="Y2381" t="s">
        <v>21749</v>
      </c>
      <c r="Z2381" t="s">
        <v>28796</v>
      </c>
      <c r="AA2381">
        <v>0.90543166147374665</v>
      </c>
      <c r="AB2381" t="str">
        <f>HYPERLINK("Melting_Curves/meltCurve_P30480_HLA_B.pdf", "Melting_Curves/meltCurve_P30480_HLA_B.pdf")</f>
        <v>Melting_Curves/meltCurve_P30480_HLA_B.pdf</v>
      </c>
    </row>
    <row r="2382" spans="1:28" x14ac:dyDescent="0.25">
      <c r="A2382" t="s">
        <v>2386</v>
      </c>
      <c r="B2382">
        <v>0.99193492352474899</v>
      </c>
      <c r="C2382">
        <v>4.94065625996791</v>
      </c>
      <c r="D2382">
        <v>1.54318171321013</v>
      </c>
      <c r="E2382">
        <v>3.0310355676945502</v>
      </c>
      <c r="F2382">
        <v>0.92009248391725995</v>
      </c>
      <c r="G2382">
        <v>2.3467778864594302</v>
      </c>
      <c r="H2382">
        <v>1.5543256001443899</v>
      </c>
      <c r="I2382">
        <v>1.88436804977908</v>
      </c>
      <c r="J2382">
        <v>0.59740723791684802</v>
      </c>
      <c r="K2382">
        <v>0.78138442232803895</v>
      </c>
      <c r="L2382">
        <v>4037.4771848315299</v>
      </c>
      <c r="M2382">
        <v>60.335771291688999</v>
      </c>
      <c r="O2382">
        <v>66.843439612333199</v>
      </c>
      <c r="P2382">
        <v>-6.9942962239860601E-2</v>
      </c>
      <c r="Q2382">
        <v>0.69005288419047395</v>
      </c>
      <c r="R2382">
        <v>-0.46311993037522098</v>
      </c>
      <c r="S2382" t="s">
        <v>9052</v>
      </c>
      <c r="T2382" t="s">
        <v>13338</v>
      </c>
      <c r="U2382" t="s">
        <v>13338</v>
      </c>
      <c r="V2382" t="s">
        <v>13338</v>
      </c>
      <c r="W2382" t="s">
        <v>15681</v>
      </c>
      <c r="X2382">
        <v>19</v>
      </c>
      <c r="Y2382" t="s">
        <v>21749</v>
      </c>
      <c r="Z2382" t="s">
        <v>28797</v>
      </c>
      <c r="AA2382">
        <v>0.96789151832522125</v>
      </c>
      <c r="AB2382" t="str">
        <f>HYPERLINK("Melting_Curves/meltCurve_P30493_HLA_B.pdf", "Melting_Curves/meltCurve_P30493_HLA_B.pdf")</f>
        <v>Melting_Curves/meltCurve_P30493_HLA_B.pdf</v>
      </c>
    </row>
    <row r="2383" spans="1:28" x14ac:dyDescent="0.25">
      <c r="A2383" t="s">
        <v>2387</v>
      </c>
      <c r="B2383">
        <v>0.99193492352474899</v>
      </c>
      <c r="C2383">
        <v>1.37796591718786</v>
      </c>
      <c r="D2383">
        <v>1.25946132718662</v>
      </c>
      <c r="E2383">
        <v>1.4234200642552099</v>
      </c>
      <c r="F2383">
        <v>1.0909041362749201</v>
      </c>
      <c r="G2383">
        <v>0.81939868272539196</v>
      </c>
      <c r="H2383">
        <v>0.66099250746176597</v>
      </c>
      <c r="I2383">
        <v>0.70216390390432804</v>
      </c>
      <c r="J2383">
        <v>0.86911328024004397</v>
      </c>
      <c r="K2383">
        <v>0.67186022116888799</v>
      </c>
      <c r="L2383">
        <v>14162.525520113901</v>
      </c>
      <c r="M2383">
        <v>250</v>
      </c>
      <c r="O2383">
        <v>56.646476877822401</v>
      </c>
      <c r="P2383">
        <v>-0.30227776554073599</v>
      </c>
      <c r="Q2383">
        <v>0.72603247315513497</v>
      </c>
      <c r="R2383">
        <v>0.43731759411918902</v>
      </c>
      <c r="S2383" t="s">
        <v>9053</v>
      </c>
      <c r="T2383" t="s">
        <v>13338</v>
      </c>
      <c r="U2383" t="s">
        <v>13338</v>
      </c>
      <c r="V2383" t="s">
        <v>13338</v>
      </c>
      <c r="W2383" t="s">
        <v>15682</v>
      </c>
      <c r="X2383">
        <v>18</v>
      </c>
      <c r="Y2383" t="s">
        <v>21749</v>
      </c>
      <c r="Z2383" t="s">
        <v>28798</v>
      </c>
      <c r="AA2383">
        <v>0.8781126206428943</v>
      </c>
      <c r="AB2383" t="str">
        <f>HYPERLINK("Melting_Curves/meltCurve_P30495_HLA_B.pdf", "Melting_Curves/meltCurve_P30495_HLA_B.pdf")</f>
        <v>Melting_Curves/meltCurve_P30495_HLA_B.pdf</v>
      </c>
    </row>
    <row r="2384" spans="1:28" x14ac:dyDescent="0.25">
      <c r="A2384" t="s">
        <v>2388</v>
      </c>
      <c r="B2384">
        <v>0.99193492352474899</v>
      </c>
      <c r="C2384">
        <v>0.91351691052707196</v>
      </c>
      <c r="D2384">
        <v>0.96917252512947505</v>
      </c>
      <c r="E2384">
        <v>0.77400553773134195</v>
      </c>
      <c r="F2384">
        <v>0.66516380034471501</v>
      </c>
      <c r="G2384">
        <v>0.421256468971834</v>
      </c>
      <c r="H2384">
        <v>0.321132394623864</v>
      </c>
      <c r="I2384">
        <v>0.29203477720424897</v>
      </c>
      <c r="J2384">
        <v>0.37081805329919199</v>
      </c>
      <c r="K2384">
        <v>0.37607566337937898</v>
      </c>
      <c r="L2384">
        <v>957.77162814382802</v>
      </c>
      <c r="M2384">
        <v>18.3395317006939</v>
      </c>
      <c r="N2384">
        <v>55.309175754520801</v>
      </c>
      <c r="O2384">
        <v>51.615374697014403</v>
      </c>
      <c r="P2384">
        <v>-6.0386664810806498E-2</v>
      </c>
      <c r="Q2384">
        <v>0.32021438157038201</v>
      </c>
      <c r="R2384">
        <v>0.97161675784869395</v>
      </c>
      <c r="S2384" t="s">
        <v>9054</v>
      </c>
      <c r="T2384" t="s">
        <v>13338</v>
      </c>
      <c r="U2384" t="s">
        <v>13338</v>
      </c>
      <c r="V2384" t="s">
        <v>13338</v>
      </c>
      <c r="W2384" t="s">
        <v>15683</v>
      </c>
      <c r="X2384">
        <v>14</v>
      </c>
      <c r="Y2384" t="s">
        <v>20543</v>
      </c>
      <c r="Z2384" t="s">
        <v>28799</v>
      </c>
      <c r="AA2384">
        <v>0.60813944191416247</v>
      </c>
      <c r="AB2384" t="str">
        <f>HYPERLINK("Melting_Curves/meltCurve_P30504_HLA_C.pdf", "Melting_Curves/meltCurve_P30504_HLA_C.pdf")</f>
        <v>Melting_Curves/meltCurve_P30504_HLA_C.pdf</v>
      </c>
    </row>
    <row r="2385" spans="1:28" x14ac:dyDescent="0.25">
      <c r="A2385" t="s">
        <v>2389</v>
      </c>
      <c r="B2385">
        <v>0.99193492352474899</v>
      </c>
      <c r="C2385">
        <v>0.94420301295025</v>
      </c>
      <c r="D2385">
        <v>0.84963959861306104</v>
      </c>
      <c r="E2385">
        <v>0.36403811295865601</v>
      </c>
      <c r="F2385">
        <v>0.17047085487366601</v>
      </c>
      <c r="G2385">
        <v>9.3421171404602599E-2</v>
      </c>
      <c r="H2385">
        <v>6.3318856339996898E-2</v>
      </c>
      <c r="I2385">
        <v>7.8127945260691195E-2</v>
      </c>
      <c r="J2385">
        <v>8.8138448055281607E-2</v>
      </c>
      <c r="K2385">
        <v>9.2385285089175595E-2</v>
      </c>
      <c r="L2385">
        <v>1405.71589243883</v>
      </c>
      <c r="M2385">
        <v>29.075086517664602</v>
      </c>
      <c r="N2385">
        <v>48.652763782773398</v>
      </c>
      <c r="O2385">
        <v>48.1208028155135</v>
      </c>
      <c r="P2385">
        <v>-0.13846980658709601</v>
      </c>
      <c r="Q2385">
        <v>8.3307454592486493E-2</v>
      </c>
      <c r="R2385">
        <v>0.99774553869752003</v>
      </c>
      <c r="S2385" t="s">
        <v>9055</v>
      </c>
      <c r="T2385" t="s">
        <v>13338</v>
      </c>
      <c r="U2385" t="s">
        <v>13338</v>
      </c>
      <c r="V2385" t="s">
        <v>13338</v>
      </c>
      <c r="W2385" t="s">
        <v>15684</v>
      </c>
      <c r="X2385">
        <v>18</v>
      </c>
      <c r="Y2385" t="s">
        <v>22245</v>
      </c>
      <c r="Z2385" t="s">
        <v>28800</v>
      </c>
      <c r="AA2385">
        <v>0.34429416529218221</v>
      </c>
      <c r="AB2385" t="str">
        <f>HYPERLINK("Melting_Curves/meltCurve_P30519_HMOX2.pdf", "Melting_Curves/meltCurve_P30519_HMOX2.pdf")</f>
        <v>Melting_Curves/meltCurve_P30519_HMOX2.pdf</v>
      </c>
    </row>
    <row r="2386" spans="1:28" x14ac:dyDescent="0.25">
      <c r="A2386" t="s">
        <v>2390</v>
      </c>
      <c r="B2386">
        <v>0.99193492352474899</v>
      </c>
      <c r="C2386">
        <v>0.96921404743131101</v>
      </c>
      <c r="D2386">
        <v>0.95596735832515101</v>
      </c>
      <c r="E2386">
        <v>0.86618449785643503</v>
      </c>
      <c r="F2386">
        <v>0.75432387873044404</v>
      </c>
      <c r="G2386">
        <v>0.57119989634830304</v>
      </c>
      <c r="H2386">
        <v>0.23957847669065899</v>
      </c>
      <c r="I2386">
        <v>0.105022282329521</v>
      </c>
      <c r="J2386">
        <v>0.105980344416675</v>
      </c>
      <c r="K2386">
        <v>9.3031987969761698E-2</v>
      </c>
      <c r="L2386">
        <v>905.16326123931799</v>
      </c>
      <c r="M2386">
        <v>15.910134737434401</v>
      </c>
      <c r="N2386">
        <v>56.978543888873403</v>
      </c>
      <c r="O2386">
        <v>56.016228319845801</v>
      </c>
      <c r="P2386">
        <v>-7.01671329082066E-2</v>
      </c>
      <c r="Q2386">
        <v>1.1904805393673499E-2</v>
      </c>
      <c r="R2386">
        <v>0.99138042089408496</v>
      </c>
      <c r="S2386" t="s">
        <v>9056</v>
      </c>
      <c r="T2386" t="s">
        <v>13338</v>
      </c>
      <c r="U2386" t="s">
        <v>13338</v>
      </c>
      <c r="V2386" t="s">
        <v>13338</v>
      </c>
      <c r="W2386" t="s">
        <v>15685</v>
      </c>
      <c r="X2386">
        <v>23</v>
      </c>
      <c r="Y2386" t="s">
        <v>22246</v>
      </c>
      <c r="Z2386" t="s">
        <v>28801</v>
      </c>
      <c r="AA2386">
        <v>0.58351681125467958</v>
      </c>
      <c r="AB2386" t="str">
        <f>HYPERLINK("Melting_Curves/meltCurve_P30520_ADSS.pdf", "Melting_Curves/meltCurve_P30520_ADSS.pdf")</f>
        <v>Melting_Curves/meltCurve_P30520_ADSS.pdf</v>
      </c>
    </row>
    <row r="2387" spans="1:28" x14ac:dyDescent="0.25">
      <c r="A2387" t="s">
        <v>2391</v>
      </c>
      <c r="B2387">
        <v>0.99193492352474899</v>
      </c>
      <c r="C2387">
        <v>0.83509953893321898</v>
      </c>
      <c r="D2387">
        <v>0.84407219715753401</v>
      </c>
      <c r="E2387">
        <v>0.72133936538045895</v>
      </c>
      <c r="F2387">
        <v>0.54287919752394598</v>
      </c>
      <c r="G2387">
        <v>0.37406880093103101</v>
      </c>
      <c r="H2387">
        <v>0.26244316302315202</v>
      </c>
      <c r="I2387">
        <v>0.33598317699333402</v>
      </c>
      <c r="J2387">
        <v>0.37535012577819898</v>
      </c>
      <c r="K2387">
        <v>0.56636691618739399</v>
      </c>
      <c r="L2387">
        <v>778.11923154179397</v>
      </c>
      <c r="M2387">
        <v>15.824300944175</v>
      </c>
      <c r="N2387">
        <v>53.710354628913002</v>
      </c>
      <c r="O2387">
        <v>48.407237471675401</v>
      </c>
      <c r="P2387">
        <v>-5.1598698127545001E-2</v>
      </c>
      <c r="Q2387">
        <v>0.368680875137331</v>
      </c>
      <c r="R2387">
        <v>0.86437424077024505</v>
      </c>
      <c r="S2387" t="s">
        <v>9057</v>
      </c>
      <c r="T2387" t="s">
        <v>13338</v>
      </c>
      <c r="U2387" t="s">
        <v>13338</v>
      </c>
      <c r="V2387" t="s">
        <v>13338</v>
      </c>
      <c r="W2387" t="s">
        <v>15686</v>
      </c>
      <c r="X2387">
        <v>29</v>
      </c>
      <c r="Y2387" t="s">
        <v>22247</v>
      </c>
      <c r="Z2387" t="s">
        <v>28802</v>
      </c>
      <c r="AA2387">
        <v>0.5757046764270447</v>
      </c>
      <c r="AB2387" t="str">
        <f>HYPERLINK("Melting_Curves/meltCurve_P30533_LRPAP1.pdf", "Melting_Curves/meltCurve_P30533_LRPAP1.pdf")</f>
        <v>Melting_Curves/meltCurve_P30533_LRPAP1.pdf</v>
      </c>
    </row>
    <row r="2388" spans="1:28" x14ac:dyDescent="0.25">
      <c r="A2388" t="s">
        <v>2392</v>
      </c>
      <c r="B2388">
        <v>0.99193492352474899</v>
      </c>
      <c r="C2388">
        <v>1.1172283535296299</v>
      </c>
      <c r="D2388">
        <v>0.98682286918386197</v>
      </c>
      <c r="E2388">
        <v>0.95330743896965497</v>
      </c>
      <c r="F2388">
        <v>0.82551844252372597</v>
      </c>
      <c r="G2388">
        <v>0.71632432507667598</v>
      </c>
      <c r="H2388">
        <v>0.37029783438407499</v>
      </c>
      <c r="I2388">
        <v>9.6854698189076702E-2</v>
      </c>
      <c r="J2388">
        <v>0.102323791792129</v>
      </c>
      <c r="K2388">
        <v>0.100193877803379</v>
      </c>
      <c r="L2388">
        <v>1192.62659540702</v>
      </c>
      <c r="M2388">
        <v>20.330450325772201</v>
      </c>
      <c r="N2388">
        <v>58.817023550403199</v>
      </c>
      <c r="O2388">
        <v>58.1033770725087</v>
      </c>
      <c r="P2388">
        <v>-8.5197261312186606E-2</v>
      </c>
      <c r="Q2388">
        <v>2.6072367772827901E-2</v>
      </c>
      <c r="R2388">
        <v>0.98081661865342995</v>
      </c>
      <c r="S2388" t="s">
        <v>9058</v>
      </c>
      <c r="T2388" t="s">
        <v>13338</v>
      </c>
      <c r="U2388" t="s">
        <v>13338</v>
      </c>
      <c r="V2388" t="s">
        <v>13338</v>
      </c>
      <c r="W2388" t="s">
        <v>15687</v>
      </c>
      <c r="X2388">
        <v>25</v>
      </c>
      <c r="Y2388" t="s">
        <v>22248</v>
      </c>
      <c r="Z2388" t="s">
        <v>28803</v>
      </c>
      <c r="AA2388">
        <v>0.64205780509896848</v>
      </c>
      <c r="AB2388" t="str">
        <f>HYPERLINK("Melting_Curves/meltCurve_P30566_ADSL.pdf", "Melting_Curves/meltCurve_P30566_ADSL.pdf")</f>
        <v>Melting_Curves/meltCurve_P30566_ADSL.pdf</v>
      </c>
    </row>
    <row r="2389" spans="1:28" x14ac:dyDescent="0.25">
      <c r="A2389" t="s">
        <v>2393</v>
      </c>
      <c r="B2389">
        <v>0.99193492352474899</v>
      </c>
      <c r="C2389">
        <v>0.70903895100966197</v>
      </c>
      <c r="D2389">
        <v>0.78929706981803205</v>
      </c>
      <c r="E2389">
        <v>0.69999387065094498</v>
      </c>
      <c r="F2389">
        <v>0.50888956903598204</v>
      </c>
      <c r="G2389">
        <v>2.48133790828803</v>
      </c>
      <c r="H2389">
        <v>0.287865486662151</v>
      </c>
      <c r="I2389">
        <v>0.25531005319629302</v>
      </c>
      <c r="J2389">
        <v>0.18429717687098099</v>
      </c>
      <c r="K2389">
        <v>0.14544532596888099</v>
      </c>
      <c r="L2389">
        <v>15000</v>
      </c>
      <c r="M2389">
        <v>248.747775303716</v>
      </c>
      <c r="N2389">
        <v>60.422140291980398</v>
      </c>
      <c r="O2389">
        <v>60.298146802541602</v>
      </c>
      <c r="P2389">
        <v>-0.83019908313673996</v>
      </c>
      <c r="Q2389">
        <v>0.19501643186460901</v>
      </c>
      <c r="R2389">
        <v>0.372990743704808</v>
      </c>
      <c r="S2389" t="s">
        <v>9059</v>
      </c>
      <c r="T2389" t="s">
        <v>13338</v>
      </c>
      <c r="U2389" t="s">
        <v>13338</v>
      </c>
      <c r="V2389" t="s">
        <v>13338</v>
      </c>
      <c r="W2389" t="s">
        <v>15688</v>
      </c>
      <c r="X2389">
        <v>3</v>
      </c>
      <c r="Y2389" t="s">
        <v>22249</v>
      </c>
      <c r="Z2389" t="s">
        <v>28804</v>
      </c>
      <c r="AA2389">
        <v>0.73986295310267025</v>
      </c>
      <c r="AB2389" t="str">
        <f>HYPERLINK("Melting_Curves/meltCurve_P30613_2_PKLR.pdf", "Melting_Curves/meltCurve_P30613_2_PKLR.pdf")</f>
        <v>Melting_Curves/meltCurve_P30613_2_PKLR.pdf</v>
      </c>
    </row>
    <row r="2390" spans="1:28" x14ac:dyDescent="0.25">
      <c r="A2390" t="s">
        <v>2394</v>
      </c>
      <c r="B2390">
        <v>0.99193492352474899</v>
      </c>
      <c r="C2390">
        <v>0.892881388039233</v>
      </c>
      <c r="D2390">
        <v>0.92385727959408304</v>
      </c>
      <c r="E2390">
        <v>0.70194911355383405</v>
      </c>
      <c r="F2390">
        <v>0.46717861272711603</v>
      </c>
      <c r="G2390">
        <v>0.28331531092840301</v>
      </c>
      <c r="H2390">
        <v>0.166376607529064</v>
      </c>
      <c r="I2390">
        <v>0.29416868841441302</v>
      </c>
      <c r="J2390">
        <v>0.37121327606243498</v>
      </c>
      <c r="K2390">
        <v>0.590034348346133</v>
      </c>
      <c r="L2390">
        <v>1381.8145583852399</v>
      </c>
      <c r="M2390">
        <v>27.731385196433099</v>
      </c>
      <c r="N2390">
        <v>51.982740640969801</v>
      </c>
      <c r="O2390">
        <v>49.571604610020799</v>
      </c>
      <c r="P2390">
        <v>-9.2087688980931601E-2</v>
      </c>
      <c r="Q2390">
        <v>0.34155575283056799</v>
      </c>
      <c r="R2390">
        <v>0.85610384424938502</v>
      </c>
      <c r="S2390" t="s">
        <v>9060</v>
      </c>
      <c r="T2390" t="s">
        <v>13338</v>
      </c>
      <c r="U2390" t="s">
        <v>13338</v>
      </c>
      <c r="V2390" t="s">
        <v>13338</v>
      </c>
      <c r="W2390" t="s">
        <v>15689</v>
      </c>
      <c r="X2390">
        <v>66</v>
      </c>
      <c r="Y2390" t="s">
        <v>22250</v>
      </c>
      <c r="Z2390" t="s">
        <v>28805</v>
      </c>
      <c r="AA2390">
        <v>0.56203723284054352</v>
      </c>
      <c r="AB2390" t="str">
        <f>HYPERLINK("Melting_Curves/meltCurve_P30622_2_CLIP1.pdf", "Melting_Curves/meltCurve_P30622_2_CLIP1.pdf")</f>
        <v>Melting_Curves/meltCurve_P30622_2_CLIP1.pdf</v>
      </c>
    </row>
    <row r="2391" spans="1:28" x14ac:dyDescent="0.25">
      <c r="A2391" t="s">
        <v>2395</v>
      </c>
      <c r="B2391">
        <v>0.99193492352474899</v>
      </c>
      <c r="C2391">
        <v>1.0790777637981499</v>
      </c>
      <c r="D2391">
        <v>1.2017373302921499</v>
      </c>
      <c r="E2391">
        <v>0.87962245288211505</v>
      </c>
      <c r="F2391">
        <v>0.32737662236255399</v>
      </c>
      <c r="G2391">
        <v>9.3514331230002204E-2</v>
      </c>
      <c r="H2391">
        <v>5.4508421303270799E-2</v>
      </c>
      <c r="I2391">
        <v>5.0195260401328601E-2</v>
      </c>
      <c r="J2391">
        <v>6.0947705260288601E-2</v>
      </c>
      <c r="K2391">
        <v>3.6298759863951403E-2</v>
      </c>
      <c r="L2391">
        <v>2184.6303902506702</v>
      </c>
      <c r="M2391">
        <v>41.968308782729302</v>
      </c>
      <c r="N2391">
        <v>52.193603305723997</v>
      </c>
      <c r="O2391">
        <v>51.936525055388699</v>
      </c>
      <c r="P2391">
        <v>-0.19131317739728801</v>
      </c>
      <c r="Q2391">
        <v>5.2987986885640402E-2</v>
      </c>
      <c r="R2391">
        <v>0.97771142129178501</v>
      </c>
      <c r="S2391" t="s">
        <v>9061</v>
      </c>
      <c r="T2391" t="s">
        <v>13338</v>
      </c>
      <c r="U2391" t="s">
        <v>13338</v>
      </c>
      <c r="V2391" t="s">
        <v>13338</v>
      </c>
      <c r="W2391" t="s">
        <v>15690</v>
      </c>
      <c r="X2391">
        <v>5</v>
      </c>
      <c r="Y2391" t="s">
        <v>22251</v>
      </c>
      <c r="Z2391" t="s">
        <v>28806</v>
      </c>
      <c r="AA2391">
        <v>0.43659866033626998</v>
      </c>
      <c r="AB2391" t="str">
        <f>HYPERLINK("Melting_Curves/meltCurve_P30679_GNA15.pdf", "Melting_Curves/meltCurve_P30679_GNA15.pdf")</f>
        <v>Melting_Curves/meltCurve_P30679_GNA15.pdf</v>
      </c>
    </row>
    <row r="2392" spans="1:28" x14ac:dyDescent="0.25">
      <c r="A2392" t="s">
        <v>2396</v>
      </c>
      <c r="B2392">
        <v>0.99193492352474899</v>
      </c>
      <c r="C2392">
        <v>0.97243083655809504</v>
      </c>
      <c r="D2392">
        <v>0.98633556371450704</v>
      </c>
      <c r="E2392">
        <v>0.83993065410297796</v>
      </c>
      <c r="F2392">
        <v>0.71198683272257801</v>
      </c>
      <c r="G2392">
        <v>0.49609331393921002</v>
      </c>
      <c r="H2392">
        <v>0.41705994728400397</v>
      </c>
      <c r="I2392">
        <v>0.47177694691956601</v>
      </c>
      <c r="J2392">
        <v>0.48496657337219501</v>
      </c>
      <c r="K2392">
        <v>0.39437289042638501</v>
      </c>
      <c r="L2392">
        <v>1105.05217057851</v>
      </c>
      <c r="M2392">
        <v>21.060821191377201</v>
      </c>
      <c r="N2392">
        <v>57.778479849033303</v>
      </c>
      <c r="O2392">
        <v>52.003386947059099</v>
      </c>
      <c r="P2392">
        <v>-5.7935383515696499E-2</v>
      </c>
      <c r="Q2392">
        <v>0.427798891733774</v>
      </c>
      <c r="R2392">
        <v>0.981465490155075</v>
      </c>
      <c r="S2392" t="s">
        <v>9062</v>
      </c>
      <c r="T2392" t="s">
        <v>13338</v>
      </c>
      <c r="U2392" t="s">
        <v>13338</v>
      </c>
      <c r="V2392" t="s">
        <v>13338</v>
      </c>
      <c r="W2392" t="s">
        <v>15691</v>
      </c>
      <c r="X2392">
        <v>16</v>
      </c>
      <c r="Y2392" t="s">
        <v>21749</v>
      </c>
      <c r="Z2392" t="s">
        <v>28807</v>
      </c>
      <c r="AA2392">
        <v>0.67284345131723533</v>
      </c>
      <c r="AB2392" t="str">
        <f>HYPERLINK("Melting_Curves/meltCurve_P30685_HLA_B.pdf", "Melting_Curves/meltCurve_P30685_HLA_B.pdf")</f>
        <v>Melting_Curves/meltCurve_P30685_HLA_B.pdf</v>
      </c>
    </row>
    <row r="2393" spans="1:28" x14ac:dyDescent="0.25">
      <c r="A2393" t="s">
        <v>2397</v>
      </c>
      <c r="B2393">
        <v>0.99193492352474899</v>
      </c>
      <c r="C2393">
        <v>0.87797687194588703</v>
      </c>
      <c r="D2393">
        <v>0.77840498382466605</v>
      </c>
      <c r="E2393">
        <v>0.50528446908451596</v>
      </c>
      <c r="F2393">
        <v>0.309259795660841</v>
      </c>
      <c r="G2393">
        <v>0.21296819730771399</v>
      </c>
      <c r="H2393">
        <v>0.20641018826153801</v>
      </c>
      <c r="I2393">
        <v>0.248818681442145</v>
      </c>
      <c r="J2393">
        <v>0.33244897400426798</v>
      </c>
      <c r="K2393">
        <v>0.516821585415569</v>
      </c>
      <c r="L2393">
        <v>1115.52148028959</v>
      </c>
      <c r="M2393">
        <v>23.5819626725708</v>
      </c>
      <c r="N2393">
        <v>49.193811878463997</v>
      </c>
      <c r="O2393">
        <v>46.9677870575185</v>
      </c>
      <c r="P2393">
        <v>-8.8129011552328607E-2</v>
      </c>
      <c r="Q2393">
        <v>0.29791179365049503</v>
      </c>
      <c r="R2393">
        <v>0.89856711587461502</v>
      </c>
      <c r="S2393" t="s">
        <v>9063</v>
      </c>
      <c r="T2393" t="s">
        <v>13338</v>
      </c>
      <c r="U2393" t="s">
        <v>13338</v>
      </c>
      <c r="V2393" t="s">
        <v>13338</v>
      </c>
      <c r="W2393" t="s">
        <v>15692</v>
      </c>
      <c r="X2393">
        <v>1</v>
      </c>
      <c r="Y2393" t="s">
        <v>22252</v>
      </c>
      <c r="Z2393" t="s">
        <v>28808</v>
      </c>
      <c r="AA2393">
        <v>0.47593283817484228</v>
      </c>
      <c r="AB2393" t="str">
        <f>HYPERLINK("Melting_Curves/meltCurve_P30740_SERPINB1.pdf", "Melting_Curves/meltCurve_P30740_SERPINB1.pdf")</f>
        <v>Melting_Curves/meltCurve_P30740_SERPINB1.pdf</v>
      </c>
    </row>
    <row r="2394" spans="1:28" x14ac:dyDescent="0.25">
      <c r="A2394" t="s">
        <v>2398</v>
      </c>
      <c r="B2394">
        <v>0.99193492352474899</v>
      </c>
      <c r="C2394">
        <v>0.78357156352239299</v>
      </c>
      <c r="D2394">
        <v>0.81353298162738896</v>
      </c>
      <c r="E2394">
        <v>0.60648747730744701</v>
      </c>
      <c r="F2394">
        <v>0.62000198231782799</v>
      </c>
      <c r="G2394">
        <v>0.45138124143769598</v>
      </c>
      <c r="H2394">
        <v>0.40417948717326002</v>
      </c>
      <c r="I2394">
        <v>0.36960378427845098</v>
      </c>
      <c r="J2394">
        <v>0.433438704515689</v>
      </c>
      <c r="K2394">
        <v>0.41592228340952297</v>
      </c>
      <c r="L2394">
        <v>497.47268609567499</v>
      </c>
      <c r="M2394">
        <v>10.268614436568599</v>
      </c>
      <c r="N2394">
        <v>55.539979057314198</v>
      </c>
      <c r="O2394">
        <v>46.7164977442497</v>
      </c>
      <c r="P2394">
        <v>-3.48929347718933E-2</v>
      </c>
      <c r="Q2394">
        <v>0.365304932852558</v>
      </c>
      <c r="R2394">
        <v>0.93928059917812401</v>
      </c>
      <c r="S2394" t="s">
        <v>9064</v>
      </c>
      <c r="T2394" t="s">
        <v>13338</v>
      </c>
      <c r="U2394" t="s">
        <v>13338</v>
      </c>
      <c r="V2394" t="s">
        <v>13338</v>
      </c>
      <c r="W2394" t="s">
        <v>15693</v>
      </c>
      <c r="X2394">
        <v>4</v>
      </c>
      <c r="Y2394" t="s">
        <v>22253</v>
      </c>
      <c r="Z2394" t="s">
        <v>28809</v>
      </c>
      <c r="AA2394">
        <v>0.5751498138777752</v>
      </c>
      <c r="AB2394" t="str">
        <f>HYPERLINK("Melting_Curves/meltCurve_P30793_GCH1.pdf", "Melting_Curves/meltCurve_P30793_GCH1.pdf")</f>
        <v>Melting_Curves/meltCurve_P30793_GCH1.pdf</v>
      </c>
    </row>
    <row r="2395" spans="1:28" x14ac:dyDescent="0.25">
      <c r="A2395" t="s">
        <v>2399</v>
      </c>
      <c r="B2395">
        <v>0.99193492352474899</v>
      </c>
      <c r="C2395">
        <v>1.14280095382513</v>
      </c>
      <c r="D2395">
        <v>0.97469951688992296</v>
      </c>
      <c r="E2395">
        <v>0.97231926034469696</v>
      </c>
      <c r="F2395">
        <v>0.91968604966602197</v>
      </c>
      <c r="G2395">
        <v>0.76321287108231495</v>
      </c>
      <c r="H2395">
        <v>0.58447640376193299</v>
      </c>
      <c r="I2395">
        <v>0.56706450728188895</v>
      </c>
      <c r="J2395">
        <v>0.44797666213044202</v>
      </c>
      <c r="K2395">
        <v>0.25115255519950402</v>
      </c>
      <c r="L2395">
        <v>660.98073495207495</v>
      </c>
      <c r="M2395">
        <v>10.2766570709924</v>
      </c>
      <c r="N2395">
        <v>64.318633236341597</v>
      </c>
      <c r="O2395">
        <v>62.025957301652497</v>
      </c>
      <c r="P2395">
        <v>-4.1438935503811801E-2</v>
      </c>
      <c r="Q2395">
        <v>0</v>
      </c>
      <c r="R2395">
        <v>0.95118747753913502</v>
      </c>
      <c r="S2395" t="s">
        <v>9065</v>
      </c>
      <c r="T2395" t="s">
        <v>13338</v>
      </c>
      <c r="U2395" t="s">
        <v>13338</v>
      </c>
      <c r="V2395" t="s">
        <v>13338</v>
      </c>
      <c r="W2395" t="s">
        <v>15694</v>
      </c>
      <c r="X2395">
        <v>6</v>
      </c>
      <c r="Y2395" t="s">
        <v>22254</v>
      </c>
      <c r="Z2395" t="s">
        <v>28810</v>
      </c>
      <c r="AA2395">
        <v>0.76679501925888727</v>
      </c>
      <c r="AB2395" t="str">
        <f>HYPERLINK("Melting_Curves/meltCurve_P30825_SLC7A1.pdf", "Melting_Curves/meltCurve_P30825_SLC7A1.pdf")</f>
        <v>Melting_Curves/meltCurve_P30825_SLC7A1.pdf</v>
      </c>
    </row>
    <row r="2396" spans="1:28" x14ac:dyDescent="0.25">
      <c r="A2396" t="s">
        <v>2400</v>
      </c>
      <c r="B2396">
        <v>0.99193492352474899</v>
      </c>
      <c r="C2396">
        <v>0.83698283700811205</v>
      </c>
      <c r="D2396">
        <v>0.53072790375650702</v>
      </c>
      <c r="E2396">
        <v>0.16420899200382799</v>
      </c>
      <c r="F2396">
        <v>0.10798491911196099</v>
      </c>
      <c r="G2396">
        <v>6.2208604409841002E-2</v>
      </c>
      <c r="H2396">
        <v>3.8361804333198198E-2</v>
      </c>
      <c r="I2396">
        <v>4.6969608186359098E-2</v>
      </c>
      <c r="J2396">
        <v>5.2474689502338599E-2</v>
      </c>
      <c r="K2396">
        <v>5.1346358469652298E-2</v>
      </c>
      <c r="L2396">
        <v>1107.61361263194</v>
      </c>
      <c r="M2396">
        <v>24.1140028810714</v>
      </c>
      <c r="N2396">
        <v>46.131896874529502</v>
      </c>
      <c r="O2396">
        <v>45.619996940830497</v>
      </c>
      <c r="P2396">
        <v>-0.12560476452314201</v>
      </c>
      <c r="Q2396">
        <v>4.9515006758448103E-2</v>
      </c>
      <c r="R2396">
        <v>0.998217756551109</v>
      </c>
      <c r="S2396" t="s">
        <v>9066</v>
      </c>
      <c r="T2396" t="s">
        <v>13338</v>
      </c>
      <c r="U2396" t="s">
        <v>13338</v>
      </c>
      <c r="V2396" t="s">
        <v>13338</v>
      </c>
      <c r="W2396" t="s">
        <v>15695</v>
      </c>
      <c r="X2396">
        <v>33</v>
      </c>
      <c r="Y2396" t="s">
        <v>22255</v>
      </c>
      <c r="Z2396" t="s">
        <v>28811</v>
      </c>
      <c r="AA2396">
        <v>0.24704960120886041</v>
      </c>
      <c r="AB2396" t="str">
        <f>HYPERLINK("Melting_Curves/meltCurve_P31146_CORO1A.pdf", "Melting_Curves/meltCurve_P31146_CORO1A.pdf")</f>
        <v>Melting_Curves/meltCurve_P31146_CORO1A.pdf</v>
      </c>
    </row>
    <row r="2397" spans="1:28" x14ac:dyDescent="0.25">
      <c r="A2397" t="s">
        <v>2401</v>
      </c>
      <c r="B2397">
        <v>0.99193492352474899</v>
      </c>
      <c r="C2397">
        <v>1.0002857710511299</v>
      </c>
      <c r="D2397">
        <v>0.90014679766028804</v>
      </c>
      <c r="E2397">
        <v>0.88829866510091204</v>
      </c>
      <c r="F2397">
        <v>0.51269651838716201</v>
      </c>
      <c r="G2397">
        <v>0.155145208439497</v>
      </c>
      <c r="H2397">
        <v>7.2512820563619601E-2</v>
      </c>
      <c r="I2397">
        <v>7.3280863846094099E-2</v>
      </c>
      <c r="J2397">
        <v>9.0799313417215005E-2</v>
      </c>
      <c r="K2397">
        <v>0.103808907500894</v>
      </c>
      <c r="L2397">
        <v>1619.29888160511</v>
      </c>
      <c r="M2397">
        <v>30.615366710356501</v>
      </c>
      <c r="N2397">
        <v>53.1794297051878</v>
      </c>
      <c r="O2397">
        <v>52.6675833970844</v>
      </c>
      <c r="P2397">
        <v>-0.13423241518996801</v>
      </c>
      <c r="Q2397">
        <v>7.6326143390780199E-2</v>
      </c>
      <c r="R2397">
        <v>0.99355221438047703</v>
      </c>
      <c r="S2397" t="s">
        <v>9067</v>
      </c>
      <c r="T2397" t="s">
        <v>13338</v>
      </c>
      <c r="U2397" t="s">
        <v>13338</v>
      </c>
      <c r="V2397" t="s">
        <v>13338</v>
      </c>
      <c r="W2397" t="s">
        <v>15696</v>
      </c>
      <c r="X2397">
        <v>28</v>
      </c>
      <c r="Y2397" t="s">
        <v>22256</v>
      </c>
      <c r="Z2397" t="s">
        <v>28812</v>
      </c>
      <c r="AA2397">
        <v>0.47899742724519351</v>
      </c>
      <c r="AB2397" t="str">
        <f>HYPERLINK("Melting_Curves/meltCurve_P31150_GDI1.pdf", "Melting_Curves/meltCurve_P31150_GDI1.pdf")</f>
        <v>Melting_Curves/meltCurve_P31150_GDI1.pdf</v>
      </c>
    </row>
    <row r="2398" spans="1:28" x14ac:dyDescent="0.25">
      <c r="A2398" t="s">
        <v>2402</v>
      </c>
      <c r="B2398">
        <v>0.99193492352474899</v>
      </c>
      <c r="C2398">
        <v>1.04246168987347</v>
      </c>
      <c r="D2398">
        <v>0.86950117139073002</v>
      </c>
      <c r="E2398">
        <v>0.91361378476950295</v>
      </c>
      <c r="F2398">
        <v>0.67054631349790195</v>
      </c>
      <c r="G2398">
        <v>0.58043641948597102</v>
      </c>
      <c r="H2398">
        <v>0.41342009644664002</v>
      </c>
      <c r="I2398">
        <v>0.196232573841055</v>
      </c>
      <c r="J2398">
        <v>0.18786707719737999</v>
      </c>
      <c r="K2398">
        <v>0.18906906120369801</v>
      </c>
      <c r="L2398">
        <v>661.88719613907404</v>
      </c>
      <c r="M2398">
        <v>11.5643478399451</v>
      </c>
      <c r="N2398">
        <v>57.783215040882801</v>
      </c>
      <c r="O2398">
        <v>55.603954707385</v>
      </c>
      <c r="P2398">
        <v>-4.9307275049339801E-2</v>
      </c>
      <c r="Q2398">
        <v>5.1942204736291603E-2</v>
      </c>
      <c r="R2398">
        <v>0.977143547900436</v>
      </c>
      <c r="S2398" t="s">
        <v>9068</v>
      </c>
      <c r="T2398" t="s">
        <v>13338</v>
      </c>
      <c r="U2398" t="s">
        <v>13338</v>
      </c>
      <c r="V2398" t="s">
        <v>13338</v>
      </c>
      <c r="W2398" t="s">
        <v>15697</v>
      </c>
      <c r="X2398">
        <v>26</v>
      </c>
      <c r="Y2398" t="s">
        <v>22257</v>
      </c>
      <c r="Z2398" t="s">
        <v>28813</v>
      </c>
      <c r="AA2398">
        <v>0.61156427475387654</v>
      </c>
      <c r="AB2398" t="str">
        <f>HYPERLINK("Melting_Curves/meltCurve_P31153_MAT2A.pdf", "Melting_Curves/meltCurve_P31153_MAT2A.pdf")</f>
        <v>Melting_Curves/meltCurve_P31153_MAT2A.pdf</v>
      </c>
    </row>
    <row r="2399" spans="1:28" x14ac:dyDescent="0.25">
      <c r="A2399" t="s">
        <v>2403</v>
      </c>
      <c r="B2399">
        <v>0.99193492352474899</v>
      </c>
      <c r="C2399">
        <v>0.78260365350125705</v>
      </c>
      <c r="D2399">
        <v>0.87301542566536605</v>
      </c>
      <c r="E2399">
        <v>0.60396444895382095</v>
      </c>
      <c r="F2399">
        <v>0.265387145845841</v>
      </c>
      <c r="G2399">
        <v>0.10889372405440401</v>
      </c>
      <c r="H2399">
        <v>6.0441969125259398E-2</v>
      </c>
      <c r="I2399">
        <v>6.78256536276335E-2</v>
      </c>
      <c r="J2399">
        <v>7.1908938849919904E-2</v>
      </c>
      <c r="K2399">
        <v>7.2141459912818104E-2</v>
      </c>
      <c r="L2399">
        <v>884.450692275542</v>
      </c>
      <c r="M2399">
        <v>17.668044966196099</v>
      </c>
      <c r="N2399">
        <v>50.300945911414402</v>
      </c>
      <c r="O2399">
        <v>49.431250930624799</v>
      </c>
      <c r="P2399">
        <v>-8.5726094968997094E-2</v>
      </c>
      <c r="Q2399">
        <v>4.0680862257712599E-2</v>
      </c>
      <c r="R2399">
        <v>0.97251176009037199</v>
      </c>
      <c r="S2399" t="s">
        <v>9069</v>
      </c>
      <c r="T2399" t="s">
        <v>13338</v>
      </c>
      <c r="U2399" t="s">
        <v>13338</v>
      </c>
      <c r="V2399" t="s">
        <v>13338</v>
      </c>
      <c r="W2399" t="s">
        <v>15698</v>
      </c>
      <c r="X2399">
        <v>8</v>
      </c>
      <c r="Y2399" t="s">
        <v>22258</v>
      </c>
      <c r="Z2399" t="s">
        <v>28814</v>
      </c>
      <c r="AA2399">
        <v>0.37928331726228931</v>
      </c>
      <c r="AB2399" t="str">
        <f>HYPERLINK("Melting_Curves/meltCurve_P31321_PRKAR1B.pdf", "Melting_Curves/meltCurve_P31321_PRKAR1B.pdf")</f>
        <v>Melting_Curves/meltCurve_P31321_PRKAR1B.pdf</v>
      </c>
    </row>
    <row r="2400" spans="1:28" x14ac:dyDescent="0.25">
      <c r="A2400" t="s">
        <v>2404</v>
      </c>
      <c r="B2400">
        <v>0.99193492352474899</v>
      </c>
      <c r="C2400">
        <v>0.89780639623639902</v>
      </c>
      <c r="D2400">
        <v>0.79384157864214899</v>
      </c>
      <c r="E2400">
        <v>0.438194892076468</v>
      </c>
      <c r="F2400">
        <v>0.24296119966348301</v>
      </c>
      <c r="G2400">
        <v>0.112193490543831</v>
      </c>
      <c r="H2400">
        <v>7.7184816323249E-2</v>
      </c>
      <c r="I2400">
        <v>9.7564811315022107E-2</v>
      </c>
      <c r="J2400">
        <v>0.115840867717522</v>
      </c>
      <c r="K2400">
        <v>0.154308742881551</v>
      </c>
      <c r="L2400">
        <v>995.99542464968101</v>
      </c>
      <c r="M2400">
        <v>20.562839636676099</v>
      </c>
      <c r="N2400">
        <v>48.977359508859898</v>
      </c>
      <c r="O2400">
        <v>47.985545885814098</v>
      </c>
      <c r="P2400">
        <v>-9.62549425467146E-2</v>
      </c>
      <c r="Q2400">
        <v>0.10154206750183301</v>
      </c>
      <c r="R2400">
        <v>0.99342014451249006</v>
      </c>
      <c r="S2400" t="s">
        <v>9070</v>
      </c>
      <c r="T2400" t="s">
        <v>13338</v>
      </c>
      <c r="U2400" t="s">
        <v>13338</v>
      </c>
      <c r="V2400" t="s">
        <v>13338</v>
      </c>
      <c r="W2400" t="s">
        <v>15699</v>
      </c>
      <c r="X2400">
        <v>9</v>
      </c>
      <c r="Y2400" t="s">
        <v>22259</v>
      </c>
      <c r="Z2400" t="s">
        <v>28815</v>
      </c>
      <c r="AA2400">
        <v>0.36616648413712138</v>
      </c>
      <c r="AB2400" t="str">
        <f>HYPERLINK("Melting_Curves/meltCurve_P31323_PRKAR2B.pdf", "Melting_Curves/meltCurve_P31323_PRKAR2B.pdf")</f>
        <v>Melting_Curves/meltCurve_P31323_PRKAR2B.pdf</v>
      </c>
    </row>
    <row r="2401" spans="1:28" x14ac:dyDescent="0.25">
      <c r="A2401" t="s">
        <v>2405</v>
      </c>
      <c r="B2401">
        <v>0.99193492352474899</v>
      </c>
      <c r="C2401">
        <v>1.1706764526736999</v>
      </c>
      <c r="D2401">
        <v>1.0283769159604901</v>
      </c>
      <c r="E2401">
        <v>0.99575911477227297</v>
      </c>
      <c r="F2401">
        <v>0.59830742166528506</v>
      </c>
      <c r="G2401">
        <v>0.293569061977979</v>
      </c>
      <c r="H2401">
        <v>0.19609673051721899</v>
      </c>
      <c r="I2401">
        <v>0.201756694180559</v>
      </c>
      <c r="J2401">
        <v>0.194551206715355</v>
      </c>
      <c r="K2401">
        <v>0.15484740141104</v>
      </c>
      <c r="L2401">
        <v>2024.0844538382901</v>
      </c>
      <c r="M2401">
        <v>37.938610553224002</v>
      </c>
      <c r="N2401">
        <v>54.030847855573001</v>
      </c>
      <c r="O2401">
        <v>53.203986726272298</v>
      </c>
      <c r="P2401">
        <v>-0.14445792733432</v>
      </c>
      <c r="Q2401">
        <v>0.18966795434504299</v>
      </c>
      <c r="R2401">
        <v>0.97849641088477002</v>
      </c>
      <c r="S2401" t="s">
        <v>9071</v>
      </c>
      <c r="T2401" t="s">
        <v>13338</v>
      </c>
      <c r="U2401" t="s">
        <v>13338</v>
      </c>
      <c r="V2401" t="s">
        <v>13338</v>
      </c>
      <c r="W2401" t="s">
        <v>15700</v>
      </c>
      <c r="X2401">
        <v>7</v>
      </c>
      <c r="Y2401" t="s">
        <v>22260</v>
      </c>
      <c r="Z2401" t="s">
        <v>28816</v>
      </c>
      <c r="AA2401">
        <v>0.55362589428956988</v>
      </c>
      <c r="AB2401" t="str">
        <f>HYPERLINK("Melting_Curves/meltCurve_P31327_CPS1.pdf", "Melting_Curves/meltCurve_P31327_CPS1.pdf")</f>
        <v>Melting_Curves/meltCurve_P31327_CPS1.pdf</v>
      </c>
    </row>
    <row r="2402" spans="1:28" x14ac:dyDescent="0.25">
      <c r="A2402" t="s">
        <v>2406</v>
      </c>
      <c r="B2402">
        <v>0.99193492352474899</v>
      </c>
      <c r="C2402">
        <v>0.96400090311656295</v>
      </c>
      <c r="D2402">
        <v>0.97513778295639697</v>
      </c>
      <c r="E2402">
        <v>0.81380666039018801</v>
      </c>
      <c r="F2402">
        <v>0.72152708013382105</v>
      </c>
      <c r="G2402">
        <v>0.56531001769143396</v>
      </c>
      <c r="H2402">
        <v>0.42453048696111201</v>
      </c>
      <c r="I2402">
        <v>0.45577243186754102</v>
      </c>
      <c r="J2402">
        <v>0.43636376646596498</v>
      </c>
      <c r="K2402">
        <v>0.25326887014502403</v>
      </c>
      <c r="L2402">
        <v>618.20521328623897</v>
      </c>
      <c r="M2402">
        <v>11.20581181374</v>
      </c>
      <c r="N2402">
        <v>59.383294867517499</v>
      </c>
      <c r="O2402">
        <v>53.498842480000903</v>
      </c>
      <c r="P2402">
        <v>-3.8013207663223803E-2</v>
      </c>
      <c r="Q2402">
        <v>0.27429657840164501</v>
      </c>
      <c r="R2402">
        <v>0.96920394891872697</v>
      </c>
      <c r="S2402" t="s">
        <v>9072</v>
      </c>
      <c r="T2402" t="s">
        <v>13338</v>
      </c>
      <c r="U2402" t="s">
        <v>13338</v>
      </c>
      <c r="V2402" t="s">
        <v>13338</v>
      </c>
      <c r="W2402" t="s">
        <v>15701</v>
      </c>
      <c r="X2402">
        <v>30</v>
      </c>
      <c r="Y2402" t="s">
        <v>22261</v>
      </c>
      <c r="Z2402" t="s">
        <v>28817</v>
      </c>
      <c r="AA2402">
        <v>0.65856676575850093</v>
      </c>
      <c r="AB2402" t="str">
        <f>HYPERLINK("Melting_Curves/meltCurve_P31350_RRM2.pdf", "Melting_Curves/meltCurve_P31350_RRM2.pdf")</f>
        <v>Melting_Curves/meltCurve_P31350_RRM2.pdf</v>
      </c>
    </row>
    <row r="2403" spans="1:28" x14ac:dyDescent="0.25">
      <c r="A2403" t="s">
        <v>2407</v>
      </c>
      <c r="B2403">
        <v>0.99193492352474899</v>
      </c>
      <c r="C2403">
        <v>0.82600707314882804</v>
      </c>
      <c r="D2403">
        <v>1.12762004120457</v>
      </c>
      <c r="E2403">
        <v>0.90900189363737605</v>
      </c>
      <c r="F2403">
        <v>0.67293971410460196</v>
      </c>
      <c r="G2403">
        <v>0.44391290156107899</v>
      </c>
      <c r="H2403">
        <v>7.5959462063311403E-2</v>
      </c>
      <c r="I2403">
        <v>0</v>
      </c>
      <c r="J2403">
        <v>0</v>
      </c>
      <c r="K2403">
        <v>0</v>
      </c>
      <c r="L2403">
        <v>1245.1850490290501</v>
      </c>
      <c r="M2403">
        <v>22.4590058866529</v>
      </c>
      <c r="N2403">
        <v>55.442588065695602</v>
      </c>
      <c r="O2403">
        <v>55.0086275645073</v>
      </c>
      <c r="P2403">
        <v>-0.102072473438982</v>
      </c>
      <c r="Q2403">
        <v>0</v>
      </c>
      <c r="R2403">
        <v>0.96687229465482305</v>
      </c>
      <c r="S2403" t="s">
        <v>9073</v>
      </c>
      <c r="T2403" t="s">
        <v>13338</v>
      </c>
      <c r="U2403" t="s">
        <v>13338</v>
      </c>
      <c r="V2403" t="s">
        <v>13338</v>
      </c>
      <c r="W2403" t="s">
        <v>15702</v>
      </c>
      <c r="X2403">
        <v>1</v>
      </c>
      <c r="Y2403" t="s">
        <v>22262</v>
      </c>
      <c r="Z2403" t="s">
        <v>28818</v>
      </c>
      <c r="AA2403">
        <v>0.52577495689847609</v>
      </c>
      <c r="AB2403" t="str">
        <f>HYPERLINK("Melting_Curves/meltCurve_P31641_SLC6A6.pdf", "Melting_Curves/meltCurve_P31641_SLC6A6.pdf")</f>
        <v>Melting_Curves/meltCurve_P31641_SLC6A6.pdf</v>
      </c>
    </row>
    <row r="2404" spans="1:28" x14ac:dyDescent="0.25">
      <c r="A2404" t="s">
        <v>2408</v>
      </c>
      <c r="B2404">
        <v>0.99193492352474899</v>
      </c>
      <c r="C2404">
        <v>0.63474368093585498</v>
      </c>
      <c r="D2404">
        <v>1.0354035256383001</v>
      </c>
      <c r="E2404">
        <v>0.62807210726997997</v>
      </c>
      <c r="F2404">
        <v>0.61129175941996905</v>
      </c>
      <c r="G2404">
        <v>0.30429432572732901</v>
      </c>
      <c r="H2404">
        <v>9.8767901174568296E-2</v>
      </c>
      <c r="I2404">
        <v>9.02716125785816E-2</v>
      </c>
      <c r="J2404">
        <v>9.9513235151839505E-2</v>
      </c>
      <c r="K2404">
        <v>0.13049793188674</v>
      </c>
      <c r="L2404">
        <v>607.44420212790499</v>
      </c>
      <c r="M2404">
        <v>11.4196412128526</v>
      </c>
      <c r="N2404">
        <v>53.1929306801918</v>
      </c>
      <c r="O2404">
        <v>51.640159772473901</v>
      </c>
      <c r="P2404">
        <v>-5.5300860088896897E-2</v>
      </c>
      <c r="Q2404">
        <v>0</v>
      </c>
      <c r="R2404">
        <v>0.87114108086076503</v>
      </c>
      <c r="S2404" t="s">
        <v>9074</v>
      </c>
      <c r="T2404" t="s">
        <v>13338</v>
      </c>
      <c r="U2404" t="s">
        <v>13338</v>
      </c>
      <c r="V2404" t="s">
        <v>13338</v>
      </c>
      <c r="W2404" t="s">
        <v>15703</v>
      </c>
      <c r="X2404">
        <v>18</v>
      </c>
      <c r="Y2404" t="s">
        <v>22263</v>
      </c>
      <c r="Z2404" t="s">
        <v>28819</v>
      </c>
      <c r="AA2404">
        <v>0.46930065881408328</v>
      </c>
      <c r="AB2404" t="str">
        <f>HYPERLINK("Melting_Curves/meltCurve_P31689_DNAJA1.pdf", "Melting_Curves/meltCurve_P31689_DNAJA1.pdf")</f>
        <v>Melting_Curves/meltCurve_P31689_DNAJA1.pdf</v>
      </c>
    </row>
    <row r="2405" spans="1:28" x14ac:dyDescent="0.25">
      <c r="A2405" t="s">
        <v>2409</v>
      </c>
      <c r="B2405">
        <v>0.99193492352474899</v>
      </c>
      <c r="C2405">
        <v>0.91946331869560605</v>
      </c>
      <c r="D2405">
        <v>0.79002495774761905</v>
      </c>
      <c r="E2405">
        <v>0.341349331372097</v>
      </c>
      <c r="F2405">
        <v>0.121887886061445</v>
      </c>
      <c r="G2405">
        <v>8.0070130278366097E-2</v>
      </c>
      <c r="H2405">
        <v>5.0017574419520303E-2</v>
      </c>
      <c r="I2405">
        <v>5.5551737752371003E-2</v>
      </c>
      <c r="J2405">
        <v>7.9714088268374395E-2</v>
      </c>
      <c r="K2405">
        <v>8.9682981691306701E-2</v>
      </c>
      <c r="L2405">
        <v>1273.1588355148599</v>
      </c>
      <c r="M2405">
        <v>26.528173544087</v>
      </c>
      <c r="N2405">
        <v>48.247856784230599</v>
      </c>
      <c r="O2405">
        <v>47.722488464638502</v>
      </c>
      <c r="P2405">
        <v>-0.12987657131139499</v>
      </c>
      <c r="Q2405">
        <v>6.5451547978819594E-2</v>
      </c>
      <c r="R2405">
        <v>0.99757414589427496</v>
      </c>
      <c r="S2405" t="s">
        <v>9075</v>
      </c>
      <c r="T2405" t="s">
        <v>13338</v>
      </c>
      <c r="U2405" t="s">
        <v>13338</v>
      </c>
      <c r="V2405" t="s">
        <v>13338</v>
      </c>
      <c r="W2405" t="s">
        <v>15704</v>
      </c>
      <c r="X2405">
        <v>9</v>
      </c>
      <c r="Y2405" t="s">
        <v>22264</v>
      </c>
      <c r="Z2405" t="s">
        <v>28820</v>
      </c>
      <c r="AA2405">
        <v>0.32172130694023021</v>
      </c>
      <c r="AB2405" t="str">
        <f>HYPERLINK("Melting_Curves/meltCurve_P31749_AKT1.pdf", "Melting_Curves/meltCurve_P31749_AKT1.pdf")</f>
        <v>Melting_Curves/meltCurve_P31749_AKT1.pdf</v>
      </c>
    </row>
    <row r="2406" spans="1:28" x14ac:dyDescent="0.25">
      <c r="A2406" t="s">
        <v>2410</v>
      </c>
      <c r="B2406">
        <v>0.99193492352474899</v>
      </c>
      <c r="C2406">
        <v>0.920444372075647</v>
      </c>
      <c r="D2406">
        <v>0.80146001805824196</v>
      </c>
      <c r="E2406">
        <v>0.48975356842885098</v>
      </c>
      <c r="F2406">
        <v>0.19764940070808501</v>
      </c>
      <c r="G2406">
        <v>0.12329705078841</v>
      </c>
      <c r="H2406">
        <v>8.0188428141014401E-2</v>
      </c>
      <c r="I2406">
        <v>8.8430300961146693E-2</v>
      </c>
      <c r="J2406">
        <v>0.10426551448535</v>
      </c>
      <c r="K2406">
        <v>0.10227790200905799</v>
      </c>
      <c r="L2406">
        <v>1029.7617432060899</v>
      </c>
      <c r="M2406">
        <v>21.089233062283299</v>
      </c>
      <c r="N2406">
        <v>49.257881731205998</v>
      </c>
      <c r="O2406">
        <v>48.396112245137601</v>
      </c>
      <c r="P2406">
        <v>-9.9801976271188905E-2</v>
      </c>
      <c r="Q2406">
        <v>8.39116923327555E-2</v>
      </c>
      <c r="R2406">
        <v>0.99761141834731804</v>
      </c>
      <c r="S2406" t="s">
        <v>9076</v>
      </c>
      <c r="T2406" t="s">
        <v>13338</v>
      </c>
      <c r="U2406" t="s">
        <v>13338</v>
      </c>
      <c r="V2406" t="s">
        <v>13338</v>
      </c>
      <c r="W2406" t="s">
        <v>15705</v>
      </c>
      <c r="X2406">
        <v>13</v>
      </c>
      <c r="Y2406" t="s">
        <v>22265</v>
      </c>
      <c r="Z2406" t="s">
        <v>28821</v>
      </c>
      <c r="AA2406">
        <v>0.36503811183603829</v>
      </c>
      <c r="AB2406" t="str">
        <f>HYPERLINK("Melting_Curves/meltCurve_P31751_AKT2.pdf", "Melting_Curves/meltCurve_P31751_AKT2.pdf")</f>
        <v>Melting_Curves/meltCurve_P31751_AKT2.pdf</v>
      </c>
    </row>
    <row r="2407" spans="1:28" x14ac:dyDescent="0.25">
      <c r="A2407" t="s">
        <v>2411</v>
      </c>
      <c r="B2407">
        <v>0.99193492352474899</v>
      </c>
      <c r="C2407">
        <v>0.98414577351332</v>
      </c>
      <c r="D2407">
        <v>0.74362051895255299</v>
      </c>
      <c r="E2407">
        <v>0.52202232120159497</v>
      </c>
      <c r="F2407">
        <v>0.34048218156103</v>
      </c>
      <c r="G2407">
        <v>0.21054348763866201</v>
      </c>
      <c r="H2407">
        <v>0.13332985633188801</v>
      </c>
      <c r="I2407">
        <v>0.13139888622767401</v>
      </c>
      <c r="J2407">
        <v>0.14063668996085199</v>
      </c>
      <c r="K2407">
        <v>0.137952909234872</v>
      </c>
      <c r="L2407">
        <v>812.83412828868495</v>
      </c>
      <c r="M2407">
        <v>16.551463172291701</v>
      </c>
      <c r="N2407">
        <v>49.959979193581297</v>
      </c>
      <c r="O2407">
        <v>48.409420768698602</v>
      </c>
      <c r="P2407">
        <v>-7.4987505512852395E-2</v>
      </c>
      <c r="Q2407">
        <v>0.122771788513894</v>
      </c>
      <c r="R2407">
        <v>0.994190604191586</v>
      </c>
      <c r="S2407" t="s">
        <v>9077</v>
      </c>
      <c r="T2407" t="s">
        <v>13338</v>
      </c>
      <c r="U2407" t="s">
        <v>13338</v>
      </c>
      <c r="V2407" t="s">
        <v>13338</v>
      </c>
      <c r="W2407" t="s">
        <v>15706</v>
      </c>
      <c r="X2407">
        <v>7</v>
      </c>
      <c r="Y2407" t="s">
        <v>22266</v>
      </c>
      <c r="Z2407" t="s">
        <v>28822</v>
      </c>
      <c r="AA2407">
        <v>0.40701876293218359</v>
      </c>
      <c r="AB2407" t="str">
        <f>HYPERLINK("Melting_Curves/meltCurve_P31785_IL2RG.pdf", "Melting_Curves/meltCurve_P31785_IL2RG.pdf")</f>
        <v>Melting_Curves/meltCurve_P31785_IL2RG.pdf</v>
      </c>
    </row>
    <row r="2408" spans="1:28" x14ac:dyDescent="0.25">
      <c r="A2408" t="s">
        <v>2412</v>
      </c>
      <c r="B2408">
        <v>0.99193492352474899</v>
      </c>
      <c r="C2408">
        <v>0.906906996843446</v>
      </c>
      <c r="D2408">
        <v>0.96868790977520502</v>
      </c>
      <c r="E2408">
        <v>0.74077739957446498</v>
      </c>
      <c r="F2408">
        <v>0.61889384860285201</v>
      </c>
      <c r="G2408">
        <v>0.401244381996338</v>
      </c>
      <c r="H2408">
        <v>0.187330187682855</v>
      </c>
      <c r="I2408">
        <v>0.11154929491457601</v>
      </c>
      <c r="J2408">
        <v>0.121116216408931</v>
      </c>
      <c r="K2408">
        <v>0.121912548788895</v>
      </c>
      <c r="L2408">
        <v>739.79254382157399</v>
      </c>
      <c r="M2408">
        <v>13.6507730644527</v>
      </c>
      <c r="N2408">
        <v>54.580973779932599</v>
      </c>
      <c r="O2408">
        <v>53.070845510579197</v>
      </c>
      <c r="P2408">
        <v>-6.1348882941843E-2</v>
      </c>
      <c r="Q2408">
        <v>4.61018922247073E-2</v>
      </c>
      <c r="R2408">
        <v>0.98799215805450302</v>
      </c>
      <c r="S2408" t="s">
        <v>9078</v>
      </c>
      <c r="T2408" t="s">
        <v>13338</v>
      </c>
      <c r="U2408" t="s">
        <v>13338</v>
      </c>
      <c r="V2408" t="s">
        <v>13338</v>
      </c>
      <c r="W2408" t="s">
        <v>15707</v>
      </c>
      <c r="X2408">
        <v>19</v>
      </c>
      <c r="Y2408" t="s">
        <v>22267</v>
      </c>
      <c r="Z2408" t="s">
        <v>28823</v>
      </c>
      <c r="AA2408">
        <v>0.51898559068907058</v>
      </c>
      <c r="AB2408" t="str">
        <f>HYPERLINK("Melting_Curves/meltCurve_P31930_UQCRC1.pdf", "Melting_Curves/meltCurve_P31930_UQCRC1.pdf")</f>
        <v>Melting_Curves/meltCurve_P31930_UQCRC1.pdf</v>
      </c>
    </row>
    <row r="2409" spans="1:28" x14ac:dyDescent="0.25">
      <c r="A2409" t="s">
        <v>2413</v>
      </c>
      <c r="B2409">
        <v>0.99193492352474899</v>
      </c>
      <c r="C2409">
        <v>0.831561224277651</v>
      </c>
      <c r="D2409">
        <v>0.98707882945195602</v>
      </c>
      <c r="E2409">
        <v>0.77954887318336197</v>
      </c>
      <c r="F2409">
        <v>0.780714495365043</v>
      </c>
      <c r="G2409">
        <v>0.56203485919537499</v>
      </c>
      <c r="H2409">
        <v>0.36007366933440099</v>
      </c>
      <c r="I2409">
        <v>0.11450782928435101</v>
      </c>
      <c r="J2409">
        <v>0.120153640058932</v>
      </c>
      <c r="K2409">
        <v>0.123494066012296</v>
      </c>
      <c r="L2409">
        <v>719.39589811102303</v>
      </c>
      <c r="M2409">
        <v>12.555133643964099</v>
      </c>
      <c r="N2409">
        <v>57.298929900157098</v>
      </c>
      <c r="O2409">
        <v>55.903591123433998</v>
      </c>
      <c r="P2409">
        <v>-5.61577218841511E-2</v>
      </c>
      <c r="Q2409">
        <v>0</v>
      </c>
      <c r="R2409">
        <v>0.95700063627643295</v>
      </c>
      <c r="S2409" t="s">
        <v>9079</v>
      </c>
      <c r="T2409" t="s">
        <v>13338</v>
      </c>
      <c r="U2409" t="s">
        <v>13338</v>
      </c>
      <c r="V2409" t="s">
        <v>13338</v>
      </c>
      <c r="W2409" t="s">
        <v>15708</v>
      </c>
      <c r="X2409">
        <v>7</v>
      </c>
      <c r="Y2409" t="s">
        <v>22268</v>
      </c>
      <c r="Z2409" t="s">
        <v>28824</v>
      </c>
      <c r="AA2409">
        <v>0.59238526461896468</v>
      </c>
      <c r="AB2409" t="str">
        <f>HYPERLINK("Melting_Curves/meltCurve_P31937_HIBADH.pdf", "Melting_Curves/meltCurve_P31937_HIBADH.pdf")</f>
        <v>Melting_Curves/meltCurve_P31937_HIBADH.pdf</v>
      </c>
    </row>
    <row r="2410" spans="1:28" x14ac:dyDescent="0.25">
      <c r="A2410" t="s">
        <v>2414</v>
      </c>
      <c r="B2410">
        <v>0.99193492352474899</v>
      </c>
      <c r="C2410">
        <v>1.0461163657265999</v>
      </c>
      <c r="D2410">
        <v>0.93987335009680495</v>
      </c>
      <c r="E2410">
        <v>0.84984626487160497</v>
      </c>
      <c r="F2410">
        <v>0.69498277949335197</v>
      </c>
      <c r="G2410">
        <v>0.51224660059026506</v>
      </c>
      <c r="H2410">
        <v>0.15385863959621099</v>
      </c>
      <c r="I2410">
        <v>0.10010038037210101</v>
      </c>
      <c r="J2410">
        <v>9.9393123786506499E-2</v>
      </c>
      <c r="K2410">
        <v>9.4675941533348795E-2</v>
      </c>
      <c r="L2410">
        <v>924.95953495659103</v>
      </c>
      <c r="M2410">
        <v>16.5889237510012</v>
      </c>
      <c r="N2410">
        <v>55.952331802813603</v>
      </c>
      <c r="O2410">
        <v>54.9663062691113</v>
      </c>
      <c r="P2410">
        <v>-7.3339698983839796E-2</v>
      </c>
      <c r="Q2410">
        <v>2.8041094947221401E-2</v>
      </c>
      <c r="R2410">
        <v>0.98784659766211802</v>
      </c>
      <c r="S2410" t="s">
        <v>9080</v>
      </c>
      <c r="T2410" t="s">
        <v>13338</v>
      </c>
      <c r="U2410" t="s">
        <v>13338</v>
      </c>
      <c r="V2410" t="s">
        <v>13338</v>
      </c>
      <c r="W2410" t="s">
        <v>15709</v>
      </c>
      <c r="X2410">
        <v>38</v>
      </c>
      <c r="Y2410" t="s">
        <v>22269</v>
      </c>
      <c r="Z2410" t="s">
        <v>28825</v>
      </c>
      <c r="AA2410">
        <v>0.55452139992421412</v>
      </c>
      <c r="AB2410" t="str">
        <f>HYPERLINK("Melting_Curves/meltCurve_P31939_ATIC.pdf", "Melting_Curves/meltCurve_P31939_ATIC.pdf")</f>
        <v>Melting_Curves/meltCurve_P31939_ATIC.pdf</v>
      </c>
    </row>
    <row r="2411" spans="1:28" x14ac:dyDescent="0.25">
      <c r="A2411" t="s">
        <v>2415</v>
      </c>
      <c r="B2411">
        <v>0.99193492352474899</v>
      </c>
      <c r="C2411">
        <v>0.494012754965935</v>
      </c>
      <c r="D2411">
        <v>0.37410874670914201</v>
      </c>
      <c r="E2411">
        <v>0.154000778066299</v>
      </c>
      <c r="F2411">
        <v>9.0877256590547198E-2</v>
      </c>
      <c r="G2411">
        <v>4.8277721728255001E-2</v>
      </c>
      <c r="H2411">
        <v>3.9381360742172203E-2</v>
      </c>
      <c r="I2411">
        <v>6.2973306226094997E-2</v>
      </c>
      <c r="J2411">
        <v>0.10591692272471501</v>
      </c>
      <c r="K2411">
        <v>0.10536211428459299</v>
      </c>
      <c r="L2411">
        <v>929.84784660957303</v>
      </c>
      <c r="M2411">
        <v>21.374521043251299</v>
      </c>
      <c r="N2411">
        <v>43.847157274092901</v>
      </c>
      <c r="O2411">
        <v>43.1272192767333</v>
      </c>
      <c r="P2411">
        <v>-0.11432874926782199</v>
      </c>
      <c r="Q2411">
        <v>7.7301871359809898E-2</v>
      </c>
      <c r="R2411">
        <v>0.95518009659033898</v>
      </c>
      <c r="S2411" t="s">
        <v>9081</v>
      </c>
      <c r="T2411" t="s">
        <v>13338</v>
      </c>
      <c r="U2411" t="s">
        <v>13338</v>
      </c>
      <c r="V2411" t="s">
        <v>13338</v>
      </c>
      <c r="W2411" t="s">
        <v>15710</v>
      </c>
      <c r="X2411">
        <v>10</v>
      </c>
      <c r="Y2411" t="s">
        <v>22270</v>
      </c>
      <c r="Z2411" t="s">
        <v>28826</v>
      </c>
      <c r="AA2411">
        <v>0.2018952808059854</v>
      </c>
      <c r="AB2411" t="str">
        <f>HYPERLINK("Melting_Curves/meltCurve_P31942_2_HNRNPH3.pdf", "Melting_Curves/meltCurve_P31942_2_HNRNPH3.pdf")</f>
        <v>Melting_Curves/meltCurve_P31942_2_HNRNPH3.pdf</v>
      </c>
    </row>
    <row r="2412" spans="1:28" x14ac:dyDescent="0.25">
      <c r="A2412" t="s">
        <v>2416</v>
      </c>
      <c r="B2412">
        <v>0.99193492352474899</v>
      </c>
      <c r="C2412">
        <v>0.94463706282109605</v>
      </c>
      <c r="D2412">
        <v>0.91619142387062402</v>
      </c>
      <c r="E2412">
        <v>0.71098304068691298</v>
      </c>
      <c r="F2412">
        <v>0.45624533070097201</v>
      </c>
      <c r="G2412">
        <v>0.17918172893538201</v>
      </c>
      <c r="H2412">
        <v>8.5496611752949106E-2</v>
      </c>
      <c r="I2412">
        <v>8.6562534586055007E-2</v>
      </c>
      <c r="J2412">
        <v>9.6519635741410301E-2</v>
      </c>
      <c r="K2412">
        <v>8.7514456488274606E-2</v>
      </c>
      <c r="L2412">
        <v>988.25429958478401</v>
      </c>
      <c r="M2412">
        <v>19.068997794524201</v>
      </c>
      <c r="N2412">
        <v>52.196121087800599</v>
      </c>
      <c r="O2412">
        <v>51.265326831923403</v>
      </c>
      <c r="P2412">
        <v>-8.7102487803027706E-2</v>
      </c>
      <c r="Q2412">
        <v>6.3367233094893005E-2</v>
      </c>
      <c r="R2412">
        <v>0.99591803555800396</v>
      </c>
      <c r="S2412" t="s">
        <v>9082</v>
      </c>
      <c r="T2412" t="s">
        <v>13338</v>
      </c>
      <c r="U2412" t="s">
        <v>13338</v>
      </c>
      <c r="V2412" t="s">
        <v>13338</v>
      </c>
      <c r="W2412" t="s">
        <v>15711</v>
      </c>
      <c r="X2412">
        <v>22</v>
      </c>
      <c r="Y2412" t="s">
        <v>22271</v>
      </c>
      <c r="Z2412" t="s">
        <v>28827</v>
      </c>
      <c r="AA2412">
        <v>0.44668749029847987</v>
      </c>
      <c r="AB2412" t="str">
        <f>HYPERLINK("Melting_Curves/meltCurve_P31946_2_YWHAB.pdf", "Melting_Curves/meltCurve_P31946_2_YWHAB.pdf")</f>
        <v>Melting_Curves/meltCurve_P31946_2_YWHAB.pdf</v>
      </c>
    </row>
    <row r="2413" spans="1:28" x14ac:dyDescent="0.25">
      <c r="A2413" t="s">
        <v>2417</v>
      </c>
      <c r="B2413">
        <v>0.99193492352474899</v>
      </c>
      <c r="C2413">
        <v>0.80605262892946605</v>
      </c>
      <c r="D2413">
        <v>0.89643052804434398</v>
      </c>
      <c r="E2413">
        <v>0.63244739668516203</v>
      </c>
      <c r="F2413">
        <v>0.48490400585934701</v>
      </c>
      <c r="G2413">
        <v>0.25613466615645702</v>
      </c>
      <c r="H2413">
        <v>0.13341355237920399</v>
      </c>
      <c r="I2413">
        <v>0.13217545463914701</v>
      </c>
      <c r="J2413">
        <v>0.119547233268846</v>
      </c>
      <c r="K2413">
        <v>0.13665558330622801</v>
      </c>
      <c r="L2413">
        <v>658.181407482439</v>
      </c>
      <c r="M2413">
        <v>12.781748798709801</v>
      </c>
      <c r="N2413">
        <v>52.079725165787004</v>
      </c>
      <c r="O2413">
        <v>50.282223790706396</v>
      </c>
      <c r="P2413">
        <v>-5.9305581464652202E-2</v>
      </c>
      <c r="Q2413">
        <v>6.6965253248687004E-2</v>
      </c>
      <c r="R2413">
        <v>0.97511585735648998</v>
      </c>
      <c r="S2413" t="s">
        <v>9083</v>
      </c>
      <c r="T2413" t="s">
        <v>13338</v>
      </c>
      <c r="U2413" t="s">
        <v>13338</v>
      </c>
      <c r="V2413" t="s">
        <v>13338</v>
      </c>
      <c r="W2413" t="s">
        <v>15712</v>
      </c>
      <c r="X2413">
        <v>6</v>
      </c>
      <c r="Y2413" t="s">
        <v>22272</v>
      </c>
      <c r="Z2413" t="s">
        <v>28828</v>
      </c>
      <c r="AA2413">
        <v>0.45146294036099849</v>
      </c>
      <c r="AB2413" t="str">
        <f>HYPERLINK("Melting_Curves/meltCurve_P31947_2_SFN.pdf", "Melting_Curves/meltCurve_P31947_2_SFN.pdf")</f>
        <v>Melting_Curves/meltCurve_P31947_2_SFN.pdf</v>
      </c>
    </row>
    <row r="2414" spans="1:28" x14ac:dyDescent="0.25">
      <c r="A2414" t="s">
        <v>2418</v>
      </c>
      <c r="B2414">
        <v>0.99193492352474899</v>
      </c>
      <c r="C2414">
        <v>0.952272424615484</v>
      </c>
      <c r="D2414">
        <v>0.84723231638448204</v>
      </c>
      <c r="E2414">
        <v>0.73751355091569304</v>
      </c>
      <c r="F2414">
        <v>0.44787146301131397</v>
      </c>
      <c r="G2414">
        <v>0.20785757905601601</v>
      </c>
      <c r="H2414">
        <v>0.12685621239120301</v>
      </c>
      <c r="I2414">
        <v>0.156527174753226</v>
      </c>
      <c r="J2414">
        <v>0.19035450958715799</v>
      </c>
      <c r="K2414">
        <v>0.249255534701741</v>
      </c>
      <c r="L2414">
        <v>1038.1158955199201</v>
      </c>
      <c r="M2414">
        <v>20.333435428034999</v>
      </c>
      <c r="N2414">
        <v>52.064148663406598</v>
      </c>
      <c r="O2414">
        <v>50.568503783751602</v>
      </c>
      <c r="P2414">
        <v>-8.41500501663527E-2</v>
      </c>
      <c r="Q2414">
        <v>0.16291323917864201</v>
      </c>
      <c r="R2414">
        <v>0.97969784649661296</v>
      </c>
      <c r="S2414" t="s">
        <v>9084</v>
      </c>
      <c r="T2414" t="s">
        <v>13338</v>
      </c>
      <c r="U2414" t="s">
        <v>13338</v>
      </c>
      <c r="V2414" t="s">
        <v>13338</v>
      </c>
      <c r="W2414" t="s">
        <v>15713</v>
      </c>
      <c r="X2414">
        <v>75</v>
      </c>
      <c r="Y2414" t="s">
        <v>22273</v>
      </c>
      <c r="Z2414" t="s">
        <v>28829</v>
      </c>
      <c r="AA2414">
        <v>0.4826335394257445</v>
      </c>
      <c r="AB2414" t="str">
        <f>HYPERLINK("Melting_Curves/meltCurve_P31948_STIP1.pdf", "Melting_Curves/meltCurve_P31948_STIP1.pdf")</f>
        <v>Melting_Curves/meltCurve_P31948_STIP1.pdf</v>
      </c>
    </row>
    <row r="2415" spans="1:28" x14ac:dyDescent="0.25">
      <c r="A2415" t="s">
        <v>2419</v>
      </c>
      <c r="B2415">
        <v>0.99193492352474899</v>
      </c>
      <c r="C2415">
        <v>0.91085764326101004</v>
      </c>
      <c r="D2415">
        <v>0.84375400769290498</v>
      </c>
      <c r="E2415">
        <v>0.35909501387030301</v>
      </c>
      <c r="F2415">
        <v>0.170944127367745</v>
      </c>
      <c r="G2415">
        <v>0.100563260292028</v>
      </c>
      <c r="H2415">
        <v>8.1406165406724504E-2</v>
      </c>
      <c r="I2415">
        <v>0.12254949757193601</v>
      </c>
      <c r="J2415">
        <v>0.15431212011672599</v>
      </c>
      <c r="K2415">
        <v>0.19895809884028201</v>
      </c>
      <c r="L2415">
        <v>1522.1215137904101</v>
      </c>
      <c r="M2415">
        <v>31.692538574809401</v>
      </c>
      <c r="N2415">
        <v>48.489321242044902</v>
      </c>
      <c r="O2415">
        <v>47.837750971278197</v>
      </c>
      <c r="P2415">
        <v>-0.144059443792738</v>
      </c>
      <c r="Q2415">
        <v>0.13021249143008301</v>
      </c>
      <c r="R2415">
        <v>0.98832484922194896</v>
      </c>
      <c r="S2415" t="s">
        <v>9085</v>
      </c>
      <c r="T2415" t="s">
        <v>13338</v>
      </c>
      <c r="U2415" t="s">
        <v>13338</v>
      </c>
      <c r="V2415" t="s">
        <v>13338</v>
      </c>
      <c r="W2415" t="s">
        <v>15714</v>
      </c>
      <c r="X2415">
        <v>6</v>
      </c>
      <c r="Y2415" t="s">
        <v>22274</v>
      </c>
      <c r="Z2415" t="s">
        <v>28830</v>
      </c>
      <c r="AA2415">
        <v>0.36763137106429011</v>
      </c>
      <c r="AB2415" t="str">
        <f>HYPERLINK("Melting_Curves/meltCurve_P32019_3_INPP5B.pdf", "Melting_Curves/meltCurve_P32019_3_INPP5B.pdf")</f>
        <v>Melting_Curves/meltCurve_P32019_3_INPP5B.pdf</v>
      </c>
    </row>
    <row r="2416" spans="1:28" x14ac:dyDescent="0.25">
      <c r="A2416" t="s">
        <v>2420</v>
      </c>
      <c r="B2416">
        <v>0.99193492352474899</v>
      </c>
      <c r="C2416">
        <v>0.79885489749761596</v>
      </c>
      <c r="D2416">
        <v>0.82780146620519002</v>
      </c>
      <c r="E2416">
        <v>0.65459724700746702</v>
      </c>
      <c r="F2416">
        <v>0.53177903721588105</v>
      </c>
      <c r="G2416">
        <v>0.21746691244250299</v>
      </c>
      <c r="H2416">
        <v>8.9974776407110102E-2</v>
      </c>
      <c r="I2416">
        <v>9.5712676617697307E-2</v>
      </c>
      <c r="J2416">
        <v>0.112978083577657</v>
      </c>
      <c r="K2416">
        <v>0.110010870358538</v>
      </c>
      <c r="L2416">
        <v>598.67759211296004</v>
      </c>
      <c r="M2416">
        <v>11.530764919646501</v>
      </c>
      <c r="N2416">
        <v>52.0436701214336</v>
      </c>
      <c r="O2416">
        <v>50.432073488250097</v>
      </c>
      <c r="P2416">
        <v>-5.6403402649926701E-2</v>
      </c>
      <c r="Q2416">
        <v>1.35115533077181E-2</v>
      </c>
      <c r="R2416">
        <v>0.96679737247411002</v>
      </c>
      <c r="S2416" t="s">
        <v>9086</v>
      </c>
      <c r="T2416" t="s">
        <v>13338</v>
      </c>
      <c r="U2416" t="s">
        <v>13338</v>
      </c>
      <c r="V2416" t="s">
        <v>13338</v>
      </c>
      <c r="W2416" t="s">
        <v>15715</v>
      </c>
      <c r="X2416">
        <v>18</v>
      </c>
      <c r="Y2416" t="s">
        <v>22275</v>
      </c>
      <c r="Z2416" t="s">
        <v>28831</v>
      </c>
      <c r="AA2416">
        <v>0.43741083754731741</v>
      </c>
      <c r="AB2416" t="str">
        <f>HYPERLINK("Melting_Curves/meltCurve_P32119_PRDX2.pdf", "Melting_Curves/meltCurve_P32119_PRDX2.pdf")</f>
        <v>Melting_Curves/meltCurve_P32119_PRDX2.pdf</v>
      </c>
    </row>
    <row r="2417" spans="1:28" x14ac:dyDescent="0.25">
      <c r="A2417" t="s">
        <v>2421</v>
      </c>
      <c r="B2417">
        <v>0.99193492352474899</v>
      </c>
      <c r="C2417">
        <v>0.86588769150980405</v>
      </c>
      <c r="D2417">
        <v>0.82323194305369995</v>
      </c>
      <c r="E2417">
        <v>0.60867012316340896</v>
      </c>
      <c r="F2417">
        <v>0.171224033828028</v>
      </c>
      <c r="G2417">
        <v>9.7322940766605207E-2</v>
      </c>
      <c r="H2417">
        <v>6.4300144204354995E-2</v>
      </c>
      <c r="I2417">
        <v>6.7935321819238295E-2</v>
      </c>
      <c r="J2417">
        <v>6.5849231411428996E-2</v>
      </c>
      <c r="K2417">
        <v>6.9249958877214496E-2</v>
      </c>
      <c r="L2417">
        <v>1043.0893614332499</v>
      </c>
      <c r="M2417">
        <v>20.990491768817002</v>
      </c>
      <c r="N2417">
        <v>49.9346529078449</v>
      </c>
      <c r="O2417">
        <v>49.249003825341198</v>
      </c>
      <c r="P2417">
        <v>-0.10141809268091601</v>
      </c>
      <c r="Q2417">
        <v>4.8215873662026898E-2</v>
      </c>
      <c r="R2417">
        <v>0.98389888236495804</v>
      </c>
      <c r="S2417" t="s">
        <v>9087</v>
      </c>
      <c r="T2417" t="s">
        <v>13338</v>
      </c>
      <c r="U2417" t="s">
        <v>13338</v>
      </c>
      <c r="V2417" t="s">
        <v>13338</v>
      </c>
      <c r="W2417" t="s">
        <v>15716</v>
      </c>
      <c r="X2417">
        <v>12</v>
      </c>
      <c r="Y2417" t="s">
        <v>22276</v>
      </c>
      <c r="Z2417" t="s">
        <v>28832</v>
      </c>
      <c r="AA2417">
        <v>0.36780550658865929</v>
      </c>
      <c r="AB2417" t="str">
        <f>HYPERLINK("Melting_Curves/meltCurve_P32121_ARRB2.pdf", "Melting_Curves/meltCurve_P32121_ARRB2.pdf")</f>
        <v>Melting_Curves/meltCurve_P32121_ARRB2.pdf</v>
      </c>
    </row>
    <row r="2418" spans="1:28" x14ac:dyDescent="0.25">
      <c r="A2418" t="s">
        <v>2422</v>
      </c>
      <c r="B2418">
        <v>0.99193492352474899</v>
      </c>
      <c r="C2418">
        <v>0.94116624349406397</v>
      </c>
      <c r="D2418">
        <v>1.14516883192779</v>
      </c>
      <c r="E2418">
        <v>0.91057511828743798</v>
      </c>
      <c r="F2418">
        <v>0.91350880226887599</v>
      </c>
      <c r="G2418">
        <v>0.72697387268112801</v>
      </c>
      <c r="H2418">
        <v>0.63845224653449295</v>
      </c>
      <c r="I2418">
        <v>0.59507794106427103</v>
      </c>
      <c r="J2418">
        <v>0.40379045737869401</v>
      </c>
      <c r="K2418">
        <v>0.14731879847624599</v>
      </c>
      <c r="L2418">
        <v>739.70480977411</v>
      </c>
      <c r="M2418">
        <v>11.5914366448349</v>
      </c>
      <c r="N2418">
        <v>63.814768310948701</v>
      </c>
      <c r="O2418">
        <v>62.004137790498604</v>
      </c>
      <c r="P2418">
        <v>-4.6749414482743099E-2</v>
      </c>
      <c r="Q2418">
        <v>0</v>
      </c>
      <c r="R2418">
        <v>0.92335364265150999</v>
      </c>
      <c r="S2418" t="s">
        <v>9088</v>
      </c>
      <c r="T2418" t="s">
        <v>13338</v>
      </c>
      <c r="U2418" t="s">
        <v>13338</v>
      </c>
      <c r="V2418" t="s">
        <v>13338</v>
      </c>
      <c r="W2418" t="s">
        <v>15717</v>
      </c>
      <c r="X2418">
        <v>8</v>
      </c>
      <c r="Y2418" t="s">
        <v>22277</v>
      </c>
      <c r="Z2418" t="s">
        <v>28833</v>
      </c>
      <c r="AA2418">
        <v>0.7642478867933028</v>
      </c>
      <c r="AB2418" t="str">
        <f>HYPERLINK("Melting_Curves/meltCurve_P32189_1_GK.pdf", "Melting_Curves/meltCurve_P32189_1_GK.pdf")</f>
        <v>Melting_Curves/meltCurve_P32189_1_GK.pdf</v>
      </c>
    </row>
    <row r="2419" spans="1:28" x14ac:dyDescent="0.25">
      <c r="A2419" t="s">
        <v>2423</v>
      </c>
      <c r="B2419">
        <v>0.99193492352474899</v>
      </c>
      <c r="C2419">
        <v>1.17092635253116</v>
      </c>
      <c r="D2419">
        <v>0.87910128266424103</v>
      </c>
      <c r="E2419">
        <v>0.91590644761540196</v>
      </c>
      <c r="F2419">
        <v>0.771684060040986</v>
      </c>
      <c r="G2419">
        <v>0.685142004985001</v>
      </c>
      <c r="H2419">
        <v>0.48173373514081402</v>
      </c>
      <c r="I2419">
        <v>0.38014256945665198</v>
      </c>
      <c r="J2419">
        <v>0.18753205777108001</v>
      </c>
      <c r="K2419">
        <v>0.105536408353782</v>
      </c>
      <c r="L2419">
        <v>708.16139380428206</v>
      </c>
      <c r="M2419">
        <v>11.794630741149399</v>
      </c>
      <c r="N2419">
        <v>60.040997455352198</v>
      </c>
      <c r="O2419">
        <v>58.393026020748998</v>
      </c>
      <c r="P2419">
        <v>-5.0509758667629599E-2</v>
      </c>
      <c r="Q2419">
        <v>0</v>
      </c>
      <c r="R2419">
        <v>0.95470815286594402</v>
      </c>
      <c r="S2419" t="s">
        <v>9089</v>
      </c>
      <c r="T2419" t="s">
        <v>13338</v>
      </c>
      <c r="U2419" t="s">
        <v>13338</v>
      </c>
      <c r="V2419" t="s">
        <v>13338</v>
      </c>
      <c r="W2419" t="s">
        <v>15718</v>
      </c>
      <c r="X2419">
        <v>10</v>
      </c>
      <c r="Y2419" t="s">
        <v>22278</v>
      </c>
      <c r="Z2419" t="s">
        <v>28834</v>
      </c>
      <c r="AA2419">
        <v>0.66965728127211499</v>
      </c>
      <c r="AB2419" t="str">
        <f>HYPERLINK("Melting_Curves/meltCurve_P32321_2_DCTD.pdf", "Melting_Curves/meltCurve_P32321_2_DCTD.pdf")</f>
        <v>Melting_Curves/meltCurve_P32321_2_DCTD.pdf</v>
      </c>
    </row>
    <row r="2420" spans="1:28" x14ac:dyDescent="0.25">
      <c r="A2420" t="s">
        <v>2424</v>
      </c>
      <c r="B2420">
        <v>0.99193492352474899</v>
      </c>
      <c r="C2420">
        <v>1.06997378908587</v>
      </c>
      <c r="D2420">
        <v>1.14898620101866</v>
      </c>
      <c r="E2420">
        <v>1.0257117038533601</v>
      </c>
      <c r="F2420">
        <v>0.98117100059234097</v>
      </c>
      <c r="G2420">
        <v>0.73104259846888497</v>
      </c>
      <c r="H2420">
        <v>0.52628015934447003</v>
      </c>
      <c r="I2420">
        <v>0.57955475885629704</v>
      </c>
      <c r="J2420">
        <v>0.63716435259366899</v>
      </c>
      <c r="K2420">
        <v>0.29069599585711298</v>
      </c>
      <c r="L2420">
        <v>2151.9809096256299</v>
      </c>
      <c r="M2420">
        <v>37.949627431618801</v>
      </c>
      <c r="N2420">
        <v>65.113308090063498</v>
      </c>
      <c r="O2420">
        <v>56.549464279692799</v>
      </c>
      <c r="P2420">
        <v>-8.4510873146607796E-2</v>
      </c>
      <c r="Q2420">
        <v>0.49627614818201898</v>
      </c>
      <c r="R2420">
        <v>0.868100420493781</v>
      </c>
      <c r="S2420" t="s">
        <v>9090</v>
      </c>
      <c r="T2420" t="s">
        <v>13338</v>
      </c>
      <c r="U2420" t="s">
        <v>13338</v>
      </c>
      <c r="V2420" t="s">
        <v>13338</v>
      </c>
      <c r="W2420" t="s">
        <v>15719</v>
      </c>
      <c r="X2420">
        <v>13</v>
      </c>
      <c r="Y2420" t="s">
        <v>22279</v>
      </c>
      <c r="Z2420" t="s">
        <v>28835</v>
      </c>
      <c r="AA2420">
        <v>0.77895328961078791</v>
      </c>
      <c r="AB2420" t="str">
        <f>HYPERLINK("Melting_Curves/meltCurve_P32322_PYCR1.pdf", "Melting_Curves/meltCurve_P32322_PYCR1.pdf")</f>
        <v>Melting_Curves/meltCurve_P32322_PYCR1.pdf</v>
      </c>
    </row>
    <row r="2421" spans="1:28" x14ac:dyDescent="0.25">
      <c r="A2421" t="s">
        <v>2425</v>
      </c>
      <c r="B2421">
        <v>0.99193492352474899</v>
      </c>
      <c r="C2421">
        <v>0.86557569686194302</v>
      </c>
      <c r="D2421">
        <v>0.91094504707492896</v>
      </c>
      <c r="E2421">
        <v>0.68355164243424404</v>
      </c>
      <c r="F2421">
        <v>0.21557272012765499</v>
      </c>
      <c r="G2421">
        <v>0.132565888011174</v>
      </c>
      <c r="H2421">
        <v>7.2103832499099005E-2</v>
      </c>
      <c r="I2421">
        <v>0.100560144649435</v>
      </c>
      <c r="J2421">
        <v>0.123969133008219</v>
      </c>
      <c r="K2421">
        <v>0.14125315093117799</v>
      </c>
      <c r="L2421">
        <v>1606.9796928738499</v>
      </c>
      <c r="M2421">
        <v>31.9199267936872</v>
      </c>
      <c r="N2421">
        <v>50.720243952592298</v>
      </c>
      <c r="O2421">
        <v>50.147708839713196</v>
      </c>
      <c r="P2421">
        <v>-0.142358383144188</v>
      </c>
      <c r="Q2421">
        <v>0.10539727079109899</v>
      </c>
      <c r="R2421">
        <v>0.98233963449811901</v>
      </c>
      <c r="S2421" t="s">
        <v>9091</v>
      </c>
      <c r="T2421" t="s">
        <v>13338</v>
      </c>
      <c r="U2421" t="s">
        <v>13338</v>
      </c>
      <c r="V2421" t="s">
        <v>13338</v>
      </c>
      <c r="W2421" t="s">
        <v>15720</v>
      </c>
      <c r="X2421">
        <v>9</v>
      </c>
      <c r="Y2421" t="s">
        <v>22280</v>
      </c>
      <c r="Z2421" t="s">
        <v>28836</v>
      </c>
      <c r="AA2421">
        <v>0.41876885501375488</v>
      </c>
      <c r="AB2421" t="str">
        <f>HYPERLINK("Melting_Curves/meltCurve_P32455_GBP1.pdf", "Melting_Curves/meltCurve_P32455_GBP1.pdf")</f>
        <v>Melting_Curves/meltCurve_P32455_GBP1.pdf</v>
      </c>
    </row>
    <row r="2422" spans="1:28" x14ac:dyDescent="0.25">
      <c r="A2422" t="s">
        <v>2426</v>
      </c>
      <c r="B2422">
        <v>0.99193492352474899</v>
      </c>
      <c r="C2422">
        <v>0.482222489358198</v>
      </c>
      <c r="D2422">
        <v>0.30531815031924597</v>
      </c>
      <c r="E2422">
        <v>0.212082867217428</v>
      </c>
      <c r="F2422">
        <v>0.133823349485413</v>
      </c>
      <c r="G2422">
        <v>9.7303735045810399E-2</v>
      </c>
      <c r="H2422">
        <v>7.6567333601639601E-2</v>
      </c>
      <c r="I2422">
        <v>0.103105649339659</v>
      </c>
      <c r="J2422">
        <v>0.15312513369332001</v>
      </c>
      <c r="K2422">
        <v>0.143621279671858</v>
      </c>
      <c r="L2422">
        <v>1282.0620537033101</v>
      </c>
      <c r="M2422">
        <v>29.9649390470741</v>
      </c>
      <c r="N2422">
        <v>43.238590447074401</v>
      </c>
      <c r="O2422">
        <v>42.596229096458103</v>
      </c>
      <c r="P2422">
        <v>-0.152166820021538</v>
      </c>
      <c r="Q2422">
        <v>0.13476390294479099</v>
      </c>
      <c r="R2422">
        <v>0.96039976769057001</v>
      </c>
      <c r="S2422" t="s">
        <v>9092</v>
      </c>
      <c r="T2422" t="s">
        <v>13338</v>
      </c>
      <c r="U2422" t="s">
        <v>13338</v>
      </c>
      <c r="V2422" t="s">
        <v>13338</v>
      </c>
      <c r="W2422" t="s">
        <v>15721</v>
      </c>
      <c r="X2422">
        <v>5</v>
      </c>
      <c r="Y2422" t="s">
        <v>22281</v>
      </c>
      <c r="Z2422" t="s">
        <v>28837</v>
      </c>
      <c r="AA2422">
        <v>0.22365388192864311</v>
      </c>
      <c r="AB2422" t="str">
        <f>HYPERLINK("Melting_Curves/meltCurve_P32519_2_ELF1.pdf", "Melting_Curves/meltCurve_P32519_2_ELF1.pdf")</f>
        <v>Melting_Curves/meltCurve_P32519_2_ELF1.pdf</v>
      </c>
    </row>
    <row r="2423" spans="1:28" x14ac:dyDescent="0.25">
      <c r="A2423" t="s">
        <v>2427</v>
      </c>
      <c r="B2423">
        <v>0.99193492352474899</v>
      </c>
      <c r="C2423">
        <v>0.57193042847061404</v>
      </c>
      <c r="D2423">
        <v>0.62616431765172698</v>
      </c>
      <c r="E2423">
        <v>0.23857758020821099</v>
      </c>
      <c r="F2423">
        <v>0.13460477274864999</v>
      </c>
      <c r="G2423">
        <v>8.1120341532591206E-2</v>
      </c>
      <c r="H2423">
        <v>5.6635103407698797E-2</v>
      </c>
      <c r="I2423">
        <v>8.2221791305348402E-2</v>
      </c>
      <c r="J2423">
        <v>0.12988645337139301</v>
      </c>
      <c r="K2423">
        <v>0.122543107649545</v>
      </c>
      <c r="L2423">
        <v>704.46078015676096</v>
      </c>
      <c r="M2423">
        <v>15.521860445298699</v>
      </c>
      <c r="N2423">
        <v>45.878626706383699</v>
      </c>
      <c r="O2423">
        <v>44.6517771137719</v>
      </c>
      <c r="P2423">
        <v>-8.0229802153660004E-2</v>
      </c>
      <c r="Q2423">
        <v>7.6892420130235395E-2</v>
      </c>
      <c r="R2423">
        <v>0.93200580758122098</v>
      </c>
      <c r="S2423" t="s">
        <v>9093</v>
      </c>
      <c r="T2423" t="s">
        <v>13338</v>
      </c>
      <c r="U2423" t="s">
        <v>13338</v>
      </c>
      <c r="V2423" t="s">
        <v>13338</v>
      </c>
      <c r="W2423" t="s">
        <v>15722</v>
      </c>
      <c r="X2423">
        <v>7</v>
      </c>
      <c r="Y2423" t="s">
        <v>22282</v>
      </c>
      <c r="Z2423" t="s">
        <v>28838</v>
      </c>
      <c r="AA2423">
        <v>0.26909468468686748</v>
      </c>
      <c r="AB2423" t="str">
        <f>HYPERLINK("Melting_Curves/meltCurve_P32780_GTF2H1.pdf", "Melting_Curves/meltCurve_P32780_GTF2H1.pdf")</f>
        <v>Melting_Curves/meltCurve_P32780_GTF2H1.pdf</v>
      </c>
    </row>
    <row r="2424" spans="1:28" x14ac:dyDescent="0.25">
      <c r="A2424" t="s">
        <v>2428</v>
      </c>
      <c r="B2424">
        <v>0.99193492352474899</v>
      </c>
      <c r="C2424">
        <v>0.92150165818895502</v>
      </c>
      <c r="D2424">
        <v>0.707185896255209</v>
      </c>
      <c r="E2424">
        <v>0.61569797828541695</v>
      </c>
      <c r="F2424">
        <v>0.40079388630447599</v>
      </c>
      <c r="G2424">
        <v>0.22441729206345701</v>
      </c>
      <c r="H2424">
        <v>0.14448014246964699</v>
      </c>
      <c r="I2424">
        <v>0.157072280535799</v>
      </c>
      <c r="J2424">
        <v>0.157645845039522</v>
      </c>
      <c r="K2424">
        <v>0.258200942061316</v>
      </c>
      <c r="L2424">
        <v>705.52865539628499</v>
      </c>
      <c r="M2424">
        <v>14.305182134038199</v>
      </c>
      <c r="N2424">
        <v>50.5968218996126</v>
      </c>
      <c r="O2424">
        <v>48.386029330893003</v>
      </c>
      <c r="P2424">
        <v>-6.2719628283676707E-2</v>
      </c>
      <c r="Q2424">
        <v>0.151528537049095</v>
      </c>
      <c r="R2424">
        <v>0.97467175040199705</v>
      </c>
      <c r="S2424" t="s">
        <v>9094</v>
      </c>
      <c r="T2424" t="s">
        <v>13338</v>
      </c>
      <c r="U2424" t="s">
        <v>13338</v>
      </c>
      <c r="V2424" t="s">
        <v>13338</v>
      </c>
      <c r="W2424" t="s">
        <v>15723</v>
      </c>
      <c r="X2424">
        <v>5</v>
      </c>
      <c r="Y2424" t="s">
        <v>22283</v>
      </c>
      <c r="Z2424" t="s">
        <v>28839</v>
      </c>
      <c r="AA2424">
        <v>0.43768879873360861</v>
      </c>
      <c r="AB2424" t="str">
        <f>HYPERLINK("Melting_Curves/meltCurve_P32856_3_STX2.pdf", "Melting_Curves/meltCurve_P32856_3_STX2.pdf")</f>
        <v>Melting_Curves/meltCurve_P32856_3_STX2.pdf</v>
      </c>
    </row>
    <row r="2425" spans="1:28" x14ac:dyDescent="0.25">
      <c r="A2425" t="s">
        <v>2429</v>
      </c>
      <c r="B2425">
        <v>0.99193492352474899</v>
      </c>
      <c r="C2425">
        <v>1.0318829027760299</v>
      </c>
      <c r="D2425">
        <v>1.03468276057389</v>
      </c>
      <c r="E2425">
        <v>0.86199283571207996</v>
      </c>
      <c r="F2425">
        <v>1.03183633525138</v>
      </c>
      <c r="G2425">
        <v>0.76394556125058699</v>
      </c>
      <c r="H2425">
        <v>0.51135938283041504</v>
      </c>
      <c r="I2425">
        <v>0.58845302199065797</v>
      </c>
      <c r="J2425">
        <v>0.74334185337585201</v>
      </c>
      <c r="K2425">
        <v>0.673064062844135</v>
      </c>
      <c r="L2425">
        <v>14168.2149678813</v>
      </c>
      <c r="M2425">
        <v>250</v>
      </c>
      <c r="O2425">
        <v>56.669230529175302</v>
      </c>
      <c r="P2425">
        <v>-0.40911244994124901</v>
      </c>
      <c r="Q2425">
        <v>0.62905457923220498</v>
      </c>
      <c r="R2425">
        <v>0.847520705234595</v>
      </c>
      <c r="S2425" t="s">
        <v>9095</v>
      </c>
      <c r="T2425" t="s">
        <v>13338</v>
      </c>
      <c r="U2425" t="s">
        <v>13338</v>
      </c>
      <c r="V2425" t="s">
        <v>13338</v>
      </c>
      <c r="W2425" t="s">
        <v>15724</v>
      </c>
      <c r="X2425">
        <v>13</v>
      </c>
      <c r="Y2425" t="s">
        <v>22284</v>
      </c>
      <c r="Z2425" t="s">
        <v>28840</v>
      </c>
      <c r="AA2425">
        <v>0.8352488408071308</v>
      </c>
      <c r="AB2425" t="str">
        <f>HYPERLINK("Melting_Curves/meltCurve_P32929_CTH.pdf", "Melting_Curves/meltCurve_P32929_CTH.pdf")</f>
        <v>Melting_Curves/meltCurve_P32929_CTH.pdf</v>
      </c>
    </row>
    <row r="2426" spans="1:28" x14ac:dyDescent="0.25">
      <c r="A2426" t="s">
        <v>2430</v>
      </c>
      <c r="B2426">
        <v>0.99193492352474899</v>
      </c>
      <c r="C2426">
        <v>1.0095982117630999</v>
      </c>
      <c r="D2426">
        <v>1.07937783809901</v>
      </c>
      <c r="E2426">
        <v>0.84370242754994895</v>
      </c>
      <c r="F2426">
        <v>0.79942613589442502</v>
      </c>
      <c r="G2426">
        <v>0.53130310760255595</v>
      </c>
      <c r="H2426">
        <v>0.41120923323082798</v>
      </c>
      <c r="I2426">
        <v>0.42780151683474199</v>
      </c>
      <c r="J2426">
        <v>0.59580727610860895</v>
      </c>
      <c r="K2426">
        <v>0.46388295337829499</v>
      </c>
      <c r="L2426">
        <v>1423.41762269286</v>
      </c>
      <c r="M2426">
        <v>26.696051661791401</v>
      </c>
      <c r="N2426">
        <v>59.431298749102098</v>
      </c>
      <c r="O2426">
        <v>53.022914034998301</v>
      </c>
      <c r="P2426">
        <v>-6.6977683715314096E-2</v>
      </c>
      <c r="Q2426">
        <v>0.46788907725214401</v>
      </c>
      <c r="R2426">
        <v>0.92746139851172604</v>
      </c>
      <c r="S2426" t="s">
        <v>9096</v>
      </c>
      <c r="T2426" t="s">
        <v>13338</v>
      </c>
      <c r="U2426" t="s">
        <v>13338</v>
      </c>
      <c r="V2426" t="s">
        <v>13338</v>
      </c>
      <c r="W2426" t="s">
        <v>15725</v>
      </c>
      <c r="X2426">
        <v>9</v>
      </c>
      <c r="Y2426" t="s">
        <v>22285</v>
      </c>
      <c r="Z2426" t="s">
        <v>28841</v>
      </c>
      <c r="AA2426">
        <v>0.70847511228191928</v>
      </c>
      <c r="AB2426" t="str">
        <f>HYPERLINK("Melting_Curves/meltCurve_P32942_ICAM3.pdf", "Melting_Curves/meltCurve_P32942_ICAM3.pdf")</f>
        <v>Melting_Curves/meltCurve_P32942_ICAM3.pdf</v>
      </c>
    </row>
    <row r="2427" spans="1:28" x14ac:dyDescent="0.25">
      <c r="A2427" t="s">
        <v>2431</v>
      </c>
      <c r="B2427">
        <v>0.99193492352474899</v>
      </c>
      <c r="C2427">
        <v>0.40961629501414698</v>
      </c>
      <c r="D2427">
        <v>0.68917848464471099</v>
      </c>
      <c r="E2427">
        <v>0.38515271689533198</v>
      </c>
      <c r="F2427">
        <v>0.321455424308564</v>
      </c>
      <c r="G2427">
        <v>0.14116949169273099</v>
      </c>
      <c r="H2427">
        <v>7.9750060642751197E-2</v>
      </c>
      <c r="I2427">
        <v>6.0562303573172903E-2</v>
      </c>
      <c r="J2427">
        <v>6.19877458082582E-2</v>
      </c>
      <c r="K2427">
        <v>6.5001361281549694E-2</v>
      </c>
      <c r="L2427">
        <v>416.69228727018202</v>
      </c>
      <c r="M2427">
        <v>8.8722912662257105</v>
      </c>
      <c r="N2427">
        <v>46.965579059080497</v>
      </c>
      <c r="O2427">
        <v>44.763278860681602</v>
      </c>
      <c r="P2427">
        <v>-4.9589134382334199E-2</v>
      </c>
      <c r="Q2427">
        <v>0</v>
      </c>
      <c r="R2427">
        <v>0.84332409724051605</v>
      </c>
      <c r="S2427" t="s">
        <v>9097</v>
      </c>
      <c r="T2427" t="s">
        <v>13338</v>
      </c>
      <c r="U2427" t="s">
        <v>13338</v>
      </c>
      <c r="V2427" t="s">
        <v>13338</v>
      </c>
      <c r="W2427" t="s">
        <v>15726</v>
      </c>
      <c r="X2427">
        <v>11</v>
      </c>
      <c r="Y2427" t="s">
        <v>22286</v>
      </c>
      <c r="Z2427" t="s">
        <v>28842</v>
      </c>
      <c r="AA2427">
        <v>0.301382013105221</v>
      </c>
      <c r="AB2427" t="str">
        <f>HYPERLINK("Melting_Curves/meltCurve_P32969_RPL9.pdf", "Melting_Curves/meltCurve_P32969_RPL9.pdf")</f>
        <v>Melting_Curves/meltCurve_P32969_RPL9.pdf</v>
      </c>
    </row>
    <row r="2428" spans="1:28" x14ac:dyDescent="0.25">
      <c r="A2428" t="s">
        <v>2432</v>
      </c>
      <c r="B2428">
        <v>0.99193492352474899</v>
      </c>
      <c r="C2428">
        <v>0.88086628445411197</v>
      </c>
      <c r="D2428">
        <v>0.84539297248377099</v>
      </c>
      <c r="E2428">
        <v>0.51350129735711203</v>
      </c>
      <c r="F2428">
        <v>0.24828296882265199</v>
      </c>
      <c r="G2428">
        <v>0.12946531974814901</v>
      </c>
      <c r="H2428">
        <v>8.0612332592106206E-2</v>
      </c>
      <c r="I2428">
        <v>7.1096432210646293E-2</v>
      </c>
      <c r="J2428">
        <v>7.12777297969268E-2</v>
      </c>
      <c r="K2428">
        <v>8.4371813141288707E-2</v>
      </c>
      <c r="L2428">
        <v>937.45718472631597</v>
      </c>
      <c r="M2428">
        <v>18.980709436052098</v>
      </c>
      <c r="N2428">
        <v>49.743045160609697</v>
      </c>
      <c r="O2428">
        <v>48.851560513369002</v>
      </c>
      <c r="P2428">
        <v>-9.1017101656501107E-2</v>
      </c>
      <c r="Q2428">
        <v>6.3017174703007703E-2</v>
      </c>
      <c r="R2428">
        <v>0.995253502070364</v>
      </c>
      <c r="S2428" t="s">
        <v>9098</v>
      </c>
      <c r="T2428" t="s">
        <v>13338</v>
      </c>
      <c r="U2428" t="s">
        <v>13338</v>
      </c>
      <c r="V2428" t="s">
        <v>13338</v>
      </c>
      <c r="W2428" t="s">
        <v>15727</v>
      </c>
      <c r="X2428">
        <v>12</v>
      </c>
      <c r="Y2428" t="s">
        <v>22287</v>
      </c>
      <c r="Z2428" t="s">
        <v>28843</v>
      </c>
      <c r="AA2428">
        <v>0.37081343449374971</v>
      </c>
      <c r="AB2428" t="str">
        <f>HYPERLINK("Melting_Curves/meltCurve_P33121_ACSL1.pdf", "Melting_Curves/meltCurve_P33121_ACSL1.pdf")</f>
        <v>Melting_Curves/meltCurve_P33121_ACSL1.pdf</v>
      </c>
    </row>
    <row r="2429" spans="1:28" x14ac:dyDescent="0.25">
      <c r="A2429" t="s">
        <v>2433</v>
      </c>
      <c r="B2429">
        <v>0.99193492352474899</v>
      </c>
      <c r="C2429">
        <v>1.0378144097390201</v>
      </c>
      <c r="D2429">
        <v>0.87468963543233802</v>
      </c>
      <c r="E2429">
        <v>0.84506363092259595</v>
      </c>
      <c r="F2429">
        <v>0.19655320781958999</v>
      </c>
      <c r="G2429">
        <v>0.108342915323239</v>
      </c>
      <c r="H2429">
        <v>6.9609832940097899E-2</v>
      </c>
      <c r="I2429">
        <v>8.2997142739485899E-2</v>
      </c>
      <c r="J2429">
        <v>9.6975383368862897E-2</v>
      </c>
      <c r="K2429">
        <v>9.1367574863289197E-2</v>
      </c>
      <c r="L2429">
        <v>2537.2302341148002</v>
      </c>
      <c r="M2429">
        <v>49.623922587919402</v>
      </c>
      <c r="N2429">
        <v>51.328217546996903</v>
      </c>
      <c r="O2429">
        <v>51.046335300446003</v>
      </c>
      <c r="P2429">
        <v>-0.22176219782943099</v>
      </c>
      <c r="Q2429">
        <v>8.75255459449579E-2</v>
      </c>
      <c r="R2429">
        <v>0.98988286086398203</v>
      </c>
      <c r="S2429" t="s">
        <v>9099</v>
      </c>
      <c r="T2429" t="s">
        <v>13338</v>
      </c>
      <c r="U2429" t="s">
        <v>13338</v>
      </c>
      <c r="V2429" t="s">
        <v>13338</v>
      </c>
      <c r="W2429" t="s">
        <v>15728</v>
      </c>
      <c r="X2429">
        <v>74</v>
      </c>
      <c r="Y2429" t="s">
        <v>22288</v>
      </c>
      <c r="Z2429" t="s">
        <v>28844</v>
      </c>
      <c r="AA2429">
        <v>0.42811782642449769</v>
      </c>
      <c r="AB2429" t="str">
        <f>HYPERLINK("Melting_Curves/meltCurve_P33176_KIF5B.pdf", "Melting_Curves/meltCurve_P33176_KIF5B.pdf")</f>
        <v>Melting_Curves/meltCurve_P33176_KIF5B.pdf</v>
      </c>
    </row>
    <row r="2430" spans="1:28" x14ac:dyDescent="0.25">
      <c r="A2430" t="s">
        <v>2434</v>
      </c>
      <c r="B2430">
        <v>0.99193492352474899</v>
      </c>
      <c r="C2430">
        <v>0.93683386221863996</v>
      </c>
      <c r="D2430">
        <v>0.74155958944729605</v>
      </c>
      <c r="E2430">
        <v>0.606424047192897</v>
      </c>
      <c r="F2430">
        <v>0.31095781483483198</v>
      </c>
      <c r="G2430">
        <v>0.17824163561773099</v>
      </c>
      <c r="H2430">
        <v>0.117105890519622</v>
      </c>
      <c r="I2430">
        <v>0.15199179892659201</v>
      </c>
      <c r="J2430">
        <v>0.17291957185377199</v>
      </c>
      <c r="K2430">
        <v>0.22680968725540901</v>
      </c>
      <c r="L2430">
        <v>859.21967931378299</v>
      </c>
      <c r="M2430">
        <v>17.497269994736101</v>
      </c>
      <c r="N2430">
        <v>50.108671047474502</v>
      </c>
      <c r="O2430">
        <v>48.477980135629203</v>
      </c>
      <c r="P2430">
        <v>-7.6909317563670102E-2</v>
      </c>
      <c r="Q2430">
        <v>0.14770653944224599</v>
      </c>
      <c r="R2430">
        <v>0.98139549345300403</v>
      </c>
      <c r="S2430" t="s">
        <v>9100</v>
      </c>
      <c r="T2430" t="s">
        <v>13338</v>
      </c>
      <c r="U2430" t="s">
        <v>13338</v>
      </c>
      <c r="V2430" t="s">
        <v>13338</v>
      </c>
      <c r="W2430" t="s">
        <v>15729</v>
      </c>
      <c r="X2430">
        <v>16</v>
      </c>
      <c r="Y2430" t="s">
        <v>22289</v>
      </c>
      <c r="Z2430" t="s">
        <v>28845</v>
      </c>
      <c r="AA2430">
        <v>0.42198623230370869</v>
      </c>
      <c r="AB2430" t="str">
        <f>HYPERLINK("Melting_Curves/meltCurve_P33240_2_CSTF2.pdf", "Melting_Curves/meltCurve_P33240_2_CSTF2.pdf")</f>
        <v>Melting_Curves/meltCurve_P33240_2_CSTF2.pdf</v>
      </c>
    </row>
    <row r="2431" spans="1:28" x14ac:dyDescent="0.25">
      <c r="A2431" t="s">
        <v>2435</v>
      </c>
      <c r="B2431">
        <v>0.99193492352474899</v>
      </c>
      <c r="C2431">
        <v>0.81923524068227904</v>
      </c>
      <c r="D2431">
        <v>0.846501689849122</v>
      </c>
      <c r="E2431">
        <v>0.668744408494787</v>
      </c>
      <c r="F2431">
        <v>0.55355686650161495</v>
      </c>
      <c r="G2431">
        <v>0.43979309095806901</v>
      </c>
      <c r="H2431">
        <v>0.35258737492904801</v>
      </c>
      <c r="I2431">
        <v>0.492675216928113</v>
      </c>
      <c r="J2431">
        <v>0.54987733910249803</v>
      </c>
      <c r="K2431">
        <v>0.68835070582094604</v>
      </c>
      <c r="L2431">
        <v>805.720616805026</v>
      </c>
      <c r="M2431">
        <v>17.198709790941901</v>
      </c>
      <c r="O2431">
        <v>46.228159617049798</v>
      </c>
      <c r="P2431">
        <v>-4.6297370157281498E-2</v>
      </c>
      <c r="Q2431">
        <v>0.50226152387044098</v>
      </c>
      <c r="R2431">
        <v>0.77231264118026199</v>
      </c>
      <c r="S2431" t="s">
        <v>9101</v>
      </c>
      <c r="T2431" t="s">
        <v>13338</v>
      </c>
      <c r="U2431" t="s">
        <v>13338</v>
      </c>
      <c r="V2431" t="s">
        <v>13338</v>
      </c>
      <c r="W2431" t="s">
        <v>15730</v>
      </c>
      <c r="X2431">
        <v>8</v>
      </c>
      <c r="Y2431" t="s">
        <v>22290</v>
      </c>
      <c r="Z2431" t="s">
        <v>28846</v>
      </c>
      <c r="AA2431">
        <v>0.62609319035615885</v>
      </c>
      <c r="AB2431" t="str">
        <f>HYPERLINK("Melting_Curves/meltCurve_P33241_LSP1.pdf", "Melting_Curves/meltCurve_P33241_LSP1.pdf")</f>
        <v>Melting_Curves/meltCurve_P33241_LSP1.pdf</v>
      </c>
    </row>
    <row r="2432" spans="1:28" x14ac:dyDescent="0.25">
      <c r="A2432" t="s">
        <v>2436</v>
      </c>
      <c r="B2432">
        <v>0.99193492352474899</v>
      </c>
      <c r="C2432">
        <v>0.91155382567068199</v>
      </c>
      <c r="D2432">
        <v>0.91925315060161406</v>
      </c>
      <c r="E2432">
        <v>0.802752285757932</v>
      </c>
      <c r="F2432">
        <v>0.60303071943006303</v>
      </c>
      <c r="G2432">
        <v>0.31309037125251599</v>
      </c>
      <c r="H2432">
        <v>0.20251827995268201</v>
      </c>
      <c r="I2432">
        <v>0.185617660160837</v>
      </c>
      <c r="J2432">
        <v>0.20521366656503801</v>
      </c>
      <c r="K2432">
        <v>0.261182470353023</v>
      </c>
      <c r="L2432">
        <v>1032.75566654508</v>
      </c>
      <c r="M2432">
        <v>19.618997816448701</v>
      </c>
      <c r="N2432">
        <v>53.949978228795899</v>
      </c>
      <c r="O2432">
        <v>52.102832291163203</v>
      </c>
      <c r="P2432">
        <v>-7.6307578920602206E-2</v>
      </c>
      <c r="Q2432">
        <v>0.18941805641520101</v>
      </c>
      <c r="R2432">
        <v>0.982693129804458</v>
      </c>
      <c r="S2432" t="s">
        <v>9102</v>
      </c>
      <c r="T2432" t="s">
        <v>13338</v>
      </c>
      <c r="U2432" t="s">
        <v>13338</v>
      </c>
      <c r="V2432" t="s">
        <v>13338</v>
      </c>
      <c r="W2432" t="s">
        <v>15731</v>
      </c>
      <c r="X2432">
        <v>16</v>
      </c>
      <c r="Y2432" t="s">
        <v>22291</v>
      </c>
      <c r="Z2432" t="s">
        <v>28847</v>
      </c>
      <c r="AA2432">
        <v>0.54251656999364195</v>
      </c>
      <c r="AB2432" t="str">
        <f>HYPERLINK("Melting_Curves/meltCurve_P33316_2_DUT.pdf", "Melting_Curves/meltCurve_P33316_2_DUT.pdf")</f>
        <v>Melting_Curves/meltCurve_P33316_2_DUT.pdf</v>
      </c>
    </row>
    <row r="2433" spans="1:28" x14ac:dyDescent="0.25">
      <c r="A2433" t="s">
        <v>2437</v>
      </c>
      <c r="B2433">
        <v>0.99193492352474899</v>
      </c>
      <c r="C2433">
        <v>0.96677562016423002</v>
      </c>
      <c r="D2433">
        <v>1.0004995545219799</v>
      </c>
      <c r="E2433">
        <v>0.870274795071864</v>
      </c>
      <c r="F2433">
        <v>0.80185573123530396</v>
      </c>
      <c r="G2433">
        <v>0.62228908404247396</v>
      </c>
      <c r="H2433">
        <v>0.26836990791910698</v>
      </c>
      <c r="I2433">
        <v>0.15493110659206299</v>
      </c>
      <c r="J2433">
        <v>0.14237506081654899</v>
      </c>
      <c r="K2433">
        <v>0.148765378617778</v>
      </c>
      <c r="L2433">
        <v>1043.8809027243899</v>
      </c>
      <c r="M2433">
        <v>18.287952139950701</v>
      </c>
      <c r="N2433">
        <v>57.641286536473899</v>
      </c>
      <c r="O2433">
        <v>56.410876962350997</v>
      </c>
      <c r="P2433">
        <v>-7.4443670898369896E-2</v>
      </c>
      <c r="Q2433">
        <v>8.1529069865870094E-2</v>
      </c>
      <c r="R2433">
        <v>0.98838638978376703</v>
      </c>
      <c r="S2433" t="s">
        <v>9103</v>
      </c>
      <c r="T2433" t="s">
        <v>13338</v>
      </c>
      <c r="U2433" t="s">
        <v>13338</v>
      </c>
      <c r="V2433" t="s">
        <v>13338</v>
      </c>
      <c r="W2433" t="s">
        <v>15732</v>
      </c>
      <c r="X2433">
        <v>34</v>
      </c>
      <c r="Y2433" t="s">
        <v>22292</v>
      </c>
      <c r="Z2433" t="s">
        <v>28848</v>
      </c>
      <c r="AA2433">
        <v>0.61677664625447803</v>
      </c>
      <c r="AB2433" t="str">
        <f>HYPERLINK("Melting_Curves/meltCurve_P33527_ABCC1.pdf", "Melting_Curves/meltCurve_P33527_ABCC1.pdf")</f>
        <v>Melting_Curves/meltCurve_P33527_ABCC1.pdf</v>
      </c>
    </row>
    <row r="2434" spans="1:28" x14ac:dyDescent="0.25">
      <c r="A2434" t="s">
        <v>2438</v>
      </c>
      <c r="B2434">
        <v>0.99193492352474899</v>
      </c>
      <c r="C2434">
        <v>1.1351986374623699</v>
      </c>
      <c r="D2434">
        <v>0.66360672017739997</v>
      </c>
      <c r="E2434">
        <v>0.61849814004875103</v>
      </c>
      <c r="F2434">
        <v>0.39324077869966101</v>
      </c>
      <c r="G2434">
        <v>0.38772818110608998</v>
      </c>
      <c r="H2434">
        <v>0.17912460980289999</v>
      </c>
      <c r="I2434">
        <v>0.23531428525602399</v>
      </c>
      <c r="J2434">
        <v>0.189895631128082</v>
      </c>
      <c r="K2434">
        <v>0.29806221036680602</v>
      </c>
      <c r="L2434">
        <v>817.98979923579304</v>
      </c>
      <c r="M2434">
        <v>16.6580435034844</v>
      </c>
      <c r="N2434">
        <v>50.989711361969199</v>
      </c>
      <c r="O2434">
        <v>48.413500440015497</v>
      </c>
      <c r="P2434">
        <v>-6.6248791237294796E-2</v>
      </c>
      <c r="Q2434">
        <v>0.22989245011242501</v>
      </c>
      <c r="R2434">
        <v>0.91880000903963499</v>
      </c>
      <c r="S2434" t="s">
        <v>9104</v>
      </c>
      <c r="T2434" t="s">
        <v>13338</v>
      </c>
      <c r="U2434" t="s">
        <v>13338</v>
      </c>
      <c r="V2434" t="s">
        <v>13338</v>
      </c>
      <c r="W2434" t="s">
        <v>15733</v>
      </c>
      <c r="X2434">
        <v>2</v>
      </c>
      <c r="Y2434" t="s">
        <v>22293</v>
      </c>
      <c r="Z2434" t="s">
        <v>28849</v>
      </c>
      <c r="AA2434">
        <v>0.47911607019006119</v>
      </c>
      <c r="AB2434" t="str">
        <f>HYPERLINK("Melting_Curves/meltCurve_P33552_CKS2.pdf", "Melting_Curves/meltCurve_P33552_CKS2.pdf")</f>
        <v>Melting_Curves/meltCurve_P33552_CKS2.pdf</v>
      </c>
    </row>
    <row r="2435" spans="1:28" x14ac:dyDescent="0.25">
      <c r="A2435" t="s">
        <v>2439</v>
      </c>
      <c r="B2435">
        <v>0.99193492352474899</v>
      </c>
      <c r="C2435">
        <v>1.1066255078876399</v>
      </c>
      <c r="D2435">
        <v>1.2240202040288199</v>
      </c>
      <c r="E2435">
        <v>0.54074109413173999</v>
      </c>
      <c r="F2435">
        <v>0.27258862587006</v>
      </c>
      <c r="G2435">
        <v>0.14772077277253201</v>
      </c>
      <c r="H2435">
        <v>5.3460282658748103E-2</v>
      </c>
      <c r="I2435">
        <v>6.8635890143828301E-2</v>
      </c>
      <c r="J2435">
        <v>0.11213966995022601</v>
      </c>
      <c r="K2435">
        <v>0</v>
      </c>
      <c r="L2435">
        <v>2183.2112659419099</v>
      </c>
      <c r="M2435">
        <v>43.809084467161099</v>
      </c>
      <c r="N2435">
        <v>50.076224858066702</v>
      </c>
      <c r="O2435">
        <v>49.731172230004297</v>
      </c>
      <c r="P2435">
        <v>-0.19925439879567799</v>
      </c>
      <c r="Q2435">
        <v>9.5243429401152699E-2</v>
      </c>
      <c r="R2435">
        <v>0.94938593684533001</v>
      </c>
      <c r="S2435" t="s">
        <v>9105</v>
      </c>
      <c r="T2435" t="s">
        <v>13338</v>
      </c>
      <c r="U2435" t="s">
        <v>13338</v>
      </c>
      <c r="V2435" t="s">
        <v>13338</v>
      </c>
      <c r="W2435" t="s">
        <v>15734</v>
      </c>
      <c r="X2435">
        <v>2</v>
      </c>
      <c r="Y2435" t="s">
        <v>22294</v>
      </c>
      <c r="Z2435" t="s">
        <v>28850</v>
      </c>
      <c r="AA2435">
        <v>0.39443818058572422</v>
      </c>
      <c r="AB2435" t="str">
        <f>HYPERLINK("Melting_Curves/meltCurve_P33897_ABCD1.pdf", "Melting_Curves/meltCurve_P33897_ABCD1.pdf")</f>
        <v>Melting_Curves/meltCurve_P33897_ABCD1.pdf</v>
      </c>
    </row>
    <row r="2436" spans="1:28" x14ac:dyDescent="0.25">
      <c r="A2436" t="s">
        <v>2440</v>
      </c>
      <c r="B2436">
        <v>0.99193492352474899</v>
      </c>
      <c r="C2436">
        <v>0.95406134377342899</v>
      </c>
      <c r="D2436">
        <v>1.3400634269423299</v>
      </c>
      <c r="E2436">
        <v>0.94851800585821</v>
      </c>
      <c r="F2436">
        <v>0.97092976692145005</v>
      </c>
      <c r="G2436">
        <v>0.32159721080998199</v>
      </c>
      <c r="H2436">
        <v>0.11350571091360299</v>
      </c>
      <c r="I2436">
        <v>0.22130263685868301</v>
      </c>
      <c r="J2436">
        <v>0.332519931769021</v>
      </c>
      <c r="K2436">
        <v>0.12576817377253799</v>
      </c>
      <c r="L2436">
        <v>4288.4534697770996</v>
      </c>
      <c r="M2436">
        <v>77.221611741633495</v>
      </c>
      <c r="N2436">
        <v>55.900184220623103</v>
      </c>
      <c r="O2436">
        <v>55.497159019110001</v>
      </c>
      <c r="P2436">
        <v>-0.278863949108478</v>
      </c>
      <c r="Q2436">
        <v>0.198351123070031</v>
      </c>
      <c r="R2436">
        <v>0.91711668322949003</v>
      </c>
      <c r="S2436" t="s">
        <v>9106</v>
      </c>
      <c r="T2436" t="s">
        <v>13338</v>
      </c>
      <c r="U2436" t="s">
        <v>13338</v>
      </c>
      <c r="V2436" t="s">
        <v>13338</v>
      </c>
      <c r="W2436" t="s">
        <v>15735</v>
      </c>
      <c r="X2436">
        <v>2</v>
      </c>
      <c r="Y2436" t="s">
        <v>22295</v>
      </c>
      <c r="Z2436" t="s">
        <v>28851</v>
      </c>
      <c r="AA2436">
        <v>0.61427537263362475</v>
      </c>
      <c r="AB2436" t="str">
        <f>HYPERLINK("Melting_Curves/meltCurve_P33908_MAN1A1.pdf", "Melting_Curves/meltCurve_P33908_MAN1A1.pdf")</f>
        <v>Melting_Curves/meltCurve_P33908_MAN1A1.pdf</v>
      </c>
    </row>
    <row r="2437" spans="1:28" x14ac:dyDescent="0.25">
      <c r="A2437" t="s">
        <v>2441</v>
      </c>
      <c r="B2437">
        <v>0.99193492352474899</v>
      </c>
      <c r="C2437">
        <v>0.57495903805748205</v>
      </c>
      <c r="D2437">
        <v>0.45214409378800202</v>
      </c>
      <c r="E2437">
        <v>0.17517541903366801</v>
      </c>
      <c r="F2437">
        <v>0.120754943059543</v>
      </c>
      <c r="G2437">
        <v>9.1752170412360196E-2</v>
      </c>
      <c r="H2437">
        <v>5.6849537347597401E-2</v>
      </c>
      <c r="I2437">
        <v>4.3762242247313198E-2</v>
      </c>
      <c r="J2437">
        <v>7.8626500614418504E-2</v>
      </c>
      <c r="K2437">
        <v>6.6467293922894299E-2</v>
      </c>
      <c r="L2437">
        <v>800.13201725597696</v>
      </c>
      <c r="M2437">
        <v>18.004161296947601</v>
      </c>
      <c r="N2437">
        <v>44.780569597569702</v>
      </c>
      <c r="O2437">
        <v>43.9041236325886</v>
      </c>
      <c r="P2437">
        <v>-9.5992037314974105E-2</v>
      </c>
      <c r="Q2437">
        <v>6.3719166360771601E-2</v>
      </c>
      <c r="R2437">
        <v>0.970407897485981</v>
      </c>
      <c r="S2437" t="s">
        <v>9107</v>
      </c>
      <c r="T2437" t="s">
        <v>13338</v>
      </c>
      <c r="U2437" t="s">
        <v>13338</v>
      </c>
      <c r="V2437" t="s">
        <v>13338</v>
      </c>
      <c r="W2437" t="s">
        <v>15736</v>
      </c>
      <c r="X2437">
        <v>2</v>
      </c>
      <c r="Y2437" t="s">
        <v>22296</v>
      </c>
      <c r="Z2437" t="s">
        <v>28852</v>
      </c>
      <c r="AA2437">
        <v>0.2239651564567551</v>
      </c>
      <c r="AB2437" t="str">
        <f>HYPERLINK("Melting_Curves/meltCurve_P33981_2_TTK.pdf", "Melting_Curves/meltCurve_P33981_2_TTK.pdf")</f>
        <v>Melting_Curves/meltCurve_P33981_2_TTK.pdf</v>
      </c>
    </row>
    <row r="2438" spans="1:28" x14ac:dyDescent="0.25">
      <c r="A2438" t="s">
        <v>2442</v>
      </c>
      <c r="B2438">
        <v>0.99193492352474899</v>
      </c>
      <c r="C2438">
        <v>1.0497134604235601</v>
      </c>
      <c r="D2438">
        <v>0.908567411402599</v>
      </c>
      <c r="E2438">
        <v>0.76307310333594003</v>
      </c>
      <c r="F2438">
        <v>0.20677100040303401</v>
      </c>
      <c r="G2438">
        <v>9.8741231391203596E-2</v>
      </c>
      <c r="H2438">
        <v>5.7829868686701202E-2</v>
      </c>
      <c r="I2438">
        <v>6.3834869094705898E-2</v>
      </c>
      <c r="J2438">
        <v>7.4950846276338204E-2</v>
      </c>
      <c r="K2438">
        <v>7.7913589119111101E-2</v>
      </c>
      <c r="L2438">
        <v>1938.0270863779499</v>
      </c>
      <c r="M2438">
        <v>38.075706265428799</v>
      </c>
      <c r="N2438">
        <v>51.098645678130701</v>
      </c>
      <c r="O2438">
        <v>50.759525648665601</v>
      </c>
      <c r="P2438">
        <v>-0.174587907463119</v>
      </c>
      <c r="Q2438">
        <v>6.9015284789082795E-2</v>
      </c>
      <c r="R2438">
        <v>0.99469049513627195</v>
      </c>
      <c r="S2438" t="s">
        <v>9108</v>
      </c>
      <c r="T2438" t="s">
        <v>13338</v>
      </c>
      <c r="U2438" t="s">
        <v>13338</v>
      </c>
      <c r="V2438" t="s">
        <v>13338</v>
      </c>
      <c r="W2438" t="s">
        <v>15737</v>
      </c>
      <c r="X2438">
        <v>45</v>
      </c>
      <c r="Y2438" t="s">
        <v>22297</v>
      </c>
      <c r="Z2438" t="s">
        <v>28853</v>
      </c>
      <c r="AA2438">
        <v>0.41086906007525043</v>
      </c>
      <c r="AB2438" t="str">
        <f>HYPERLINK("Melting_Curves/meltCurve_P33991_MCM4.pdf", "Melting_Curves/meltCurve_P33991_MCM4.pdf")</f>
        <v>Melting_Curves/meltCurve_P33991_MCM4.pdf</v>
      </c>
    </row>
    <row r="2439" spans="1:28" x14ac:dyDescent="0.25">
      <c r="A2439" t="s">
        <v>2443</v>
      </c>
      <c r="B2439">
        <v>0.99193492352474899</v>
      </c>
      <c r="C2439">
        <v>0.83862855550006798</v>
      </c>
      <c r="D2439">
        <v>0.98849982292534599</v>
      </c>
      <c r="E2439">
        <v>0.77498857598104998</v>
      </c>
      <c r="F2439">
        <v>0.37271272525427501</v>
      </c>
      <c r="G2439">
        <v>0.13304293185750299</v>
      </c>
      <c r="H2439">
        <v>7.61820848450524E-2</v>
      </c>
      <c r="I2439">
        <v>7.8511980728210098E-2</v>
      </c>
      <c r="J2439">
        <v>8.7156204327166004E-2</v>
      </c>
      <c r="K2439">
        <v>8.1192057052109801E-2</v>
      </c>
      <c r="L2439">
        <v>1413.0000754610901</v>
      </c>
      <c r="M2439">
        <v>27.335589033499801</v>
      </c>
      <c r="N2439">
        <v>51.992115069505701</v>
      </c>
      <c r="O2439">
        <v>51.416597687387402</v>
      </c>
      <c r="P2439">
        <v>-0.123178093131791</v>
      </c>
      <c r="Q2439">
        <v>7.3246424447327693E-2</v>
      </c>
      <c r="R2439">
        <v>0.98259837332065203</v>
      </c>
      <c r="S2439" t="s">
        <v>9109</v>
      </c>
      <c r="T2439" t="s">
        <v>13338</v>
      </c>
      <c r="U2439" t="s">
        <v>13338</v>
      </c>
      <c r="V2439" t="s">
        <v>13338</v>
      </c>
      <c r="W2439" t="s">
        <v>15738</v>
      </c>
      <c r="X2439">
        <v>37</v>
      </c>
      <c r="Y2439" t="s">
        <v>22298</v>
      </c>
      <c r="Z2439" t="s">
        <v>28854</v>
      </c>
      <c r="AA2439">
        <v>0.44148149010083088</v>
      </c>
      <c r="AB2439" t="str">
        <f>HYPERLINK("Melting_Curves/meltCurve_P33992_MCM5.pdf", "Melting_Curves/meltCurve_P33992_MCM5.pdf")</f>
        <v>Melting_Curves/meltCurve_P33992_MCM5.pdf</v>
      </c>
    </row>
    <row r="2440" spans="1:28" x14ac:dyDescent="0.25">
      <c r="A2440" t="s">
        <v>2444</v>
      </c>
      <c r="B2440">
        <v>0.99193492352474899</v>
      </c>
      <c r="C2440">
        <v>0.88415651865945</v>
      </c>
      <c r="D2440">
        <v>0.91215542073830902</v>
      </c>
      <c r="E2440">
        <v>0.57181630638882397</v>
      </c>
      <c r="F2440">
        <v>0.140763630683268</v>
      </c>
      <c r="G2440">
        <v>9.0298243606303896E-2</v>
      </c>
      <c r="H2440">
        <v>5.0003219428429502E-2</v>
      </c>
      <c r="I2440">
        <v>5.4900270804513103E-2</v>
      </c>
      <c r="J2440">
        <v>6.2645653974358201E-2</v>
      </c>
      <c r="K2440">
        <v>6.4556449648684303E-2</v>
      </c>
      <c r="L2440">
        <v>1492.9342372527601</v>
      </c>
      <c r="M2440">
        <v>29.999177104071901</v>
      </c>
      <c r="N2440">
        <v>49.958381727962802</v>
      </c>
      <c r="O2440">
        <v>49.5462707104857</v>
      </c>
      <c r="P2440">
        <v>-0.14310685176107801</v>
      </c>
      <c r="Q2440">
        <v>5.4592118300618803E-2</v>
      </c>
      <c r="R2440">
        <v>0.99079540102527097</v>
      </c>
      <c r="S2440" t="s">
        <v>9110</v>
      </c>
      <c r="T2440" t="s">
        <v>13338</v>
      </c>
      <c r="U2440" t="s">
        <v>13338</v>
      </c>
      <c r="V2440" t="s">
        <v>13338</v>
      </c>
      <c r="W2440" t="s">
        <v>15739</v>
      </c>
      <c r="X2440">
        <v>33</v>
      </c>
      <c r="Y2440" t="s">
        <v>22299</v>
      </c>
      <c r="Z2440" t="s">
        <v>28855</v>
      </c>
      <c r="AA2440">
        <v>0.36817470641713801</v>
      </c>
      <c r="AB2440" t="str">
        <f>HYPERLINK("Melting_Curves/meltCurve_P33993_MCM7.pdf", "Melting_Curves/meltCurve_P33993_MCM7.pdf")</f>
        <v>Melting_Curves/meltCurve_P33993_MCM7.pdf</v>
      </c>
    </row>
    <row r="2441" spans="1:28" x14ac:dyDescent="0.25">
      <c r="A2441" t="s">
        <v>2445</v>
      </c>
      <c r="B2441">
        <v>0.99193492352474899</v>
      </c>
      <c r="C2441">
        <v>0.95194657498886104</v>
      </c>
      <c r="D2441">
        <v>0.94770316744490601</v>
      </c>
      <c r="E2441">
        <v>0.77143183555228201</v>
      </c>
      <c r="F2441">
        <v>0.62409868403522595</v>
      </c>
      <c r="G2441">
        <v>0.49385109286436701</v>
      </c>
      <c r="H2441">
        <v>0.35573906681148199</v>
      </c>
      <c r="I2441">
        <v>0.39343127129127298</v>
      </c>
      <c r="J2441">
        <v>0.46060594573539299</v>
      </c>
      <c r="K2441">
        <v>0.41393326286015603</v>
      </c>
      <c r="L2441">
        <v>943.26406408355297</v>
      </c>
      <c r="M2441">
        <v>18.4055777448167</v>
      </c>
      <c r="N2441">
        <v>56.064331501286397</v>
      </c>
      <c r="O2441">
        <v>50.655335902660497</v>
      </c>
      <c r="P2441">
        <v>-5.4767797802951497E-2</v>
      </c>
      <c r="Q2441">
        <v>0.39710540595802601</v>
      </c>
      <c r="R2441">
        <v>0.98080769100857101</v>
      </c>
      <c r="S2441" t="s">
        <v>9111</v>
      </c>
      <c r="T2441" t="s">
        <v>13338</v>
      </c>
      <c r="U2441" t="s">
        <v>13338</v>
      </c>
      <c r="V2441" t="s">
        <v>13338</v>
      </c>
      <c r="W2441" t="s">
        <v>15740</v>
      </c>
      <c r="X2441">
        <v>4</v>
      </c>
      <c r="Y2441" t="s">
        <v>22300</v>
      </c>
      <c r="Z2441" t="s">
        <v>28856</v>
      </c>
      <c r="AA2441">
        <v>0.63290021030385257</v>
      </c>
      <c r="AB2441" t="str">
        <f>HYPERLINK("Melting_Curves/meltCurve_P34059_GALNS.pdf", "Melting_Curves/meltCurve_P34059_GALNS.pdf")</f>
        <v>Melting_Curves/meltCurve_P34059_GALNS.pdf</v>
      </c>
    </row>
    <row r="2442" spans="1:28" x14ac:dyDescent="0.25">
      <c r="A2442" t="s">
        <v>2446</v>
      </c>
      <c r="B2442">
        <v>0.99193492352474899</v>
      </c>
      <c r="C2442">
        <v>1.05769975849737</v>
      </c>
      <c r="D2442">
        <v>0.96406393617069297</v>
      </c>
      <c r="E2442">
        <v>0.93900768313526894</v>
      </c>
      <c r="F2442">
        <v>0.82874576830457702</v>
      </c>
      <c r="G2442">
        <v>0.72408878452834502</v>
      </c>
      <c r="H2442">
        <v>0.55201231269002904</v>
      </c>
      <c r="I2442">
        <v>0.30052192003796502</v>
      </c>
      <c r="J2442">
        <v>0.19190030186461501</v>
      </c>
      <c r="K2442">
        <v>0.13292332061003101</v>
      </c>
      <c r="L2442">
        <v>828.44163523964005</v>
      </c>
      <c r="M2442">
        <v>13.654961932972499</v>
      </c>
      <c r="N2442">
        <v>60.6696408762364</v>
      </c>
      <c r="O2442">
        <v>59.412820819999602</v>
      </c>
      <c r="P2442">
        <v>-5.7466358291927602E-2</v>
      </c>
      <c r="Q2442">
        <v>0</v>
      </c>
      <c r="R2442">
        <v>0.98978619030456805</v>
      </c>
      <c r="S2442" t="s">
        <v>9112</v>
      </c>
      <c r="T2442" t="s">
        <v>13338</v>
      </c>
      <c r="U2442" t="s">
        <v>13338</v>
      </c>
      <c r="V2442" t="s">
        <v>13338</v>
      </c>
      <c r="W2442" t="s">
        <v>15741</v>
      </c>
      <c r="X2442">
        <v>18</v>
      </c>
      <c r="Y2442" t="s">
        <v>22301</v>
      </c>
      <c r="Z2442" t="s">
        <v>28857</v>
      </c>
      <c r="AA2442">
        <v>0.6909930684589326</v>
      </c>
      <c r="AB2442" t="str">
        <f>HYPERLINK("Melting_Curves/meltCurve_P34896_2_SHMT1.pdf", "Melting_Curves/meltCurve_P34896_2_SHMT1.pdf")</f>
        <v>Melting_Curves/meltCurve_P34896_2_SHMT1.pdf</v>
      </c>
    </row>
    <row r="2443" spans="1:28" x14ac:dyDescent="0.25">
      <c r="A2443" t="s">
        <v>2447</v>
      </c>
      <c r="B2443">
        <v>0.99193492352474899</v>
      </c>
      <c r="C2443">
        <v>1.0740963849746299</v>
      </c>
      <c r="D2443">
        <v>0.93552954322302595</v>
      </c>
      <c r="E2443">
        <v>0.90116629906415202</v>
      </c>
      <c r="F2443">
        <v>0.735252845316543</v>
      </c>
      <c r="G2443">
        <v>0.59832851888426097</v>
      </c>
      <c r="H2443">
        <v>0.39761521768115299</v>
      </c>
      <c r="I2443">
        <v>0.16184928171101601</v>
      </c>
      <c r="J2443">
        <v>0.16975481144618901</v>
      </c>
      <c r="K2443">
        <v>0.135711385857442</v>
      </c>
      <c r="L2443">
        <v>763.10493831763404</v>
      </c>
      <c r="M2443">
        <v>13.195756219720399</v>
      </c>
      <c r="N2443">
        <v>58.044077827276197</v>
      </c>
      <c r="O2443">
        <v>56.549837181815803</v>
      </c>
      <c r="P2443">
        <v>-5.6958027520801903E-2</v>
      </c>
      <c r="Q2443">
        <v>2.37978933410786E-2</v>
      </c>
      <c r="R2443">
        <v>0.98573712339514796</v>
      </c>
      <c r="S2443" t="s">
        <v>9113</v>
      </c>
      <c r="T2443" t="s">
        <v>13338</v>
      </c>
      <c r="U2443" t="s">
        <v>13338</v>
      </c>
      <c r="V2443" t="s">
        <v>13338</v>
      </c>
      <c r="W2443" t="s">
        <v>15742</v>
      </c>
      <c r="X2443">
        <v>33</v>
      </c>
      <c r="Y2443" t="s">
        <v>22302</v>
      </c>
      <c r="Z2443" t="s">
        <v>28858</v>
      </c>
      <c r="AA2443">
        <v>0.6175917862549809</v>
      </c>
      <c r="AB2443" t="str">
        <f>HYPERLINK("Melting_Curves/meltCurve_P34897_3_SHMT2.pdf", "Melting_Curves/meltCurve_P34897_3_SHMT2.pdf")</f>
        <v>Melting_Curves/meltCurve_P34897_3_SHMT2.pdf</v>
      </c>
    </row>
    <row r="2444" spans="1:28" x14ac:dyDescent="0.25">
      <c r="A2444" t="s">
        <v>2448</v>
      </c>
      <c r="B2444">
        <v>0.99193492352474899</v>
      </c>
      <c r="C2444">
        <v>0.962156940784898</v>
      </c>
      <c r="D2444">
        <v>0.97256693485362</v>
      </c>
      <c r="E2444">
        <v>0.805525740815485</v>
      </c>
      <c r="F2444">
        <v>0.178730219317734</v>
      </c>
      <c r="G2444">
        <v>0.113613397700474</v>
      </c>
      <c r="H2444">
        <v>6.8466459259099097E-2</v>
      </c>
      <c r="I2444">
        <v>8.2434498389451799E-2</v>
      </c>
      <c r="J2444">
        <v>9.8173373692063207E-2</v>
      </c>
      <c r="K2444">
        <v>9.6468356985823997E-2</v>
      </c>
      <c r="L2444">
        <v>2548.0028390121502</v>
      </c>
      <c r="M2444">
        <v>50.081284121418697</v>
      </c>
      <c r="N2444">
        <v>51.080324551835602</v>
      </c>
      <c r="O2444">
        <v>50.796421998003403</v>
      </c>
      <c r="P2444">
        <v>-0.22423983176255699</v>
      </c>
      <c r="Q2444">
        <v>9.0233277615859198E-2</v>
      </c>
      <c r="R2444">
        <v>0.99818951457485094</v>
      </c>
      <c r="S2444" t="s">
        <v>9114</v>
      </c>
      <c r="T2444" t="s">
        <v>13338</v>
      </c>
      <c r="U2444" t="s">
        <v>13338</v>
      </c>
      <c r="V2444" t="s">
        <v>13338</v>
      </c>
      <c r="W2444" t="s">
        <v>15743</v>
      </c>
      <c r="X2444">
        <v>72</v>
      </c>
      <c r="Y2444" t="s">
        <v>22303</v>
      </c>
      <c r="Z2444" t="s">
        <v>28859</v>
      </c>
      <c r="AA2444">
        <v>0.422129880842051</v>
      </c>
      <c r="AB2444" t="str">
        <f>HYPERLINK("Melting_Curves/meltCurve_P34932_HSPA4.pdf", "Melting_Curves/meltCurve_P34932_HSPA4.pdf")</f>
        <v>Melting_Curves/meltCurve_P34932_HSPA4.pdf</v>
      </c>
    </row>
    <row r="2445" spans="1:28" x14ac:dyDescent="0.25">
      <c r="A2445" t="s">
        <v>2449</v>
      </c>
      <c r="B2445">
        <v>0.99193492352474899</v>
      </c>
      <c r="C2445">
        <v>0.72938191381583095</v>
      </c>
      <c r="D2445">
        <v>0.82022804204197997</v>
      </c>
      <c r="E2445">
        <v>0.40407495344253402</v>
      </c>
      <c r="F2445">
        <v>0.200942537935797</v>
      </c>
      <c r="G2445">
        <v>2.80125472106749E-2</v>
      </c>
      <c r="H2445">
        <v>4.1711591415270199E-2</v>
      </c>
      <c r="I2445">
        <v>8.1993701327590499E-2</v>
      </c>
      <c r="J2445">
        <v>6.9711255972284406E-2</v>
      </c>
      <c r="K2445">
        <v>3.5581997998892799E-2</v>
      </c>
      <c r="L2445">
        <v>805.91508363628998</v>
      </c>
      <c r="M2445">
        <v>16.6588711382641</v>
      </c>
      <c r="N2445">
        <v>48.535058082303301</v>
      </c>
      <c r="O2445">
        <v>47.696544478082401</v>
      </c>
      <c r="P2445">
        <v>-8.5024981700198801E-2</v>
      </c>
      <c r="Q2445">
        <v>2.6314237426005398E-2</v>
      </c>
      <c r="R2445">
        <v>0.96086504567369602</v>
      </c>
      <c r="S2445" t="s">
        <v>9115</v>
      </c>
      <c r="T2445" t="s">
        <v>13338</v>
      </c>
      <c r="U2445" t="s">
        <v>13338</v>
      </c>
      <c r="V2445" t="s">
        <v>13338</v>
      </c>
      <c r="W2445" t="s">
        <v>15744</v>
      </c>
      <c r="X2445">
        <v>2</v>
      </c>
      <c r="Y2445" t="s">
        <v>22304</v>
      </c>
      <c r="Z2445" t="s">
        <v>28860</v>
      </c>
      <c r="AA2445">
        <v>0.31823017763737999</v>
      </c>
      <c r="AB2445" t="str">
        <f>HYPERLINK("Melting_Curves/meltCurve_P34947_GRK5.pdf", "Melting_Curves/meltCurve_P34947_GRK5.pdf")</f>
        <v>Melting_Curves/meltCurve_P34947_GRK5.pdf</v>
      </c>
    </row>
    <row r="2446" spans="1:28" x14ac:dyDescent="0.25">
      <c r="A2446" t="s">
        <v>2450</v>
      </c>
      <c r="B2446">
        <v>0.99193492352474899</v>
      </c>
      <c r="C2446">
        <v>1.0346473844577999</v>
      </c>
      <c r="D2446">
        <v>1.0700469223215201</v>
      </c>
      <c r="E2446">
        <v>0.98085116663772698</v>
      </c>
      <c r="F2446">
        <v>1.30829565387792</v>
      </c>
      <c r="G2446">
        <v>1.3195563010375799</v>
      </c>
      <c r="H2446">
        <v>0.90951426340040697</v>
      </c>
      <c r="I2446">
        <v>0.47689454092481098</v>
      </c>
      <c r="J2446">
        <v>0.24983323274150501</v>
      </c>
      <c r="K2446">
        <v>0.27013795068534002</v>
      </c>
      <c r="L2446">
        <v>3774.15504623274</v>
      </c>
      <c r="M2446">
        <v>59.860976565136298</v>
      </c>
      <c r="N2446">
        <v>63.793750477175998</v>
      </c>
      <c r="O2446">
        <v>62.9784223069692</v>
      </c>
      <c r="P2446">
        <v>-0.177863609974206</v>
      </c>
      <c r="Q2446">
        <v>0.25149467701483003</v>
      </c>
      <c r="R2446">
        <v>0.85201634322773201</v>
      </c>
      <c r="S2446" t="s">
        <v>9116</v>
      </c>
      <c r="T2446" t="s">
        <v>13338</v>
      </c>
      <c r="U2446" t="s">
        <v>13338</v>
      </c>
      <c r="V2446" t="s">
        <v>13338</v>
      </c>
      <c r="W2446" t="s">
        <v>15745</v>
      </c>
      <c r="X2446">
        <v>1</v>
      </c>
      <c r="Y2446" t="s">
        <v>22305</v>
      </c>
      <c r="Z2446" t="s">
        <v>28861</v>
      </c>
      <c r="AA2446">
        <v>0.82792487891258126</v>
      </c>
      <c r="AB2446" t="str">
        <f>HYPERLINK("Melting_Curves/meltCurve_P34972_CNR2.pdf", "Melting_Curves/meltCurve_P34972_CNR2.pdf")</f>
        <v>Melting_Curves/meltCurve_P34972_CNR2.pdf</v>
      </c>
    </row>
    <row r="2447" spans="1:28" x14ac:dyDescent="0.25">
      <c r="A2447" t="s">
        <v>2451</v>
      </c>
      <c r="B2447">
        <v>0.99193492352474899</v>
      </c>
      <c r="C2447">
        <v>0.81919051263384202</v>
      </c>
      <c r="D2447">
        <v>0.85468002007611099</v>
      </c>
      <c r="E2447">
        <v>0.59022255688687197</v>
      </c>
      <c r="F2447">
        <v>0.23980126807871999</v>
      </c>
      <c r="G2447">
        <v>0.139822721876004</v>
      </c>
      <c r="H2447">
        <v>9.72570623291861E-2</v>
      </c>
      <c r="I2447">
        <v>8.6607870127141606E-2</v>
      </c>
      <c r="J2447">
        <v>0.101289677029385</v>
      </c>
      <c r="K2447">
        <v>8.0276464670015604E-2</v>
      </c>
      <c r="L2447">
        <v>905.80533397517797</v>
      </c>
      <c r="M2447">
        <v>18.220843546948601</v>
      </c>
      <c r="N2447">
        <v>50.120781915685399</v>
      </c>
      <c r="O2447">
        <v>49.125397657747499</v>
      </c>
      <c r="P2447">
        <v>-8.6336409848639606E-2</v>
      </c>
      <c r="Q2447">
        <v>6.8953965634442504E-2</v>
      </c>
      <c r="R2447">
        <v>0.98122557363057805</v>
      </c>
      <c r="S2447" t="s">
        <v>9117</v>
      </c>
      <c r="T2447" t="s">
        <v>13338</v>
      </c>
      <c r="U2447" t="s">
        <v>13338</v>
      </c>
      <c r="V2447" t="s">
        <v>13338</v>
      </c>
      <c r="W2447" t="s">
        <v>15746</v>
      </c>
      <c r="X2447">
        <v>6</v>
      </c>
      <c r="Y2447" t="s">
        <v>22306</v>
      </c>
      <c r="Z2447" t="s">
        <v>28862</v>
      </c>
      <c r="AA2447">
        <v>0.38595220891589122</v>
      </c>
      <c r="AB2447" t="str">
        <f>HYPERLINK("Melting_Curves/meltCurve_P35219_CA8.pdf", "Melting_Curves/meltCurve_P35219_CA8.pdf")</f>
        <v>Melting_Curves/meltCurve_P35219_CA8.pdf</v>
      </c>
    </row>
    <row r="2448" spans="1:28" x14ac:dyDescent="0.25">
      <c r="A2448" t="s">
        <v>2452</v>
      </c>
      <c r="B2448">
        <v>0.99193492352474899</v>
      </c>
      <c r="C2448">
        <v>0.83058195019385395</v>
      </c>
      <c r="D2448">
        <v>0.96911183713439097</v>
      </c>
      <c r="E2448">
        <v>0.72597312100172395</v>
      </c>
      <c r="F2448">
        <v>0.58247691831648896</v>
      </c>
      <c r="G2448">
        <v>0.20216450355428001</v>
      </c>
      <c r="H2448">
        <v>9.4433230407399704E-2</v>
      </c>
      <c r="I2448">
        <v>8.9504339218390197E-2</v>
      </c>
      <c r="J2448">
        <v>0.11694334797783</v>
      </c>
      <c r="K2448">
        <v>0.119874060917337</v>
      </c>
      <c r="L2448">
        <v>974.59059665273901</v>
      </c>
      <c r="M2448">
        <v>18.5052822799911</v>
      </c>
      <c r="N2448">
        <v>53.1001625074936</v>
      </c>
      <c r="O2448">
        <v>52.062078406094102</v>
      </c>
      <c r="P2448">
        <v>-8.2620373040188502E-2</v>
      </c>
      <c r="Q2448">
        <v>7.0276679274898293E-2</v>
      </c>
      <c r="R2448">
        <v>0.96676020868369505</v>
      </c>
      <c r="S2448" t="s">
        <v>9118</v>
      </c>
      <c r="T2448" t="s">
        <v>13338</v>
      </c>
      <c r="U2448" t="s">
        <v>13338</v>
      </c>
      <c r="V2448" t="s">
        <v>13338</v>
      </c>
      <c r="W2448" t="s">
        <v>15747</v>
      </c>
      <c r="X2448">
        <v>23</v>
      </c>
      <c r="Y2448" t="s">
        <v>22307</v>
      </c>
      <c r="Z2448" t="s">
        <v>28863</v>
      </c>
      <c r="AA2448">
        <v>0.47742237914506158</v>
      </c>
      <c r="AB2448" t="str">
        <f>HYPERLINK("Melting_Curves/meltCurve_P35221_CTNNA1.pdf", "Melting_Curves/meltCurve_P35221_CTNNA1.pdf")</f>
        <v>Melting_Curves/meltCurve_P35221_CTNNA1.pdf</v>
      </c>
    </row>
    <row r="2449" spans="1:28" x14ac:dyDescent="0.25">
      <c r="A2449" t="s">
        <v>2453</v>
      </c>
      <c r="B2449">
        <v>0.99193492352474899</v>
      </c>
      <c r="C2449">
        <v>0.90689289234310499</v>
      </c>
      <c r="D2449">
        <v>1.1382993643358501</v>
      </c>
      <c r="E2449">
        <v>0.869145650320577</v>
      </c>
      <c r="F2449">
        <v>1.0866454129893</v>
      </c>
      <c r="G2449">
        <v>0.85396687019626605</v>
      </c>
      <c r="H2449">
        <v>0.71431486282015499</v>
      </c>
      <c r="I2449">
        <v>0.72867641180677101</v>
      </c>
      <c r="J2449">
        <v>0.51938863082874398</v>
      </c>
      <c r="K2449">
        <v>0.26005287455926202</v>
      </c>
      <c r="L2449">
        <v>943.31982199432196</v>
      </c>
      <c r="M2449">
        <v>14.165769706820999</v>
      </c>
      <c r="N2449">
        <v>66.591518143314303</v>
      </c>
      <c r="O2449">
        <v>65.306585450907406</v>
      </c>
      <c r="P2449">
        <v>-5.4234806188939902E-2</v>
      </c>
      <c r="Q2449">
        <v>0</v>
      </c>
      <c r="R2449">
        <v>0.86969237384911102</v>
      </c>
      <c r="S2449" t="s">
        <v>9119</v>
      </c>
      <c r="T2449" t="s">
        <v>13338</v>
      </c>
      <c r="U2449" t="s">
        <v>13338</v>
      </c>
      <c r="V2449" t="s">
        <v>13338</v>
      </c>
      <c r="W2449" t="s">
        <v>15748</v>
      </c>
      <c r="X2449">
        <v>16</v>
      </c>
      <c r="Y2449" t="s">
        <v>22308</v>
      </c>
      <c r="Z2449" t="s">
        <v>28864</v>
      </c>
      <c r="AA2449">
        <v>0.83972000483831755</v>
      </c>
      <c r="AB2449" t="str">
        <f>HYPERLINK("Melting_Curves/meltCurve_P35232_PHB.pdf", "Melting_Curves/meltCurve_P35232_PHB.pdf")</f>
        <v>Melting_Curves/meltCurve_P35232_PHB.pdf</v>
      </c>
    </row>
    <row r="2450" spans="1:28" x14ac:dyDescent="0.25">
      <c r="A2450" t="s">
        <v>2454</v>
      </c>
      <c r="B2450">
        <v>0.99193492352474899</v>
      </c>
      <c r="C2450">
        <v>0.82934342123316795</v>
      </c>
      <c r="D2450">
        <v>0.39213408863890098</v>
      </c>
      <c r="E2450">
        <v>0.18737701047354199</v>
      </c>
      <c r="F2450">
        <v>0.151181253598141</v>
      </c>
      <c r="G2450">
        <v>9.5774186336941805E-2</v>
      </c>
      <c r="H2450">
        <v>5.7425466373978301E-2</v>
      </c>
      <c r="I2450">
        <v>5.5944281429513798E-2</v>
      </c>
      <c r="J2450">
        <v>6.3528392740134498E-2</v>
      </c>
      <c r="K2450">
        <v>5.1128761951215601E-2</v>
      </c>
      <c r="L2450">
        <v>1194.2784516561701</v>
      </c>
      <c r="M2450">
        <v>26.479224284965198</v>
      </c>
      <c r="N2450">
        <v>45.393079022661396</v>
      </c>
      <c r="O2450">
        <v>44.847581967910003</v>
      </c>
      <c r="P2450">
        <v>-0.136100316982912</v>
      </c>
      <c r="Q2450">
        <v>7.7963132069596097E-2</v>
      </c>
      <c r="R2450">
        <v>0.99242802711863798</v>
      </c>
      <c r="S2450" t="s">
        <v>9120</v>
      </c>
      <c r="T2450" t="s">
        <v>13338</v>
      </c>
      <c r="U2450" t="s">
        <v>13338</v>
      </c>
      <c r="V2450" t="s">
        <v>13338</v>
      </c>
      <c r="W2450" t="s">
        <v>15749</v>
      </c>
      <c r="X2450">
        <v>10</v>
      </c>
      <c r="Y2450" t="s">
        <v>22309</v>
      </c>
      <c r="Z2450" t="s">
        <v>28865</v>
      </c>
      <c r="AA2450">
        <v>0.2427089270574693</v>
      </c>
      <c r="AB2450" t="str">
        <f>HYPERLINK("Melting_Curves/meltCurve_P35236_2_PTPN7.pdf", "Melting_Curves/meltCurve_P35236_2_PTPN7.pdf")</f>
        <v>Melting_Curves/meltCurve_P35236_2_PTPN7.pdf</v>
      </c>
    </row>
    <row r="2451" spans="1:28" x14ac:dyDescent="0.25">
      <c r="A2451" t="s">
        <v>2455</v>
      </c>
      <c r="B2451">
        <v>0.99193492352474899</v>
      </c>
      <c r="C2451">
        <v>1.62259423221496</v>
      </c>
      <c r="D2451">
        <v>1.4624116578403299</v>
      </c>
      <c r="E2451">
        <v>1.23057968913222</v>
      </c>
      <c r="F2451">
        <v>0.64298506226513297</v>
      </c>
      <c r="G2451">
        <v>0.53874971163211305</v>
      </c>
      <c r="H2451">
        <v>0.541604400592126</v>
      </c>
      <c r="I2451">
        <v>0.81515204144840303</v>
      </c>
      <c r="J2451">
        <v>0.90232366313506696</v>
      </c>
      <c r="K2451">
        <v>1.44355745556824</v>
      </c>
      <c r="S2451" t="s">
        <v>9121</v>
      </c>
      <c r="T2451" t="s">
        <v>13338</v>
      </c>
      <c r="U2451" t="s">
        <v>13339</v>
      </c>
      <c r="V2451" t="s">
        <v>13338</v>
      </c>
      <c r="W2451" t="s">
        <v>15750</v>
      </c>
      <c r="X2451">
        <v>1</v>
      </c>
      <c r="Y2451" t="s">
        <v>22310</v>
      </c>
      <c r="Z2451" t="s">
        <v>28866</v>
      </c>
      <c r="AB2451" t="str">
        <f>HYPERLINK("Melting_Curves/meltCurve_P35237_SERPINB6.pdf", "Melting_Curves/meltCurve_P35237_SERPINB6.pdf")</f>
        <v>Melting_Curves/meltCurve_P35237_SERPINB6.pdf</v>
      </c>
    </row>
    <row r="2452" spans="1:28" x14ac:dyDescent="0.25">
      <c r="A2452" t="s">
        <v>2456</v>
      </c>
      <c r="B2452">
        <v>0.99193492352474899</v>
      </c>
      <c r="C2452">
        <v>0.83570545319492695</v>
      </c>
      <c r="D2452">
        <v>0.86300506513238995</v>
      </c>
      <c r="E2452">
        <v>0.51220581514984698</v>
      </c>
      <c r="F2452">
        <v>0.200647443654314</v>
      </c>
      <c r="G2452">
        <v>0.106780501296224</v>
      </c>
      <c r="H2452">
        <v>7.4165631044451799E-2</v>
      </c>
      <c r="I2452">
        <v>6.4411741213400694E-2</v>
      </c>
      <c r="J2452">
        <v>8.1405082986217805E-2</v>
      </c>
      <c r="K2452">
        <v>7.0662802926821797E-2</v>
      </c>
      <c r="L2452">
        <v>1012.39619838346</v>
      </c>
      <c r="M2452">
        <v>20.5481050093269</v>
      </c>
      <c r="N2452">
        <v>49.572021105178798</v>
      </c>
      <c r="O2452">
        <v>48.810041011198003</v>
      </c>
      <c r="P2452">
        <v>-9.9047628374323696E-2</v>
      </c>
      <c r="Q2452">
        <v>5.8915169481300302E-2</v>
      </c>
      <c r="R2452">
        <v>0.98635272171789501</v>
      </c>
      <c r="S2452" t="s">
        <v>9122</v>
      </c>
      <c r="T2452" t="s">
        <v>13338</v>
      </c>
      <c r="U2452" t="s">
        <v>13338</v>
      </c>
      <c r="V2452" t="s">
        <v>13338</v>
      </c>
      <c r="W2452" t="s">
        <v>15751</v>
      </c>
      <c r="X2452">
        <v>6</v>
      </c>
      <c r="Y2452" t="s">
        <v>22311</v>
      </c>
      <c r="Z2452" t="s">
        <v>28867</v>
      </c>
      <c r="AA2452">
        <v>0.36215251965480261</v>
      </c>
      <c r="AB2452" t="str">
        <f>HYPERLINK("Melting_Curves/meltCurve_P35240_5_NF2.pdf", "Melting_Curves/meltCurve_P35240_5_NF2.pdf")</f>
        <v>Melting_Curves/meltCurve_P35240_5_NF2.pdf</v>
      </c>
    </row>
    <row r="2453" spans="1:28" x14ac:dyDescent="0.25">
      <c r="A2453" t="s">
        <v>2457</v>
      </c>
      <c r="B2453">
        <v>0.99193492352474899</v>
      </c>
      <c r="C2453">
        <v>0.93988498568006495</v>
      </c>
      <c r="D2453">
        <v>0.84957473597294098</v>
      </c>
      <c r="E2453">
        <v>0.86785514104051098</v>
      </c>
      <c r="F2453">
        <v>0.70895724881918198</v>
      </c>
      <c r="G2453">
        <v>0.58049114348412001</v>
      </c>
      <c r="H2453">
        <v>0.17173055826622499</v>
      </c>
      <c r="I2453">
        <v>0.198218105348652</v>
      </c>
      <c r="J2453">
        <v>0.23301688812051699</v>
      </c>
      <c r="K2453">
        <v>0.391886740996921</v>
      </c>
      <c r="L2453">
        <v>993.85664821881301</v>
      </c>
      <c r="M2453">
        <v>18.252322721176998</v>
      </c>
      <c r="N2453">
        <v>56.303889720427101</v>
      </c>
      <c r="O2453">
        <v>53.809957797526003</v>
      </c>
      <c r="P2453">
        <v>-6.5656988188833101E-2</v>
      </c>
      <c r="Q2453">
        <v>0.225778264443636</v>
      </c>
      <c r="R2453">
        <v>0.91074919990121705</v>
      </c>
      <c r="S2453" t="s">
        <v>9123</v>
      </c>
      <c r="T2453" t="s">
        <v>13338</v>
      </c>
      <c r="U2453" t="s">
        <v>13338</v>
      </c>
      <c r="V2453" t="s">
        <v>13338</v>
      </c>
      <c r="W2453" t="s">
        <v>15752</v>
      </c>
      <c r="X2453">
        <v>46</v>
      </c>
      <c r="Y2453" t="s">
        <v>22312</v>
      </c>
      <c r="Z2453" t="s">
        <v>28868</v>
      </c>
      <c r="AA2453">
        <v>0.61069809266792729</v>
      </c>
      <c r="AB2453" t="str">
        <f>HYPERLINK("Melting_Curves/meltCurve_P35241_RDX.pdf", "Melting_Curves/meltCurve_P35241_RDX.pdf")</f>
        <v>Melting_Curves/meltCurve_P35241_RDX.pdf</v>
      </c>
    </row>
    <row r="2454" spans="1:28" x14ac:dyDescent="0.25">
      <c r="A2454" t="s">
        <v>2458</v>
      </c>
      <c r="B2454">
        <v>0.99193492352474899</v>
      </c>
      <c r="C2454">
        <v>0.62879008954548699</v>
      </c>
      <c r="D2454">
        <v>0.88129657640384196</v>
      </c>
      <c r="E2454">
        <v>0.43423432044552102</v>
      </c>
      <c r="F2454">
        <v>0.453031225188324</v>
      </c>
      <c r="G2454">
        <v>0.30599727580298502</v>
      </c>
      <c r="H2454">
        <v>0.15221344942234399</v>
      </c>
      <c r="I2454">
        <v>0.10197584021641</v>
      </c>
      <c r="J2454">
        <v>0.113902107737376</v>
      </c>
      <c r="K2454">
        <v>8.0275360374882504E-2</v>
      </c>
      <c r="L2454">
        <v>442.87952312044098</v>
      </c>
      <c r="M2454">
        <v>8.7585737395602692</v>
      </c>
      <c r="N2454">
        <v>50.565257816175198</v>
      </c>
      <c r="O2454">
        <v>48.137052736781598</v>
      </c>
      <c r="P2454">
        <v>-4.5524302848391797E-2</v>
      </c>
      <c r="Q2454">
        <v>0</v>
      </c>
      <c r="R2454">
        <v>0.90205623296466697</v>
      </c>
      <c r="S2454" t="s">
        <v>9124</v>
      </c>
      <c r="T2454" t="s">
        <v>13338</v>
      </c>
      <c r="U2454" t="s">
        <v>13338</v>
      </c>
      <c r="V2454" t="s">
        <v>13338</v>
      </c>
      <c r="W2454" t="s">
        <v>15753</v>
      </c>
      <c r="X2454">
        <v>7</v>
      </c>
      <c r="Y2454" t="s">
        <v>22313</v>
      </c>
      <c r="Z2454" t="s">
        <v>28869</v>
      </c>
      <c r="AA2454">
        <v>0.40292842799602918</v>
      </c>
      <c r="AB2454" t="str">
        <f>HYPERLINK("Melting_Curves/meltCurve_P35244_RPA3.pdf", "Melting_Curves/meltCurve_P35244_RPA3.pdf")</f>
        <v>Melting_Curves/meltCurve_P35244_RPA3.pdf</v>
      </c>
    </row>
    <row r="2455" spans="1:28" x14ac:dyDescent="0.25">
      <c r="A2455" t="s">
        <v>2459</v>
      </c>
      <c r="B2455">
        <v>0.99193492352474899</v>
      </c>
      <c r="C2455">
        <v>0.72575901273287502</v>
      </c>
      <c r="D2455">
        <v>0.91391215540229098</v>
      </c>
      <c r="E2455">
        <v>0.611289408466131</v>
      </c>
      <c r="F2455">
        <v>0.35355008201343602</v>
      </c>
      <c r="G2455">
        <v>0.154272181369881</v>
      </c>
      <c r="H2455">
        <v>8.7969353424987601E-2</v>
      </c>
      <c r="I2455">
        <v>6.3298543745182803E-2</v>
      </c>
      <c r="J2455">
        <v>7.3024794085644107E-2</v>
      </c>
      <c r="K2455">
        <v>6.4974882382539997E-2</v>
      </c>
      <c r="L2455">
        <v>722.23021321571605</v>
      </c>
      <c r="M2455">
        <v>14.236548818604</v>
      </c>
      <c r="N2455">
        <v>50.887924083405103</v>
      </c>
      <c r="O2455">
        <v>49.761240237845399</v>
      </c>
      <c r="P2455">
        <v>-6.9994303900051097E-2</v>
      </c>
      <c r="Q2455">
        <v>2.15123712135083E-2</v>
      </c>
      <c r="R2455">
        <v>0.95537592401654003</v>
      </c>
      <c r="S2455" t="s">
        <v>9125</v>
      </c>
      <c r="T2455" t="s">
        <v>13338</v>
      </c>
      <c r="U2455" t="s">
        <v>13338</v>
      </c>
      <c r="V2455" t="s">
        <v>13338</v>
      </c>
      <c r="W2455" t="s">
        <v>15754</v>
      </c>
      <c r="X2455">
        <v>21</v>
      </c>
      <c r="Y2455" t="s">
        <v>22314</v>
      </c>
      <c r="Z2455" t="s">
        <v>28870</v>
      </c>
      <c r="AA2455">
        <v>0.39637647789066938</v>
      </c>
      <c r="AB2455" t="str">
        <f>HYPERLINK("Melting_Curves/meltCurve_P35249_RFC4.pdf", "Melting_Curves/meltCurve_P35249_RFC4.pdf")</f>
        <v>Melting_Curves/meltCurve_P35249_RFC4.pdf</v>
      </c>
    </row>
    <row r="2456" spans="1:28" x14ac:dyDescent="0.25">
      <c r="A2456" t="s">
        <v>2460</v>
      </c>
      <c r="B2456">
        <v>0.99193492352474899</v>
      </c>
      <c r="C2456">
        <v>0.72683128450037005</v>
      </c>
      <c r="D2456">
        <v>0.86886112802056303</v>
      </c>
      <c r="E2456">
        <v>0.59726748391526097</v>
      </c>
      <c r="F2456">
        <v>0.224235860299142</v>
      </c>
      <c r="G2456">
        <v>0.101532477404477</v>
      </c>
      <c r="H2456">
        <v>6.0586068832999801E-2</v>
      </c>
      <c r="I2456">
        <v>8.51155632298254E-2</v>
      </c>
      <c r="J2456">
        <v>0.107137081855774</v>
      </c>
      <c r="K2456">
        <v>0.12633277238973001</v>
      </c>
      <c r="L2456">
        <v>903.55086767270302</v>
      </c>
      <c r="M2456">
        <v>18.2327771915959</v>
      </c>
      <c r="N2456">
        <v>49.952547313704699</v>
      </c>
      <c r="O2456">
        <v>48.971807119226</v>
      </c>
      <c r="P2456">
        <v>-8.68166638552514E-2</v>
      </c>
      <c r="Q2456">
        <v>6.7312798664615994E-2</v>
      </c>
      <c r="R2456">
        <v>0.944980407932696</v>
      </c>
      <c r="S2456" t="s">
        <v>9126</v>
      </c>
      <c r="T2456" t="s">
        <v>13338</v>
      </c>
      <c r="U2456" t="s">
        <v>13338</v>
      </c>
      <c r="V2456" t="s">
        <v>13338</v>
      </c>
      <c r="W2456" t="s">
        <v>15755</v>
      </c>
      <c r="X2456">
        <v>23</v>
      </c>
      <c r="Y2456" t="s">
        <v>22315</v>
      </c>
      <c r="Z2456" t="s">
        <v>28871</v>
      </c>
      <c r="AA2456">
        <v>0.38002697663150542</v>
      </c>
      <c r="AB2456" t="str">
        <f>HYPERLINK("Melting_Curves/meltCurve_P35250_RFC2.pdf", "Melting_Curves/meltCurve_P35250_RFC2.pdf")</f>
        <v>Melting_Curves/meltCurve_P35250_RFC2.pdf</v>
      </c>
    </row>
    <row r="2457" spans="1:28" x14ac:dyDescent="0.25">
      <c r="A2457" t="s">
        <v>2461</v>
      </c>
      <c r="B2457">
        <v>0.99193492352474899</v>
      </c>
      <c r="C2457">
        <v>0.35107328596850501</v>
      </c>
      <c r="D2457">
        <v>0.80854884473057698</v>
      </c>
      <c r="E2457">
        <v>0.231402884621736</v>
      </c>
      <c r="F2457">
        <v>0.228879886095254</v>
      </c>
      <c r="G2457">
        <v>0.11144822418900099</v>
      </c>
      <c r="H2457">
        <v>8.7849980261562793E-2</v>
      </c>
      <c r="I2457">
        <v>0.106794889593381</v>
      </c>
      <c r="J2457">
        <v>0.16688070749251299</v>
      </c>
      <c r="K2457">
        <v>0.16610041582292701</v>
      </c>
      <c r="L2457">
        <v>538.909977282976</v>
      </c>
      <c r="M2457">
        <v>11.9407786269628</v>
      </c>
      <c r="N2457">
        <v>45.974521271006502</v>
      </c>
      <c r="O2457">
        <v>43.9219491944596</v>
      </c>
      <c r="P2457">
        <v>-6.1301294405076603E-2</v>
      </c>
      <c r="Q2457">
        <v>9.8279590310836704E-2</v>
      </c>
      <c r="R2457">
        <v>0.71933244416605602</v>
      </c>
      <c r="S2457" t="s">
        <v>9127</v>
      </c>
      <c r="T2457" t="s">
        <v>13338</v>
      </c>
      <c r="U2457" t="s">
        <v>13338</v>
      </c>
      <c r="V2457" t="s">
        <v>13338</v>
      </c>
      <c r="W2457" t="s">
        <v>15756</v>
      </c>
      <c r="X2457">
        <v>8</v>
      </c>
      <c r="Y2457" t="s">
        <v>22316</v>
      </c>
      <c r="Z2457" t="s">
        <v>28872</v>
      </c>
      <c r="AA2457">
        <v>0.29739317182925978</v>
      </c>
      <c r="AB2457" t="str">
        <f>HYPERLINK("Melting_Curves/meltCurve_P35251_2_RFC1.pdf", "Melting_Curves/meltCurve_P35251_2_RFC1.pdf")</f>
        <v>Melting_Curves/meltCurve_P35251_2_RFC1.pdf</v>
      </c>
    </row>
    <row r="2458" spans="1:28" x14ac:dyDescent="0.25">
      <c r="A2458" t="s">
        <v>2462</v>
      </c>
      <c r="B2458">
        <v>0.99193492352474899</v>
      </c>
      <c r="C2458">
        <v>0.80496532555774203</v>
      </c>
      <c r="D2458">
        <v>0.86163450977889999</v>
      </c>
      <c r="E2458">
        <v>0.76589860721288106</v>
      </c>
      <c r="F2458">
        <v>0.47518345003912099</v>
      </c>
      <c r="G2458">
        <v>0.320635501536703</v>
      </c>
      <c r="H2458">
        <v>0.13539581256421701</v>
      </c>
      <c r="I2458">
        <v>8.9414602589998296E-2</v>
      </c>
      <c r="J2458">
        <v>0.104935989087656</v>
      </c>
      <c r="K2458">
        <v>0.104276742451092</v>
      </c>
      <c r="L2458">
        <v>640.42770559062603</v>
      </c>
      <c r="M2458">
        <v>12.1191645408278</v>
      </c>
      <c r="N2458">
        <v>52.990247362458398</v>
      </c>
      <c r="O2458">
        <v>51.467131607751398</v>
      </c>
      <c r="P2458">
        <v>-5.7915156585270397E-2</v>
      </c>
      <c r="Q2458">
        <v>1.64221057209352E-2</v>
      </c>
      <c r="R2458">
        <v>0.97409787041852602</v>
      </c>
      <c r="S2458" t="s">
        <v>9128</v>
      </c>
      <c r="T2458" t="s">
        <v>13338</v>
      </c>
      <c r="U2458" t="s">
        <v>13338</v>
      </c>
      <c r="V2458" t="s">
        <v>13338</v>
      </c>
      <c r="W2458" t="s">
        <v>15757</v>
      </c>
      <c r="X2458">
        <v>8</v>
      </c>
      <c r="Y2458" t="s">
        <v>22317</v>
      </c>
      <c r="Z2458" t="s">
        <v>28873</v>
      </c>
      <c r="AA2458">
        <v>0.4655533076611178</v>
      </c>
      <c r="AB2458" t="str">
        <f>HYPERLINK("Melting_Curves/meltCurve_P35268_RPL22.pdf", "Melting_Curves/meltCurve_P35268_RPL22.pdf")</f>
        <v>Melting_Curves/meltCurve_P35268_RPL22.pdf</v>
      </c>
    </row>
    <row r="2459" spans="1:28" x14ac:dyDescent="0.25">
      <c r="A2459" t="s">
        <v>2463</v>
      </c>
      <c r="B2459">
        <v>0.99193492352474899</v>
      </c>
      <c r="C2459">
        <v>0.93504756052864402</v>
      </c>
      <c r="D2459">
        <v>0.878239144756219</v>
      </c>
      <c r="E2459">
        <v>0.78817305996582099</v>
      </c>
      <c r="F2459">
        <v>0.54172218937086103</v>
      </c>
      <c r="G2459">
        <v>0.31098340286911502</v>
      </c>
      <c r="H2459">
        <v>0.26347626215952602</v>
      </c>
      <c r="I2459">
        <v>0.38790975664391902</v>
      </c>
      <c r="J2459">
        <v>0.474920652836961</v>
      </c>
      <c r="K2459">
        <v>0.64729144712641196</v>
      </c>
      <c r="L2459">
        <v>1425.04194597988</v>
      </c>
      <c r="M2459">
        <v>28.397260087041499</v>
      </c>
      <c r="N2459">
        <v>53.606445790836403</v>
      </c>
      <c r="O2459">
        <v>49.935491777425298</v>
      </c>
      <c r="P2459">
        <v>-8.2674177804145293E-2</v>
      </c>
      <c r="Q2459">
        <v>0.41848721516099302</v>
      </c>
      <c r="R2459">
        <v>0.82730278037038896</v>
      </c>
      <c r="S2459" t="s">
        <v>9129</v>
      </c>
      <c r="T2459" t="s">
        <v>13338</v>
      </c>
      <c r="U2459" t="s">
        <v>13338</v>
      </c>
      <c r="V2459" t="s">
        <v>13338</v>
      </c>
      <c r="W2459" t="s">
        <v>15758</v>
      </c>
      <c r="X2459">
        <v>19</v>
      </c>
      <c r="Y2459" t="s">
        <v>22318</v>
      </c>
      <c r="Z2459" t="s">
        <v>28874</v>
      </c>
      <c r="AA2459">
        <v>0.61989011917783965</v>
      </c>
      <c r="AB2459" t="str">
        <f>HYPERLINK("Melting_Curves/meltCurve_P35269_GTF2F1.pdf", "Melting_Curves/meltCurve_P35269_GTF2F1.pdf")</f>
        <v>Melting_Curves/meltCurve_P35269_GTF2F1.pdf</v>
      </c>
    </row>
    <row r="2460" spans="1:28" x14ac:dyDescent="0.25">
      <c r="A2460" t="s">
        <v>2464</v>
      </c>
      <c r="B2460">
        <v>0.99193492352474899</v>
      </c>
      <c r="C2460">
        <v>0.90492319589341097</v>
      </c>
      <c r="D2460">
        <v>0.89292131473738601</v>
      </c>
      <c r="E2460">
        <v>0.758213439610254</v>
      </c>
      <c r="F2460">
        <v>0.279921260368794</v>
      </c>
      <c r="G2460">
        <v>0.122598265644497</v>
      </c>
      <c r="H2460">
        <v>5.9977143222842297E-2</v>
      </c>
      <c r="I2460">
        <v>7.2592863891521406E-2</v>
      </c>
      <c r="J2460">
        <v>7.9789288410953396E-2</v>
      </c>
      <c r="K2460">
        <v>6.5356910193390599E-2</v>
      </c>
      <c r="L2460">
        <v>1423.98058915756</v>
      </c>
      <c r="M2460">
        <v>27.8416223351147</v>
      </c>
      <c r="N2460">
        <v>51.398032938604601</v>
      </c>
      <c r="O2460">
        <v>50.884070679581001</v>
      </c>
      <c r="P2460">
        <v>-0.12805434728072701</v>
      </c>
      <c r="Q2460">
        <v>6.3866436982085495E-2</v>
      </c>
      <c r="R2460">
        <v>0.98999659480526403</v>
      </c>
      <c r="S2460" t="s">
        <v>9130</v>
      </c>
      <c r="T2460" t="s">
        <v>13338</v>
      </c>
      <c r="U2460" t="s">
        <v>13338</v>
      </c>
      <c r="V2460" t="s">
        <v>13338</v>
      </c>
      <c r="W2460" t="s">
        <v>15759</v>
      </c>
      <c r="X2460">
        <v>10</v>
      </c>
      <c r="Y2460" t="s">
        <v>22319</v>
      </c>
      <c r="Z2460" t="s">
        <v>28875</v>
      </c>
      <c r="AA2460">
        <v>0.41851076932830339</v>
      </c>
      <c r="AB2460" t="str">
        <f>HYPERLINK("Melting_Curves/meltCurve_P35270_SPR.pdf", "Melting_Curves/meltCurve_P35270_SPR.pdf")</f>
        <v>Melting_Curves/meltCurve_P35270_SPR.pdf</v>
      </c>
    </row>
    <row r="2461" spans="1:28" x14ac:dyDescent="0.25">
      <c r="A2461" t="s">
        <v>2465</v>
      </c>
      <c r="B2461">
        <v>0.99193492352474899</v>
      </c>
      <c r="C2461">
        <v>0.87715690169625105</v>
      </c>
      <c r="D2461">
        <v>0.86603265735930102</v>
      </c>
      <c r="E2461">
        <v>0.68877871468681495</v>
      </c>
      <c r="F2461">
        <v>0.53710177153604099</v>
      </c>
      <c r="G2461">
        <v>0.43654856103968098</v>
      </c>
      <c r="H2461">
        <v>0.309499340802317</v>
      </c>
      <c r="I2461">
        <v>0.28985899142496602</v>
      </c>
      <c r="J2461">
        <v>0.21296318493032201</v>
      </c>
      <c r="K2461">
        <v>0.106218305563853</v>
      </c>
      <c r="L2461">
        <v>446.70459319049701</v>
      </c>
      <c r="M2461">
        <v>8.1525723267976797</v>
      </c>
      <c r="N2461">
        <v>54.918810353294198</v>
      </c>
      <c r="O2461">
        <v>51.792222959607102</v>
      </c>
      <c r="P2461">
        <v>-3.9029563901861498E-2</v>
      </c>
      <c r="Q2461">
        <v>9.2452387942183207E-3</v>
      </c>
      <c r="R2461">
        <v>0.98881604280642099</v>
      </c>
      <c r="S2461" t="s">
        <v>9131</v>
      </c>
      <c r="T2461" t="s">
        <v>13338</v>
      </c>
      <c r="U2461" t="s">
        <v>13338</v>
      </c>
      <c r="V2461" t="s">
        <v>13338</v>
      </c>
      <c r="W2461" t="s">
        <v>15760</v>
      </c>
      <c r="X2461">
        <v>3</v>
      </c>
      <c r="Y2461" t="s">
        <v>22320</v>
      </c>
      <c r="Z2461" t="s">
        <v>28876</v>
      </c>
      <c r="AA2461">
        <v>0.5260704595387391</v>
      </c>
      <c r="AB2461" t="str">
        <f>HYPERLINK("Melting_Curves/meltCurve_P35408_PTGER4.pdf", "Melting_Curves/meltCurve_P35408_PTGER4.pdf")</f>
        <v>Melting_Curves/meltCurve_P35408_PTGER4.pdf</v>
      </c>
    </row>
    <row r="2462" spans="1:28" x14ac:dyDescent="0.25">
      <c r="A2462" t="s">
        <v>2466</v>
      </c>
      <c r="B2462">
        <v>0.99193492352474899</v>
      </c>
      <c r="C2462">
        <v>0.96084943983617699</v>
      </c>
      <c r="D2462">
        <v>0.87935837675097706</v>
      </c>
      <c r="E2462">
        <v>0.66939701765275805</v>
      </c>
      <c r="F2462">
        <v>0.48488089503582599</v>
      </c>
      <c r="G2462">
        <v>0.21207271127714999</v>
      </c>
      <c r="H2462">
        <v>0.101838086676032</v>
      </c>
      <c r="I2462">
        <v>0.114064242422434</v>
      </c>
      <c r="J2462">
        <v>0.115248434794625</v>
      </c>
      <c r="K2462">
        <v>0.110449753360802</v>
      </c>
      <c r="L2462">
        <v>847.29506295547696</v>
      </c>
      <c r="M2462">
        <v>16.406019711684799</v>
      </c>
      <c r="N2462">
        <v>52.164231988786497</v>
      </c>
      <c r="O2462">
        <v>50.896335546436497</v>
      </c>
      <c r="P2462">
        <v>-7.4524095299751306E-2</v>
      </c>
      <c r="Q2462">
        <v>7.5282166571862805E-2</v>
      </c>
      <c r="R2462">
        <v>0.99403731397184802</v>
      </c>
      <c r="S2462" t="s">
        <v>9132</v>
      </c>
      <c r="T2462" t="s">
        <v>13338</v>
      </c>
      <c r="U2462" t="s">
        <v>13338</v>
      </c>
      <c r="V2462" t="s">
        <v>13338</v>
      </c>
      <c r="W2462" t="s">
        <v>15761</v>
      </c>
      <c r="X2462">
        <v>9</v>
      </c>
      <c r="Y2462" t="s">
        <v>22321</v>
      </c>
      <c r="Z2462" t="s">
        <v>28877</v>
      </c>
      <c r="AA2462">
        <v>0.45234029819266092</v>
      </c>
      <c r="AB2462" t="str">
        <f>HYPERLINK("Melting_Curves/meltCurve_P35520_CBS.pdf", "Melting_Curves/meltCurve_P35520_CBS.pdf")</f>
        <v>Melting_Curves/meltCurve_P35520_CBS.pdf</v>
      </c>
    </row>
    <row r="2463" spans="1:28" x14ac:dyDescent="0.25">
      <c r="A2463" t="s">
        <v>2467</v>
      </c>
      <c r="B2463">
        <v>0.99193492352474899</v>
      </c>
      <c r="C2463">
        <v>0.93606484830547998</v>
      </c>
      <c r="D2463">
        <v>0.91694404489777903</v>
      </c>
      <c r="E2463">
        <v>0.67261588495309199</v>
      </c>
      <c r="F2463">
        <v>0.175695045554524</v>
      </c>
      <c r="G2463">
        <v>0.12569686649741699</v>
      </c>
      <c r="H2463">
        <v>7.9985316192464503E-2</v>
      </c>
      <c r="I2463">
        <v>9.8759488326317604E-2</v>
      </c>
      <c r="J2463">
        <v>0.131363307522434</v>
      </c>
      <c r="K2463">
        <v>0.12297277561898801</v>
      </c>
      <c r="L2463">
        <v>1923.3958000150001</v>
      </c>
      <c r="M2463">
        <v>38.306696386579901</v>
      </c>
      <c r="N2463">
        <v>50.524918636449499</v>
      </c>
      <c r="O2463">
        <v>50.074183130529299</v>
      </c>
      <c r="P2463">
        <v>-0.17096429375508801</v>
      </c>
      <c r="Q2463">
        <v>0.106070011164435</v>
      </c>
      <c r="R2463">
        <v>0.99316195999336898</v>
      </c>
      <c r="S2463" t="s">
        <v>9133</v>
      </c>
      <c r="T2463" t="s">
        <v>13338</v>
      </c>
      <c r="U2463" t="s">
        <v>13338</v>
      </c>
      <c r="V2463" t="s">
        <v>13338</v>
      </c>
      <c r="W2463" t="s">
        <v>15762</v>
      </c>
      <c r="X2463">
        <v>20</v>
      </c>
      <c r="Y2463" t="s">
        <v>22322</v>
      </c>
      <c r="Z2463" t="s">
        <v>28878</v>
      </c>
      <c r="AA2463">
        <v>0.41370341081700562</v>
      </c>
      <c r="AB2463" t="str">
        <f>HYPERLINK("Melting_Curves/meltCurve_P35573_AGL.pdf", "Melting_Curves/meltCurve_P35573_AGL.pdf")</f>
        <v>Melting_Curves/meltCurve_P35573_AGL.pdf</v>
      </c>
    </row>
    <row r="2464" spans="1:28" x14ac:dyDescent="0.25">
      <c r="A2464" t="s">
        <v>2468</v>
      </c>
      <c r="B2464">
        <v>0.99193492352474899</v>
      </c>
      <c r="C2464">
        <v>0.68814110131736705</v>
      </c>
      <c r="D2464">
        <v>0.81009058590118799</v>
      </c>
      <c r="E2464">
        <v>0.42986319236630499</v>
      </c>
      <c r="F2464">
        <v>0.23326415006479601</v>
      </c>
      <c r="G2464">
        <v>9.0503930502727495E-2</v>
      </c>
      <c r="H2464">
        <v>5.8690567488201603E-2</v>
      </c>
      <c r="I2464">
        <v>6.8490923448324401E-2</v>
      </c>
      <c r="J2464">
        <v>7.4864989053435901E-2</v>
      </c>
      <c r="K2464">
        <v>8.1287098692332596E-2</v>
      </c>
      <c r="L2464">
        <v>680.39794933406802</v>
      </c>
      <c r="M2464">
        <v>14.063656917441101</v>
      </c>
      <c r="N2464">
        <v>48.618017154371003</v>
      </c>
      <c r="O2464">
        <v>47.433197102879099</v>
      </c>
      <c r="P2464">
        <v>-7.1665683446921605E-2</v>
      </c>
      <c r="Q2464">
        <v>3.3283980038499299E-2</v>
      </c>
      <c r="R2464">
        <v>0.95363546562943102</v>
      </c>
      <c r="S2464" t="s">
        <v>9134</v>
      </c>
      <c r="T2464" t="s">
        <v>13338</v>
      </c>
      <c r="U2464" t="s">
        <v>13338</v>
      </c>
      <c r="V2464" t="s">
        <v>13338</v>
      </c>
      <c r="W2464" t="s">
        <v>15763</v>
      </c>
      <c r="X2464">
        <v>188</v>
      </c>
      <c r="Y2464" t="s">
        <v>22323</v>
      </c>
      <c r="Z2464" t="s">
        <v>28879</v>
      </c>
      <c r="AA2464">
        <v>0.33098963532897913</v>
      </c>
      <c r="AB2464" t="str">
        <f>HYPERLINK("Melting_Curves/meltCurve_P35579_MYH9.pdf", "Melting_Curves/meltCurve_P35579_MYH9.pdf")</f>
        <v>Melting_Curves/meltCurve_P35579_MYH9.pdf</v>
      </c>
    </row>
    <row r="2465" spans="1:28" x14ac:dyDescent="0.25">
      <c r="A2465" t="s">
        <v>2469</v>
      </c>
      <c r="B2465">
        <v>0.99193492352474899</v>
      </c>
      <c r="C2465">
        <v>0.59294540647192495</v>
      </c>
      <c r="D2465">
        <v>0.82708758351364597</v>
      </c>
      <c r="E2465">
        <v>0.31095251121310902</v>
      </c>
      <c r="F2465">
        <v>0.16413157217301999</v>
      </c>
      <c r="G2465">
        <v>8.2459566183165994E-2</v>
      </c>
      <c r="H2465">
        <v>5.6091489916999103E-2</v>
      </c>
      <c r="I2465">
        <v>6.6034698234955794E-2</v>
      </c>
      <c r="J2465">
        <v>7.3349042962744401E-2</v>
      </c>
      <c r="K2465">
        <v>7.9714174539350396E-2</v>
      </c>
      <c r="L2465">
        <v>677.67393029243703</v>
      </c>
      <c r="M2465">
        <v>14.3166776729723</v>
      </c>
      <c r="N2465">
        <v>47.574719046174899</v>
      </c>
      <c r="O2465">
        <v>46.439801630188001</v>
      </c>
      <c r="P2465">
        <v>-7.4393421199939899E-2</v>
      </c>
      <c r="Q2465">
        <v>3.4860911295175802E-2</v>
      </c>
      <c r="R2465">
        <v>0.90386185544809605</v>
      </c>
      <c r="S2465" t="s">
        <v>9135</v>
      </c>
      <c r="T2465" t="s">
        <v>13338</v>
      </c>
      <c r="U2465" t="s">
        <v>13338</v>
      </c>
      <c r="V2465" t="s">
        <v>13338</v>
      </c>
      <c r="W2465" t="s">
        <v>15764</v>
      </c>
      <c r="X2465">
        <v>129</v>
      </c>
      <c r="Y2465" t="s">
        <v>22324</v>
      </c>
      <c r="Z2465" t="s">
        <v>28880</v>
      </c>
      <c r="AA2465">
        <v>0.29906136106255748</v>
      </c>
      <c r="AB2465" t="str">
        <f>HYPERLINK("Melting_Curves/meltCurve_P35580_MYH10.pdf", "Melting_Curves/meltCurve_P35580_MYH10.pdf")</f>
        <v>Melting_Curves/meltCurve_P35580_MYH10.pdf</v>
      </c>
    </row>
    <row r="2466" spans="1:28" x14ac:dyDescent="0.25">
      <c r="A2466" t="s">
        <v>2470</v>
      </c>
      <c r="B2466">
        <v>0.99193492352474899</v>
      </c>
      <c r="C2466">
        <v>0.88228930590478105</v>
      </c>
      <c r="D2466">
        <v>0.89239867944503604</v>
      </c>
      <c r="E2466">
        <v>0.69813574185759497</v>
      </c>
      <c r="F2466">
        <v>0.42983765365988802</v>
      </c>
      <c r="G2466">
        <v>0.15331006629889901</v>
      </c>
      <c r="H2466">
        <v>7.9813953222084705E-2</v>
      </c>
      <c r="I2466">
        <v>9.0368142571435897E-2</v>
      </c>
      <c r="J2466">
        <v>0.106999046162499</v>
      </c>
      <c r="K2466">
        <v>0.111258317362954</v>
      </c>
      <c r="L2466">
        <v>959.02026892841798</v>
      </c>
      <c r="M2466">
        <v>18.663350038389002</v>
      </c>
      <c r="N2466">
        <v>51.806262392041198</v>
      </c>
      <c r="O2466">
        <v>50.806175127563002</v>
      </c>
      <c r="P2466">
        <v>-8.5377279191275607E-2</v>
      </c>
      <c r="Q2466">
        <v>7.0368936503946503E-2</v>
      </c>
      <c r="R2466">
        <v>0.98728909536285403</v>
      </c>
      <c r="S2466" t="s">
        <v>9136</v>
      </c>
      <c r="T2466" t="s">
        <v>13338</v>
      </c>
      <c r="U2466" t="s">
        <v>13338</v>
      </c>
      <c r="V2466" t="s">
        <v>13338</v>
      </c>
      <c r="W2466" t="s">
        <v>15765</v>
      </c>
      <c r="X2466">
        <v>37</v>
      </c>
      <c r="Y2466" t="s">
        <v>22325</v>
      </c>
      <c r="Z2466" t="s">
        <v>28881</v>
      </c>
      <c r="AA2466">
        <v>0.43779015033186192</v>
      </c>
      <c r="AB2466" t="str">
        <f>HYPERLINK("Melting_Curves/meltCurve_P35606_COPB2.pdf", "Melting_Curves/meltCurve_P35606_COPB2.pdf")</f>
        <v>Melting_Curves/meltCurve_P35606_COPB2.pdf</v>
      </c>
    </row>
    <row r="2467" spans="1:28" x14ac:dyDescent="0.25">
      <c r="A2467" t="s">
        <v>2471</v>
      </c>
      <c r="B2467">
        <v>0.99193492352474899</v>
      </c>
      <c r="C2467">
        <v>0.85760019343670801</v>
      </c>
      <c r="D2467">
        <v>0.86898342864807598</v>
      </c>
      <c r="E2467">
        <v>0.66714280261912295</v>
      </c>
      <c r="F2467">
        <v>0.207534635310864</v>
      </c>
      <c r="G2467">
        <v>0.11808711564643901</v>
      </c>
      <c r="H2467">
        <v>7.2884587687639502E-2</v>
      </c>
      <c r="I2467">
        <v>8.2252730587241696E-2</v>
      </c>
      <c r="J2467">
        <v>8.6214992432870605E-2</v>
      </c>
      <c r="K2467">
        <v>9.3865378739620003E-2</v>
      </c>
      <c r="L2467">
        <v>1251.94837397432</v>
      </c>
      <c r="M2467">
        <v>24.920714542650099</v>
      </c>
      <c r="N2467">
        <v>50.555588353011203</v>
      </c>
      <c r="O2467">
        <v>49.917129085394102</v>
      </c>
      <c r="P2467">
        <v>-0.115749268524793</v>
      </c>
      <c r="Q2467">
        <v>7.2612200608464905E-2</v>
      </c>
      <c r="R2467">
        <v>0.98135702083164</v>
      </c>
      <c r="S2467" t="s">
        <v>9137</v>
      </c>
      <c r="T2467" t="s">
        <v>13338</v>
      </c>
      <c r="U2467" t="s">
        <v>13338</v>
      </c>
      <c r="V2467" t="s">
        <v>13338</v>
      </c>
      <c r="W2467" t="s">
        <v>15766</v>
      </c>
      <c r="X2467">
        <v>7</v>
      </c>
      <c r="Y2467" t="s">
        <v>22326</v>
      </c>
      <c r="Z2467" t="s">
        <v>28882</v>
      </c>
      <c r="AA2467">
        <v>0.39743788328482171</v>
      </c>
      <c r="AB2467" t="str">
        <f>HYPERLINK("Melting_Curves/meltCurve_P35610_SOAT1.pdf", "Melting_Curves/meltCurve_P35610_SOAT1.pdf")</f>
        <v>Melting_Curves/meltCurve_P35610_SOAT1.pdf</v>
      </c>
    </row>
    <row r="2468" spans="1:28" x14ac:dyDescent="0.25">
      <c r="A2468" t="s">
        <v>2472</v>
      </c>
      <c r="B2468">
        <v>0.99193492352474899</v>
      </c>
      <c r="C2468">
        <v>1.05250533942071</v>
      </c>
      <c r="D2468">
        <v>0.89115797650794004</v>
      </c>
      <c r="E2468">
        <v>0.86714997856143095</v>
      </c>
      <c r="F2468">
        <v>0.641688201871633</v>
      </c>
      <c r="G2468">
        <v>0.518347405169858</v>
      </c>
      <c r="H2468">
        <v>0.37449931155514399</v>
      </c>
      <c r="I2468">
        <v>0.39639444185272299</v>
      </c>
      <c r="J2468">
        <v>0.34948475239369597</v>
      </c>
      <c r="K2468">
        <v>0.24923366178530301</v>
      </c>
      <c r="L2468">
        <v>757.84411225623501</v>
      </c>
      <c r="M2468">
        <v>14.078000766358899</v>
      </c>
      <c r="N2468">
        <v>57.108246883705</v>
      </c>
      <c r="O2468">
        <v>52.780517786569</v>
      </c>
      <c r="P2468">
        <v>-4.8213397090557997E-2</v>
      </c>
      <c r="Q2468">
        <v>0.27705684073106501</v>
      </c>
      <c r="R2468">
        <v>0.97925085922372401</v>
      </c>
      <c r="S2468" t="s">
        <v>9138</v>
      </c>
      <c r="T2468" t="s">
        <v>13338</v>
      </c>
      <c r="U2468" t="s">
        <v>13338</v>
      </c>
      <c r="V2468" t="s">
        <v>13338</v>
      </c>
      <c r="W2468" t="s">
        <v>15767</v>
      </c>
      <c r="X2468">
        <v>33</v>
      </c>
      <c r="Y2468" t="s">
        <v>22327</v>
      </c>
      <c r="Z2468" t="s">
        <v>28883</v>
      </c>
      <c r="AA2468">
        <v>0.62654950971896284</v>
      </c>
      <c r="AB2468" t="str">
        <f>HYPERLINK("Melting_Curves/meltCurve_P35611_ADD1.pdf", "Melting_Curves/meltCurve_P35611_ADD1.pdf")</f>
        <v>Melting_Curves/meltCurve_P35611_ADD1.pdf</v>
      </c>
    </row>
    <row r="2469" spans="1:28" x14ac:dyDescent="0.25">
      <c r="A2469" t="s">
        <v>2473</v>
      </c>
      <c r="B2469">
        <v>0.99193492352474899</v>
      </c>
      <c r="C2469">
        <v>1.09558555222999</v>
      </c>
      <c r="D2469">
        <v>1.0229326828298799</v>
      </c>
      <c r="E2469">
        <v>0.94637241175505205</v>
      </c>
      <c r="F2469">
        <v>0.79749993186343804</v>
      </c>
      <c r="G2469">
        <v>0.65092400310185405</v>
      </c>
      <c r="H2469">
        <v>0.402145004681212</v>
      </c>
      <c r="I2469">
        <v>0.37868151139776501</v>
      </c>
      <c r="J2469">
        <v>0.31593174900635201</v>
      </c>
      <c r="K2469">
        <v>0.260988150923045</v>
      </c>
      <c r="L2469">
        <v>987.49750332840301</v>
      </c>
      <c r="M2469">
        <v>17.3961823079125</v>
      </c>
      <c r="N2469">
        <v>59.210972731497002</v>
      </c>
      <c r="O2469">
        <v>56.0310063344958</v>
      </c>
      <c r="P2469">
        <v>-5.7730023752835202E-2</v>
      </c>
      <c r="Q2469">
        <v>0.25627618487657</v>
      </c>
      <c r="R2469">
        <v>0.98430623029278796</v>
      </c>
      <c r="S2469" t="s">
        <v>9139</v>
      </c>
      <c r="T2469" t="s">
        <v>13338</v>
      </c>
      <c r="U2469" t="s">
        <v>13338</v>
      </c>
      <c r="V2469" t="s">
        <v>13338</v>
      </c>
      <c r="W2469" t="s">
        <v>15768</v>
      </c>
      <c r="X2469">
        <v>15</v>
      </c>
      <c r="Y2469" t="s">
        <v>22328</v>
      </c>
      <c r="Z2469" t="s">
        <v>28884</v>
      </c>
      <c r="AA2469">
        <v>0.6826613751842413</v>
      </c>
      <c r="AB2469" t="str">
        <f>HYPERLINK("Melting_Curves/meltCurve_P35612_ADD2.pdf", "Melting_Curves/meltCurve_P35612_ADD2.pdf")</f>
        <v>Melting_Curves/meltCurve_P35612_ADD2.pdf</v>
      </c>
    </row>
    <row r="2470" spans="1:28" x14ac:dyDescent="0.25">
      <c r="A2470" t="s">
        <v>2474</v>
      </c>
      <c r="B2470">
        <v>0.99193492352474899</v>
      </c>
      <c r="C2470">
        <v>1.02646510357868</v>
      </c>
      <c r="D2470">
        <v>0.86887840915298398</v>
      </c>
      <c r="E2470">
        <v>0.78747434006674999</v>
      </c>
      <c r="F2470">
        <v>0.537358536314827</v>
      </c>
      <c r="G2470">
        <v>0.47338485496506599</v>
      </c>
      <c r="H2470">
        <v>0.359609881149693</v>
      </c>
      <c r="I2470">
        <v>0.41280839951439102</v>
      </c>
      <c r="J2470">
        <v>0.40741462491706498</v>
      </c>
      <c r="K2470">
        <v>0.45429383138712898</v>
      </c>
      <c r="L2470">
        <v>1039.3209296221701</v>
      </c>
      <c r="M2470">
        <v>20.619043280077602</v>
      </c>
      <c r="N2470">
        <v>54.7943432384834</v>
      </c>
      <c r="O2470">
        <v>49.938933765270797</v>
      </c>
      <c r="P2470">
        <v>-6.1510593126133301E-2</v>
      </c>
      <c r="Q2470">
        <v>0.40410720916033799</v>
      </c>
      <c r="R2470">
        <v>0.97811650483752599</v>
      </c>
      <c r="S2470" t="s">
        <v>9140</v>
      </c>
      <c r="T2470" t="s">
        <v>13338</v>
      </c>
      <c r="U2470" t="s">
        <v>13338</v>
      </c>
      <c r="V2470" t="s">
        <v>13338</v>
      </c>
      <c r="W2470" t="s">
        <v>15769</v>
      </c>
      <c r="X2470">
        <v>10</v>
      </c>
      <c r="Y2470" t="s">
        <v>22329</v>
      </c>
      <c r="Z2470" t="s">
        <v>28885</v>
      </c>
      <c r="AA2470">
        <v>0.61861232175699166</v>
      </c>
      <c r="AB2470" t="str">
        <f>HYPERLINK("Melting_Curves/meltCurve_P35613_2_BSG.pdf", "Melting_Curves/meltCurve_P35613_2_BSG.pdf")</f>
        <v>Melting_Curves/meltCurve_P35613_2_BSG.pdf</v>
      </c>
    </row>
    <row r="2471" spans="1:28" x14ac:dyDescent="0.25">
      <c r="A2471" t="s">
        <v>2475</v>
      </c>
      <c r="B2471">
        <v>0.99193492352474899</v>
      </c>
      <c r="C2471">
        <v>0.79590807779405004</v>
      </c>
      <c r="D2471">
        <v>0.80743384781439997</v>
      </c>
      <c r="E2471">
        <v>0.34405085749103398</v>
      </c>
      <c r="F2471">
        <v>0.155177254529449</v>
      </c>
      <c r="G2471">
        <v>7.9866306882427796E-2</v>
      </c>
      <c r="H2471">
        <v>4.5983665029869898E-2</v>
      </c>
      <c r="I2471">
        <v>6.8814673293200707E-2</v>
      </c>
      <c r="J2471">
        <v>0.102567018933565</v>
      </c>
      <c r="K2471">
        <v>7.3534592048462299E-2</v>
      </c>
      <c r="L2471">
        <v>1016.7474810789701</v>
      </c>
      <c r="M2471">
        <v>21.212058298219102</v>
      </c>
      <c r="N2471">
        <v>48.231517430139</v>
      </c>
      <c r="O2471">
        <v>47.5126376118479</v>
      </c>
      <c r="P2471">
        <v>-0.104739002221131</v>
      </c>
      <c r="Q2471">
        <v>6.1609995452158499E-2</v>
      </c>
      <c r="R2471">
        <v>0.97803444871862699</v>
      </c>
      <c r="S2471" t="s">
        <v>9141</v>
      </c>
      <c r="T2471" t="s">
        <v>13338</v>
      </c>
      <c r="U2471" t="s">
        <v>13338</v>
      </c>
      <c r="V2471" t="s">
        <v>13338</v>
      </c>
      <c r="W2471" t="s">
        <v>15770</v>
      </c>
      <c r="X2471">
        <v>24</v>
      </c>
      <c r="Y2471" t="s">
        <v>22330</v>
      </c>
      <c r="Z2471" t="s">
        <v>28886</v>
      </c>
      <c r="AA2471">
        <v>0.32151766776881702</v>
      </c>
      <c r="AB2471" t="str">
        <f>HYPERLINK("Melting_Curves/meltCurve_P35626_ADRBK2.pdf", "Melting_Curves/meltCurve_P35626_ADRBK2.pdf")</f>
        <v>Melting_Curves/meltCurve_P35626_ADRBK2.pdf</v>
      </c>
    </row>
    <row r="2472" spans="1:28" x14ac:dyDescent="0.25">
      <c r="A2472" t="s">
        <v>2476</v>
      </c>
      <c r="B2472">
        <v>0.99193492352474899</v>
      </c>
      <c r="C2472">
        <v>0.50621341246698803</v>
      </c>
      <c r="D2472">
        <v>0.83138339228568603</v>
      </c>
      <c r="E2472">
        <v>0.52887805190989201</v>
      </c>
      <c r="F2472">
        <v>0.52736844914421699</v>
      </c>
      <c r="G2472">
        <v>0.36801270472027198</v>
      </c>
      <c r="H2472">
        <v>0.51298505650454895</v>
      </c>
      <c r="I2472">
        <v>0.56112522436356205</v>
      </c>
      <c r="J2472">
        <v>0.74253602054536805</v>
      </c>
      <c r="K2472">
        <v>0.93781500720202304</v>
      </c>
      <c r="L2472">
        <v>10153.9600080446</v>
      </c>
      <c r="M2472">
        <v>250</v>
      </c>
      <c r="O2472">
        <v>40.613241101835499</v>
      </c>
      <c r="P2472">
        <v>-0.59567378512423397</v>
      </c>
      <c r="Q2472">
        <v>0.61292411364063504</v>
      </c>
      <c r="R2472">
        <v>0.32500980898167797</v>
      </c>
      <c r="S2472" t="s">
        <v>9142</v>
      </c>
      <c r="T2472" t="s">
        <v>13338</v>
      </c>
      <c r="U2472" t="s">
        <v>13338</v>
      </c>
      <c r="V2472" t="s">
        <v>13338</v>
      </c>
      <c r="W2472" t="s">
        <v>15771</v>
      </c>
      <c r="X2472">
        <v>18</v>
      </c>
      <c r="Y2472" t="s">
        <v>22331</v>
      </c>
      <c r="Z2472" t="s">
        <v>28887</v>
      </c>
      <c r="AA2472">
        <v>0.62094011561798856</v>
      </c>
      <c r="AB2472" t="str">
        <f>HYPERLINK("Melting_Curves/meltCurve_P35637_2_FUS.pdf", "Melting_Curves/meltCurve_P35637_2_FUS.pdf")</f>
        <v>Melting_Curves/meltCurve_P35637_2_FUS.pdf</v>
      </c>
    </row>
    <row r="2473" spans="1:28" x14ac:dyDescent="0.25">
      <c r="A2473" t="s">
        <v>2477</v>
      </c>
      <c r="B2473">
        <v>0.99193492352474899</v>
      </c>
      <c r="C2473">
        <v>0.855283243588702</v>
      </c>
      <c r="D2473">
        <v>0.73566495683505595</v>
      </c>
      <c r="E2473">
        <v>0.36297644961175102</v>
      </c>
      <c r="F2473">
        <v>0.14730838015644701</v>
      </c>
      <c r="G2473">
        <v>9.9923957443578099E-2</v>
      </c>
      <c r="H2473">
        <v>6.2049624879157897E-2</v>
      </c>
      <c r="I2473">
        <v>6.1157632452070898E-2</v>
      </c>
      <c r="J2473">
        <v>9.3148918183758603E-2</v>
      </c>
      <c r="K2473">
        <v>8.0367110435908898E-2</v>
      </c>
      <c r="L2473">
        <v>967.27676033333</v>
      </c>
      <c r="M2473">
        <v>20.261853433657802</v>
      </c>
      <c r="N2473">
        <v>48.069962039691099</v>
      </c>
      <c r="O2473">
        <v>47.281095996464899</v>
      </c>
      <c r="P2473">
        <v>-0.10015940806755801</v>
      </c>
      <c r="Q2473">
        <v>6.5139799817217903E-2</v>
      </c>
      <c r="R2473">
        <v>0.99496260282430105</v>
      </c>
      <c r="S2473" t="s">
        <v>9143</v>
      </c>
      <c r="T2473" t="s">
        <v>13338</v>
      </c>
      <c r="U2473" t="s">
        <v>13338</v>
      </c>
      <c r="V2473" t="s">
        <v>13338</v>
      </c>
      <c r="W2473" t="s">
        <v>15772</v>
      </c>
      <c r="X2473">
        <v>14</v>
      </c>
      <c r="Y2473" t="s">
        <v>22332</v>
      </c>
      <c r="Z2473" t="s">
        <v>28888</v>
      </c>
      <c r="AA2473">
        <v>0.31929362326118288</v>
      </c>
      <c r="AB2473" t="str">
        <f>HYPERLINK("Melting_Curves/meltCurve_P35658_2_NUP214.pdf", "Melting_Curves/meltCurve_P35658_2_NUP214.pdf")</f>
        <v>Melting_Curves/meltCurve_P35658_2_NUP214.pdf</v>
      </c>
    </row>
    <row r="2474" spans="1:28" x14ac:dyDescent="0.25">
      <c r="A2474" t="s">
        <v>2478</v>
      </c>
      <c r="B2474">
        <v>0.99193492352474899</v>
      </c>
      <c r="C2474">
        <v>0.61569998593686004</v>
      </c>
      <c r="D2474">
        <v>0.83768281750245399</v>
      </c>
      <c r="E2474">
        <v>0.34891359992537901</v>
      </c>
      <c r="F2474">
        <v>0.20165311990923701</v>
      </c>
      <c r="G2474">
        <v>0.109663718783096</v>
      </c>
      <c r="H2474">
        <v>8.5309781060895401E-2</v>
      </c>
      <c r="I2474">
        <v>9.0556345478787006E-2</v>
      </c>
      <c r="J2474">
        <v>0.121409074573932</v>
      </c>
      <c r="K2474">
        <v>0.123407570170914</v>
      </c>
      <c r="L2474">
        <v>689.45657303542703</v>
      </c>
      <c r="M2474">
        <v>14.5330419725727</v>
      </c>
      <c r="N2474">
        <v>47.958970699016099</v>
      </c>
      <c r="O2474">
        <v>46.5695432642855</v>
      </c>
      <c r="P2474">
        <v>-7.2355888456833703E-2</v>
      </c>
      <c r="Q2474">
        <v>7.2680121374869205E-2</v>
      </c>
      <c r="R2474">
        <v>0.905499141758626</v>
      </c>
      <c r="S2474" t="s">
        <v>9144</v>
      </c>
      <c r="T2474" t="s">
        <v>13338</v>
      </c>
      <c r="U2474" t="s">
        <v>13338</v>
      </c>
      <c r="V2474" t="s">
        <v>13338</v>
      </c>
      <c r="W2474" t="s">
        <v>15773</v>
      </c>
      <c r="X2474">
        <v>12</v>
      </c>
      <c r="Y2474" t="s">
        <v>22333</v>
      </c>
      <c r="Z2474" t="s">
        <v>28889</v>
      </c>
      <c r="AA2474">
        <v>0.32884144577428992</v>
      </c>
      <c r="AB2474" t="str">
        <f>HYPERLINK("Melting_Curves/meltCurve_P35659_DEK.pdf", "Melting_Curves/meltCurve_P35659_DEK.pdf")</f>
        <v>Melting_Curves/meltCurve_P35659_DEK.pdf</v>
      </c>
    </row>
    <row r="2475" spans="1:28" x14ac:dyDescent="0.25">
      <c r="A2475" t="s">
        <v>2479</v>
      </c>
      <c r="B2475">
        <v>0.99193492352474899</v>
      </c>
      <c r="C2475">
        <v>0.84917365267869005</v>
      </c>
      <c r="D2475">
        <v>0.88274964435959402</v>
      </c>
      <c r="E2475">
        <v>0.81433034036869201</v>
      </c>
      <c r="F2475">
        <v>0.61796840888421101</v>
      </c>
      <c r="G2475">
        <v>0.527752313854429</v>
      </c>
      <c r="H2475">
        <v>0.53082847981051795</v>
      </c>
      <c r="I2475">
        <v>0.54136775731155495</v>
      </c>
      <c r="J2475">
        <v>0.453639928400079</v>
      </c>
      <c r="K2475">
        <v>0.31435413852981597</v>
      </c>
      <c r="L2475">
        <v>383.27148917861001</v>
      </c>
      <c r="M2475">
        <v>6.9500951184565496</v>
      </c>
      <c r="N2475">
        <v>61.301189368540904</v>
      </c>
      <c r="O2475">
        <v>51.1241469009152</v>
      </c>
      <c r="P2475">
        <v>-2.54985416211948E-2</v>
      </c>
      <c r="Q2475">
        <v>0.25116713339764901</v>
      </c>
      <c r="R2475">
        <v>0.93030122877893295</v>
      </c>
      <c r="S2475" t="s">
        <v>9145</v>
      </c>
      <c r="T2475" t="s">
        <v>13338</v>
      </c>
      <c r="U2475" t="s">
        <v>13338</v>
      </c>
      <c r="V2475" t="s">
        <v>13338</v>
      </c>
      <c r="W2475" t="s">
        <v>15774</v>
      </c>
      <c r="X2475">
        <v>7</v>
      </c>
      <c r="Y2475" t="s">
        <v>22334</v>
      </c>
      <c r="Z2475" t="s">
        <v>28890</v>
      </c>
      <c r="AA2475">
        <v>0.64846883957712298</v>
      </c>
      <c r="AB2475" t="str">
        <f>HYPERLINK("Melting_Curves/meltCurve_P35754_GLRX.pdf", "Melting_Curves/meltCurve_P35754_GLRX.pdf")</f>
        <v>Melting_Curves/meltCurve_P35754_GLRX.pdf</v>
      </c>
    </row>
    <row r="2476" spans="1:28" x14ac:dyDescent="0.25">
      <c r="A2476" t="s">
        <v>2480</v>
      </c>
      <c r="B2476">
        <v>0.99193492352474899</v>
      </c>
      <c r="C2476">
        <v>1.0522331651480099</v>
      </c>
      <c r="D2476">
        <v>0.94215543870273299</v>
      </c>
      <c r="E2476">
        <v>0.77654644630806102</v>
      </c>
      <c r="F2476">
        <v>0.63649970553053303</v>
      </c>
      <c r="G2476">
        <v>0.56096913328466402</v>
      </c>
      <c r="H2476">
        <v>0.35632949433497701</v>
      </c>
      <c r="I2476">
        <v>0.45453334890519598</v>
      </c>
      <c r="J2476">
        <v>0.379332975832046</v>
      </c>
      <c r="K2476">
        <v>0.30898865805006198</v>
      </c>
      <c r="L2476">
        <v>759.80398247332005</v>
      </c>
      <c r="M2476">
        <v>14.3977941041355</v>
      </c>
      <c r="N2476">
        <v>57.199131986319202</v>
      </c>
      <c r="O2476">
        <v>51.785535783883802</v>
      </c>
      <c r="P2476">
        <v>-4.6162977551253898E-2</v>
      </c>
      <c r="Q2476">
        <v>0.33592854543707201</v>
      </c>
      <c r="R2476">
        <v>0.96997554584933998</v>
      </c>
      <c r="S2476" t="s">
        <v>9146</v>
      </c>
      <c r="T2476" t="s">
        <v>13338</v>
      </c>
      <c r="U2476" t="s">
        <v>13338</v>
      </c>
      <c r="V2476" t="s">
        <v>13338</v>
      </c>
      <c r="W2476" t="s">
        <v>15775</v>
      </c>
      <c r="X2476">
        <v>10</v>
      </c>
      <c r="Y2476" t="s">
        <v>22335</v>
      </c>
      <c r="Z2476" t="s">
        <v>28891</v>
      </c>
      <c r="AA2476">
        <v>0.63392756942241513</v>
      </c>
      <c r="AB2476" t="str">
        <f>HYPERLINK("Melting_Curves/meltCurve_P35790_CHKA.pdf", "Melting_Curves/meltCurve_P35790_CHKA.pdf")</f>
        <v>Melting_Curves/meltCurve_P35790_CHKA.pdf</v>
      </c>
    </row>
    <row r="2477" spans="1:28" x14ac:dyDescent="0.25">
      <c r="A2477" t="s">
        <v>2481</v>
      </c>
      <c r="B2477">
        <v>0.99193492352474899</v>
      </c>
      <c r="C2477">
        <v>0.84200407349567197</v>
      </c>
      <c r="D2477">
        <v>0.92321436736524798</v>
      </c>
      <c r="E2477">
        <v>0.67869261520152202</v>
      </c>
      <c r="F2477">
        <v>0.233720601616071</v>
      </c>
      <c r="G2477">
        <v>0.116365804475276</v>
      </c>
      <c r="H2477">
        <v>7.0479281040629199E-2</v>
      </c>
      <c r="I2477">
        <v>8.4828789257560003E-2</v>
      </c>
      <c r="J2477">
        <v>0.107576309651919</v>
      </c>
      <c r="K2477">
        <v>9.88493072434007E-2</v>
      </c>
      <c r="L2477">
        <v>1453.6871946322401</v>
      </c>
      <c r="M2477">
        <v>28.806276665371801</v>
      </c>
      <c r="N2477">
        <v>50.791184184534899</v>
      </c>
      <c r="O2477">
        <v>50.222928905053898</v>
      </c>
      <c r="P2477">
        <v>-0.13125891579861401</v>
      </c>
      <c r="Q2477">
        <v>8.4622178146271598E-2</v>
      </c>
      <c r="R2477">
        <v>0.98127570055297697</v>
      </c>
      <c r="S2477" t="s">
        <v>9147</v>
      </c>
      <c r="T2477" t="s">
        <v>13338</v>
      </c>
      <c r="U2477" t="s">
        <v>13338</v>
      </c>
      <c r="V2477" t="s">
        <v>13338</v>
      </c>
      <c r="W2477" t="s">
        <v>15776</v>
      </c>
      <c r="X2477">
        <v>20</v>
      </c>
      <c r="Y2477" t="s">
        <v>22336</v>
      </c>
      <c r="Z2477" t="s">
        <v>28892</v>
      </c>
      <c r="AA2477">
        <v>0.41010421361778188</v>
      </c>
      <c r="AB2477" t="str">
        <f>HYPERLINK("Melting_Curves/meltCurve_P35813_PPM1A.pdf", "Melting_Curves/meltCurve_P35813_PPM1A.pdf")</f>
        <v>Melting_Curves/meltCurve_P35813_PPM1A.pdf</v>
      </c>
    </row>
    <row r="2478" spans="1:28" x14ac:dyDescent="0.25">
      <c r="A2478" t="s">
        <v>2482</v>
      </c>
      <c r="B2478">
        <v>0.99193492352474899</v>
      </c>
      <c r="C2478">
        <v>0.84171411637686999</v>
      </c>
      <c r="D2478">
        <v>1.01563149458587</v>
      </c>
      <c r="E2478">
        <v>0.78589884587779502</v>
      </c>
      <c r="F2478">
        <v>0.94858010141649995</v>
      </c>
      <c r="G2478">
        <v>0.33650365635654</v>
      </c>
      <c r="H2478">
        <v>0.105598099354599</v>
      </c>
      <c r="I2478">
        <v>0.14245551543985199</v>
      </c>
      <c r="J2478">
        <v>0.157908486515242</v>
      </c>
      <c r="K2478">
        <v>0.13264467121672399</v>
      </c>
      <c r="L2478">
        <v>3281.6633017940298</v>
      </c>
      <c r="M2478">
        <v>58.9684690598842</v>
      </c>
      <c r="N2478">
        <v>55.945580382261397</v>
      </c>
      <c r="O2478">
        <v>55.587258858885498</v>
      </c>
      <c r="P2478">
        <v>-0.229828498224419</v>
      </c>
      <c r="Q2478">
        <v>0.133399202829418</v>
      </c>
      <c r="R2478">
        <v>0.94978887751671104</v>
      </c>
      <c r="S2478" t="s">
        <v>9148</v>
      </c>
      <c r="T2478" t="s">
        <v>13338</v>
      </c>
      <c r="U2478" t="s">
        <v>13338</v>
      </c>
      <c r="V2478" t="s">
        <v>13338</v>
      </c>
      <c r="W2478" t="s">
        <v>15777</v>
      </c>
      <c r="X2478">
        <v>33</v>
      </c>
      <c r="Y2478" t="s">
        <v>22337</v>
      </c>
      <c r="Z2478" t="s">
        <v>28893</v>
      </c>
      <c r="AA2478">
        <v>0.58703604266606679</v>
      </c>
      <c r="AB2478" t="str">
        <f>HYPERLINK("Melting_Curves/meltCurve_P35998_PSMC2.pdf", "Melting_Curves/meltCurve_P35998_PSMC2.pdf")</f>
        <v>Melting_Curves/meltCurve_P35998_PSMC2.pdf</v>
      </c>
    </row>
    <row r="2479" spans="1:28" x14ac:dyDescent="0.25">
      <c r="A2479" t="s">
        <v>2483</v>
      </c>
      <c r="B2479">
        <v>0.99193492352474899</v>
      </c>
      <c r="C2479">
        <v>0.90539735490855799</v>
      </c>
      <c r="D2479">
        <v>1.05903770949036</v>
      </c>
      <c r="E2479">
        <v>0.87054975958912695</v>
      </c>
      <c r="F2479">
        <v>0.61167272055033095</v>
      </c>
      <c r="G2479">
        <v>0.25024107778625798</v>
      </c>
      <c r="H2479">
        <v>6.7159342267799294E-2</v>
      </c>
      <c r="I2479">
        <v>6.5692657275722696E-2</v>
      </c>
      <c r="J2479">
        <v>6.8860856478464696E-2</v>
      </c>
      <c r="K2479">
        <v>6.9661333802326794E-2</v>
      </c>
      <c r="L2479">
        <v>1393.1849883996299</v>
      </c>
      <c r="M2479">
        <v>25.881040825226702</v>
      </c>
      <c r="N2479">
        <v>54.060611293708803</v>
      </c>
      <c r="O2479">
        <v>53.512047655090697</v>
      </c>
      <c r="P2479">
        <v>-0.11460286010196601</v>
      </c>
      <c r="Q2479">
        <v>5.21925914653932E-2</v>
      </c>
      <c r="R2479">
        <v>0.99014807048584896</v>
      </c>
      <c r="S2479" t="s">
        <v>9149</v>
      </c>
      <c r="T2479" t="s">
        <v>13338</v>
      </c>
      <c r="U2479" t="s">
        <v>13338</v>
      </c>
      <c r="V2479" t="s">
        <v>13338</v>
      </c>
      <c r="W2479" t="s">
        <v>15778</v>
      </c>
      <c r="X2479">
        <v>6</v>
      </c>
      <c r="Y2479" t="s">
        <v>22338</v>
      </c>
      <c r="Z2479" t="s">
        <v>28894</v>
      </c>
      <c r="AA2479">
        <v>0.49736602768329102</v>
      </c>
      <c r="AB2479" t="str">
        <f>HYPERLINK("Melting_Curves/meltCurve_P36404_ARL2.pdf", "Melting_Curves/meltCurve_P36404_ARL2.pdf")</f>
        <v>Melting_Curves/meltCurve_P36404_ARL2.pdf</v>
      </c>
    </row>
    <row r="2480" spans="1:28" x14ac:dyDescent="0.25">
      <c r="A2480" t="s">
        <v>2484</v>
      </c>
      <c r="B2480">
        <v>0.99193492352474899</v>
      </c>
      <c r="C2480">
        <v>1.11813737661329</v>
      </c>
      <c r="D2480">
        <v>0.88686226911403099</v>
      </c>
      <c r="E2480">
        <v>0.92882969239088897</v>
      </c>
      <c r="F2480">
        <v>0.59219801535160199</v>
      </c>
      <c r="G2480">
        <v>0.383478750729977</v>
      </c>
      <c r="H2480">
        <v>0.22707619526255099</v>
      </c>
      <c r="I2480">
        <v>0.20757302533963501</v>
      </c>
      <c r="J2480">
        <v>0.197323974557258</v>
      </c>
      <c r="K2480">
        <v>0.18463233772772</v>
      </c>
      <c r="L2480">
        <v>1202.03131372295</v>
      </c>
      <c r="M2480">
        <v>22.4544673831988</v>
      </c>
      <c r="N2480">
        <v>54.659208582076403</v>
      </c>
      <c r="O2480">
        <v>53.112788622356703</v>
      </c>
      <c r="P2480">
        <v>-8.6105984173849903E-2</v>
      </c>
      <c r="Q2480">
        <v>0.18533183103577</v>
      </c>
      <c r="R2480">
        <v>0.97884810934233302</v>
      </c>
      <c r="S2480" t="s">
        <v>9150</v>
      </c>
      <c r="T2480" t="s">
        <v>13338</v>
      </c>
      <c r="U2480" t="s">
        <v>13338</v>
      </c>
      <c r="V2480" t="s">
        <v>13338</v>
      </c>
      <c r="W2480" t="s">
        <v>15779</v>
      </c>
      <c r="X2480">
        <v>12</v>
      </c>
      <c r="Y2480" t="s">
        <v>22339</v>
      </c>
      <c r="Z2480" t="s">
        <v>28895</v>
      </c>
      <c r="AA2480">
        <v>0.56193890576590966</v>
      </c>
      <c r="AB2480" t="str">
        <f>HYPERLINK("Melting_Curves/meltCurve_P36405_ARL3.pdf", "Melting_Curves/meltCurve_P36405_ARL3.pdf")</f>
        <v>Melting_Curves/meltCurve_P36405_ARL3.pdf</v>
      </c>
    </row>
    <row r="2481" spans="1:28" x14ac:dyDescent="0.25">
      <c r="A2481" t="s">
        <v>2485</v>
      </c>
      <c r="B2481">
        <v>0.99193492352474899</v>
      </c>
      <c r="C2481">
        <v>1.0272701294212301</v>
      </c>
      <c r="D2481">
        <v>1.02689637627174</v>
      </c>
      <c r="E2481">
        <v>0.89812102275125105</v>
      </c>
      <c r="F2481">
        <v>0.39573631893257999</v>
      </c>
      <c r="G2481">
        <v>0.13872235837942201</v>
      </c>
      <c r="H2481">
        <v>7.9220448674396093E-2</v>
      </c>
      <c r="I2481">
        <v>8.3426065504781502E-2</v>
      </c>
      <c r="J2481">
        <v>9.2599578939835198E-2</v>
      </c>
      <c r="K2481">
        <v>8.8525189759292494E-2</v>
      </c>
      <c r="L2481">
        <v>2010.1056609612101</v>
      </c>
      <c r="M2481">
        <v>38.4439863529268</v>
      </c>
      <c r="N2481">
        <v>52.547444713563202</v>
      </c>
      <c r="O2481">
        <v>52.145712898148403</v>
      </c>
      <c r="P2481">
        <v>-0.168299773115129</v>
      </c>
      <c r="Q2481">
        <v>8.6869568209458306E-2</v>
      </c>
      <c r="R2481">
        <v>0.99880163404501399</v>
      </c>
      <c r="S2481" t="s">
        <v>9151</v>
      </c>
      <c r="T2481" t="s">
        <v>13338</v>
      </c>
      <c r="U2481" t="s">
        <v>13338</v>
      </c>
      <c r="V2481" t="s">
        <v>13338</v>
      </c>
      <c r="W2481" t="s">
        <v>15780</v>
      </c>
      <c r="X2481">
        <v>16</v>
      </c>
      <c r="Y2481" t="s">
        <v>22340</v>
      </c>
      <c r="Z2481" t="s">
        <v>28896</v>
      </c>
      <c r="AA2481">
        <v>0.46441730576902729</v>
      </c>
      <c r="AB2481" t="str">
        <f>HYPERLINK("Melting_Curves/meltCurve_P36507_MAP2K2.pdf", "Melting_Curves/meltCurve_P36507_MAP2K2.pdf")</f>
        <v>Melting_Curves/meltCurve_P36507_MAP2K2.pdf</v>
      </c>
    </row>
    <row r="2482" spans="1:28" x14ac:dyDescent="0.25">
      <c r="A2482" t="s">
        <v>2486</v>
      </c>
      <c r="B2482">
        <v>0.99193492352474899</v>
      </c>
      <c r="C2482">
        <v>0.99767545061380203</v>
      </c>
      <c r="D2482">
        <v>1.1827227082705001</v>
      </c>
      <c r="E2482">
        <v>1.0413829893922399</v>
      </c>
      <c r="F2482">
        <v>1.2520945673859201</v>
      </c>
      <c r="G2482">
        <v>0.79586034443382803</v>
      </c>
      <c r="H2482">
        <v>0.563845027967669</v>
      </c>
      <c r="I2482">
        <v>0.25880332837745001</v>
      </c>
      <c r="J2482">
        <v>0.21312438776440501</v>
      </c>
      <c r="K2482">
        <v>0.19210706768220101</v>
      </c>
      <c r="L2482">
        <v>1878.4124289968599</v>
      </c>
      <c r="M2482">
        <v>31.2078062180336</v>
      </c>
      <c r="N2482">
        <v>61.041253972139799</v>
      </c>
      <c r="O2482">
        <v>59.944938033668102</v>
      </c>
      <c r="P2482">
        <v>-0.10719949252461</v>
      </c>
      <c r="Q2482">
        <v>0.176355918502063</v>
      </c>
      <c r="R2482">
        <v>0.92313716236808097</v>
      </c>
      <c r="S2482" t="s">
        <v>9152</v>
      </c>
      <c r="T2482" t="s">
        <v>13338</v>
      </c>
      <c r="U2482" t="s">
        <v>13338</v>
      </c>
      <c r="V2482" t="s">
        <v>13338</v>
      </c>
      <c r="W2482" t="s">
        <v>15781</v>
      </c>
      <c r="X2482">
        <v>14</v>
      </c>
      <c r="Y2482" t="s">
        <v>22341</v>
      </c>
      <c r="Z2482" t="s">
        <v>28897</v>
      </c>
      <c r="AA2482">
        <v>0.73537182250488009</v>
      </c>
      <c r="AB2482" t="str">
        <f>HYPERLINK("Melting_Curves/meltCurve_P36542_ATP5C1.pdf", "Melting_Curves/meltCurve_P36542_ATP5C1.pdf")</f>
        <v>Melting_Curves/meltCurve_P36542_ATP5C1.pdf</v>
      </c>
    </row>
    <row r="2483" spans="1:28" x14ac:dyDescent="0.25">
      <c r="A2483" t="s">
        <v>2487</v>
      </c>
      <c r="B2483">
        <v>0.99193492352474899</v>
      </c>
      <c r="C2483">
        <v>0.79094804985906197</v>
      </c>
      <c r="D2483">
        <v>0.80318491133903402</v>
      </c>
      <c r="E2483">
        <v>0.64283078339161304</v>
      </c>
      <c r="F2483">
        <v>0.40686428256222101</v>
      </c>
      <c r="G2483">
        <v>0.135829011578358</v>
      </c>
      <c r="H2483">
        <v>6.3412390434286106E-2</v>
      </c>
      <c r="I2483">
        <v>7.0899236322117601E-2</v>
      </c>
      <c r="J2483">
        <v>8.5483642793529893E-2</v>
      </c>
      <c r="K2483">
        <v>7.2434038876461201E-2</v>
      </c>
      <c r="L2483">
        <v>653.46158593222401</v>
      </c>
      <c r="M2483">
        <v>12.848245118709</v>
      </c>
      <c r="N2483">
        <v>50.9202099231562</v>
      </c>
      <c r="O2483">
        <v>49.675158064667201</v>
      </c>
      <c r="P2483">
        <v>-6.4185454126664501E-2</v>
      </c>
      <c r="Q2483">
        <v>7.5428369313081797E-3</v>
      </c>
      <c r="R2483">
        <v>0.97341713544403696</v>
      </c>
      <c r="S2483" t="s">
        <v>9153</v>
      </c>
      <c r="T2483" t="s">
        <v>13338</v>
      </c>
      <c r="U2483" t="s">
        <v>13338</v>
      </c>
      <c r="V2483" t="s">
        <v>13338</v>
      </c>
      <c r="W2483" t="s">
        <v>15782</v>
      </c>
      <c r="X2483">
        <v>11</v>
      </c>
      <c r="Y2483" t="s">
        <v>22342</v>
      </c>
      <c r="Z2483" t="s">
        <v>28898</v>
      </c>
      <c r="AA2483">
        <v>0.39630643423511869</v>
      </c>
      <c r="AB2483" t="str">
        <f>HYPERLINK("Melting_Curves/meltCurve_P36543_ATP6V1E1.pdf", "Melting_Curves/meltCurve_P36543_ATP6V1E1.pdf")</f>
        <v>Melting_Curves/meltCurve_P36543_ATP6V1E1.pdf</v>
      </c>
    </row>
    <row r="2484" spans="1:28" x14ac:dyDescent="0.25">
      <c r="A2484" t="s">
        <v>2488</v>
      </c>
      <c r="B2484">
        <v>0.99193492352474899</v>
      </c>
      <c r="C2484">
        <v>0.96353329749097505</v>
      </c>
      <c r="D2484">
        <v>0.89136304754375195</v>
      </c>
      <c r="E2484">
        <v>0.81832697651294095</v>
      </c>
      <c r="F2484">
        <v>0.67278626065138003</v>
      </c>
      <c r="G2484">
        <v>0.440595721368785</v>
      </c>
      <c r="H2484">
        <v>0.23396792425243501</v>
      </c>
      <c r="I2484">
        <v>0.16456231091114501</v>
      </c>
      <c r="J2484">
        <v>0.181144366767264</v>
      </c>
      <c r="K2484">
        <v>0.19414927801742701</v>
      </c>
      <c r="L2484">
        <v>796.64210071877403</v>
      </c>
      <c r="M2484">
        <v>14.638589767253899</v>
      </c>
      <c r="N2484">
        <v>55.441437896634802</v>
      </c>
      <c r="O2484">
        <v>53.435358331133202</v>
      </c>
      <c r="P2484">
        <v>-6.0403907012942203E-2</v>
      </c>
      <c r="Q2484">
        <v>0.118126611893846</v>
      </c>
      <c r="R2484">
        <v>0.99047521430827701</v>
      </c>
      <c r="S2484" t="s">
        <v>9154</v>
      </c>
      <c r="T2484" t="s">
        <v>13338</v>
      </c>
      <c r="U2484" t="s">
        <v>13338</v>
      </c>
      <c r="V2484" t="s">
        <v>13338</v>
      </c>
      <c r="W2484" t="s">
        <v>15783</v>
      </c>
      <c r="X2484">
        <v>18</v>
      </c>
      <c r="Y2484" t="s">
        <v>22343</v>
      </c>
      <c r="Z2484" t="s">
        <v>28899</v>
      </c>
      <c r="AA2484">
        <v>0.56020108145993464</v>
      </c>
      <c r="AB2484" t="str">
        <f>HYPERLINK("Melting_Curves/meltCurve_P36551_CPOX.pdf", "Melting_Curves/meltCurve_P36551_CPOX.pdf")</f>
        <v>Melting_Curves/meltCurve_P36551_CPOX.pdf</v>
      </c>
    </row>
    <row r="2485" spans="1:28" x14ac:dyDescent="0.25">
      <c r="A2485" t="s">
        <v>2489</v>
      </c>
      <c r="B2485">
        <v>0.99193492352474899</v>
      </c>
      <c r="C2485">
        <v>0.997361621124225</v>
      </c>
      <c r="D2485">
        <v>0.97946386849151101</v>
      </c>
      <c r="E2485">
        <v>1.59868458291945</v>
      </c>
      <c r="F2485">
        <v>1.7403442299926799</v>
      </c>
      <c r="G2485">
        <v>0.86068415846253998</v>
      </c>
      <c r="H2485">
        <v>0.279458417819061</v>
      </c>
      <c r="I2485">
        <v>0.32045310863289</v>
      </c>
      <c r="J2485">
        <v>0.30436631010117998</v>
      </c>
      <c r="K2485">
        <v>0.363169734359645</v>
      </c>
      <c r="L2485">
        <v>14277.3547220291</v>
      </c>
      <c r="M2485">
        <v>250</v>
      </c>
      <c r="N2485">
        <v>57.339784176572202</v>
      </c>
      <c r="O2485">
        <v>57.105769324325003</v>
      </c>
      <c r="P2485">
        <v>-0.74766767599920902</v>
      </c>
      <c r="Q2485">
        <v>0.316861855861229</v>
      </c>
      <c r="R2485">
        <v>0.64315869621365096</v>
      </c>
      <c r="S2485" t="s">
        <v>9155</v>
      </c>
      <c r="T2485" t="s">
        <v>13338</v>
      </c>
      <c r="U2485" t="s">
        <v>13338</v>
      </c>
      <c r="V2485" t="s">
        <v>13338</v>
      </c>
      <c r="W2485" t="s">
        <v>15784</v>
      </c>
      <c r="X2485">
        <v>13</v>
      </c>
      <c r="Y2485" t="s">
        <v>22344</v>
      </c>
      <c r="Z2485" t="s">
        <v>28900</v>
      </c>
      <c r="AA2485">
        <v>0.70653354637876686</v>
      </c>
      <c r="AB2485" t="str">
        <f>HYPERLINK("Melting_Curves/meltCurve_P36578_RPL4.pdf", "Melting_Curves/meltCurve_P36578_RPL4.pdf")</f>
        <v>Melting_Curves/meltCurve_P36578_RPL4.pdf</v>
      </c>
    </row>
    <row r="2486" spans="1:28" x14ac:dyDescent="0.25">
      <c r="A2486" t="s">
        <v>2490</v>
      </c>
      <c r="B2486">
        <v>0.99193492352474899</v>
      </c>
      <c r="C2486">
        <v>0.74189875569577002</v>
      </c>
      <c r="D2486">
        <v>0.83643132094621997</v>
      </c>
      <c r="E2486">
        <v>0.73810177736010896</v>
      </c>
      <c r="F2486">
        <v>0.52493993029804198</v>
      </c>
      <c r="G2486">
        <v>0.26409187484331098</v>
      </c>
      <c r="H2486">
        <v>0.113025543952761</v>
      </c>
      <c r="I2486">
        <v>0.119589942209142</v>
      </c>
      <c r="J2486">
        <v>0.148698894689756</v>
      </c>
      <c r="K2486">
        <v>0.177076774048505</v>
      </c>
      <c r="L2486">
        <v>600.13926046034396</v>
      </c>
      <c r="M2486">
        <v>11.5309901568071</v>
      </c>
      <c r="N2486">
        <v>52.576000382999098</v>
      </c>
      <c r="O2486">
        <v>50.554288695690502</v>
      </c>
      <c r="P2486">
        <v>-5.3907892077728302E-2</v>
      </c>
      <c r="Q2486">
        <v>5.48916408153379E-2</v>
      </c>
      <c r="R2486">
        <v>0.93966011216188905</v>
      </c>
      <c r="S2486" t="s">
        <v>9156</v>
      </c>
      <c r="T2486" t="s">
        <v>13338</v>
      </c>
      <c r="U2486" t="s">
        <v>13338</v>
      </c>
      <c r="V2486" t="s">
        <v>13338</v>
      </c>
      <c r="W2486" t="s">
        <v>15785</v>
      </c>
      <c r="X2486">
        <v>5</v>
      </c>
      <c r="Y2486" t="s">
        <v>22345</v>
      </c>
      <c r="Z2486" t="s">
        <v>28901</v>
      </c>
      <c r="AA2486">
        <v>0.46468981160235301</v>
      </c>
      <c r="AB2486" t="str">
        <f>HYPERLINK("Melting_Curves/meltCurve_P36639_4_NUDT1.pdf", "Melting_Curves/meltCurve_P36639_4_NUDT1.pdf")</f>
        <v>Melting_Curves/meltCurve_P36639_4_NUDT1.pdf</v>
      </c>
    </row>
    <row r="2487" spans="1:28" x14ac:dyDescent="0.25">
      <c r="A2487" t="s">
        <v>2491</v>
      </c>
      <c r="B2487">
        <v>0.99193492352474899</v>
      </c>
      <c r="C2487">
        <v>0.83114246047929397</v>
      </c>
      <c r="D2487">
        <v>0.93305386337712304</v>
      </c>
      <c r="E2487">
        <v>0.73834710479950805</v>
      </c>
      <c r="F2487">
        <v>0.685113159968054</v>
      </c>
      <c r="G2487">
        <v>0.53112189899279005</v>
      </c>
      <c r="H2487">
        <v>0.357460380503826</v>
      </c>
      <c r="I2487">
        <v>0.114727538772468</v>
      </c>
      <c r="J2487">
        <v>0.13104753503283501</v>
      </c>
      <c r="K2487">
        <v>0.120568476103045</v>
      </c>
      <c r="L2487">
        <v>583.48405096890303</v>
      </c>
      <c r="M2487">
        <v>10.3796616507484</v>
      </c>
      <c r="N2487">
        <v>56.214183343974803</v>
      </c>
      <c r="O2487">
        <v>54.247677521247198</v>
      </c>
      <c r="P2487">
        <v>-4.78547622718919E-2</v>
      </c>
      <c r="Q2487">
        <v>0</v>
      </c>
      <c r="R2487">
        <v>0.962011686275419</v>
      </c>
      <c r="S2487" t="s">
        <v>9157</v>
      </c>
      <c r="T2487" t="s">
        <v>13338</v>
      </c>
      <c r="U2487" t="s">
        <v>13338</v>
      </c>
      <c r="V2487" t="s">
        <v>13338</v>
      </c>
      <c r="W2487" t="s">
        <v>15786</v>
      </c>
      <c r="X2487">
        <v>35</v>
      </c>
      <c r="Y2487" t="s">
        <v>22346</v>
      </c>
      <c r="Z2487" t="s">
        <v>28902</v>
      </c>
      <c r="AA2487">
        <v>0.56054506903918166</v>
      </c>
      <c r="AB2487" t="str">
        <f>HYPERLINK("Melting_Curves/meltCurve_P36871_PGM1.pdf", "Melting_Curves/meltCurve_P36871_PGM1.pdf")</f>
        <v>Melting_Curves/meltCurve_P36871_PGM1.pdf</v>
      </c>
    </row>
    <row r="2488" spans="1:28" x14ac:dyDescent="0.25">
      <c r="A2488" t="s">
        <v>2492</v>
      </c>
      <c r="B2488">
        <v>0.99193492352474899</v>
      </c>
      <c r="C2488">
        <v>0.903719492243097</v>
      </c>
      <c r="D2488">
        <v>0.665076778951461</v>
      </c>
      <c r="E2488">
        <v>0.73085026570068601</v>
      </c>
      <c r="F2488">
        <v>0.46273198094080398</v>
      </c>
      <c r="G2488">
        <v>0.58517802556529996</v>
      </c>
      <c r="H2488">
        <v>0.54498019088859195</v>
      </c>
      <c r="I2488">
        <v>0.59399336485283405</v>
      </c>
      <c r="J2488">
        <v>0.43226737275975402</v>
      </c>
      <c r="K2488">
        <v>0.76097475838063999</v>
      </c>
      <c r="L2488">
        <v>1121.8191793337201</v>
      </c>
      <c r="M2488">
        <v>25.1361547715942</v>
      </c>
      <c r="O2488">
        <v>44.350113379294299</v>
      </c>
      <c r="P2488">
        <v>-6.0013061567039401E-2</v>
      </c>
      <c r="Q2488">
        <v>0.57645858304003295</v>
      </c>
      <c r="R2488">
        <v>0.70279434094968996</v>
      </c>
      <c r="S2488" t="s">
        <v>9158</v>
      </c>
      <c r="T2488" t="s">
        <v>13338</v>
      </c>
      <c r="U2488" t="s">
        <v>13338</v>
      </c>
      <c r="V2488" t="s">
        <v>13338</v>
      </c>
      <c r="W2488" t="s">
        <v>15787</v>
      </c>
      <c r="X2488">
        <v>16</v>
      </c>
      <c r="Y2488" t="s">
        <v>22347</v>
      </c>
      <c r="Z2488" t="s">
        <v>28903</v>
      </c>
      <c r="AA2488">
        <v>0.64616841629153077</v>
      </c>
      <c r="AB2488" t="str">
        <f>HYPERLINK("Melting_Curves/meltCurve_P36873_2_PPP1CC.pdf", "Melting_Curves/meltCurve_P36873_2_PPP1CC.pdf")</f>
        <v>Melting_Curves/meltCurve_P36873_2_PPP1CC.pdf</v>
      </c>
    </row>
    <row r="2489" spans="1:28" x14ac:dyDescent="0.25">
      <c r="A2489" t="s">
        <v>2493</v>
      </c>
      <c r="B2489">
        <v>0.99193492352474899</v>
      </c>
      <c r="C2489">
        <v>0.92537185123099697</v>
      </c>
      <c r="D2489">
        <v>0.88274055719089495</v>
      </c>
      <c r="E2489">
        <v>0.64485236420007097</v>
      </c>
      <c r="F2489">
        <v>0.120787201164357</v>
      </c>
      <c r="G2489">
        <v>6.6621530455243702E-2</v>
      </c>
      <c r="H2489">
        <v>3.1801030649268702E-2</v>
      </c>
      <c r="I2489">
        <v>5.5997153699411502E-2</v>
      </c>
      <c r="J2489">
        <v>4.0087633981146301E-2</v>
      </c>
      <c r="K2489">
        <v>3.9424391946968097E-2</v>
      </c>
      <c r="L2489">
        <v>1687.39779771755</v>
      </c>
      <c r="M2489">
        <v>33.625137668042697</v>
      </c>
      <c r="N2489">
        <v>50.297823186269703</v>
      </c>
      <c r="O2489">
        <v>50.006132985195599</v>
      </c>
      <c r="P2489">
        <v>-0.16187613563140599</v>
      </c>
      <c r="Q2489">
        <v>3.7057793493167103E-2</v>
      </c>
      <c r="R2489">
        <v>0.99141569676152697</v>
      </c>
      <c r="S2489" t="s">
        <v>9159</v>
      </c>
      <c r="T2489" t="s">
        <v>13338</v>
      </c>
      <c r="U2489" t="s">
        <v>13338</v>
      </c>
      <c r="V2489" t="s">
        <v>13338</v>
      </c>
      <c r="W2489" t="s">
        <v>15788</v>
      </c>
      <c r="X2489">
        <v>14</v>
      </c>
      <c r="Y2489" t="s">
        <v>22348</v>
      </c>
      <c r="Z2489" t="s">
        <v>28904</v>
      </c>
      <c r="AA2489">
        <v>0.36864444937287971</v>
      </c>
      <c r="AB2489" t="str">
        <f>HYPERLINK("Melting_Curves/meltCurve_P36915_GNL1.pdf", "Melting_Curves/meltCurve_P36915_GNL1.pdf")</f>
        <v>Melting_Curves/meltCurve_P36915_GNL1.pdf</v>
      </c>
    </row>
    <row r="2490" spans="1:28" x14ac:dyDescent="0.25">
      <c r="A2490" t="s">
        <v>2494</v>
      </c>
      <c r="B2490">
        <v>0.99193492352474899</v>
      </c>
      <c r="C2490">
        <v>0.90332921567054902</v>
      </c>
      <c r="D2490">
        <v>0.830057709025118</v>
      </c>
      <c r="E2490">
        <v>0.78849839284086098</v>
      </c>
      <c r="F2490">
        <v>0.62635317582550698</v>
      </c>
      <c r="G2490">
        <v>0.40003872913641297</v>
      </c>
      <c r="H2490">
        <v>0.27232008415849301</v>
      </c>
      <c r="I2490">
        <v>0.287559972520739</v>
      </c>
      <c r="J2490">
        <v>0.25716574670813003</v>
      </c>
      <c r="K2490">
        <v>0.46923607396809902</v>
      </c>
      <c r="L2490">
        <v>760.39270762975298</v>
      </c>
      <c r="M2490">
        <v>14.7618076576445</v>
      </c>
      <c r="N2490">
        <v>54.763664634810198</v>
      </c>
      <c r="O2490">
        <v>50.593218772211102</v>
      </c>
      <c r="P2490">
        <v>-5.1653336449927797E-2</v>
      </c>
      <c r="Q2490">
        <v>0.29194918707144601</v>
      </c>
      <c r="R2490">
        <v>0.92338346673471905</v>
      </c>
      <c r="S2490" t="s">
        <v>9160</v>
      </c>
      <c r="T2490" t="s">
        <v>13338</v>
      </c>
      <c r="U2490" t="s">
        <v>13338</v>
      </c>
      <c r="V2490" t="s">
        <v>13338</v>
      </c>
      <c r="W2490" t="s">
        <v>15789</v>
      </c>
      <c r="X2490">
        <v>6</v>
      </c>
      <c r="Y2490" t="s">
        <v>22349</v>
      </c>
      <c r="Z2490" t="s">
        <v>28905</v>
      </c>
      <c r="AA2490">
        <v>0.58013005352726954</v>
      </c>
      <c r="AB2490" t="str">
        <f>HYPERLINK("Melting_Curves/meltCurve_P36954_POLR2I.pdf", "Melting_Curves/meltCurve_P36954_POLR2I.pdf")</f>
        <v>Melting_Curves/meltCurve_P36954_POLR2I.pdf</v>
      </c>
    </row>
    <row r="2491" spans="1:28" x14ac:dyDescent="0.25">
      <c r="A2491" t="s">
        <v>2495</v>
      </c>
      <c r="B2491">
        <v>0.99193492352474899</v>
      </c>
      <c r="C2491">
        <v>0.91119003786269703</v>
      </c>
      <c r="D2491">
        <v>0.87418439957127503</v>
      </c>
      <c r="E2491">
        <v>0.74904624023793098</v>
      </c>
      <c r="F2491">
        <v>0.72359038747696902</v>
      </c>
      <c r="G2491">
        <v>0.62058208583553198</v>
      </c>
      <c r="H2491">
        <v>0.50498227949075902</v>
      </c>
      <c r="I2491">
        <v>0.68732961958910399</v>
      </c>
      <c r="J2491">
        <v>0.92148237809588596</v>
      </c>
      <c r="K2491">
        <v>0.825064059023497</v>
      </c>
      <c r="L2491">
        <v>1038.17075112824</v>
      </c>
      <c r="M2491">
        <v>22.731996278974201</v>
      </c>
      <c r="O2491">
        <v>45.320992765929802</v>
      </c>
      <c r="P2491">
        <v>-3.6059355105582898E-2</v>
      </c>
      <c r="Q2491">
        <v>0.712438144182167</v>
      </c>
      <c r="R2491">
        <v>0.460551660451748</v>
      </c>
      <c r="S2491" t="s">
        <v>9161</v>
      </c>
      <c r="T2491" t="s">
        <v>13338</v>
      </c>
      <c r="U2491" t="s">
        <v>13338</v>
      </c>
      <c r="V2491" t="s">
        <v>13338</v>
      </c>
      <c r="W2491" t="s">
        <v>15790</v>
      </c>
      <c r="X2491">
        <v>19</v>
      </c>
      <c r="Y2491" t="s">
        <v>22350</v>
      </c>
      <c r="Z2491" t="s">
        <v>28906</v>
      </c>
      <c r="AA2491">
        <v>0.7701716337709873</v>
      </c>
      <c r="AB2491" t="str">
        <f>HYPERLINK("Melting_Curves/meltCurve_P36957_DLST.pdf", "Melting_Curves/meltCurve_P36957_DLST.pdf")</f>
        <v>Melting_Curves/meltCurve_P36957_DLST.pdf</v>
      </c>
    </row>
    <row r="2492" spans="1:28" x14ac:dyDescent="0.25">
      <c r="A2492" t="s">
        <v>2496</v>
      </c>
      <c r="B2492">
        <v>0.99193492352474899</v>
      </c>
      <c r="C2492">
        <v>0.86060061704108504</v>
      </c>
      <c r="D2492">
        <v>0.98558427641876201</v>
      </c>
      <c r="E2492">
        <v>0.81377134561271103</v>
      </c>
      <c r="F2492">
        <v>0.81474408369512596</v>
      </c>
      <c r="G2492">
        <v>0.4670066460717</v>
      </c>
      <c r="H2492">
        <v>0.11483248446816501</v>
      </c>
      <c r="I2492">
        <v>0.106760133431091</v>
      </c>
      <c r="J2492">
        <v>0.101941864269918</v>
      </c>
      <c r="K2492">
        <v>9.4642160695219801E-2</v>
      </c>
      <c r="L2492">
        <v>1246.1425793564899</v>
      </c>
      <c r="M2492">
        <v>22.321279582508701</v>
      </c>
      <c r="N2492">
        <v>56.140997685488003</v>
      </c>
      <c r="O2492">
        <v>55.385270682266302</v>
      </c>
      <c r="P2492">
        <v>-9.4853971199128306E-2</v>
      </c>
      <c r="Q2492">
        <v>5.8584102292571903E-2</v>
      </c>
      <c r="R2492">
        <v>0.96718613110129803</v>
      </c>
      <c r="S2492" t="s">
        <v>9162</v>
      </c>
      <c r="T2492" t="s">
        <v>13338</v>
      </c>
      <c r="U2492" t="s">
        <v>13338</v>
      </c>
      <c r="V2492" t="s">
        <v>13338</v>
      </c>
      <c r="W2492" t="s">
        <v>15791</v>
      </c>
      <c r="X2492">
        <v>13</v>
      </c>
      <c r="Y2492" t="s">
        <v>22351</v>
      </c>
      <c r="Z2492" t="s">
        <v>28907</v>
      </c>
      <c r="AA2492">
        <v>0.56565666649057533</v>
      </c>
      <c r="AB2492" t="str">
        <f>HYPERLINK("Melting_Curves/meltCurve_P36969_2_GPX4.pdf", "Melting_Curves/meltCurve_P36969_2_GPX4.pdf")</f>
        <v>Melting_Curves/meltCurve_P36969_2_GPX4.pdf</v>
      </c>
    </row>
    <row r="2493" spans="1:28" x14ac:dyDescent="0.25">
      <c r="A2493" t="s">
        <v>2497</v>
      </c>
      <c r="B2493">
        <v>0.99193492352474899</v>
      </c>
      <c r="C2493">
        <v>0.48378976871455398</v>
      </c>
      <c r="D2493">
        <v>0.84806128175283102</v>
      </c>
      <c r="E2493">
        <v>0.434725252897878</v>
      </c>
      <c r="F2493">
        <v>0.39363220955061401</v>
      </c>
      <c r="G2493">
        <v>0.24975054181304199</v>
      </c>
      <c r="H2493">
        <v>0.31753586474437001</v>
      </c>
      <c r="I2493">
        <v>0.21842699428545601</v>
      </c>
      <c r="J2493">
        <v>0.18072710021425001</v>
      </c>
      <c r="K2493">
        <v>0.17065037557752799</v>
      </c>
      <c r="L2493">
        <v>395.99231082562301</v>
      </c>
      <c r="M2493">
        <v>8.2703099796998405</v>
      </c>
      <c r="N2493">
        <v>49.507497637458499</v>
      </c>
      <c r="O2493">
        <v>45.32660647022</v>
      </c>
      <c r="P2493">
        <v>-4.0229378495824197E-2</v>
      </c>
      <c r="Q2493">
        <v>0.11894886483412601</v>
      </c>
      <c r="R2493">
        <v>0.78830733451895996</v>
      </c>
      <c r="S2493" t="s">
        <v>9163</v>
      </c>
      <c r="T2493" t="s">
        <v>13338</v>
      </c>
      <c r="U2493" t="s">
        <v>13338</v>
      </c>
      <c r="V2493" t="s">
        <v>13338</v>
      </c>
      <c r="W2493" t="s">
        <v>15792</v>
      </c>
      <c r="X2493">
        <v>11</v>
      </c>
      <c r="Y2493" t="s">
        <v>22352</v>
      </c>
      <c r="Z2493" t="s">
        <v>28908</v>
      </c>
      <c r="AA2493">
        <v>0.41236691960063071</v>
      </c>
      <c r="AB2493" t="str">
        <f>HYPERLINK("Melting_Curves/meltCurve_P37108_SRP14.pdf", "Melting_Curves/meltCurve_P37108_SRP14.pdf")</f>
        <v>Melting_Curves/meltCurve_P37108_SRP14.pdf</v>
      </c>
    </row>
    <row r="2494" spans="1:28" x14ac:dyDescent="0.25">
      <c r="A2494" t="s">
        <v>2498</v>
      </c>
      <c r="B2494">
        <v>0.99193492352474899</v>
      </c>
      <c r="C2494">
        <v>0.85745357213594997</v>
      </c>
      <c r="D2494">
        <v>0.77126448407998804</v>
      </c>
      <c r="E2494">
        <v>0.53166394549935103</v>
      </c>
      <c r="F2494">
        <v>0.28617513463778199</v>
      </c>
      <c r="G2494">
        <v>0.17156304127014699</v>
      </c>
      <c r="H2494">
        <v>0.115103766439872</v>
      </c>
      <c r="I2494">
        <v>0.18949278772012701</v>
      </c>
      <c r="J2494">
        <v>0.23984796312373599</v>
      </c>
      <c r="K2494">
        <v>0.29694315637387603</v>
      </c>
      <c r="L2494">
        <v>916.10730808128096</v>
      </c>
      <c r="M2494">
        <v>19.028639338088698</v>
      </c>
      <c r="N2494">
        <v>49.394979669624803</v>
      </c>
      <c r="O2494">
        <v>47.621352044503702</v>
      </c>
      <c r="P2494">
        <v>-8.0793829644815102E-2</v>
      </c>
      <c r="Q2494">
        <v>0.19124875337368399</v>
      </c>
      <c r="R2494">
        <v>0.96465048892621896</v>
      </c>
      <c r="S2494" t="s">
        <v>9164</v>
      </c>
      <c r="T2494" t="s">
        <v>13338</v>
      </c>
      <c r="U2494" t="s">
        <v>13338</v>
      </c>
      <c r="V2494" t="s">
        <v>13338</v>
      </c>
      <c r="W2494" t="s">
        <v>15793</v>
      </c>
      <c r="X2494">
        <v>11</v>
      </c>
      <c r="Y2494" t="s">
        <v>22353</v>
      </c>
      <c r="Z2494" t="s">
        <v>28909</v>
      </c>
      <c r="AA2494">
        <v>0.4235124567054972</v>
      </c>
      <c r="AB2494" t="str">
        <f>HYPERLINK("Melting_Curves/meltCurve_P37198_NUP62.pdf", "Melting_Curves/meltCurve_P37198_NUP62.pdf")</f>
        <v>Melting_Curves/meltCurve_P37198_NUP62.pdf</v>
      </c>
    </row>
    <row r="2495" spans="1:28" x14ac:dyDescent="0.25">
      <c r="A2495" t="s">
        <v>2499</v>
      </c>
      <c r="B2495">
        <v>0.99193492352474899</v>
      </c>
      <c r="C2495">
        <v>0.66667855288177003</v>
      </c>
      <c r="D2495">
        <v>0.86841463698674404</v>
      </c>
      <c r="E2495">
        <v>0.59861248096480901</v>
      </c>
      <c r="F2495">
        <v>0.53602170403747196</v>
      </c>
      <c r="G2495">
        <v>0.254747471050916</v>
      </c>
      <c r="H2495">
        <v>0.153079431913792</v>
      </c>
      <c r="I2495">
        <v>0.14458409685652199</v>
      </c>
      <c r="J2495">
        <v>0.14234427370785099</v>
      </c>
      <c r="K2495">
        <v>0.14468626205936</v>
      </c>
      <c r="L2495">
        <v>463.31734366199203</v>
      </c>
      <c r="M2495">
        <v>8.9396513457825009</v>
      </c>
      <c r="N2495">
        <v>51.933114903542098</v>
      </c>
      <c r="O2495">
        <v>49.430716429705903</v>
      </c>
      <c r="P2495">
        <v>-4.4838068730669201E-2</v>
      </c>
      <c r="Q2495">
        <v>9.0316146761206893E-3</v>
      </c>
      <c r="R2495">
        <v>0.92175440297607303</v>
      </c>
      <c r="S2495" t="s">
        <v>9165</v>
      </c>
      <c r="T2495" t="s">
        <v>13338</v>
      </c>
      <c r="U2495" t="s">
        <v>13338</v>
      </c>
      <c r="V2495" t="s">
        <v>13338</v>
      </c>
      <c r="W2495" t="s">
        <v>15794</v>
      </c>
      <c r="X2495">
        <v>9</v>
      </c>
      <c r="Y2495" t="s">
        <v>22354</v>
      </c>
      <c r="Z2495" t="s">
        <v>28910</v>
      </c>
      <c r="AA2495">
        <v>0.44274939437138028</v>
      </c>
      <c r="AB2495" t="str">
        <f>HYPERLINK("Melting_Curves/meltCurve_P37235_HPCAL1.pdf", "Melting_Curves/meltCurve_P37235_HPCAL1.pdf")</f>
        <v>Melting_Curves/meltCurve_P37235_HPCAL1.pdf</v>
      </c>
    </row>
    <row r="2496" spans="1:28" x14ac:dyDescent="0.25">
      <c r="A2496" t="s">
        <v>2500</v>
      </c>
      <c r="B2496">
        <v>0.99193492352474899</v>
      </c>
      <c r="C2496">
        <v>0.79940836758039602</v>
      </c>
      <c r="D2496">
        <v>0.93204548281157995</v>
      </c>
      <c r="E2496">
        <v>0.59358277447533503</v>
      </c>
      <c r="F2496">
        <v>0.26930318397262798</v>
      </c>
      <c r="G2496">
        <v>0.124700251808365</v>
      </c>
      <c r="H2496">
        <v>8.6029215524202202E-2</v>
      </c>
      <c r="I2496">
        <v>7.7282176822725396E-2</v>
      </c>
      <c r="J2496">
        <v>8.3250693197072401E-2</v>
      </c>
      <c r="K2496">
        <v>8.23110750422721E-2</v>
      </c>
      <c r="L2496">
        <v>1062.7956151793601</v>
      </c>
      <c r="M2496">
        <v>21.201056322384499</v>
      </c>
      <c r="N2496">
        <v>50.479858974056398</v>
      </c>
      <c r="O2496">
        <v>49.689771083183302</v>
      </c>
      <c r="P2496">
        <v>-9.9369382258472597E-2</v>
      </c>
      <c r="Q2496">
        <v>6.8439952223297906E-2</v>
      </c>
      <c r="R2496">
        <v>0.97427000126613195</v>
      </c>
      <c r="S2496" t="s">
        <v>9166</v>
      </c>
      <c r="T2496" t="s">
        <v>13338</v>
      </c>
      <c r="U2496" t="s">
        <v>13338</v>
      </c>
      <c r="V2496" t="s">
        <v>13338</v>
      </c>
      <c r="W2496" t="s">
        <v>15795</v>
      </c>
      <c r="X2496">
        <v>20</v>
      </c>
      <c r="Y2496" t="s">
        <v>22355</v>
      </c>
      <c r="Z2496" t="s">
        <v>28911</v>
      </c>
      <c r="AA2496">
        <v>0.39454470390521101</v>
      </c>
      <c r="AB2496" t="str">
        <f>HYPERLINK("Melting_Curves/meltCurve_P37268_FDFT1.pdf", "Melting_Curves/meltCurve_P37268_FDFT1.pdf")</f>
        <v>Melting_Curves/meltCurve_P37268_FDFT1.pdf</v>
      </c>
    </row>
    <row r="2497" spans="1:28" x14ac:dyDescent="0.25">
      <c r="A2497" t="s">
        <v>2501</v>
      </c>
      <c r="B2497">
        <v>0.99193492352474899</v>
      </c>
      <c r="C2497">
        <v>0.92295280578685901</v>
      </c>
      <c r="D2497">
        <v>0.830055005359709</v>
      </c>
      <c r="E2497">
        <v>0.56833797327203694</v>
      </c>
      <c r="F2497">
        <v>0.42804979176144903</v>
      </c>
      <c r="G2497">
        <v>0.22922115549682601</v>
      </c>
      <c r="H2497">
        <v>0.18304997973932099</v>
      </c>
      <c r="I2497">
        <v>0.234457301909229</v>
      </c>
      <c r="J2497">
        <v>0.30913197198590098</v>
      </c>
      <c r="K2497">
        <v>0.48458280740536902</v>
      </c>
      <c r="L2497">
        <v>1045.37240490203</v>
      </c>
      <c r="M2497">
        <v>21.556638231579601</v>
      </c>
      <c r="N2497">
        <v>50.514461875010198</v>
      </c>
      <c r="O2497">
        <v>48.082687667578597</v>
      </c>
      <c r="P2497">
        <v>-7.9706470808082894E-2</v>
      </c>
      <c r="Q2497">
        <v>0.28886723076280002</v>
      </c>
      <c r="R2497">
        <v>0.91880666278176804</v>
      </c>
      <c r="S2497" t="s">
        <v>9167</v>
      </c>
      <c r="T2497" t="s">
        <v>13338</v>
      </c>
      <c r="U2497" t="s">
        <v>13338</v>
      </c>
      <c r="V2497" t="s">
        <v>13338</v>
      </c>
      <c r="W2497" t="s">
        <v>15796</v>
      </c>
      <c r="X2497">
        <v>6</v>
      </c>
      <c r="Y2497" t="s">
        <v>22356</v>
      </c>
      <c r="Z2497" t="s">
        <v>28912</v>
      </c>
      <c r="AA2497">
        <v>0.49878930625431711</v>
      </c>
      <c r="AB2497" t="str">
        <f>HYPERLINK("Melting_Curves/meltCurve_P37275_3_ZEB1.pdf", "Melting_Curves/meltCurve_P37275_3_ZEB1.pdf")</f>
        <v>Melting_Curves/meltCurve_P37275_3_ZEB1.pdf</v>
      </c>
    </row>
    <row r="2498" spans="1:28" x14ac:dyDescent="0.25">
      <c r="A2498" t="s">
        <v>2502</v>
      </c>
      <c r="B2498">
        <v>0.99193492352474899</v>
      </c>
      <c r="C2498">
        <v>0.96506474187295799</v>
      </c>
      <c r="D2498">
        <v>0.81315475549955896</v>
      </c>
      <c r="E2498">
        <v>0.61875801911844797</v>
      </c>
      <c r="F2498">
        <v>0.179172455005467</v>
      </c>
      <c r="G2498">
        <v>9.0296675479864794E-2</v>
      </c>
      <c r="H2498">
        <v>6.0785451398227802E-2</v>
      </c>
      <c r="I2498">
        <v>7.0352852564810497E-2</v>
      </c>
      <c r="J2498">
        <v>8.2732326438158907E-2</v>
      </c>
      <c r="K2498">
        <v>0.105326326086831</v>
      </c>
      <c r="L2498">
        <v>1185.72447526671</v>
      </c>
      <c r="M2498">
        <v>23.822630003376901</v>
      </c>
      <c r="N2498">
        <v>50.065398795264301</v>
      </c>
      <c r="O2498">
        <v>49.426284392011198</v>
      </c>
      <c r="P2498">
        <v>-0.112672949487992</v>
      </c>
      <c r="Q2498">
        <v>6.4937080292081395E-2</v>
      </c>
      <c r="R2498">
        <v>0.98967009758875901</v>
      </c>
      <c r="S2498" t="s">
        <v>9168</v>
      </c>
      <c r="T2498" t="s">
        <v>13338</v>
      </c>
      <c r="U2498" t="s">
        <v>13338</v>
      </c>
      <c r="V2498" t="s">
        <v>13338</v>
      </c>
      <c r="W2498" t="s">
        <v>15797</v>
      </c>
      <c r="X2498">
        <v>13</v>
      </c>
      <c r="Y2498" t="s">
        <v>22357</v>
      </c>
      <c r="Z2498" t="s">
        <v>28913</v>
      </c>
      <c r="AA2498">
        <v>0.37874171126744521</v>
      </c>
      <c r="AB2498" t="str">
        <f>HYPERLINK("Melting_Curves/meltCurve_P37802_TAGLN2.pdf", "Melting_Curves/meltCurve_P37802_TAGLN2.pdf")</f>
        <v>Melting_Curves/meltCurve_P37802_TAGLN2.pdf</v>
      </c>
    </row>
    <row r="2499" spans="1:28" x14ac:dyDescent="0.25">
      <c r="A2499" t="s">
        <v>2503</v>
      </c>
      <c r="B2499">
        <v>0.99193492352474899</v>
      </c>
      <c r="C2499">
        <v>0.96784206042526699</v>
      </c>
      <c r="D2499">
        <v>0.77174794775350897</v>
      </c>
      <c r="E2499">
        <v>0.60638114982435198</v>
      </c>
      <c r="F2499">
        <v>0.232662495164977</v>
      </c>
      <c r="G2499">
        <v>0.15660887864210701</v>
      </c>
      <c r="H2499">
        <v>0.109397315330622</v>
      </c>
      <c r="I2499">
        <v>0.118479339114082</v>
      </c>
      <c r="J2499">
        <v>0.12343157339483</v>
      </c>
      <c r="K2499">
        <v>0.132054277995584</v>
      </c>
      <c r="L2499">
        <v>976.02508295340101</v>
      </c>
      <c r="M2499">
        <v>19.750133946025599</v>
      </c>
      <c r="N2499">
        <v>50.014904048593003</v>
      </c>
      <c r="O2499">
        <v>48.920392389115797</v>
      </c>
      <c r="P2499">
        <v>-9.0346356837211095E-2</v>
      </c>
      <c r="Q2499">
        <v>0.10489174649348899</v>
      </c>
      <c r="R2499">
        <v>0.99013941811560002</v>
      </c>
      <c r="S2499" t="s">
        <v>9169</v>
      </c>
      <c r="T2499" t="s">
        <v>13338</v>
      </c>
      <c r="U2499" t="s">
        <v>13338</v>
      </c>
      <c r="V2499" t="s">
        <v>13338</v>
      </c>
      <c r="W2499" t="s">
        <v>15798</v>
      </c>
      <c r="X2499">
        <v>25</v>
      </c>
      <c r="Y2499" t="s">
        <v>22358</v>
      </c>
      <c r="Z2499" t="s">
        <v>28914</v>
      </c>
      <c r="AA2499">
        <v>0.39873065411317449</v>
      </c>
      <c r="AB2499" t="str">
        <f>HYPERLINK("Melting_Curves/meltCurve_P37837_TALDO1.pdf", "Melting_Curves/meltCurve_P37837_TALDO1.pdf")</f>
        <v>Melting_Curves/meltCurve_P37837_TALDO1.pdf</v>
      </c>
    </row>
    <row r="2500" spans="1:28" x14ac:dyDescent="0.25">
      <c r="A2500" t="s">
        <v>2504</v>
      </c>
      <c r="B2500">
        <v>0.99193492352474899</v>
      </c>
      <c r="C2500">
        <v>0.89479418137025701</v>
      </c>
      <c r="D2500">
        <v>0.96709757531136398</v>
      </c>
      <c r="E2500">
        <v>0.75908264182331597</v>
      </c>
      <c r="F2500">
        <v>0.54201017569860599</v>
      </c>
      <c r="G2500">
        <v>0.25911759955478397</v>
      </c>
      <c r="H2500">
        <v>0.181957004521004</v>
      </c>
      <c r="I2500">
        <v>0.131813906735224</v>
      </c>
      <c r="J2500">
        <v>0.120635989966768</v>
      </c>
      <c r="K2500">
        <v>0.138849506590246</v>
      </c>
      <c r="L2500">
        <v>959.389531275379</v>
      </c>
      <c r="M2500">
        <v>18.240177459379002</v>
      </c>
      <c r="N2500">
        <v>53.3086133114546</v>
      </c>
      <c r="O2500">
        <v>51.977641400560501</v>
      </c>
      <c r="P2500">
        <v>-7.8261883174060395E-2</v>
      </c>
      <c r="Q2500">
        <v>0.107974492000841</v>
      </c>
      <c r="R2500">
        <v>0.99025648048679604</v>
      </c>
      <c r="S2500" t="s">
        <v>9170</v>
      </c>
      <c r="T2500" t="s">
        <v>13338</v>
      </c>
      <c r="U2500" t="s">
        <v>13338</v>
      </c>
      <c r="V2500" t="s">
        <v>13338</v>
      </c>
      <c r="W2500" t="s">
        <v>15799</v>
      </c>
      <c r="X2500">
        <v>18</v>
      </c>
      <c r="Y2500" t="s">
        <v>22359</v>
      </c>
      <c r="Z2500" t="s">
        <v>28915</v>
      </c>
      <c r="AA2500">
        <v>0.49694626904678069</v>
      </c>
      <c r="AB2500" t="str">
        <f>HYPERLINK("Melting_Curves/meltCurve_P38117_ETFB.pdf", "Melting_Curves/meltCurve_P38117_ETFB.pdf")</f>
        <v>Melting_Curves/meltCurve_P38117_ETFB.pdf</v>
      </c>
    </row>
    <row r="2501" spans="1:28" x14ac:dyDescent="0.25">
      <c r="A2501" t="s">
        <v>2505</v>
      </c>
      <c r="B2501">
        <v>0.99193492352474899</v>
      </c>
      <c r="C2501">
        <v>0.75497475969636296</v>
      </c>
      <c r="D2501">
        <v>0.77216793547625395</v>
      </c>
      <c r="E2501">
        <v>0.60972938575939895</v>
      </c>
      <c r="F2501">
        <v>0.54836299692161605</v>
      </c>
      <c r="G2501">
        <v>0.43479121519209502</v>
      </c>
      <c r="H2501">
        <v>0.79957891124618197</v>
      </c>
      <c r="I2501">
        <v>1.19521237523571</v>
      </c>
      <c r="J2501">
        <v>1.9295230453259899</v>
      </c>
      <c r="K2501">
        <v>1.4466914063793499</v>
      </c>
      <c r="L2501">
        <v>15000</v>
      </c>
      <c r="M2501">
        <v>233.929922323396</v>
      </c>
      <c r="O2501">
        <v>64.117099900022694</v>
      </c>
      <c r="P2501">
        <v>0.456060069946636</v>
      </c>
      <c r="Q2501">
        <v>1.5</v>
      </c>
      <c r="R2501">
        <v>0.46644605254593002</v>
      </c>
      <c r="S2501" t="s">
        <v>9171</v>
      </c>
      <c r="T2501" t="s">
        <v>13338</v>
      </c>
      <c r="U2501" t="s">
        <v>13338</v>
      </c>
      <c r="V2501" t="s">
        <v>13338</v>
      </c>
      <c r="W2501" t="s">
        <v>15800</v>
      </c>
      <c r="X2501">
        <v>17</v>
      </c>
      <c r="Y2501" t="s">
        <v>22360</v>
      </c>
      <c r="Z2501" t="s">
        <v>28916</v>
      </c>
      <c r="AA2501">
        <v>1.0979062836695941</v>
      </c>
      <c r="AB2501" t="str">
        <f>HYPERLINK("Melting_Curves/meltCurve_P38159_RBMX.pdf", "Melting_Curves/meltCurve_P38159_RBMX.pdf")</f>
        <v>Melting_Curves/meltCurve_P38159_RBMX.pdf</v>
      </c>
    </row>
    <row r="2502" spans="1:28" x14ac:dyDescent="0.25">
      <c r="A2502" t="s">
        <v>2506</v>
      </c>
      <c r="B2502">
        <v>0.99193492352474899</v>
      </c>
      <c r="C2502">
        <v>1.36742070477807</v>
      </c>
      <c r="D2502">
        <v>0.97994614293467097</v>
      </c>
      <c r="E2502">
        <v>0.60827043867157404</v>
      </c>
      <c r="F2502">
        <v>0.18601541292028601</v>
      </c>
      <c r="G2502">
        <v>0.62712144786967405</v>
      </c>
      <c r="H2502">
        <v>0.74152734745918003</v>
      </c>
      <c r="I2502">
        <v>3.81079931828353</v>
      </c>
      <c r="J2502">
        <v>4.56765201381626</v>
      </c>
      <c r="K2502">
        <v>4.3264918488589901</v>
      </c>
      <c r="L2502">
        <v>15000</v>
      </c>
      <c r="M2502">
        <v>241.63744917453101</v>
      </c>
      <c r="O2502">
        <v>62.0722133888288</v>
      </c>
      <c r="P2502">
        <v>0.48660547288889999</v>
      </c>
      <c r="Q2502">
        <v>1.5</v>
      </c>
      <c r="R2502">
        <v>8.4849865623220305E-2</v>
      </c>
      <c r="S2502" t="s">
        <v>9172</v>
      </c>
      <c r="T2502" t="s">
        <v>13338</v>
      </c>
      <c r="U2502" t="s">
        <v>13338</v>
      </c>
      <c r="V2502" t="s">
        <v>13338</v>
      </c>
      <c r="W2502" t="s">
        <v>15801</v>
      </c>
      <c r="X2502">
        <v>16</v>
      </c>
      <c r="Y2502" t="s">
        <v>22360</v>
      </c>
      <c r="Z2502" t="s">
        <v>28917</v>
      </c>
      <c r="AA2502">
        <v>1.1320005159319051</v>
      </c>
      <c r="AB2502" t="str">
        <f>HYPERLINK("Melting_Curves/meltCurve_P38159_2_RBMX.pdf", "Melting_Curves/meltCurve_P38159_2_RBMX.pdf")</f>
        <v>Melting_Curves/meltCurve_P38159_2_RBMX.pdf</v>
      </c>
    </row>
    <row r="2503" spans="1:28" x14ac:dyDescent="0.25">
      <c r="A2503" t="s">
        <v>2507</v>
      </c>
      <c r="B2503">
        <v>0.99193492352474899</v>
      </c>
      <c r="C2503">
        <v>0.94983504144646802</v>
      </c>
      <c r="D2503">
        <v>1.0397704748024901</v>
      </c>
      <c r="E2503">
        <v>0.83840620499399898</v>
      </c>
      <c r="F2503">
        <v>0.88709915505110404</v>
      </c>
      <c r="G2503">
        <v>0.60204970945612002</v>
      </c>
      <c r="H2503">
        <v>0.42502300242414998</v>
      </c>
      <c r="I2503">
        <v>0.17902868147001</v>
      </c>
      <c r="J2503">
        <v>0.24675692620730699</v>
      </c>
      <c r="K2503">
        <v>0.21593319134868</v>
      </c>
      <c r="L2503">
        <v>1031.02879627227</v>
      </c>
      <c r="M2503">
        <v>17.985680540055998</v>
      </c>
      <c r="N2503">
        <v>58.588004081072597</v>
      </c>
      <c r="O2503">
        <v>56.630408102297203</v>
      </c>
      <c r="P2503">
        <v>-6.6643033304870106E-2</v>
      </c>
      <c r="Q2503">
        <v>0.16070223159707001</v>
      </c>
      <c r="R2503">
        <v>0.96949021991075202</v>
      </c>
      <c r="S2503" t="s">
        <v>9173</v>
      </c>
      <c r="T2503" t="s">
        <v>13338</v>
      </c>
      <c r="U2503" t="s">
        <v>13338</v>
      </c>
      <c r="V2503" t="s">
        <v>13338</v>
      </c>
      <c r="W2503" t="s">
        <v>15802</v>
      </c>
      <c r="X2503">
        <v>4</v>
      </c>
      <c r="Y2503" t="s">
        <v>22361</v>
      </c>
      <c r="Z2503" t="s">
        <v>28918</v>
      </c>
      <c r="AA2503">
        <v>0.65658709505643087</v>
      </c>
      <c r="AB2503" t="str">
        <f>HYPERLINK("Melting_Curves/meltCurve_P38571_2_LIPA.pdf", "Melting_Curves/meltCurve_P38571_2_LIPA.pdf")</f>
        <v>Melting_Curves/meltCurve_P38571_2_LIPA.pdf</v>
      </c>
    </row>
    <row r="2504" spans="1:28" x14ac:dyDescent="0.25">
      <c r="A2504" t="s">
        <v>2508</v>
      </c>
      <c r="B2504">
        <v>0.99193492352474899</v>
      </c>
      <c r="C2504">
        <v>0.970824597305459</v>
      </c>
      <c r="D2504">
        <v>0.93968748737045604</v>
      </c>
      <c r="E2504">
        <v>0.74557998286071203</v>
      </c>
      <c r="F2504">
        <v>0.58240620544004196</v>
      </c>
      <c r="G2504">
        <v>0.43855429576863703</v>
      </c>
      <c r="H2504">
        <v>0.17505783642026601</v>
      </c>
      <c r="I2504">
        <v>7.8863990354222605E-2</v>
      </c>
      <c r="J2504">
        <v>8.1682452715142101E-2</v>
      </c>
      <c r="K2504">
        <v>7.6101092072072496E-2</v>
      </c>
      <c r="L2504">
        <v>714.39913829760098</v>
      </c>
      <c r="M2504">
        <v>13.0921765424758</v>
      </c>
      <c r="N2504">
        <v>54.566873237459397</v>
      </c>
      <c r="O2504">
        <v>53.3408882854947</v>
      </c>
      <c r="P2504">
        <v>-6.13714391907733E-2</v>
      </c>
      <c r="Q2504">
        <v>0</v>
      </c>
      <c r="R2504">
        <v>0.99252397167222906</v>
      </c>
      <c r="S2504" t="s">
        <v>9174</v>
      </c>
      <c r="T2504" t="s">
        <v>13338</v>
      </c>
      <c r="U2504" t="s">
        <v>13338</v>
      </c>
      <c r="V2504" t="s">
        <v>13338</v>
      </c>
      <c r="W2504" t="s">
        <v>15803</v>
      </c>
      <c r="X2504">
        <v>59</v>
      </c>
      <c r="Y2504" t="s">
        <v>22362</v>
      </c>
      <c r="Z2504" t="s">
        <v>28919</v>
      </c>
      <c r="AA2504">
        <v>0.50842410324594334</v>
      </c>
      <c r="AB2504" t="str">
        <f>HYPERLINK("Melting_Curves/meltCurve_P38646_HSPA9.pdf", "Melting_Curves/meltCurve_P38646_HSPA9.pdf")</f>
        <v>Melting_Curves/meltCurve_P38646_HSPA9.pdf</v>
      </c>
    </row>
    <row r="2505" spans="1:28" x14ac:dyDescent="0.25">
      <c r="A2505" t="s">
        <v>2509</v>
      </c>
      <c r="B2505">
        <v>0.99193492352474899</v>
      </c>
      <c r="C2505">
        <v>0.74424309522579102</v>
      </c>
      <c r="D2505">
        <v>0.84584888404969705</v>
      </c>
      <c r="E2505">
        <v>0.64994536433993799</v>
      </c>
      <c r="F2505">
        <v>0.49108002633939302</v>
      </c>
      <c r="G2505">
        <v>0.18536948573508299</v>
      </c>
      <c r="H2505">
        <v>8.9280259365890499E-2</v>
      </c>
      <c r="I2505">
        <v>7.3567124514457405E-2</v>
      </c>
      <c r="J2505">
        <v>9.0391632197431002E-2</v>
      </c>
      <c r="K2505">
        <v>7.9628192967393097E-2</v>
      </c>
      <c r="L2505">
        <v>601.52023302563998</v>
      </c>
      <c r="M2505">
        <v>11.649836149267299</v>
      </c>
      <c r="N2505">
        <v>51.633364235263798</v>
      </c>
      <c r="O2505">
        <v>50.182360891012998</v>
      </c>
      <c r="P2505">
        <v>-5.8053207793479597E-2</v>
      </c>
      <c r="Q2505">
        <v>0</v>
      </c>
      <c r="R2505">
        <v>0.95850917545565095</v>
      </c>
      <c r="S2505" t="s">
        <v>9175</v>
      </c>
      <c r="T2505" t="s">
        <v>13338</v>
      </c>
      <c r="U2505" t="s">
        <v>13338</v>
      </c>
      <c r="V2505" t="s">
        <v>13338</v>
      </c>
      <c r="W2505" t="s">
        <v>15804</v>
      </c>
      <c r="X2505">
        <v>34</v>
      </c>
      <c r="Y2505" t="s">
        <v>22363</v>
      </c>
      <c r="Z2505" t="s">
        <v>28920</v>
      </c>
      <c r="AA2505">
        <v>0.42038121821252228</v>
      </c>
      <c r="AB2505" t="str">
        <f>HYPERLINK("Melting_Curves/meltCurve_P38919_EIF4A3.pdf", "Melting_Curves/meltCurve_P38919_EIF4A3.pdf")</f>
        <v>Melting_Curves/meltCurve_P38919_EIF4A3.pdf</v>
      </c>
    </row>
    <row r="2506" spans="1:28" x14ac:dyDescent="0.25">
      <c r="A2506" t="s">
        <v>2510</v>
      </c>
      <c r="B2506">
        <v>0.99193492352474899</v>
      </c>
      <c r="C2506">
        <v>0.83836877617871697</v>
      </c>
      <c r="D2506">
        <v>1.19077476911189</v>
      </c>
      <c r="E2506">
        <v>0.42143241897591799</v>
      </c>
      <c r="F2506">
        <v>0.37236045583802702</v>
      </c>
      <c r="G2506">
        <v>0.25248447667924201</v>
      </c>
      <c r="H2506">
        <v>0.13340242667642099</v>
      </c>
      <c r="I2506">
        <v>0.25524604059057099</v>
      </c>
      <c r="J2506">
        <v>0.24947546517396399</v>
      </c>
      <c r="K2506">
        <v>0.22118720483173601</v>
      </c>
      <c r="L2506">
        <v>12340.4264328462</v>
      </c>
      <c r="M2506">
        <v>250</v>
      </c>
      <c r="N2506">
        <v>49.496881378244296</v>
      </c>
      <c r="O2506">
        <v>49.358548928917998</v>
      </c>
      <c r="P2506">
        <v>-0.95302727202943605</v>
      </c>
      <c r="Q2506">
        <v>0.247359339860799</v>
      </c>
      <c r="R2506">
        <v>0.92651780705424602</v>
      </c>
      <c r="S2506" t="s">
        <v>9176</v>
      </c>
      <c r="T2506" t="s">
        <v>13338</v>
      </c>
      <c r="U2506" t="s">
        <v>13338</v>
      </c>
      <c r="V2506" t="s">
        <v>13338</v>
      </c>
      <c r="W2506" t="s">
        <v>15805</v>
      </c>
      <c r="X2506">
        <v>1</v>
      </c>
      <c r="Y2506" t="s">
        <v>22364</v>
      </c>
      <c r="Z2506" t="s">
        <v>28921</v>
      </c>
      <c r="AA2506">
        <v>0.48229121977755007</v>
      </c>
      <c r="AB2506" t="str">
        <f>HYPERLINK("Melting_Curves/meltCurve_P38935_IGHMBP2.pdf", "Melting_Curves/meltCurve_P38935_IGHMBP2.pdf")</f>
        <v>Melting_Curves/meltCurve_P38935_IGHMBP2.pdf</v>
      </c>
    </row>
    <row r="2507" spans="1:28" x14ac:dyDescent="0.25">
      <c r="A2507" t="s">
        <v>2511</v>
      </c>
      <c r="B2507">
        <v>0.99193492352474899</v>
      </c>
      <c r="C2507">
        <v>0.64122770677391305</v>
      </c>
      <c r="D2507">
        <v>0.80953828427336805</v>
      </c>
      <c r="E2507">
        <v>0.589980799759801</v>
      </c>
      <c r="F2507">
        <v>0.43564365319457599</v>
      </c>
      <c r="G2507">
        <v>0.25675093215885902</v>
      </c>
      <c r="H2507">
        <v>0.32529543545101403</v>
      </c>
      <c r="I2507">
        <v>0.59249741616560903</v>
      </c>
      <c r="J2507">
        <v>0.57268513690744205</v>
      </c>
      <c r="K2507">
        <v>0.82024208223115003</v>
      </c>
      <c r="L2507">
        <v>773.05255392382003</v>
      </c>
      <c r="M2507">
        <v>17.7130431140694</v>
      </c>
      <c r="O2507">
        <v>43.098262754479997</v>
      </c>
      <c r="P2507">
        <v>-5.0300984612258702E-2</v>
      </c>
      <c r="Q2507">
        <v>0.51046896438276101</v>
      </c>
      <c r="R2507">
        <v>0.41824628790242402</v>
      </c>
      <c r="S2507" t="s">
        <v>9177</v>
      </c>
      <c r="T2507" t="s">
        <v>13338</v>
      </c>
      <c r="U2507" t="s">
        <v>13338</v>
      </c>
      <c r="V2507" t="s">
        <v>13338</v>
      </c>
      <c r="W2507" t="s">
        <v>15806</v>
      </c>
      <c r="X2507">
        <v>12</v>
      </c>
      <c r="Y2507" t="s">
        <v>22365</v>
      </c>
      <c r="Z2507" t="s">
        <v>28922</v>
      </c>
      <c r="AA2507">
        <v>0.58314746367410886</v>
      </c>
      <c r="AB2507" t="str">
        <f>HYPERLINK("Melting_Curves/meltCurve_P39019_RPS19.pdf", "Melting_Curves/meltCurve_P39019_RPS19.pdf")</f>
        <v>Melting_Curves/meltCurve_P39019_RPS19.pdf</v>
      </c>
    </row>
    <row r="2508" spans="1:28" x14ac:dyDescent="0.25">
      <c r="A2508" t="s">
        <v>2512</v>
      </c>
      <c r="B2508">
        <v>0.99193492352474899</v>
      </c>
      <c r="C2508">
        <v>0.74614575832860996</v>
      </c>
      <c r="D2508">
        <v>0.99000583488677796</v>
      </c>
      <c r="E2508">
        <v>0.894295839732827</v>
      </c>
      <c r="F2508">
        <v>1.0024802036274101</v>
      </c>
      <c r="G2508">
        <v>0.43077739861127201</v>
      </c>
      <c r="H2508">
        <v>0.12789599369173299</v>
      </c>
      <c r="I2508">
        <v>0.123351808673742</v>
      </c>
      <c r="J2508">
        <v>0.18750880697855099</v>
      </c>
      <c r="K2508">
        <v>0.23292146024305699</v>
      </c>
      <c r="L2508">
        <v>14156.1130221111</v>
      </c>
      <c r="M2508">
        <v>250</v>
      </c>
      <c r="N2508">
        <v>56.717292136432</v>
      </c>
      <c r="O2508">
        <v>56.620845816774803</v>
      </c>
      <c r="P2508">
        <v>-0.91847879970759505</v>
      </c>
      <c r="Q2508">
        <v>0.16791951018773599</v>
      </c>
      <c r="R2508">
        <v>0.93787500483558695</v>
      </c>
      <c r="S2508" t="s">
        <v>9178</v>
      </c>
      <c r="T2508" t="s">
        <v>13338</v>
      </c>
      <c r="U2508" t="s">
        <v>13338</v>
      </c>
      <c r="V2508" t="s">
        <v>13338</v>
      </c>
      <c r="W2508" t="s">
        <v>15807</v>
      </c>
      <c r="X2508">
        <v>14</v>
      </c>
      <c r="Y2508" t="s">
        <v>22366</v>
      </c>
      <c r="Z2508" t="s">
        <v>28923</v>
      </c>
      <c r="AA2508">
        <v>0.62909827276693464</v>
      </c>
      <c r="AB2508" t="str">
        <f>HYPERLINK("Melting_Curves/meltCurve_P39023_RPL3.pdf", "Melting_Curves/meltCurve_P39023_RPL3.pdf")</f>
        <v>Melting_Curves/meltCurve_P39023_RPL3.pdf</v>
      </c>
    </row>
    <row r="2509" spans="1:28" x14ac:dyDescent="0.25">
      <c r="A2509" t="s">
        <v>2513</v>
      </c>
      <c r="B2509">
        <v>0.99193492352474899</v>
      </c>
      <c r="C2509">
        <v>0.70871686400449796</v>
      </c>
      <c r="D2509">
        <v>0.97656432855556496</v>
      </c>
      <c r="E2509">
        <v>0.65647689957412703</v>
      </c>
      <c r="F2509">
        <v>0.319667763473163</v>
      </c>
      <c r="G2509">
        <v>8.7685866278682495E-2</v>
      </c>
      <c r="H2509">
        <v>5.4425707378548502E-2</v>
      </c>
      <c r="I2509">
        <v>5.4943179320254401E-2</v>
      </c>
      <c r="J2509">
        <v>6.7102228661577903E-2</v>
      </c>
      <c r="K2509">
        <v>6.3332237888917398E-2</v>
      </c>
      <c r="L2509">
        <v>1114.81115181869</v>
      </c>
      <c r="M2509">
        <v>21.9122554974827</v>
      </c>
      <c r="N2509">
        <v>51.080924922106298</v>
      </c>
      <c r="O2509">
        <v>50.458108298151998</v>
      </c>
      <c r="P2509">
        <v>-0.10400395540766801</v>
      </c>
      <c r="Q2509">
        <v>4.2047829649352803E-2</v>
      </c>
      <c r="R2509">
        <v>0.94143745182571004</v>
      </c>
      <c r="S2509" t="s">
        <v>9179</v>
      </c>
      <c r="T2509" t="s">
        <v>13338</v>
      </c>
      <c r="U2509" t="s">
        <v>13338</v>
      </c>
      <c r="V2509" t="s">
        <v>13338</v>
      </c>
      <c r="W2509" t="s">
        <v>15808</v>
      </c>
      <c r="X2509">
        <v>11</v>
      </c>
      <c r="Y2509" t="s">
        <v>22367</v>
      </c>
      <c r="Z2509" t="s">
        <v>28924</v>
      </c>
      <c r="AA2509">
        <v>0.40052016439568272</v>
      </c>
      <c r="AB2509" t="str">
        <f>HYPERLINK("Melting_Curves/meltCurve_P39656_DDOST.pdf", "Melting_Curves/meltCurve_P39656_DDOST.pdf")</f>
        <v>Melting_Curves/meltCurve_P39656_DDOST.pdf</v>
      </c>
    </row>
    <row r="2510" spans="1:28" x14ac:dyDescent="0.25">
      <c r="A2510" t="s">
        <v>2514</v>
      </c>
      <c r="B2510">
        <v>0.99193492352474899</v>
      </c>
      <c r="C2510">
        <v>0.67136049299327805</v>
      </c>
      <c r="D2510">
        <v>0.87062862615449399</v>
      </c>
      <c r="E2510">
        <v>0.62350315671920997</v>
      </c>
      <c r="F2510">
        <v>0.55380676595181699</v>
      </c>
      <c r="G2510">
        <v>0.21394000309024799</v>
      </c>
      <c r="H2510">
        <v>0.11656087139559999</v>
      </c>
      <c r="I2510">
        <v>0.106377488403541</v>
      </c>
      <c r="J2510">
        <v>0.13169294023432099</v>
      </c>
      <c r="K2510">
        <v>0.17486840720149199</v>
      </c>
      <c r="L2510">
        <v>519.15752298429697</v>
      </c>
      <c r="M2510">
        <v>10.0655578264815</v>
      </c>
      <c r="N2510">
        <v>51.850981622322898</v>
      </c>
      <c r="O2510">
        <v>49.665897626475598</v>
      </c>
      <c r="P2510">
        <v>-4.9380581332276803E-2</v>
      </c>
      <c r="Q2510">
        <v>2.5839193859662699E-2</v>
      </c>
      <c r="R2510">
        <v>0.90764663890879704</v>
      </c>
      <c r="S2510" t="s">
        <v>9180</v>
      </c>
      <c r="T2510" t="s">
        <v>13338</v>
      </c>
      <c r="U2510" t="s">
        <v>13338</v>
      </c>
      <c r="V2510" t="s">
        <v>13338</v>
      </c>
      <c r="W2510" t="s">
        <v>15809</v>
      </c>
      <c r="X2510">
        <v>14</v>
      </c>
      <c r="Y2510" t="s">
        <v>22368</v>
      </c>
      <c r="Z2510" t="s">
        <v>28925</v>
      </c>
      <c r="AA2510">
        <v>0.43998507943709608</v>
      </c>
      <c r="AB2510" t="str">
        <f>HYPERLINK("Melting_Curves/meltCurve_P39687_ANP32A.pdf", "Melting_Curves/meltCurve_P39687_ANP32A.pdf")</f>
        <v>Melting_Curves/meltCurve_P39687_ANP32A.pdf</v>
      </c>
    </row>
    <row r="2511" spans="1:28" x14ac:dyDescent="0.25">
      <c r="A2511" t="s">
        <v>2515</v>
      </c>
      <c r="B2511">
        <v>0.99193492352474899</v>
      </c>
      <c r="C2511">
        <v>0.99245768260899903</v>
      </c>
      <c r="D2511">
        <v>0.645682110133869</v>
      </c>
      <c r="E2511">
        <v>0.41451722745879599</v>
      </c>
      <c r="F2511">
        <v>0.13178094443649799</v>
      </c>
      <c r="G2511">
        <v>7.7270540909955901E-2</v>
      </c>
      <c r="H2511">
        <v>4.5380950227971097E-2</v>
      </c>
      <c r="I2511">
        <v>4.6037587818592803E-2</v>
      </c>
      <c r="J2511">
        <v>5.1304252609520297E-2</v>
      </c>
      <c r="K2511">
        <v>4.6372471788942701E-2</v>
      </c>
      <c r="L2511">
        <v>969.27639640971699</v>
      </c>
      <c r="M2511">
        <v>20.213330957205802</v>
      </c>
      <c r="N2511">
        <v>48.152390599982198</v>
      </c>
      <c r="O2511">
        <v>47.490397898240602</v>
      </c>
      <c r="P2511">
        <v>-0.102124892969889</v>
      </c>
      <c r="Q2511">
        <v>4.02768511268995E-2</v>
      </c>
      <c r="R2511">
        <v>0.99046848868988802</v>
      </c>
      <c r="S2511" t="s">
        <v>9181</v>
      </c>
      <c r="T2511" t="s">
        <v>13338</v>
      </c>
      <c r="U2511" t="s">
        <v>13338</v>
      </c>
      <c r="V2511" t="s">
        <v>13338</v>
      </c>
      <c r="W2511" t="s">
        <v>15810</v>
      </c>
      <c r="X2511">
        <v>24</v>
      </c>
      <c r="Y2511" t="s">
        <v>22369</v>
      </c>
      <c r="Z2511" t="s">
        <v>28926</v>
      </c>
      <c r="AA2511">
        <v>0.30802632391637502</v>
      </c>
      <c r="AB2511" t="str">
        <f>HYPERLINK("Melting_Curves/meltCurve_P39748_FEN1.pdf", "Melting_Curves/meltCurve_P39748_FEN1.pdf")</f>
        <v>Melting_Curves/meltCurve_P39748_FEN1.pdf</v>
      </c>
    </row>
    <row r="2512" spans="1:28" x14ac:dyDescent="0.25">
      <c r="A2512" t="s">
        <v>2516</v>
      </c>
      <c r="B2512">
        <v>0.99193492352474899</v>
      </c>
      <c r="C2512">
        <v>0.59019915531549605</v>
      </c>
      <c r="D2512">
        <v>0.66121802589909795</v>
      </c>
      <c r="E2512">
        <v>0.29462816854227197</v>
      </c>
      <c r="F2512">
        <v>0.14762151296728501</v>
      </c>
      <c r="G2512">
        <v>8.7895777377025697E-2</v>
      </c>
      <c r="H2512">
        <v>6.3265134491982802E-2</v>
      </c>
      <c r="I2512">
        <v>9.5368063281000795E-2</v>
      </c>
      <c r="J2512">
        <v>0.12569818341626399</v>
      </c>
      <c r="K2512">
        <v>0.14773788935178001</v>
      </c>
      <c r="L2512">
        <v>681.43307274023198</v>
      </c>
      <c r="M2512">
        <v>14.8690959979143</v>
      </c>
      <c r="N2512">
        <v>46.392684474065298</v>
      </c>
      <c r="O2512">
        <v>45.023820569567398</v>
      </c>
      <c r="P2512">
        <v>-7.5745118047652701E-2</v>
      </c>
      <c r="Q2512">
        <v>8.2666663596310502E-2</v>
      </c>
      <c r="R2512">
        <v>0.931077909476421</v>
      </c>
      <c r="S2512" t="s">
        <v>9182</v>
      </c>
      <c r="T2512" t="s">
        <v>13338</v>
      </c>
      <c r="U2512" t="s">
        <v>13338</v>
      </c>
      <c r="V2512" t="s">
        <v>13338</v>
      </c>
      <c r="W2512" t="s">
        <v>15811</v>
      </c>
      <c r="X2512">
        <v>30</v>
      </c>
      <c r="Y2512" t="s">
        <v>22370</v>
      </c>
      <c r="Z2512" t="s">
        <v>28927</v>
      </c>
      <c r="AA2512">
        <v>0.28858810889234288</v>
      </c>
      <c r="AB2512" t="str">
        <f>HYPERLINK("Melting_Curves/meltCurve_P39880_3_CUX1.pdf", "Melting_Curves/meltCurve_P39880_3_CUX1.pdf")</f>
        <v>Melting_Curves/meltCurve_P39880_3_CUX1.pdf</v>
      </c>
    </row>
    <row r="2513" spans="1:28" x14ac:dyDescent="0.25">
      <c r="A2513" t="s">
        <v>2517</v>
      </c>
      <c r="B2513">
        <v>0.99193492352474899</v>
      </c>
      <c r="C2513">
        <v>0.90138357287581505</v>
      </c>
      <c r="D2513">
        <v>0.81261548936143202</v>
      </c>
      <c r="E2513">
        <v>0.305737618905431</v>
      </c>
      <c r="F2513">
        <v>0.139536010799095</v>
      </c>
      <c r="G2513">
        <v>7.7235659936640499E-2</v>
      </c>
      <c r="H2513">
        <v>5.3426334895451101E-2</v>
      </c>
      <c r="I2513">
        <v>6.1135034222299399E-2</v>
      </c>
      <c r="J2513">
        <v>7.1329804577654393E-2</v>
      </c>
      <c r="K2513">
        <v>7.2203991039797896E-2</v>
      </c>
      <c r="L2513">
        <v>1358.87617053758</v>
      </c>
      <c r="M2513">
        <v>28.346939820776502</v>
      </c>
      <c r="N2513">
        <v>48.177660270919098</v>
      </c>
      <c r="O2513">
        <v>47.700625498272302</v>
      </c>
      <c r="P2513">
        <v>-0.138772576627262</v>
      </c>
      <c r="Q2513">
        <v>6.5932648653774795E-2</v>
      </c>
      <c r="R2513">
        <v>0.99530885119021295</v>
      </c>
      <c r="S2513" t="s">
        <v>9183</v>
      </c>
      <c r="T2513" t="s">
        <v>13338</v>
      </c>
      <c r="U2513" t="s">
        <v>13338</v>
      </c>
      <c r="V2513" t="s">
        <v>13338</v>
      </c>
      <c r="W2513" t="s">
        <v>15812</v>
      </c>
      <c r="X2513">
        <v>13</v>
      </c>
      <c r="Y2513" t="s">
        <v>22371</v>
      </c>
      <c r="Z2513" t="s">
        <v>28928</v>
      </c>
      <c r="AA2513">
        <v>0.31939400023495429</v>
      </c>
      <c r="AB2513" t="str">
        <f>HYPERLINK("Melting_Curves/meltCurve_P40121_CAPG.pdf", "Melting_Curves/meltCurve_P40121_CAPG.pdf")</f>
        <v>Melting_Curves/meltCurve_P40121_CAPG.pdf</v>
      </c>
    </row>
    <row r="2514" spans="1:28" x14ac:dyDescent="0.25">
      <c r="A2514" t="s">
        <v>2518</v>
      </c>
      <c r="B2514">
        <v>0.99193492352474899</v>
      </c>
      <c r="C2514">
        <v>0.86121877264751601</v>
      </c>
      <c r="D2514">
        <v>0.79617382295576899</v>
      </c>
      <c r="E2514">
        <v>0.71110264203629503</v>
      </c>
      <c r="F2514">
        <v>0.348327178707873</v>
      </c>
      <c r="G2514">
        <v>0.18084885843062001</v>
      </c>
      <c r="H2514">
        <v>9.93328833645378E-2</v>
      </c>
      <c r="I2514">
        <v>0.124291871803116</v>
      </c>
      <c r="J2514">
        <v>0.13772636158224999</v>
      </c>
      <c r="K2514">
        <v>0.20539300514339101</v>
      </c>
      <c r="L2514">
        <v>852.48557679575197</v>
      </c>
      <c r="M2514">
        <v>16.927749580917801</v>
      </c>
      <c r="N2514">
        <v>51.136462455232</v>
      </c>
      <c r="O2514">
        <v>49.6731989966068</v>
      </c>
      <c r="P2514">
        <v>-7.5547932136530799E-2</v>
      </c>
      <c r="Q2514">
        <v>0.11329729706644701</v>
      </c>
      <c r="R2514">
        <v>0.96874001700196399</v>
      </c>
      <c r="S2514" t="s">
        <v>9184</v>
      </c>
      <c r="T2514" t="s">
        <v>13338</v>
      </c>
      <c r="U2514" t="s">
        <v>13338</v>
      </c>
      <c r="V2514" t="s">
        <v>13338</v>
      </c>
      <c r="W2514" t="s">
        <v>15813</v>
      </c>
      <c r="X2514">
        <v>33</v>
      </c>
      <c r="Y2514" t="s">
        <v>22372</v>
      </c>
      <c r="Z2514" t="s">
        <v>28929</v>
      </c>
      <c r="AA2514">
        <v>0.43637160177344819</v>
      </c>
      <c r="AB2514" t="str">
        <f>HYPERLINK("Melting_Curves/meltCurve_P40222_TXLNA.pdf", "Melting_Curves/meltCurve_P40222_TXLNA.pdf")</f>
        <v>Melting_Curves/meltCurve_P40222_TXLNA.pdf</v>
      </c>
    </row>
    <row r="2515" spans="1:28" x14ac:dyDescent="0.25">
      <c r="A2515" t="s">
        <v>2519</v>
      </c>
      <c r="B2515">
        <v>0.99193492352474899</v>
      </c>
      <c r="C2515">
        <v>0.82570387531756695</v>
      </c>
      <c r="D2515">
        <v>0.85723494171642201</v>
      </c>
      <c r="E2515">
        <v>0.70962207203031702</v>
      </c>
      <c r="F2515">
        <v>0.66335708893175205</v>
      </c>
      <c r="G2515">
        <v>0.45513288309748701</v>
      </c>
      <c r="H2515">
        <v>0.2145178434926</v>
      </c>
      <c r="I2515">
        <v>0.12977327180436499</v>
      </c>
      <c r="J2515">
        <v>0.10205217713001501</v>
      </c>
      <c r="K2515">
        <v>8.21097188790402E-2</v>
      </c>
      <c r="L2515">
        <v>573.67806326681</v>
      </c>
      <c r="M2515">
        <v>10.487475465709901</v>
      </c>
      <c r="N2515">
        <v>54.70125434098</v>
      </c>
      <c r="O2515">
        <v>52.824641699932599</v>
      </c>
      <c r="P2515">
        <v>-4.9653571086589701E-2</v>
      </c>
      <c r="Q2515">
        <v>0</v>
      </c>
      <c r="R2515">
        <v>0.97052109344155602</v>
      </c>
      <c r="S2515" t="s">
        <v>9185</v>
      </c>
      <c r="T2515" t="s">
        <v>13338</v>
      </c>
      <c r="U2515" t="s">
        <v>13338</v>
      </c>
      <c r="V2515" t="s">
        <v>13338</v>
      </c>
      <c r="W2515" t="s">
        <v>15814</v>
      </c>
      <c r="X2515">
        <v>43</v>
      </c>
      <c r="Y2515" t="s">
        <v>22373</v>
      </c>
      <c r="Z2515" t="s">
        <v>28930</v>
      </c>
      <c r="AA2515">
        <v>0.51658536740590777</v>
      </c>
      <c r="AB2515" t="str">
        <f>HYPERLINK("Melting_Curves/meltCurve_P40227_CCT6A.pdf", "Melting_Curves/meltCurve_P40227_CCT6A.pdf")</f>
        <v>Melting_Curves/meltCurve_P40227_CCT6A.pdf</v>
      </c>
    </row>
    <row r="2516" spans="1:28" x14ac:dyDescent="0.25">
      <c r="A2516" t="s">
        <v>2520</v>
      </c>
      <c r="B2516">
        <v>0.99193492352474899</v>
      </c>
      <c r="C2516">
        <v>0.973437432766462</v>
      </c>
      <c r="D2516">
        <v>0.85763866439584802</v>
      </c>
      <c r="E2516">
        <v>0.927769282616834</v>
      </c>
      <c r="F2516">
        <v>0.854156150501864</v>
      </c>
      <c r="G2516">
        <v>0.73626545335530802</v>
      </c>
      <c r="H2516">
        <v>0.47506478443150502</v>
      </c>
      <c r="I2516">
        <v>0.54046790797464594</v>
      </c>
      <c r="J2516">
        <v>0.399677247174128</v>
      </c>
      <c r="K2516">
        <v>0.29369452546557501</v>
      </c>
      <c r="L2516">
        <v>499.28181517257298</v>
      </c>
      <c r="M2516">
        <v>7.9030482559878301</v>
      </c>
      <c r="N2516">
        <v>63.1758513846274</v>
      </c>
      <c r="O2516">
        <v>59.514790383528201</v>
      </c>
      <c r="P2516">
        <v>-3.3237126563455899E-2</v>
      </c>
      <c r="Q2516">
        <v>0</v>
      </c>
      <c r="R2516">
        <v>0.95408592976422002</v>
      </c>
      <c r="S2516" t="s">
        <v>9186</v>
      </c>
      <c r="T2516" t="s">
        <v>13338</v>
      </c>
      <c r="U2516" t="s">
        <v>13338</v>
      </c>
      <c r="V2516" t="s">
        <v>13338</v>
      </c>
      <c r="W2516" t="s">
        <v>15815</v>
      </c>
      <c r="X2516">
        <v>5</v>
      </c>
      <c r="Y2516" t="s">
        <v>22374</v>
      </c>
      <c r="Z2516" t="s">
        <v>28931</v>
      </c>
      <c r="AA2516">
        <v>0.72043547929859397</v>
      </c>
      <c r="AB2516" t="str">
        <f>HYPERLINK("Melting_Curves/meltCurve_P40306_PSMB10.pdf", "Melting_Curves/meltCurve_P40306_PSMB10.pdf")</f>
        <v>Melting_Curves/meltCurve_P40306_PSMB10.pdf</v>
      </c>
    </row>
    <row r="2517" spans="1:28" x14ac:dyDescent="0.25">
      <c r="A2517" t="s">
        <v>2521</v>
      </c>
      <c r="B2517">
        <v>0.99193492352474899</v>
      </c>
      <c r="C2517">
        <v>0.83132292479375203</v>
      </c>
      <c r="D2517">
        <v>0.67004307235483496</v>
      </c>
      <c r="E2517">
        <v>0.28558776213145998</v>
      </c>
      <c r="F2517">
        <v>0.21011414931025099</v>
      </c>
      <c r="G2517">
        <v>0.10229316056924</v>
      </c>
      <c r="H2517">
        <v>0.102893438430495</v>
      </c>
      <c r="I2517">
        <v>0.129563597478251</v>
      </c>
      <c r="J2517">
        <v>0.157016445374489</v>
      </c>
      <c r="K2517">
        <v>0.23426690408060599</v>
      </c>
      <c r="L2517">
        <v>1041.0299534758799</v>
      </c>
      <c r="M2517">
        <v>22.372767573228799</v>
      </c>
      <c r="N2517">
        <v>47.238411255354301</v>
      </c>
      <c r="O2517">
        <v>46.164164966164599</v>
      </c>
      <c r="P2517">
        <v>-0.103917035512859</v>
      </c>
      <c r="Q2517">
        <v>0.14232486325000801</v>
      </c>
      <c r="R2517">
        <v>0.97956889302060801</v>
      </c>
      <c r="S2517" t="s">
        <v>9187</v>
      </c>
      <c r="T2517" t="s">
        <v>13338</v>
      </c>
      <c r="U2517" t="s">
        <v>13338</v>
      </c>
      <c r="V2517" t="s">
        <v>13338</v>
      </c>
      <c r="W2517" t="s">
        <v>15816</v>
      </c>
      <c r="X2517">
        <v>2</v>
      </c>
      <c r="Y2517" t="s">
        <v>22375</v>
      </c>
      <c r="Z2517" t="s">
        <v>28932</v>
      </c>
      <c r="AA2517">
        <v>0.33900495467643521</v>
      </c>
      <c r="AB2517" t="str">
        <f>HYPERLINK("Melting_Curves/meltCurve_P40337_3_VHL.pdf", "Melting_Curves/meltCurve_P40337_3_VHL.pdf")</f>
        <v>Melting_Curves/meltCurve_P40337_3_VHL.pdf</v>
      </c>
    </row>
    <row r="2518" spans="1:28" x14ac:dyDescent="0.25">
      <c r="A2518" t="s">
        <v>2522</v>
      </c>
      <c r="B2518">
        <v>0.99193492352474899</v>
      </c>
      <c r="C2518">
        <v>0.482694698237426</v>
      </c>
      <c r="D2518">
        <v>0.61365723516548598</v>
      </c>
      <c r="E2518">
        <v>0.199645585612512</v>
      </c>
      <c r="F2518">
        <v>0.19377420246733101</v>
      </c>
      <c r="G2518">
        <v>7.1345583958897396E-2</v>
      </c>
      <c r="H2518">
        <v>5.5230100820804602E-2</v>
      </c>
      <c r="I2518">
        <v>6.8682666072729603E-2</v>
      </c>
      <c r="J2518">
        <v>5.9757752749477998E-2</v>
      </c>
      <c r="K2518">
        <v>8.1163698666390297E-2</v>
      </c>
      <c r="L2518">
        <v>614.49373372290199</v>
      </c>
      <c r="M2518">
        <v>13.6219566150712</v>
      </c>
      <c r="N2518">
        <v>45.4543446879862</v>
      </c>
      <c r="O2518">
        <v>44.171640736846697</v>
      </c>
      <c r="P2518">
        <v>-7.3333451581992795E-2</v>
      </c>
      <c r="Q2518">
        <v>4.8952196531166801E-2</v>
      </c>
      <c r="R2518">
        <v>0.90068099108933497</v>
      </c>
      <c r="S2518" t="s">
        <v>9188</v>
      </c>
      <c r="T2518" t="s">
        <v>13338</v>
      </c>
      <c r="U2518" t="s">
        <v>13338</v>
      </c>
      <c r="V2518" t="s">
        <v>13338</v>
      </c>
      <c r="W2518" t="s">
        <v>15817</v>
      </c>
      <c r="X2518">
        <v>1</v>
      </c>
      <c r="Y2518" t="s">
        <v>22376</v>
      </c>
      <c r="Z2518" t="s">
        <v>28933</v>
      </c>
      <c r="AA2518">
        <v>0.2477606866585437</v>
      </c>
      <c r="AB2518" t="str">
        <f>HYPERLINK("Melting_Curves/meltCurve_P40425_PBX2.pdf", "Melting_Curves/meltCurve_P40425_PBX2.pdf")</f>
        <v>Melting_Curves/meltCurve_P40425_PBX2.pdf</v>
      </c>
    </row>
    <row r="2519" spans="1:28" x14ac:dyDescent="0.25">
      <c r="A2519" t="s">
        <v>2523</v>
      </c>
      <c r="B2519">
        <v>0.99193492352474899</v>
      </c>
      <c r="C2519">
        <v>0.751911440902711</v>
      </c>
      <c r="D2519">
        <v>0.632759561938537</v>
      </c>
      <c r="E2519">
        <v>0.19220849221059899</v>
      </c>
      <c r="F2519">
        <v>0.13464937259755999</v>
      </c>
      <c r="G2519">
        <v>6.4516632823939199E-2</v>
      </c>
      <c r="H2519">
        <v>3.56201715582335E-2</v>
      </c>
      <c r="I2519">
        <v>5.4987635100025002E-2</v>
      </c>
      <c r="J2519">
        <v>6.4698906236198298E-2</v>
      </c>
      <c r="K2519">
        <v>7.1674773401414302E-2</v>
      </c>
      <c r="L2519">
        <v>906.98395958501703</v>
      </c>
      <c r="M2519">
        <v>19.591363301902199</v>
      </c>
      <c r="N2519">
        <v>46.538426727261403</v>
      </c>
      <c r="O2519">
        <v>45.820849978325597</v>
      </c>
      <c r="P2519">
        <v>-0.101690964237466</v>
      </c>
      <c r="Q2519">
        <v>4.86826169460986E-2</v>
      </c>
      <c r="R2519">
        <v>0.98313488364360302</v>
      </c>
      <c r="S2519" t="s">
        <v>9189</v>
      </c>
      <c r="T2519" t="s">
        <v>13338</v>
      </c>
      <c r="U2519" t="s">
        <v>13338</v>
      </c>
      <c r="V2519" t="s">
        <v>13338</v>
      </c>
      <c r="W2519" t="s">
        <v>15818</v>
      </c>
      <c r="X2519">
        <v>10</v>
      </c>
      <c r="Y2519" t="s">
        <v>22377</v>
      </c>
      <c r="Z2519" t="s">
        <v>28934</v>
      </c>
      <c r="AA2519">
        <v>0.26341939095203409</v>
      </c>
      <c r="AB2519" t="str">
        <f>HYPERLINK("Melting_Curves/meltCurve_P40692_MLH1.pdf", "Melting_Curves/meltCurve_P40692_MLH1.pdf")</f>
        <v>Melting_Curves/meltCurve_P40692_MLH1.pdf</v>
      </c>
    </row>
    <row r="2520" spans="1:28" x14ac:dyDescent="0.25">
      <c r="A2520" t="s">
        <v>2524</v>
      </c>
      <c r="B2520">
        <v>0.99193492352474899</v>
      </c>
      <c r="C2520">
        <v>0.78854544999772402</v>
      </c>
      <c r="D2520">
        <v>0.47630875036905401</v>
      </c>
      <c r="E2520">
        <v>0.204714733995085</v>
      </c>
      <c r="F2520">
        <v>0.124636142399712</v>
      </c>
      <c r="G2520">
        <v>7.3258157683629199E-2</v>
      </c>
      <c r="H2520">
        <v>4.47686896907478E-2</v>
      </c>
      <c r="I2520">
        <v>5.5372108273883502E-2</v>
      </c>
      <c r="J2520">
        <v>6.4842697553543605E-2</v>
      </c>
      <c r="K2520">
        <v>7.2980297305422395E-2</v>
      </c>
      <c r="L2520">
        <v>972.49239400239799</v>
      </c>
      <c r="M2520">
        <v>21.358343863358499</v>
      </c>
      <c r="N2520">
        <v>45.8169682735099</v>
      </c>
      <c r="O2520">
        <v>45.1386921125439</v>
      </c>
      <c r="P2520">
        <v>-0.110942459146828</v>
      </c>
      <c r="Q2520">
        <v>6.2161072696294999E-2</v>
      </c>
      <c r="R2520">
        <v>0.99741215834451802</v>
      </c>
      <c r="S2520" t="s">
        <v>9190</v>
      </c>
      <c r="T2520" t="s">
        <v>13338</v>
      </c>
      <c r="U2520" t="s">
        <v>13338</v>
      </c>
      <c r="V2520" t="s">
        <v>13338</v>
      </c>
      <c r="W2520" t="s">
        <v>15819</v>
      </c>
      <c r="X2520">
        <v>17</v>
      </c>
      <c r="Y2520" t="s">
        <v>22378</v>
      </c>
      <c r="Z2520" t="s">
        <v>28935</v>
      </c>
      <c r="AA2520">
        <v>0.2480177365163953</v>
      </c>
      <c r="AB2520" t="str">
        <f>HYPERLINK("Melting_Curves/meltCurve_P40763_STAT3.pdf", "Melting_Curves/meltCurve_P40763_STAT3.pdf")</f>
        <v>Melting_Curves/meltCurve_P40763_STAT3.pdf</v>
      </c>
    </row>
    <row r="2521" spans="1:28" x14ac:dyDescent="0.25">
      <c r="A2521" t="s">
        <v>2525</v>
      </c>
      <c r="B2521">
        <v>0.99193492352474899</v>
      </c>
      <c r="C2521">
        <v>0.72310927878294196</v>
      </c>
      <c r="D2521">
        <v>0.72671104742289805</v>
      </c>
      <c r="E2521">
        <v>0.20587880730439201</v>
      </c>
      <c r="F2521">
        <v>0.16210354809490199</v>
      </c>
      <c r="G2521">
        <v>0.102058634463745</v>
      </c>
      <c r="H2521">
        <v>6.2957672185080402E-2</v>
      </c>
      <c r="I2521">
        <v>7.6302099138286603E-2</v>
      </c>
      <c r="J2521">
        <v>9.8210223059241805E-2</v>
      </c>
      <c r="K2521">
        <v>8.4114202687418205E-2</v>
      </c>
      <c r="L2521">
        <v>893.26198403360797</v>
      </c>
      <c r="M2521">
        <v>19.1508828035021</v>
      </c>
      <c r="N2521">
        <v>47.017550485808698</v>
      </c>
      <c r="O2521">
        <v>46.143729291872098</v>
      </c>
      <c r="P2521">
        <v>-9.64270070732485E-2</v>
      </c>
      <c r="Q2521">
        <v>7.0678913892051096E-2</v>
      </c>
      <c r="R2521">
        <v>0.96005752491566299</v>
      </c>
      <c r="S2521" t="s">
        <v>9191</v>
      </c>
      <c r="T2521" t="s">
        <v>13338</v>
      </c>
      <c r="U2521" t="s">
        <v>13338</v>
      </c>
      <c r="V2521" t="s">
        <v>13338</v>
      </c>
      <c r="W2521" t="s">
        <v>15820</v>
      </c>
      <c r="X2521">
        <v>13</v>
      </c>
      <c r="Y2521" t="s">
        <v>22379</v>
      </c>
      <c r="Z2521" t="s">
        <v>28936</v>
      </c>
      <c r="AA2521">
        <v>0.29170551539545808</v>
      </c>
      <c r="AB2521" t="str">
        <f>HYPERLINK("Melting_Curves/meltCurve_P40818_USP8.pdf", "Melting_Curves/meltCurve_P40818_USP8.pdf")</f>
        <v>Melting_Curves/meltCurve_P40818_USP8.pdf</v>
      </c>
    </row>
    <row r="2522" spans="1:28" x14ac:dyDescent="0.25">
      <c r="A2522" t="s">
        <v>2526</v>
      </c>
      <c r="B2522">
        <v>0.99193492352474899</v>
      </c>
      <c r="C2522">
        <v>0.83206695603119996</v>
      </c>
      <c r="D2522">
        <v>0.89521789508702698</v>
      </c>
      <c r="E2522">
        <v>0.78893226563184504</v>
      </c>
      <c r="F2522">
        <v>0.71522025345408902</v>
      </c>
      <c r="G2522">
        <v>0.50790963162966696</v>
      </c>
      <c r="H2522">
        <v>0.208642527476087</v>
      </c>
      <c r="I2522">
        <v>8.14907330925288E-2</v>
      </c>
      <c r="J2522">
        <v>7.5794120712723803E-2</v>
      </c>
      <c r="K2522">
        <v>7.9538564034593598E-2</v>
      </c>
      <c r="L2522">
        <v>746.20955512096498</v>
      </c>
      <c r="M2522">
        <v>13.375519757546099</v>
      </c>
      <c r="N2522">
        <v>55.7892011723509</v>
      </c>
      <c r="O2522">
        <v>54.586422438705803</v>
      </c>
      <c r="P2522">
        <v>-6.1268141876584102E-2</v>
      </c>
      <c r="Q2522">
        <v>0</v>
      </c>
      <c r="R2522">
        <v>0.96560489173038799</v>
      </c>
      <c r="S2522" t="s">
        <v>9192</v>
      </c>
      <c r="T2522" t="s">
        <v>13338</v>
      </c>
      <c r="U2522" t="s">
        <v>13338</v>
      </c>
      <c r="V2522" t="s">
        <v>13338</v>
      </c>
      <c r="W2522" t="s">
        <v>15821</v>
      </c>
      <c r="X2522">
        <v>24</v>
      </c>
      <c r="Y2522" t="s">
        <v>22380</v>
      </c>
      <c r="Z2522" t="s">
        <v>28937</v>
      </c>
      <c r="AA2522">
        <v>0.54611340244375906</v>
      </c>
      <c r="AB2522" t="str">
        <f>HYPERLINK("Melting_Curves/meltCurve_P40925_MDH1.pdf", "Melting_Curves/meltCurve_P40925_MDH1.pdf")</f>
        <v>Melting_Curves/meltCurve_P40925_MDH1.pdf</v>
      </c>
    </row>
    <row r="2523" spans="1:28" x14ac:dyDescent="0.25">
      <c r="A2523" t="s">
        <v>2527</v>
      </c>
      <c r="B2523">
        <v>0.99193492352474899</v>
      </c>
      <c r="C2523">
        <v>1.05587028673846</v>
      </c>
      <c r="D2523">
        <v>0.91206240151412599</v>
      </c>
      <c r="E2523">
        <v>0.90999201308912203</v>
      </c>
      <c r="F2523">
        <v>0.73871697614566101</v>
      </c>
      <c r="G2523">
        <v>0.58882047606707399</v>
      </c>
      <c r="H2523">
        <v>0.37683149773621899</v>
      </c>
      <c r="I2523">
        <v>0.118588379079673</v>
      </c>
      <c r="J2523">
        <v>0.112842479464312</v>
      </c>
      <c r="K2523">
        <v>0.111638191160044</v>
      </c>
      <c r="L2523">
        <v>809.525374143009</v>
      </c>
      <c r="M2523">
        <v>14.0238148485381</v>
      </c>
      <c r="N2523">
        <v>57.725047261060801</v>
      </c>
      <c r="O2523">
        <v>56.589289376239897</v>
      </c>
      <c r="P2523">
        <v>-6.19625131646942E-2</v>
      </c>
      <c r="Q2523">
        <v>0</v>
      </c>
      <c r="R2523">
        <v>0.985013760267339</v>
      </c>
      <c r="S2523" t="s">
        <v>9193</v>
      </c>
      <c r="T2523" t="s">
        <v>13338</v>
      </c>
      <c r="U2523" t="s">
        <v>13338</v>
      </c>
      <c r="V2523" t="s">
        <v>13338</v>
      </c>
      <c r="W2523" t="s">
        <v>15822</v>
      </c>
      <c r="X2523">
        <v>30</v>
      </c>
      <c r="Y2523" t="s">
        <v>22381</v>
      </c>
      <c r="Z2523" t="s">
        <v>28938</v>
      </c>
      <c r="AA2523">
        <v>0.60516313287902945</v>
      </c>
      <c r="AB2523" t="str">
        <f>HYPERLINK("Melting_Curves/meltCurve_P40926_MDH2.pdf", "Melting_Curves/meltCurve_P40926_MDH2.pdf")</f>
        <v>Melting_Curves/meltCurve_P40926_MDH2.pdf</v>
      </c>
    </row>
    <row r="2524" spans="1:28" x14ac:dyDescent="0.25">
      <c r="A2524" t="s">
        <v>2528</v>
      </c>
      <c r="B2524">
        <v>0.99193492352474899</v>
      </c>
      <c r="C2524">
        <v>0.813713559094981</v>
      </c>
      <c r="D2524">
        <v>0.90313868840815503</v>
      </c>
      <c r="E2524">
        <v>0.71009007194029095</v>
      </c>
      <c r="F2524">
        <v>0.18961083605626999</v>
      </c>
      <c r="G2524">
        <v>8.1696641163282499E-2</v>
      </c>
      <c r="H2524">
        <v>4.2570944411401197E-2</v>
      </c>
      <c r="I2524">
        <v>5.2410576008131697E-2</v>
      </c>
      <c r="J2524">
        <v>5.7713560043573899E-2</v>
      </c>
      <c r="K2524">
        <v>7.2285487900504306E-2</v>
      </c>
      <c r="L2524">
        <v>1646.8989255307899</v>
      </c>
      <c r="M2524">
        <v>32.522669092541399</v>
      </c>
      <c r="N2524">
        <v>50.809556051194697</v>
      </c>
      <c r="O2524">
        <v>50.448190912602698</v>
      </c>
      <c r="P2524">
        <v>-0.152812120308121</v>
      </c>
      <c r="Q2524">
        <v>5.1854133877328602E-2</v>
      </c>
      <c r="R2524">
        <v>0.97326007660027902</v>
      </c>
      <c r="S2524" t="s">
        <v>9194</v>
      </c>
      <c r="T2524" t="s">
        <v>13338</v>
      </c>
      <c r="U2524" t="s">
        <v>13338</v>
      </c>
      <c r="V2524" t="s">
        <v>13338</v>
      </c>
      <c r="W2524" t="s">
        <v>15823</v>
      </c>
      <c r="X2524">
        <v>10</v>
      </c>
      <c r="Y2524" t="s">
        <v>22382</v>
      </c>
      <c r="Z2524" t="s">
        <v>28939</v>
      </c>
      <c r="AA2524">
        <v>0.39311944547320099</v>
      </c>
      <c r="AB2524" t="str">
        <f>HYPERLINK("Melting_Curves/meltCurve_P40937_RFC5.pdf", "Melting_Curves/meltCurve_P40937_RFC5.pdf")</f>
        <v>Melting_Curves/meltCurve_P40937_RFC5.pdf</v>
      </c>
    </row>
    <row r="2525" spans="1:28" x14ac:dyDescent="0.25">
      <c r="A2525" t="s">
        <v>2529</v>
      </c>
      <c r="B2525">
        <v>0.99193492352474899</v>
      </c>
      <c r="C2525">
        <v>0.95593459067550601</v>
      </c>
      <c r="D2525">
        <v>1.0335729751488201</v>
      </c>
      <c r="E2525">
        <v>0.77351927116699404</v>
      </c>
      <c r="F2525">
        <v>0.37863664158983401</v>
      </c>
      <c r="G2525">
        <v>0.22275110975030299</v>
      </c>
      <c r="H2525">
        <v>0.115561387944018</v>
      </c>
      <c r="I2525">
        <v>8.4887092779404302E-2</v>
      </c>
      <c r="J2525">
        <v>9.3133297839154194E-2</v>
      </c>
      <c r="K2525">
        <v>9.6637749587756894E-2</v>
      </c>
      <c r="L2525">
        <v>1354.64911088809</v>
      </c>
      <c r="M2525">
        <v>26.166194468408602</v>
      </c>
      <c r="N2525">
        <v>52.205078043672899</v>
      </c>
      <c r="O2525">
        <v>51.471432243509298</v>
      </c>
      <c r="P2525">
        <v>-0.114666385049637</v>
      </c>
      <c r="Q2525">
        <v>9.7770940556736796E-2</v>
      </c>
      <c r="R2525">
        <v>0.99430229603567699</v>
      </c>
      <c r="S2525" t="s">
        <v>9195</v>
      </c>
      <c r="T2525" t="s">
        <v>13338</v>
      </c>
      <c r="U2525" t="s">
        <v>13338</v>
      </c>
      <c r="V2525" t="s">
        <v>13338</v>
      </c>
      <c r="W2525" t="s">
        <v>15824</v>
      </c>
      <c r="X2525">
        <v>11</v>
      </c>
      <c r="Y2525" t="s">
        <v>22383</v>
      </c>
      <c r="Z2525" t="s">
        <v>28940</v>
      </c>
      <c r="AA2525">
        <v>0.45929532875943441</v>
      </c>
      <c r="AB2525" t="str">
        <f>HYPERLINK("Melting_Curves/meltCurve_P40938_RFC3.pdf", "Melting_Curves/meltCurve_P40938_RFC3.pdf")</f>
        <v>Melting_Curves/meltCurve_P40938_RFC3.pdf</v>
      </c>
    </row>
    <row r="2526" spans="1:28" x14ac:dyDescent="0.25">
      <c r="A2526" t="s">
        <v>2530</v>
      </c>
      <c r="B2526">
        <v>0.99193492352474899</v>
      </c>
      <c r="C2526">
        <v>0.96887535522509305</v>
      </c>
      <c r="D2526">
        <v>1.21825453956047</v>
      </c>
      <c r="E2526">
        <v>0.76040786344516897</v>
      </c>
      <c r="F2526">
        <v>0.19361054667244099</v>
      </c>
      <c r="G2526">
        <v>9.67478273726671E-2</v>
      </c>
      <c r="H2526">
        <v>5.30744034604946E-2</v>
      </c>
      <c r="I2526">
        <v>5.83283084927586E-2</v>
      </c>
      <c r="J2526">
        <v>6.9752824622297496E-2</v>
      </c>
      <c r="K2526">
        <v>6.2239974905903203E-2</v>
      </c>
      <c r="L2526">
        <v>2343.27933615234</v>
      </c>
      <c r="M2526">
        <v>46.070394252099099</v>
      </c>
      <c r="N2526">
        <v>51.026643722025298</v>
      </c>
      <c r="O2526">
        <v>50.767463201176298</v>
      </c>
      <c r="P2526">
        <v>-0.21129116440439399</v>
      </c>
      <c r="Q2526">
        <v>6.8668376623030894E-2</v>
      </c>
      <c r="R2526">
        <v>0.97395648374261201</v>
      </c>
      <c r="S2526" t="s">
        <v>9196</v>
      </c>
      <c r="T2526" t="s">
        <v>13338</v>
      </c>
      <c r="U2526" t="s">
        <v>13338</v>
      </c>
      <c r="V2526" t="s">
        <v>13338</v>
      </c>
      <c r="W2526" t="s">
        <v>15825</v>
      </c>
      <c r="X2526">
        <v>40</v>
      </c>
      <c r="Y2526" t="s">
        <v>22384</v>
      </c>
      <c r="Z2526" t="s">
        <v>28941</v>
      </c>
      <c r="AA2526">
        <v>0.40836764511290158</v>
      </c>
      <c r="AB2526" t="str">
        <f>HYPERLINK("Melting_Curves/meltCurve_P40939_HADHA.pdf", "Melting_Curves/meltCurve_P40939_HADHA.pdf")</f>
        <v>Melting_Curves/meltCurve_P40939_HADHA.pdf</v>
      </c>
    </row>
    <row r="2527" spans="1:28" x14ac:dyDescent="0.25">
      <c r="A2527" t="s">
        <v>2531</v>
      </c>
      <c r="B2527">
        <v>0.99193492352474899</v>
      </c>
      <c r="C2527">
        <v>0.67075349547786101</v>
      </c>
      <c r="D2527">
        <v>1.00116915460151</v>
      </c>
      <c r="E2527">
        <v>0.69826609869345302</v>
      </c>
      <c r="F2527">
        <v>0.625310174825916</v>
      </c>
      <c r="G2527">
        <v>0.20846010222783601</v>
      </c>
      <c r="H2527">
        <v>8.4644586789311499E-2</v>
      </c>
      <c r="I2527">
        <v>7.0686612174424901E-2</v>
      </c>
      <c r="J2527">
        <v>8.05923821769233E-2</v>
      </c>
      <c r="K2527">
        <v>7.1601577938798802E-2</v>
      </c>
      <c r="L2527">
        <v>779.63370995887703</v>
      </c>
      <c r="M2527">
        <v>14.6531520864422</v>
      </c>
      <c r="N2527">
        <v>53.237597581093297</v>
      </c>
      <c r="O2527">
        <v>52.244410993552897</v>
      </c>
      <c r="P2527">
        <v>-6.9821255389321393E-2</v>
      </c>
      <c r="Q2527">
        <v>4.3465504980289898E-3</v>
      </c>
      <c r="R2527">
        <v>0.90542088370224405</v>
      </c>
      <c r="S2527" t="s">
        <v>9197</v>
      </c>
      <c r="T2527" t="s">
        <v>13338</v>
      </c>
      <c r="U2527" t="s">
        <v>13338</v>
      </c>
      <c r="V2527" t="s">
        <v>13338</v>
      </c>
      <c r="W2527" t="s">
        <v>15826</v>
      </c>
      <c r="X2527">
        <v>23</v>
      </c>
      <c r="Y2527" t="s">
        <v>22385</v>
      </c>
      <c r="Z2527" t="s">
        <v>28942</v>
      </c>
      <c r="AA2527">
        <v>0.46454453802863571</v>
      </c>
      <c r="AB2527" t="str">
        <f>HYPERLINK("Melting_Curves/meltCurve_P41091_EIF2S3.pdf", "Melting_Curves/meltCurve_P41091_EIF2S3.pdf")</f>
        <v>Melting_Curves/meltCurve_P41091_EIF2S3.pdf</v>
      </c>
    </row>
    <row r="2528" spans="1:28" x14ac:dyDescent="0.25">
      <c r="A2528" t="s">
        <v>2532</v>
      </c>
      <c r="B2528">
        <v>0.99193492352474899</v>
      </c>
      <c r="C2528">
        <v>0.98713744757455602</v>
      </c>
      <c r="D2528">
        <v>0.60597509273096795</v>
      </c>
      <c r="E2528">
        <v>0.42489897731620102</v>
      </c>
      <c r="F2528">
        <v>0.33708614001395598</v>
      </c>
      <c r="G2528">
        <v>0.201752628378122</v>
      </c>
      <c r="H2528">
        <v>0.138692660799239</v>
      </c>
      <c r="I2528">
        <v>0.180847244399097</v>
      </c>
      <c r="J2528">
        <v>0.15212441402527899</v>
      </c>
      <c r="K2528">
        <v>0.23722050479878901</v>
      </c>
      <c r="L2528">
        <v>911.45713953507595</v>
      </c>
      <c r="M2528">
        <v>19.3380335768619</v>
      </c>
      <c r="N2528">
        <v>48.278967817964698</v>
      </c>
      <c r="O2528">
        <v>46.637533542307999</v>
      </c>
      <c r="P2528">
        <v>-8.4584291245532406E-2</v>
      </c>
      <c r="Q2528">
        <v>0.184062632242462</v>
      </c>
      <c r="R2528">
        <v>0.97131573790376502</v>
      </c>
      <c r="S2528" t="s">
        <v>9198</v>
      </c>
      <c r="T2528" t="s">
        <v>13338</v>
      </c>
      <c r="U2528" t="s">
        <v>13338</v>
      </c>
      <c r="V2528" t="s">
        <v>13338</v>
      </c>
      <c r="W2528" t="s">
        <v>15827</v>
      </c>
      <c r="X2528">
        <v>2</v>
      </c>
      <c r="Y2528" t="s">
        <v>22386</v>
      </c>
      <c r="Z2528" t="s">
        <v>28943</v>
      </c>
      <c r="AA2528">
        <v>0.39085681732264421</v>
      </c>
      <c r="AB2528" t="str">
        <f>HYPERLINK("Melting_Curves/meltCurve_P41134_ID1.pdf", "Melting_Curves/meltCurve_P41134_ID1.pdf")</f>
        <v>Melting_Curves/meltCurve_P41134_ID1.pdf</v>
      </c>
    </row>
    <row r="2529" spans="1:28" x14ac:dyDescent="0.25">
      <c r="A2529" t="s">
        <v>2533</v>
      </c>
      <c r="B2529">
        <v>0.99193492352474899</v>
      </c>
      <c r="C2529">
        <v>0.77599295741112195</v>
      </c>
      <c r="D2529">
        <v>0.87347943713727805</v>
      </c>
      <c r="E2529">
        <v>0.75065930302626005</v>
      </c>
      <c r="F2529">
        <v>0.72218524921963601</v>
      </c>
      <c r="G2529">
        <v>0.53317071484175604</v>
      </c>
      <c r="H2529">
        <v>0.529758682437805</v>
      </c>
      <c r="I2529">
        <v>0.72106897984654805</v>
      </c>
      <c r="J2529">
        <v>0.95001778283947302</v>
      </c>
      <c r="K2529">
        <v>1.3888827994428099</v>
      </c>
      <c r="L2529">
        <v>10125.720535820799</v>
      </c>
      <c r="M2529">
        <v>250</v>
      </c>
      <c r="O2529">
        <v>40.500295021556198</v>
      </c>
      <c r="P2529">
        <v>-0.30088676930410502</v>
      </c>
      <c r="Q2529">
        <v>0.80502397646720603</v>
      </c>
      <c r="R2529">
        <v>5.5607760149686901E-2</v>
      </c>
      <c r="S2529" t="s">
        <v>9199</v>
      </c>
      <c r="T2529" t="s">
        <v>13338</v>
      </c>
      <c r="U2529" t="s">
        <v>13338</v>
      </c>
      <c r="V2529" t="s">
        <v>13338</v>
      </c>
      <c r="W2529" t="s">
        <v>15828</v>
      </c>
      <c r="X2529">
        <v>6</v>
      </c>
      <c r="Y2529" t="s">
        <v>22387</v>
      </c>
      <c r="Z2529" t="s">
        <v>28944</v>
      </c>
      <c r="AA2529">
        <v>0.80834921188190278</v>
      </c>
      <c r="AB2529" t="str">
        <f>HYPERLINK("Melting_Curves/meltCurve_P41208_CETN2.pdf", "Melting_Curves/meltCurve_P41208_CETN2.pdf")</f>
        <v>Melting_Curves/meltCurve_P41208_CETN2.pdf</v>
      </c>
    </row>
    <row r="2530" spans="1:28" x14ac:dyDescent="0.25">
      <c r="A2530" t="s">
        <v>2534</v>
      </c>
      <c r="B2530">
        <v>0.99193492352474899</v>
      </c>
      <c r="C2530">
        <v>0.45534513973570201</v>
      </c>
      <c r="D2530">
        <v>0.26376696218085699</v>
      </c>
      <c r="E2530">
        <v>0.12679569404709301</v>
      </c>
      <c r="F2530">
        <v>7.8822416884318694E-2</v>
      </c>
      <c r="G2530">
        <v>4.5270172654960597E-2</v>
      </c>
      <c r="H2530">
        <v>2.5712610879685099E-2</v>
      </c>
      <c r="I2530">
        <v>4.0584522644977201E-2</v>
      </c>
      <c r="J2530">
        <v>6.8477676984298602E-2</v>
      </c>
      <c r="K2530">
        <v>5.40656436916091E-2</v>
      </c>
      <c r="L2530">
        <v>1216.8292098233501</v>
      </c>
      <c r="M2530">
        <v>28.360957644983898</v>
      </c>
      <c r="N2530">
        <v>43.116282473205899</v>
      </c>
      <c r="O2530">
        <v>42.693480655941201</v>
      </c>
      <c r="P2530">
        <v>-0.15530359775072</v>
      </c>
      <c r="Q2530">
        <v>6.4855981334053805E-2</v>
      </c>
      <c r="R2530">
        <v>0.96845253380293395</v>
      </c>
      <c r="S2530" t="s">
        <v>9200</v>
      </c>
      <c r="T2530" t="s">
        <v>13338</v>
      </c>
      <c r="U2530" t="s">
        <v>13338</v>
      </c>
      <c r="V2530" t="s">
        <v>13338</v>
      </c>
      <c r="W2530" t="s">
        <v>15829</v>
      </c>
      <c r="X2530">
        <v>2</v>
      </c>
      <c r="Y2530" t="s">
        <v>22388</v>
      </c>
      <c r="Z2530" t="s">
        <v>28945</v>
      </c>
      <c r="AA2530">
        <v>0.16559164437511159</v>
      </c>
      <c r="AB2530" t="str">
        <f>HYPERLINK("Melting_Curves/meltCurve_P41212_ETV6.pdf", "Melting_Curves/meltCurve_P41212_ETV6.pdf")</f>
        <v>Melting_Curves/meltCurve_P41212_ETV6.pdf</v>
      </c>
    </row>
    <row r="2531" spans="1:28" x14ac:dyDescent="0.25">
      <c r="A2531" t="s">
        <v>2535</v>
      </c>
      <c r="B2531">
        <v>0.99193492352474899</v>
      </c>
      <c r="C2531">
        <v>0.80005096679027399</v>
      </c>
      <c r="D2531">
        <v>0.70240105325261404</v>
      </c>
      <c r="E2531">
        <v>0.186424282829347</v>
      </c>
      <c r="F2531">
        <v>0.124206399975818</v>
      </c>
      <c r="G2531">
        <v>7.1890625715291104E-2</v>
      </c>
      <c r="H2531">
        <v>4.8866028113552798E-2</v>
      </c>
      <c r="I2531">
        <v>3.99780078352528E-2</v>
      </c>
      <c r="J2531">
        <v>5.5208882118604002E-2</v>
      </c>
      <c r="K2531">
        <v>5.55986517297795E-2</v>
      </c>
      <c r="L2531">
        <v>1080.69140943251</v>
      </c>
      <c r="M2531">
        <v>23.074328652276101</v>
      </c>
      <c r="N2531">
        <v>47.0368374909457</v>
      </c>
      <c r="O2531">
        <v>46.487706333689403</v>
      </c>
      <c r="P2531">
        <v>-0.118247917360379</v>
      </c>
      <c r="Q2531">
        <v>4.7084243551468001E-2</v>
      </c>
      <c r="R2531">
        <v>0.98279616246066404</v>
      </c>
      <c r="S2531" t="s">
        <v>9201</v>
      </c>
      <c r="T2531" t="s">
        <v>13338</v>
      </c>
      <c r="U2531" t="s">
        <v>13338</v>
      </c>
      <c r="V2531" t="s">
        <v>13338</v>
      </c>
      <c r="W2531" t="s">
        <v>15830</v>
      </c>
      <c r="X2531">
        <v>14</v>
      </c>
      <c r="Y2531" t="s">
        <v>22389</v>
      </c>
      <c r="Z2531" t="s">
        <v>28946</v>
      </c>
      <c r="AA2531">
        <v>0.27440567945105471</v>
      </c>
      <c r="AB2531" t="str">
        <f>HYPERLINK("Melting_Curves/meltCurve_P41214_EIF2D.pdf", "Melting_Curves/meltCurve_P41214_EIF2D.pdf")</f>
        <v>Melting_Curves/meltCurve_P41214_EIF2D.pdf</v>
      </c>
    </row>
    <row r="2532" spans="1:28" x14ac:dyDescent="0.25">
      <c r="A2532" t="s">
        <v>2536</v>
      </c>
      <c r="B2532">
        <v>0.99193492352474899</v>
      </c>
      <c r="C2532">
        <v>0.79050293715159703</v>
      </c>
      <c r="D2532">
        <v>0.94647721448127897</v>
      </c>
      <c r="E2532">
        <v>0.74349132275646801</v>
      </c>
      <c r="F2532">
        <v>0.27417666652449302</v>
      </c>
      <c r="G2532">
        <v>9.2539274732854004E-2</v>
      </c>
      <c r="H2532">
        <v>5.54006370196388E-2</v>
      </c>
      <c r="I2532">
        <v>6.48396547854522E-2</v>
      </c>
      <c r="J2532">
        <v>7.3215731740881307E-2</v>
      </c>
      <c r="K2532">
        <v>7.0433230722424398E-2</v>
      </c>
      <c r="L2532">
        <v>1524.6600692320101</v>
      </c>
      <c r="M2532">
        <v>29.8400227023639</v>
      </c>
      <c r="N2532">
        <v>51.313652920317701</v>
      </c>
      <c r="O2532">
        <v>50.866643758326198</v>
      </c>
      <c r="P2532">
        <v>-0.13788356055799</v>
      </c>
      <c r="Q2532">
        <v>5.9836208595596102E-2</v>
      </c>
      <c r="R2532">
        <v>0.97023933469022805</v>
      </c>
      <c r="S2532" t="s">
        <v>9202</v>
      </c>
      <c r="T2532" t="s">
        <v>13338</v>
      </c>
      <c r="U2532" t="s">
        <v>13338</v>
      </c>
      <c r="V2532" t="s">
        <v>13338</v>
      </c>
      <c r="W2532" t="s">
        <v>15831</v>
      </c>
      <c r="X2532">
        <v>9</v>
      </c>
      <c r="Y2532" t="s">
        <v>22390</v>
      </c>
      <c r="Z2532" t="s">
        <v>28947</v>
      </c>
      <c r="AA2532">
        <v>0.41350748598180959</v>
      </c>
      <c r="AB2532" t="str">
        <f>HYPERLINK("Melting_Curves/meltCurve_P41223_BUD31.pdf", "Melting_Curves/meltCurve_P41223_BUD31.pdf")</f>
        <v>Melting_Curves/meltCurve_P41223_BUD31.pdf</v>
      </c>
    </row>
    <row r="2533" spans="1:28" x14ac:dyDescent="0.25">
      <c r="A2533" t="s">
        <v>2537</v>
      </c>
      <c r="B2533">
        <v>0.99193492352474899</v>
      </c>
      <c r="C2533">
        <v>0.92772650518640398</v>
      </c>
      <c r="D2533">
        <v>0.94887509584031204</v>
      </c>
      <c r="E2533">
        <v>0.77468638396088896</v>
      </c>
      <c r="F2533">
        <v>0.49160549493401901</v>
      </c>
      <c r="G2533">
        <v>0.128400085459624</v>
      </c>
      <c r="H2533">
        <v>7.2405398244109298E-2</v>
      </c>
      <c r="I2533">
        <v>8.1997728660893096E-2</v>
      </c>
      <c r="J2533">
        <v>0.101948550859131</v>
      </c>
      <c r="K2533">
        <v>0.131602438594217</v>
      </c>
      <c r="L2533">
        <v>1285.01328736289</v>
      </c>
      <c r="M2533">
        <v>24.611419928432898</v>
      </c>
      <c r="N2533">
        <v>52.582259123725699</v>
      </c>
      <c r="O2533">
        <v>51.871029399138202</v>
      </c>
      <c r="P2533">
        <v>-0.10918466329685</v>
      </c>
      <c r="Q2533">
        <v>7.9542772291236893E-2</v>
      </c>
      <c r="R2533">
        <v>0.98863070387621699</v>
      </c>
      <c r="S2533" t="s">
        <v>9203</v>
      </c>
      <c r="T2533" t="s">
        <v>13338</v>
      </c>
      <c r="U2533" t="s">
        <v>13338</v>
      </c>
      <c r="V2533" t="s">
        <v>13338</v>
      </c>
      <c r="W2533" t="s">
        <v>15832</v>
      </c>
      <c r="X2533">
        <v>12</v>
      </c>
      <c r="Y2533" t="s">
        <v>22391</v>
      </c>
      <c r="Z2533" t="s">
        <v>28948</v>
      </c>
      <c r="AA2533">
        <v>0.46290832900686701</v>
      </c>
      <c r="AB2533" t="str">
        <f>HYPERLINK("Melting_Curves/meltCurve_P41227_NAA10.pdf", "Melting_Curves/meltCurve_P41227_NAA10.pdf")</f>
        <v>Melting_Curves/meltCurve_P41227_NAA10.pdf</v>
      </c>
    </row>
    <row r="2534" spans="1:28" x14ac:dyDescent="0.25">
      <c r="A2534" t="s">
        <v>2538</v>
      </c>
      <c r="B2534">
        <v>0.99193492352474899</v>
      </c>
      <c r="C2534">
        <v>0.89698784685200805</v>
      </c>
      <c r="D2534">
        <v>0.71990405588846496</v>
      </c>
      <c r="E2534">
        <v>0.31076346682429701</v>
      </c>
      <c r="F2534">
        <v>0.26543310469014603</v>
      </c>
      <c r="G2534">
        <v>0.239270979579323</v>
      </c>
      <c r="H2534">
        <v>0.11278288575989399</v>
      </c>
      <c r="I2534">
        <v>0.144471309844907</v>
      </c>
      <c r="J2534">
        <v>0.16436945637327199</v>
      </c>
      <c r="K2534">
        <v>0.12299326642898099</v>
      </c>
      <c r="L2534">
        <v>1042.6742690103899</v>
      </c>
      <c r="M2534">
        <v>22.121693790265201</v>
      </c>
      <c r="N2534">
        <v>47.928479119978498</v>
      </c>
      <c r="O2534">
        <v>46.753471629101398</v>
      </c>
      <c r="P2534">
        <v>-0.100126830152081</v>
      </c>
      <c r="Q2534">
        <v>0.15355944806699201</v>
      </c>
      <c r="R2534">
        <v>0.98601242629582697</v>
      </c>
      <c r="S2534" t="s">
        <v>9204</v>
      </c>
      <c r="T2534" t="s">
        <v>13338</v>
      </c>
      <c r="U2534" t="s">
        <v>13338</v>
      </c>
      <c r="V2534" t="s">
        <v>13338</v>
      </c>
      <c r="W2534" t="s">
        <v>15833</v>
      </c>
      <c r="X2534">
        <v>5</v>
      </c>
      <c r="Y2534" t="s">
        <v>22392</v>
      </c>
      <c r="Z2534" t="s">
        <v>28949</v>
      </c>
      <c r="AA2534">
        <v>0.36470088346584401</v>
      </c>
      <c r="AB2534" t="str">
        <f>HYPERLINK("Melting_Curves/meltCurve_P41229_3_KDM5C.pdf", "Melting_Curves/meltCurve_P41229_3_KDM5C.pdf")</f>
        <v>Melting_Curves/meltCurve_P41229_3_KDM5C.pdf</v>
      </c>
    </row>
    <row r="2535" spans="1:28" x14ac:dyDescent="0.25">
      <c r="A2535" t="s">
        <v>2539</v>
      </c>
      <c r="B2535">
        <v>0.99193492352474899</v>
      </c>
      <c r="C2535">
        <v>1.0803868475396201</v>
      </c>
      <c r="D2535">
        <v>1.1030274773125901</v>
      </c>
      <c r="E2535">
        <v>0.54533260225635205</v>
      </c>
      <c r="F2535">
        <v>0.19164243294000299</v>
      </c>
      <c r="G2535">
        <v>9.4543845744842606E-2</v>
      </c>
      <c r="H2535">
        <v>5.8630203818874599E-2</v>
      </c>
      <c r="I2535">
        <v>6.9022272822823597E-2</v>
      </c>
      <c r="J2535">
        <v>8.14870701522626E-2</v>
      </c>
      <c r="K2535">
        <v>8.1549842066143602E-2</v>
      </c>
      <c r="L2535">
        <v>2533.7110668657101</v>
      </c>
      <c r="M2535">
        <v>51.004996865296498</v>
      </c>
      <c r="N2535">
        <v>49.868450522243798</v>
      </c>
      <c r="O2535">
        <v>49.599557744665702</v>
      </c>
      <c r="P2535">
        <v>-0.234090127439535</v>
      </c>
      <c r="Q2535">
        <v>8.9441561211207901E-2</v>
      </c>
      <c r="R2535">
        <v>0.98537997079601003</v>
      </c>
      <c r="S2535" t="s">
        <v>9205</v>
      </c>
      <c r="T2535" t="s">
        <v>13338</v>
      </c>
      <c r="U2535" t="s">
        <v>13338</v>
      </c>
      <c r="V2535" t="s">
        <v>13338</v>
      </c>
      <c r="W2535" t="s">
        <v>15834</v>
      </c>
      <c r="X2535">
        <v>25</v>
      </c>
      <c r="Y2535" t="s">
        <v>22393</v>
      </c>
      <c r="Z2535" t="s">
        <v>28950</v>
      </c>
      <c r="AA2535">
        <v>0.38503619686212981</v>
      </c>
      <c r="AB2535" t="str">
        <f>HYPERLINK("Melting_Curves/meltCurve_P41240_CSK.pdf", "Melting_Curves/meltCurve_P41240_CSK.pdf")</f>
        <v>Melting_Curves/meltCurve_P41240_CSK.pdf</v>
      </c>
    </row>
    <row r="2536" spans="1:28" x14ac:dyDescent="0.25">
      <c r="A2536" t="s">
        <v>2540</v>
      </c>
      <c r="B2536">
        <v>0.99193492352474899</v>
      </c>
      <c r="C2536">
        <v>1.0272930736811601</v>
      </c>
      <c r="D2536">
        <v>0.90290965916075006</v>
      </c>
      <c r="E2536">
        <v>0.90443493159664201</v>
      </c>
      <c r="F2536">
        <v>0.77637029667219104</v>
      </c>
      <c r="G2536">
        <v>0.65329066981253703</v>
      </c>
      <c r="H2536">
        <v>0.45896924189000998</v>
      </c>
      <c r="I2536">
        <v>0.20180569774814</v>
      </c>
      <c r="J2536">
        <v>0.137693378069873</v>
      </c>
      <c r="K2536">
        <v>8.5998509158192807E-2</v>
      </c>
      <c r="L2536">
        <v>797.56987498262197</v>
      </c>
      <c r="M2536">
        <v>13.543170619945601</v>
      </c>
      <c r="N2536">
        <v>58.8909273234528</v>
      </c>
      <c r="O2536">
        <v>57.651433223696799</v>
      </c>
      <c r="P2536">
        <v>-5.8737527448669002E-2</v>
      </c>
      <c r="Q2536">
        <v>0</v>
      </c>
      <c r="R2536">
        <v>0.98597637583160702</v>
      </c>
      <c r="S2536" t="s">
        <v>9206</v>
      </c>
      <c r="T2536" t="s">
        <v>13338</v>
      </c>
      <c r="U2536" t="s">
        <v>13338</v>
      </c>
      <c r="V2536" t="s">
        <v>13338</v>
      </c>
      <c r="W2536" t="s">
        <v>15835</v>
      </c>
      <c r="X2536">
        <v>36</v>
      </c>
      <c r="Y2536" t="s">
        <v>22394</v>
      </c>
      <c r="Z2536" t="s">
        <v>28951</v>
      </c>
      <c r="AA2536">
        <v>0.63982702857063711</v>
      </c>
      <c r="AB2536" t="str">
        <f>HYPERLINK("Melting_Curves/meltCurve_P41250_GARS.pdf", "Melting_Curves/meltCurve_P41250_GARS.pdf")</f>
        <v>Melting_Curves/meltCurve_P41250_GARS.pdf</v>
      </c>
    </row>
    <row r="2537" spans="1:28" x14ac:dyDescent="0.25">
      <c r="A2537" t="s">
        <v>2541</v>
      </c>
      <c r="B2537">
        <v>0.99193492352474899</v>
      </c>
      <c r="C2537">
        <v>0.65771425231041303</v>
      </c>
      <c r="D2537">
        <v>0.79210770092557903</v>
      </c>
      <c r="E2537">
        <v>0.23048520033769301</v>
      </c>
      <c r="F2537">
        <v>0.15420449147031501</v>
      </c>
      <c r="G2537">
        <v>9.2700063005017902E-2</v>
      </c>
      <c r="H2537">
        <v>6.0797400332419302E-2</v>
      </c>
      <c r="I2537">
        <v>6.6712611965125804E-2</v>
      </c>
      <c r="J2537">
        <v>8.0818195088855196E-2</v>
      </c>
      <c r="K2537">
        <v>7.6743096889437395E-2</v>
      </c>
      <c r="L2537">
        <v>800.814261709108</v>
      </c>
      <c r="M2537">
        <v>17.057090647301401</v>
      </c>
      <c r="N2537">
        <v>47.257652953086001</v>
      </c>
      <c r="O2537">
        <v>46.317971954174702</v>
      </c>
      <c r="P2537">
        <v>-8.7218514417272505E-2</v>
      </c>
      <c r="Q2537">
        <v>5.27012520317734E-2</v>
      </c>
      <c r="R2537">
        <v>0.92956612061418997</v>
      </c>
      <c r="S2537" t="s">
        <v>9207</v>
      </c>
      <c r="T2537" t="s">
        <v>13338</v>
      </c>
      <c r="U2537" t="s">
        <v>13338</v>
      </c>
      <c r="V2537" t="s">
        <v>13338</v>
      </c>
      <c r="W2537" t="s">
        <v>15836</v>
      </c>
      <c r="X2537">
        <v>32</v>
      </c>
      <c r="Y2537" t="s">
        <v>22395</v>
      </c>
      <c r="Z2537" t="s">
        <v>28952</v>
      </c>
      <c r="AA2537">
        <v>0.29181728995301531</v>
      </c>
      <c r="AB2537" t="str">
        <f>HYPERLINK("Melting_Curves/meltCurve_P41252_IARS.pdf", "Melting_Curves/meltCurve_P41252_IARS.pdf")</f>
        <v>Melting_Curves/meltCurve_P41252_IARS.pdf</v>
      </c>
    </row>
    <row r="2538" spans="1:28" x14ac:dyDescent="0.25">
      <c r="A2538" t="s">
        <v>2542</v>
      </c>
      <c r="B2538">
        <v>0.99193492352474899</v>
      </c>
      <c r="C2538">
        <v>0.85831694539528203</v>
      </c>
      <c r="D2538">
        <v>0.97886954664904502</v>
      </c>
      <c r="E2538">
        <v>0.73388034875535202</v>
      </c>
      <c r="F2538">
        <v>0.68553454893682297</v>
      </c>
      <c r="G2538">
        <v>0.554042286423298</v>
      </c>
      <c r="H2538">
        <v>0.36132354925579102</v>
      </c>
      <c r="I2538">
        <v>0.35701549169945501</v>
      </c>
      <c r="J2538">
        <v>0.36017390663801602</v>
      </c>
      <c r="K2538">
        <v>0.26169925224806301</v>
      </c>
      <c r="L2538">
        <v>528.56627568552403</v>
      </c>
      <c r="M2538">
        <v>9.6327445456463892</v>
      </c>
      <c r="N2538">
        <v>57.794268055518998</v>
      </c>
      <c r="O2538">
        <v>52.663422083867403</v>
      </c>
      <c r="P2538">
        <v>-3.6932466710004601E-2</v>
      </c>
      <c r="Q2538">
        <v>0.19279517732981699</v>
      </c>
      <c r="R2538">
        <v>0.96107692215118101</v>
      </c>
      <c r="S2538" t="s">
        <v>9208</v>
      </c>
      <c r="T2538" t="s">
        <v>13338</v>
      </c>
      <c r="U2538" t="s">
        <v>13338</v>
      </c>
      <c r="V2538" t="s">
        <v>13338</v>
      </c>
      <c r="W2538" t="s">
        <v>15837</v>
      </c>
      <c r="X2538">
        <v>7</v>
      </c>
      <c r="Y2538" t="s">
        <v>22396</v>
      </c>
      <c r="Z2538" t="s">
        <v>28953</v>
      </c>
      <c r="AA2538">
        <v>0.61462384886240251</v>
      </c>
      <c r="AB2538" t="str">
        <f>HYPERLINK("Melting_Curves/meltCurve_P41440_SLC19A1.pdf", "Melting_Curves/meltCurve_P41440_SLC19A1.pdf")</f>
        <v>Melting_Curves/meltCurve_P41440_SLC19A1.pdf</v>
      </c>
    </row>
    <row r="2539" spans="1:28" x14ac:dyDescent="0.25">
      <c r="A2539" t="s">
        <v>2543</v>
      </c>
      <c r="B2539">
        <v>0.99193492352474899</v>
      </c>
      <c r="C2539">
        <v>0.84691607630490096</v>
      </c>
      <c r="D2539">
        <v>0.88786600920944203</v>
      </c>
      <c r="E2539">
        <v>0.78387075501715198</v>
      </c>
      <c r="F2539">
        <v>0.61889317474701899</v>
      </c>
      <c r="G2539">
        <v>0.39357995713917898</v>
      </c>
      <c r="H2539">
        <v>0.23456275933089701</v>
      </c>
      <c r="I2539">
        <v>0.21549445056732999</v>
      </c>
      <c r="J2539">
        <v>0.26628482406423498</v>
      </c>
      <c r="K2539">
        <v>0.29313745243721001</v>
      </c>
      <c r="L2539">
        <v>744.61907085622704</v>
      </c>
      <c r="M2539">
        <v>14.171472089904601</v>
      </c>
      <c r="N2539">
        <v>54.5694938271279</v>
      </c>
      <c r="O2539">
        <v>51.530459593574001</v>
      </c>
      <c r="P2539">
        <v>-5.4695820563556999E-2</v>
      </c>
      <c r="Q2539">
        <v>0.204558199156545</v>
      </c>
      <c r="R2539">
        <v>0.96314974689075905</v>
      </c>
      <c r="S2539" t="s">
        <v>9209</v>
      </c>
      <c r="T2539" t="s">
        <v>13338</v>
      </c>
      <c r="U2539" t="s">
        <v>13338</v>
      </c>
      <c r="V2539" t="s">
        <v>13338</v>
      </c>
      <c r="W2539" t="s">
        <v>15838</v>
      </c>
      <c r="X2539">
        <v>10</v>
      </c>
      <c r="Y2539" t="s">
        <v>22397</v>
      </c>
      <c r="Z2539" t="s">
        <v>28954</v>
      </c>
      <c r="AA2539">
        <v>0.55604845815933068</v>
      </c>
      <c r="AB2539" t="str">
        <f>HYPERLINK("Melting_Curves/meltCurve_P41567_EIF1.pdf", "Melting_Curves/meltCurve_P41567_EIF1.pdf")</f>
        <v>Melting_Curves/meltCurve_P41567_EIF1.pdf</v>
      </c>
    </row>
    <row r="2540" spans="1:28" x14ac:dyDescent="0.25">
      <c r="A2540" t="s">
        <v>2544</v>
      </c>
      <c r="B2540">
        <v>0.99193492352474899</v>
      </c>
      <c r="C2540">
        <v>0.99602365065193998</v>
      </c>
      <c r="D2540">
        <v>0.92844635179648705</v>
      </c>
      <c r="E2540">
        <v>0.66299578267038795</v>
      </c>
      <c r="F2540">
        <v>0.22730559192100599</v>
      </c>
      <c r="G2540">
        <v>0.115307158034368</v>
      </c>
      <c r="H2540">
        <v>6.8476127752710003E-2</v>
      </c>
      <c r="I2540">
        <v>8.4258426180489301E-2</v>
      </c>
      <c r="J2540">
        <v>0.153101077941421</v>
      </c>
      <c r="K2540">
        <v>8.04893624642401E-2</v>
      </c>
      <c r="L2540">
        <v>1584.85364960167</v>
      </c>
      <c r="M2540">
        <v>31.4776853227233</v>
      </c>
      <c r="N2540">
        <v>50.681964387815697</v>
      </c>
      <c r="O2540">
        <v>50.146607569199801</v>
      </c>
      <c r="P2540">
        <v>-0.14225069066336099</v>
      </c>
      <c r="Q2540">
        <v>9.3535920779959994E-2</v>
      </c>
      <c r="R2540">
        <v>0.99631251828165202</v>
      </c>
      <c r="S2540" t="s">
        <v>9210</v>
      </c>
      <c r="T2540" t="s">
        <v>13338</v>
      </c>
      <c r="U2540" t="s">
        <v>13338</v>
      </c>
      <c r="V2540" t="s">
        <v>13338</v>
      </c>
      <c r="W2540" t="s">
        <v>15839</v>
      </c>
      <c r="X2540">
        <v>6</v>
      </c>
      <c r="Y2540" t="s">
        <v>22398</v>
      </c>
      <c r="Z2540" t="s">
        <v>28955</v>
      </c>
      <c r="AA2540">
        <v>0.41133754952131879</v>
      </c>
      <c r="AB2540" t="str">
        <f>HYPERLINK("Melting_Curves/meltCurve_P41743_PRKCI.pdf", "Melting_Curves/meltCurve_P41743_PRKCI.pdf")</f>
        <v>Melting_Curves/meltCurve_P41743_PRKCI.pdf</v>
      </c>
    </row>
    <row r="2541" spans="1:28" x14ac:dyDescent="0.25">
      <c r="A2541" t="s">
        <v>2545</v>
      </c>
      <c r="B2541">
        <v>0.99193492352474899</v>
      </c>
      <c r="C2541">
        <v>0.92429980297794101</v>
      </c>
      <c r="D2541">
        <v>0.95117684356449494</v>
      </c>
      <c r="E2541">
        <v>0.79674473427867498</v>
      </c>
      <c r="F2541">
        <v>0.74843865895846695</v>
      </c>
      <c r="G2541">
        <v>0.48480465277260198</v>
      </c>
      <c r="H2541">
        <v>0.24925029223523601</v>
      </c>
      <c r="I2541">
        <v>0.13344687936019201</v>
      </c>
      <c r="J2541">
        <v>0.12615384555185699</v>
      </c>
      <c r="K2541">
        <v>0.104206831780326</v>
      </c>
      <c r="L2541">
        <v>748.103905697801</v>
      </c>
      <c r="M2541">
        <v>13.2970119348083</v>
      </c>
      <c r="N2541">
        <v>56.337276216629299</v>
      </c>
      <c r="O2541">
        <v>55.034249620834601</v>
      </c>
      <c r="P2541">
        <v>-5.9874548256970903E-2</v>
      </c>
      <c r="Q2541">
        <v>8.9147602378695096E-3</v>
      </c>
      <c r="R2541">
        <v>0.98806216103578504</v>
      </c>
      <c r="S2541" t="s">
        <v>9211</v>
      </c>
      <c r="T2541" t="s">
        <v>13338</v>
      </c>
      <c r="U2541" t="s">
        <v>13338</v>
      </c>
      <c r="V2541" t="s">
        <v>13338</v>
      </c>
      <c r="W2541" t="s">
        <v>15840</v>
      </c>
      <c r="X2541">
        <v>13</v>
      </c>
      <c r="Y2541" t="s">
        <v>22399</v>
      </c>
      <c r="Z2541" t="s">
        <v>28956</v>
      </c>
      <c r="AA2541">
        <v>0.56465291700553022</v>
      </c>
      <c r="AB2541" t="str">
        <f>HYPERLINK("Melting_Curves/meltCurve_P42025_ACTR1B.pdf", "Melting_Curves/meltCurve_P42025_ACTR1B.pdf")</f>
        <v>Melting_Curves/meltCurve_P42025_ACTR1B.pdf</v>
      </c>
    </row>
    <row r="2542" spans="1:28" x14ac:dyDescent="0.25">
      <c r="A2542" t="s">
        <v>2546</v>
      </c>
      <c r="B2542">
        <v>0.99193492352474899</v>
      </c>
      <c r="C2542">
        <v>0.67510871919017601</v>
      </c>
      <c r="D2542">
        <v>0.58728124323184305</v>
      </c>
      <c r="E2542">
        <v>0.23503960497204099</v>
      </c>
      <c r="F2542">
        <v>0.166934114793751</v>
      </c>
      <c r="G2542">
        <v>9.4634555585401695E-2</v>
      </c>
      <c r="H2542">
        <v>7.4348081728057694E-2</v>
      </c>
      <c r="I2542">
        <v>8.0383179569961105E-2</v>
      </c>
      <c r="J2542">
        <v>9.8065057522714799E-2</v>
      </c>
      <c r="K2542">
        <v>0.12527488161790601</v>
      </c>
      <c r="L2542">
        <v>777.36629805480004</v>
      </c>
      <c r="M2542">
        <v>17.029404219434799</v>
      </c>
      <c r="N2542">
        <v>46.143155082068901</v>
      </c>
      <c r="O2542">
        <v>45.032930104639703</v>
      </c>
      <c r="P2542">
        <v>-8.6656075840628094E-2</v>
      </c>
      <c r="Q2542">
        <v>8.3435111606251805E-2</v>
      </c>
      <c r="R2542">
        <v>0.97515705980100797</v>
      </c>
      <c r="S2542" t="s">
        <v>9212</v>
      </c>
      <c r="T2542" t="s">
        <v>13338</v>
      </c>
      <c r="U2542" t="s">
        <v>13338</v>
      </c>
      <c r="V2542" t="s">
        <v>13338</v>
      </c>
      <c r="W2542" t="s">
        <v>15841</v>
      </c>
      <c r="X2542">
        <v>33</v>
      </c>
      <c r="Y2542" t="s">
        <v>22400</v>
      </c>
      <c r="Z2542" t="s">
        <v>28957</v>
      </c>
      <c r="AA2542">
        <v>0.27697732246127832</v>
      </c>
      <c r="AB2542" t="str">
        <f>HYPERLINK("Melting_Curves/meltCurve_P42166_TMPO.pdf", "Melting_Curves/meltCurve_P42166_TMPO.pdf")</f>
        <v>Melting_Curves/meltCurve_P42166_TMPO.pdf</v>
      </c>
    </row>
    <row r="2543" spans="1:28" x14ac:dyDescent="0.25">
      <c r="A2543" t="s">
        <v>2547</v>
      </c>
      <c r="B2543">
        <v>0.99193492352474899</v>
      </c>
      <c r="C2543">
        <v>0.79166288241884797</v>
      </c>
      <c r="D2543">
        <v>0.96500519817346098</v>
      </c>
      <c r="E2543">
        <v>0.77434657444859301</v>
      </c>
      <c r="F2543">
        <v>0.47617424967689898</v>
      </c>
      <c r="G2543">
        <v>0.323979896744789</v>
      </c>
      <c r="H2543">
        <v>0.28260681919831898</v>
      </c>
      <c r="I2543">
        <v>0.32385455086795301</v>
      </c>
      <c r="J2543">
        <v>0.42980688658453398</v>
      </c>
      <c r="K2543">
        <v>0.48135815129250797</v>
      </c>
      <c r="L2543">
        <v>1663.5272752896201</v>
      </c>
      <c r="M2543">
        <v>32.981937484743298</v>
      </c>
      <c r="N2543">
        <v>52.5499531969731</v>
      </c>
      <c r="O2543">
        <v>50.253188281442803</v>
      </c>
      <c r="P2543">
        <v>-0.10382837229863399</v>
      </c>
      <c r="Q2543">
        <v>0.36720716534972098</v>
      </c>
      <c r="R2543">
        <v>0.89024953724658895</v>
      </c>
      <c r="S2543" t="s">
        <v>9213</v>
      </c>
      <c r="T2543" t="s">
        <v>13338</v>
      </c>
      <c r="U2543" t="s">
        <v>13338</v>
      </c>
      <c r="V2543" t="s">
        <v>13338</v>
      </c>
      <c r="W2543" t="s">
        <v>15842</v>
      </c>
      <c r="X2543">
        <v>25</v>
      </c>
      <c r="Y2543" t="s">
        <v>22400</v>
      </c>
      <c r="Z2543" t="s">
        <v>28958</v>
      </c>
      <c r="AA2543">
        <v>0.59062324998845728</v>
      </c>
      <c r="AB2543" t="str">
        <f>HYPERLINK("Melting_Curves/meltCurve_P42167_TMPO.pdf", "Melting_Curves/meltCurve_P42167_TMPO.pdf")</f>
        <v>Melting_Curves/meltCurve_P42167_TMPO.pdf</v>
      </c>
    </row>
    <row r="2544" spans="1:28" x14ac:dyDescent="0.25">
      <c r="A2544" t="s">
        <v>2548</v>
      </c>
      <c r="B2544">
        <v>0.99193492352474899</v>
      </c>
      <c r="C2544">
        <v>3.5553489772499001</v>
      </c>
      <c r="D2544">
        <v>1.29487150711319</v>
      </c>
      <c r="E2544">
        <v>2.52987914367323</v>
      </c>
      <c r="F2544">
        <v>0.89298643906735897</v>
      </c>
      <c r="G2544">
        <v>0.44246564239341102</v>
      </c>
      <c r="H2544">
        <v>0</v>
      </c>
      <c r="I2544">
        <v>0.98698066894236103</v>
      </c>
      <c r="J2544">
        <v>0</v>
      </c>
      <c r="K2544">
        <v>0</v>
      </c>
      <c r="L2544">
        <v>3295.0558034324099</v>
      </c>
      <c r="M2544">
        <v>59.223072788542098</v>
      </c>
      <c r="N2544">
        <v>56.293757428518703</v>
      </c>
      <c r="O2544">
        <v>55.574709664553502</v>
      </c>
      <c r="P2544">
        <v>-0.200031128330178</v>
      </c>
      <c r="Q2544">
        <v>0.24916648020528201</v>
      </c>
      <c r="R2544">
        <v>0.20731873192660499</v>
      </c>
      <c r="S2544" t="s">
        <v>9214</v>
      </c>
      <c r="T2544" t="s">
        <v>13338</v>
      </c>
      <c r="U2544" t="s">
        <v>13338</v>
      </c>
      <c r="V2544" t="s">
        <v>13338</v>
      </c>
      <c r="W2544" t="s">
        <v>15843</v>
      </c>
      <c r="X2544">
        <v>21</v>
      </c>
      <c r="Y2544" t="s">
        <v>22400</v>
      </c>
      <c r="Z2544" t="s">
        <v>28959</v>
      </c>
      <c r="AA2544">
        <v>0.64186314413407897</v>
      </c>
      <c r="AB2544" t="str">
        <f>HYPERLINK("Melting_Curves/meltCurve_P42167_2_TMPO.pdf", "Melting_Curves/meltCurve_P42167_2_TMPO.pdf")</f>
        <v>Melting_Curves/meltCurve_P42167_2_TMPO.pdf</v>
      </c>
    </row>
    <row r="2545" spans="1:28" x14ac:dyDescent="0.25">
      <c r="A2545" t="s">
        <v>2549</v>
      </c>
      <c r="B2545">
        <v>0.99193492352474899</v>
      </c>
      <c r="C2545">
        <v>0.69950185864466796</v>
      </c>
      <c r="D2545">
        <v>0.23319047145644001</v>
      </c>
      <c r="E2545">
        <v>0.14339157610394601</v>
      </c>
      <c r="F2545">
        <v>8.8807648109718806E-2</v>
      </c>
      <c r="G2545">
        <v>5.7458696159699701E-2</v>
      </c>
      <c r="H2545">
        <v>3.5486577500403398E-2</v>
      </c>
      <c r="I2545">
        <v>3.8705715102261798E-2</v>
      </c>
      <c r="J2545">
        <v>4.8747612729702301E-2</v>
      </c>
      <c r="K2545">
        <v>3.4344888361908001E-2</v>
      </c>
      <c r="L2545">
        <v>1377.9795171574201</v>
      </c>
      <c r="M2545">
        <v>31.340732591972799</v>
      </c>
      <c r="N2545">
        <v>44.140188524687296</v>
      </c>
      <c r="O2545">
        <v>43.789866183645103</v>
      </c>
      <c r="P2545">
        <v>-0.168614518579907</v>
      </c>
      <c r="Q2545">
        <v>5.7640055389024003E-2</v>
      </c>
      <c r="R2545">
        <v>0.99301712234723805</v>
      </c>
      <c r="S2545" t="s">
        <v>9215</v>
      </c>
      <c r="T2545" t="s">
        <v>13338</v>
      </c>
      <c r="U2545" t="s">
        <v>13338</v>
      </c>
      <c r="V2545" t="s">
        <v>13338</v>
      </c>
      <c r="W2545" t="s">
        <v>15844</v>
      </c>
      <c r="X2545">
        <v>21</v>
      </c>
      <c r="Y2545" t="s">
        <v>22401</v>
      </c>
      <c r="Z2545" t="s">
        <v>28960</v>
      </c>
      <c r="AA2545">
        <v>0.18847231371140191</v>
      </c>
      <c r="AB2545" t="str">
        <f>HYPERLINK("Melting_Curves/meltCurve_P42224_STAT1.pdf", "Melting_Curves/meltCurve_P42224_STAT1.pdf")</f>
        <v>Melting_Curves/meltCurve_P42224_STAT1.pdf</v>
      </c>
    </row>
    <row r="2546" spans="1:28" x14ac:dyDescent="0.25">
      <c r="A2546" t="s">
        <v>2550</v>
      </c>
      <c r="B2546">
        <v>0.99193492352474899</v>
      </c>
      <c r="C2546">
        <v>0.73689642845799397</v>
      </c>
      <c r="D2546">
        <v>0.49906770532387901</v>
      </c>
      <c r="E2546">
        <v>0.22162855919736099</v>
      </c>
      <c r="F2546">
        <v>0.149276659014007</v>
      </c>
      <c r="G2546">
        <v>7.7499346480279105E-2</v>
      </c>
      <c r="H2546">
        <v>4.3003487524047299E-2</v>
      </c>
      <c r="I2546">
        <v>4.9447243896091501E-2</v>
      </c>
      <c r="J2546">
        <v>6.4088674817682295E-2</v>
      </c>
      <c r="K2546">
        <v>5.9002191199328501E-2</v>
      </c>
      <c r="L2546">
        <v>836.599778580916</v>
      </c>
      <c r="M2546">
        <v>18.3462516865164</v>
      </c>
      <c r="N2546">
        <v>45.889152588553301</v>
      </c>
      <c r="O2546">
        <v>45.069157303603497</v>
      </c>
      <c r="P2546">
        <v>-9.6227171393456906E-2</v>
      </c>
      <c r="Q2546">
        <v>5.4481730711154301E-2</v>
      </c>
      <c r="R2546">
        <v>0.99364252977924195</v>
      </c>
      <c r="S2546" t="s">
        <v>9216</v>
      </c>
      <c r="T2546" t="s">
        <v>13338</v>
      </c>
      <c r="U2546" t="s">
        <v>13338</v>
      </c>
      <c r="V2546" t="s">
        <v>13338</v>
      </c>
      <c r="W2546" t="s">
        <v>15845</v>
      </c>
      <c r="X2546">
        <v>9</v>
      </c>
      <c r="Y2546" t="s">
        <v>22402</v>
      </c>
      <c r="Z2546" t="s">
        <v>28961</v>
      </c>
      <c r="AA2546">
        <v>0.2493769687024989</v>
      </c>
      <c r="AB2546" t="str">
        <f>HYPERLINK("Melting_Curves/meltCurve_P42226_STAT6.pdf", "Melting_Curves/meltCurve_P42226_STAT6.pdf")</f>
        <v>Melting_Curves/meltCurve_P42226_STAT6.pdf</v>
      </c>
    </row>
    <row r="2547" spans="1:28" x14ac:dyDescent="0.25">
      <c r="A2547" t="s">
        <v>2551</v>
      </c>
      <c r="B2547">
        <v>0.99193492352474899</v>
      </c>
      <c r="C2547">
        <v>0.85406220401537603</v>
      </c>
      <c r="D2547">
        <v>1.08173902967339</v>
      </c>
      <c r="E2547">
        <v>0.85797061108765404</v>
      </c>
      <c r="F2547">
        <v>0.33040514341848298</v>
      </c>
      <c r="G2547">
        <v>0.147055726347359</v>
      </c>
      <c r="H2547">
        <v>9.2883420111095696E-2</v>
      </c>
      <c r="I2547">
        <v>9.3585195301199506E-2</v>
      </c>
      <c r="J2547">
        <v>0.102616191470205</v>
      </c>
      <c r="K2547">
        <v>0.102356324586739</v>
      </c>
      <c r="L2547">
        <v>2042.98931589894</v>
      </c>
      <c r="M2547">
        <v>39.465182115802598</v>
      </c>
      <c r="N2547">
        <v>52.065779036509802</v>
      </c>
      <c r="O2547">
        <v>51.634497026338103</v>
      </c>
      <c r="P2547">
        <v>-0.171711037904967</v>
      </c>
      <c r="Q2547">
        <v>0.10136548670283201</v>
      </c>
      <c r="R2547">
        <v>0.98172486719408703</v>
      </c>
      <c r="S2547" t="s">
        <v>9217</v>
      </c>
      <c r="T2547" t="s">
        <v>13338</v>
      </c>
      <c r="U2547" t="s">
        <v>13338</v>
      </c>
      <c r="V2547" t="s">
        <v>13338</v>
      </c>
      <c r="W2547" t="s">
        <v>15846</v>
      </c>
      <c r="X2547">
        <v>37</v>
      </c>
      <c r="Y2547" t="s">
        <v>22403</v>
      </c>
      <c r="Z2547" t="s">
        <v>28962</v>
      </c>
      <c r="AA2547">
        <v>0.45713889005661901</v>
      </c>
      <c r="AB2547" t="str">
        <f>HYPERLINK("Melting_Curves/meltCurve_P42285_SKIV2L2.pdf", "Melting_Curves/meltCurve_P42285_SKIV2L2.pdf")</f>
        <v>Melting_Curves/meltCurve_P42285_SKIV2L2.pdf</v>
      </c>
    </row>
    <row r="2548" spans="1:28" x14ac:dyDescent="0.25">
      <c r="A2548" t="s">
        <v>2552</v>
      </c>
      <c r="B2548">
        <v>0.99193492352474899</v>
      </c>
      <c r="C2548">
        <v>1.0639648456923101</v>
      </c>
      <c r="D2548">
        <v>0.88422539354892504</v>
      </c>
      <c r="E2548">
        <v>0.65182459209067301</v>
      </c>
      <c r="F2548">
        <v>0.28197437769684203</v>
      </c>
      <c r="G2548">
        <v>0.13172437218726199</v>
      </c>
      <c r="H2548">
        <v>7.3321244761055004E-2</v>
      </c>
      <c r="I2548">
        <v>6.2647365255792203E-2</v>
      </c>
      <c r="J2548">
        <v>8.7126659855372393E-2</v>
      </c>
      <c r="K2548">
        <v>9.0458976167287805E-2</v>
      </c>
      <c r="L2548">
        <v>1227.9545993419199</v>
      </c>
      <c r="M2548">
        <v>24.299180488221801</v>
      </c>
      <c r="N2548">
        <v>50.862595304950197</v>
      </c>
      <c r="O2548">
        <v>50.196283479243696</v>
      </c>
      <c r="P2548">
        <v>-0.11225158341060699</v>
      </c>
      <c r="Q2548">
        <v>7.2474483600126899E-2</v>
      </c>
      <c r="R2548">
        <v>0.99473854608263002</v>
      </c>
      <c r="S2548" t="s">
        <v>9218</v>
      </c>
      <c r="T2548" t="s">
        <v>13338</v>
      </c>
      <c r="U2548" t="s">
        <v>13338</v>
      </c>
      <c r="V2548" t="s">
        <v>13338</v>
      </c>
      <c r="W2548" t="s">
        <v>15847</v>
      </c>
      <c r="X2548">
        <v>2</v>
      </c>
      <c r="Y2548" t="s">
        <v>22404</v>
      </c>
      <c r="Z2548" t="s">
        <v>28963</v>
      </c>
      <c r="AA2548">
        <v>0.40700546486234229</v>
      </c>
      <c r="AB2548" t="str">
        <f>HYPERLINK("Melting_Curves/meltCurve_P42330_AKR1C3.pdf", "Melting_Curves/meltCurve_P42330_AKR1C3.pdf")</f>
        <v>Melting_Curves/meltCurve_P42330_AKR1C3.pdf</v>
      </c>
    </row>
    <row r="2549" spans="1:28" x14ac:dyDescent="0.25">
      <c r="A2549" t="s">
        <v>2553</v>
      </c>
      <c r="B2549">
        <v>0.99193492352474899</v>
      </c>
      <c r="C2549">
        <v>0.80346868345177602</v>
      </c>
      <c r="D2549">
        <v>0.47795433789763703</v>
      </c>
      <c r="E2549">
        <v>0.28679676725939002</v>
      </c>
      <c r="F2549">
        <v>0.19683305402979601</v>
      </c>
      <c r="G2549">
        <v>0.161846695101758</v>
      </c>
      <c r="H2549">
        <v>9.5278034813301396E-2</v>
      </c>
      <c r="I2549">
        <v>0.125841942272018</v>
      </c>
      <c r="J2549">
        <v>0.119877190509687</v>
      </c>
      <c r="K2549">
        <v>0.14658708107923499</v>
      </c>
      <c r="L2549">
        <v>941.37252590741002</v>
      </c>
      <c r="M2549">
        <v>20.735737671956901</v>
      </c>
      <c r="N2549">
        <v>46.0808807422667</v>
      </c>
      <c r="O2549">
        <v>44.982649150096996</v>
      </c>
      <c r="P2549">
        <v>-0.10001203937611799</v>
      </c>
      <c r="Q2549">
        <v>0.13218821239867501</v>
      </c>
      <c r="R2549">
        <v>0.99292571917315597</v>
      </c>
      <c r="S2549" t="s">
        <v>9219</v>
      </c>
      <c r="T2549" t="s">
        <v>13338</v>
      </c>
      <c r="U2549" t="s">
        <v>13338</v>
      </c>
      <c r="V2549" t="s">
        <v>13338</v>
      </c>
      <c r="W2549" t="s">
        <v>15848</v>
      </c>
      <c r="X2549">
        <v>9</v>
      </c>
      <c r="Y2549" t="s">
        <v>22405</v>
      </c>
      <c r="Z2549" t="s">
        <v>28964</v>
      </c>
      <c r="AA2549">
        <v>0.3013110298693556</v>
      </c>
      <c r="AB2549" t="str">
        <f>HYPERLINK("Melting_Curves/meltCurve_P42331_5_ARHGAP25.pdf", "Melting_Curves/meltCurve_P42331_5_ARHGAP25.pdf")</f>
        <v>Melting_Curves/meltCurve_P42331_5_ARHGAP25.pdf</v>
      </c>
    </row>
    <row r="2550" spans="1:28" x14ac:dyDescent="0.25">
      <c r="A2550" t="s">
        <v>2554</v>
      </c>
      <c r="B2550">
        <v>0.99193492352474899</v>
      </c>
      <c r="C2550">
        <v>0.88612749006010905</v>
      </c>
      <c r="D2550">
        <v>0.774527125543645</v>
      </c>
      <c r="E2550">
        <v>0.37185473399833702</v>
      </c>
      <c r="F2550">
        <v>0.25565006898609899</v>
      </c>
      <c r="G2550">
        <v>0.14592567914446899</v>
      </c>
      <c r="H2550">
        <v>9.8128660911055599E-2</v>
      </c>
      <c r="I2550">
        <v>0.10729487276439</v>
      </c>
      <c r="J2550">
        <v>0.126843519327726</v>
      </c>
      <c r="K2550">
        <v>0.11495249195860301</v>
      </c>
      <c r="L2550">
        <v>966.49852581526704</v>
      </c>
      <c r="M2550">
        <v>20.151058515522301</v>
      </c>
      <c r="N2550">
        <v>48.560637500016099</v>
      </c>
      <c r="O2550">
        <v>47.497818128321697</v>
      </c>
      <c r="P2550">
        <v>-9.4412128146202395E-2</v>
      </c>
      <c r="Q2550">
        <v>0.109877351759296</v>
      </c>
      <c r="R2550">
        <v>0.99386963257607996</v>
      </c>
      <c r="S2550" t="s">
        <v>9220</v>
      </c>
      <c r="T2550" t="s">
        <v>13338</v>
      </c>
      <c r="U2550" t="s">
        <v>13338</v>
      </c>
      <c r="V2550" t="s">
        <v>13338</v>
      </c>
      <c r="W2550" t="s">
        <v>15849</v>
      </c>
      <c r="X2550">
        <v>7</v>
      </c>
      <c r="Y2550" t="s">
        <v>22406</v>
      </c>
      <c r="Z2550" t="s">
        <v>28965</v>
      </c>
      <c r="AA2550">
        <v>0.35859469906419877</v>
      </c>
      <c r="AB2550" t="str">
        <f>HYPERLINK("Melting_Curves/meltCurve_P42336_PIK3CA.pdf", "Melting_Curves/meltCurve_P42336_PIK3CA.pdf")</f>
        <v>Melting_Curves/meltCurve_P42336_PIK3CA.pdf</v>
      </c>
    </row>
    <row r="2551" spans="1:28" x14ac:dyDescent="0.25">
      <c r="A2551" t="s">
        <v>2555</v>
      </c>
      <c r="B2551">
        <v>0.99193492352474899</v>
      </c>
      <c r="C2551">
        <v>1.0496542817949399</v>
      </c>
      <c r="D2551">
        <v>1.1354194560052899</v>
      </c>
      <c r="E2551">
        <v>0.79175446413003103</v>
      </c>
      <c r="F2551">
        <v>0.168722312100232</v>
      </c>
      <c r="G2551">
        <v>0.10072924335837399</v>
      </c>
      <c r="H2551">
        <v>6.5843066111361301E-2</v>
      </c>
      <c r="I2551">
        <v>6.7225246710957795E-2</v>
      </c>
      <c r="J2551">
        <v>8.5222524658241594E-2</v>
      </c>
      <c r="K2551">
        <v>9.0171026443469901E-2</v>
      </c>
      <c r="L2551">
        <v>2661.4784097860302</v>
      </c>
      <c r="M2551">
        <v>52.388128511686098</v>
      </c>
      <c r="N2551">
        <v>50.977875946787499</v>
      </c>
      <c r="O2551">
        <v>50.729219618835899</v>
      </c>
      <c r="P2551">
        <v>-0.236949915264769</v>
      </c>
      <c r="Q2551">
        <v>8.2213781224304006E-2</v>
      </c>
      <c r="R2551">
        <v>0.98857027364304195</v>
      </c>
      <c r="S2551" t="s">
        <v>9221</v>
      </c>
      <c r="T2551" t="s">
        <v>13338</v>
      </c>
      <c r="U2551" t="s">
        <v>13338</v>
      </c>
      <c r="V2551" t="s">
        <v>13338</v>
      </c>
      <c r="W2551" t="s">
        <v>15850</v>
      </c>
      <c r="X2551">
        <v>3</v>
      </c>
      <c r="Y2551" t="s">
        <v>22407</v>
      </c>
      <c r="Z2551" t="s">
        <v>28966</v>
      </c>
      <c r="AA2551">
        <v>0.41458363046442842</v>
      </c>
      <c r="AB2551" t="str">
        <f>HYPERLINK("Melting_Curves/meltCurve_P42338_PIK3CB.pdf", "Melting_Curves/meltCurve_P42338_PIK3CB.pdf")</f>
        <v>Melting_Curves/meltCurve_P42338_PIK3CB.pdf</v>
      </c>
    </row>
    <row r="2552" spans="1:28" x14ac:dyDescent="0.25">
      <c r="A2552" t="s">
        <v>2556</v>
      </c>
      <c r="B2552">
        <v>0.99193492352474899</v>
      </c>
      <c r="C2552">
        <v>1.0607965435151301</v>
      </c>
      <c r="D2552">
        <v>0.86632605541242003</v>
      </c>
      <c r="E2552">
        <v>0.37721720759361199</v>
      </c>
      <c r="F2552">
        <v>0.19862055540763299</v>
      </c>
      <c r="G2552">
        <v>0.119279080469752</v>
      </c>
      <c r="H2552">
        <v>8.4083702497861498E-2</v>
      </c>
      <c r="I2552">
        <v>8.19966668508747E-2</v>
      </c>
      <c r="J2552">
        <v>8.6199098393758902E-2</v>
      </c>
      <c r="K2552">
        <v>5.9761075425918499E-2</v>
      </c>
      <c r="L2552">
        <v>1519.23991800669</v>
      </c>
      <c r="M2552">
        <v>31.3008345994803</v>
      </c>
      <c r="N2552">
        <v>48.851170983681897</v>
      </c>
      <c r="O2552">
        <v>48.339893272566698</v>
      </c>
      <c r="P2552">
        <v>-0.14710987327676001</v>
      </c>
      <c r="Q2552">
        <v>9.1239912510489601E-2</v>
      </c>
      <c r="R2552">
        <v>0.99317767442099802</v>
      </c>
      <c r="S2552" t="s">
        <v>9222</v>
      </c>
      <c r="T2552" t="s">
        <v>13338</v>
      </c>
      <c r="U2552" t="s">
        <v>13338</v>
      </c>
      <c r="V2552" t="s">
        <v>13338</v>
      </c>
      <c r="W2552" t="s">
        <v>15851</v>
      </c>
      <c r="X2552">
        <v>13</v>
      </c>
      <c r="Y2552" t="s">
        <v>22408</v>
      </c>
      <c r="Z2552" t="s">
        <v>28967</v>
      </c>
      <c r="AA2552">
        <v>0.35487406345983991</v>
      </c>
      <c r="AB2552" t="str">
        <f>HYPERLINK("Melting_Curves/meltCurve_P42345_MTOR.pdf", "Melting_Curves/meltCurve_P42345_MTOR.pdf")</f>
        <v>Melting_Curves/meltCurve_P42345_MTOR.pdf</v>
      </c>
    </row>
    <row r="2553" spans="1:28" x14ac:dyDescent="0.25">
      <c r="A2553" t="s">
        <v>2557</v>
      </c>
      <c r="B2553">
        <v>0.99193492352474899</v>
      </c>
      <c r="C2553">
        <v>0.89004595206873305</v>
      </c>
      <c r="D2553">
        <v>0.80320608337241095</v>
      </c>
      <c r="E2553">
        <v>0.349989052029755</v>
      </c>
      <c r="F2553">
        <v>0.19153706517510799</v>
      </c>
      <c r="G2553">
        <v>0.13148510572621999</v>
      </c>
      <c r="H2553">
        <v>0.14769458509856001</v>
      </c>
      <c r="I2553">
        <v>0.15026998112140499</v>
      </c>
      <c r="J2553">
        <v>0.20374362641075799</v>
      </c>
      <c r="K2553">
        <v>0.20581364867784199</v>
      </c>
      <c r="L2553">
        <v>1404.8589536540601</v>
      </c>
      <c r="M2553">
        <v>29.523527553397098</v>
      </c>
      <c r="N2553">
        <v>48.234368718535102</v>
      </c>
      <c r="O2553">
        <v>47.367674931036603</v>
      </c>
      <c r="P2553">
        <v>-0.13024946446180999</v>
      </c>
      <c r="Q2553">
        <v>0.16411459496108699</v>
      </c>
      <c r="R2553">
        <v>0.98859646173622795</v>
      </c>
      <c r="S2553" t="s">
        <v>9223</v>
      </c>
      <c r="T2553" t="s">
        <v>13338</v>
      </c>
      <c r="U2553" t="s">
        <v>13338</v>
      </c>
      <c r="V2553" t="s">
        <v>13338</v>
      </c>
      <c r="W2553" t="s">
        <v>15852</v>
      </c>
      <c r="X2553">
        <v>16</v>
      </c>
      <c r="Y2553" t="s">
        <v>22409</v>
      </c>
      <c r="Z2553" t="s">
        <v>28968</v>
      </c>
      <c r="AA2553">
        <v>0.38062642115751588</v>
      </c>
      <c r="AB2553" t="str">
        <f>HYPERLINK("Melting_Curves/meltCurve_P42566_EPS15.pdf", "Melting_Curves/meltCurve_P42566_EPS15.pdf")</f>
        <v>Melting_Curves/meltCurve_P42566_EPS15.pdf</v>
      </c>
    </row>
    <row r="2554" spans="1:28" x14ac:dyDescent="0.25">
      <c r="A2554" t="s">
        <v>2558</v>
      </c>
      <c r="B2554">
        <v>0.99193492352474899</v>
      </c>
      <c r="C2554">
        <v>0.91859875859289797</v>
      </c>
      <c r="D2554">
        <v>0.87312997553782401</v>
      </c>
      <c r="E2554">
        <v>0.75610460327083595</v>
      </c>
      <c r="F2554">
        <v>0.65519508080288802</v>
      </c>
      <c r="G2554">
        <v>0.487612936950376</v>
      </c>
      <c r="H2554">
        <v>0.415782862628509</v>
      </c>
      <c r="I2554">
        <v>0.46602361480903198</v>
      </c>
      <c r="J2554">
        <v>0.56832090808677105</v>
      </c>
      <c r="K2554">
        <v>0.55179956430682198</v>
      </c>
      <c r="L2554">
        <v>814.82400096843298</v>
      </c>
      <c r="M2554">
        <v>16.487052685420199</v>
      </c>
      <c r="N2554">
        <v>63.862556185267302</v>
      </c>
      <c r="O2554">
        <v>48.712133015976399</v>
      </c>
      <c r="P2554">
        <v>-4.3327455496493299E-2</v>
      </c>
      <c r="Q2554">
        <v>0.48797988873318598</v>
      </c>
      <c r="R2554">
        <v>0.92993177996879295</v>
      </c>
      <c r="S2554" t="s">
        <v>9224</v>
      </c>
      <c r="T2554" t="s">
        <v>13338</v>
      </c>
      <c r="U2554" t="s">
        <v>13338</v>
      </c>
      <c r="V2554" t="s">
        <v>13338</v>
      </c>
      <c r="W2554" t="s">
        <v>15853</v>
      </c>
      <c r="X2554">
        <v>18</v>
      </c>
      <c r="Y2554" t="s">
        <v>22410</v>
      </c>
      <c r="Z2554" t="s">
        <v>28969</v>
      </c>
      <c r="AA2554">
        <v>0.65921890892066604</v>
      </c>
      <c r="AB2554" t="str">
        <f>HYPERLINK("Melting_Curves/meltCurve_P42574_CASP3.pdf", "Melting_Curves/meltCurve_P42574_CASP3.pdf")</f>
        <v>Melting_Curves/meltCurve_P42574_CASP3.pdf</v>
      </c>
    </row>
    <row r="2555" spans="1:28" x14ac:dyDescent="0.25">
      <c r="A2555" t="s">
        <v>2559</v>
      </c>
      <c r="B2555">
        <v>0.99193492352474899</v>
      </c>
      <c r="C2555">
        <v>0.73977897931041103</v>
      </c>
      <c r="D2555">
        <v>0.52912123426828805</v>
      </c>
      <c r="E2555">
        <v>0.26927556036428701</v>
      </c>
      <c r="F2555">
        <v>0.13278502852165999</v>
      </c>
      <c r="G2555">
        <v>8.7550139451718606E-2</v>
      </c>
      <c r="H2555">
        <v>5.3436375858313803E-2</v>
      </c>
      <c r="I2555">
        <v>4.0986779795930899E-2</v>
      </c>
      <c r="J2555">
        <v>5.0335627921748602E-2</v>
      </c>
      <c r="K2555">
        <v>6.2945000009980601E-2</v>
      </c>
      <c r="L2555">
        <v>780.82056013452802</v>
      </c>
      <c r="M2555">
        <v>16.982385197536601</v>
      </c>
      <c r="N2555">
        <v>46.245741258616199</v>
      </c>
      <c r="O2555">
        <v>45.354923407199998</v>
      </c>
      <c r="P2555">
        <v>-8.9235096775495001E-2</v>
      </c>
      <c r="Q2555">
        <v>4.6777044711747803E-2</v>
      </c>
      <c r="R2555">
        <v>0.99404223795014002</v>
      </c>
      <c r="S2555" t="s">
        <v>9225</v>
      </c>
      <c r="T2555" t="s">
        <v>13338</v>
      </c>
      <c r="U2555" t="s">
        <v>13338</v>
      </c>
      <c r="V2555" t="s">
        <v>13338</v>
      </c>
      <c r="W2555" t="s">
        <v>15854</v>
      </c>
      <c r="X2555">
        <v>11</v>
      </c>
      <c r="Y2555" t="s">
        <v>22411</v>
      </c>
      <c r="Z2555" t="s">
        <v>28970</v>
      </c>
      <c r="AA2555">
        <v>0.25806809901224931</v>
      </c>
      <c r="AB2555" t="str">
        <f>HYPERLINK("Melting_Curves/meltCurve_P42575_CASP2.pdf", "Melting_Curves/meltCurve_P42575_CASP2.pdf")</f>
        <v>Melting_Curves/meltCurve_P42575_CASP2.pdf</v>
      </c>
    </row>
    <row r="2556" spans="1:28" x14ac:dyDescent="0.25">
      <c r="A2556" t="s">
        <v>2560</v>
      </c>
      <c r="B2556">
        <v>0.99193492352474899</v>
      </c>
      <c r="C2556">
        <v>0.75180991142222697</v>
      </c>
      <c r="D2556">
        <v>0.80362617467255104</v>
      </c>
      <c r="E2556">
        <v>0.51246075145523096</v>
      </c>
      <c r="F2556">
        <v>0.36288345510617298</v>
      </c>
      <c r="G2556">
        <v>0.14523084195532701</v>
      </c>
      <c r="H2556">
        <v>6.3551469875507E-2</v>
      </c>
      <c r="I2556">
        <v>6.2539585851262694E-2</v>
      </c>
      <c r="J2556">
        <v>9.31245849281023E-2</v>
      </c>
      <c r="K2556">
        <v>6.5545968594571499E-2</v>
      </c>
      <c r="L2556">
        <v>606.05774066842901</v>
      </c>
      <c r="M2556">
        <v>12.177920568216299</v>
      </c>
      <c r="N2556">
        <v>49.875569553439597</v>
      </c>
      <c r="O2556">
        <v>48.481985539678497</v>
      </c>
      <c r="P2556">
        <v>-6.1988302385509599E-2</v>
      </c>
      <c r="Q2556">
        <v>1.30884868712026E-2</v>
      </c>
      <c r="R2556">
        <v>0.97343082786030299</v>
      </c>
      <c r="S2556" t="s">
        <v>9226</v>
      </c>
      <c r="T2556" t="s">
        <v>13338</v>
      </c>
      <c r="U2556" t="s">
        <v>13338</v>
      </c>
      <c r="V2556" t="s">
        <v>13338</v>
      </c>
      <c r="W2556" t="s">
        <v>14217</v>
      </c>
      <c r="X2556">
        <v>6</v>
      </c>
      <c r="Y2556" t="s">
        <v>22412</v>
      </c>
      <c r="Z2556" t="s">
        <v>28971</v>
      </c>
      <c r="AA2556">
        <v>0.36822279861680368</v>
      </c>
      <c r="AB2556" t="str">
        <f>HYPERLINK("Melting_Curves/meltCurve_P42677_RPS27.pdf", "Melting_Curves/meltCurve_P42677_RPS27.pdf")</f>
        <v>Melting_Curves/meltCurve_P42677_RPS27.pdf</v>
      </c>
    </row>
    <row r="2557" spans="1:28" x14ac:dyDescent="0.25">
      <c r="A2557" t="s">
        <v>2561</v>
      </c>
      <c r="B2557">
        <v>0.99193492352474899</v>
      </c>
      <c r="C2557">
        <v>0.56832745809945495</v>
      </c>
      <c r="D2557">
        <v>0.72324740923302699</v>
      </c>
      <c r="E2557">
        <v>0.32394003565173002</v>
      </c>
      <c r="F2557">
        <v>0.21702525074569501</v>
      </c>
      <c r="G2557">
        <v>0.108466576391282</v>
      </c>
      <c r="H2557">
        <v>6.0421632723532598E-2</v>
      </c>
      <c r="I2557">
        <v>5.5324740081000197E-2</v>
      </c>
      <c r="J2557">
        <v>7.6648239280897507E-2</v>
      </c>
      <c r="K2557">
        <v>7.2296712462073101E-2</v>
      </c>
      <c r="L2557">
        <v>567.19587399423301</v>
      </c>
      <c r="M2557">
        <v>12.091486680020701</v>
      </c>
      <c r="N2557">
        <v>47.135228070708997</v>
      </c>
      <c r="O2557">
        <v>45.680913376476902</v>
      </c>
      <c r="P2557">
        <v>-6.4320860126235793E-2</v>
      </c>
      <c r="Q2557">
        <v>2.8225690950031E-2</v>
      </c>
      <c r="R2557">
        <v>0.92472016697780302</v>
      </c>
      <c r="S2557" t="s">
        <v>9227</v>
      </c>
      <c r="T2557" t="s">
        <v>13338</v>
      </c>
      <c r="U2557" t="s">
        <v>13338</v>
      </c>
      <c r="V2557" t="s">
        <v>13338</v>
      </c>
      <c r="W2557" t="s">
        <v>15855</v>
      </c>
      <c r="X2557">
        <v>9</v>
      </c>
      <c r="Y2557" t="s">
        <v>22413</v>
      </c>
      <c r="Z2557" t="s">
        <v>28972</v>
      </c>
      <c r="AA2557">
        <v>0.29252453018183378</v>
      </c>
      <c r="AB2557" t="str">
        <f>HYPERLINK("Melting_Curves/meltCurve_P42695_NCAPD3.pdf", "Melting_Curves/meltCurve_P42695_NCAPD3.pdf")</f>
        <v>Melting_Curves/meltCurve_P42695_NCAPD3.pdf</v>
      </c>
    </row>
    <row r="2558" spans="1:28" x14ac:dyDescent="0.25">
      <c r="A2558" t="s">
        <v>2562</v>
      </c>
      <c r="B2558">
        <v>0.99193492352474899</v>
      </c>
      <c r="C2558">
        <v>0.67898246585005195</v>
      </c>
      <c r="D2558">
        <v>0.30448271981596697</v>
      </c>
      <c r="E2558">
        <v>0.13517806815401701</v>
      </c>
      <c r="F2558">
        <v>9.8166917100725198E-2</v>
      </c>
      <c r="G2558">
        <v>5.67693062923929E-2</v>
      </c>
      <c r="H2558">
        <v>3.6796821256618401E-2</v>
      </c>
      <c r="I2558">
        <v>3.9719522932020503E-2</v>
      </c>
      <c r="J2558">
        <v>4.9384287265905803E-2</v>
      </c>
      <c r="K2558">
        <v>4.2227499279989797E-2</v>
      </c>
      <c r="L2558">
        <v>1129.7955096291</v>
      </c>
      <c r="M2558">
        <v>25.569736778986702</v>
      </c>
      <c r="N2558">
        <v>44.384236197435001</v>
      </c>
      <c r="O2558">
        <v>43.917273129535999</v>
      </c>
      <c r="P2558">
        <v>-0.137661230791708</v>
      </c>
      <c r="Q2558">
        <v>5.4252049470575603E-2</v>
      </c>
      <c r="R2558">
        <v>0.99424511945188998</v>
      </c>
      <c r="S2558" t="s">
        <v>9228</v>
      </c>
      <c r="T2558" t="s">
        <v>13338</v>
      </c>
      <c r="U2558" t="s">
        <v>13338</v>
      </c>
      <c r="V2558" t="s">
        <v>13338</v>
      </c>
      <c r="W2558" t="s">
        <v>15856</v>
      </c>
      <c r="X2558">
        <v>58</v>
      </c>
      <c r="Y2558" t="s">
        <v>22414</v>
      </c>
      <c r="Z2558" t="s">
        <v>28973</v>
      </c>
      <c r="AA2558">
        <v>0.19611255850954451</v>
      </c>
      <c r="AB2558" t="str">
        <f>HYPERLINK("Melting_Curves/meltCurve_P42704_LRPPRC.pdf", "Melting_Curves/meltCurve_P42704_LRPPRC.pdf")</f>
        <v>Melting_Curves/meltCurve_P42704_LRPPRC.pdf</v>
      </c>
    </row>
    <row r="2559" spans="1:28" x14ac:dyDescent="0.25">
      <c r="A2559" t="s">
        <v>2563</v>
      </c>
      <c r="B2559">
        <v>0.99193492352474899</v>
      </c>
      <c r="C2559">
        <v>1.0464332640753999</v>
      </c>
      <c r="D2559">
        <v>0.95501217152104001</v>
      </c>
      <c r="E2559">
        <v>0.89910083555404297</v>
      </c>
      <c r="F2559">
        <v>0.82641644654242596</v>
      </c>
      <c r="G2559">
        <v>0.62170802569727701</v>
      </c>
      <c r="H2559">
        <v>0.51364393992369395</v>
      </c>
      <c r="I2559">
        <v>0.47900109038789601</v>
      </c>
      <c r="J2559">
        <v>0.35569579761007802</v>
      </c>
      <c r="K2559">
        <v>0.165025773148121</v>
      </c>
      <c r="L2559">
        <v>571.73404715218498</v>
      </c>
      <c r="M2559">
        <v>9.3062503788252595</v>
      </c>
      <c r="N2559">
        <v>61.435475942354799</v>
      </c>
      <c r="O2559">
        <v>58.798733638210102</v>
      </c>
      <c r="P2559">
        <v>-3.9593543409089403E-2</v>
      </c>
      <c r="Q2559">
        <v>0</v>
      </c>
      <c r="R2559">
        <v>0.97434649957006003</v>
      </c>
      <c r="S2559" t="s">
        <v>9229</v>
      </c>
      <c r="T2559" t="s">
        <v>13338</v>
      </c>
      <c r="U2559" t="s">
        <v>13338</v>
      </c>
      <c r="V2559" t="s">
        <v>13338</v>
      </c>
      <c r="W2559" t="s">
        <v>15857</v>
      </c>
      <c r="X2559">
        <v>20</v>
      </c>
      <c r="Y2559" t="s">
        <v>22415</v>
      </c>
      <c r="Z2559" t="s">
        <v>28974</v>
      </c>
      <c r="AA2559">
        <v>0.69431173369334187</v>
      </c>
      <c r="AB2559" t="str">
        <f>HYPERLINK("Melting_Curves/meltCurve_P42765_ACAA2.pdf", "Melting_Curves/meltCurve_P42765_ACAA2.pdf")</f>
        <v>Melting_Curves/meltCurve_P42765_ACAA2.pdf</v>
      </c>
    </row>
    <row r="2560" spans="1:28" x14ac:dyDescent="0.25">
      <c r="A2560" t="s">
        <v>2564</v>
      </c>
      <c r="B2560">
        <v>0.99193492352474899</v>
      </c>
      <c r="C2560">
        <v>0.89017615040298304</v>
      </c>
      <c r="D2560">
        <v>1.0454018179367299</v>
      </c>
      <c r="E2560">
        <v>0.92485309172358598</v>
      </c>
      <c r="F2560">
        <v>0.95046157480740701</v>
      </c>
      <c r="G2560">
        <v>0.50481411352489503</v>
      </c>
      <c r="H2560">
        <v>0.14189763510852699</v>
      </c>
      <c r="I2560">
        <v>0.33127286540650902</v>
      </c>
      <c r="J2560">
        <v>0.201914026344479</v>
      </c>
      <c r="K2560">
        <v>0.15380198075882801</v>
      </c>
      <c r="L2560">
        <v>3199.7427927061899</v>
      </c>
      <c r="M2560">
        <v>56.875098575673398</v>
      </c>
      <c r="N2560">
        <v>56.787168568713298</v>
      </c>
      <c r="O2560">
        <v>56.189692087920399</v>
      </c>
      <c r="P2560">
        <v>-0.20108266095357</v>
      </c>
      <c r="Q2560">
        <v>0.20536282138255099</v>
      </c>
      <c r="R2560">
        <v>0.96633888418619796</v>
      </c>
      <c r="S2560" t="s">
        <v>9230</v>
      </c>
      <c r="T2560" t="s">
        <v>13338</v>
      </c>
      <c r="U2560" t="s">
        <v>13338</v>
      </c>
      <c r="V2560" t="s">
        <v>13338</v>
      </c>
      <c r="W2560" t="s">
        <v>15858</v>
      </c>
      <c r="X2560">
        <v>3</v>
      </c>
      <c r="Y2560" t="s">
        <v>22416</v>
      </c>
      <c r="Z2560" t="s">
        <v>28975</v>
      </c>
      <c r="AA2560">
        <v>0.63755426943901683</v>
      </c>
      <c r="AB2560" t="str">
        <f>HYPERLINK("Melting_Curves/meltCurve_P42766_RPL35.pdf", "Melting_Curves/meltCurve_P42766_RPL35.pdf")</f>
        <v>Melting_Curves/meltCurve_P42766_RPL35.pdf</v>
      </c>
    </row>
    <row r="2561" spans="1:28" x14ac:dyDescent="0.25">
      <c r="A2561" t="s">
        <v>2565</v>
      </c>
      <c r="B2561">
        <v>0.99193492352474899</v>
      </c>
      <c r="C2561">
        <v>0.44779335274827797</v>
      </c>
      <c r="D2561">
        <v>0.52462099672905405</v>
      </c>
      <c r="E2561">
        <v>0.12087221635619599</v>
      </c>
      <c r="F2561">
        <v>7.2424995702662698E-2</v>
      </c>
      <c r="G2561">
        <v>4.2714925025689597E-2</v>
      </c>
      <c r="H2561">
        <v>3.2679821594417499E-2</v>
      </c>
      <c r="I2561">
        <v>4.4716374904458601E-2</v>
      </c>
      <c r="J2561">
        <v>9.0961763052604602E-2</v>
      </c>
      <c r="K2561">
        <v>0.101289863439781</v>
      </c>
      <c r="L2561">
        <v>759.10748527854003</v>
      </c>
      <c r="M2561">
        <v>17.224042360943599</v>
      </c>
      <c r="N2561">
        <v>44.357368640027502</v>
      </c>
      <c r="O2561">
        <v>43.491321535426302</v>
      </c>
      <c r="P2561">
        <v>-9.3830949525654905E-2</v>
      </c>
      <c r="Q2561">
        <v>5.2349380731275298E-2</v>
      </c>
      <c r="R2561">
        <v>0.90160413547241602</v>
      </c>
      <c r="S2561" t="s">
        <v>9231</v>
      </c>
      <c r="T2561" t="s">
        <v>13338</v>
      </c>
      <c r="U2561" t="s">
        <v>13338</v>
      </c>
      <c r="V2561" t="s">
        <v>13338</v>
      </c>
      <c r="W2561" t="s">
        <v>15859</v>
      </c>
      <c r="X2561">
        <v>3</v>
      </c>
      <c r="Y2561" t="s">
        <v>22417</v>
      </c>
      <c r="Z2561" t="s">
        <v>28976</v>
      </c>
      <c r="AA2561">
        <v>0.2064315940968254</v>
      </c>
      <c r="AB2561" t="str">
        <f>HYPERLINK("Melting_Curves/meltCurve_P42768_WAS.pdf", "Melting_Curves/meltCurve_P42768_WAS.pdf")</f>
        <v>Melting_Curves/meltCurve_P42768_WAS.pdf</v>
      </c>
    </row>
    <row r="2562" spans="1:28" x14ac:dyDescent="0.25">
      <c r="A2562" t="s">
        <v>2566</v>
      </c>
      <c r="B2562">
        <v>0.99193492352474899</v>
      </c>
      <c r="C2562">
        <v>1.0453897640362599</v>
      </c>
      <c r="D2562">
        <v>0.91216835843021404</v>
      </c>
      <c r="E2562">
        <v>0.81960035674111098</v>
      </c>
      <c r="F2562">
        <v>0.66230339973680497</v>
      </c>
      <c r="G2562">
        <v>0.35234976906954701</v>
      </c>
      <c r="H2562">
        <v>0.163939490860561</v>
      </c>
      <c r="I2562">
        <v>0.196416924417322</v>
      </c>
      <c r="J2562">
        <v>0.22662615242712</v>
      </c>
      <c r="K2562">
        <v>0.254336203075538</v>
      </c>
      <c r="L2562">
        <v>1136.95325827535</v>
      </c>
      <c r="M2562">
        <v>21.329735229953201</v>
      </c>
      <c r="N2562">
        <v>54.538644632307701</v>
      </c>
      <c r="O2562">
        <v>52.841780554782197</v>
      </c>
      <c r="P2562">
        <v>-8.1587177624985296E-2</v>
      </c>
      <c r="Q2562">
        <v>0.19153184420772401</v>
      </c>
      <c r="R2562">
        <v>0.98042526955432996</v>
      </c>
      <c r="S2562" t="s">
        <v>9232</v>
      </c>
      <c r="T2562" t="s">
        <v>13338</v>
      </c>
      <c r="U2562" t="s">
        <v>13338</v>
      </c>
      <c r="V2562" t="s">
        <v>13338</v>
      </c>
      <c r="W2562" t="s">
        <v>15860</v>
      </c>
      <c r="X2562">
        <v>4</v>
      </c>
      <c r="Y2562" t="s">
        <v>22418</v>
      </c>
      <c r="Z2562" t="s">
        <v>28977</v>
      </c>
      <c r="AA2562">
        <v>0.55998385110719695</v>
      </c>
      <c r="AB2562" t="str">
        <f>HYPERLINK("Melting_Curves/meltCurve_P42773_CDKN2C.pdf", "Melting_Curves/meltCurve_P42773_CDKN2C.pdf")</f>
        <v>Melting_Curves/meltCurve_P42773_CDKN2C.pdf</v>
      </c>
    </row>
    <row r="2563" spans="1:28" x14ac:dyDescent="0.25">
      <c r="A2563" t="s">
        <v>2567</v>
      </c>
      <c r="B2563">
        <v>0.99193492352474899</v>
      </c>
      <c r="C2563">
        <v>1.01976409430548</v>
      </c>
      <c r="D2563">
        <v>0.941973158776376</v>
      </c>
      <c r="E2563">
        <v>0.90932423233533399</v>
      </c>
      <c r="F2563">
        <v>0.866376217620345</v>
      </c>
      <c r="G2563">
        <v>0.69614456978875605</v>
      </c>
      <c r="H2563">
        <v>0.32787417323465201</v>
      </c>
      <c r="I2563">
        <v>0.18130635951910301</v>
      </c>
      <c r="J2563">
        <v>0.152331162654159</v>
      </c>
      <c r="K2563">
        <v>0.17790119660595999</v>
      </c>
      <c r="L2563">
        <v>1300.71080608224</v>
      </c>
      <c r="M2563">
        <v>22.475828580064501</v>
      </c>
      <c r="N2563">
        <v>58.603614387454002</v>
      </c>
      <c r="O2563">
        <v>57.419255788457797</v>
      </c>
      <c r="P2563">
        <v>-8.5882445695670898E-2</v>
      </c>
      <c r="Q2563">
        <v>0.122398538666701</v>
      </c>
      <c r="R2563">
        <v>0.988805122329803</v>
      </c>
      <c r="S2563" t="s">
        <v>9233</v>
      </c>
      <c r="T2563" t="s">
        <v>13338</v>
      </c>
      <c r="U2563" t="s">
        <v>13338</v>
      </c>
      <c r="V2563" t="s">
        <v>13338</v>
      </c>
      <c r="W2563" t="s">
        <v>15861</v>
      </c>
      <c r="X2563">
        <v>8</v>
      </c>
      <c r="Y2563" t="s">
        <v>22419</v>
      </c>
      <c r="Z2563" t="s">
        <v>28978</v>
      </c>
      <c r="AA2563">
        <v>0.65403896220316216</v>
      </c>
      <c r="AB2563" t="str">
        <f>HYPERLINK("Melting_Curves/meltCurve_P42785_PRCP.pdf", "Melting_Curves/meltCurve_P42785_PRCP.pdf")</f>
        <v>Melting_Curves/meltCurve_P42785_PRCP.pdf</v>
      </c>
    </row>
    <row r="2564" spans="1:28" x14ac:dyDescent="0.25">
      <c r="A2564" t="s">
        <v>2568</v>
      </c>
      <c r="B2564">
        <v>0.99193492352474899</v>
      </c>
      <c r="C2564">
        <v>1.0988170741168499</v>
      </c>
      <c r="D2564">
        <v>1.1032493118920901</v>
      </c>
      <c r="E2564">
        <v>0.64022588441825501</v>
      </c>
      <c r="F2564">
        <v>0.26086690272053997</v>
      </c>
      <c r="G2564">
        <v>0.15277008555097699</v>
      </c>
      <c r="H2564">
        <v>0.105356254697258</v>
      </c>
      <c r="I2564">
        <v>0.11190769506826601</v>
      </c>
      <c r="J2564">
        <v>0.120555409227804</v>
      </c>
      <c r="K2564">
        <v>0.115375211618311</v>
      </c>
      <c r="L2564">
        <v>1922.4074985939201</v>
      </c>
      <c r="M2564">
        <v>38.238336276874499</v>
      </c>
      <c r="N2564">
        <v>50.653071279247598</v>
      </c>
      <c r="O2564">
        <v>50.137440896552299</v>
      </c>
      <c r="P2564">
        <v>-0.16696223041175901</v>
      </c>
      <c r="Q2564">
        <v>0.12433030126597699</v>
      </c>
      <c r="R2564">
        <v>0.982787226432697</v>
      </c>
      <c r="S2564" t="s">
        <v>9234</v>
      </c>
      <c r="T2564" t="s">
        <v>13338</v>
      </c>
      <c r="U2564" t="s">
        <v>13338</v>
      </c>
      <c r="V2564" t="s">
        <v>13338</v>
      </c>
      <c r="W2564" t="s">
        <v>15862</v>
      </c>
      <c r="X2564">
        <v>22</v>
      </c>
      <c r="Y2564" t="s">
        <v>22420</v>
      </c>
      <c r="Z2564" t="s">
        <v>28979</v>
      </c>
      <c r="AA2564">
        <v>0.427561440380681</v>
      </c>
      <c r="AB2564" t="str">
        <f>HYPERLINK("Melting_Curves/meltCurve_P42858_HTT.pdf", "Melting_Curves/meltCurve_P42858_HTT.pdf")</f>
        <v>Melting_Curves/meltCurve_P42858_HTT.pdf</v>
      </c>
    </row>
    <row r="2565" spans="1:28" x14ac:dyDescent="0.25">
      <c r="A2565" t="s">
        <v>2569</v>
      </c>
      <c r="B2565">
        <v>0.99193492352474899</v>
      </c>
      <c r="C2565">
        <v>0.91794924276135104</v>
      </c>
      <c r="D2565">
        <v>0.944458134056961</v>
      </c>
      <c r="E2565">
        <v>0.78966087956001096</v>
      </c>
      <c r="F2565">
        <v>0.68883509025451395</v>
      </c>
      <c r="G2565">
        <v>0.51161918484940605</v>
      </c>
      <c r="H2565">
        <v>0.33760885283498099</v>
      </c>
      <c r="I2565">
        <v>0.34923730675856401</v>
      </c>
      <c r="J2565">
        <v>0.36340235273989802</v>
      </c>
      <c r="K2565">
        <v>0.38319677443857703</v>
      </c>
      <c r="L2565">
        <v>787.50314660505103</v>
      </c>
      <c r="M2565">
        <v>14.898156554953699</v>
      </c>
      <c r="N2565">
        <v>56.802389428343098</v>
      </c>
      <c r="O2565">
        <v>51.934149015302197</v>
      </c>
      <c r="P2565">
        <v>-4.8610724793436103E-2</v>
      </c>
      <c r="Q2565">
        <v>0.32225314354951601</v>
      </c>
      <c r="R2565">
        <v>0.97868001883797195</v>
      </c>
      <c r="S2565" t="s">
        <v>9235</v>
      </c>
      <c r="T2565" t="s">
        <v>13338</v>
      </c>
      <c r="U2565" t="s">
        <v>13338</v>
      </c>
      <c r="V2565" t="s">
        <v>13338</v>
      </c>
      <c r="W2565" t="s">
        <v>15863</v>
      </c>
      <c r="X2565">
        <v>15</v>
      </c>
      <c r="Y2565" t="s">
        <v>22421</v>
      </c>
      <c r="Z2565" t="s">
        <v>28980</v>
      </c>
      <c r="AA2565">
        <v>0.62757152037399888</v>
      </c>
      <c r="AB2565" t="str">
        <f>HYPERLINK("Melting_Curves/meltCurve_P42892_3_ECE1.pdf", "Melting_Curves/meltCurve_P42892_3_ECE1.pdf")</f>
        <v>Melting_Curves/meltCurve_P42892_3_ECE1.pdf</v>
      </c>
    </row>
    <row r="2566" spans="1:28" x14ac:dyDescent="0.25">
      <c r="A2566" t="s">
        <v>2570</v>
      </c>
      <c r="B2566">
        <v>0.99193492352474899</v>
      </c>
      <c r="C2566">
        <v>0.88495936362161498</v>
      </c>
      <c r="D2566">
        <v>1.0293197792516999</v>
      </c>
      <c r="E2566">
        <v>0.74129970548769497</v>
      </c>
      <c r="F2566">
        <v>0.39868553200162699</v>
      </c>
      <c r="G2566">
        <v>0.209555536698809</v>
      </c>
      <c r="H2566">
        <v>0.103193075973289</v>
      </c>
      <c r="I2566">
        <v>7.8363980195403304E-2</v>
      </c>
      <c r="J2566">
        <v>0.100766621515194</v>
      </c>
      <c r="K2566">
        <v>0.12383233683748</v>
      </c>
      <c r="L2566">
        <v>1257.2190373511</v>
      </c>
      <c r="M2566">
        <v>24.323006256048899</v>
      </c>
      <c r="N2566">
        <v>52.150343834015302</v>
      </c>
      <c r="O2566">
        <v>51.342882758256202</v>
      </c>
      <c r="P2566">
        <v>-0.10695977858516099</v>
      </c>
      <c r="Q2566">
        <v>9.6897651544298802E-2</v>
      </c>
      <c r="R2566">
        <v>0.98647192026261099</v>
      </c>
      <c r="S2566" t="s">
        <v>9236</v>
      </c>
      <c r="T2566" t="s">
        <v>13338</v>
      </c>
      <c r="U2566" t="s">
        <v>13338</v>
      </c>
      <c r="V2566" t="s">
        <v>13338</v>
      </c>
      <c r="W2566" t="s">
        <v>15864</v>
      </c>
      <c r="X2566">
        <v>4</v>
      </c>
      <c r="Y2566" t="s">
        <v>22422</v>
      </c>
      <c r="Z2566" t="s">
        <v>28981</v>
      </c>
      <c r="AA2566">
        <v>0.45742713245809941</v>
      </c>
      <c r="AB2566" t="str">
        <f>HYPERLINK("Melting_Curves/meltCurve_P42898_MTHFR.pdf", "Melting_Curves/meltCurve_P42898_MTHFR.pdf")</f>
        <v>Melting_Curves/meltCurve_P42898_MTHFR.pdf</v>
      </c>
    </row>
    <row r="2567" spans="1:28" x14ac:dyDescent="0.25">
      <c r="A2567" t="s">
        <v>2571</v>
      </c>
      <c r="B2567">
        <v>0.99193492352474899</v>
      </c>
      <c r="C2567">
        <v>1.0379066757936199</v>
      </c>
      <c r="D2567">
        <v>0.65555465809484104</v>
      </c>
      <c r="E2567">
        <v>0.71696486231371703</v>
      </c>
      <c r="F2567">
        <v>0.45946876588310298</v>
      </c>
      <c r="G2567">
        <v>0.49205467741672798</v>
      </c>
      <c r="H2567">
        <v>0.35917402956473199</v>
      </c>
      <c r="I2567">
        <v>0.85649042581628698</v>
      </c>
      <c r="J2567">
        <v>0.66181416867952403</v>
      </c>
      <c r="K2567">
        <v>0.55414908902079896</v>
      </c>
      <c r="S2567" t="s">
        <v>9237</v>
      </c>
      <c r="T2567" t="s">
        <v>13338</v>
      </c>
      <c r="U2567" t="s">
        <v>13339</v>
      </c>
      <c r="V2567" t="s">
        <v>13338</v>
      </c>
      <c r="W2567" t="s">
        <v>15865</v>
      </c>
      <c r="X2567">
        <v>1</v>
      </c>
      <c r="Y2567" t="s">
        <v>22423</v>
      </c>
      <c r="Z2567" t="s">
        <v>28982</v>
      </c>
      <c r="AB2567" t="str">
        <f>HYPERLINK("Melting_Curves/meltCurve_P43003_2_SLC1A3.pdf", "Melting_Curves/meltCurve_P43003_2_SLC1A3.pdf")</f>
        <v>Melting_Curves/meltCurve_P43003_2_SLC1A3.pdf</v>
      </c>
    </row>
    <row r="2568" spans="1:28" x14ac:dyDescent="0.25">
      <c r="A2568" t="s">
        <v>2572</v>
      </c>
      <c r="B2568">
        <v>0.99193492352474899</v>
      </c>
      <c r="C2568">
        <v>0.848170503642665</v>
      </c>
      <c r="D2568">
        <v>0.96250653516661999</v>
      </c>
      <c r="E2568">
        <v>0.65682154631691703</v>
      </c>
      <c r="F2568">
        <v>0.78618277932446001</v>
      </c>
      <c r="G2568">
        <v>0.59900949897904299</v>
      </c>
      <c r="H2568">
        <v>0.51697539997306097</v>
      </c>
      <c r="I2568">
        <v>0.53319886549048201</v>
      </c>
      <c r="J2568">
        <v>0.88990905504171403</v>
      </c>
      <c r="K2568">
        <v>0.90859599579842498</v>
      </c>
      <c r="L2568">
        <v>11589.7533798734</v>
      </c>
      <c r="M2568">
        <v>250</v>
      </c>
      <c r="O2568">
        <v>46.356037756411197</v>
      </c>
      <c r="P2568">
        <v>-0.406270560467691</v>
      </c>
      <c r="Q2568">
        <v>0.69867044601378803</v>
      </c>
      <c r="R2568">
        <v>0.36377825022515098</v>
      </c>
      <c r="S2568" t="s">
        <v>9238</v>
      </c>
      <c r="T2568" t="s">
        <v>13338</v>
      </c>
      <c r="U2568" t="s">
        <v>13338</v>
      </c>
      <c r="V2568" t="s">
        <v>13338</v>
      </c>
      <c r="W2568" t="s">
        <v>15866</v>
      </c>
      <c r="X2568">
        <v>7</v>
      </c>
      <c r="Y2568" t="s">
        <v>22424</v>
      </c>
      <c r="Z2568" t="s">
        <v>28983</v>
      </c>
      <c r="AA2568">
        <v>0.7625669189103087</v>
      </c>
      <c r="AB2568" t="str">
        <f>HYPERLINK("Melting_Curves/meltCurve_P43007_SLC1A4.pdf", "Melting_Curves/meltCurve_P43007_SLC1A4.pdf")</f>
        <v>Melting_Curves/meltCurve_P43007_SLC1A4.pdf</v>
      </c>
    </row>
    <row r="2569" spans="1:28" x14ac:dyDescent="0.25">
      <c r="A2569" t="s">
        <v>2573</v>
      </c>
      <c r="B2569">
        <v>0.99193492352474899</v>
      </c>
      <c r="C2569">
        <v>1.0926226543094899</v>
      </c>
      <c r="D2569">
        <v>1.2187787322213499</v>
      </c>
      <c r="E2569">
        <v>1.1619704426970401</v>
      </c>
      <c r="F2569">
        <v>1.1804785191874301</v>
      </c>
      <c r="G2569">
        <v>0.87894088035357998</v>
      </c>
      <c r="H2569">
        <v>0.52392190174685604</v>
      </c>
      <c r="I2569">
        <v>0.34005606663940002</v>
      </c>
      <c r="J2569">
        <v>0.26473921993495397</v>
      </c>
      <c r="K2569">
        <v>0.181344447574702</v>
      </c>
      <c r="L2569">
        <v>2014.2026553610699</v>
      </c>
      <c r="M2569">
        <v>33.493710870495001</v>
      </c>
      <c r="N2569">
        <v>61.177217706128097</v>
      </c>
      <c r="O2569">
        <v>59.923581739474798</v>
      </c>
      <c r="P2569">
        <v>-0.109394373555328</v>
      </c>
      <c r="Q2569">
        <v>0.21713358173010799</v>
      </c>
      <c r="R2569">
        <v>0.919576608443609</v>
      </c>
      <c r="S2569" t="s">
        <v>9239</v>
      </c>
      <c r="T2569" t="s">
        <v>13338</v>
      </c>
      <c r="U2569" t="s">
        <v>13338</v>
      </c>
      <c r="V2569" t="s">
        <v>13338</v>
      </c>
      <c r="W2569" t="s">
        <v>15867</v>
      </c>
      <c r="X2569">
        <v>26</v>
      </c>
      <c r="Y2569" t="s">
        <v>22425</v>
      </c>
      <c r="Z2569" t="s">
        <v>28984</v>
      </c>
      <c r="AA2569">
        <v>0.74666549011113659</v>
      </c>
      <c r="AB2569" t="str">
        <f>HYPERLINK("Melting_Curves/meltCurve_P43034_PAFAH1B1.pdf", "Melting_Curves/meltCurve_P43034_PAFAH1B1.pdf")</f>
        <v>Melting_Curves/meltCurve_P43034_PAFAH1B1.pdf</v>
      </c>
    </row>
    <row r="2570" spans="1:28" x14ac:dyDescent="0.25">
      <c r="A2570" t="s">
        <v>2574</v>
      </c>
      <c r="B2570">
        <v>0.99193492352474899</v>
      </c>
      <c r="C2570">
        <v>0.93739152949765203</v>
      </c>
      <c r="D2570">
        <v>0.786221953476401</v>
      </c>
      <c r="E2570">
        <v>0.346871810000692</v>
      </c>
      <c r="F2570">
        <v>0.28748054584399801</v>
      </c>
      <c r="G2570">
        <v>0.18074449895712599</v>
      </c>
      <c r="H2570">
        <v>8.8409866024622502E-2</v>
      </c>
      <c r="I2570">
        <v>7.1424276245435098E-2</v>
      </c>
      <c r="J2570">
        <v>8.4363736708867404E-2</v>
      </c>
      <c r="K2570">
        <v>8.1619341857499098E-2</v>
      </c>
      <c r="L2570">
        <v>952.35786576782698</v>
      </c>
      <c r="M2570">
        <v>19.742154751689601</v>
      </c>
      <c r="N2570">
        <v>48.737672610447099</v>
      </c>
      <c r="O2570">
        <v>47.753037939189298</v>
      </c>
      <c r="P2570">
        <v>-9.3920709576078898E-2</v>
      </c>
      <c r="Q2570">
        <v>9.1315912170259403E-2</v>
      </c>
      <c r="R2570">
        <v>0.98707612450207205</v>
      </c>
      <c r="S2570" t="s">
        <v>9240</v>
      </c>
      <c r="T2570" t="s">
        <v>13338</v>
      </c>
      <c r="U2570" t="s">
        <v>13338</v>
      </c>
      <c r="V2570" t="s">
        <v>13338</v>
      </c>
      <c r="W2570" t="s">
        <v>15868</v>
      </c>
      <c r="X2570">
        <v>3</v>
      </c>
      <c r="Y2570" t="s">
        <v>22426</v>
      </c>
      <c r="Z2570" t="s">
        <v>28985</v>
      </c>
      <c r="AA2570">
        <v>0.35410525005515497</v>
      </c>
      <c r="AB2570" t="str">
        <f>HYPERLINK("Melting_Curves/meltCurve_P43155_2_CRAT.pdf", "Melting_Curves/meltCurve_P43155_2_CRAT.pdf")</f>
        <v>Melting_Curves/meltCurve_P43155_2_CRAT.pdf</v>
      </c>
    </row>
    <row r="2571" spans="1:28" x14ac:dyDescent="0.25">
      <c r="A2571" t="s">
        <v>2575</v>
      </c>
      <c r="B2571">
        <v>0.99193492352474899</v>
      </c>
      <c r="C2571">
        <v>0.86335951235689501</v>
      </c>
      <c r="D2571">
        <v>0.75324788491579897</v>
      </c>
      <c r="E2571">
        <v>0.27989153147944101</v>
      </c>
      <c r="F2571">
        <v>0.151409505611418</v>
      </c>
      <c r="G2571">
        <v>8.2063573052012603E-2</v>
      </c>
      <c r="H2571">
        <v>5.6343632910276602E-2</v>
      </c>
      <c r="I2571">
        <v>7.3708624768454495E-2</v>
      </c>
      <c r="J2571">
        <v>8.3336576012394206E-2</v>
      </c>
      <c r="K2571">
        <v>6.86372355051654E-2</v>
      </c>
      <c r="L2571">
        <v>1147.17674232377</v>
      </c>
      <c r="M2571">
        <v>24.1601039387753</v>
      </c>
      <c r="N2571">
        <v>47.772694565861201</v>
      </c>
      <c r="O2571">
        <v>47.160563120759299</v>
      </c>
      <c r="P2571">
        <v>-0.119328241984408</v>
      </c>
      <c r="Q2571">
        <v>6.8298651686586997E-2</v>
      </c>
      <c r="R2571">
        <v>0.99276860515909504</v>
      </c>
      <c r="S2571" t="s">
        <v>9241</v>
      </c>
      <c r="T2571" t="s">
        <v>13338</v>
      </c>
      <c r="U2571" t="s">
        <v>13338</v>
      </c>
      <c r="V2571" t="s">
        <v>13338</v>
      </c>
      <c r="W2571" t="s">
        <v>15869</v>
      </c>
      <c r="X2571">
        <v>7</v>
      </c>
      <c r="Y2571" t="s">
        <v>22427</v>
      </c>
      <c r="Z2571" t="s">
        <v>28986</v>
      </c>
      <c r="AA2571">
        <v>0.30956855448083931</v>
      </c>
      <c r="AB2571" t="str">
        <f>HYPERLINK("Melting_Curves/meltCurve_P43250_2_GRK6.pdf", "Melting_Curves/meltCurve_P43250_2_GRK6.pdf")</f>
        <v>Melting_Curves/meltCurve_P43250_2_GRK6.pdf</v>
      </c>
    </row>
    <row r="2572" spans="1:28" x14ac:dyDescent="0.25">
      <c r="A2572" t="s">
        <v>2576</v>
      </c>
      <c r="B2572">
        <v>0.99193492352474899</v>
      </c>
      <c r="C2572">
        <v>0.76898552899377703</v>
      </c>
      <c r="D2572">
        <v>1.0863259669846701</v>
      </c>
      <c r="E2572">
        <v>0.80493532760248399</v>
      </c>
      <c r="F2572">
        <v>0.90916577450790603</v>
      </c>
      <c r="G2572">
        <v>0.46323410181531999</v>
      </c>
      <c r="H2572">
        <v>0.278776168301264</v>
      </c>
      <c r="I2572">
        <v>0.20271222340661199</v>
      </c>
      <c r="J2572">
        <v>0.29881101076936201</v>
      </c>
      <c r="K2572">
        <v>0.46830871185274803</v>
      </c>
      <c r="L2572">
        <v>2556.4114368386499</v>
      </c>
      <c r="M2572">
        <v>46.287405538195102</v>
      </c>
      <c r="N2572">
        <v>56.4097572472999</v>
      </c>
      <c r="O2572">
        <v>55.126312419811001</v>
      </c>
      <c r="P2572">
        <v>-0.14479274671211401</v>
      </c>
      <c r="Q2572">
        <v>0.31023314486690701</v>
      </c>
      <c r="R2572">
        <v>0.85447171710576297</v>
      </c>
      <c r="S2572" t="s">
        <v>9242</v>
      </c>
      <c r="T2572" t="s">
        <v>13338</v>
      </c>
      <c r="U2572" t="s">
        <v>13338</v>
      </c>
      <c r="V2572" t="s">
        <v>13338</v>
      </c>
      <c r="W2572" t="s">
        <v>15870</v>
      </c>
      <c r="X2572">
        <v>2</v>
      </c>
      <c r="Y2572" t="s">
        <v>22428</v>
      </c>
      <c r="Z2572" t="s">
        <v>28987</v>
      </c>
      <c r="AA2572">
        <v>0.66234387678671547</v>
      </c>
      <c r="AB2572" t="str">
        <f>HYPERLINK("Melting_Curves/meltCurve_P43307_SSR1.pdf", "Melting_Curves/meltCurve_P43307_SSR1.pdf")</f>
        <v>Melting_Curves/meltCurve_P43307_SSR1.pdf</v>
      </c>
    </row>
    <row r="2573" spans="1:28" x14ac:dyDescent="0.25">
      <c r="A2573" t="s">
        <v>2577</v>
      </c>
      <c r="B2573">
        <v>0.99193492352474899</v>
      </c>
      <c r="C2573">
        <v>0.92106664195002996</v>
      </c>
      <c r="D2573">
        <v>0.67534036540273201</v>
      </c>
      <c r="E2573">
        <v>0.30670927924145402</v>
      </c>
      <c r="F2573">
        <v>0.27209019799343798</v>
      </c>
      <c r="G2573">
        <v>0.16704803777993599</v>
      </c>
      <c r="H2573">
        <v>0.102882098315182</v>
      </c>
      <c r="I2573">
        <v>0.119084559637159</v>
      </c>
      <c r="J2573">
        <v>0.14904450841434599</v>
      </c>
      <c r="K2573">
        <v>0.17341940030840899</v>
      </c>
      <c r="L2573">
        <v>1072.6128609539201</v>
      </c>
      <c r="M2573">
        <v>22.847151190847701</v>
      </c>
      <c r="N2573">
        <v>47.669055619628999</v>
      </c>
      <c r="O2573">
        <v>46.592108252682003</v>
      </c>
      <c r="P2573">
        <v>-0.104669175479517</v>
      </c>
      <c r="Q2573">
        <v>0.14621061149339201</v>
      </c>
      <c r="R2573">
        <v>0.99026007981497699</v>
      </c>
      <c r="S2573" t="s">
        <v>9243</v>
      </c>
      <c r="T2573" t="s">
        <v>13338</v>
      </c>
      <c r="U2573" t="s">
        <v>13338</v>
      </c>
      <c r="V2573" t="s">
        <v>13338</v>
      </c>
      <c r="W2573" t="s">
        <v>15871</v>
      </c>
      <c r="X2573">
        <v>5</v>
      </c>
      <c r="Y2573" t="s">
        <v>22429</v>
      </c>
      <c r="Z2573" t="s">
        <v>28988</v>
      </c>
      <c r="AA2573">
        <v>0.35324775084104237</v>
      </c>
      <c r="AB2573" t="str">
        <f>HYPERLINK("Melting_Curves/meltCurve_P43378_PTPN9.pdf", "Melting_Curves/meltCurve_P43378_PTPN9.pdf")</f>
        <v>Melting_Curves/meltCurve_P43378_PTPN9.pdf</v>
      </c>
    </row>
    <row r="2574" spans="1:28" x14ac:dyDescent="0.25">
      <c r="A2574" t="s">
        <v>2578</v>
      </c>
      <c r="B2574">
        <v>0.99193492352474899</v>
      </c>
      <c r="C2574">
        <v>1.00086066193201</v>
      </c>
      <c r="D2574">
        <v>0.59355255883185998</v>
      </c>
      <c r="E2574">
        <v>0.17919998699584599</v>
      </c>
      <c r="F2574">
        <v>0.11872584576572399</v>
      </c>
      <c r="G2574">
        <v>6.9234558238496502E-2</v>
      </c>
      <c r="H2574">
        <v>5.0321012766753E-2</v>
      </c>
      <c r="I2574">
        <v>6.1019144685413002E-2</v>
      </c>
      <c r="J2574">
        <v>7.0000062729180704E-2</v>
      </c>
      <c r="K2574">
        <v>6.7471494364358897E-2</v>
      </c>
      <c r="L2574">
        <v>1646.2172743030001</v>
      </c>
      <c r="M2574">
        <v>35.460321498812199</v>
      </c>
      <c r="N2574">
        <v>46.6313984920642</v>
      </c>
      <c r="O2574">
        <v>46.277313969292003</v>
      </c>
      <c r="P2574">
        <v>-0.17760267251635201</v>
      </c>
      <c r="Q2574">
        <v>7.2885386295128099E-2</v>
      </c>
      <c r="R2574">
        <v>0.99630073001423802</v>
      </c>
      <c r="S2574" t="s">
        <v>9244</v>
      </c>
      <c r="T2574" t="s">
        <v>13338</v>
      </c>
      <c r="U2574" t="s">
        <v>13338</v>
      </c>
      <c r="V2574" t="s">
        <v>13338</v>
      </c>
      <c r="W2574" t="s">
        <v>15872</v>
      </c>
      <c r="X2574">
        <v>35</v>
      </c>
      <c r="Y2574" t="s">
        <v>22430</v>
      </c>
      <c r="Z2574" t="s">
        <v>28989</v>
      </c>
      <c r="AA2574">
        <v>0.27530942432603928</v>
      </c>
      <c r="AB2574" t="str">
        <f>HYPERLINK("Melting_Curves/meltCurve_P43403_ZAP70.pdf", "Melting_Curves/meltCurve_P43403_ZAP70.pdf")</f>
        <v>Melting_Curves/meltCurve_P43403_ZAP70.pdf</v>
      </c>
    </row>
    <row r="2575" spans="1:28" x14ac:dyDescent="0.25">
      <c r="A2575" t="s">
        <v>2579</v>
      </c>
      <c r="B2575">
        <v>0.99193492352474899</v>
      </c>
      <c r="C2575">
        <v>0.96112534727843302</v>
      </c>
      <c r="D2575">
        <v>0.82234292663087705</v>
      </c>
      <c r="E2575">
        <v>0.65191400514164299</v>
      </c>
      <c r="F2575">
        <v>0.362100951309481</v>
      </c>
      <c r="G2575">
        <v>0.29571117368029298</v>
      </c>
      <c r="H2575">
        <v>0.18588717482855799</v>
      </c>
      <c r="I2575">
        <v>0.202673387679627</v>
      </c>
      <c r="J2575">
        <v>0.22246438077319899</v>
      </c>
      <c r="K2575">
        <v>0.31151931719859199</v>
      </c>
      <c r="L2575">
        <v>962.83816456362899</v>
      </c>
      <c r="M2575">
        <v>19.419919801342498</v>
      </c>
      <c r="N2575">
        <v>51.134969923258303</v>
      </c>
      <c r="O2575">
        <v>49.063173659363699</v>
      </c>
      <c r="P2575">
        <v>-7.68903203832597E-2</v>
      </c>
      <c r="Q2575">
        <v>0.222994679385732</v>
      </c>
      <c r="R2575">
        <v>0.98346972908114005</v>
      </c>
      <c r="S2575" t="s">
        <v>9245</v>
      </c>
      <c r="T2575" t="s">
        <v>13338</v>
      </c>
      <c r="U2575" t="s">
        <v>13338</v>
      </c>
      <c r="V2575" t="s">
        <v>13338</v>
      </c>
      <c r="W2575" t="s">
        <v>15873</v>
      </c>
      <c r="X2575">
        <v>18</v>
      </c>
      <c r="Y2575" t="s">
        <v>22431</v>
      </c>
      <c r="Z2575" t="s">
        <v>28990</v>
      </c>
      <c r="AA2575">
        <v>0.4826045770747201</v>
      </c>
      <c r="AB2575" t="str">
        <f>HYPERLINK("Melting_Curves/meltCurve_P43487_RANBP1.pdf", "Melting_Curves/meltCurve_P43487_RANBP1.pdf")</f>
        <v>Melting_Curves/meltCurve_P43487_RANBP1.pdf</v>
      </c>
    </row>
    <row r="2576" spans="1:28" x14ac:dyDescent="0.25">
      <c r="A2576" t="s">
        <v>2580</v>
      </c>
      <c r="B2576">
        <v>0.99193492352474899</v>
      </c>
      <c r="C2576">
        <v>0.85936122830039996</v>
      </c>
      <c r="D2576">
        <v>0.98430502718795398</v>
      </c>
      <c r="E2576">
        <v>0.83674450859980298</v>
      </c>
      <c r="F2576">
        <v>0.78175889898338602</v>
      </c>
      <c r="G2576">
        <v>0.60734296961979495</v>
      </c>
      <c r="H2576">
        <v>0.247665368332181</v>
      </c>
      <c r="I2576">
        <v>9.1331500447746503E-2</v>
      </c>
      <c r="J2576">
        <v>0.104208166837199</v>
      </c>
      <c r="K2576">
        <v>8.7198831831765994E-2</v>
      </c>
      <c r="L2576">
        <v>912.31083007739801</v>
      </c>
      <c r="M2576">
        <v>15.927805249977199</v>
      </c>
      <c r="N2576">
        <v>57.277874640226997</v>
      </c>
      <c r="O2576">
        <v>56.397812066052502</v>
      </c>
      <c r="P2576">
        <v>-7.0610349430734298E-2</v>
      </c>
      <c r="Q2576">
        <v>0</v>
      </c>
      <c r="R2576">
        <v>0.971078045852375</v>
      </c>
      <c r="S2576" t="s">
        <v>9246</v>
      </c>
      <c r="T2576" t="s">
        <v>13338</v>
      </c>
      <c r="U2576" t="s">
        <v>13338</v>
      </c>
      <c r="V2576" t="s">
        <v>13338</v>
      </c>
      <c r="W2576" t="s">
        <v>15874</v>
      </c>
      <c r="X2576">
        <v>19</v>
      </c>
      <c r="Y2576" t="s">
        <v>22432</v>
      </c>
      <c r="Z2576" t="s">
        <v>28991</v>
      </c>
      <c r="AA2576">
        <v>0.59063973314376839</v>
      </c>
      <c r="AB2576" t="str">
        <f>HYPERLINK("Melting_Curves/meltCurve_P43490_NAMPT.pdf", "Melting_Curves/meltCurve_P43490_NAMPT.pdf")</f>
        <v>Melting_Curves/meltCurve_P43490_NAMPT.pdf</v>
      </c>
    </row>
    <row r="2577" spans="1:28" x14ac:dyDescent="0.25">
      <c r="A2577" t="s">
        <v>2581</v>
      </c>
      <c r="B2577">
        <v>0.99193492352474899</v>
      </c>
      <c r="C2577">
        <v>0.82878751932944505</v>
      </c>
      <c r="D2577">
        <v>0.88586719401018799</v>
      </c>
      <c r="E2577">
        <v>0.71741607595650203</v>
      </c>
      <c r="F2577">
        <v>0.78797252325001699</v>
      </c>
      <c r="G2577">
        <v>0.25359965852081401</v>
      </c>
      <c r="H2577">
        <v>7.8755465262462701E-2</v>
      </c>
      <c r="I2577">
        <v>8.5104272985235693E-2</v>
      </c>
      <c r="J2577">
        <v>7.2476613448907698E-2</v>
      </c>
      <c r="K2577">
        <v>6.7507492815113104E-2</v>
      </c>
      <c r="L2577">
        <v>853.67710114433305</v>
      </c>
      <c r="M2577">
        <v>15.6949171079675</v>
      </c>
      <c r="N2577">
        <v>54.391947177507298</v>
      </c>
      <c r="O2577">
        <v>53.531894060427803</v>
      </c>
      <c r="P2577">
        <v>-7.3303238248700206E-2</v>
      </c>
      <c r="Q2577">
        <v>0</v>
      </c>
      <c r="R2577">
        <v>0.93224018808190801</v>
      </c>
      <c r="S2577" t="s">
        <v>9247</v>
      </c>
      <c r="T2577" t="s">
        <v>13338</v>
      </c>
      <c r="U2577" t="s">
        <v>13338</v>
      </c>
      <c r="V2577" t="s">
        <v>13338</v>
      </c>
      <c r="W2577" t="s">
        <v>15875</v>
      </c>
      <c r="X2577">
        <v>26</v>
      </c>
      <c r="Y2577" t="s">
        <v>22433</v>
      </c>
      <c r="Z2577" t="s">
        <v>28992</v>
      </c>
      <c r="AA2577">
        <v>0.49872915057901213</v>
      </c>
      <c r="AB2577" t="str">
        <f>HYPERLINK("Melting_Curves/meltCurve_P43686_PSMC4.pdf", "Melting_Curves/meltCurve_P43686_PSMC4.pdf")</f>
        <v>Melting_Curves/meltCurve_P43686_PSMC4.pdf</v>
      </c>
    </row>
    <row r="2578" spans="1:28" x14ac:dyDescent="0.25">
      <c r="A2578" t="s">
        <v>2582</v>
      </c>
      <c r="B2578">
        <v>0.99193492352474899</v>
      </c>
      <c r="C2578">
        <v>0.74617655324376297</v>
      </c>
      <c r="D2578">
        <v>0.75836658888403996</v>
      </c>
      <c r="E2578">
        <v>0.26312752854722499</v>
      </c>
      <c r="F2578">
        <v>0.11955775114235601</v>
      </c>
      <c r="G2578">
        <v>7.6108522388871003E-2</v>
      </c>
      <c r="H2578">
        <v>4.7327726219009998E-2</v>
      </c>
      <c r="I2578">
        <v>5.9428595015697201E-2</v>
      </c>
      <c r="J2578">
        <v>6.3632802957886703E-2</v>
      </c>
      <c r="K2578">
        <v>7.3147241830335302E-2</v>
      </c>
      <c r="L2578">
        <v>935.83171360346603</v>
      </c>
      <c r="M2578">
        <v>19.821210839126898</v>
      </c>
      <c r="N2578">
        <v>47.452877403241501</v>
      </c>
      <c r="O2578">
        <v>46.740958300806</v>
      </c>
      <c r="P2578">
        <v>-0.100978988447748</v>
      </c>
      <c r="Q2578">
        <v>4.75464801273155E-2</v>
      </c>
      <c r="R2578">
        <v>0.96964230850602995</v>
      </c>
      <c r="S2578" t="s">
        <v>9248</v>
      </c>
      <c r="T2578" t="s">
        <v>13338</v>
      </c>
      <c r="U2578" t="s">
        <v>13338</v>
      </c>
      <c r="V2578" t="s">
        <v>13338</v>
      </c>
      <c r="W2578" t="s">
        <v>15876</v>
      </c>
      <c r="X2578">
        <v>17</v>
      </c>
      <c r="Y2578" t="s">
        <v>22434</v>
      </c>
      <c r="Z2578" t="s">
        <v>28993</v>
      </c>
      <c r="AA2578">
        <v>0.29067491200918022</v>
      </c>
      <c r="AB2578" t="str">
        <f>HYPERLINK("Melting_Curves/meltCurve_P43897_TSFM.pdf", "Melting_Curves/meltCurve_P43897_TSFM.pdf")</f>
        <v>Melting_Curves/meltCurve_P43897_TSFM.pdf</v>
      </c>
    </row>
    <row r="2579" spans="1:28" x14ac:dyDescent="0.25">
      <c r="A2579" t="s">
        <v>2583</v>
      </c>
      <c r="B2579">
        <v>0.99193492352474899</v>
      </c>
      <c r="C2579">
        <v>1.05929428676935</v>
      </c>
      <c r="D2579">
        <v>1.01770152444504</v>
      </c>
      <c r="E2579">
        <v>0.8743410078353</v>
      </c>
      <c r="F2579">
        <v>0.64217032493519799</v>
      </c>
      <c r="G2579">
        <v>0.53235882882447105</v>
      </c>
      <c r="H2579">
        <v>0.453729313511822</v>
      </c>
      <c r="I2579">
        <v>0.53291617179353401</v>
      </c>
      <c r="J2579">
        <v>0.61326738469977304</v>
      </c>
      <c r="K2579">
        <v>0.479498263773177</v>
      </c>
      <c r="L2579">
        <v>1728.0927987067801</v>
      </c>
      <c r="M2579">
        <v>33.675592213903101</v>
      </c>
      <c r="O2579">
        <v>51.135940165528297</v>
      </c>
      <c r="P2579">
        <v>-7.9116753528201106E-2</v>
      </c>
      <c r="Q2579">
        <v>0.51945101200006905</v>
      </c>
      <c r="R2579">
        <v>0.96164213428498102</v>
      </c>
      <c r="S2579" t="s">
        <v>9249</v>
      </c>
      <c r="T2579" t="s">
        <v>13338</v>
      </c>
      <c r="U2579" t="s">
        <v>13338</v>
      </c>
      <c r="V2579" t="s">
        <v>13338</v>
      </c>
      <c r="W2579" t="s">
        <v>15877</v>
      </c>
      <c r="X2579">
        <v>19</v>
      </c>
      <c r="Y2579" t="s">
        <v>22435</v>
      </c>
      <c r="Z2579" t="s">
        <v>28994</v>
      </c>
      <c r="AA2579">
        <v>0.70312157893115013</v>
      </c>
      <c r="AB2579" t="str">
        <f>HYPERLINK("Melting_Curves/meltCurve_P45880_VDAC2.pdf", "Melting_Curves/meltCurve_P45880_VDAC2.pdf")</f>
        <v>Melting_Curves/meltCurve_P45880_VDAC2.pdf</v>
      </c>
    </row>
    <row r="2580" spans="1:28" x14ac:dyDescent="0.25">
      <c r="A2580" t="s">
        <v>2584</v>
      </c>
      <c r="B2580">
        <v>0.99193492352474899</v>
      </c>
      <c r="C2580">
        <v>0.89242857146994603</v>
      </c>
      <c r="D2580">
        <v>0.92829397823623505</v>
      </c>
      <c r="E2580">
        <v>0.778592379409768</v>
      </c>
      <c r="F2580">
        <v>0.36216114913424402</v>
      </c>
      <c r="G2580">
        <v>0.208333182405047</v>
      </c>
      <c r="H2580">
        <v>0.106130235061314</v>
      </c>
      <c r="I2580">
        <v>7.5057898480861904E-2</v>
      </c>
      <c r="J2580">
        <v>8.2118303423716593E-2</v>
      </c>
      <c r="K2580">
        <v>8.3655296404522003E-2</v>
      </c>
      <c r="L2580">
        <v>1165.3449176128399</v>
      </c>
      <c r="M2580">
        <v>22.542201266756699</v>
      </c>
      <c r="N2580">
        <v>52.077796931986903</v>
      </c>
      <c r="O2580">
        <v>51.294469668184398</v>
      </c>
      <c r="P2580">
        <v>-0.10150388672379999</v>
      </c>
      <c r="Q2580">
        <v>7.6135925306316202E-2</v>
      </c>
      <c r="R2580">
        <v>0.99063984634231195</v>
      </c>
      <c r="S2580" t="s">
        <v>9250</v>
      </c>
      <c r="T2580" t="s">
        <v>13338</v>
      </c>
      <c r="U2580" t="s">
        <v>13338</v>
      </c>
      <c r="V2580" t="s">
        <v>13338</v>
      </c>
      <c r="W2580" t="s">
        <v>15878</v>
      </c>
      <c r="X2580">
        <v>11</v>
      </c>
      <c r="Y2580" t="s">
        <v>22436</v>
      </c>
      <c r="Z2580" t="s">
        <v>28995</v>
      </c>
      <c r="AA2580">
        <v>0.44657586336234623</v>
      </c>
      <c r="AB2580" t="str">
        <f>HYPERLINK("Melting_Curves/meltCurve_P45954_ACADSB.pdf", "Melting_Curves/meltCurve_P45954_ACADSB.pdf")</f>
        <v>Melting_Curves/meltCurve_P45954_ACADSB.pdf</v>
      </c>
    </row>
    <row r="2581" spans="1:28" x14ac:dyDescent="0.25">
      <c r="A2581" t="s">
        <v>2585</v>
      </c>
      <c r="B2581">
        <v>0.99193492352474899</v>
      </c>
      <c r="C2581">
        <v>0.94395967529214098</v>
      </c>
      <c r="D2581">
        <v>0.82434225644253101</v>
      </c>
      <c r="E2581">
        <v>0.56399922801813396</v>
      </c>
      <c r="F2581">
        <v>0.206165163096764</v>
      </c>
      <c r="G2581">
        <v>0.116028169995638</v>
      </c>
      <c r="H2581">
        <v>7.6434102895257802E-2</v>
      </c>
      <c r="I2581">
        <v>9.1047582501170995E-2</v>
      </c>
      <c r="J2581">
        <v>0.101232006594484</v>
      </c>
      <c r="K2581">
        <v>0.111619873523194</v>
      </c>
      <c r="L2581">
        <v>1102.0522757633701</v>
      </c>
      <c r="M2581">
        <v>22.300326015516799</v>
      </c>
      <c r="N2581">
        <v>49.823983896023499</v>
      </c>
      <c r="O2581">
        <v>49.0264400867391</v>
      </c>
      <c r="P2581">
        <v>-0.104284778164035</v>
      </c>
      <c r="Q2581">
        <v>8.2954945706299604E-2</v>
      </c>
      <c r="R2581">
        <v>0.99558622510932404</v>
      </c>
      <c r="S2581" t="s">
        <v>9251</v>
      </c>
      <c r="T2581" t="s">
        <v>13338</v>
      </c>
      <c r="U2581" t="s">
        <v>13338</v>
      </c>
      <c r="V2581" t="s">
        <v>13338</v>
      </c>
      <c r="W2581" t="s">
        <v>15879</v>
      </c>
      <c r="X2581">
        <v>14</v>
      </c>
      <c r="Y2581" t="s">
        <v>22437</v>
      </c>
      <c r="Z2581" t="s">
        <v>28996</v>
      </c>
      <c r="AA2581">
        <v>0.38115008528071531</v>
      </c>
      <c r="AB2581" t="str">
        <f>HYPERLINK("Melting_Curves/meltCurve_P45973_CBX5.pdf", "Melting_Curves/meltCurve_P45973_CBX5.pdf")</f>
        <v>Melting_Curves/meltCurve_P45973_CBX5.pdf</v>
      </c>
    </row>
    <row r="2582" spans="1:28" x14ac:dyDescent="0.25">
      <c r="A2582" t="s">
        <v>2586</v>
      </c>
      <c r="B2582">
        <v>0.99193492352474899</v>
      </c>
      <c r="C2582">
        <v>0.98927214732332103</v>
      </c>
      <c r="D2582">
        <v>0.93104799599855304</v>
      </c>
      <c r="E2582">
        <v>0.75201653708850003</v>
      </c>
      <c r="F2582">
        <v>0.34569085460010601</v>
      </c>
      <c r="G2582">
        <v>0.128083846465672</v>
      </c>
      <c r="H2582">
        <v>5.8556901485052701E-2</v>
      </c>
      <c r="I2582">
        <v>6.4728279387180301E-2</v>
      </c>
      <c r="J2582">
        <v>6.4348758224716293E-2</v>
      </c>
      <c r="K2582">
        <v>7.6668461509581703E-2</v>
      </c>
      <c r="L2582">
        <v>1329.7499784265599</v>
      </c>
      <c r="M2582">
        <v>25.826539480148298</v>
      </c>
      <c r="N2582">
        <v>51.735919361693298</v>
      </c>
      <c r="O2582">
        <v>51.182035974578</v>
      </c>
      <c r="P2582">
        <v>-0.118802271066518</v>
      </c>
      <c r="Q2582">
        <v>5.8260513816543201E-2</v>
      </c>
      <c r="R2582">
        <v>0.99900840019054704</v>
      </c>
      <c r="S2582" t="s">
        <v>9252</v>
      </c>
      <c r="T2582" t="s">
        <v>13338</v>
      </c>
      <c r="U2582" t="s">
        <v>13338</v>
      </c>
      <c r="V2582" t="s">
        <v>13338</v>
      </c>
      <c r="W2582" t="s">
        <v>15880</v>
      </c>
      <c r="X2582">
        <v>29</v>
      </c>
      <c r="Y2582" t="s">
        <v>22438</v>
      </c>
      <c r="Z2582" t="s">
        <v>28997</v>
      </c>
      <c r="AA2582">
        <v>0.42690171472838351</v>
      </c>
      <c r="AB2582" t="str">
        <f>HYPERLINK("Melting_Curves/meltCurve_P45974_2_USP5.pdf", "Melting_Curves/meltCurve_P45974_2_USP5.pdf")</f>
        <v>Melting_Curves/meltCurve_P45974_2_USP5.pdf</v>
      </c>
    </row>
    <row r="2583" spans="1:28" x14ac:dyDescent="0.25">
      <c r="A2583" t="s">
        <v>2587</v>
      </c>
      <c r="B2583">
        <v>0.99193492352474899</v>
      </c>
      <c r="C2583">
        <v>0.82042348788072905</v>
      </c>
      <c r="D2583">
        <v>0.84611662912138597</v>
      </c>
      <c r="E2583">
        <v>0.41131137361341003</v>
      </c>
      <c r="F2583">
        <v>0.245679953956397</v>
      </c>
      <c r="G2583">
        <v>0.14235683098047799</v>
      </c>
      <c r="H2583">
        <v>8.8882741173223603E-2</v>
      </c>
      <c r="I2583">
        <v>9.8730669058137099E-2</v>
      </c>
      <c r="J2583">
        <v>0.109034468712308</v>
      </c>
      <c r="K2583">
        <v>0.122490120909612</v>
      </c>
      <c r="L2583">
        <v>947.04440374132298</v>
      </c>
      <c r="M2583">
        <v>19.539396940247901</v>
      </c>
      <c r="N2583">
        <v>49.007929423043599</v>
      </c>
      <c r="O2583">
        <v>47.969343289763501</v>
      </c>
      <c r="P2583">
        <v>-9.1982223452318795E-2</v>
      </c>
      <c r="Q2583">
        <v>9.6764462115938199E-2</v>
      </c>
      <c r="R2583">
        <v>0.98086569791684397</v>
      </c>
      <c r="S2583" t="s">
        <v>9253</v>
      </c>
      <c r="T2583" t="s">
        <v>13338</v>
      </c>
      <c r="U2583" t="s">
        <v>13338</v>
      </c>
      <c r="V2583" t="s">
        <v>13338</v>
      </c>
      <c r="W2583" t="s">
        <v>15881</v>
      </c>
      <c r="X2583">
        <v>11</v>
      </c>
      <c r="Y2583" t="s">
        <v>22439</v>
      </c>
      <c r="Z2583" t="s">
        <v>28998</v>
      </c>
      <c r="AA2583">
        <v>0.36509411069140302</v>
      </c>
      <c r="AB2583" t="str">
        <f>HYPERLINK("Melting_Curves/meltCurve_P45983_3_MAPK8.pdf", "Melting_Curves/meltCurve_P45983_3_MAPK8.pdf")</f>
        <v>Melting_Curves/meltCurve_P45983_3_MAPK8.pdf</v>
      </c>
    </row>
    <row r="2584" spans="1:28" x14ac:dyDescent="0.25">
      <c r="A2584" t="s">
        <v>2588</v>
      </c>
      <c r="B2584">
        <v>0.99193492352474899</v>
      </c>
      <c r="C2584">
        <v>0.73325591064847795</v>
      </c>
      <c r="D2584">
        <v>0.80783227078084596</v>
      </c>
      <c r="E2584">
        <v>0.55824747502027094</v>
      </c>
      <c r="F2584">
        <v>0.43465781537557902</v>
      </c>
      <c r="G2584">
        <v>0.157265340381464</v>
      </c>
      <c r="H2584">
        <v>6.1516153672315103E-2</v>
      </c>
      <c r="I2584">
        <v>4.8750498403334903E-2</v>
      </c>
      <c r="J2584">
        <v>4.9836106009801498E-2</v>
      </c>
      <c r="K2584">
        <v>6.2373324243794201E-2</v>
      </c>
      <c r="L2584">
        <v>589.89933650054604</v>
      </c>
      <c r="M2584">
        <v>11.694891561334201</v>
      </c>
      <c r="N2584">
        <v>50.440770025215997</v>
      </c>
      <c r="O2584">
        <v>49.033672333053097</v>
      </c>
      <c r="P2584">
        <v>-5.9642720450631098E-2</v>
      </c>
      <c r="Q2584">
        <v>0</v>
      </c>
      <c r="R2584">
        <v>0.96433286542233898</v>
      </c>
      <c r="S2584" t="s">
        <v>9254</v>
      </c>
      <c r="T2584" t="s">
        <v>13338</v>
      </c>
      <c r="U2584" t="s">
        <v>13338</v>
      </c>
      <c r="V2584" t="s">
        <v>13338</v>
      </c>
      <c r="W2584" t="s">
        <v>15882</v>
      </c>
      <c r="X2584">
        <v>9</v>
      </c>
      <c r="Y2584" t="s">
        <v>22440</v>
      </c>
      <c r="Z2584" t="s">
        <v>28999</v>
      </c>
      <c r="AA2584">
        <v>0.38307457286139929</v>
      </c>
      <c r="AB2584" t="str">
        <f>HYPERLINK("Melting_Curves/meltCurve_P45984_2_MAPK9.pdf", "Melting_Curves/meltCurve_P45984_2_MAPK9.pdf")</f>
        <v>Melting_Curves/meltCurve_P45984_2_MAPK9.pdf</v>
      </c>
    </row>
    <row r="2585" spans="1:28" x14ac:dyDescent="0.25">
      <c r="A2585" t="s">
        <v>2589</v>
      </c>
      <c r="B2585">
        <v>0.99193492352474899</v>
      </c>
      <c r="C2585">
        <v>0.87169637022527602</v>
      </c>
      <c r="D2585">
        <v>0.86866058526942402</v>
      </c>
      <c r="E2585">
        <v>0.76528881276875405</v>
      </c>
      <c r="F2585">
        <v>0.23198356188403599</v>
      </c>
      <c r="G2585">
        <v>9.6182901181009001E-2</v>
      </c>
      <c r="H2585">
        <v>6.1888188445002303E-2</v>
      </c>
      <c r="I2585">
        <v>6.6610706907511599E-2</v>
      </c>
      <c r="J2585">
        <v>6.4103131539744507E-2</v>
      </c>
      <c r="K2585">
        <v>7.5050894975087504E-2</v>
      </c>
      <c r="L2585">
        <v>1644.5134582227099</v>
      </c>
      <c r="M2585">
        <v>32.251908154479104</v>
      </c>
      <c r="N2585">
        <v>51.200363766070303</v>
      </c>
      <c r="O2585">
        <v>50.7948180515289</v>
      </c>
      <c r="P2585">
        <v>-0.14887140421793499</v>
      </c>
      <c r="Q2585">
        <v>6.2150524948996602E-2</v>
      </c>
      <c r="R2585">
        <v>0.98063264810052597</v>
      </c>
      <c r="S2585" t="s">
        <v>9255</v>
      </c>
      <c r="T2585" t="s">
        <v>13338</v>
      </c>
      <c r="U2585" t="s">
        <v>13338</v>
      </c>
      <c r="V2585" t="s">
        <v>13338</v>
      </c>
      <c r="W2585" t="s">
        <v>15883</v>
      </c>
      <c r="X2585">
        <v>13</v>
      </c>
      <c r="Y2585" t="s">
        <v>22441</v>
      </c>
      <c r="Z2585" t="s">
        <v>29000</v>
      </c>
      <c r="AA2585">
        <v>0.41080372886472782</v>
      </c>
      <c r="AB2585" t="str">
        <f>HYPERLINK("Melting_Curves/meltCurve_P45985_MAP2K4.pdf", "Melting_Curves/meltCurve_P45985_MAP2K4.pdf")</f>
        <v>Melting_Curves/meltCurve_P45985_MAP2K4.pdf</v>
      </c>
    </row>
    <row r="2586" spans="1:28" x14ac:dyDescent="0.25">
      <c r="A2586" t="s">
        <v>2590</v>
      </c>
      <c r="B2586">
        <v>0.99193492352474899</v>
      </c>
      <c r="C2586">
        <v>0.36739512039910999</v>
      </c>
      <c r="D2586">
        <v>0.52222704008341203</v>
      </c>
      <c r="E2586">
        <v>0.27205915966210897</v>
      </c>
      <c r="F2586">
        <v>0.223509638364147</v>
      </c>
      <c r="G2586">
        <v>0.14690067520227501</v>
      </c>
      <c r="H2586">
        <v>0.17226839922107801</v>
      </c>
      <c r="I2586">
        <v>0.29929993515737002</v>
      </c>
      <c r="J2586">
        <v>0.66108155096876398</v>
      </c>
      <c r="K2586">
        <v>0.653072668856165</v>
      </c>
      <c r="L2586">
        <v>10173.8974634278</v>
      </c>
      <c r="M2586">
        <v>250</v>
      </c>
      <c r="N2586">
        <v>40.914354534828597</v>
      </c>
      <c r="O2586">
        <v>40.692985468361201</v>
      </c>
      <c r="P2586">
        <v>-0.96969132804659397</v>
      </c>
      <c r="Q2586">
        <v>0.36864583667022999</v>
      </c>
      <c r="R2586">
        <v>0.52769216924829598</v>
      </c>
      <c r="S2586" t="s">
        <v>9256</v>
      </c>
      <c r="T2586" t="s">
        <v>13338</v>
      </c>
      <c r="U2586" t="s">
        <v>13338</v>
      </c>
      <c r="V2586" t="s">
        <v>13338</v>
      </c>
      <c r="W2586" t="s">
        <v>15884</v>
      </c>
      <c r="X2586">
        <v>28</v>
      </c>
      <c r="Y2586" t="s">
        <v>22442</v>
      </c>
      <c r="Z2586" t="s">
        <v>29001</v>
      </c>
      <c r="AA2586">
        <v>0.38337193348146897</v>
      </c>
      <c r="AB2586" t="str">
        <f>HYPERLINK("Melting_Curves/meltCurve_P46013_MKI67.pdf", "Melting_Curves/meltCurve_P46013_MKI67.pdf")</f>
        <v>Melting_Curves/meltCurve_P46013_MKI67.pdf</v>
      </c>
    </row>
    <row r="2587" spans="1:28" x14ac:dyDescent="0.25">
      <c r="A2587" t="s">
        <v>2591</v>
      </c>
      <c r="B2587">
        <v>0.99193492352474899</v>
      </c>
      <c r="C2587">
        <v>0.78528207068674805</v>
      </c>
      <c r="D2587">
        <v>0.78475699643264296</v>
      </c>
      <c r="E2587">
        <v>0.36995157435036202</v>
      </c>
      <c r="F2587">
        <v>0.175175780285451</v>
      </c>
      <c r="G2587">
        <v>8.7917418613252002E-2</v>
      </c>
      <c r="H2587">
        <v>5.2216026120370698E-2</v>
      </c>
      <c r="I2587">
        <v>5.7140464279679698E-2</v>
      </c>
      <c r="J2587">
        <v>6.4155959515653602E-2</v>
      </c>
      <c r="K2587">
        <v>5.9913044449780503E-2</v>
      </c>
      <c r="L2587">
        <v>857.83485875249198</v>
      </c>
      <c r="M2587">
        <v>17.8505816430587</v>
      </c>
      <c r="N2587">
        <v>48.295952969464601</v>
      </c>
      <c r="O2587">
        <v>47.465486956674503</v>
      </c>
      <c r="P2587">
        <v>-9.0039942559875505E-2</v>
      </c>
      <c r="Q2587">
        <v>4.2368365730534499E-2</v>
      </c>
      <c r="R2587">
        <v>0.98252523325269603</v>
      </c>
      <c r="S2587" t="s">
        <v>9257</v>
      </c>
      <c r="T2587" t="s">
        <v>13338</v>
      </c>
      <c r="U2587" t="s">
        <v>13338</v>
      </c>
      <c r="V2587" t="s">
        <v>13338</v>
      </c>
      <c r="W2587" t="s">
        <v>15885</v>
      </c>
      <c r="X2587">
        <v>20</v>
      </c>
      <c r="Y2587" t="s">
        <v>22443</v>
      </c>
      <c r="Z2587" t="s">
        <v>29002</v>
      </c>
      <c r="AA2587">
        <v>0.31679648072236433</v>
      </c>
      <c r="AB2587" t="str">
        <f>HYPERLINK("Melting_Curves/meltCurve_P46060_RANGAP1.pdf", "Melting_Curves/meltCurve_P46060_RANGAP1.pdf")</f>
        <v>Melting_Curves/meltCurve_P46060_RANGAP1.pdf</v>
      </c>
    </row>
    <row r="2588" spans="1:28" x14ac:dyDescent="0.25">
      <c r="A2588" t="s">
        <v>2592</v>
      </c>
      <c r="B2588">
        <v>0.99193492352474899</v>
      </c>
      <c r="C2588">
        <v>0.91073604473702896</v>
      </c>
      <c r="D2588">
        <v>1.0434734611348599</v>
      </c>
      <c r="E2588">
        <v>0.79985490222674005</v>
      </c>
      <c r="F2588">
        <v>0.35778340861278901</v>
      </c>
      <c r="G2588">
        <v>0.12635278912672299</v>
      </c>
      <c r="H2588">
        <v>7.3736632576794303E-2</v>
      </c>
      <c r="I2588">
        <v>8.4297987280595205E-2</v>
      </c>
      <c r="J2588">
        <v>8.2927861271931899E-2</v>
      </c>
      <c r="K2588">
        <v>8.0964860173025205E-2</v>
      </c>
      <c r="L2588">
        <v>1643.87237284859</v>
      </c>
      <c r="M2588">
        <v>31.768138388872298</v>
      </c>
      <c r="N2588">
        <v>52.023144390132899</v>
      </c>
      <c r="O2588">
        <v>51.542212730756802</v>
      </c>
      <c r="P2588">
        <v>-0.14209137663048299</v>
      </c>
      <c r="Q2588">
        <v>7.7860515814963005E-2</v>
      </c>
      <c r="R2588">
        <v>0.99272948130299199</v>
      </c>
      <c r="S2588" t="s">
        <v>9258</v>
      </c>
      <c r="T2588" t="s">
        <v>13338</v>
      </c>
      <c r="U2588" t="s">
        <v>13338</v>
      </c>
      <c r="V2588" t="s">
        <v>13338</v>
      </c>
      <c r="W2588" t="s">
        <v>15886</v>
      </c>
      <c r="X2588">
        <v>20</v>
      </c>
      <c r="Y2588" t="s">
        <v>22444</v>
      </c>
      <c r="Z2588" t="s">
        <v>29003</v>
      </c>
      <c r="AA2588">
        <v>0.44414262885838701</v>
      </c>
      <c r="AB2588" t="str">
        <f>HYPERLINK("Melting_Curves/meltCurve_P46063_RECQL.pdf", "Melting_Curves/meltCurve_P46063_RECQL.pdf")</f>
        <v>Melting_Curves/meltCurve_P46063_RECQL.pdf</v>
      </c>
    </row>
    <row r="2589" spans="1:28" x14ac:dyDescent="0.25">
      <c r="A2589" t="s">
        <v>2593</v>
      </c>
      <c r="B2589">
        <v>0.99193492352474899</v>
      </c>
      <c r="C2589">
        <v>0.45255244532208</v>
      </c>
      <c r="D2589">
        <v>0.63490834041549904</v>
      </c>
      <c r="E2589">
        <v>0.82344106558153896</v>
      </c>
      <c r="F2589">
        <v>0.63166866665158705</v>
      </c>
      <c r="G2589">
        <v>0.189697891672688</v>
      </c>
      <c r="H2589">
        <v>0.14610689719329201</v>
      </c>
      <c r="I2589">
        <v>0.149822091355926</v>
      </c>
      <c r="J2589">
        <v>0.21233515560303701</v>
      </c>
      <c r="K2589">
        <v>0.28504324165738898</v>
      </c>
      <c r="L2589">
        <v>311.75034514373903</v>
      </c>
      <c r="M2589">
        <v>6.0558396981016704</v>
      </c>
      <c r="N2589">
        <v>51.479292250077599</v>
      </c>
      <c r="O2589">
        <v>46.710206856324</v>
      </c>
      <c r="P2589">
        <v>-3.2513318601530401E-2</v>
      </c>
      <c r="Q2589">
        <v>0</v>
      </c>
      <c r="R2589">
        <v>0.64558608813019203</v>
      </c>
      <c r="S2589" t="s">
        <v>9259</v>
      </c>
      <c r="T2589" t="s">
        <v>13338</v>
      </c>
      <c r="U2589" t="s">
        <v>13338</v>
      </c>
      <c r="V2589" t="s">
        <v>13338</v>
      </c>
      <c r="W2589" t="s">
        <v>15887</v>
      </c>
      <c r="X2589">
        <v>6</v>
      </c>
      <c r="Y2589" t="s">
        <v>22445</v>
      </c>
      <c r="Z2589" t="s">
        <v>29004</v>
      </c>
      <c r="AA2589">
        <v>0.4458079050230207</v>
      </c>
      <c r="AB2589" t="str">
        <f>HYPERLINK("Melting_Curves/meltCurve_P46087_NOP2.pdf", "Melting_Curves/meltCurve_P46087_NOP2.pdf")</f>
        <v>Melting_Curves/meltCurve_P46087_NOP2.pdf</v>
      </c>
    </row>
    <row r="2590" spans="1:28" x14ac:dyDescent="0.25">
      <c r="A2590" t="s">
        <v>2594</v>
      </c>
      <c r="B2590">
        <v>0.99193492352474899</v>
      </c>
      <c r="C2590">
        <v>0.70025779593980497</v>
      </c>
      <c r="D2590">
        <v>0.69042113454666199</v>
      </c>
      <c r="E2590">
        <v>0.465160900587683</v>
      </c>
      <c r="F2590">
        <v>0.34082404019579998</v>
      </c>
      <c r="G2590">
        <v>0.25086916127889802</v>
      </c>
      <c r="H2590">
        <v>0.22418332128910201</v>
      </c>
      <c r="I2590">
        <v>0.26895686493677601</v>
      </c>
      <c r="J2590">
        <v>0.21745572787173401</v>
      </c>
      <c r="K2590">
        <v>0.33541655865145797</v>
      </c>
      <c r="L2590">
        <v>648.89226122372304</v>
      </c>
      <c r="M2590">
        <v>14.052914704374199</v>
      </c>
      <c r="N2590">
        <v>48.457680141670103</v>
      </c>
      <c r="O2590">
        <v>45.270063686901501</v>
      </c>
      <c r="P2590">
        <v>-5.8825824872504297E-2</v>
      </c>
      <c r="Q2590">
        <v>0.24209285323070101</v>
      </c>
      <c r="R2590">
        <v>0.94740162086854396</v>
      </c>
      <c r="S2590" t="s">
        <v>9260</v>
      </c>
      <c r="T2590" t="s">
        <v>13338</v>
      </c>
      <c r="U2590" t="s">
        <v>13338</v>
      </c>
      <c r="V2590" t="s">
        <v>13338</v>
      </c>
      <c r="W2590" t="s">
        <v>15888</v>
      </c>
      <c r="X2590">
        <v>3</v>
      </c>
      <c r="Y2590" t="s">
        <v>22446</v>
      </c>
      <c r="Z2590" t="s">
        <v>29005</v>
      </c>
      <c r="AA2590">
        <v>0.42306730778112572</v>
      </c>
      <c r="AB2590" t="str">
        <f>HYPERLINK("Melting_Curves/meltCurve_P46100_4_ATRX.pdf", "Melting_Curves/meltCurve_P46100_4_ATRX.pdf")</f>
        <v>Melting_Curves/meltCurve_P46100_4_ATRX.pdf</v>
      </c>
    </row>
    <row r="2591" spans="1:28" x14ac:dyDescent="0.25">
      <c r="A2591" t="s">
        <v>2595</v>
      </c>
      <c r="B2591">
        <v>0.99193492352474899</v>
      </c>
      <c r="C2591">
        <v>0.87998033223046501</v>
      </c>
      <c r="D2591">
        <v>0.75463702986822501</v>
      </c>
      <c r="E2591">
        <v>0.46510629180852497</v>
      </c>
      <c r="F2591">
        <v>0.21775098769669399</v>
      </c>
      <c r="G2591">
        <v>0.11741461251626401</v>
      </c>
      <c r="H2591">
        <v>7.7575596344698697E-2</v>
      </c>
      <c r="I2591">
        <v>7.9831066420776406E-2</v>
      </c>
      <c r="J2591">
        <v>0.103491120787449</v>
      </c>
      <c r="K2591">
        <v>0.10993230968156199</v>
      </c>
      <c r="L2591">
        <v>880.82448337629</v>
      </c>
      <c r="M2591">
        <v>18.172600999129401</v>
      </c>
      <c r="N2591">
        <v>48.923239298602503</v>
      </c>
      <c r="O2591">
        <v>47.894420869134898</v>
      </c>
      <c r="P2591">
        <v>-8.7511585328891695E-2</v>
      </c>
      <c r="Q2591">
        <v>7.7486501085481801E-2</v>
      </c>
      <c r="R2591">
        <v>0.996143565153505</v>
      </c>
      <c r="S2591" t="s">
        <v>9261</v>
      </c>
      <c r="T2591" t="s">
        <v>13338</v>
      </c>
      <c r="U2591" t="s">
        <v>13338</v>
      </c>
      <c r="V2591" t="s">
        <v>13338</v>
      </c>
      <c r="W2591" t="s">
        <v>15889</v>
      </c>
      <c r="X2591">
        <v>10</v>
      </c>
      <c r="Y2591" t="s">
        <v>22447</v>
      </c>
      <c r="Z2591" t="s">
        <v>29006</v>
      </c>
      <c r="AA2591">
        <v>0.35378831059832577</v>
      </c>
      <c r="AB2591" t="str">
        <f>HYPERLINK("Melting_Curves/meltCurve_P46108_CRK.pdf", "Melting_Curves/meltCurve_P46108_CRK.pdf")</f>
        <v>Melting_Curves/meltCurve_P46108_CRK.pdf</v>
      </c>
    </row>
    <row r="2592" spans="1:28" x14ac:dyDescent="0.25">
      <c r="A2592" t="s">
        <v>2596</v>
      </c>
      <c r="B2592">
        <v>0.99193492352474899</v>
      </c>
      <c r="C2592">
        <v>0.79261265704059802</v>
      </c>
      <c r="D2592">
        <v>0.81925103208928796</v>
      </c>
      <c r="E2592">
        <v>0.39171778731903101</v>
      </c>
      <c r="F2592">
        <v>0.184818715995964</v>
      </c>
      <c r="G2592">
        <v>9.6229872233838998E-2</v>
      </c>
      <c r="H2592">
        <v>6.8534974844344995E-2</v>
      </c>
      <c r="I2592">
        <v>9.3015143451457394E-2</v>
      </c>
      <c r="J2592">
        <v>0.11495698361230799</v>
      </c>
      <c r="K2592">
        <v>0.124631087195907</v>
      </c>
      <c r="L2592">
        <v>983.47431327475499</v>
      </c>
      <c r="M2592">
        <v>20.4469564502878</v>
      </c>
      <c r="N2592">
        <v>48.544956779029803</v>
      </c>
      <c r="O2592">
        <v>47.645849581631197</v>
      </c>
      <c r="P2592">
        <v>-9.8098930375053101E-2</v>
      </c>
      <c r="Q2592">
        <v>8.5660425109589503E-2</v>
      </c>
      <c r="R2592">
        <v>0.97535682166180004</v>
      </c>
      <c r="S2592" t="s">
        <v>9262</v>
      </c>
      <c r="T2592" t="s">
        <v>13338</v>
      </c>
      <c r="U2592" t="s">
        <v>13338</v>
      </c>
      <c r="V2592" t="s">
        <v>13338</v>
      </c>
      <c r="W2592" t="s">
        <v>15890</v>
      </c>
      <c r="X2592">
        <v>15</v>
      </c>
      <c r="Y2592" t="s">
        <v>22448</v>
      </c>
      <c r="Z2592" t="s">
        <v>29007</v>
      </c>
      <c r="AA2592">
        <v>0.34487240839123029</v>
      </c>
      <c r="AB2592" t="str">
        <f>HYPERLINK("Melting_Curves/meltCurve_P46109_CRKL.pdf", "Melting_Curves/meltCurve_P46109_CRKL.pdf")</f>
        <v>Melting_Curves/meltCurve_P46109_CRKL.pdf</v>
      </c>
    </row>
    <row r="2593" spans="1:28" x14ac:dyDescent="0.25">
      <c r="A2593" t="s">
        <v>2597</v>
      </c>
      <c r="B2593">
        <v>0.99193492352474899</v>
      </c>
      <c r="C2593">
        <v>0.64116204463534598</v>
      </c>
      <c r="D2593">
        <v>0.72836027030529205</v>
      </c>
      <c r="E2593">
        <v>0.22204764800499399</v>
      </c>
      <c r="F2593">
        <v>0.11197006007954199</v>
      </c>
      <c r="G2593">
        <v>5.3342521948839698E-2</v>
      </c>
      <c r="H2593">
        <v>3.7413888774055201E-2</v>
      </c>
      <c r="I2593">
        <v>2.8144860003928299E-2</v>
      </c>
      <c r="J2593">
        <v>3.8825747676255899E-2</v>
      </c>
      <c r="K2593">
        <v>5.9992673063239799E-2</v>
      </c>
      <c r="L2593">
        <v>757.48619402109705</v>
      </c>
      <c r="M2593">
        <v>16.234346186942901</v>
      </c>
      <c r="N2593">
        <v>46.7697696130423</v>
      </c>
      <c r="O2593">
        <v>45.9687334414742</v>
      </c>
      <c r="P2593">
        <v>-8.6638555429026098E-2</v>
      </c>
      <c r="Q2593">
        <v>1.87792189118824E-2</v>
      </c>
      <c r="R2593">
        <v>0.94386645968920302</v>
      </c>
      <c r="S2593" t="s">
        <v>9263</v>
      </c>
      <c r="T2593" t="s">
        <v>13338</v>
      </c>
      <c r="U2593" t="s">
        <v>13338</v>
      </c>
      <c r="V2593" t="s">
        <v>13338</v>
      </c>
      <c r="W2593" t="s">
        <v>15891</v>
      </c>
      <c r="X2593">
        <v>1</v>
      </c>
      <c r="Y2593" t="s">
        <v>22449</v>
      </c>
      <c r="Z2593" t="s">
        <v>29008</v>
      </c>
      <c r="AA2593">
        <v>0.25966462099308191</v>
      </c>
      <c r="AB2593" t="str">
        <f>HYPERLINK("Melting_Curves/meltCurve_P46199_MTIF2.pdf", "Melting_Curves/meltCurve_P46199_MTIF2.pdf")</f>
        <v>Melting_Curves/meltCurve_P46199_MTIF2.pdf</v>
      </c>
    </row>
    <row r="2594" spans="1:28" x14ac:dyDescent="0.25">
      <c r="A2594" t="s">
        <v>2598</v>
      </c>
      <c r="B2594">
        <v>0.99193492352474899</v>
      </c>
      <c r="C2594">
        <v>0.79215236105247899</v>
      </c>
      <c r="D2594">
        <v>0.85747424020292295</v>
      </c>
      <c r="E2594">
        <v>0.66411973186705497</v>
      </c>
      <c r="F2594">
        <v>0.51236391950419702</v>
      </c>
      <c r="G2594">
        <v>0.42021552219304698</v>
      </c>
      <c r="H2594">
        <v>0.34004799101530597</v>
      </c>
      <c r="I2594">
        <v>0.50728408056090002</v>
      </c>
      <c r="J2594">
        <v>0.55729011498653303</v>
      </c>
      <c r="K2594">
        <v>0.76641549781968799</v>
      </c>
      <c r="L2594">
        <v>837.03623182688398</v>
      </c>
      <c r="M2594">
        <v>18.031790967773102</v>
      </c>
      <c r="O2594">
        <v>45.860411231743498</v>
      </c>
      <c r="P2594">
        <v>-4.7827596068981598E-2</v>
      </c>
      <c r="Q2594">
        <v>0.51346260187763104</v>
      </c>
      <c r="R2594">
        <v>0.656646463099823</v>
      </c>
      <c r="S2594" t="s">
        <v>9264</v>
      </c>
      <c r="T2594" t="s">
        <v>13338</v>
      </c>
      <c r="U2594" t="s">
        <v>13338</v>
      </c>
      <c r="V2594" t="s">
        <v>13338</v>
      </c>
      <c r="W2594" t="s">
        <v>15892</v>
      </c>
      <c r="X2594">
        <v>3</v>
      </c>
      <c r="Y2594" t="s">
        <v>22450</v>
      </c>
      <c r="Z2594" t="s">
        <v>29009</v>
      </c>
      <c r="AA2594">
        <v>0.62682021622449924</v>
      </c>
      <c r="AB2594" t="str">
        <f>HYPERLINK("Melting_Curves/meltCurve_P46527_CDKN1B.pdf", "Melting_Curves/meltCurve_P46527_CDKN1B.pdf")</f>
        <v>Melting_Curves/meltCurve_P46527_CDKN1B.pdf</v>
      </c>
    </row>
    <row r="2595" spans="1:28" x14ac:dyDescent="0.25">
      <c r="A2595" t="s">
        <v>2599</v>
      </c>
      <c r="B2595">
        <v>0.99193492352474899</v>
      </c>
      <c r="C2595">
        <v>1.00999791897484</v>
      </c>
      <c r="D2595">
        <v>0.81337662273225797</v>
      </c>
      <c r="E2595">
        <v>0.92788399387645404</v>
      </c>
      <c r="F2595">
        <v>0.79254611499361105</v>
      </c>
      <c r="G2595">
        <v>0.75232183221105897</v>
      </c>
      <c r="H2595">
        <v>0.40655692986286901</v>
      </c>
      <c r="I2595">
        <v>0.60394975009691299</v>
      </c>
      <c r="J2595">
        <v>0.51691329773760697</v>
      </c>
      <c r="K2595">
        <v>0.562673063693089</v>
      </c>
      <c r="L2595">
        <v>692.38397980321804</v>
      </c>
      <c r="M2595">
        <v>12.7773283262612</v>
      </c>
      <c r="O2595">
        <v>52.912606039346898</v>
      </c>
      <c r="P2595">
        <v>-3.1019716079859101E-2</v>
      </c>
      <c r="Q2595">
        <v>0.48627009962705597</v>
      </c>
      <c r="R2595">
        <v>0.82557809823331496</v>
      </c>
      <c r="S2595" t="s">
        <v>9265</v>
      </c>
      <c r="T2595" t="s">
        <v>13338</v>
      </c>
      <c r="U2595" t="s">
        <v>13338</v>
      </c>
      <c r="V2595" t="s">
        <v>13338</v>
      </c>
      <c r="W2595" t="s">
        <v>15893</v>
      </c>
      <c r="X2595">
        <v>6</v>
      </c>
      <c r="Y2595" t="s">
        <v>22451</v>
      </c>
      <c r="Z2595" t="s">
        <v>29010</v>
      </c>
      <c r="AA2595">
        <v>0.74166535177237713</v>
      </c>
      <c r="AB2595" t="str">
        <f>HYPERLINK("Melting_Curves/meltCurve_P46531_NOTCH1.pdf", "Melting_Curves/meltCurve_P46531_NOTCH1.pdf")</f>
        <v>Melting_Curves/meltCurve_P46531_NOTCH1.pdf</v>
      </c>
    </row>
    <row r="2596" spans="1:28" x14ac:dyDescent="0.25">
      <c r="A2596" t="s">
        <v>2600</v>
      </c>
      <c r="B2596">
        <v>0.99193492352474899</v>
      </c>
      <c r="C2596">
        <v>0.79667744654875505</v>
      </c>
      <c r="D2596">
        <v>1.0028487324876001</v>
      </c>
      <c r="E2596">
        <v>0.55335570461073602</v>
      </c>
      <c r="F2596">
        <v>0.17279631075107299</v>
      </c>
      <c r="G2596">
        <v>8.4318901545487795E-2</v>
      </c>
      <c r="H2596">
        <v>6.0982579207322599E-2</v>
      </c>
      <c r="I2596">
        <v>5.9707899588831798E-2</v>
      </c>
      <c r="J2596">
        <v>6.6761061729283699E-2</v>
      </c>
      <c r="K2596">
        <v>7.4059746304072693E-2</v>
      </c>
      <c r="L2596">
        <v>1743.7805823763199</v>
      </c>
      <c r="M2596">
        <v>35.018553400962297</v>
      </c>
      <c r="N2596">
        <v>50.005284371676197</v>
      </c>
      <c r="O2596">
        <v>49.634356589837097</v>
      </c>
      <c r="P2596">
        <v>-0.16435610403173101</v>
      </c>
      <c r="Q2596">
        <v>6.8187577714487399E-2</v>
      </c>
      <c r="R2596">
        <v>0.97094488333429696</v>
      </c>
      <c r="S2596" t="s">
        <v>9266</v>
      </c>
      <c r="T2596" t="s">
        <v>13338</v>
      </c>
      <c r="U2596" t="s">
        <v>13338</v>
      </c>
      <c r="V2596" t="s">
        <v>13338</v>
      </c>
      <c r="W2596" t="s">
        <v>15894</v>
      </c>
      <c r="X2596">
        <v>11</v>
      </c>
      <c r="Y2596" t="s">
        <v>22452</v>
      </c>
      <c r="Z2596" t="s">
        <v>29011</v>
      </c>
      <c r="AA2596">
        <v>0.37665110254234302</v>
      </c>
      <c r="AB2596" t="str">
        <f>HYPERLINK("Melting_Curves/meltCurve_P46734_MAP2K3.pdf", "Melting_Curves/meltCurve_P46734_MAP2K3.pdf")</f>
        <v>Melting_Curves/meltCurve_P46734_MAP2K3.pdf</v>
      </c>
    </row>
    <row r="2597" spans="1:28" x14ac:dyDescent="0.25">
      <c r="A2597" t="s">
        <v>2601</v>
      </c>
      <c r="B2597">
        <v>0.99193492352474899</v>
      </c>
      <c r="C2597">
        <v>0.92152685262233602</v>
      </c>
      <c r="D2597">
        <v>0.98479551302878598</v>
      </c>
      <c r="E2597">
        <v>0.87166139223913597</v>
      </c>
      <c r="F2597">
        <v>0.90962794564593297</v>
      </c>
      <c r="G2597">
        <v>0.72950664675163401</v>
      </c>
      <c r="H2597">
        <v>0.40952750002282001</v>
      </c>
      <c r="I2597">
        <v>0.25716304241439603</v>
      </c>
      <c r="J2597">
        <v>0.186018316893584</v>
      </c>
      <c r="K2597">
        <v>0.14492103993696601</v>
      </c>
      <c r="L2597">
        <v>1062.68420647516</v>
      </c>
      <c r="M2597">
        <v>17.988235632954801</v>
      </c>
      <c r="N2597">
        <v>59.695843875238197</v>
      </c>
      <c r="O2597">
        <v>58.361025232074702</v>
      </c>
      <c r="P2597">
        <v>-7.0501309673201396E-2</v>
      </c>
      <c r="Q2597">
        <v>8.5107562716523505E-2</v>
      </c>
      <c r="R2597">
        <v>0.98381419996942698</v>
      </c>
      <c r="S2597" t="s">
        <v>9267</v>
      </c>
      <c r="T2597" t="s">
        <v>13338</v>
      </c>
      <c r="U2597" t="s">
        <v>13338</v>
      </c>
      <c r="V2597" t="s">
        <v>13338</v>
      </c>
      <c r="W2597" t="s">
        <v>15895</v>
      </c>
      <c r="X2597">
        <v>7</v>
      </c>
      <c r="Y2597" t="s">
        <v>22453</v>
      </c>
      <c r="Z2597" t="s">
        <v>29012</v>
      </c>
      <c r="AA2597">
        <v>0.676419631266438</v>
      </c>
      <c r="AB2597" t="str">
        <f>HYPERLINK("Melting_Curves/meltCurve_P46736_2_BRCC3.pdf", "Melting_Curves/meltCurve_P46736_2_BRCC3.pdf")</f>
        <v>Melting_Curves/meltCurve_P46736_2_BRCC3.pdf</v>
      </c>
    </row>
    <row r="2598" spans="1:28" x14ac:dyDescent="0.25">
      <c r="A2598" t="s">
        <v>2602</v>
      </c>
      <c r="B2598">
        <v>0.99193492352474899</v>
      </c>
      <c r="C2598">
        <v>0.89769066209628201</v>
      </c>
      <c r="D2598">
        <v>0.90592669165288697</v>
      </c>
      <c r="E2598">
        <v>0.72639584289737402</v>
      </c>
      <c r="F2598">
        <v>0.53712046562134397</v>
      </c>
      <c r="G2598">
        <v>0.34072689280711499</v>
      </c>
      <c r="H2598">
        <v>0.105183562790598</v>
      </c>
      <c r="I2598">
        <v>0.104336863010154</v>
      </c>
      <c r="J2598">
        <v>0.12110035334253701</v>
      </c>
      <c r="K2598">
        <v>0.12708961590026899</v>
      </c>
      <c r="L2598">
        <v>756.09214354994594</v>
      </c>
      <c r="M2598">
        <v>14.297629198727099</v>
      </c>
      <c r="N2598">
        <v>53.333463015985501</v>
      </c>
      <c r="O2598">
        <v>51.880104036184697</v>
      </c>
      <c r="P2598">
        <v>-6.4981347075376297E-2</v>
      </c>
      <c r="Q2598">
        <v>5.6954652712463097E-2</v>
      </c>
      <c r="R2598">
        <v>0.98737851433398105</v>
      </c>
      <c r="S2598" t="s">
        <v>9268</v>
      </c>
      <c r="T2598" t="s">
        <v>13338</v>
      </c>
      <c r="U2598" t="s">
        <v>13338</v>
      </c>
      <c r="V2598" t="s">
        <v>13338</v>
      </c>
      <c r="W2598" t="s">
        <v>15896</v>
      </c>
      <c r="X2598">
        <v>31</v>
      </c>
      <c r="Y2598" t="s">
        <v>22454</v>
      </c>
      <c r="Z2598" t="s">
        <v>29013</v>
      </c>
      <c r="AA2598">
        <v>0.48369706716586702</v>
      </c>
      <c r="AB2598" t="str">
        <f>HYPERLINK("Melting_Curves/meltCurve_P46777_RPL5.pdf", "Melting_Curves/meltCurve_P46777_RPL5.pdf")</f>
        <v>Melting_Curves/meltCurve_P46777_RPL5.pdf</v>
      </c>
    </row>
    <row r="2599" spans="1:28" x14ac:dyDescent="0.25">
      <c r="A2599" t="s">
        <v>2603</v>
      </c>
      <c r="B2599">
        <v>0.99193492352474899</v>
      </c>
      <c r="C2599">
        <v>0.72777948112927104</v>
      </c>
      <c r="D2599">
        <v>0.758490240529758</v>
      </c>
      <c r="E2599">
        <v>0.66516022454691703</v>
      </c>
      <c r="F2599">
        <v>0.57727042291845598</v>
      </c>
      <c r="G2599">
        <v>0.26841631038316299</v>
      </c>
      <c r="H2599">
        <v>8.1038318441611398E-2</v>
      </c>
      <c r="I2599">
        <v>8.0577783564789202E-2</v>
      </c>
      <c r="J2599">
        <v>9.7437182763676702E-2</v>
      </c>
      <c r="K2599">
        <v>9.7968629112284406E-2</v>
      </c>
      <c r="L2599">
        <v>518.24781457059999</v>
      </c>
      <c r="M2599">
        <v>9.9774920565981304</v>
      </c>
      <c r="N2599">
        <v>51.941683752575301</v>
      </c>
      <c r="O2599">
        <v>49.984441422249901</v>
      </c>
      <c r="P2599">
        <v>-4.9927470602033001E-2</v>
      </c>
      <c r="Q2599">
        <v>0</v>
      </c>
      <c r="R2599">
        <v>0.93886829229401902</v>
      </c>
      <c r="S2599" t="s">
        <v>9269</v>
      </c>
      <c r="T2599" t="s">
        <v>13338</v>
      </c>
      <c r="U2599" t="s">
        <v>13338</v>
      </c>
      <c r="V2599" t="s">
        <v>13338</v>
      </c>
      <c r="W2599" t="s">
        <v>15897</v>
      </c>
      <c r="X2599">
        <v>7</v>
      </c>
      <c r="Y2599" t="s">
        <v>22455</v>
      </c>
      <c r="Z2599" t="s">
        <v>29014</v>
      </c>
      <c r="AA2599">
        <v>0.43633081048727129</v>
      </c>
      <c r="AB2599" t="str">
        <f>HYPERLINK("Melting_Curves/meltCurve_P46778_RPL21.pdf", "Melting_Curves/meltCurve_P46778_RPL21.pdf")</f>
        <v>Melting_Curves/meltCurve_P46778_RPL21.pdf</v>
      </c>
    </row>
    <row r="2600" spans="1:28" x14ac:dyDescent="0.25">
      <c r="A2600" t="s">
        <v>2604</v>
      </c>
      <c r="B2600">
        <v>0.99193492352474899</v>
      </c>
      <c r="C2600">
        <v>0.81718071134890302</v>
      </c>
      <c r="D2600">
        <v>0.90889896945861504</v>
      </c>
      <c r="E2600">
        <v>0.76239071448389395</v>
      </c>
      <c r="F2600">
        <v>0.56168620773310196</v>
      </c>
      <c r="G2600">
        <v>0.21344227791318199</v>
      </c>
      <c r="H2600">
        <v>7.2299412415278902E-2</v>
      </c>
      <c r="I2600">
        <v>6.6356386402696602E-2</v>
      </c>
      <c r="J2600">
        <v>0.101395542482776</v>
      </c>
      <c r="K2600">
        <v>6.3091599177720503E-2</v>
      </c>
      <c r="L2600">
        <v>886.57310407476803</v>
      </c>
      <c r="M2600">
        <v>16.750418311468</v>
      </c>
      <c r="N2600">
        <v>53.104185093069297</v>
      </c>
      <c r="O2600">
        <v>52.1913002018862</v>
      </c>
      <c r="P2600">
        <v>-7.8077293667473902E-2</v>
      </c>
      <c r="Q2600">
        <v>2.6964323032040601E-2</v>
      </c>
      <c r="R2600">
        <v>0.97066312417604605</v>
      </c>
      <c r="S2600" t="s">
        <v>9270</v>
      </c>
      <c r="T2600" t="s">
        <v>13338</v>
      </c>
      <c r="U2600" t="s">
        <v>13338</v>
      </c>
      <c r="V2600" t="s">
        <v>13338</v>
      </c>
      <c r="W2600" t="s">
        <v>15898</v>
      </c>
      <c r="X2600">
        <v>8</v>
      </c>
      <c r="Y2600" t="s">
        <v>22456</v>
      </c>
      <c r="Z2600" t="s">
        <v>29015</v>
      </c>
      <c r="AA2600">
        <v>0.46415324583271012</v>
      </c>
      <c r="AB2600" t="str">
        <f>HYPERLINK("Melting_Curves/meltCurve_P46779_RPL28.pdf", "Melting_Curves/meltCurve_P46779_RPL28.pdf")</f>
        <v>Melting_Curves/meltCurve_P46779_RPL28.pdf</v>
      </c>
    </row>
    <row r="2601" spans="1:28" x14ac:dyDescent="0.25">
      <c r="A2601" t="s">
        <v>2605</v>
      </c>
      <c r="B2601">
        <v>0.99193492352474899</v>
      </c>
      <c r="C2601">
        <v>0.80170421339104603</v>
      </c>
      <c r="D2601">
        <v>0.90925054312435005</v>
      </c>
      <c r="E2601">
        <v>0.79411007163057301</v>
      </c>
      <c r="F2601">
        <v>0.79816075277385201</v>
      </c>
      <c r="G2601">
        <v>0.27012034572187299</v>
      </c>
      <c r="H2601">
        <v>0.102142752349826</v>
      </c>
      <c r="I2601">
        <v>8.5544039263766997E-2</v>
      </c>
      <c r="J2601">
        <v>0.122173563272713</v>
      </c>
      <c r="K2601">
        <v>8.4752327440201697E-2</v>
      </c>
      <c r="L2601">
        <v>1646.75884739865</v>
      </c>
      <c r="M2601">
        <v>30.100526327947801</v>
      </c>
      <c r="N2601">
        <v>55.029086584428001</v>
      </c>
      <c r="O2601">
        <v>54.468874223561897</v>
      </c>
      <c r="P2601">
        <v>-0.12704927963124901</v>
      </c>
      <c r="Q2601">
        <v>8.0389943164353994E-2</v>
      </c>
      <c r="R2601">
        <v>0.939313777806418</v>
      </c>
      <c r="S2601" t="s">
        <v>9271</v>
      </c>
      <c r="T2601" t="s">
        <v>13338</v>
      </c>
      <c r="U2601" t="s">
        <v>13338</v>
      </c>
      <c r="V2601" t="s">
        <v>13338</v>
      </c>
      <c r="W2601" t="s">
        <v>15899</v>
      </c>
      <c r="X2601">
        <v>13</v>
      </c>
      <c r="Y2601" t="s">
        <v>22457</v>
      </c>
      <c r="Z2601" t="s">
        <v>29016</v>
      </c>
      <c r="AA2601">
        <v>0.53731018500722671</v>
      </c>
      <c r="AB2601" t="str">
        <f>HYPERLINK("Melting_Curves/meltCurve_P46781_RPS9.pdf", "Melting_Curves/meltCurve_P46781_RPS9.pdf")</f>
        <v>Melting_Curves/meltCurve_P46781_RPS9.pdf</v>
      </c>
    </row>
    <row r="2602" spans="1:28" x14ac:dyDescent="0.25">
      <c r="A2602" t="s">
        <v>2606</v>
      </c>
      <c r="B2602">
        <v>0.99193492352474899</v>
      </c>
      <c r="C2602">
        <v>0.49901851022668398</v>
      </c>
      <c r="D2602">
        <v>0.80801774384962999</v>
      </c>
      <c r="E2602">
        <v>0.51569738955909905</v>
      </c>
      <c r="F2602">
        <v>0.43511790396558597</v>
      </c>
      <c r="G2602">
        <v>0.16817841951915699</v>
      </c>
      <c r="H2602">
        <v>0.116241481692829</v>
      </c>
      <c r="I2602">
        <v>0.111429979500496</v>
      </c>
      <c r="J2602">
        <v>0.116706508796017</v>
      </c>
      <c r="K2602">
        <v>0.152433332794742</v>
      </c>
      <c r="L2602">
        <v>403.930219828622</v>
      </c>
      <c r="M2602">
        <v>8.1635760000459605</v>
      </c>
      <c r="N2602">
        <v>49.479568836482301</v>
      </c>
      <c r="O2602">
        <v>46.776365297976902</v>
      </c>
      <c r="P2602">
        <v>-4.3676625634822601E-2</v>
      </c>
      <c r="Q2602">
        <v>0</v>
      </c>
      <c r="R2602">
        <v>0.84409585164497902</v>
      </c>
      <c r="S2602" t="s">
        <v>9272</v>
      </c>
      <c r="T2602" t="s">
        <v>13338</v>
      </c>
      <c r="U2602" t="s">
        <v>13338</v>
      </c>
      <c r="V2602" t="s">
        <v>13338</v>
      </c>
      <c r="W2602" t="s">
        <v>15900</v>
      </c>
      <c r="X2602">
        <v>18</v>
      </c>
      <c r="Y2602" t="s">
        <v>22458</v>
      </c>
      <c r="Z2602" t="s">
        <v>29017</v>
      </c>
      <c r="AA2602">
        <v>0.37743162708776667</v>
      </c>
      <c r="AB2602" t="str">
        <f>HYPERLINK("Melting_Curves/meltCurve_P46783_RPS10.pdf", "Melting_Curves/meltCurve_P46783_RPS10.pdf")</f>
        <v>Melting_Curves/meltCurve_P46783_RPS10.pdf</v>
      </c>
    </row>
    <row r="2603" spans="1:28" x14ac:dyDescent="0.25">
      <c r="A2603" t="s">
        <v>2607</v>
      </c>
      <c r="B2603">
        <v>0.99193492352474899</v>
      </c>
      <c r="C2603">
        <v>1.0550214900957</v>
      </c>
      <c r="D2603">
        <v>0.95885320895472803</v>
      </c>
      <c r="E2603">
        <v>0.81915596605854502</v>
      </c>
      <c r="F2603">
        <v>0.70989918774823102</v>
      </c>
      <c r="G2603">
        <v>0.658016415414439</v>
      </c>
      <c r="H2603">
        <v>0.502235311559872</v>
      </c>
      <c r="I2603">
        <v>0.56313551006130702</v>
      </c>
      <c r="J2603">
        <v>0.67311470606895996</v>
      </c>
      <c r="K2603">
        <v>0.308646065659618</v>
      </c>
      <c r="L2603">
        <v>679.03133538384202</v>
      </c>
      <c r="M2603">
        <v>12.7349691444211</v>
      </c>
      <c r="N2603">
        <v>66.497889604838406</v>
      </c>
      <c r="O2603">
        <v>52.056748755233897</v>
      </c>
      <c r="P2603">
        <v>-3.3037320023866598E-2</v>
      </c>
      <c r="Q2603">
        <v>0.45991660239097498</v>
      </c>
      <c r="R2603">
        <v>0.84861734727605398</v>
      </c>
      <c r="S2603" t="s">
        <v>9273</v>
      </c>
      <c r="T2603" t="s">
        <v>13338</v>
      </c>
      <c r="U2603" t="s">
        <v>13338</v>
      </c>
      <c r="V2603" t="s">
        <v>13338</v>
      </c>
      <c r="W2603" t="s">
        <v>15901</v>
      </c>
      <c r="X2603">
        <v>18</v>
      </c>
      <c r="Y2603" t="s">
        <v>22459</v>
      </c>
      <c r="Z2603" t="s">
        <v>29018</v>
      </c>
      <c r="AA2603">
        <v>0.71375724492957293</v>
      </c>
      <c r="AB2603" t="str">
        <f>HYPERLINK("Melting_Curves/meltCurve_P46926_GNPDA1.pdf", "Melting_Curves/meltCurve_P46926_GNPDA1.pdf")</f>
        <v>Melting_Curves/meltCurve_P46926_GNPDA1.pdf</v>
      </c>
    </row>
    <row r="2604" spans="1:28" x14ac:dyDescent="0.25">
      <c r="A2604" t="s">
        <v>2608</v>
      </c>
      <c r="B2604">
        <v>0.99193492352474899</v>
      </c>
      <c r="C2604">
        <v>0.95284807065634403</v>
      </c>
      <c r="D2604">
        <v>0.940434552433281</v>
      </c>
      <c r="E2604">
        <v>0.468875516065689</v>
      </c>
      <c r="F2604">
        <v>0.23448223578508501</v>
      </c>
      <c r="G2604">
        <v>0.13423842521622401</v>
      </c>
      <c r="H2604">
        <v>8.6549123199475705E-2</v>
      </c>
      <c r="I2604">
        <v>0.12937881098602899</v>
      </c>
      <c r="J2604">
        <v>0.14751712709473699</v>
      </c>
      <c r="K2604">
        <v>0.15605601721029</v>
      </c>
      <c r="L2604">
        <v>1616.4725374498701</v>
      </c>
      <c r="M2604">
        <v>32.959227495447102</v>
      </c>
      <c r="N2604">
        <v>49.513253982854501</v>
      </c>
      <c r="O2604">
        <v>48.8651217253013</v>
      </c>
      <c r="P2604">
        <v>-0.146029127999284</v>
      </c>
      <c r="Q2604">
        <v>0.133996801846481</v>
      </c>
      <c r="R2604">
        <v>0.99441271375444995</v>
      </c>
      <c r="S2604" t="s">
        <v>9274</v>
      </c>
      <c r="T2604" t="s">
        <v>13338</v>
      </c>
      <c r="U2604" t="s">
        <v>13338</v>
      </c>
      <c r="V2604" t="s">
        <v>13338</v>
      </c>
      <c r="W2604" t="s">
        <v>15902</v>
      </c>
      <c r="X2604">
        <v>16</v>
      </c>
      <c r="Y2604" t="s">
        <v>22460</v>
      </c>
      <c r="Z2604" t="s">
        <v>29019</v>
      </c>
      <c r="AA2604">
        <v>0.39944017471396609</v>
      </c>
      <c r="AB2604" t="str">
        <f>HYPERLINK("Melting_Curves/meltCurve_P46934_4_NEDD4.pdf", "Melting_Curves/meltCurve_P46934_4_NEDD4.pdf")</f>
        <v>Melting_Curves/meltCurve_P46934_4_NEDD4.pdf</v>
      </c>
    </row>
    <row r="2605" spans="1:28" x14ac:dyDescent="0.25">
      <c r="A2605" t="s">
        <v>2609</v>
      </c>
      <c r="B2605">
        <v>0.99193492352474899</v>
      </c>
      <c r="C2605">
        <v>0.92011579982382496</v>
      </c>
      <c r="D2605">
        <v>0.49167460498489102</v>
      </c>
      <c r="E2605">
        <v>0.20150241643361699</v>
      </c>
      <c r="F2605">
        <v>0.22736036804665</v>
      </c>
      <c r="G2605">
        <v>8.2089137134860601E-2</v>
      </c>
      <c r="H2605">
        <v>6.13098541328123E-2</v>
      </c>
      <c r="I2605">
        <v>0.10553708021536801</v>
      </c>
      <c r="J2605">
        <v>0.14548083794156799</v>
      </c>
      <c r="K2605">
        <v>7.5406229844894396E-2</v>
      </c>
      <c r="L2605">
        <v>1377.4871238948699</v>
      </c>
      <c r="M2605">
        <v>30.142465709662101</v>
      </c>
      <c r="N2605">
        <v>46.0941850982299</v>
      </c>
      <c r="O2605">
        <v>45.499491125459997</v>
      </c>
      <c r="P2605">
        <v>-0.14677148438527901</v>
      </c>
      <c r="Q2605">
        <v>0.113810387389605</v>
      </c>
      <c r="R2605">
        <v>0.983781683924284</v>
      </c>
      <c r="S2605" t="s">
        <v>9275</v>
      </c>
      <c r="T2605" t="s">
        <v>13338</v>
      </c>
      <c r="U2605" t="s">
        <v>13338</v>
      </c>
      <c r="V2605" t="s">
        <v>13338</v>
      </c>
      <c r="W2605" t="s">
        <v>15903</v>
      </c>
      <c r="X2605">
        <v>8</v>
      </c>
      <c r="Y2605" t="s">
        <v>22461</v>
      </c>
      <c r="Z2605" t="s">
        <v>29020</v>
      </c>
      <c r="AA2605">
        <v>0.28756497017807592</v>
      </c>
      <c r="AB2605" t="str">
        <f>HYPERLINK("Melting_Curves/meltCurve_P46939_UTRN.pdf", "Melting_Curves/meltCurve_P46939_UTRN.pdf")</f>
        <v>Melting_Curves/meltCurve_P46939_UTRN.pdf</v>
      </c>
    </row>
    <row r="2606" spans="1:28" x14ac:dyDescent="0.25">
      <c r="A2606" t="s">
        <v>2610</v>
      </c>
      <c r="B2606">
        <v>0.99193492352474899</v>
      </c>
      <c r="C2606">
        <v>0.945350412817207</v>
      </c>
      <c r="D2606">
        <v>0.98954242917464796</v>
      </c>
      <c r="E2606">
        <v>0.58449043861879701</v>
      </c>
      <c r="F2606">
        <v>0.17120828211149799</v>
      </c>
      <c r="G2606">
        <v>0.10096457360665601</v>
      </c>
      <c r="H2606">
        <v>6.2114102011913301E-2</v>
      </c>
      <c r="I2606">
        <v>6.5346590309999494E-2</v>
      </c>
      <c r="J2606">
        <v>7.3801416055664301E-2</v>
      </c>
      <c r="K2606">
        <v>7.3799547012332503E-2</v>
      </c>
      <c r="L2606">
        <v>1821.4662883511901</v>
      </c>
      <c r="M2606">
        <v>36.481757534539199</v>
      </c>
      <c r="N2606">
        <v>50.147321919744599</v>
      </c>
      <c r="O2606">
        <v>49.778832046538497</v>
      </c>
      <c r="P2606">
        <v>-0.169718647073824</v>
      </c>
      <c r="Q2606">
        <v>7.3688204771588897E-2</v>
      </c>
      <c r="R2606">
        <v>0.99734301198009501</v>
      </c>
      <c r="S2606" t="s">
        <v>9276</v>
      </c>
      <c r="T2606" t="s">
        <v>13338</v>
      </c>
      <c r="U2606" t="s">
        <v>13338</v>
      </c>
      <c r="V2606" t="s">
        <v>13338</v>
      </c>
      <c r="W2606" t="s">
        <v>15904</v>
      </c>
      <c r="X2606">
        <v>69</v>
      </c>
      <c r="Y2606" t="s">
        <v>22462</v>
      </c>
      <c r="Z2606" t="s">
        <v>29021</v>
      </c>
      <c r="AA2606">
        <v>0.38409168492237389</v>
      </c>
      <c r="AB2606" t="str">
        <f>HYPERLINK("Melting_Curves/meltCurve_P46940_IQGAP1.pdf", "Melting_Curves/meltCurve_P46940_IQGAP1.pdf")</f>
        <v>Melting_Curves/meltCurve_P46940_IQGAP1.pdf</v>
      </c>
    </row>
    <row r="2607" spans="1:28" x14ac:dyDescent="0.25">
      <c r="A2607" t="s">
        <v>2611</v>
      </c>
      <c r="B2607">
        <v>0.99193492352474899</v>
      </c>
      <c r="C2607">
        <v>0.98137730184207905</v>
      </c>
      <c r="D2607">
        <v>0.96538081966296296</v>
      </c>
      <c r="E2607">
        <v>1.0633540212035599</v>
      </c>
      <c r="F2607">
        <v>0.96457488227620702</v>
      </c>
      <c r="G2607">
        <v>0.73372172954902903</v>
      </c>
      <c r="H2607">
        <v>0.73272633529279996</v>
      </c>
      <c r="I2607">
        <v>0.75408924343850403</v>
      </c>
      <c r="J2607">
        <v>1.02613721142918</v>
      </c>
      <c r="K2607">
        <v>1.2513021318503501</v>
      </c>
      <c r="L2607">
        <v>15000</v>
      </c>
      <c r="M2607">
        <v>221.39229766553399</v>
      </c>
      <c r="O2607">
        <v>67.747506255394896</v>
      </c>
      <c r="P2607">
        <v>0.20547610880523601</v>
      </c>
      <c r="Q2607">
        <v>1.25150818802431</v>
      </c>
      <c r="R2607">
        <v>0.14363324909234501</v>
      </c>
      <c r="S2607" t="s">
        <v>9277</v>
      </c>
      <c r="T2607" t="s">
        <v>13338</v>
      </c>
      <c r="U2607" t="s">
        <v>13338</v>
      </c>
      <c r="V2607" t="s">
        <v>13338</v>
      </c>
      <c r="W2607" t="s">
        <v>15905</v>
      </c>
      <c r="X2607">
        <v>5</v>
      </c>
      <c r="Y2607" t="s">
        <v>22463</v>
      </c>
      <c r="Z2607" t="s">
        <v>29022</v>
      </c>
      <c r="AA2607">
        <v>1.0188018024872041</v>
      </c>
      <c r="AB2607" t="str">
        <f>HYPERLINK("Melting_Curves/meltCurve_P46976_2_GYG1.pdf", "Melting_Curves/meltCurve_P46976_2_GYG1.pdf")</f>
        <v>Melting_Curves/meltCurve_P46976_2_GYG1.pdf</v>
      </c>
    </row>
    <row r="2608" spans="1:28" x14ac:dyDescent="0.25">
      <c r="A2608" t="s">
        <v>2612</v>
      </c>
      <c r="B2608">
        <v>0.99193492352474899</v>
      </c>
      <c r="C2608">
        <v>0.99182059630448505</v>
      </c>
      <c r="D2608">
        <v>1.03209793579269</v>
      </c>
      <c r="E2608">
        <v>0.75806971216310703</v>
      </c>
      <c r="F2608">
        <v>0.40806289900713399</v>
      </c>
      <c r="G2608">
        <v>0.145712839291575</v>
      </c>
      <c r="H2608">
        <v>9.0355825971338399E-2</v>
      </c>
      <c r="I2608">
        <v>0.123945213475013</v>
      </c>
      <c r="J2608">
        <v>0.128435946458482</v>
      </c>
      <c r="K2608">
        <v>0.18756293637525501</v>
      </c>
      <c r="L2608">
        <v>1515.79811698188</v>
      </c>
      <c r="M2608">
        <v>29.410030659549701</v>
      </c>
      <c r="N2608">
        <v>52.052325996166601</v>
      </c>
      <c r="O2608">
        <v>51.303639803230602</v>
      </c>
      <c r="P2608">
        <v>-0.12530955961555401</v>
      </c>
      <c r="Q2608">
        <v>0.12563274736268601</v>
      </c>
      <c r="R2608">
        <v>0.99180184357511003</v>
      </c>
      <c r="S2608" t="s">
        <v>9278</v>
      </c>
      <c r="T2608" t="s">
        <v>13338</v>
      </c>
      <c r="U2608" t="s">
        <v>13338</v>
      </c>
      <c r="V2608" t="s">
        <v>13338</v>
      </c>
      <c r="W2608" t="s">
        <v>15906</v>
      </c>
      <c r="X2608">
        <v>15</v>
      </c>
      <c r="Y2608" t="s">
        <v>22464</v>
      </c>
      <c r="Z2608" t="s">
        <v>29023</v>
      </c>
      <c r="AA2608">
        <v>0.4677474674014474</v>
      </c>
      <c r="AB2608" t="str">
        <f>HYPERLINK("Melting_Curves/meltCurve_P46977_STT3A.pdf", "Melting_Curves/meltCurve_P46977_STT3A.pdf")</f>
        <v>Melting_Curves/meltCurve_P46977_STT3A.pdf</v>
      </c>
    </row>
    <row r="2609" spans="1:28" x14ac:dyDescent="0.25">
      <c r="A2609" t="s">
        <v>2613</v>
      </c>
      <c r="B2609">
        <v>0.99193492352474899</v>
      </c>
      <c r="C2609">
        <v>0.87452653761156096</v>
      </c>
      <c r="D2609">
        <v>0.83383079997508602</v>
      </c>
      <c r="E2609">
        <v>0.65283229622580097</v>
      </c>
      <c r="F2609">
        <v>0.42613764709766899</v>
      </c>
      <c r="G2609">
        <v>0.222987979135405</v>
      </c>
      <c r="H2609">
        <v>0.101276699375508</v>
      </c>
      <c r="I2609">
        <v>0.100017933016409</v>
      </c>
      <c r="J2609">
        <v>0.10713812172415101</v>
      </c>
      <c r="K2609">
        <v>0.10914925683409001</v>
      </c>
      <c r="L2609">
        <v>714.28456316983102</v>
      </c>
      <c r="M2609">
        <v>13.963759833167201</v>
      </c>
      <c r="N2609">
        <v>51.587382428174102</v>
      </c>
      <c r="O2609">
        <v>50.1379102843132</v>
      </c>
      <c r="P2609">
        <v>-6.5771526642058403E-2</v>
      </c>
      <c r="Q2609">
        <v>5.54963359204768E-2</v>
      </c>
      <c r="R2609">
        <v>0.99197514590779101</v>
      </c>
      <c r="S2609" t="s">
        <v>9279</v>
      </c>
      <c r="T2609" t="s">
        <v>13338</v>
      </c>
      <c r="U2609" t="s">
        <v>13338</v>
      </c>
      <c r="V2609" t="s">
        <v>13338</v>
      </c>
      <c r="W2609" t="s">
        <v>15907</v>
      </c>
      <c r="X2609">
        <v>16</v>
      </c>
      <c r="Y2609" t="s">
        <v>22465</v>
      </c>
      <c r="Z2609" t="s">
        <v>29024</v>
      </c>
      <c r="AA2609">
        <v>0.43097711104553332</v>
      </c>
      <c r="AB2609" t="str">
        <f>HYPERLINK("Melting_Curves/meltCurve_P47755_CAPZA2.pdf", "Melting_Curves/meltCurve_P47755_CAPZA2.pdf")</f>
        <v>Melting_Curves/meltCurve_P47755_CAPZA2.pdf</v>
      </c>
    </row>
    <row r="2610" spans="1:28" x14ac:dyDescent="0.25">
      <c r="A2610" t="s">
        <v>2614</v>
      </c>
      <c r="B2610">
        <v>0.99193492352474899</v>
      </c>
      <c r="C2610">
        <v>0.87717136990200095</v>
      </c>
      <c r="D2610">
        <v>0.847438987106366</v>
      </c>
      <c r="E2610">
        <v>0.65755950002699903</v>
      </c>
      <c r="F2610">
        <v>0.44126142428162402</v>
      </c>
      <c r="G2610">
        <v>0.21061472625726399</v>
      </c>
      <c r="H2610">
        <v>0.102473574348911</v>
      </c>
      <c r="I2610">
        <v>0.110718632652429</v>
      </c>
      <c r="J2610">
        <v>0.122852372348428</v>
      </c>
      <c r="K2610">
        <v>0.13108359759914701</v>
      </c>
      <c r="L2610">
        <v>759.66182015523202</v>
      </c>
      <c r="M2610">
        <v>14.868325595856099</v>
      </c>
      <c r="N2610">
        <v>51.663779511831898</v>
      </c>
      <c r="O2610">
        <v>50.195123736710997</v>
      </c>
      <c r="P2610">
        <v>-6.8447618301665999E-2</v>
      </c>
      <c r="Q2610">
        <v>7.5786779342602806E-2</v>
      </c>
      <c r="R2610">
        <v>0.98918620158820103</v>
      </c>
      <c r="S2610" t="s">
        <v>9280</v>
      </c>
      <c r="T2610" t="s">
        <v>13338</v>
      </c>
      <c r="U2610" t="s">
        <v>13338</v>
      </c>
      <c r="V2610" t="s">
        <v>13338</v>
      </c>
      <c r="W2610" t="s">
        <v>15908</v>
      </c>
      <c r="X2610">
        <v>23</v>
      </c>
      <c r="Y2610" t="s">
        <v>22466</v>
      </c>
      <c r="Z2610" t="s">
        <v>29025</v>
      </c>
      <c r="AA2610">
        <v>0.43911957715483102</v>
      </c>
      <c r="AB2610" t="str">
        <f>HYPERLINK("Melting_Curves/meltCurve_P47756_2_CAPZB.pdf", "Melting_Curves/meltCurve_P47756_2_CAPZB.pdf")</f>
        <v>Melting_Curves/meltCurve_P47756_2_CAPZB.pdf</v>
      </c>
    </row>
    <row r="2611" spans="1:28" x14ac:dyDescent="0.25">
      <c r="A2611" t="s">
        <v>2615</v>
      </c>
      <c r="B2611">
        <v>0.99193492352474899</v>
      </c>
      <c r="C2611">
        <v>0.72104739184267197</v>
      </c>
      <c r="D2611">
        <v>0.99955625009539095</v>
      </c>
      <c r="E2611">
        <v>0.658136063685545</v>
      </c>
      <c r="F2611">
        <v>0.60078054761461896</v>
      </c>
      <c r="G2611">
        <v>0.21951409869894101</v>
      </c>
      <c r="H2611">
        <v>0.12563128737485599</v>
      </c>
      <c r="I2611">
        <v>0.110719726797235</v>
      </c>
      <c r="J2611">
        <v>0.14114846153268501</v>
      </c>
      <c r="K2611">
        <v>0.13093103768505099</v>
      </c>
      <c r="L2611">
        <v>761.17874757310597</v>
      </c>
      <c r="M2611">
        <v>14.5217589273812</v>
      </c>
      <c r="N2611">
        <v>52.946889483901401</v>
      </c>
      <c r="O2611">
        <v>51.452533067493498</v>
      </c>
      <c r="P2611">
        <v>-6.5789685585727703E-2</v>
      </c>
      <c r="Q2611">
        <v>6.7700499878099896E-2</v>
      </c>
      <c r="R2611">
        <v>0.91693537355452504</v>
      </c>
      <c r="S2611" t="s">
        <v>9281</v>
      </c>
      <c r="T2611" t="s">
        <v>13338</v>
      </c>
      <c r="U2611" t="s">
        <v>13338</v>
      </c>
      <c r="V2611" t="s">
        <v>13338</v>
      </c>
      <c r="W2611" t="s">
        <v>15909</v>
      </c>
      <c r="X2611">
        <v>12</v>
      </c>
      <c r="Y2611" t="s">
        <v>22467</v>
      </c>
      <c r="Z2611" t="s">
        <v>29026</v>
      </c>
      <c r="AA2611">
        <v>0.47508449991116147</v>
      </c>
      <c r="AB2611" t="str">
        <f>HYPERLINK("Melting_Curves/meltCurve_P47813_EIF1AX.pdf", "Melting_Curves/meltCurve_P47813_EIF1AX.pdf")</f>
        <v>Melting_Curves/meltCurve_P47813_EIF1AX.pdf</v>
      </c>
    </row>
    <row r="2612" spans="1:28" x14ac:dyDescent="0.25">
      <c r="A2612" t="s">
        <v>2616</v>
      </c>
      <c r="B2612">
        <v>0.99193492352474899</v>
      </c>
      <c r="C2612">
        <v>0.73791068308728103</v>
      </c>
      <c r="D2612">
        <v>0.67154570226130705</v>
      </c>
      <c r="E2612">
        <v>0.203195703269266</v>
      </c>
      <c r="F2612">
        <v>0.14029166908823501</v>
      </c>
      <c r="G2612">
        <v>8.0545502168798105E-2</v>
      </c>
      <c r="H2612">
        <v>5.2100831461675302E-2</v>
      </c>
      <c r="I2612">
        <v>6.0392323272257201E-2</v>
      </c>
      <c r="J2612">
        <v>6.9624660832502003E-2</v>
      </c>
      <c r="K2612">
        <v>6.16539366141051E-2</v>
      </c>
      <c r="L2612">
        <v>881.16657940520304</v>
      </c>
      <c r="M2612">
        <v>18.958036318801501</v>
      </c>
      <c r="N2612">
        <v>46.749409101901001</v>
      </c>
      <c r="O2612">
        <v>45.971952601294099</v>
      </c>
      <c r="P2612">
        <v>-9.7761726982592001E-2</v>
      </c>
      <c r="Q2612">
        <v>5.1776056609172401E-2</v>
      </c>
      <c r="R2612">
        <v>0.97649020937391195</v>
      </c>
      <c r="S2612" t="s">
        <v>9282</v>
      </c>
      <c r="T2612" t="s">
        <v>13338</v>
      </c>
      <c r="U2612" t="s">
        <v>13338</v>
      </c>
      <c r="V2612" t="s">
        <v>13338</v>
      </c>
      <c r="W2612" t="s">
        <v>15910</v>
      </c>
      <c r="X2612">
        <v>30</v>
      </c>
      <c r="Y2612" t="s">
        <v>22468</v>
      </c>
      <c r="Z2612" t="s">
        <v>29027</v>
      </c>
      <c r="AA2612">
        <v>0.27263082098433461</v>
      </c>
      <c r="AB2612" t="str">
        <f>HYPERLINK("Melting_Curves/meltCurve_P47897_QARS.pdf", "Melting_Curves/meltCurve_P47897_QARS.pdf")</f>
        <v>Melting_Curves/meltCurve_P47897_QARS.pdf</v>
      </c>
    </row>
    <row r="2613" spans="1:28" x14ac:dyDescent="0.25">
      <c r="A2613" t="s">
        <v>2617</v>
      </c>
      <c r="B2613">
        <v>0.99193492352474899</v>
      </c>
      <c r="C2613">
        <v>1.13790627801361</v>
      </c>
      <c r="D2613">
        <v>1.1671157187721899</v>
      </c>
      <c r="E2613">
        <v>1.4825233770966599</v>
      </c>
      <c r="F2613">
        <v>1.05031249922707</v>
      </c>
      <c r="G2613">
        <v>1.08706495916013</v>
      </c>
      <c r="H2613">
        <v>0.353282166453743</v>
      </c>
      <c r="I2613">
        <v>0.33460886700728099</v>
      </c>
      <c r="J2613">
        <v>0.24719935083866901</v>
      </c>
      <c r="K2613">
        <v>0.30927786553975201</v>
      </c>
      <c r="L2613">
        <v>15000</v>
      </c>
      <c r="M2613">
        <v>249.15255271785901</v>
      </c>
      <c r="N2613">
        <v>60.422715462782797</v>
      </c>
      <c r="O2613">
        <v>60.200200254602201</v>
      </c>
      <c r="P2613">
        <v>-0.72735290022461596</v>
      </c>
      <c r="Q2613">
        <v>0.297028431854238</v>
      </c>
      <c r="R2613">
        <v>0.84165104712411098</v>
      </c>
      <c r="S2613" t="s">
        <v>9283</v>
      </c>
      <c r="T2613" t="s">
        <v>13338</v>
      </c>
      <c r="U2613" t="s">
        <v>13338</v>
      </c>
      <c r="V2613" t="s">
        <v>13338</v>
      </c>
      <c r="W2613" t="s">
        <v>15911</v>
      </c>
      <c r="X2613">
        <v>4</v>
      </c>
      <c r="Y2613" t="s">
        <v>22469</v>
      </c>
      <c r="Z2613" t="s">
        <v>29028</v>
      </c>
      <c r="AA2613">
        <v>0.77053298514262181</v>
      </c>
      <c r="AB2613" t="str">
        <f>HYPERLINK("Melting_Curves/meltCurve_P47914_RPL29.pdf", "Melting_Curves/meltCurve_P47914_RPL29.pdf")</f>
        <v>Melting_Curves/meltCurve_P47914_RPL29.pdf</v>
      </c>
    </row>
    <row r="2614" spans="1:28" x14ac:dyDescent="0.25">
      <c r="A2614" t="s">
        <v>2618</v>
      </c>
      <c r="B2614">
        <v>0.99193492352474899</v>
      </c>
      <c r="C2614">
        <v>0.81076261557392004</v>
      </c>
      <c r="D2614">
        <v>0.45511243235038801</v>
      </c>
      <c r="E2614">
        <v>0.30288896479665101</v>
      </c>
      <c r="F2614">
        <v>0.19016394536497999</v>
      </c>
      <c r="G2614">
        <v>0.115245450417593</v>
      </c>
      <c r="H2614">
        <v>6.83614430687879E-2</v>
      </c>
      <c r="I2614">
        <v>0.13019891162967001</v>
      </c>
      <c r="J2614">
        <v>6.7252771173721901E-2</v>
      </c>
      <c r="K2614">
        <v>0.12535672538596099</v>
      </c>
      <c r="L2614">
        <v>890.13320977832302</v>
      </c>
      <c r="M2614">
        <v>19.539540020225299</v>
      </c>
      <c r="N2614">
        <v>46.110608072447597</v>
      </c>
      <c r="O2614">
        <v>45.086376127359202</v>
      </c>
      <c r="P2614">
        <v>-9.6993099989769502E-2</v>
      </c>
      <c r="Q2614">
        <v>0.10480773575183699</v>
      </c>
      <c r="R2614">
        <v>0.98630413593187605</v>
      </c>
      <c r="S2614" t="s">
        <v>9284</v>
      </c>
      <c r="T2614" t="s">
        <v>13338</v>
      </c>
      <c r="U2614" t="s">
        <v>13338</v>
      </c>
      <c r="V2614" t="s">
        <v>13338</v>
      </c>
      <c r="W2614" t="s">
        <v>15912</v>
      </c>
      <c r="X2614">
        <v>3</v>
      </c>
      <c r="Y2614" t="s">
        <v>22470</v>
      </c>
      <c r="Z2614" t="s">
        <v>29029</v>
      </c>
      <c r="AA2614">
        <v>0.28570837165197432</v>
      </c>
      <c r="AB2614" t="str">
        <f>HYPERLINK("Melting_Curves/meltCurve_P47974_ZFP36L2.pdf", "Melting_Curves/meltCurve_P47974_ZFP36L2.pdf")</f>
        <v>Melting_Curves/meltCurve_P47974_ZFP36L2.pdf</v>
      </c>
    </row>
    <row r="2615" spans="1:28" x14ac:dyDescent="0.25">
      <c r="A2615" t="s">
        <v>2619</v>
      </c>
      <c r="B2615">
        <v>0.99193492352474899</v>
      </c>
      <c r="C2615">
        <v>0.86757633517338395</v>
      </c>
      <c r="D2615">
        <v>0.88553317402397402</v>
      </c>
      <c r="E2615">
        <v>0.69543561903684603</v>
      </c>
      <c r="F2615">
        <v>0.56928862542192804</v>
      </c>
      <c r="G2615">
        <v>0.38557695145278897</v>
      </c>
      <c r="H2615">
        <v>0.20081746612340601</v>
      </c>
      <c r="I2615">
        <v>0.113042841018548</v>
      </c>
      <c r="J2615">
        <v>0.12251193721621401</v>
      </c>
      <c r="K2615">
        <v>0.12791107566458301</v>
      </c>
      <c r="L2615">
        <v>575.30293898088496</v>
      </c>
      <c r="M2615">
        <v>10.6976221073514</v>
      </c>
      <c r="N2615">
        <v>53.880712108863698</v>
      </c>
      <c r="O2615">
        <v>52.001499720491204</v>
      </c>
      <c r="P2615">
        <v>-5.09323363730231E-2</v>
      </c>
      <c r="Q2615">
        <v>1.0036633166699199E-2</v>
      </c>
      <c r="R2615">
        <v>0.98821078288488495</v>
      </c>
      <c r="S2615" t="s">
        <v>9285</v>
      </c>
      <c r="T2615" t="s">
        <v>13338</v>
      </c>
      <c r="U2615" t="s">
        <v>13338</v>
      </c>
      <c r="V2615" t="s">
        <v>13338</v>
      </c>
      <c r="W2615" t="s">
        <v>15913</v>
      </c>
      <c r="X2615">
        <v>11</v>
      </c>
      <c r="Y2615" t="s">
        <v>22471</v>
      </c>
      <c r="Z2615" t="s">
        <v>29030</v>
      </c>
      <c r="AA2615">
        <v>0.49395681923975598</v>
      </c>
      <c r="AB2615" t="str">
        <f>HYPERLINK("Melting_Curves/meltCurve_P47985_UQCRFS1.pdf", "Melting_Curves/meltCurve_P47985_UQCRFS1.pdf")</f>
        <v>Melting_Curves/meltCurve_P47985_UQCRFS1.pdf</v>
      </c>
    </row>
    <row r="2616" spans="1:28" x14ac:dyDescent="0.25">
      <c r="A2616" t="s">
        <v>2620</v>
      </c>
      <c r="B2616">
        <v>0.99193492352474899</v>
      </c>
      <c r="C2616">
        <v>0.72244088627152103</v>
      </c>
      <c r="D2616">
        <v>1.02467104158117</v>
      </c>
      <c r="E2616">
        <v>0.73850647224704002</v>
      </c>
      <c r="F2616">
        <v>0.71624381043714302</v>
      </c>
      <c r="G2616">
        <v>0.54461670709750598</v>
      </c>
      <c r="H2616">
        <v>0.406144725570878</v>
      </c>
      <c r="I2616">
        <v>0.15570120565978601</v>
      </c>
      <c r="J2616">
        <v>0.14306239850706201</v>
      </c>
      <c r="K2616">
        <v>0.12298400324526999</v>
      </c>
      <c r="L2616">
        <v>580.52233666031395</v>
      </c>
      <c r="M2616">
        <v>10.1977866243056</v>
      </c>
      <c r="N2616">
        <v>56.9263075823294</v>
      </c>
      <c r="O2616">
        <v>54.867477437344597</v>
      </c>
      <c r="P2616">
        <v>-4.6486499657023797E-2</v>
      </c>
      <c r="Q2616">
        <v>0</v>
      </c>
      <c r="R2616">
        <v>0.90999708490777498</v>
      </c>
      <c r="S2616" t="s">
        <v>9286</v>
      </c>
      <c r="T2616" t="s">
        <v>13338</v>
      </c>
      <c r="U2616" t="s">
        <v>13338</v>
      </c>
      <c r="V2616" t="s">
        <v>13338</v>
      </c>
      <c r="W2616" t="s">
        <v>15914</v>
      </c>
      <c r="X2616">
        <v>15</v>
      </c>
      <c r="Y2616" t="s">
        <v>22472</v>
      </c>
      <c r="Z2616" t="s">
        <v>29031</v>
      </c>
      <c r="AA2616">
        <v>0.58061170033487486</v>
      </c>
      <c r="AB2616" t="str">
        <f>HYPERLINK("Melting_Curves/meltCurve_P48047_ATP5O.pdf", "Melting_Curves/meltCurve_P48047_ATP5O.pdf")</f>
        <v>Melting_Curves/meltCurve_P48047_ATP5O.pdf</v>
      </c>
    </row>
    <row r="2617" spans="1:28" x14ac:dyDescent="0.25">
      <c r="A2617" t="s">
        <v>2621</v>
      </c>
      <c r="B2617">
        <v>0.99193492352474899</v>
      </c>
      <c r="C2617">
        <v>1.24024244375045</v>
      </c>
      <c r="D2617">
        <v>1.06738954619231</v>
      </c>
      <c r="E2617">
        <v>0.79123043719777497</v>
      </c>
      <c r="F2617">
        <v>0.80922540241149199</v>
      </c>
      <c r="G2617">
        <v>0.39928615766252401</v>
      </c>
      <c r="H2617">
        <v>0.20949441207595801</v>
      </c>
      <c r="I2617">
        <v>0.22616699413840899</v>
      </c>
      <c r="J2617">
        <v>0.25130892930214199</v>
      </c>
      <c r="K2617">
        <v>0.359021237651169</v>
      </c>
      <c r="L2617">
        <v>1652.3985297178799</v>
      </c>
      <c r="M2617">
        <v>30.375311681927101</v>
      </c>
      <c r="N2617">
        <v>55.686133291996804</v>
      </c>
      <c r="O2617">
        <v>54.165247425594899</v>
      </c>
      <c r="P2617">
        <v>-0.10484389685686001</v>
      </c>
      <c r="Q2617">
        <v>0.25217422392224997</v>
      </c>
      <c r="R2617">
        <v>0.91668630634586001</v>
      </c>
      <c r="S2617" t="s">
        <v>9287</v>
      </c>
      <c r="T2617" t="s">
        <v>13338</v>
      </c>
      <c r="U2617" t="s">
        <v>13338</v>
      </c>
      <c r="V2617" t="s">
        <v>13338</v>
      </c>
      <c r="W2617" t="s">
        <v>15915</v>
      </c>
      <c r="X2617">
        <v>11</v>
      </c>
      <c r="Y2617" t="s">
        <v>22473</v>
      </c>
      <c r="Z2617" t="s">
        <v>29032</v>
      </c>
      <c r="AA2617">
        <v>0.61593294377391294</v>
      </c>
      <c r="AB2617" t="str">
        <f>HYPERLINK("Melting_Curves/meltCurve_P48059_5_LIMS1.pdf", "Melting_Curves/meltCurve_P48059_5_LIMS1.pdf")</f>
        <v>Melting_Curves/meltCurve_P48059_5_LIMS1.pdf</v>
      </c>
    </row>
    <row r="2618" spans="1:28" x14ac:dyDescent="0.25">
      <c r="A2618" t="s">
        <v>2622</v>
      </c>
      <c r="B2618">
        <v>0.99193492352474899</v>
      </c>
      <c r="C2618">
        <v>0.86010443238622503</v>
      </c>
      <c r="D2618">
        <v>0.51822423136511497</v>
      </c>
      <c r="E2618">
        <v>0.21580200471864699</v>
      </c>
      <c r="F2618">
        <v>0.140477047030484</v>
      </c>
      <c r="G2618">
        <v>8.0514652220161506E-2</v>
      </c>
      <c r="H2618">
        <v>5.4008418535318202E-2</v>
      </c>
      <c r="I2618">
        <v>5.7045080971742303E-2</v>
      </c>
      <c r="J2618">
        <v>6.8139771514232894E-2</v>
      </c>
      <c r="K2618">
        <v>6.8673592544373094E-2</v>
      </c>
      <c r="L2618">
        <v>1061.6053973605401</v>
      </c>
      <c r="M2618">
        <v>23.088205997353299</v>
      </c>
      <c r="N2618">
        <v>46.273806021466697</v>
      </c>
      <c r="O2618">
        <v>45.639641085687302</v>
      </c>
      <c r="P2618">
        <v>-0.117861839326524</v>
      </c>
      <c r="Q2618">
        <v>6.8082892773957293E-2</v>
      </c>
      <c r="R2618">
        <v>0.99801680219194799</v>
      </c>
      <c r="S2618" t="s">
        <v>9288</v>
      </c>
      <c r="T2618" t="s">
        <v>13338</v>
      </c>
      <c r="U2618" t="s">
        <v>13338</v>
      </c>
      <c r="V2618" t="s">
        <v>13338</v>
      </c>
      <c r="W2618" t="s">
        <v>15916</v>
      </c>
      <c r="X2618">
        <v>35</v>
      </c>
      <c r="Y2618" t="s">
        <v>20770</v>
      </c>
      <c r="Z2618" t="s">
        <v>29033</v>
      </c>
      <c r="AA2618">
        <v>0.26421650125912632</v>
      </c>
      <c r="AB2618" t="str">
        <f>HYPERLINK("Melting_Curves/meltCurve_P48147_PREP.pdf", "Melting_Curves/meltCurve_P48147_PREP.pdf")</f>
        <v>Melting_Curves/meltCurve_P48147_PREP.pdf</v>
      </c>
    </row>
    <row r="2619" spans="1:28" x14ac:dyDescent="0.25">
      <c r="A2619" t="s">
        <v>2623</v>
      </c>
      <c r="B2619">
        <v>0.99193492352474899</v>
      </c>
      <c r="C2619">
        <v>0.86029007374783395</v>
      </c>
      <c r="D2619">
        <v>0.86644006814382002</v>
      </c>
      <c r="E2619">
        <v>0.41679465037456798</v>
      </c>
      <c r="F2619">
        <v>0.22954514761516201</v>
      </c>
      <c r="G2619">
        <v>0.15388862544578599</v>
      </c>
      <c r="H2619">
        <v>9.2827046633704502E-2</v>
      </c>
      <c r="I2619">
        <v>0.111654600551247</v>
      </c>
      <c r="J2619">
        <v>0.101514990486387</v>
      </c>
      <c r="K2619">
        <v>9.0278023448263994E-2</v>
      </c>
      <c r="L2619">
        <v>1077.71602796038</v>
      </c>
      <c r="M2619">
        <v>22.162059639033</v>
      </c>
      <c r="N2619">
        <v>49.118106421340698</v>
      </c>
      <c r="O2619">
        <v>48.238137950906598</v>
      </c>
      <c r="P2619">
        <v>-0.10348458581752799</v>
      </c>
      <c r="Q2619">
        <v>9.9037724640209407E-2</v>
      </c>
      <c r="R2619">
        <v>0.98735142150850896</v>
      </c>
      <c r="S2619" t="s">
        <v>9289</v>
      </c>
      <c r="T2619" t="s">
        <v>13338</v>
      </c>
      <c r="U2619" t="s">
        <v>13338</v>
      </c>
      <c r="V2619" t="s">
        <v>13338</v>
      </c>
      <c r="W2619" t="s">
        <v>15917</v>
      </c>
      <c r="X2619">
        <v>10</v>
      </c>
      <c r="Y2619" t="s">
        <v>22474</v>
      </c>
      <c r="Z2619" t="s">
        <v>29034</v>
      </c>
      <c r="AA2619">
        <v>0.36842240776217072</v>
      </c>
      <c r="AB2619" t="str">
        <f>HYPERLINK("Melting_Curves/meltCurve_P48200_IREB2.pdf", "Melting_Curves/meltCurve_P48200_IREB2.pdf")</f>
        <v>Melting_Curves/meltCurve_P48200_IREB2.pdf</v>
      </c>
    </row>
    <row r="2620" spans="1:28" x14ac:dyDescent="0.25">
      <c r="A2620" t="s">
        <v>2624</v>
      </c>
      <c r="B2620">
        <v>0.99193492352474899</v>
      </c>
      <c r="C2620">
        <v>0.755641312079398</v>
      </c>
      <c r="D2620">
        <v>0.48282904351015798</v>
      </c>
      <c r="E2620">
        <v>0.34408187353855901</v>
      </c>
      <c r="F2620">
        <v>0.26359558681018203</v>
      </c>
      <c r="G2620">
        <v>5.08350023099364E-2</v>
      </c>
      <c r="H2620">
        <v>4.3596776408378203E-2</v>
      </c>
      <c r="I2620">
        <v>3.6413261100885101E-2</v>
      </c>
      <c r="J2620">
        <v>3.14082209485975E-2</v>
      </c>
      <c r="K2620">
        <v>0</v>
      </c>
      <c r="L2620">
        <v>605.90593172091997</v>
      </c>
      <c r="M2620">
        <v>12.9490330646322</v>
      </c>
      <c r="N2620">
        <v>46.821741303311001</v>
      </c>
      <c r="O2620">
        <v>45.717796790516203</v>
      </c>
      <c r="P2620">
        <v>-7.0528367170069398E-2</v>
      </c>
      <c r="Q2620">
        <v>4.1498372237420804E-3</v>
      </c>
      <c r="R2620">
        <v>0.97757076617497896</v>
      </c>
      <c r="S2620" t="s">
        <v>9290</v>
      </c>
      <c r="T2620" t="s">
        <v>13338</v>
      </c>
      <c r="U2620" t="s">
        <v>13338</v>
      </c>
      <c r="V2620" t="s">
        <v>13338</v>
      </c>
      <c r="W2620" t="s">
        <v>15918</v>
      </c>
      <c r="X2620">
        <v>1</v>
      </c>
      <c r="Y2620" t="s">
        <v>22475</v>
      </c>
      <c r="Z2620" t="s">
        <v>29035</v>
      </c>
      <c r="AA2620">
        <v>0.26639942031653208</v>
      </c>
      <c r="AB2620" t="str">
        <f>HYPERLINK("Melting_Curves/meltCurve_P48380_3_RFX3.pdf", "Melting_Curves/meltCurve_P48380_3_RFX3.pdf")</f>
        <v>Melting_Curves/meltCurve_P48380_3_RFX3.pdf</v>
      </c>
    </row>
    <row r="2621" spans="1:28" x14ac:dyDescent="0.25">
      <c r="A2621" t="s">
        <v>2625</v>
      </c>
      <c r="B2621">
        <v>0.99193492352474899</v>
      </c>
      <c r="C2621">
        <v>0.87313141572061204</v>
      </c>
      <c r="D2621">
        <v>0.95467915436522099</v>
      </c>
      <c r="E2621">
        <v>0.74998038826999902</v>
      </c>
      <c r="F2621">
        <v>0.52307106343401699</v>
      </c>
      <c r="G2621">
        <v>0.17255641788034801</v>
      </c>
      <c r="H2621">
        <v>8.7713190659215595E-2</v>
      </c>
      <c r="I2621">
        <v>9.8745269193865906E-2</v>
      </c>
      <c r="J2621">
        <v>0.105632698554017</v>
      </c>
      <c r="K2621">
        <v>0.114328838013229</v>
      </c>
      <c r="L2621">
        <v>1089.1307248887299</v>
      </c>
      <c r="M2621">
        <v>20.809785562554001</v>
      </c>
      <c r="N2621">
        <v>52.760738148099698</v>
      </c>
      <c r="O2621">
        <v>51.8613008558318</v>
      </c>
      <c r="P2621">
        <v>-9.2604683584987801E-2</v>
      </c>
      <c r="Q2621">
        <v>7.6883018045482907E-2</v>
      </c>
      <c r="R2621">
        <v>0.98241569222487801</v>
      </c>
      <c r="S2621" t="s">
        <v>9291</v>
      </c>
      <c r="T2621" t="s">
        <v>13338</v>
      </c>
      <c r="U2621" t="s">
        <v>13338</v>
      </c>
      <c r="V2621" t="s">
        <v>13338</v>
      </c>
      <c r="W2621" t="s">
        <v>15919</v>
      </c>
      <c r="X2621">
        <v>29</v>
      </c>
      <c r="Y2621" t="s">
        <v>22476</v>
      </c>
      <c r="Z2621" t="s">
        <v>29036</v>
      </c>
      <c r="AA2621">
        <v>0.46839713249432358</v>
      </c>
      <c r="AB2621" t="str">
        <f>HYPERLINK("Melting_Curves/meltCurve_P48444_ARCN1.pdf", "Melting_Curves/meltCurve_P48444_ARCN1.pdf")</f>
        <v>Melting_Curves/meltCurve_P48444_ARCN1.pdf</v>
      </c>
    </row>
    <row r="2622" spans="1:28" x14ac:dyDescent="0.25">
      <c r="A2622" t="s">
        <v>2626</v>
      </c>
      <c r="B2622">
        <v>0.99193492352474899</v>
      </c>
      <c r="C2622">
        <v>0.91676348473481395</v>
      </c>
      <c r="D2622">
        <v>0.97632060646889696</v>
      </c>
      <c r="E2622">
        <v>0.806277481832256</v>
      </c>
      <c r="F2622">
        <v>0.62828059155173599</v>
      </c>
      <c r="G2622">
        <v>0.238144317346767</v>
      </c>
      <c r="H2622">
        <v>9.4014221727794195E-2</v>
      </c>
      <c r="I2622">
        <v>9.1304113136703599E-2</v>
      </c>
      <c r="J2622">
        <v>0.10829180077263</v>
      </c>
      <c r="K2622">
        <v>9.4941573231660206E-2</v>
      </c>
      <c r="L2622">
        <v>1187.0063175411899</v>
      </c>
      <c r="M2622">
        <v>22.178051298347999</v>
      </c>
      <c r="N2622">
        <v>53.892826252556503</v>
      </c>
      <c r="O2622">
        <v>53.092223529940199</v>
      </c>
      <c r="P2622">
        <v>-9.7037636965791096E-2</v>
      </c>
      <c r="Q2622">
        <v>7.0823230080374999E-2</v>
      </c>
      <c r="R2622">
        <v>0.98834470281616205</v>
      </c>
      <c r="S2622" t="s">
        <v>9292</v>
      </c>
      <c r="T2622" t="s">
        <v>13338</v>
      </c>
      <c r="U2622" t="s">
        <v>13338</v>
      </c>
      <c r="V2622" t="s">
        <v>13338</v>
      </c>
      <c r="W2622" t="s">
        <v>15920</v>
      </c>
      <c r="X2622">
        <v>29</v>
      </c>
      <c r="Y2622" t="s">
        <v>22477</v>
      </c>
      <c r="Z2622" t="s">
        <v>29037</v>
      </c>
      <c r="AA2622">
        <v>0.50027762386007713</v>
      </c>
      <c r="AB2622" t="str">
        <f>HYPERLINK("Melting_Curves/meltCurve_P48449_LSS.pdf", "Melting_Curves/meltCurve_P48449_LSS.pdf")</f>
        <v>Melting_Curves/meltCurve_P48449_LSS.pdf</v>
      </c>
    </row>
    <row r="2623" spans="1:28" x14ac:dyDescent="0.25">
      <c r="A2623" t="s">
        <v>2627</v>
      </c>
      <c r="B2623">
        <v>0.99193492352474899</v>
      </c>
      <c r="C2623">
        <v>1.0026711230568699</v>
      </c>
      <c r="D2623">
        <v>0.96146646045289996</v>
      </c>
      <c r="E2623">
        <v>0.84268632734173998</v>
      </c>
      <c r="F2623">
        <v>0.63347825605499897</v>
      </c>
      <c r="G2623">
        <v>0.259577451215182</v>
      </c>
      <c r="H2623">
        <v>0.107767154299094</v>
      </c>
      <c r="I2623">
        <v>0.13417037535596499</v>
      </c>
      <c r="J2623">
        <v>0.13978995330053701</v>
      </c>
      <c r="K2623">
        <v>0.135304498127581</v>
      </c>
      <c r="L2623">
        <v>1331.0043490841099</v>
      </c>
      <c r="M2623">
        <v>24.8695507271763</v>
      </c>
      <c r="N2623">
        <v>54.071377324476799</v>
      </c>
      <c r="O2623">
        <v>53.176996922573501</v>
      </c>
      <c r="P2623">
        <v>-0.103813657506727</v>
      </c>
      <c r="Q2623">
        <v>0.112099353883863</v>
      </c>
      <c r="R2623">
        <v>0.99401423995403904</v>
      </c>
      <c r="S2623" t="s">
        <v>9293</v>
      </c>
      <c r="T2623" t="s">
        <v>13338</v>
      </c>
      <c r="U2623" t="s">
        <v>13338</v>
      </c>
      <c r="V2623" t="s">
        <v>13338</v>
      </c>
      <c r="W2623" t="s">
        <v>15921</v>
      </c>
      <c r="X2623">
        <v>9</v>
      </c>
      <c r="Y2623" t="s">
        <v>22478</v>
      </c>
      <c r="Z2623" t="s">
        <v>29038</v>
      </c>
      <c r="AA2623">
        <v>0.52051049292912233</v>
      </c>
      <c r="AB2623" t="str">
        <f>HYPERLINK("Melting_Curves/meltCurve_P48454_PPP3CC.pdf", "Melting_Curves/meltCurve_P48454_PPP3CC.pdf")</f>
        <v>Melting_Curves/meltCurve_P48454_PPP3CC.pdf</v>
      </c>
    </row>
    <row r="2624" spans="1:28" x14ac:dyDescent="0.25">
      <c r="A2624" t="s">
        <v>2628</v>
      </c>
      <c r="B2624">
        <v>0.99193492352474899</v>
      </c>
      <c r="C2624">
        <v>1.0198069217597101</v>
      </c>
      <c r="D2624">
        <v>0.96083389532915797</v>
      </c>
      <c r="E2624">
        <v>0.84782123128924303</v>
      </c>
      <c r="F2624">
        <v>0.52008692871280005</v>
      </c>
      <c r="G2624">
        <v>0.33496550594996399</v>
      </c>
      <c r="H2624">
        <v>7.8074693357037594E-2</v>
      </c>
      <c r="I2624">
        <v>8.2448987946830393E-2</v>
      </c>
      <c r="J2624">
        <v>8.3569741910464901E-2</v>
      </c>
      <c r="K2624">
        <v>0.10285204141733401</v>
      </c>
      <c r="L2624">
        <v>1088.6973140631501</v>
      </c>
      <c r="M2624">
        <v>20.3914381646312</v>
      </c>
      <c r="N2624">
        <v>53.756249737673897</v>
      </c>
      <c r="O2624">
        <v>52.8844291676292</v>
      </c>
      <c r="P2624">
        <v>-9.0145834450074902E-2</v>
      </c>
      <c r="Q2624">
        <v>6.4869184982848702E-2</v>
      </c>
      <c r="R2624">
        <v>0.99381208872868299</v>
      </c>
      <c r="S2624" t="s">
        <v>9294</v>
      </c>
      <c r="T2624" t="s">
        <v>13338</v>
      </c>
      <c r="U2624" t="s">
        <v>13338</v>
      </c>
      <c r="V2624" t="s">
        <v>13338</v>
      </c>
      <c r="W2624" t="s">
        <v>15922</v>
      </c>
      <c r="X2624">
        <v>28</v>
      </c>
      <c r="Y2624" t="s">
        <v>22479</v>
      </c>
      <c r="Z2624" t="s">
        <v>29039</v>
      </c>
      <c r="AA2624">
        <v>0.49464908967194482</v>
      </c>
      <c r="AB2624" t="str">
        <f>HYPERLINK("Melting_Curves/meltCurve_P48506_GCLC.pdf", "Melting_Curves/meltCurve_P48506_GCLC.pdf")</f>
        <v>Melting_Curves/meltCurve_P48506_GCLC.pdf</v>
      </c>
    </row>
    <row r="2625" spans="1:28" x14ac:dyDescent="0.25">
      <c r="A2625" t="s">
        <v>2629</v>
      </c>
      <c r="B2625">
        <v>0.99193492352474899</v>
      </c>
      <c r="C2625">
        <v>0.79065807544834898</v>
      </c>
      <c r="D2625">
        <v>0.79719682413529103</v>
      </c>
      <c r="E2625">
        <v>0.49354340435182298</v>
      </c>
      <c r="F2625">
        <v>0.40425803750490302</v>
      </c>
      <c r="G2625">
        <v>0.25165121849023597</v>
      </c>
      <c r="H2625">
        <v>7.0283697080668894E-2</v>
      </c>
      <c r="I2625">
        <v>8.4748702588353694E-2</v>
      </c>
      <c r="J2625">
        <v>7.9165502793234102E-2</v>
      </c>
      <c r="K2625">
        <v>7.4500753396003802E-2</v>
      </c>
      <c r="L2625">
        <v>549.46346027043205</v>
      </c>
      <c r="M2625">
        <v>10.915410558354999</v>
      </c>
      <c r="N2625">
        <v>50.389670853289502</v>
      </c>
      <c r="O2625">
        <v>48.737211922622102</v>
      </c>
      <c r="P2625">
        <v>-5.5700835906557902E-2</v>
      </c>
      <c r="Q2625">
        <v>5.5306916829702298E-3</v>
      </c>
      <c r="R2625">
        <v>0.97992793245227305</v>
      </c>
      <c r="S2625" t="s">
        <v>9295</v>
      </c>
      <c r="T2625" t="s">
        <v>13338</v>
      </c>
      <c r="U2625" t="s">
        <v>13338</v>
      </c>
      <c r="V2625" t="s">
        <v>13338</v>
      </c>
      <c r="W2625" t="s">
        <v>15923</v>
      </c>
      <c r="X2625">
        <v>8</v>
      </c>
      <c r="Y2625" t="s">
        <v>22480</v>
      </c>
      <c r="Z2625" t="s">
        <v>29040</v>
      </c>
      <c r="AA2625">
        <v>0.3870190628515458</v>
      </c>
      <c r="AB2625" t="str">
        <f>HYPERLINK("Melting_Curves/meltCurve_P48507_GCLM.pdf", "Melting_Curves/meltCurve_P48507_GCLM.pdf")</f>
        <v>Melting_Curves/meltCurve_P48507_GCLM.pdf</v>
      </c>
    </row>
    <row r="2626" spans="1:28" x14ac:dyDescent="0.25">
      <c r="A2626" t="s">
        <v>2630</v>
      </c>
      <c r="B2626">
        <v>0.99193492352474899</v>
      </c>
      <c r="C2626">
        <v>0.95111535798013802</v>
      </c>
      <c r="D2626">
        <v>1.01260748041363</v>
      </c>
      <c r="E2626">
        <v>0.712551497750329</v>
      </c>
      <c r="F2626">
        <v>0.29516489284164399</v>
      </c>
      <c r="G2626">
        <v>0.105645683946903</v>
      </c>
      <c r="H2626">
        <v>6.7963029283207799E-2</v>
      </c>
      <c r="I2626">
        <v>5.5193552053324497E-2</v>
      </c>
      <c r="J2626">
        <v>9.8086326651240896E-2</v>
      </c>
      <c r="K2626">
        <v>5.9678735258755E-2</v>
      </c>
      <c r="L2626">
        <v>1530.5343714563701</v>
      </c>
      <c r="M2626">
        <v>29.9706106154933</v>
      </c>
      <c r="N2626">
        <v>51.317274847164001</v>
      </c>
      <c r="O2626">
        <v>50.842100920206803</v>
      </c>
      <c r="P2626">
        <v>-0.13738295574300999</v>
      </c>
      <c r="Q2626">
        <v>6.77811015771803E-2</v>
      </c>
      <c r="R2626">
        <v>0.99643716278165295</v>
      </c>
      <c r="S2626" t="s">
        <v>9296</v>
      </c>
      <c r="T2626" t="s">
        <v>13338</v>
      </c>
      <c r="U2626" t="s">
        <v>13338</v>
      </c>
      <c r="V2626" t="s">
        <v>13338</v>
      </c>
      <c r="W2626" t="s">
        <v>15924</v>
      </c>
      <c r="X2626">
        <v>2</v>
      </c>
      <c r="Y2626" t="s">
        <v>22481</v>
      </c>
      <c r="Z2626" t="s">
        <v>29041</v>
      </c>
      <c r="AA2626">
        <v>0.41758209634779869</v>
      </c>
      <c r="AB2626" t="str">
        <f>HYPERLINK("Melting_Curves/meltCurve_P48553_TRAPPC10.pdf", "Melting_Curves/meltCurve_P48553_TRAPPC10.pdf")</f>
        <v>Melting_Curves/meltCurve_P48553_TRAPPC10.pdf</v>
      </c>
    </row>
    <row r="2627" spans="1:28" x14ac:dyDescent="0.25">
      <c r="A2627" t="s">
        <v>2631</v>
      </c>
      <c r="B2627">
        <v>0.99193492352474899</v>
      </c>
      <c r="C2627">
        <v>0.68732957044101906</v>
      </c>
      <c r="D2627">
        <v>0.82874633679962795</v>
      </c>
      <c r="E2627">
        <v>0.65057126353431305</v>
      </c>
      <c r="F2627">
        <v>0.50616276738350097</v>
      </c>
      <c r="G2627">
        <v>0.479280616423504</v>
      </c>
      <c r="H2627">
        <v>0.44750774498603901</v>
      </c>
      <c r="I2627">
        <v>0.61296621934935702</v>
      </c>
      <c r="J2627">
        <v>0.65485381401325804</v>
      </c>
      <c r="K2627">
        <v>0.93374653128721097</v>
      </c>
      <c r="L2627">
        <v>852.42316834178996</v>
      </c>
      <c r="M2627">
        <v>19.9031680510654</v>
      </c>
      <c r="O2627">
        <v>42.403192354297197</v>
      </c>
      <c r="P2627">
        <v>-4.5047033057180198E-2</v>
      </c>
      <c r="Q2627">
        <v>0.61612649868198599</v>
      </c>
      <c r="R2627">
        <v>0.36030632836826298</v>
      </c>
      <c r="S2627" t="s">
        <v>9297</v>
      </c>
      <c r="T2627" t="s">
        <v>13338</v>
      </c>
      <c r="U2627" t="s">
        <v>13338</v>
      </c>
      <c r="V2627" t="s">
        <v>13338</v>
      </c>
      <c r="W2627" t="s">
        <v>15925</v>
      </c>
      <c r="X2627">
        <v>28</v>
      </c>
      <c r="Y2627" t="s">
        <v>22482</v>
      </c>
      <c r="Z2627" t="s">
        <v>29042</v>
      </c>
      <c r="AA2627">
        <v>0.66180601286449381</v>
      </c>
      <c r="AB2627" t="str">
        <f>HYPERLINK("Melting_Curves/meltCurve_P48634_PRRC2A.pdf", "Melting_Curves/meltCurve_P48634_PRRC2A.pdf")</f>
        <v>Melting_Curves/meltCurve_P48634_PRRC2A.pdf</v>
      </c>
    </row>
    <row r="2628" spans="1:28" x14ac:dyDescent="0.25">
      <c r="A2628" t="s">
        <v>2632</v>
      </c>
      <c r="B2628">
        <v>0.99193492352474899</v>
      </c>
      <c r="C2628">
        <v>1.14129356520943</v>
      </c>
      <c r="D2628">
        <v>0.88485127313235101</v>
      </c>
      <c r="E2628">
        <v>0.89503170080236005</v>
      </c>
      <c r="F2628">
        <v>0.731674612700556</v>
      </c>
      <c r="G2628">
        <v>0.66766361993041001</v>
      </c>
      <c r="H2628">
        <v>0.49681449869489602</v>
      </c>
      <c r="I2628">
        <v>0.44902540343080199</v>
      </c>
      <c r="J2628">
        <v>0.18685526345661799</v>
      </c>
      <c r="K2628">
        <v>0.12876261906119599</v>
      </c>
      <c r="L2628">
        <v>624.86968730521596</v>
      </c>
      <c r="M2628">
        <v>10.3886962203444</v>
      </c>
      <c r="N2628">
        <v>60.149015654971798</v>
      </c>
      <c r="O2628">
        <v>58.048309260751999</v>
      </c>
      <c r="P2628">
        <v>-4.4760402303265903E-2</v>
      </c>
      <c r="Q2628">
        <v>0</v>
      </c>
      <c r="R2628">
        <v>0.94813562014557895</v>
      </c>
      <c r="S2628" t="s">
        <v>9298</v>
      </c>
      <c r="T2628" t="s">
        <v>13338</v>
      </c>
      <c r="U2628" t="s">
        <v>13338</v>
      </c>
      <c r="V2628" t="s">
        <v>13338</v>
      </c>
      <c r="W2628" t="s">
        <v>15926</v>
      </c>
      <c r="X2628">
        <v>30</v>
      </c>
      <c r="Y2628" t="s">
        <v>22483</v>
      </c>
      <c r="Z2628" t="s">
        <v>29043</v>
      </c>
      <c r="AA2628">
        <v>0.6680754765988598</v>
      </c>
      <c r="AB2628" t="str">
        <f>HYPERLINK("Melting_Curves/meltCurve_P48637_GSS.pdf", "Melting_Curves/meltCurve_P48637_GSS.pdf")</f>
        <v>Melting_Curves/meltCurve_P48637_GSS.pdf</v>
      </c>
    </row>
    <row r="2629" spans="1:28" x14ac:dyDescent="0.25">
      <c r="A2629" t="s">
        <v>2633</v>
      </c>
      <c r="B2629">
        <v>0.99193492352474899</v>
      </c>
      <c r="C2629">
        <v>0.82445337253304696</v>
      </c>
      <c r="D2629">
        <v>0.90226897362710801</v>
      </c>
      <c r="E2629">
        <v>0.74148645204533403</v>
      </c>
      <c r="F2629">
        <v>0.741299348914089</v>
      </c>
      <c r="G2629">
        <v>0.541131097597219</v>
      </c>
      <c r="H2629">
        <v>0.33944665176291899</v>
      </c>
      <c r="I2629">
        <v>0.19833960909231599</v>
      </c>
      <c r="J2629">
        <v>0.14123418281625999</v>
      </c>
      <c r="K2629">
        <v>0.10501360082946599</v>
      </c>
      <c r="L2629">
        <v>570.36281978632701</v>
      </c>
      <c r="M2629">
        <v>10.0626105170005</v>
      </c>
      <c r="N2629">
        <v>56.681399670480403</v>
      </c>
      <c r="O2629">
        <v>54.579350265729701</v>
      </c>
      <c r="P2629">
        <v>-4.6113549346099902E-2</v>
      </c>
      <c r="Q2629">
        <v>0</v>
      </c>
      <c r="R2629">
        <v>0.96426138018777496</v>
      </c>
      <c r="S2629" t="s">
        <v>9299</v>
      </c>
      <c r="T2629" t="s">
        <v>13338</v>
      </c>
      <c r="U2629" t="s">
        <v>13338</v>
      </c>
      <c r="V2629" t="s">
        <v>13338</v>
      </c>
      <c r="W2629" t="s">
        <v>15927</v>
      </c>
      <c r="X2629">
        <v>54</v>
      </c>
      <c r="Y2629" t="s">
        <v>22484</v>
      </c>
      <c r="Z2629" t="s">
        <v>29044</v>
      </c>
      <c r="AA2629">
        <v>0.5736463722363383</v>
      </c>
      <c r="AB2629" t="str">
        <f>HYPERLINK("Melting_Curves/meltCurve_P48643_CCT5.pdf", "Melting_Curves/meltCurve_P48643_CCT5.pdf")</f>
        <v>Melting_Curves/meltCurve_P48643_CCT5.pdf</v>
      </c>
    </row>
    <row r="2630" spans="1:28" x14ac:dyDescent="0.25">
      <c r="A2630" t="s">
        <v>2634</v>
      </c>
      <c r="B2630">
        <v>0.99193492352474899</v>
      </c>
      <c r="C2630">
        <v>1.0271091349054999</v>
      </c>
      <c r="D2630">
        <v>1.00161344518065</v>
      </c>
      <c r="E2630">
        <v>0.91342337877840896</v>
      </c>
      <c r="F2630">
        <v>0.56918392671876505</v>
      </c>
      <c r="G2630">
        <v>0.220054043964341</v>
      </c>
      <c r="H2630">
        <v>0.12425623264089899</v>
      </c>
      <c r="I2630">
        <v>0.12674172678332099</v>
      </c>
      <c r="J2630">
        <v>0.13179705486386201</v>
      </c>
      <c r="K2630">
        <v>0.12740915663053601</v>
      </c>
      <c r="L2630">
        <v>1715.6452590746201</v>
      </c>
      <c r="M2630">
        <v>32.236591398570603</v>
      </c>
      <c r="N2630">
        <v>53.686404389494101</v>
      </c>
      <c r="O2630">
        <v>53.016884267835202</v>
      </c>
      <c r="P2630">
        <v>-0.13346141877789799</v>
      </c>
      <c r="Q2630">
        <v>0.122032020372245</v>
      </c>
      <c r="R2630">
        <v>0.99917522814399196</v>
      </c>
      <c r="S2630" t="s">
        <v>9300</v>
      </c>
      <c r="T2630" t="s">
        <v>13338</v>
      </c>
      <c r="U2630" t="s">
        <v>13338</v>
      </c>
      <c r="V2630" t="s">
        <v>13338</v>
      </c>
      <c r="W2630" t="s">
        <v>15928</v>
      </c>
      <c r="X2630">
        <v>5</v>
      </c>
      <c r="Y2630" t="s">
        <v>22485</v>
      </c>
      <c r="Z2630" t="s">
        <v>29045</v>
      </c>
      <c r="AA2630">
        <v>0.51389461141825632</v>
      </c>
      <c r="AB2630" t="str">
        <f>HYPERLINK("Melting_Curves/meltCurve_P48723_HSPA13.pdf", "Melting_Curves/meltCurve_P48723_HSPA13.pdf")</f>
        <v>Melting_Curves/meltCurve_P48723_HSPA13.pdf</v>
      </c>
    </row>
    <row r="2631" spans="1:28" x14ac:dyDescent="0.25">
      <c r="A2631" t="s">
        <v>2635</v>
      </c>
      <c r="B2631">
        <v>0.99193492352474899</v>
      </c>
      <c r="C2631">
        <v>0.532189346764814</v>
      </c>
      <c r="D2631">
        <v>0.86778089811997206</v>
      </c>
      <c r="E2631">
        <v>0.65187092474605601</v>
      </c>
      <c r="F2631">
        <v>0.56437152041556604</v>
      </c>
      <c r="G2631">
        <v>0.15136547157952299</v>
      </c>
      <c r="H2631">
        <v>5.9562212494924702E-2</v>
      </c>
      <c r="I2631">
        <v>5.8177867418533397E-2</v>
      </c>
      <c r="J2631">
        <v>6.3886388258635601E-2</v>
      </c>
      <c r="K2631">
        <v>5.5761817734815401E-2</v>
      </c>
      <c r="L2631">
        <v>540.42536063682201</v>
      </c>
      <c r="M2631">
        <v>10.5577863728558</v>
      </c>
      <c r="N2631">
        <v>51.1873522827496</v>
      </c>
      <c r="O2631">
        <v>49.453322872531501</v>
      </c>
      <c r="P2631">
        <v>-5.3393571967003402E-2</v>
      </c>
      <c r="Q2631">
        <v>0</v>
      </c>
      <c r="R2631">
        <v>0.84058046553169197</v>
      </c>
      <c r="S2631" t="s">
        <v>9301</v>
      </c>
      <c r="T2631" t="s">
        <v>13338</v>
      </c>
      <c r="U2631" t="s">
        <v>13338</v>
      </c>
      <c r="V2631" t="s">
        <v>13338</v>
      </c>
      <c r="W2631" t="s">
        <v>13699</v>
      </c>
      <c r="X2631">
        <v>12</v>
      </c>
      <c r="Y2631" t="s">
        <v>20303</v>
      </c>
      <c r="Z2631" t="s">
        <v>29046</v>
      </c>
      <c r="AA2631">
        <v>0.41117001053850311</v>
      </c>
      <c r="AB2631" t="str">
        <f>HYPERLINK("Melting_Curves/meltCurve_P48729_CSNK1A1.pdf", "Melting_Curves/meltCurve_P48729_CSNK1A1.pdf")</f>
        <v>Melting_Curves/meltCurve_P48729_CSNK1A1.pdf</v>
      </c>
    </row>
    <row r="2632" spans="1:28" x14ac:dyDescent="0.25">
      <c r="A2632" t="s">
        <v>2636</v>
      </c>
      <c r="B2632">
        <v>0.99193492352474899</v>
      </c>
      <c r="C2632">
        <v>0.69177404495848005</v>
      </c>
      <c r="D2632">
        <v>0.85684332763704696</v>
      </c>
      <c r="E2632">
        <v>0.89604739963983804</v>
      </c>
      <c r="F2632">
        <v>0.59627731089999902</v>
      </c>
      <c r="G2632">
        <v>0.22216008340202301</v>
      </c>
      <c r="H2632">
        <v>0.120958247642204</v>
      </c>
      <c r="I2632">
        <v>0.132740683815878</v>
      </c>
      <c r="J2632">
        <v>0.18008713446392299</v>
      </c>
      <c r="K2632">
        <v>0.12532505562714299</v>
      </c>
      <c r="L2632">
        <v>1468.77825016934</v>
      </c>
      <c r="M2632">
        <v>27.5930859807969</v>
      </c>
      <c r="N2632">
        <v>53.795053124086799</v>
      </c>
      <c r="O2632">
        <v>52.952713720436599</v>
      </c>
      <c r="P2632">
        <v>-0.113882869438605</v>
      </c>
      <c r="Q2632">
        <v>0.12581695890835701</v>
      </c>
      <c r="R2632">
        <v>0.89929651472946803</v>
      </c>
      <c r="S2632" t="s">
        <v>9302</v>
      </c>
      <c r="T2632" t="s">
        <v>13338</v>
      </c>
      <c r="U2632" t="s">
        <v>13338</v>
      </c>
      <c r="V2632" t="s">
        <v>13338</v>
      </c>
      <c r="W2632" t="s">
        <v>15929</v>
      </c>
      <c r="X2632">
        <v>8</v>
      </c>
      <c r="Y2632" t="s">
        <v>22486</v>
      </c>
      <c r="Z2632" t="s">
        <v>29047</v>
      </c>
      <c r="AA2632">
        <v>0.5180168726038975</v>
      </c>
      <c r="AB2632" t="str">
        <f>HYPERLINK("Melting_Curves/meltCurve_P48730_2_CSNK1D.pdf", "Melting_Curves/meltCurve_P48730_2_CSNK1D.pdf")</f>
        <v>Melting_Curves/meltCurve_P48730_2_CSNK1D.pdf</v>
      </c>
    </row>
    <row r="2633" spans="1:28" x14ac:dyDescent="0.25">
      <c r="A2633" t="s">
        <v>2637</v>
      </c>
      <c r="B2633">
        <v>0.99193492352474899</v>
      </c>
      <c r="C2633">
        <v>1.04595318298045</v>
      </c>
      <c r="D2633">
        <v>1.00966918874554</v>
      </c>
      <c r="E2633">
        <v>0.84222629431653495</v>
      </c>
      <c r="F2633">
        <v>0.242307008318142</v>
      </c>
      <c r="G2633">
        <v>9.6860267229070401E-2</v>
      </c>
      <c r="H2633">
        <v>5.4182321951782401E-2</v>
      </c>
      <c r="I2633">
        <v>6.3030123686489206E-2</v>
      </c>
      <c r="J2633">
        <v>6.4576165675669497E-2</v>
      </c>
      <c r="K2633">
        <v>6.6186128740428701E-2</v>
      </c>
      <c r="L2633">
        <v>2224.4371616716198</v>
      </c>
      <c r="M2633">
        <v>43.251944806763298</v>
      </c>
      <c r="N2633">
        <v>51.596516198551299</v>
      </c>
      <c r="O2633">
        <v>51.320184815006897</v>
      </c>
      <c r="P2633">
        <v>-0.19695349782554999</v>
      </c>
      <c r="Q2633">
        <v>6.5228222241349498E-2</v>
      </c>
      <c r="R2633">
        <v>0.99848814366938299</v>
      </c>
      <c r="S2633" t="s">
        <v>9303</v>
      </c>
      <c r="T2633" t="s">
        <v>13338</v>
      </c>
      <c r="U2633" t="s">
        <v>13338</v>
      </c>
      <c r="V2633" t="s">
        <v>13338</v>
      </c>
      <c r="W2633" t="s">
        <v>15930</v>
      </c>
      <c r="X2633">
        <v>38</v>
      </c>
      <c r="Y2633" t="s">
        <v>22487</v>
      </c>
      <c r="Z2633" t="s">
        <v>29048</v>
      </c>
      <c r="AA2633">
        <v>0.42420747236180828</v>
      </c>
      <c r="AB2633" t="str">
        <f>HYPERLINK("Melting_Curves/meltCurve_P48735_IDH2.pdf", "Melting_Curves/meltCurve_P48735_IDH2.pdf")</f>
        <v>Melting_Curves/meltCurve_P48735_IDH2.pdf</v>
      </c>
    </row>
    <row r="2634" spans="1:28" x14ac:dyDescent="0.25">
      <c r="A2634" t="s">
        <v>2638</v>
      </c>
      <c r="B2634">
        <v>0.99193492352474899</v>
      </c>
      <c r="C2634">
        <v>0.80186961403884105</v>
      </c>
      <c r="D2634">
        <v>0.90262219050371095</v>
      </c>
      <c r="E2634">
        <v>0.69486607814197399</v>
      </c>
      <c r="F2634">
        <v>0.446982578178034</v>
      </c>
      <c r="G2634">
        <v>0.16065998999830999</v>
      </c>
      <c r="H2634">
        <v>7.3441878240705694E-2</v>
      </c>
      <c r="I2634">
        <v>7.9527644613151094E-2</v>
      </c>
      <c r="J2634">
        <v>9.5045301764998799E-2</v>
      </c>
      <c r="K2634">
        <v>9.48121513573945E-2</v>
      </c>
      <c r="L2634">
        <v>852.65712422094805</v>
      </c>
      <c r="M2634">
        <v>16.5338116785314</v>
      </c>
      <c r="N2634">
        <v>51.878362588971001</v>
      </c>
      <c r="O2634">
        <v>50.833797673571098</v>
      </c>
      <c r="P2634">
        <v>-7.7518904581755504E-2</v>
      </c>
      <c r="Q2634">
        <v>4.6726785464787299E-2</v>
      </c>
      <c r="R2634">
        <v>0.97129041569011398</v>
      </c>
      <c r="S2634" t="s">
        <v>9304</v>
      </c>
      <c r="T2634" t="s">
        <v>13338</v>
      </c>
      <c r="U2634" t="s">
        <v>13338</v>
      </c>
      <c r="V2634" t="s">
        <v>13338</v>
      </c>
      <c r="W2634" t="s">
        <v>15931</v>
      </c>
      <c r="X2634">
        <v>22</v>
      </c>
      <c r="Y2634" t="s">
        <v>22488</v>
      </c>
      <c r="Z2634" t="s">
        <v>29049</v>
      </c>
      <c r="AA2634">
        <v>0.43283999408443979</v>
      </c>
      <c r="AB2634" t="str">
        <f>HYPERLINK("Melting_Curves/meltCurve_P48739_PITPNB.pdf", "Melting_Curves/meltCurve_P48739_PITPNB.pdf")</f>
        <v>Melting_Curves/meltCurve_P48739_PITPNB.pdf</v>
      </c>
    </row>
    <row r="2635" spans="1:28" x14ac:dyDescent="0.25">
      <c r="A2635" t="s">
        <v>2639</v>
      </c>
      <c r="B2635">
        <v>0.99193492352474899</v>
      </c>
      <c r="C2635">
        <v>1.0150663739272701</v>
      </c>
      <c r="D2635">
        <v>0.90092846742953403</v>
      </c>
      <c r="E2635">
        <v>1.01315282863251</v>
      </c>
      <c r="F2635">
        <v>0.80639833454432797</v>
      </c>
      <c r="G2635">
        <v>0.79980338150916297</v>
      </c>
      <c r="H2635">
        <v>0.57294481321209401</v>
      </c>
      <c r="I2635">
        <v>0.65771796047992803</v>
      </c>
      <c r="J2635">
        <v>0.63582935241663097</v>
      </c>
      <c r="K2635">
        <v>0.81449022090386702</v>
      </c>
      <c r="L2635">
        <v>1547.2094758323301</v>
      </c>
      <c r="M2635">
        <v>29.044121981522999</v>
      </c>
      <c r="O2635">
        <v>53.020379778131499</v>
      </c>
      <c r="P2635">
        <v>-4.3764875661818803E-2</v>
      </c>
      <c r="Q2635">
        <v>0.68042922757995805</v>
      </c>
      <c r="R2635">
        <v>0.77476023290798701</v>
      </c>
      <c r="S2635" t="s">
        <v>9305</v>
      </c>
      <c r="T2635" t="s">
        <v>13338</v>
      </c>
      <c r="U2635" t="s">
        <v>13338</v>
      </c>
      <c r="V2635" t="s">
        <v>13338</v>
      </c>
      <c r="W2635" t="s">
        <v>15932</v>
      </c>
      <c r="X2635">
        <v>6</v>
      </c>
      <c r="Y2635" t="s">
        <v>22489</v>
      </c>
      <c r="Z2635" t="s">
        <v>29050</v>
      </c>
      <c r="AA2635">
        <v>0.82401210999056973</v>
      </c>
      <c r="AB2635" t="str">
        <f>HYPERLINK("Melting_Curves/meltCurve_P48960_2_CD97.pdf", "Melting_Curves/meltCurve_P48960_2_CD97.pdf")</f>
        <v>Melting_Curves/meltCurve_P48960_2_CD97.pdf</v>
      </c>
    </row>
    <row r="2636" spans="1:28" x14ac:dyDescent="0.25">
      <c r="A2636" t="s">
        <v>2640</v>
      </c>
      <c r="B2636">
        <v>0.99193492352474899</v>
      </c>
      <c r="C2636">
        <v>0.91918241969582004</v>
      </c>
      <c r="D2636">
        <v>0.79578221762997903</v>
      </c>
      <c r="E2636">
        <v>0.33484389815390803</v>
      </c>
      <c r="F2636">
        <v>0.195939924233271</v>
      </c>
      <c r="G2636">
        <v>0.12706192454606599</v>
      </c>
      <c r="H2636">
        <v>9.2933935164139697E-2</v>
      </c>
      <c r="I2636">
        <v>0.11456371302137799</v>
      </c>
      <c r="J2636">
        <v>0.132846913614725</v>
      </c>
      <c r="K2636">
        <v>0.130416643669994</v>
      </c>
      <c r="L2636">
        <v>1303.8040189307501</v>
      </c>
      <c r="M2636">
        <v>27.2907304204887</v>
      </c>
      <c r="N2636">
        <v>48.256065881738401</v>
      </c>
      <c r="O2636">
        <v>47.520282582715197</v>
      </c>
      <c r="P2636">
        <v>-0.12646374684845699</v>
      </c>
      <c r="Q2636">
        <v>0.11918248535916399</v>
      </c>
      <c r="R2636">
        <v>0.99617005929555003</v>
      </c>
      <c r="S2636" t="s">
        <v>9306</v>
      </c>
      <c r="T2636" t="s">
        <v>13338</v>
      </c>
      <c r="U2636" t="s">
        <v>13338</v>
      </c>
      <c r="V2636" t="s">
        <v>13338</v>
      </c>
      <c r="W2636" t="s">
        <v>15933</v>
      </c>
      <c r="X2636">
        <v>12</v>
      </c>
      <c r="Y2636" t="s">
        <v>22490</v>
      </c>
      <c r="Z2636" t="s">
        <v>29051</v>
      </c>
      <c r="AA2636">
        <v>0.35391280395194258</v>
      </c>
      <c r="AB2636" t="str">
        <f>HYPERLINK("Melting_Curves/meltCurve_P49005_POLD2.pdf", "Melting_Curves/meltCurve_P49005_POLD2.pdf")</f>
        <v>Melting_Curves/meltCurve_P49005_POLD2.pdf</v>
      </c>
    </row>
    <row r="2637" spans="1:28" x14ac:dyDescent="0.25">
      <c r="A2637" t="s">
        <v>2641</v>
      </c>
      <c r="B2637">
        <v>0.99193492352474899</v>
      </c>
      <c r="C2637">
        <v>0.83636028107953697</v>
      </c>
      <c r="D2637">
        <v>0.87704019357762097</v>
      </c>
      <c r="E2637">
        <v>0.82813646245510697</v>
      </c>
      <c r="F2637">
        <v>0.66287928210634695</v>
      </c>
      <c r="G2637">
        <v>0.60543942798450101</v>
      </c>
      <c r="H2637">
        <v>0.56926975266778002</v>
      </c>
      <c r="I2637">
        <v>0.75575413604686803</v>
      </c>
      <c r="J2637">
        <v>0.84569448894583799</v>
      </c>
      <c r="K2637">
        <v>1.1423611707093999</v>
      </c>
      <c r="L2637">
        <v>936.21461505324396</v>
      </c>
      <c r="M2637">
        <v>21.821850213912501</v>
      </c>
      <c r="O2637">
        <v>42.547209722843903</v>
      </c>
      <c r="P2637">
        <v>-2.8895651462216201E-2</v>
      </c>
      <c r="Q2637">
        <v>0.77464771336230798</v>
      </c>
      <c r="R2637">
        <v>0.147958724931015</v>
      </c>
      <c r="S2637" t="s">
        <v>9307</v>
      </c>
      <c r="T2637" t="s">
        <v>13338</v>
      </c>
      <c r="U2637" t="s">
        <v>13338</v>
      </c>
      <c r="V2637" t="s">
        <v>13338</v>
      </c>
      <c r="W2637" t="s">
        <v>15934</v>
      </c>
      <c r="X2637">
        <v>12</v>
      </c>
      <c r="Y2637" t="s">
        <v>22491</v>
      </c>
      <c r="Z2637" t="s">
        <v>29052</v>
      </c>
      <c r="AA2637">
        <v>0.80094354174663229</v>
      </c>
      <c r="AB2637" t="str">
        <f>HYPERLINK("Melting_Curves/meltCurve_P49006_MARCKSL1.pdf", "Melting_Curves/meltCurve_P49006_MARCKSL1.pdf")</f>
        <v>Melting_Curves/meltCurve_P49006_MARCKSL1.pdf</v>
      </c>
    </row>
    <row r="2638" spans="1:28" x14ac:dyDescent="0.25">
      <c r="A2638" t="s">
        <v>2642</v>
      </c>
      <c r="B2638">
        <v>0.99193492352474899</v>
      </c>
      <c r="C2638">
        <v>0.89690735582521697</v>
      </c>
      <c r="D2638">
        <v>0.92538820843705705</v>
      </c>
      <c r="E2638">
        <v>0.80544837723315699</v>
      </c>
      <c r="F2638">
        <v>0.66779615440959195</v>
      </c>
      <c r="G2638">
        <v>0.52859022130284705</v>
      </c>
      <c r="H2638">
        <v>0.43623316872249202</v>
      </c>
      <c r="I2638">
        <v>0.38607977385071102</v>
      </c>
      <c r="J2638">
        <v>0.34903313242106698</v>
      </c>
      <c r="K2638">
        <v>0.30842992298910299</v>
      </c>
      <c r="L2638">
        <v>552.33157868012802</v>
      </c>
      <c r="M2638">
        <v>10.1451754138812</v>
      </c>
      <c r="N2638">
        <v>58.275292494930099</v>
      </c>
      <c r="O2638">
        <v>52.454525346370701</v>
      </c>
      <c r="P2638">
        <v>-3.6598744678261602E-2</v>
      </c>
      <c r="Q2638">
        <v>0.24342894136885199</v>
      </c>
      <c r="R2638">
        <v>0.99254578182119502</v>
      </c>
      <c r="S2638" t="s">
        <v>9308</v>
      </c>
      <c r="T2638" t="s">
        <v>13338</v>
      </c>
      <c r="U2638" t="s">
        <v>13338</v>
      </c>
      <c r="V2638" t="s">
        <v>13338</v>
      </c>
      <c r="W2638" t="s">
        <v>15935</v>
      </c>
      <c r="X2638">
        <v>8</v>
      </c>
      <c r="Y2638" t="s">
        <v>22492</v>
      </c>
      <c r="Z2638" t="s">
        <v>29053</v>
      </c>
      <c r="AA2638">
        <v>0.62892554471096163</v>
      </c>
      <c r="AB2638" t="str">
        <f>HYPERLINK("Melting_Curves/meltCurve_P49069_CAMLG.pdf", "Melting_Curves/meltCurve_P49069_CAMLG.pdf")</f>
        <v>Melting_Curves/meltCurve_P49069_CAMLG.pdf</v>
      </c>
    </row>
    <row r="2639" spans="1:28" x14ac:dyDescent="0.25">
      <c r="A2639" t="s">
        <v>2643</v>
      </c>
      <c r="B2639">
        <v>0.99193492352474899</v>
      </c>
      <c r="C2639">
        <v>0.92206553533603197</v>
      </c>
      <c r="D2639">
        <v>0.89788550126383304</v>
      </c>
      <c r="E2639">
        <v>0.58593467789687104</v>
      </c>
      <c r="F2639">
        <v>0.28212031796230602</v>
      </c>
      <c r="G2639">
        <v>0.160026553977377</v>
      </c>
      <c r="H2639">
        <v>8.9547080217458996E-2</v>
      </c>
      <c r="I2639">
        <v>0.127594539245697</v>
      </c>
      <c r="J2639">
        <v>0.148272144867414</v>
      </c>
      <c r="K2639">
        <v>0.15585334303359599</v>
      </c>
      <c r="L2639">
        <v>1178.58999774176</v>
      </c>
      <c r="M2639">
        <v>23.6766503515591</v>
      </c>
      <c r="N2639">
        <v>50.386830407438602</v>
      </c>
      <c r="O2639">
        <v>49.427555042073102</v>
      </c>
      <c r="P2639">
        <v>-0.104871073943976</v>
      </c>
      <c r="Q2639">
        <v>0.124296020149949</v>
      </c>
      <c r="R2639">
        <v>0.99425113164467604</v>
      </c>
      <c r="S2639" t="s">
        <v>9309</v>
      </c>
      <c r="T2639" t="s">
        <v>13338</v>
      </c>
      <c r="U2639" t="s">
        <v>13338</v>
      </c>
      <c r="V2639" t="s">
        <v>13338</v>
      </c>
      <c r="W2639" t="s">
        <v>15936</v>
      </c>
      <c r="X2639">
        <v>8</v>
      </c>
      <c r="Y2639" t="s">
        <v>22493</v>
      </c>
      <c r="Z2639" t="s">
        <v>29054</v>
      </c>
      <c r="AA2639">
        <v>0.41844949050932889</v>
      </c>
      <c r="AB2639" t="str">
        <f>HYPERLINK("Melting_Curves/meltCurve_P49116_NR2C2.pdf", "Melting_Curves/meltCurve_P49116_NR2C2.pdf")</f>
        <v>Melting_Curves/meltCurve_P49116_NR2C2.pdf</v>
      </c>
    </row>
    <row r="2640" spans="1:28" x14ac:dyDescent="0.25">
      <c r="A2640" t="s">
        <v>2644</v>
      </c>
      <c r="B2640">
        <v>0.99193492352474899</v>
      </c>
      <c r="C2640">
        <v>0.79239627884380903</v>
      </c>
      <c r="D2640">
        <v>0.85905759899310097</v>
      </c>
      <c r="E2640">
        <v>0.57050084695645198</v>
      </c>
      <c r="F2640">
        <v>0.19969337434324899</v>
      </c>
      <c r="G2640">
        <v>0.101171603570028</v>
      </c>
      <c r="H2640">
        <v>6.5293175624734107E-2</v>
      </c>
      <c r="I2640">
        <v>6.4010584947350901E-2</v>
      </c>
      <c r="J2640">
        <v>7.4859807285114793E-2</v>
      </c>
      <c r="K2640">
        <v>8.8216012548590697E-2</v>
      </c>
      <c r="L2640">
        <v>965.14279669904704</v>
      </c>
      <c r="M2640">
        <v>19.480957069640102</v>
      </c>
      <c r="N2640">
        <v>49.825523913651303</v>
      </c>
      <c r="O2640">
        <v>49.0296945384843</v>
      </c>
      <c r="P2640">
        <v>-9.4139744807414993E-2</v>
      </c>
      <c r="Q2640">
        <v>5.2310162939854903E-2</v>
      </c>
      <c r="R2640">
        <v>0.97328078362720405</v>
      </c>
      <c r="S2640" t="s">
        <v>9310</v>
      </c>
      <c r="T2640" t="s">
        <v>13338</v>
      </c>
      <c r="U2640" t="s">
        <v>13338</v>
      </c>
      <c r="V2640" t="s">
        <v>13338</v>
      </c>
      <c r="W2640" t="s">
        <v>15937</v>
      </c>
      <c r="X2640">
        <v>14</v>
      </c>
      <c r="Y2640" t="s">
        <v>22494</v>
      </c>
      <c r="Z2640" t="s">
        <v>29055</v>
      </c>
      <c r="AA2640">
        <v>0.36769589669299541</v>
      </c>
      <c r="AB2640" t="str">
        <f>HYPERLINK("Melting_Curves/meltCurve_P49137_MAPKAPK2.pdf", "Melting_Curves/meltCurve_P49137_MAPKAPK2.pdf")</f>
        <v>Melting_Curves/meltCurve_P49137_MAPKAPK2.pdf</v>
      </c>
    </row>
    <row r="2641" spans="1:28" x14ac:dyDescent="0.25">
      <c r="A2641" t="s">
        <v>2645</v>
      </c>
      <c r="B2641">
        <v>0.99193492352474899</v>
      </c>
      <c r="C2641">
        <v>0.91765283500051398</v>
      </c>
      <c r="D2641">
        <v>0.92995606155561295</v>
      </c>
      <c r="E2641">
        <v>0.747339284406908</v>
      </c>
      <c r="F2641">
        <v>0.70564710323927304</v>
      </c>
      <c r="G2641">
        <v>0.47299027176080899</v>
      </c>
      <c r="H2641">
        <v>0.196728013087658</v>
      </c>
      <c r="I2641">
        <v>9.90785156617882E-2</v>
      </c>
      <c r="J2641">
        <v>0.104238501169966</v>
      </c>
      <c r="K2641">
        <v>9.8074290957406898E-2</v>
      </c>
      <c r="L2641">
        <v>711.57903292574099</v>
      </c>
      <c r="M2641">
        <v>12.815171113556801</v>
      </c>
      <c r="N2641">
        <v>55.526317743650203</v>
      </c>
      <c r="O2641">
        <v>54.226339344882803</v>
      </c>
      <c r="P2641">
        <v>-5.9092891834428202E-2</v>
      </c>
      <c r="Q2641">
        <v>0</v>
      </c>
      <c r="R2641">
        <v>0.98211469673105001</v>
      </c>
      <c r="S2641" t="s">
        <v>9311</v>
      </c>
      <c r="T2641" t="s">
        <v>13338</v>
      </c>
      <c r="U2641" t="s">
        <v>13338</v>
      </c>
      <c r="V2641" t="s">
        <v>13338</v>
      </c>
      <c r="W2641" t="s">
        <v>15938</v>
      </c>
      <c r="X2641">
        <v>23</v>
      </c>
      <c r="Y2641" t="s">
        <v>22495</v>
      </c>
      <c r="Z2641" t="s">
        <v>29056</v>
      </c>
      <c r="AA2641">
        <v>0.53858316228081382</v>
      </c>
      <c r="AB2641" t="str">
        <f>HYPERLINK("Melting_Curves/meltCurve_P49189_ALDH9A1.pdf", "Melting_Curves/meltCurve_P49189_ALDH9A1.pdf")</f>
        <v>Melting_Curves/meltCurve_P49189_ALDH9A1.pdf</v>
      </c>
    </row>
    <row r="2642" spans="1:28" x14ac:dyDescent="0.25">
      <c r="A2642" t="s">
        <v>2646</v>
      </c>
      <c r="B2642">
        <v>0.99193492352474899</v>
      </c>
      <c r="C2642">
        <v>1.00122405036645</v>
      </c>
      <c r="D2642">
        <v>1.07781846721196</v>
      </c>
      <c r="E2642">
        <v>1.3548339421751201</v>
      </c>
      <c r="F2642">
        <v>1.18849376901655</v>
      </c>
      <c r="G2642">
        <v>0.94735779744342796</v>
      </c>
      <c r="H2642">
        <v>0.33567782209893998</v>
      </c>
      <c r="I2642">
        <v>0.199530094709821</v>
      </c>
      <c r="J2642">
        <v>0.27430778150079399</v>
      </c>
      <c r="K2642">
        <v>0.20401391363865301</v>
      </c>
      <c r="L2642">
        <v>3950.4688452268201</v>
      </c>
      <c r="M2642">
        <v>66.804099385019995</v>
      </c>
      <c r="N2642">
        <v>59.669701191486197</v>
      </c>
      <c r="O2642">
        <v>59.082212731027603</v>
      </c>
      <c r="P2642">
        <v>-0.21902205410138201</v>
      </c>
      <c r="Q2642">
        <v>0.22517917432724999</v>
      </c>
      <c r="R2642">
        <v>0.90598865831299402</v>
      </c>
      <c r="S2642" t="s">
        <v>9312</v>
      </c>
      <c r="T2642" t="s">
        <v>13338</v>
      </c>
      <c r="U2642" t="s">
        <v>13338</v>
      </c>
      <c r="V2642" t="s">
        <v>13338</v>
      </c>
      <c r="W2642" t="s">
        <v>15939</v>
      </c>
      <c r="X2642">
        <v>4</v>
      </c>
      <c r="Y2642" t="s">
        <v>22496</v>
      </c>
      <c r="Z2642" t="s">
        <v>29057</v>
      </c>
      <c r="AA2642">
        <v>0.72051734472946982</v>
      </c>
      <c r="AB2642" t="str">
        <f>HYPERLINK("Melting_Curves/meltCurve_P49207_RPL34.pdf", "Melting_Curves/meltCurve_P49207_RPL34.pdf")</f>
        <v>Melting_Curves/meltCurve_P49207_RPL34.pdf</v>
      </c>
    </row>
    <row r="2643" spans="1:28" x14ac:dyDescent="0.25">
      <c r="A2643" t="s">
        <v>2647</v>
      </c>
      <c r="B2643">
        <v>0.99193492352474899</v>
      </c>
      <c r="C2643">
        <v>1.20529574842222</v>
      </c>
      <c r="D2643">
        <v>0.98899321897819004</v>
      </c>
      <c r="E2643">
        <v>0.86578391843548097</v>
      </c>
      <c r="F2643">
        <v>0.71672129035373799</v>
      </c>
      <c r="G2643">
        <v>0.56273408366062505</v>
      </c>
      <c r="H2643">
        <v>0.441259713282741</v>
      </c>
      <c r="I2643">
        <v>0.52673547057553305</v>
      </c>
      <c r="J2643">
        <v>0.78897416648648699</v>
      </c>
      <c r="K2643">
        <v>0.78948451953002696</v>
      </c>
      <c r="L2643">
        <v>1822.6120429539001</v>
      </c>
      <c r="M2643">
        <v>36.004329443485197</v>
      </c>
      <c r="O2643">
        <v>50.466620282728101</v>
      </c>
      <c r="P2643">
        <v>-6.6756807834158105E-2</v>
      </c>
      <c r="Q2643">
        <v>0.62571392122270997</v>
      </c>
      <c r="R2643">
        <v>0.71082577281384596</v>
      </c>
      <c r="S2643" t="s">
        <v>9313</v>
      </c>
      <c r="T2643" t="s">
        <v>13338</v>
      </c>
      <c r="U2643" t="s">
        <v>13338</v>
      </c>
      <c r="V2643" t="s">
        <v>13338</v>
      </c>
      <c r="W2643" t="s">
        <v>15940</v>
      </c>
      <c r="X2643">
        <v>15</v>
      </c>
      <c r="Y2643" t="s">
        <v>22497</v>
      </c>
      <c r="Z2643" t="s">
        <v>29058</v>
      </c>
      <c r="AA2643">
        <v>0.75985583641378418</v>
      </c>
      <c r="AB2643" t="str">
        <f>HYPERLINK("Melting_Curves/meltCurve_P49247_RPIA.pdf", "Melting_Curves/meltCurve_P49247_RPIA.pdf")</f>
        <v>Melting_Curves/meltCurve_P49247_RPIA.pdf</v>
      </c>
    </row>
    <row r="2644" spans="1:28" x14ac:dyDescent="0.25">
      <c r="A2644" t="s">
        <v>2648</v>
      </c>
      <c r="B2644">
        <v>0.99193492352474899</v>
      </c>
      <c r="C2644">
        <v>1.1176898687941199</v>
      </c>
      <c r="D2644">
        <v>0.72459402059931999</v>
      </c>
      <c r="E2644">
        <v>0.50387863623290297</v>
      </c>
      <c r="F2644">
        <v>0.26687173326838198</v>
      </c>
      <c r="G2644">
        <v>0.15395586015900301</v>
      </c>
      <c r="H2644">
        <v>9.6698411508362794E-2</v>
      </c>
      <c r="I2644">
        <v>0.114856389832541</v>
      </c>
      <c r="J2644">
        <v>0.11962786098218001</v>
      </c>
      <c r="K2644">
        <v>0.139532030346811</v>
      </c>
      <c r="L2644">
        <v>1040.7450506438199</v>
      </c>
      <c r="M2644">
        <v>21.320951718121201</v>
      </c>
      <c r="N2644">
        <v>49.424969121760398</v>
      </c>
      <c r="O2644">
        <v>48.3899315477844</v>
      </c>
      <c r="P2644">
        <v>-9.7380233378703995E-2</v>
      </c>
      <c r="Q2644">
        <v>0.115967527907772</v>
      </c>
      <c r="R2644">
        <v>0.97364090688237503</v>
      </c>
      <c r="S2644" t="s">
        <v>9314</v>
      </c>
      <c r="T2644" t="s">
        <v>13338</v>
      </c>
      <c r="U2644" t="s">
        <v>13338</v>
      </c>
      <c r="V2644" t="s">
        <v>13338</v>
      </c>
      <c r="W2644" t="s">
        <v>15941</v>
      </c>
      <c r="X2644">
        <v>24</v>
      </c>
      <c r="Y2644" t="s">
        <v>22498</v>
      </c>
      <c r="Z2644" t="s">
        <v>29059</v>
      </c>
      <c r="AA2644">
        <v>0.3865522642664434</v>
      </c>
      <c r="AB2644" t="str">
        <f>HYPERLINK("Melting_Curves/meltCurve_P49257_LMAN1.pdf", "Melting_Curves/meltCurve_P49257_LMAN1.pdf")</f>
        <v>Melting_Curves/meltCurve_P49257_LMAN1.pdf</v>
      </c>
    </row>
    <row r="2645" spans="1:28" x14ac:dyDescent="0.25">
      <c r="A2645" t="s">
        <v>2649</v>
      </c>
      <c r="B2645">
        <v>0.99193492352474899</v>
      </c>
      <c r="C2645">
        <v>0.46726813755523899</v>
      </c>
      <c r="D2645">
        <v>0.35313434617378903</v>
      </c>
      <c r="E2645">
        <v>0.53096825759321697</v>
      </c>
      <c r="F2645">
        <v>0.42472847894214999</v>
      </c>
      <c r="G2645">
        <v>0.619580054056597</v>
      </c>
      <c r="H2645">
        <v>0.52243520950137101</v>
      </c>
      <c r="I2645">
        <v>0.64067091486001704</v>
      </c>
      <c r="J2645">
        <v>0.38041309402539503</v>
      </c>
      <c r="K2645">
        <v>0.84089861138209199</v>
      </c>
      <c r="L2645">
        <v>10161.782693360699</v>
      </c>
      <c r="M2645">
        <v>250</v>
      </c>
      <c r="O2645">
        <v>40.644529635678403</v>
      </c>
      <c r="P2645">
        <v>-0.72100443241669598</v>
      </c>
      <c r="Q2645">
        <v>0.53112182432034405</v>
      </c>
      <c r="R2645">
        <v>0.50724724962956302</v>
      </c>
      <c r="S2645" t="s">
        <v>9315</v>
      </c>
      <c r="T2645" t="s">
        <v>13338</v>
      </c>
      <c r="U2645" t="s">
        <v>13338</v>
      </c>
      <c r="V2645" t="s">
        <v>13338</v>
      </c>
      <c r="W2645" t="s">
        <v>15942</v>
      </c>
      <c r="X2645">
        <v>1</v>
      </c>
      <c r="Y2645" t="s">
        <v>22499</v>
      </c>
      <c r="Z2645" t="s">
        <v>29060</v>
      </c>
      <c r="AA2645">
        <v>0.54131185559722728</v>
      </c>
      <c r="AB2645" t="str">
        <f>HYPERLINK("Melting_Curves/meltCurve_P49281_2_SLC11A2.pdf", "Melting_Curves/meltCurve_P49281_2_SLC11A2.pdf")</f>
        <v>Melting_Curves/meltCurve_P49281_2_SLC11A2.pdf</v>
      </c>
    </row>
    <row r="2646" spans="1:28" x14ac:dyDescent="0.25">
      <c r="A2646" t="s">
        <v>2650</v>
      </c>
      <c r="B2646">
        <v>0.99193492352474899</v>
      </c>
      <c r="C2646">
        <v>0.66990640171508897</v>
      </c>
      <c r="D2646">
        <v>0.90750667512929095</v>
      </c>
      <c r="E2646">
        <v>0.70885601495052697</v>
      </c>
      <c r="F2646">
        <v>0.231996716391078</v>
      </c>
      <c r="G2646">
        <v>0.112789089521573</v>
      </c>
      <c r="H2646">
        <v>7.0084020287715196E-2</v>
      </c>
      <c r="I2646">
        <v>7.9427506685931099E-2</v>
      </c>
      <c r="J2646">
        <v>9.0037986139138299E-2</v>
      </c>
      <c r="K2646">
        <v>0.12312049884849301</v>
      </c>
      <c r="L2646">
        <v>1345.4534971758101</v>
      </c>
      <c r="M2646">
        <v>26.6098866276559</v>
      </c>
      <c r="N2646">
        <v>50.891970893674802</v>
      </c>
      <c r="O2646">
        <v>50.279198847038202</v>
      </c>
      <c r="P2646">
        <v>-0.121833181724999</v>
      </c>
      <c r="Q2646">
        <v>7.9197808249697299E-2</v>
      </c>
      <c r="R2646">
        <v>0.91197065637295704</v>
      </c>
      <c r="S2646" t="s">
        <v>9316</v>
      </c>
      <c r="T2646" t="s">
        <v>13338</v>
      </c>
      <c r="U2646" t="s">
        <v>13338</v>
      </c>
      <c r="V2646" t="s">
        <v>13338</v>
      </c>
      <c r="W2646" t="s">
        <v>15943</v>
      </c>
      <c r="X2646">
        <v>34</v>
      </c>
      <c r="Y2646" t="s">
        <v>22500</v>
      </c>
      <c r="Z2646" t="s">
        <v>29061</v>
      </c>
      <c r="AA2646">
        <v>0.41069754016025922</v>
      </c>
      <c r="AB2646" t="str">
        <f>HYPERLINK("Melting_Curves/meltCurve_P49321_NASP.pdf", "Melting_Curves/meltCurve_P49321_NASP.pdf")</f>
        <v>Melting_Curves/meltCurve_P49321_NASP.pdf</v>
      </c>
    </row>
    <row r="2647" spans="1:28" x14ac:dyDescent="0.25">
      <c r="A2647" t="s">
        <v>2651</v>
      </c>
      <c r="B2647">
        <v>0.99193492352474899</v>
      </c>
      <c r="C2647">
        <v>0.97464487477641504</v>
      </c>
      <c r="D2647">
        <v>0.85086164992532898</v>
      </c>
      <c r="E2647">
        <v>0.53280897441209196</v>
      </c>
      <c r="F2647">
        <v>0.16619914913978401</v>
      </c>
      <c r="G2647">
        <v>0.10548044364959699</v>
      </c>
      <c r="H2647">
        <v>6.2207948341109903E-2</v>
      </c>
      <c r="I2647">
        <v>7.4999436271672507E-2</v>
      </c>
      <c r="J2647">
        <v>8.0727709676760004E-2</v>
      </c>
      <c r="K2647">
        <v>7.9318183576425894E-2</v>
      </c>
      <c r="L2647">
        <v>1256.2559517946399</v>
      </c>
      <c r="M2647">
        <v>25.4462047103004</v>
      </c>
      <c r="N2647">
        <v>49.656404052164802</v>
      </c>
      <c r="O2647">
        <v>49.067216807022803</v>
      </c>
      <c r="P2647">
        <v>-0.12077632096761901</v>
      </c>
      <c r="Q2647">
        <v>6.8453093618677699E-2</v>
      </c>
      <c r="R2647">
        <v>0.99813373881439205</v>
      </c>
      <c r="S2647" t="s">
        <v>9317</v>
      </c>
      <c r="T2647" t="s">
        <v>13338</v>
      </c>
      <c r="U2647" t="s">
        <v>13338</v>
      </c>
      <c r="V2647" t="s">
        <v>13338</v>
      </c>
      <c r="W2647" t="s">
        <v>15944</v>
      </c>
      <c r="X2647">
        <v>86</v>
      </c>
      <c r="Y2647" t="s">
        <v>22501</v>
      </c>
      <c r="Z2647" t="s">
        <v>29062</v>
      </c>
      <c r="AA2647">
        <v>0.36736165623646039</v>
      </c>
      <c r="AB2647" t="str">
        <f>HYPERLINK("Melting_Curves/meltCurve_P49327_FASN.pdf", "Melting_Curves/meltCurve_P49327_FASN.pdf")</f>
        <v>Melting_Curves/meltCurve_P49327_FASN.pdf</v>
      </c>
    </row>
    <row r="2648" spans="1:28" x14ac:dyDescent="0.25">
      <c r="A2648" t="s">
        <v>2652</v>
      </c>
      <c r="B2648">
        <v>0.99193492352474899</v>
      </c>
      <c r="C2648">
        <v>0.86676778484544503</v>
      </c>
      <c r="D2648">
        <v>0.64008961012324095</v>
      </c>
      <c r="E2648">
        <v>0.652854786575218</v>
      </c>
      <c r="F2648">
        <v>0.42100210203257898</v>
      </c>
      <c r="G2648">
        <v>0.13876280452022899</v>
      </c>
      <c r="H2648">
        <v>7.4862758172532698E-2</v>
      </c>
      <c r="I2648">
        <v>0.108917849510356</v>
      </c>
      <c r="J2648">
        <v>0.110320747921997</v>
      </c>
      <c r="K2648">
        <v>0.138315208565467</v>
      </c>
      <c r="L2648">
        <v>591.87166389251502</v>
      </c>
      <c r="M2648">
        <v>11.832810795746999</v>
      </c>
      <c r="N2648">
        <v>50.416885847054701</v>
      </c>
      <c r="O2648">
        <v>48.655089406273802</v>
      </c>
      <c r="P2648">
        <v>-5.8107401159146602E-2</v>
      </c>
      <c r="Q2648">
        <v>4.4521038853212E-2</v>
      </c>
      <c r="R2648">
        <v>0.95702843445619201</v>
      </c>
      <c r="S2648" t="s">
        <v>9318</v>
      </c>
      <c r="T2648" t="s">
        <v>13338</v>
      </c>
      <c r="U2648" t="s">
        <v>13338</v>
      </c>
      <c r="V2648" t="s">
        <v>13338</v>
      </c>
      <c r="W2648" t="s">
        <v>15945</v>
      </c>
      <c r="X2648">
        <v>5</v>
      </c>
      <c r="Y2648" t="s">
        <v>22502</v>
      </c>
      <c r="Z2648" t="s">
        <v>29063</v>
      </c>
      <c r="AA2648">
        <v>0.39740029655550829</v>
      </c>
      <c r="AB2648" t="str">
        <f>HYPERLINK("Melting_Curves/meltCurve_P49336_2_CDK8.pdf", "Melting_Curves/meltCurve_P49336_2_CDK8.pdf")</f>
        <v>Melting_Curves/meltCurve_P49336_2_CDK8.pdf</v>
      </c>
    </row>
    <row r="2649" spans="1:28" x14ac:dyDescent="0.25">
      <c r="A2649" t="s">
        <v>2653</v>
      </c>
      <c r="B2649">
        <v>0.99193492352474899</v>
      </c>
      <c r="C2649">
        <v>0.882274094406585</v>
      </c>
      <c r="D2649">
        <v>0.94835678250785704</v>
      </c>
      <c r="E2649">
        <v>0.733263929563858</v>
      </c>
      <c r="F2649">
        <v>0.41380179053740901</v>
      </c>
      <c r="G2649">
        <v>0.177032820770473</v>
      </c>
      <c r="H2649">
        <v>0.110614778433512</v>
      </c>
      <c r="I2649">
        <v>0.114142229594815</v>
      </c>
      <c r="J2649">
        <v>0.114347186736733</v>
      </c>
      <c r="K2649">
        <v>9.9080804819467794E-2</v>
      </c>
      <c r="L2649">
        <v>1119.7079399007</v>
      </c>
      <c r="M2649">
        <v>21.713533149538801</v>
      </c>
      <c r="N2649">
        <v>52.060283607958297</v>
      </c>
      <c r="O2649">
        <v>51.135878279002398</v>
      </c>
      <c r="P2649">
        <v>-9.62929645546379E-2</v>
      </c>
      <c r="Q2649">
        <v>9.2932629557865604E-2</v>
      </c>
      <c r="R2649">
        <v>0.99052380488417802</v>
      </c>
      <c r="S2649" t="s">
        <v>9319</v>
      </c>
      <c r="T2649" t="s">
        <v>13338</v>
      </c>
      <c r="U2649" t="s">
        <v>13338</v>
      </c>
      <c r="V2649" t="s">
        <v>13338</v>
      </c>
      <c r="W2649" t="s">
        <v>15946</v>
      </c>
      <c r="X2649">
        <v>9</v>
      </c>
      <c r="Y2649" t="s">
        <v>22503</v>
      </c>
      <c r="Z2649" t="s">
        <v>29064</v>
      </c>
      <c r="AA2649">
        <v>0.45347188670334693</v>
      </c>
      <c r="AB2649" t="str">
        <f>HYPERLINK("Melting_Curves/meltCurve_P49354_FNTA.pdf", "Melting_Curves/meltCurve_P49354_FNTA.pdf")</f>
        <v>Melting_Curves/meltCurve_P49354_FNTA.pdf</v>
      </c>
    </row>
    <row r="2650" spans="1:28" x14ac:dyDescent="0.25">
      <c r="A2650" t="s">
        <v>2654</v>
      </c>
      <c r="B2650">
        <v>0.99193492352474899</v>
      </c>
      <c r="C2650">
        <v>0.97036515424931102</v>
      </c>
      <c r="D2650">
        <v>0.98001297048744296</v>
      </c>
      <c r="E2650">
        <v>0.84250020587506902</v>
      </c>
      <c r="F2650">
        <v>0.78906466408091902</v>
      </c>
      <c r="G2650">
        <v>0.58217054204516705</v>
      </c>
      <c r="H2650">
        <v>0.25496842539612702</v>
      </c>
      <c r="I2650">
        <v>0.16899568277809199</v>
      </c>
      <c r="J2650">
        <v>0.16720212533341799</v>
      </c>
      <c r="K2650">
        <v>0.13529194399599101</v>
      </c>
      <c r="L2650">
        <v>929.94863374288605</v>
      </c>
      <c r="M2650">
        <v>16.400398196907201</v>
      </c>
      <c r="N2650">
        <v>57.281960207766403</v>
      </c>
      <c r="O2650">
        <v>55.8799010995535</v>
      </c>
      <c r="P2650">
        <v>-6.7772436469553402E-2</v>
      </c>
      <c r="Q2650">
        <v>7.6401415680652604E-2</v>
      </c>
      <c r="R2650">
        <v>0.98853304638687201</v>
      </c>
      <c r="S2650" t="s">
        <v>9320</v>
      </c>
      <c r="T2650" t="s">
        <v>13338</v>
      </c>
      <c r="U2650" t="s">
        <v>13338</v>
      </c>
      <c r="V2650" t="s">
        <v>13338</v>
      </c>
      <c r="W2650" t="s">
        <v>15947</v>
      </c>
      <c r="X2650">
        <v>16</v>
      </c>
      <c r="Y2650" t="s">
        <v>22504</v>
      </c>
      <c r="Z2650" t="s">
        <v>29065</v>
      </c>
      <c r="AA2650">
        <v>0.60480847213680056</v>
      </c>
      <c r="AB2650" t="str">
        <f>HYPERLINK("Melting_Curves/meltCurve_P49366_DHPS.pdf", "Melting_Curves/meltCurve_P49366_DHPS.pdf")</f>
        <v>Melting_Curves/meltCurve_P49366_DHPS.pdf</v>
      </c>
    </row>
    <row r="2651" spans="1:28" x14ac:dyDescent="0.25">
      <c r="A2651" t="s">
        <v>2655</v>
      </c>
      <c r="B2651">
        <v>0.99193492352474899</v>
      </c>
      <c r="C2651">
        <v>0.83777625844160197</v>
      </c>
      <c r="D2651">
        <v>0.86038676753608401</v>
      </c>
      <c r="E2651">
        <v>0.72161002705423705</v>
      </c>
      <c r="F2651">
        <v>0.67067103147123797</v>
      </c>
      <c r="G2651">
        <v>0.37431418798127197</v>
      </c>
      <c r="H2651">
        <v>0.13517821634378299</v>
      </c>
      <c r="I2651">
        <v>9.6458986129973806E-2</v>
      </c>
      <c r="J2651">
        <v>8.3999400545004405E-2</v>
      </c>
      <c r="K2651">
        <v>7.6944330133754402E-2</v>
      </c>
      <c r="L2651">
        <v>656.39806843046199</v>
      </c>
      <c r="M2651">
        <v>12.1130939976889</v>
      </c>
      <c r="N2651">
        <v>54.189133394012799</v>
      </c>
      <c r="O2651">
        <v>52.775648461982101</v>
      </c>
      <c r="P2651">
        <v>-5.7393465621269603E-2</v>
      </c>
      <c r="Q2651">
        <v>0</v>
      </c>
      <c r="R2651">
        <v>0.96883362883459501</v>
      </c>
      <c r="S2651" t="s">
        <v>9321</v>
      </c>
      <c r="T2651" t="s">
        <v>13338</v>
      </c>
      <c r="U2651" t="s">
        <v>13338</v>
      </c>
      <c r="V2651" t="s">
        <v>13338</v>
      </c>
      <c r="W2651" t="s">
        <v>15948</v>
      </c>
      <c r="X2651">
        <v>45</v>
      </c>
      <c r="Y2651" t="s">
        <v>22505</v>
      </c>
      <c r="Z2651" t="s">
        <v>29066</v>
      </c>
      <c r="AA2651">
        <v>0.49839798513457578</v>
      </c>
      <c r="AB2651" t="str">
        <f>HYPERLINK("Melting_Curves/meltCurve_P49368_CCT3.pdf", "Melting_Curves/meltCurve_P49368_CCT3.pdf")</f>
        <v>Melting_Curves/meltCurve_P49368_CCT3.pdf</v>
      </c>
    </row>
    <row r="2652" spans="1:28" x14ac:dyDescent="0.25">
      <c r="A2652" t="s">
        <v>2656</v>
      </c>
      <c r="B2652">
        <v>0.99193492352474899</v>
      </c>
      <c r="C2652">
        <v>0.55410957616784695</v>
      </c>
      <c r="D2652">
        <v>0.50536653034506196</v>
      </c>
      <c r="E2652">
        <v>0.29474720893002099</v>
      </c>
      <c r="F2652">
        <v>0.13483531145934699</v>
      </c>
      <c r="G2652">
        <v>6.5257926091708704E-2</v>
      </c>
      <c r="H2652">
        <v>2.6753822501929699E-2</v>
      </c>
      <c r="I2652">
        <v>2.60731719925399E-2</v>
      </c>
      <c r="J2652">
        <v>2.8989903082306898E-2</v>
      </c>
      <c r="K2652">
        <v>3.3190477391159101E-2</v>
      </c>
      <c r="L2652">
        <v>603.44646864393997</v>
      </c>
      <c r="M2652">
        <v>13.266937633446799</v>
      </c>
      <c r="N2652">
        <v>45.565325528455801</v>
      </c>
      <c r="O2652">
        <v>44.488836142871001</v>
      </c>
      <c r="P2652">
        <v>-7.3702253035969403E-2</v>
      </c>
      <c r="Q2652">
        <v>1.1560452586870299E-2</v>
      </c>
      <c r="R2652">
        <v>0.95833630364246603</v>
      </c>
      <c r="S2652" t="s">
        <v>9322</v>
      </c>
      <c r="T2652" t="s">
        <v>13338</v>
      </c>
      <c r="U2652" t="s">
        <v>13338</v>
      </c>
      <c r="V2652" t="s">
        <v>13338</v>
      </c>
      <c r="W2652" t="s">
        <v>15949</v>
      </c>
      <c r="X2652">
        <v>7</v>
      </c>
      <c r="Y2652" t="s">
        <v>22506</v>
      </c>
      <c r="Z2652" t="s">
        <v>29067</v>
      </c>
      <c r="AA2652">
        <v>0.2311301128383193</v>
      </c>
      <c r="AB2652" t="str">
        <f>HYPERLINK("Melting_Curves/meltCurve_P49406_MRPL19.pdf", "Melting_Curves/meltCurve_P49406_MRPL19.pdf")</f>
        <v>Melting_Curves/meltCurve_P49406_MRPL19.pdf</v>
      </c>
    </row>
    <row r="2653" spans="1:28" x14ac:dyDescent="0.25">
      <c r="A2653" t="s">
        <v>2657</v>
      </c>
      <c r="B2653">
        <v>0.99193492352474899</v>
      </c>
      <c r="C2653">
        <v>0.82918661672245297</v>
      </c>
      <c r="D2653">
        <v>0.924312012817599</v>
      </c>
      <c r="E2653">
        <v>0.59243375945698795</v>
      </c>
      <c r="F2653">
        <v>0.157413007508065</v>
      </c>
      <c r="G2653">
        <v>8.3890031645786997E-2</v>
      </c>
      <c r="H2653">
        <v>4.8470273970925799E-2</v>
      </c>
      <c r="I2653">
        <v>5.9519899810402697E-2</v>
      </c>
      <c r="J2653">
        <v>7.2079990514303902E-2</v>
      </c>
      <c r="K2653">
        <v>7.6348242737352898E-2</v>
      </c>
      <c r="L2653">
        <v>1497.33688510045</v>
      </c>
      <c r="M2653">
        <v>30.005207585802001</v>
      </c>
      <c r="N2653">
        <v>50.110959173386597</v>
      </c>
      <c r="O2653">
        <v>49.682474351878703</v>
      </c>
      <c r="P2653">
        <v>-0.14212986509800599</v>
      </c>
      <c r="Q2653">
        <v>5.8654257773831903E-2</v>
      </c>
      <c r="R2653">
        <v>0.980174164646476</v>
      </c>
      <c r="S2653" t="s">
        <v>9323</v>
      </c>
      <c r="T2653" t="s">
        <v>13338</v>
      </c>
      <c r="U2653" t="s">
        <v>13338</v>
      </c>
      <c r="V2653" t="s">
        <v>13338</v>
      </c>
      <c r="W2653" t="s">
        <v>15950</v>
      </c>
      <c r="X2653">
        <v>31</v>
      </c>
      <c r="Y2653" t="s">
        <v>22507</v>
      </c>
      <c r="Z2653" t="s">
        <v>29068</v>
      </c>
      <c r="AA2653">
        <v>0.37519007989883763</v>
      </c>
      <c r="AB2653" t="str">
        <f>HYPERLINK("Melting_Curves/meltCurve_P49411_TUFM.pdf", "Melting_Curves/meltCurve_P49411_TUFM.pdf")</f>
        <v>Melting_Curves/meltCurve_P49411_TUFM.pdf</v>
      </c>
    </row>
    <row r="2654" spans="1:28" x14ac:dyDescent="0.25">
      <c r="A2654" t="s">
        <v>2658</v>
      </c>
      <c r="B2654">
        <v>0.99193492352474899</v>
      </c>
      <c r="C2654">
        <v>0.91054616868174298</v>
      </c>
      <c r="D2654">
        <v>0.55304211815776205</v>
      </c>
      <c r="E2654">
        <v>0.23968532556682501</v>
      </c>
      <c r="F2654">
        <v>0.167646587686827</v>
      </c>
      <c r="G2654">
        <v>0.119640080941868</v>
      </c>
      <c r="H2654">
        <v>5.6004452395800403E-2</v>
      </c>
      <c r="I2654">
        <v>6.7812878403363197E-2</v>
      </c>
      <c r="J2654">
        <v>9.8312075093923507E-2</v>
      </c>
      <c r="K2654">
        <v>7.6600730813709397E-2</v>
      </c>
      <c r="L2654">
        <v>1126.6353791425299</v>
      </c>
      <c r="M2654">
        <v>24.3535750157927</v>
      </c>
      <c r="N2654">
        <v>46.6333771130613</v>
      </c>
      <c r="O2654">
        <v>45.953063168985302</v>
      </c>
      <c r="P2654">
        <v>-0.120802353368389</v>
      </c>
      <c r="Q2654">
        <v>8.8239760028931302E-2</v>
      </c>
      <c r="R2654">
        <v>0.99512922344671595</v>
      </c>
      <c r="S2654" t="s">
        <v>9324</v>
      </c>
      <c r="T2654" t="s">
        <v>13338</v>
      </c>
      <c r="U2654" t="s">
        <v>13338</v>
      </c>
      <c r="V2654" t="s">
        <v>13338</v>
      </c>
      <c r="W2654" t="s">
        <v>15951</v>
      </c>
      <c r="X2654">
        <v>4</v>
      </c>
      <c r="Y2654" t="s">
        <v>22508</v>
      </c>
      <c r="Z2654" t="s">
        <v>29069</v>
      </c>
      <c r="AA2654">
        <v>0.2873763987863695</v>
      </c>
      <c r="AB2654" t="str">
        <f>HYPERLINK("Melting_Curves/meltCurve_P49427_CDC34.pdf", "Melting_Curves/meltCurve_P49427_CDC34.pdf")</f>
        <v>Melting_Curves/meltCurve_P49427_CDC34.pdf</v>
      </c>
    </row>
    <row r="2655" spans="1:28" x14ac:dyDescent="0.25">
      <c r="A2655" t="s">
        <v>2659</v>
      </c>
      <c r="B2655">
        <v>0.99193492352474899</v>
      </c>
      <c r="C2655">
        <v>0.42417406660302098</v>
      </c>
      <c r="D2655">
        <v>0.35368265872209298</v>
      </c>
      <c r="E2655">
        <v>0.19864406859898801</v>
      </c>
      <c r="F2655">
        <v>0.15283442401714201</v>
      </c>
      <c r="G2655">
        <v>9.9989861944821304E-2</v>
      </c>
      <c r="H2655">
        <v>7.7721386040669804E-2</v>
      </c>
      <c r="I2655">
        <v>0.1149269133559</v>
      </c>
      <c r="J2655">
        <v>0.17546517525414401</v>
      </c>
      <c r="K2655">
        <v>0.22049608210796401</v>
      </c>
      <c r="L2655">
        <v>1647.3800696762801</v>
      </c>
      <c r="M2655">
        <v>38.918027221618999</v>
      </c>
      <c r="N2655">
        <v>42.770322470543299</v>
      </c>
      <c r="O2655">
        <v>42.218186022281898</v>
      </c>
      <c r="P2655">
        <v>-0.192382209404829</v>
      </c>
      <c r="Q2655">
        <v>0.16521883354081901</v>
      </c>
      <c r="R2655">
        <v>0.92584670152838</v>
      </c>
      <c r="S2655" t="s">
        <v>9325</v>
      </c>
      <c r="T2655" t="s">
        <v>13338</v>
      </c>
      <c r="U2655" t="s">
        <v>13338</v>
      </c>
      <c r="V2655" t="s">
        <v>13338</v>
      </c>
      <c r="W2655" t="s">
        <v>15952</v>
      </c>
      <c r="X2655">
        <v>28</v>
      </c>
      <c r="Y2655" t="s">
        <v>22509</v>
      </c>
      <c r="Z2655" t="s">
        <v>29070</v>
      </c>
      <c r="AA2655">
        <v>0.23516368120590489</v>
      </c>
      <c r="AB2655" t="str">
        <f>HYPERLINK("Melting_Curves/meltCurve_P49454_CENPF.pdf", "Melting_Curves/meltCurve_P49454_CENPF.pdf")</f>
        <v>Melting_Curves/meltCurve_P49454_CENPF.pdf</v>
      </c>
    </row>
    <row r="2656" spans="1:28" x14ac:dyDescent="0.25">
      <c r="A2656" t="s">
        <v>2660</v>
      </c>
      <c r="B2656">
        <v>0.99193492352474899</v>
      </c>
      <c r="C2656">
        <v>0.94159522022275699</v>
      </c>
      <c r="D2656">
        <v>0.82180229894139301</v>
      </c>
      <c r="E2656">
        <v>0.82139564760233097</v>
      </c>
      <c r="F2656">
        <v>0.53501906185307102</v>
      </c>
      <c r="G2656">
        <v>0.47827479958525099</v>
      </c>
      <c r="H2656">
        <v>0.47770420590965101</v>
      </c>
      <c r="I2656">
        <v>0.42820252329474301</v>
      </c>
      <c r="J2656">
        <v>0.18950500803647699</v>
      </c>
      <c r="K2656">
        <v>0.26109326277671202</v>
      </c>
      <c r="L2656">
        <v>447.27738586363</v>
      </c>
      <c r="M2656">
        <v>8.1040579913024793</v>
      </c>
      <c r="N2656">
        <v>57.173108286799099</v>
      </c>
      <c r="O2656">
        <v>52.1360557181671</v>
      </c>
      <c r="P2656">
        <v>-3.4139352157457101E-2</v>
      </c>
      <c r="Q2656">
        <v>0.12242744427699501</v>
      </c>
      <c r="R2656">
        <v>0.94283612164522101</v>
      </c>
      <c r="S2656" t="s">
        <v>9326</v>
      </c>
      <c r="T2656" t="s">
        <v>13338</v>
      </c>
      <c r="U2656" t="s">
        <v>13338</v>
      </c>
      <c r="V2656" t="s">
        <v>13338</v>
      </c>
      <c r="W2656" t="s">
        <v>15953</v>
      </c>
      <c r="X2656">
        <v>12</v>
      </c>
      <c r="Y2656" t="s">
        <v>22510</v>
      </c>
      <c r="Z2656" t="s">
        <v>29071</v>
      </c>
      <c r="AA2656">
        <v>0.58946179269672117</v>
      </c>
      <c r="AB2656" t="str">
        <f>HYPERLINK("Melting_Curves/meltCurve_P49458_SRP9.pdf", "Melting_Curves/meltCurve_P49458_SRP9.pdf")</f>
        <v>Melting_Curves/meltCurve_P49458_SRP9.pdf</v>
      </c>
    </row>
    <row r="2657" spans="1:28" x14ac:dyDescent="0.25">
      <c r="A2657" t="s">
        <v>2661</v>
      </c>
      <c r="B2657">
        <v>0.99193492352474899</v>
      </c>
      <c r="C2657">
        <v>0.79320985927124399</v>
      </c>
      <c r="D2657">
        <v>0.78246499438836903</v>
      </c>
      <c r="E2657">
        <v>0.62437419893730906</v>
      </c>
      <c r="F2657">
        <v>0.37247848155444102</v>
      </c>
      <c r="G2657">
        <v>0.176743478976779</v>
      </c>
      <c r="H2657">
        <v>0.11327044326067399</v>
      </c>
      <c r="I2657">
        <v>0.11792362991826</v>
      </c>
      <c r="J2657">
        <v>0.13882566730523799</v>
      </c>
      <c r="K2657">
        <v>0.152392568984276</v>
      </c>
      <c r="L2657">
        <v>652.29477670251595</v>
      </c>
      <c r="M2657">
        <v>13.0722345193315</v>
      </c>
      <c r="N2657">
        <v>50.582155797274503</v>
      </c>
      <c r="O2657">
        <v>48.7748384378433</v>
      </c>
      <c r="P2657">
        <v>-6.1593431573984003E-2</v>
      </c>
      <c r="Q2657">
        <v>8.0894585591424706E-2</v>
      </c>
      <c r="R2657">
        <v>0.97440263709005603</v>
      </c>
      <c r="S2657" t="s">
        <v>9327</v>
      </c>
      <c r="T2657" t="s">
        <v>13338</v>
      </c>
      <c r="U2657" t="s">
        <v>13338</v>
      </c>
      <c r="V2657" t="s">
        <v>13338</v>
      </c>
      <c r="W2657" t="s">
        <v>15954</v>
      </c>
      <c r="X2657">
        <v>4</v>
      </c>
      <c r="Y2657" t="s">
        <v>22511</v>
      </c>
      <c r="Z2657" t="s">
        <v>29072</v>
      </c>
      <c r="AA2657">
        <v>0.41204584176526537</v>
      </c>
      <c r="AB2657" t="str">
        <f>HYPERLINK("Melting_Curves/meltCurve_P49459_UBE2A.pdf", "Melting_Curves/meltCurve_P49459_UBE2A.pdf")</f>
        <v>Melting_Curves/meltCurve_P49459_UBE2A.pdf</v>
      </c>
    </row>
    <row r="2658" spans="1:28" x14ac:dyDescent="0.25">
      <c r="A2658" t="s">
        <v>2662</v>
      </c>
      <c r="B2658">
        <v>0.99193492352474899</v>
      </c>
      <c r="C2658">
        <v>0.93317623382035397</v>
      </c>
      <c r="D2658">
        <v>0.84912679204394803</v>
      </c>
      <c r="E2658">
        <v>0.60139169710280604</v>
      </c>
      <c r="F2658">
        <v>0.309563534136514</v>
      </c>
      <c r="G2658">
        <v>0.16151436066151001</v>
      </c>
      <c r="H2658">
        <v>9.3487842297597004E-2</v>
      </c>
      <c r="I2658">
        <v>0.15795732895394901</v>
      </c>
      <c r="J2658">
        <v>0.20084505615837001</v>
      </c>
      <c r="K2658">
        <v>0.16640903734728801</v>
      </c>
      <c r="L2658">
        <v>1064.23499271732</v>
      </c>
      <c r="M2658">
        <v>21.433681456155998</v>
      </c>
      <c r="N2658">
        <v>50.439367082711897</v>
      </c>
      <c r="O2658">
        <v>49.226328182729397</v>
      </c>
      <c r="P2658">
        <v>-9.33860637209665E-2</v>
      </c>
      <c r="Q2658">
        <v>0.14210960898147301</v>
      </c>
      <c r="R2658">
        <v>0.99005695852030096</v>
      </c>
      <c r="S2658" t="s">
        <v>9328</v>
      </c>
      <c r="T2658" t="s">
        <v>13338</v>
      </c>
      <c r="U2658" t="s">
        <v>13338</v>
      </c>
      <c r="V2658" t="s">
        <v>13338</v>
      </c>
      <c r="W2658" t="s">
        <v>15955</v>
      </c>
      <c r="X2658">
        <v>16</v>
      </c>
      <c r="Y2658" t="s">
        <v>22512</v>
      </c>
      <c r="Z2658" t="s">
        <v>29073</v>
      </c>
      <c r="AA2658">
        <v>0.42855666852814012</v>
      </c>
      <c r="AB2658" t="str">
        <f>HYPERLINK("Melting_Curves/meltCurve_P49585_PCYT1A.pdf", "Melting_Curves/meltCurve_P49585_PCYT1A.pdf")</f>
        <v>Melting_Curves/meltCurve_P49585_PCYT1A.pdf</v>
      </c>
    </row>
    <row r="2659" spans="1:28" x14ac:dyDescent="0.25">
      <c r="A2659" t="s">
        <v>2663</v>
      </c>
      <c r="B2659">
        <v>0.99193492352474899</v>
      </c>
      <c r="C2659">
        <v>1.0329641705100301</v>
      </c>
      <c r="D2659">
        <v>0.90387714082536197</v>
      </c>
      <c r="E2659">
        <v>0.80397041991930096</v>
      </c>
      <c r="F2659">
        <v>0.40298281827232002</v>
      </c>
      <c r="G2659">
        <v>0.126629894016905</v>
      </c>
      <c r="H2659">
        <v>7.7583652695586203E-2</v>
      </c>
      <c r="I2659">
        <v>9.3998124455016194E-2</v>
      </c>
      <c r="J2659">
        <v>0.10298696344218999</v>
      </c>
      <c r="K2659">
        <v>0.12934105147227901</v>
      </c>
      <c r="L2659">
        <v>1455.5331880656199</v>
      </c>
      <c r="M2659">
        <v>28.091113752758002</v>
      </c>
      <c r="N2659">
        <v>52.185934678430499</v>
      </c>
      <c r="O2659">
        <v>51.554271948137398</v>
      </c>
      <c r="P2659">
        <v>-0.123885776309601</v>
      </c>
      <c r="Q2659">
        <v>9.0561291306195293E-2</v>
      </c>
      <c r="R2659">
        <v>0.99344991141768901</v>
      </c>
      <c r="S2659" t="s">
        <v>9329</v>
      </c>
      <c r="T2659" t="s">
        <v>13338</v>
      </c>
      <c r="U2659" t="s">
        <v>13338</v>
      </c>
      <c r="V2659" t="s">
        <v>13338</v>
      </c>
      <c r="W2659" t="s">
        <v>15956</v>
      </c>
      <c r="X2659">
        <v>50</v>
      </c>
      <c r="Y2659" t="s">
        <v>22513</v>
      </c>
      <c r="Z2659" t="s">
        <v>29074</v>
      </c>
      <c r="AA2659">
        <v>0.45531916892144347</v>
      </c>
      <c r="AB2659" t="str">
        <f>HYPERLINK("Melting_Curves/meltCurve_P49588_AARS.pdf", "Melting_Curves/meltCurve_P49588_AARS.pdf")</f>
        <v>Melting_Curves/meltCurve_P49588_AARS.pdf</v>
      </c>
    </row>
    <row r="2660" spans="1:28" x14ac:dyDescent="0.25">
      <c r="A2660" t="s">
        <v>2664</v>
      </c>
      <c r="B2660">
        <v>0.99193492352474899</v>
      </c>
      <c r="C2660">
        <v>0.90838953556823399</v>
      </c>
      <c r="D2660">
        <v>0.893194439611391</v>
      </c>
      <c r="E2660">
        <v>0.74236648798684002</v>
      </c>
      <c r="F2660">
        <v>0.236381269726154</v>
      </c>
      <c r="G2660">
        <v>0.138739611652274</v>
      </c>
      <c r="H2660">
        <v>8.8070164321692193E-2</v>
      </c>
      <c r="I2660">
        <v>8.9311416805534699E-2</v>
      </c>
      <c r="J2660">
        <v>0.10619208765466299</v>
      </c>
      <c r="K2660">
        <v>9.2841100600622797E-2</v>
      </c>
      <c r="L2660">
        <v>1624.7024036376499</v>
      </c>
      <c r="M2660">
        <v>31.991489406270698</v>
      </c>
      <c r="N2660">
        <v>51.112338045132702</v>
      </c>
      <c r="O2660">
        <v>50.588278216563403</v>
      </c>
      <c r="P2660">
        <v>-0.143472241066147</v>
      </c>
      <c r="Q2660">
        <v>9.2511955519425496E-2</v>
      </c>
      <c r="R2660">
        <v>0.98883451628002195</v>
      </c>
      <c r="S2660" t="s">
        <v>9330</v>
      </c>
      <c r="T2660" t="s">
        <v>13338</v>
      </c>
      <c r="U2660" t="s">
        <v>13338</v>
      </c>
      <c r="V2660" t="s">
        <v>13338</v>
      </c>
      <c r="W2660" t="s">
        <v>15957</v>
      </c>
      <c r="X2660">
        <v>35</v>
      </c>
      <c r="Y2660" t="s">
        <v>22514</v>
      </c>
      <c r="Z2660" t="s">
        <v>29075</v>
      </c>
      <c r="AA2660">
        <v>0.42376444386147211</v>
      </c>
      <c r="AB2660" t="str">
        <f>HYPERLINK("Melting_Curves/meltCurve_P49589_3_CARS.pdf", "Melting_Curves/meltCurve_P49589_3_CARS.pdf")</f>
        <v>Melting_Curves/meltCurve_P49589_3_CARS.pdf</v>
      </c>
    </row>
    <row r="2661" spans="1:28" x14ac:dyDescent="0.25">
      <c r="A2661" t="s">
        <v>2665</v>
      </c>
      <c r="B2661">
        <v>0.99193492352474899</v>
      </c>
      <c r="C2661">
        <v>0.95364051922021298</v>
      </c>
      <c r="D2661">
        <v>0.96493110306172503</v>
      </c>
      <c r="E2661">
        <v>0.87783061427131204</v>
      </c>
      <c r="F2661">
        <v>0.70129356618823702</v>
      </c>
      <c r="G2661">
        <v>0.19618648468181299</v>
      </c>
      <c r="H2661">
        <v>0.108515437806426</v>
      </c>
      <c r="I2661">
        <v>0.11041940779828199</v>
      </c>
      <c r="J2661">
        <v>0.13409970898655699</v>
      </c>
      <c r="K2661">
        <v>0.140823178907755</v>
      </c>
      <c r="L2661">
        <v>2107.9863098150699</v>
      </c>
      <c r="M2661">
        <v>39.081875540322201</v>
      </c>
      <c r="N2661">
        <v>54.303790896407101</v>
      </c>
      <c r="O2661">
        <v>53.7970590464369</v>
      </c>
      <c r="P2661">
        <v>-0.160583357823356</v>
      </c>
      <c r="Q2661">
        <v>0.115816017845287</v>
      </c>
      <c r="R2661">
        <v>0.99001847799220399</v>
      </c>
      <c r="S2661" t="s">
        <v>9331</v>
      </c>
      <c r="T2661" t="s">
        <v>13338</v>
      </c>
      <c r="U2661" t="s">
        <v>13338</v>
      </c>
      <c r="V2661" t="s">
        <v>13338</v>
      </c>
      <c r="W2661" t="s">
        <v>15958</v>
      </c>
      <c r="X2661">
        <v>28</v>
      </c>
      <c r="Y2661" t="s">
        <v>22515</v>
      </c>
      <c r="Z2661" t="s">
        <v>29076</v>
      </c>
      <c r="AA2661">
        <v>0.53004526990128986</v>
      </c>
      <c r="AB2661" t="str">
        <f>HYPERLINK("Melting_Curves/meltCurve_P49591_SARS.pdf", "Melting_Curves/meltCurve_P49591_SARS.pdf")</f>
        <v>Melting_Curves/meltCurve_P49591_SARS.pdf</v>
      </c>
    </row>
    <row r="2662" spans="1:28" x14ac:dyDescent="0.25">
      <c r="A2662" t="s">
        <v>2666</v>
      </c>
      <c r="B2662">
        <v>0.99193492352474899</v>
      </c>
      <c r="C2662">
        <v>0.85853494717319401</v>
      </c>
      <c r="D2662">
        <v>0.73994934784033894</v>
      </c>
      <c r="E2662">
        <v>0.34724987333856999</v>
      </c>
      <c r="F2662">
        <v>0.124371943132466</v>
      </c>
      <c r="G2662">
        <v>7.05497622700028E-2</v>
      </c>
      <c r="H2662">
        <v>3.9015159620106397E-2</v>
      </c>
      <c r="I2662">
        <v>5.3796118631885402E-2</v>
      </c>
      <c r="J2662">
        <v>5.8506074173734102E-2</v>
      </c>
      <c r="K2662">
        <v>5.3786465657201098E-2</v>
      </c>
      <c r="L2662">
        <v>999.30913610242601</v>
      </c>
      <c r="M2662">
        <v>20.902832375381202</v>
      </c>
      <c r="N2662">
        <v>48.008016353468797</v>
      </c>
      <c r="O2662">
        <v>47.376250537620002</v>
      </c>
      <c r="P2662">
        <v>-0.10569113382010401</v>
      </c>
      <c r="Q2662">
        <v>4.1830759038267398E-2</v>
      </c>
      <c r="R2662">
        <v>0.99551489267266202</v>
      </c>
      <c r="S2662" t="s">
        <v>9332</v>
      </c>
      <c r="T2662" t="s">
        <v>13338</v>
      </c>
      <c r="U2662" t="s">
        <v>13338</v>
      </c>
      <c r="V2662" t="s">
        <v>13338</v>
      </c>
      <c r="W2662" t="s">
        <v>15959</v>
      </c>
      <c r="X2662">
        <v>9</v>
      </c>
      <c r="Y2662" t="s">
        <v>22516</v>
      </c>
      <c r="Z2662" t="s">
        <v>29077</v>
      </c>
      <c r="AA2662">
        <v>0.30363113144045661</v>
      </c>
      <c r="AB2662" t="str">
        <f>HYPERLINK("Melting_Curves/meltCurve_P49642_PRIM1.pdf", "Melting_Curves/meltCurve_P49642_PRIM1.pdf")</f>
        <v>Melting_Curves/meltCurve_P49642_PRIM1.pdf</v>
      </c>
    </row>
    <row r="2663" spans="1:28" x14ac:dyDescent="0.25">
      <c r="A2663" t="s">
        <v>2667</v>
      </c>
      <c r="B2663">
        <v>0.99193492352474899</v>
      </c>
      <c r="C2663">
        <v>0.70063581347283799</v>
      </c>
      <c r="D2663">
        <v>0.63439150399107203</v>
      </c>
      <c r="E2663">
        <v>0.222933096394339</v>
      </c>
      <c r="F2663">
        <v>0.125022398748147</v>
      </c>
      <c r="G2663">
        <v>7.3832830024063295E-2</v>
      </c>
      <c r="H2663">
        <v>5.3470322810957399E-2</v>
      </c>
      <c r="I2663">
        <v>6.5463057416456499E-2</v>
      </c>
      <c r="J2663">
        <v>6.3156796277337099E-2</v>
      </c>
      <c r="K2663">
        <v>8.8386334686963705E-2</v>
      </c>
      <c r="L2663">
        <v>815.18991106522299</v>
      </c>
      <c r="M2663">
        <v>17.6612883410486</v>
      </c>
      <c r="N2663">
        <v>46.453655075713598</v>
      </c>
      <c r="O2663">
        <v>45.577319812221504</v>
      </c>
      <c r="P2663">
        <v>-9.1711993537852698E-2</v>
      </c>
      <c r="Q2663">
        <v>5.3350017938604603E-2</v>
      </c>
      <c r="R2663">
        <v>0.97578199129255605</v>
      </c>
      <c r="S2663" t="s">
        <v>9333</v>
      </c>
      <c r="T2663" t="s">
        <v>13338</v>
      </c>
      <c r="U2663" t="s">
        <v>13338</v>
      </c>
      <c r="V2663" t="s">
        <v>13338</v>
      </c>
      <c r="W2663" t="s">
        <v>15960</v>
      </c>
      <c r="X2663">
        <v>12</v>
      </c>
      <c r="Y2663" t="s">
        <v>22517</v>
      </c>
      <c r="Z2663" t="s">
        <v>29078</v>
      </c>
      <c r="AA2663">
        <v>0.26679477235269577</v>
      </c>
      <c r="AB2663" t="str">
        <f>HYPERLINK("Melting_Curves/meltCurve_P49643_PRIM2.pdf", "Melting_Curves/meltCurve_P49643_PRIM2.pdf")</f>
        <v>Melting_Curves/meltCurve_P49643_PRIM2.pdf</v>
      </c>
    </row>
    <row r="2664" spans="1:28" x14ac:dyDescent="0.25">
      <c r="A2664" t="s">
        <v>2668</v>
      </c>
      <c r="B2664">
        <v>0.99193492352474899</v>
      </c>
      <c r="C2664">
        <v>0.59843658009762202</v>
      </c>
      <c r="D2664">
        <v>0.81443936750853296</v>
      </c>
      <c r="E2664">
        <v>0.51091073584118796</v>
      </c>
      <c r="F2664">
        <v>0.27240392680065201</v>
      </c>
      <c r="G2664">
        <v>0.11714507920570399</v>
      </c>
      <c r="H2664">
        <v>6.9387915815337403E-2</v>
      </c>
      <c r="I2664">
        <v>8.2596551350214001E-2</v>
      </c>
      <c r="J2664">
        <v>0.100086101871279</v>
      </c>
      <c r="K2664">
        <v>9.0921664527984197E-2</v>
      </c>
      <c r="L2664">
        <v>549.12509336956805</v>
      </c>
      <c r="M2664">
        <v>11.256879012704401</v>
      </c>
      <c r="N2664">
        <v>48.951158556825803</v>
      </c>
      <c r="O2664">
        <v>47.317845503337999</v>
      </c>
      <c r="P2664">
        <v>-5.8353579571828199E-2</v>
      </c>
      <c r="Q2664">
        <v>1.9154895004358199E-2</v>
      </c>
      <c r="R2664">
        <v>0.91424653361082497</v>
      </c>
      <c r="S2664" t="s">
        <v>9334</v>
      </c>
      <c r="T2664" t="s">
        <v>13338</v>
      </c>
      <c r="U2664" t="s">
        <v>13338</v>
      </c>
      <c r="V2664" t="s">
        <v>13338</v>
      </c>
      <c r="W2664" t="s">
        <v>15961</v>
      </c>
      <c r="X2664">
        <v>7</v>
      </c>
      <c r="Y2664" t="s">
        <v>22518</v>
      </c>
      <c r="Z2664" t="s">
        <v>29079</v>
      </c>
      <c r="AA2664">
        <v>0.3468691869605271</v>
      </c>
      <c r="AB2664" t="str">
        <f>HYPERLINK("Melting_Curves/meltCurve_P49674_CSNK1E.pdf", "Melting_Curves/meltCurve_P49674_CSNK1E.pdf")</f>
        <v>Melting_Curves/meltCurve_P49674_CSNK1E.pdf</v>
      </c>
    </row>
    <row r="2665" spans="1:28" x14ac:dyDescent="0.25">
      <c r="A2665" t="s">
        <v>2669</v>
      </c>
      <c r="B2665">
        <v>0.99193492352474899</v>
      </c>
      <c r="C2665">
        <v>0.64085134879635097</v>
      </c>
      <c r="D2665">
        <v>0.83849665716718003</v>
      </c>
      <c r="E2665">
        <v>0.611589306812935</v>
      </c>
      <c r="F2665">
        <v>0.70822920150131496</v>
      </c>
      <c r="G2665">
        <v>0.38856210535049202</v>
      </c>
      <c r="H2665">
        <v>0.26814375703920601</v>
      </c>
      <c r="I2665">
        <v>0.27446446956540799</v>
      </c>
      <c r="J2665">
        <v>0.45544029705167599</v>
      </c>
      <c r="K2665">
        <v>0.576264009162479</v>
      </c>
      <c r="L2665">
        <v>457.26436242391799</v>
      </c>
      <c r="M2665">
        <v>9.6026326377091404</v>
      </c>
      <c r="N2665">
        <v>55.129089486596399</v>
      </c>
      <c r="O2665">
        <v>45.690926905286197</v>
      </c>
      <c r="P2665">
        <v>-3.3390669411666497E-2</v>
      </c>
      <c r="Q2665">
        <v>0.364847295872125</v>
      </c>
      <c r="R2665">
        <v>0.64604848106228097</v>
      </c>
      <c r="S2665" t="s">
        <v>9335</v>
      </c>
      <c r="T2665" t="s">
        <v>13338</v>
      </c>
      <c r="U2665" t="s">
        <v>13338</v>
      </c>
      <c r="V2665" t="s">
        <v>13338</v>
      </c>
      <c r="W2665" t="s">
        <v>15962</v>
      </c>
      <c r="X2665">
        <v>13</v>
      </c>
      <c r="Y2665" t="s">
        <v>22519</v>
      </c>
      <c r="Z2665" t="s">
        <v>29080</v>
      </c>
      <c r="AA2665">
        <v>0.56308566998693521</v>
      </c>
      <c r="AB2665" t="str">
        <f>HYPERLINK("Melting_Curves/meltCurve_P49711_CTCF.pdf", "Melting_Curves/meltCurve_P49711_CTCF.pdf")</f>
        <v>Melting_Curves/meltCurve_P49711_CTCF.pdf</v>
      </c>
    </row>
    <row r="2666" spans="1:28" x14ac:dyDescent="0.25">
      <c r="A2666" t="s">
        <v>2670</v>
      </c>
      <c r="B2666">
        <v>0.99193492352474899</v>
      </c>
      <c r="C2666">
        <v>0.95352609858717496</v>
      </c>
      <c r="D2666">
        <v>1.1010106045868</v>
      </c>
      <c r="E2666">
        <v>0.96350546177029195</v>
      </c>
      <c r="F2666">
        <v>1.19434449294415</v>
      </c>
      <c r="G2666">
        <v>1.0304741182570201</v>
      </c>
      <c r="H2666">
        <v>0.67035499094365103</v>
      </c>
      <c r="I2666">
        <v>0.59660497188953998</v>
      </c>
      <c r="J2666">
        <v>0.62661754198080399</v>
      </c>
      <c r="K2666">
        <v>0.200510274322866</v>
      </c>
      <c r="L2666">
        <v>1079.56464854756</v>
      </c>
      <c r="M2666">
        <v>16.283521547737202</v>
      </c>
      <c r="N2666">
        <v>66.298007257791497</v>
      </c>
      <c r="O2666">
        <v>65.322278237115299</v>
      </c>
      <c r="P2666">
        <v>-6.2324501880229803E-2</v>
      </c>
      <c r="Q2666">
        <v>0</v>
      </c>
      <c r="R2666">
        <v>0.84249355657134395</v>
      </c>
      <c r="S2666" t="s">
        <v>9336</v>
      </c>
      <c r="T2666" t="s">
        <v>13338</v>
      </c>
      <c r="U2666" t="s">
        <v>13338</v>
      </c>
      <c r="V2666" t="s">
        <v>13338</v>
      </c>
      <c r="W2666" t="s">
        <v>15963</v>
      </c>
      <c r="X2666">
        <v>12</v>
      </c>
      <c r="Y2666" t="s">
        <v>22520</v>
      </c>
      <c r="Z2666" t="s">
        <v>29081</v>
      </c>
      <c r="AA2666">
        <v>0.84259929369508957</v>
      </c>
      <c r="AB2666" t="str">
        <f>HYPERLINK("Melting_Curves/meltCurve_P49720_PSMB3.pdf", "Melting_Curves/meltCurve_P49720_PSMB3.pdf")</f>
        <v>Melting_Curves/meltCurve_P49720_PSMB3.pdf</v>
      </c>
    </row>
    <row r="2667" spans="1:28" x14ac:dyDescent="0.25">
      <c r="A2667" t="s">
        <v>2671</v>
      </c>
      <c r="B2667">
        <v>0.99193492352474899</v>
      </c>
      <c r="C2667">
        <v>0.80882556579127896</v>
      </c>
      <c r="D2667">
        <v>0.94719802743326498</v>
      </c>
      <c r="E2667">
        <v>0.77182602687271895</v>
      </c>
      <c r="F2667">
        <v>0.99553334530559201</v>
      </c>
      <c r="G2667">
        <v>0.74065706083106597</v>
      </c>
      <c r="H2667">
        <v>0.54102853570459297</v>
      </c>
      <c r="I2667">
        <v>0.51147005410806801</v>
      </c>
      <c r="J2667">
        <v>0.507460136758903</v>
      </c>
      <c r="K2667">
        <v>0.33242637745234799</v>
      </c>
      <c r="L2667">
        <v>433.58676545336198</v>
      </c>
      <c r="M2667">
        <v>6.6805943622742001</v>
      </c>
      <c r="N2667">
        <v>64.9024235671735</v>
      </c>
      <c r="O2667">
        <v>59.828016797618801</v>
      </c>
      <c r="P2667">
        <v>-2.7977204952350399E-2</v>
      </c>
      <c r="Q2667">
        <v>0</v>
      </c>
      <c r="R2667">
        <v>0.82663029296832002</v>
      </c>
      <c r="S2667" t="s">
        <v>9337</v>
      </c>
      <c r="T2667" t="s">
        <v>13338</v>
      </c>
      <c r="U2667" t="s">
        <v>13338</v>
      </c>
      <c r="V2667" t="s">
        <v>13338</v>
      </c>
      <c r="W2667" t="s">
        <v>15964</v>
      </c>
      <c r="X2667">
        <v>14</v>
      </c>
      <c r="Y2667" t="s">
        <v>22521</v>
      </c>
      <c r="Z2667" t="s">
        <v>29082</v>
      </c>
      <c r="AA2667">
        <v>0.73661833218080475</v>
      </c>
      <c r="AB2667" t="str">
        <f>HYPERLINK("Melting_Curves/meltCurve_P49721_PSMB2.pdf", "Melting_Curves/meltCurve_P49721_PSMB2.pdf")</f>
        <v>Melting_Curves/meltCurve_P49721_PSMB2.pdf</v>
      </c>
    </row>
    <row r="2668" spans="1:28" x14ac:dyDescent="0.25">
      <c r="A2668" t="s">
        <v>2672</v>
      </c>
      <c r="B2668">
        <v>0.99193492352474899</v>
      </c>
      <c r="C2668">
        <v>1.0315734476282299</v>
      </c>
      <c r="D2668">
        <v>0.92206450697742903</v>
      </c>
      <c r="E2668">
        <v>0.73578040950552503</v>
      </c>
      <c r="F2668">
        <v>0.19969149592308999</v>
      </c>
      <c r="G2668">
        <v>0.117390358189052</v>
      </c>
      <c r="H2668">
        <v>7.0433608893854499E-2</v>
      </c>
      <c r="I2668">
        <v>8.5146982108279007E-2</v>
      </c>
      <c r="J2668">
        <v>9.0057234615380802E-2</v>
      </c>
      <c r="K2668">
        <v>8.5346095282523599E-2</v>
      </c>
      <c r="L2668">
        <v>1933.07444504113</v>
      </c>
      <c r="M2668">
        <v>38.136319649569998</v>
      </c>
      <c r="N2668">
        <v>50.935095297832397</v>
      </c>
      <c r="O2668">
        <v>50.549768098918399</v>
      </c>
      <c r="P2668">
        <v>-0.17271262460289299</v>
      </c>
      <c r="Q2668">
        <v>8.4278569571879E-2</v>
      </c>
      <c r="R2668">
        <v>0.99657874101720501</v>
      </c>
      <c r="S2668" t="s">
        <v>9338</v>
      </c>
      <c r="T2668" t="s">
        <v>13338</v>
      </c>
      <c r="U2668" t="s">
        <v>13338</v>
      </c>
      <c r="V2668" t="s">
        <v>13338</v>
      </c>
      <c r="W2668" t="s">
        <v>13651</v>
      </c>
      <c r="X2668">
        <v>45</v>
      </c>
      <c r="Y2668" t="s">
        <v>22522</v>
      </c>
      <c r="Z2668" t="s">
        <v>29083</v>
      </c>
      <c r="AA2668">
        <v>0.4140686651972269</v>
      </c>
      <c r="AB2668" t="str">
        <f>HYPERLINK("Melting_Curves/meltCurve_P49736_MCM2.pdf", "Melting_Curves/meltCurve_P49736_MCM2.pdf")</f>
        <v>Melting_Curves/meltCurve_P49736_MCM2.pdf</v>
      </c>
    </row>
    <row r="2669" spans="1:28" x14ac:dyDescent="0.25">
      <c r="A2669" t="s">
        <v>2673</v>
      </c>
      <c r="B2669">
        <v>0.99193492352474899</v>
      </c>
      <c r="C2669">
        <v>0.96580379197551702</v>
      </c>
      <c r="D2669">
        <v>0.95117620297359795</v>
      </c>
      <c r="E2669">
        <v>0.812824995153552</v>
      </c>
      <c r="F2669">
        <v>0.67975562385669797</v>
      </c>
      <c r="G2669">
        <v>0.380469636480605</v>
      </c>
      <c r="H2669">
        <v>0.13340859809061001</v>
      </c>
      <c r="I2669">
        <v>9.7932758591154107E-2</v>
      </c>
      <c r="J2669">
        <v>0.10449481856225599</v>
      </c>
      <c r="K2669">
        <v>0.107327386349058</v>
      </c>
      <c r="L2669">
        <v>971.49646990115002</v>
      </c>
      <c r="M2669">
        <v>17.805672256577999</v>
      </c>
      <c r="N2669">
        <v>54.925630481863202</v>
      </c>
      <c r="O2669">
        <v>53.886823090264201</v>
      </c>
      <c r="P2669">
        <v>-7.8006868651177494E-2</v>
      </c>
      <c r="Q2669">
        <v>5.5733292824601703E-2</v>
      </c>
      <c r="R2669">
        <v>0.99251469506503898</v>
      </c>
      <c r="S2669" t="s">
        <v>9339</v>
      </c>
      <c r="T2669" t="s">
        <v>13338</v>
      </c>
      <c r="U2669" t="s">
        <v>13338</v>
      </c>
      <c r="V2669" t="s">
        <v>13338</v>
      </c>
      <c r="W2669" t="s">
        <v>15965</v>
      </c>
      <c r="X2669">
        <v>29</v>
      </c>
      <c r="Y2669" t="s">
        <v>22523</v>
      </c>
      <c r="Z2669" t="s">
        <v>29084</v>
      </c>
      <c r="AA2669">
        <v>0.52912758888602174</v>
      </c>
      <c r="AB2669" t="str">
        <f>HYPERLINK("Melting_Curves/meltCurve_P49748_ACADVL.pdf", "Melting_Curves/meltCurve_P49748_ACADVL.pdf")</f>
        <v>Melting_Curves/meltCurve_P49748_ACADVL.pdf</v>
      </c>
    </row>
    <row r="2670" spans="1:28" x14ac:dyDescent="0.25">
      <c r="A2670" t="s">
        <v>2674</v>
      </c>
      <c r="B2670">
        <v>0.99193492352474899</v>
      </c>
      <c r="C2670">
        <v>0.66055776847907599</v>
      </c>
      <c r="D2670">
        <v>0.75724572459677797</v>
      </c>
      <c r="E2670">
        <v>0.35341379596008099</v>
      </c>
      <c r="F2670">
        <v>0.20013420162100201</v>
      </c>
      <c r="G2670">
        <v>0.127386973734326</v>
      </c>
      <c r="H2670">
        <v>0.104797964083678</v>
      </c>
      <c r="I2670">
        <v>0.14312749338011099</v>
      </c>
      <c r="J2670">
        <v>0.18181933966100899</v>
      </c>
      <c r="K2670">
        <v>0.218616597095279</v>
      </c>
      <c r="L2670">
        <v>745.866863657664</v>
      </c>
      <c r="M2670">
        <v>15.9973219092601</v>
      </c>
      <c r="N2670">
        <v>47.558595182076097</v>
      </c>
      <c r="O2670">
        <v>45.914172166947303</v>
      </c>
      <c r="P2670">
        <v>-7.5367297209262898E-2</v>
      </c>
      <c r="Q2670">
        <v>0.13481647033927599</v>
      </c>
      <c r="R2670">
        <v>0.92559615237691695</v>
      </c>
      <c r="S2670" t="s">
        <v>9340</v>
      </c>
      <c r="T2670" t="s">
        <v>13338</v>
      </c>
      <c r="U2670" t="s">
        <v>13338</v>
      </c>
      <c r="V2670" t="s">
        <v>13338</v>
      </c>
      <c r="W2670" t="s">
        <v>15966</v>
      </c>
      <c r="X2670">
        <v>41</v>
      </c>
      <c r="Y2670" t="s">
        <v>22524</v>
      </c>
      <c r="Z2670" t="s">
        <v>29085</v>
      </c>
      <c r="AA2670">
        <v>0.34690309733641339</v>
      </c>
      <c r="AB2670" t="str">
        <f>HYPERLINK("Melting_Curves/meltCurve_P49750_4_YLPM1.pdf", "Melting_Curves/meltCurve_P49750_4_YLPM1.pdf")</f>
        <v>Melting_Curves/meltCurve_P49750_4_YLPM1.pdf</v>
      </c>
    </row>
    <row r="2671" spans="1:28" x14ac:dyDescent="0.25">
      <c r="A2671" t="s">
        <v>2675</v>
      </c>
      <c r="B2671">
        <v>0.99193492352474899</v>
      </c>
      <c r="C2671">
        <v>1.01644875666694</v>
      </c>
      <c r="D2671">
        <v>0.71525394197919101</v>
      </c>
      <c r="E2671">
        <v>0.495043352082493</v>
      </c>
      <c r="F2671">
        <v>0.25781051702332303</v>
      </c>
      <c r="G2671">
        <v>0.17302863879144201</v>
      </c>
      <c r="H2671">
        <v>7.4053584578052306E-2</v>
      </c>
      <c r="I2671">
        <v>7.9025955231691605E-2</v>
      </c>
      <c r="J2671">
        <v>7.0161614592883406E-2</v>
      </c>
      <c r="K2671">
        <v>3.2722965518500603E-2</v>
      </c>
      <c r="L2671">
        <v>832.07745703470403</v>
      </c>
      <c r="M2671">
        <v>16.933642625806101</v>
      </c>
      <c r="N2671">
        <v>49.466670530866899</v>
      </c>
      <c r="O2671">
        <v>48.467620474865797</v>
      </c>
      <c r="P2671">
        <v>-8.2696784875033194E-2</v>
      </c>
      <c r="Q2671">
        <v>5.3277744086390397E-2</v>
      </c>
      <c r="R2671">
        <v>0.98984971655756504</v>
      </c>
      <c r="S2671" t="s">
        <v>9341</v>
      </c>
      <c r="T2671" t="s">
        <v>13338</v>
      </c>
      <c r="U2671" t="s">
        <v>13338</v>
      </c>
      <c r="V2671" t="s">
        <v>13338</v>
      </c>
      <c r="W2671" t="s">
        <v>15967</v>
      </c>
      <c r="X2671">
        <v>2</v>
      </c>
      <c r="Y2671" t="s">
        <v>22525</v>
      </c>
      <c r="Z2671" t="s">
        <v>29086</v>
      </c>
      <c r="AA2671">
        <v>0.36007727509988718</v>
      </c>
      <c r="AB2671" t="str">
        <f>HYPERLINK("Melting_Curves/meltCurve_P49754_2_VPS41.pdf", "Melting_Curves/meltCurve_P49754_2_VPS41.pdf")</f>
        <v>Melting_Curves/meltCurve_P49754_2_VPS41.pdf</v>
      </c>
    </row>
    <row r="2672" spans="1:28" x14ac:dyDescent="0.25">
      <c r="A2672" t="s">
        <v>2676</v>
      </c>
      <c r="B2672">
        <v>0.99193492352474899</v>
      </c>
      <c r="C2672">
        <v>0.97832144554061695</v>
      </c>
      <c r="D2672">
        <v>1.0066440400465999</v>
      </c>
      <c r="E2672">
        <v>0.858057144630473</v>
      </c>
      <c r="F2672">
        <v>0.50981981355573003</v>
      </c>
      <c r="G2672">
        <v>0.222955198505178</v>
      </c>
      <c r="H2672">
        <v>0.114854424156857</v>
      </c>
      <c r="I2672">
        <v>0.12856503122523399</v>
      </c>
      <c r="J2672">
        <v>0.14215120807687801</v>
      </c>
      <c r="K2672">
        <v>0.146479829563915</v>
      </c>
      <c r="L2672">
        <v>1501.85058718089</v>
      </c>
      <c r="M2672">
        <v>28.519238910648198</v>
      </c>
      <c r="N2672">
        <v>53.207772294991202</v>
      </c>
      <c r="O2672">
        <v>52.404081094494202</v>
      </c>
      <c r="P2672">
        <v>-0.118773518863053</v>
      </c>
      <c r="Q2672">
        <v>0.127021916714746</v>
      </c>
      <c r="R2672">
        <v>0.998186722397161</v>
      </c>
      <c r="S2672" t="s">
        <v>9342</v>
      </c>
      <c r="T2672" t="s">
        <v>13338</v>
      </c>
      <c r="U2672" t="s">
        <v>13338</v>
      </c>
      <c r="V2672" t="s">
        <v>13338</v>
      </c>
      <c r="W2672" t="s">
        <v>15968</v>
      </c>
      <c r="X2672">
        <v>12</v>
      </c>
      <c r="Y2672" t="s">
        <v>22526</v>
      </c>
      <c r="Z2672" t="s">
        <v>29087</v>
      </c>
      <c r="AA2672">
        <v>0.5016681638595536</v>
      </c>
      <c r="AB2672" t="str">
        <f>HYPERLINK("Melting_Curves/meltCurve_P49755_TMED10.pdf", "Melting_Curves/meltCurve_P49755_TMED10.pdf")</f>
        <v>Melting_Curves/meltCurve_P49755_TMED10.pdf</v>
      </c>
    </row>
    <row r="2673" spans="1:28" x14ac:dyDescent="0.25">
      <c r="A2673" t="s">
        <v>2677</v>
      </c>
      <c r="B2673">
        <v>0.99193492352474899</v>
      </c>
      <c r="C2673">
        <v>0.66018300611230396</v>
      </c>
      <c r="D2673">
        <v>0.67393049657303505</v>
      </c>
      <c r="E2673">
        <v>0.244294351980857</v>
      </c>
      <c r="F2673">
        <v>0.12510738388067899</v>
      </c>
      <c r="G2673">
        <v>0.103272770854083</v>
      </c>
      <c r="H2673">
        <v>6.1478578058604898E-2</v>
      </c>
      <c r="I2673">
        <v>8.2945618184589301E-2</v>
      </c>
      <c r="J2673">
        <v>6.7277881395030201E-2</v>
      </c>
      <c r="K2673">
        <v>0.12830963595872</v>
      </c>
      <c r="L2673">
        <v>769.88126259187595</v>
      </c>
      <c r="M2673">
        <v>16.675144606505999</v>
      </c>
      <c r="N2673">
        <v>46.575619813593001</v>
      </c>
      <c r="O2673">
        <v>45.520723875678101</v>
      </c>
      <c r="P2673">
        <v>-8.5387624689303998E-2</v>
      </c>
      <c r="Q2673">
        <v>6.7678890723709195E-2</v>
      </c>
      <c r="R2673">
        <v>0.955363155531195</v>
      </c>
      <c r="S2673" t="s">
        <v>9343</v>
      </c>
      <c r="T2673" t="s">
        <v>13338</v>
      </c>
      <c r="U2673" t="s">
        <v>13338</v>
      </c>
      <c r="V2673" t="s">
        <v>13338</v>
      </c>
      <c r="W2673" t="s">
        <v>15969</v>
      </c>
      <c r="X2673">
        <v>20</v>
      </c>
      <c r="Y2673" t="s">
        <v>22527</v>
      </c>
      <c r="Z2673" t="s">
        <v>29088</v>
      </c>
      <c r="AA2673">
        <v>0.28081128095686148</v>
      </c>
      <c r="AB2673" t="str">
        <f>HYPERLINK("Melting_Curves/meltCurve_P49756_RBM25.pdf", "Melting_Curves/meltCurve_P49756_RBM25.pdf")</f>
        <v>Melting_Curves/meltCurve_P49756_RBM25.pdf</v>
      </c>
    </row>
    <row r="2674" spans="1:28" x14ac:dyDescent="0.25">
      <c r="A2674" t="s">
        <v>2678</v>
      </c>
      <c r="B2674">
        <v>0.99193492352474899</v>
      </c>
      <c r="C2674">
        <v>0.71664603531187399</v>
      </c>
      <c r="D2674">
        <v>0.82982080202877895</v>
      </c>
      <c r="E2674">
        <v>0.57107432693739002</v>
      </c>
      <c r="F2674">
        <v>0.33482585551260302</v>
      </c>
      <c r="G2674">
        <v>0.13811382113381501</v>
      </c>
      <c r="H2674">
        <v>9.6124294312791694E-2</v>
      </c>
      <c r="I2674">
        <v>0.13698949064483301</v>
      </c>
      <c r="J2674">
        <v>0.14686223904795201</v>
      </c>
      <c r="K2674">
        <v>0.207398683993406</v>
      </c>
      <c r="L2674">
        <v>693.29768111446197</v>
      </c>
      <c r="M2674">
        <v>14.1236559142354</v>
      </c>
      <c r="N2674">
        <v>49.941016753251901</v>
      </c>
      <c r="O2674">
        <v>48.1350621482379</v>
      </c>
      <c r="P2674">
        <v>-6.5498591304809506E-2</v>
      </c>
      <c r="Q2674">
        <v>0.107207141720651</v>
      </c>
      <c r="R2674">
        <v>0.938451573450923</v>
      </c>
      <c r="S2674" t="s">
        <v>9344</v>
      </c>
      <c r="T2674" t="s">
        <v>13338</v>
      </c>
      <c r="U2674" t="s">
        <v>13338</v>
      </c>
      <c r="V2674" t="s">
        <v>13338</v>
      </c>
      <c r="W2674" t="s">
        <v>15970</v>
      </c>
      <c r="X2674">
        <v>11</v>
      </c>
      <c r="Y2674" t="s">
        <v>22528</v>
      </c>
      <c r="Z2674" t="s">
        <v>29089</v>
      </c>
      <c r="AA2674">
        <v>0.40220156899435028</v>
      </c>
      <c r="AB2674" t="str">
        <f>HYPERLINK("Melting_Curves/meltCurve_P49757_4_NUMB.pdf", "Melting_Curves/meltCurve_P49757_4_NUMB.pdf")</f>
        <v>Melting_Curves/meltCurve_P49757_4_NUMB.pdf</v>
      </c>
    </row>
    <row r="2675" spans="1:28" x14ac:dyDescent="0.25">
      <c r="A2675" t="s">
        <v>2679</v>
      </c>
      <c r="B2675">
        <v>0.99193492352474899</v>
      </c>
      <c r="C2675">
        <v>0.88532620005795304</v>
      </c>
      <c r="D2675">
        <v>1.07222128486684</v>
      </c>
      <c r="E2675">
        <v>0.80668848148216798</v>
      </c>
      <c r="F2675">
        <v>0.85152089338135895</v>
      </c>
      <c r="G2675">
        <v>0.70058774369722099</v>
      </c>
      <c r="H2675">
        <v>0.568199018364969</v>
      </c>
      <c r="I2675">
        <v>0.70414183698139399</v>
      </c>
      <c r="J2675">
        <v>1.1197970148494001</v>
      </c>
      <c r="K2675">
        <v>1.0353780481211301</v>
      </c>
      <c r="L2675">
        <v>11965.0124461736</v>
      </c>
      <c r="M2675">
        <v>250</v>
      </c>
      <c r="O2675">
        <v>47.856987070819798</v>
      </c>
      <c r="P2675">
        <v>-0.22643876949625499</v>
      </c>
      <c r="Q2675">
        <v>0.82661316402037899</v>
      </c>
      <c r="R2675">
        <v>0.17025611040459401</v>
      </c>
      <c r="S2675" t="s">
        <v>9345</v>
      </c>
      <c r="T2675" t="s">
        <v>13338</v>
      </c>
      <c r="U2675" t="s">
        <v>13338</v>
      </c>
      <c r="V2675" t="s">
        <v>13338</v>
      </c>
      <c r="W2675" t="s">
        <v>15971</v>
      </c>
      <c r="X2675">
        <v>3</v>
      </c>
      <c r="Y2675" t="s">
        <v>22529</v>
      </c>
      <c r="Z2675" t="s">
        <v>29090</v>
      </c>
      <c r="AA2675">
        <v>0.87205536617264445</v>
      </c>
      <c r="AB2675" t="str">
        <f>HYPERLINK("Melting_Curves/meltCurve_P49768_2_PSEN1.pdf", "Melting_Curves/meltCurve_P49768_2_PSEN1.pdf")</f>
        <v>Melting_Curves/meltCurve_P49768_2_PSEN1.pdf</v>
      </c>
    </row>
    <row r="2676" spans="1:28" x14ac:dyDescent="0.25">
      <c r="A2676" t="s">
        <v>2680</v>
      </c>
      <c r="B2676">
        <v>0.99193492352474899</v>
      </c>
      <c r="C2676">
        <v>1.05395792758333</v>
      </c>
      <c r="D2676">
        <v>0.93867979266143298</v>
      </c>
      <c r="E2676">
        <v>0.82568587165847895</v>
      </c>
      <c r="F2676">
        <v>0.490659749402857</v>
      </c>
      <c r="G2676">
        <v>0.23226282974839901</v>
      </c>
      <c r="H2676">
        <v>0.123048004545687</v>
      </c>
      <c r="I2676">
        <v>0.146604115966952</v>
      </c>
      <c r="J2676">
        <v>0.17159405176626899</v>
      </c>
      <c r="K2676">
        <v>0.12435574166423601</v>
      </c>
      <c r="L2676">
        <v>1314.84736276999</v>
      </c>
      <c r="M2676">
        <v>25.115052011141898</v>
      </c>
      <c r="N2676">
        <v>52.997836048334499</v>
      </c>
      <c r="O2676">
        <v>52.024433136401697</v>
      </c>
      <c r="P2676">
        <v>-0.104800392681949</v>
      </c>
      <c r="Q2676">
        <v>0.131658741024123</v>
      </c>
      <c r="R2676">
        <v>0.99487188636655899</v>
      </c>
      <c r="S2676" t="s">
        <v>9346</v>
      </c>
      <c r="T2676" t="s">
        <v>13338</v>
      </c>
      <c r="U2676" t="s">
        <v>13338</v>
      </c>
      <c r="V2676" t="s">
        <v>13338</v>
      </c>
      <c r="W2676" t="s">
        <v>15972</v>
      </c>
      <c r="X2676">
        <v>10</v>
      </c>
      <c r="Y2676" t="s">
        <v>22530</v>
      </c>
      <c r="Z2676" t="s">
        <v>29091</v>
      </c>
      <c r="AA2676">
        <v>0.49709556637901142</v>
      </c>
      <c r="AB2676" t="str">
        <f>HYPERLINK("Melting_Curves/meltCurve_P49770_EIF2B2.pdf", "Melting_Curves/meltCurve_P49770_EIF2B2.pdf")</f>
        <v>Melting_Curves/meltCurve_P49770_EIF2B2.pdf</v>
      </c>
    </row>
    <row r="2677" spans="1:28" x14ac:dyDescent="0.25">
      <c r="A2677" t="s">
        <v>2681</v>
      </c>
      <c r="B2677">
        <v>0.99193492352474899</v>
      </c>
      <c r="C2677">
        <v>1.07745047392684</v>
      </c>
      <c r="D2677">
        <v>0.72806184488789105</v>
      </c>
      <c r="E2677">
        <v>0.80527653321341197</v>
      </c>
      <c r="F2677">
        <v>0.52574111937424195</v>
      </c>
      <c r="G2677">
        <v>0.40266847491232199</v>
      </c>
      <c r="H2677">
        <v>0.228007544143871</v>
      </c>
      <c r="I2677">
        <v>0.144560611652709</v>
      </c>
      <c r="J2677">
        <v>0.14486358679571301</v>
      </c>
      <c r="K2677">
        <v>0.208858657936493</v>
      </c>
      <c r="L2677">
        <v>678.55895513647999</v>
      </c>
      <c r="M2677">
        <v>12.823046619025501</v>
      </c>
      <c r="N2677">
        <v>53.945393629528603</v>
      </c>
      <c r="O2677">
        <v>51.679727121318699</v>
      </c>
      <c r="P2677">
        <v>-5.5316146052562201E-2</v>
      </c>
      <c r="Q2677">
        <v>0.108420700285376</v>
      </c>
      <c r="R2677">
        <v>0.95302542624813402</v>
      </c>
      <c r="S2677" t="s">
        <v>9347</v>
      </c>
      <c r="T2677" t="s">
        <v>13338</v>
      </c>
      <c r="U2677" t="s">
        <v>13338</v>
      </c>
      <c r="V2677" t="s">
        <v>13338</v>
      </c>
      <c r="W2677" t="s">
        <v>15973</v>
      </c>
      <c r="X2677">
        <v>12</v>
      </c>
      <c r="Y2677" t="s">
        <v>22531</v>
      </c>
      <c r="Z2677" t="s">
        <v>29092</v>
      </c>
      <c r="AA2677">
        <v>0.51594617299765533</v>
      </c>
      <c r="AB2677" t="str">
        <f>HYPERLINK("Melting_Curves/meltCurve_P49773_HINT1.pdf", "Melting_Curves/meltCurve_P49773_HINT1.pdf")</f>
        <v>Melting_Curves/meltCurve_P49773_HINT1.pdf</v>
      </c>
    </row>
    <row r="2678" spans="1:28" x14ac:dyDescent="0.25">
      <c r="A2678" t="s">
        <v>2682</v>
      </c>
      <c r="B2678">
        <v>0.99193492352474899</v>
      </c>
      <c r="C2678">
        <v>0.70323410329104696</v>
      </c>
      <c r="D2678">
        <v>0.87166786290577003</v>
      </c>
      <c r="E2678">
        <v>0.67052373685328703</v>
      </c>
      <c r="F2678">
        <v>0.61755422452013797</v>
      </c>
      <c r="G2678">
        <v>0.29956633706880798</v>
      </c>
      <c r="H2678">
        <v>0.35928859083977899</v>
      </c>
      <c r="I2678">
        <v>0.36235311743083698</v>
      </c>
      <c r="J2678">
        <v>0.48563379038654703</v>
      </c>
      <c r="K2678">
        <v>0.38846155044939001</v>
      </c>
      <c r="L2678">
        <v>532.97260797454499</v>
      </c>
      <c r="M2678">
        <v>10.9435900954209</v>
      </c>
      <c r="N2678">
        <v>54.568545507400401</v>
      </c>
      <c r="O2678">
        <v>47.160276838841398</v>
      </c>
      <c r="P2678">
        <v>-3.79631708854474E-2</v>
      </c>
      <c r="Q2678">
        <v>0.34583124579206298</v>
      </c>
      <c r="R2678">
        <v>0.81557331341641903</v>
      </c>
      <c r="S2678" t="s">
        <v>9348</v>
      </c>
      <c r="T2678" t="s">
        <v>13338</v>
      </c>
      <c r="U2678" t="s">
        <v>13338</v>
      </c>
      <c r="V2678" t="s">
        <v>13338</v>
      </c>
      <c r="W2678" t="s">
        <v>15974</v>
      </c>
      <c r="X2678">
        <v>2</v>
      </c>
      <c r="Y2678" t="s">
        <v>22532</v>
      </c>
      <c r="Z2678" t="s">
        <v>29093</v>
      </c>
      <c r="AA2678">
        <v>0.56408409964899653</v>
      </c>
      <c r="AB2678" t="str">
        <f>HYPERLINK("Melting_Curves/meltCurve_P49789_FHIT.pdf", "Melting_Curves/meltCurve_P49789_FHIT.pdf")</f>
        <v>Melting_Curves/meltCurve_P49789_FHIT.pdf</v>
      </c>
    </row>
    <row r="2679" spans="1:28" x14ac:dyDescent="0.25">
      <c r="A2679" t="s">
        <v>2683</v>
      </c>
      <c r="B2679">
        <v>0.99193492352474899</v>
      </c>
      <c r="C2679">
        <v>0.59101246774337202</v>
      </c>
      <c r="D2679">
        <v>0.71774633434814805</v>
      </c>
      <c r="E2679">
        <v>0.35231095318334599</v>
      </c>
      <c r="F2679">
        <v>0.26109279630216498</v>
      </c>
      <c r="G2679">
        <v>0.14833686843111499</v>
      </c>
      <c r="H2679">
        <v>0.20755609384329601</v>
      </c>
      <c r="I2679">
        <v>0.42751541077986999</v>
      </c>
      <c r="J2679">
        <v>0.61224422566894898</v>
      </c>
      <c r="K2679">
        <v>0.97348166423153804</v>
      </c>
      <c r="L2679">
        <v>1050.5166929243101</v>
      </c>
      <c r="M2679">
        <v>24.5647262589588</v>
      </c>
      <c r="N2679">
        <v>46.797802222016202</v>
      </c>
      <c r="O2679">
        <v>42.4848643458851</v>
      </c>
      <c r="P2679">
        <v>-8.0979762624325796E-2</v>
      </c>
      <c r="Q2679">
        <v>0.43978787953142001</v>
      </c>
      <c r="R2679">
        <v>0.32086136713314001</v>
      </c>
      <c r="S2679" t="s">
        <v>9349</v>
      </c>
      <c r="T2679" t="s">
        <v>13338</v>
      </c>
      <c r="U2679" t="s">
        <v>13338</v>
      </c>
      <c r="V2679" t="s">
        <v>13338</v>
      </c>
      <c r="W2679" t="s">
        <v>15975</v>
      </c>
      <c r="X2679">
        <v>35</v>
      </c>
      <c r="Y2679" t="s">
        <v>22533</v>
      </c>
      <c r="Z2679" t="s">
        <v>29094</v>
      </c>
      <c r="AA2679">
        <v>0.50031651159819679</v>
      </c>
      <c r="AB2679" t="str">
        <f>HYPERLINK("Melting_Curves/meltCurve_P49790_NUP153.pdf", "Melting_Curves/meltCurve_P49790_NUP153.pdf")</f>
        <v>Melting_Curves/meltCurve_P49790_NUP153.pdf</v>
      </c>
    </row>
    <row r="2680" spans="1:28" x14ac:dyDescent="0.25">
      <c r="A2680" t="s">
        <v>2684</v>
      </c>
      <c r="B2680">
        <v>0.99193492352474899</v>
      </c>
      <c r="C2680">
        <v>1.00494212727152</v>
      </c>
      <c r="D2680">
        <v>0.54419856369790798</v>
      </c>
      <c r="E2680">
        <v>0.43792073965212402</v>
      </c>
      <c r="F2680">
        <v>0.174867815580137</v>
      </c>
      <c r="G2680">
        <v>0.115014745793307</v>
      </c>
      <c r="H2680">
        <v>6.1109960153774602E-2</v>
      </c>
      <c r="I2680">
        <v>7.0150552231432003E-2</v>
      </c>
      <c r="J2680">
        <v>8.6201112962521698E-2</v>
      </c>
      <c r="K2680">
        <v>7.6372328288671201E-2</v>
      </c>
      <c r="L2680">
        <v>878.15189780889</v>
      </c>
      <c r="M2680">
        <v>18.495980946703401</v>
      </c>
      <c r="N2680">
        <v>47.872492396366503</v>
      </c>
      <c r="O2680">
        <v>46.9334121198997</v>
      </c>
      <c r="P2680">
        <v>-9.1562226841459801E-2</v>
      </c>
      <c r="Q2680">
        <v>7.0686961178212201E-2</v>
      </c>
      <c r="R2680">
        <v>0.97104279185226805</v>
      </c>
      <c r="S2680" t="s">
        <v>9350</v>
      </c>
      <c r="T2680" t="s">
        <v>13338</v>
      </c>
      <c r="U2680" t="s">
        <v>13338</v>
      </c>
      <c r="V2680" t="s">
        <v>13338</v>
      </c>
      <c r="W2680" t="s">
        <v>15976</v>
      </c>
      <c r="X2680">
        <v>14</v>
      </c>
      <c r="Y2680" t="s">
        <v>22534</v>
      </c>
      <c r="Z2680" t="s">
        <v>29095</v>
      </c>
      <c r="AA2680">
        <v>0.31817262399585311</v>
      </c>
      <c r="AB2680" t="str">
        <f>HYPERLINK("Melting_Curves/meltCurve_P49792_RANBP2.pdf", "Melting_Curves/meltCurve_P49792_RANBP2.pdf")</f>
        <v>Melting_Curves/meltCurve_P49792_RANBP2.pdf</v>
      </c>
    </row>
    <row r="2681" spans="1:28" x14ac:dyDescent="0.25">
      <c r="A2681" t="s">
        <v>2685</v>
      </c>
      <c r="B2681">
        <v>0.99193492352474899</v>
      </c>
      <c r="C2681">
        <v>0.93487389481012995</v>
      </c>
      <c r="D2681">
        <v>0.86422068389968398</v>
      </c>
      <c r="E2681">
        <v>0.61219436612866096</v>
      </c>
      <c r="F2681">
        <v>0.35049294826214</v>
      </c>
      <c r="G2681">
        <v>0.11251300666509199</v>
      </c>
      <c r="H2681">
        <v>4.5965924986334498E-2</v>
      </c>
      <c r="I2681">
        <v>5.3757330473500897E-2</v>
      </c>
      <c r="J2681">
        <v>5.39326793438391E-2</v>
      </c>
      <c r="K2681">
        <v>6.4051083757580105E-2</v>
      </c>
      <c r="L2681">
        <v>924.83073636737299</v>
      </c>
      <c r="M2681">
        <v>18.2432319806062</v>
      </c>
      <c r="N2681">
        <v>50.871131872753899</v>
      </c>
      <c r="O2681">
        <v>50.097106562134499</v>
      </c>
      <c r="P2681">
        <v>-8.8248882332324502E-2</v>
      </c>
      <c r="Q2681">
        <v>3.0696581456080799E-2</v>
      </c>
      <c r="R2681">
        <v>0.99646771407310697</v>
      </c>
      <c r="S2681" t="s">
        <v>9351</v>
      </c>
      <c r="T2681" t="s">
        <v>13338</v>
      </c>
      <c r="U2681" t="s">
        <v>13338</v>
      </c>
      <c r="V2681" t="s">
        <v>13338</v>
      </c>
      <c r="W2681" t="s">
        <v>15977</v>
      </c>
      <c r="X2681">
        <v>10</v>
      </c>
      <c r="Y2681" t="s">
        <v>22535</v>
      </c>
      <c r="Z2681" t="s">
        <v>29096</v>
      </c>
      <c r="AA2681">
        <v>0.39222682179413138</v>
      </c>
      <c r="AB2681" t="str">
        <f>HYPERLINK("Melting_Curves/meltCurve_P49840_GSK3A.pdf", "Melting_Curves/meltCurve_P49840_GSK3A.pdf")</f>
        <v>Melting_Curves/meltCurve_P49840_GSK3A.pdf</v>
      </c>
    </row>
    <row r="2682" spans="1:28" x14ac:dyDescent="0.25">
      <c r="A2682" t="s">
        <v>2686</v>
      </c>
      <c r="B2682">
        <v>0.99193492352474899</v>
      </c>
      <c r="C2682">
        <v>0.89307880635625803</v>
      </c>
      <c r="D2682">
        <v>0.93653822987637103</v>
      </c>
      <c r="E2682">
        <v>0.78356060187848897</v>
      </c>
      <c r="F2682">
        <v>0.60011157667092796</v>
      </c>
      <c r="G2682">
        <v>0.28786883774334299</v>
      </c>
      <c r="H2682">
        <v>7.0418523296345695E-2</v>
      </c>
      <c r="I2682">
        <v>7.3486540372702497E-2</v>
      </c>
      <c r="J2682">
        <v>7.5208796769564795E-2</v>
      </c>
      <c r="K2682">
        <v>7.4512870810429399E-2</v>
      </c>
      <c r="L2682">
        <v>940.46193293699196</v>
      </c>
      <c r="M2682">
        <v>17.535009142872099</v>
      </c>
      <c r="N2682">
        <v>53.801595893690802</v>
      </c>
      <c r="O2682">
        <v>52.950423777902202</v>
      </c>
      <c r="P2682">
        <v>-8.0585927599451906E-2</v>
      </c>
      <c r="Q2682">
        <v>2.6672738155941698E-2</v>
      </c>
      <c r="R2682">
        <v>0.98718282175368199</v>
      </c>
      <c r="S2682" t="s">
        <v>9352</v>
      </c>
      <c r="T2682" t="s">
        <v>13338</v>
      </c>
      <c r="U2682" t="s">
        <v>13338</v>
      </c>
      <c r="V2682" t="s">
        <v>13338</v>
      </c>
      <c r="W2682" t="s">
        <v>15978</v>
      </c>
      <c r="X2682">
        <v>13</v>
      </c>
      <c r="Y2682" t="s">
        <v>22536</v>
      </c>
      <c r="Z2682" t="s">
        <v>29097</v>
      </c>
      <c r="AA2682">
        <v>0.48535442514398619</v>
      </c>
      <c r="AB2682" t="str">
        <f>HYPERLINK("Melting_Curves/meltCurve_P49841_GSK3B.pdf", "Melting_Curves/meltCurve_P49841_GSK3B.pdf")</f>
        <v>Melting_Curves/meltCurve_P49841_GSK3B.pdf</v>
      </c>
    </row>
    <row r="2683" spans="1:28" x14ac:dyDescent="0.25">
      <c r="A2683" t="s">
        <v>2687</v>
      </c>
      <c r="B2683">
        <v>0.99193492352474899</v>
      </c>
      <c r="C2683">
        <v>0.84628814943869601</v>
      </c>
      <c r="D2683">
        <v>0.90367821398537596</v>
      </c>
      <c r="E2683">
        <v>0.75012532746440497</v>
      </c>
      <c r="F2683">
        <v>0.75420192257127905</v>
      </c>
      <c r="G2683">
        <v>0.54268401061239802</v>
      </c>
      <c r="H2683">
        <v>0.231588772128313</v>
      </c>
      <c r="I2683">
        <v>0.13964109410901299</v>
      </c>
      <c r="J2683">
        <v>0.148247906837982</v>
      </c>
      <c r="K2683">
        <v>0.17183015964163101</v>
      </c>
      <c r="L2683">
        <v>612.20012988537303</v>
      </c>
      <c r="M2683">
        <v>10.863909918907799</v>
      </c>
      <c r="N2683">
        <v>56.351733809990598</v>
      </c>
      <c r="O2683">
        <v>54.543231634413303</v>
      </c>
      <c r="P2683">
        <v>-4.98125912491761E-2</v>
      </c>
      <c r="Q2683">
        <v>0</v>
      </c>
      <c r="R2683">
        <v>0.95383223059694899</v>
      </c>
      <c r="S2683" t="s">
        <v>9353</v>
      </c>
      <c r="T2683" t="s">
        <v>13338</v>
      </c>
      <c r="U2683" t="s">
        <v>13338</v>
      </c>
      <c r="V2683" t="s">
        <v>13338</v>
      </c>
      <c r="W2683" t="s">
        <v>15979</v>
      </c>
      <c r="X2683">
        <v>14</v>
      </c>
      <c r="Y2683" t="s">
        <v>22537</v>
      </c>
      <c r="Z2683" t="s">
        <v>29098</v>
      </c>
      <c r="AA2683">
        <v>0.56451404271989436</v>
      </c>
      <c r="AB2683" t="str">
        <f>HYPERLINK("Melting_Curves/meltCurve_P49902_NT5C2.pdf", "Melting_Curves/meltCurve_P49902_NT5C2.pdf")</f>
        <v>Melting_Curves/meltCurve_P49902_NT5C2.pdf</v>
      </c>
    </row>
    <row r="2684" spans="1:28" x14ac:dyDescent="0.25">
      <c r="A2684" t="s">
        <v>2688</v>
      </c>
      <c r="B2684">
        <v>0.99193492352474899</v>
      </c>
      <c r="C2684">
        <v>1.00322608093058</v>
      </c>
      <c r="D2684">
        <v>0.90234821461874604</v>
      </c>
      <c r="E2684">
        <v>0.84201481460504202</v>
      </c>
      <c r="F2684">
        <v>0.70137510536999204</v>
      </c>
      <c r="G2684">
        <v>0.58970429040015604</v>
      </c>
      <c r="H2684">
        <v>0.43094243471167498</v>
      </c>
      <c r="I2684">
        <v>0.55238579590739001</v>
      </c>
      <c r="J2684">
        <v>0.54805816440264399</v>
      </c>
      <c r="K2684">
        <v>0.643738715740927</v>
      </c>
      <c r="L2684">
        <v>1030.21276096833</v>
      </c>
      <c r="M2684">
        <v>20.252334996395401</v>
      </c>
      <c r="O2684">
        <v>50.380666403223202</v>
      </c>
      <c r="P2684">
        <v>-4.6038325137433798E-2</v>
      </c>
      <c r="Q2684">
        <v>0.54190576323767004</v>
      </c>
      <c r="R2684">
        <v>0.91896345206488605</v>
      </c>
      <c r="S2684" t="s">
        <v>9354</v>
      </c>
      <c r="T2684" t="s">
        <v>13338</v>
      </c>
      <c r="U2684" t="s">
        <v>13338</v>
      </c>
      <c r="V2684" t="s">
        <v>13338</v>
      </c>
      <c r="W2684" t="s">
        <v>15980</v>
      </c>
      <c r="X2684">
        <v>16</v>
      </c>
      <c r="Y2684" t="s">
        <v>22538</v>
      </c>
      <c r="Z2684" t="s">
        <v>29099</v>
      </c>
      <c r="AA2684">
        <v>0.71408332741253877</v>
      </c>
      <c r="AB2684" t="str">
        <f>HYPERLINK("Melting_Curves/meltCurve_P49903_SEPHS1.pdf", "Melting_Curves/meltCurve_P49903_SEPHS1.pdf")</f>
        <v>Melting_Curves/meltCurve_P49903_SEPHS1.pdf</v>
      </c>
    </row>
    <row r="2685" spans="1:28" x14ac:dyDescent="0.25">
      <c r="A2685" t="s">
        <v>2689</v>
      </c>
      <c r="B2685">
        <v>0.99193492352474899</v>
      </c>
      <c r="C2685">
        <v>0.93601903445358603</v>
      </c>
      <c r="D2685">
        <v>0.95711840791303404</v>
      </c>
      <c r="E2685">
        <v>0.80313506129599799</v>
      </c>
      <c r="F2685">
        <v>0.31550811805769002</v>
      </c>
      <c r="G2685">
        <v>0.12941757996252501</v>
      </c>
      <c r="H2685">
        <v>9.3370778007221503E-2</v>
      </c>
      <c r="I2685">
        <v>0.11443841898759</v>
      </c>
      <c r="J2685">
        <v>0.13702412789049301</v>
      </c>
      <c r="K2685">
        <v>0.172231277496083</v>
      </c>
      <c r="L2685">
        <v>1851.8560805781301</v>
      </c>
      <c r="M2685">
        <v>36.114556960034797</v>
      </c>
      <c r="N2685">
        <v>51.6862594310793</v>
      </c>
      <c r="O2685">
        <v>51.120813680532898</v>
      </c>
      <c r="P2685">
        <v>-0.15466385261148499</v>
      </c>
      <c r="Q2685">
        <v>0.12428471466216801</v>
      </c>
      <c r="R2685">
        <v>0.99372702066829199</v>
      </c>
      <c r="S2685" t="s">
        <v>9355</v>
      </c>
      <c r="T2685" t="s">
        <v>13338</v>
      </c>
      <c r="U2685" t="s">
        <v>13338</v>
      </c>
      <c r="V2685" t="s">
        <v>13338</v>
      </c>
      <c r="W2685" t="s">
        <v>15981</v>
      </c>
      <c r="X2685">
        <v>8</v>
      </c>
      <c r="Y2685" t="s">
        <v>22539</v>
      </c>
      <c r="Z2685" t="s">
        <v>29100</v>
      </c>
      <c r="AA2685">
        <v>0.45728624460803008</v>
      </c>
      <c r="AB2685" t="str">
        <f>HYPERLINK("Melting_Curves/meltCurve_P49914_MTHFS.pdf", "Melting_Curves/meltCurve_P49914_MTHFS.pdf")</f>
        <v>Melting_Curves/meltCurve_P49914_MTHFS.pdf</v>
      </c>
    </row>
    <row r="2686" spans="1:28" x14ac:dyDescent="0.25">
      <c r="A2686" t="s">
        <v>2690</v>
      </c>
      <c r="B2686">
        <v>0.99193492352474899</v>
      </c>
      <c r="C2686">
        <v>0.92730531726523402</v>
      </c>
      <c r="D2686">
        <v>0.84197141103829498</v>
      </c>
      <c r="E2686">
        <v>0.62025970542046605</v>
      </c>
      <c r="F2686">
        <v>0.20981949311773701</v>
      </c>
      <c r="G2686">
        <v>9.4953300867625295E-2</v>
      </c>
      <c r="H2686">
        <v>5.8383503933894701E-2</v>
      </c>
      <c r="I2686">
        <v>6.63705457206199E-2</v>
      </c>
      <c r="J2686">
        <v>6.7237056848189702E-2</v>
      </c>
      <c r="K2686">
        <v>6.7222298455165294E-2</v>
      </c>
      <c r="L2686">
        <v>1123.65933044947</v>
      </c>
      <c r="M2686">
        <v>22.468510153899199</v>
      </c>
      <c r="N2686">
        <v>50.249505989892299</v>
      </c>
      <c r="O2686">
        <v>49.619308795298601</v>
      </c>
      <c r="P2686">
        <v>-0.10746755157411</v>
      </c>
      <c r="Q2686">
        <v>5.0696982216843101E-2</v>
      </c>
      <c r="R2686">
        <v>0.99379973647282904</v>
      </c>
      <c r="S2686" t="s">
        <v>9356</v>
      </c>
      <c r="T2686" t="s">
        <v>13338</v>
      </c>
      <c r="U2686" t="s">
        <v>13338</v>
      </c>
      <c r="V2686" t="s">
        <v>13338</v>
      </c>
      <c r="W2686" t="s">
        <v>15982</v>
      </c>
      <c r="X2686">
        <v>39</v>
      </c>
      <c r="Y2686" t="s">
        <v>22540</v>
      </c>
      <c r="Z2686" t="s">
        <v>29101</v>
      </c>
      <c r="AA2686">
        <v>0.37796681892723583</v>
      </c>
      <c r="AB2686" t="str">
        <f>HYPERLINK("Melting_Curves/meltCurve_P49915_GMPS.pdf", "Melting_Curves/meltCurve_P49915_GMPS.pdf")</f>
        <v>Melting_Curves/meltCurve_P49915_GMPS.pdf</v>
      </c>
    </row>
    <row r="2687" spans="1:28" x14ac:dyDescent="0.25">
      <c r="A2687" t="s">
        <v>2691</v>
      </c>
      <c r="B2687">
        <v>0.99193492352474899</v>
      </c>
      <c r="C2687">
        <v>0.59340632385677605</v>
      </c>
      <c r="D2687">
        <v>0.56501154032685297</v>
      </c>
      <c r="E2687">
        <v>0.15668314859712301</v>
      </c>
      <c r="F2687">
        <v>0.124407367503095</v>
      </c>
      <c r="G2687">
        <v>6.9977255855723897E-2</v>
      </c>
      <c r="H2687">
        <v>5.0238820545907503E-2</v>
      </c>
      <c r="I2687">
        <v>5.7351942393622499E-2</v>
      </c>
      <c r="J2687">
        <v>6.29090570581817E-2</v>
      </c>
      <c r="K2687">
        <v>7.3461187761189706E-2</v>
      </c>
      <c r="L2687">
        <v>762.11553014572496</v>
      </c>
      <c r="M2687">
        <v>16.882667039138301</v>
      </c>
      <c r="N2687">
        <v>45.426447597232297</v>
      </c>
      <c r="O2687">
        <v>44.5228055563054</v>
      </c>
      <c r="P2687">
        <v>-9.0046852106287295E-2</v>
      </c>
      <c r="Q2687">
        <v>5.0177585336860203E-2</v>
      </c>
      <c r="R2687">
        <v>0.95587973632314505</v>
      </c>
      <c r="S2687" t="s">
        <v>9357</v>
      </c>
      <c r="T2687" t="s">
        <v>13338</v>
      </c>
      <c r="U2687" t="s">
        <v>13338</v>
      </c>
      <c r="V2687" t="s">
        <v>13338</v>
      </c>
      <c r="W2687" t="s">
        <v>15983</v>
      </c>
      <c r="X2687">
        <v>23</v>
      </c>
      <c r="Y2687" t="s">
        <v>22541</v>
      </c>
      <c r="Z2687" t="s">
        <v>29102</v>
      </c>
      <c r="AA2687">
        <v>0.23625321157084311</v>
      </c>
      <c r="AB2687" t="str">
        <f>HYPERLINK("Melting_Curves/meltCurve_P49916_LIG3.pdf", "Melting_Curves/meltCurve_P49916_LIG3.pdf")</f>
        <v>Melting_Curves/meltCurve_P49916_LIG3.pdf</v>
      </c>
    </row>
    <row r="2688" spans="1:28" x14ac:dyDescent="0.25">
      <c r="A2688" t="s">
        <v>2692</v>
      </c>
      <c r="B2688">
        <v>0.99193492352474899</v>
      </c>
      <c r="C2688">
        <v>0.79043166772726603</v>
      </c>
      <c r="D2688">
        <v>0.89632377859595402</v>
      </c>
      <c r="E2688">
        <v>0.21786840493565701</v>
      </c>
      <c r="F2688">
        <v>0.137522396063572</v>
      </c>
      <c r="G2688">
        <v>0.111580492011086</v>
      </c>
      <c r="H2688">
        <v>0.132195755465219</v>
      </c>
      <c r="I2688">
        <v>0.11026232167965699</v>
      </c>
      <c r="J2688">
        <v>0.17843905199579299</v>
      </c>
      <c r="K2688">
        <v>0.14874226560509299</v>
      </c>
      <c r="L2688">
        <v>2577.4410959608599</v>
      </c>
      <c r="M2688">
        <v>54.137425545689801</v>
      </c>
      <c r="N2688">
        <v>47.888110176888702</v>
      </c>
      <c r="O2688">
        <v>47.544400287593298</v>
      </c>
      <c r="P2688">
        <v>-0.246179042832359</v>
      </c>
      <c r="Q2688">
        <v>0.13520618753732599</v>
      </c>
      <c r="R2688">
        <v>0.96113679893229098</v>
      </c>
      <c r="S2688" t="s">
        <v>9358</v>
      </c>
      <c r="T2688" t="s">
        <v>13338</v>
      </c>
      <c r="U2688" t="s">
        <v>13338</v>
      </c>
      <c r="V2688" t="s">
        <v>13338</v>
      </c>
      <c r="W2688" t="s">
        <v>15984</v>
      </c>
      <c r="X2688">
        <v>1</v>
      </c>
      <c r="Y2688" t="s">
        <v>22542</v>
      </c>
      <c r="Z2688" t="s">
        <v>29103</v>
      </c>
      <c r="AA2688">
        <v>0.3561017681744752</v>
      </c>
      <c r="AB2688" t="str">
        <f>HYPERLINK("Melting_Curves/meltCurve_P49917_LIG4.pdf", "Melting_Curves/meltCurve_P49917_LIG4.pdf")</f>
        <v>Melting_Curves/meltCurve_P49917_LIG4.pdf</v>
      </c>
    </row>
    <row r="2689" spans="1:28" x14ac:dyDescent="0.25">
      <c r="A2689" t="s">
        <v>2693</v>
      </c>
      <c r="B2689">
        <v>0.99193492352474899</v>
      </c>
      <c r="C2689">
        <v>0.84218105371430196</v>
      </c>
      <c r="D2689">
        <v>0.854182172952622</v>
      </c>
      <c r="E2689">
        <v>0.62895313300850497</v>
      </c>
      <c r="F2689">
        <v>0.52146122952402296</v>
      </c>
      <c r="G2689">
        <v>0.31787410312022102</v>
      </c>
      <c r="H2689">
        <v>0.20057779379211299</v>
      </c>
      <c r="I2689">
        <v>0.145000788266613</v>
      </c>
      <c r="J2689">
        <v>0.14360462257383799</v>
      </c>
      <c r="K2689">
        <v>0.16278995414931499</v>
      </c>
      <c r="L2689">
        <v>569.95964261419601</v>
      </c>
      <c r="M2689">
        <v>10.9837494769749</v>
      </c>
      <c r="N2689">
        <v>52.6366465283133</v>
      </c>
      <c r="O2689">
        <v>50.260088519214698</v>
      </c>
      <c r="P2689">
        <v>-5.07163381727843E-2</v>
      </c>
      <c r="Q2689">
        <v>7.2031626972594104E-2</v>
      </c>
      <c r="R2689">
        <v>0.98629160024222995</v>
      </c>
      <c r="S2689" t="s">
        <v>9359</v>
      </c>
      <c r="T2689" t="s">
        <v>13338</v>
      </c>
      <c r="U2689" t="s">
        <v>13338</v>
      </c>
      <c r="V2689" t="s">
        <v>13338</v>
      </c>
      <c r="W2689" t="s">
        <v>15985</v>
      </c>
      <c r="X2689">
        <v>24</v>
      </c>
      <c r="Y2689" t="s">
        <v>22543</v>
      </c>
      <c r="Z2689" t="s">
        <v>29104</v>
      </c>
      <c r="AA2689">
        <v>0.47180861271591401</v>
      </c>
      <c r="AB2689" t="str">
        <f>HYPERLINK("Melting_Curves/meltCurve_P49959_MRE11A.pdf", "Melting_Curves/meltCurve_P49959_MRE11A.pdf")</f>
        <v>Melting_Curves/meltCurve_P49959_MRE11A.pdf</v>
      </c>
    </row>
    <row r="2690" spans="1:28" x14ac:dyDescent="0.25">
      <c r="A2690" t="s">
        <v>2694</v>
      </c>
      <c r="B2690">
        <v>0.99193492352474899</v>
      </c>
      <c r="C2690">
        <v>0.90806965560796604</v>
      </c>
      <c r="D2690">
        <v>0.924015992092871</v>
      </c>
      <c r="E2690">
        <v>0.98731359529572404</v>
      </c>
      <c r="F2690">
        <v>0.93252737538929498</v>
      </c>
      <c r="G2690">
        <v>0.77728018666619503</v>
      </c>
      <c r="H2690">
        <v>0.50249037201697699</v>
      </c>
      <c r="I2690">
        <v>0.64030358007029697</v>
      </c>
      <c r="J2690">
        <v>0.46095383386612199</v>
      </c>
      <c r="K2690">
        <v>0.18266795844714201</v>
      </c>
      <c r="L2690">
        <v>656.59697409231399</v>
      </c>
      <c r="M2690">
        <v>10.2467151814167</v>
      </c>
      <c r="N2690">
        <v>64.078755168543395</v>
      </c>
      <c r="O2690">
        <v>61.782048570243198</v>
      </c>
      <c r="P2690">
        <v>-4.1481524123962298E-2</v>
      </c>
      <c r="Q2690">
        <v>0</v>
      </c>
      <c r="R2690">
        <v>0.89906751703268095</v>
      </c>
      <c r="S2690" t="s">
        <v>9360</v>
      </c>
      <c r="T2690" t="s">
        <v>13338</v>
      </c>
      <c r="U2690" t="s">
        <v>13338</v>
      </c>
      <c r="V2690" t="s">
        <v>13338</v>
      </c>
      <c r="W2690" t="s">
        <v>15986</v>
      </c>
      <c r="X2690">
        <v>4</v>
      </c>
      <c r="Y2690" t="s">
        <v>22544</v>
      </c>
      <c r="Z2690" t="s">
        <v>29105</v>
      </c>
      <c r="AA2690">
        <v>0.76134905194466673</v>
      </c>
      <c r="AB2690" t="str">
        <f>HYPERLINK("Melting_Curves/meltCurve_P50053_KHK.pdf", "Melting_Curves/meltCurve_P50053_KHK.pdf")</f>
        <v>Melting_Curves/meltCurve_P50053_KHK.pdf</v>
      </c>
    </row>
    <row r="2691" spans="1:28" x14ac:dyDescent="0.25">
      <c r="A2691" t="s">
        <v>2695</v>
      </c>
      <c r="B2691">
        <v>0.99193492352474899</v>
      </c>
      <c r="C2691">
        <v>0.98087105664206498</v>
      </c>
      <c r="D2691">
        <v>0.89590089156487396</v>
      </c>
      <c r="E2691">
        <v>0.850195917424442</v>
      </c>
      <c r="F2691">
        <v>0.52686029254796496</v>
      </c>
      <c r="G2691">
        <v>0.26960094923167999</v>
      </c>
      <c r="H2691">
        <v>5.3576995693596502E-2</v>
      </c>
      <c r="I2691">
        <v>6.5607426079581893E-2</v>
      </c>
      <c r="J2691">
        <v>6.3765142130015898E-2</v>
      </c>
      <c r="K2691">
        <v>6.0374132843223002E-2</v>
      </c>
      <c r="L2691">
        <v>1084.6841059752201</v>
      </c>
      <c r="M2691">
        <v>20.336949295621501</v>
      </c>
      <c r="N2691">
        <v>53.518949673452603</v>
      </c>
      <c r="O2691">
        <v>52.827978346802297</v>
      </c>
      <c r="P2691">
        <v>-9.3006337383425106E-2</v>
      </c>
      <c r="Q2691">
        <v>3.3643414632585897E-2</v>
      </c>
      <c r="R2691">
        <v>0.99419373579590797</v>
      </c>
      <c r="S2691" t="s">
        <v>9361</v>
      </c>
      <c r="T2691" t="s">
        <v>13338</v>
      </c>
      <c r="U2691" t="s">
        <v>13338</v>
      </c>
      <c r="V2691" t="s">
        <v>13338</v>
      </c>
      <c r="W2691" t="s">
        <v>15987</v>
      </c>
      <c r="X2691">
        <v>18</v>
      </c>
      <c r="Y2691" t="s">
        <v>22545</v>
      </c>
      <c r="Z2691" t="s">
        <v>29106</v>
      </c>
      <c r="AA2691">
        <v>0.47609027510849328</v>
      </c>
      <c r="AB2691" t="str">
        <f>HYPERLINK("Melting_Curves/meltCurve_P50148_GNAQ.pdf", "Melting_Curves/meltCurve_P50148_GNAQ.pdf")</f>
        <v>Melting_Curves/meltCurve_P50148_GNAQ.pdf</v>
      </c>
    </row>
    <row r="2692" spans="1:28" x14ac:dyDescent="0.25">
      <c r="A2692" t="s">
        <v>2696</v>
      </c>
      <c r="B2692">
        <v>0.99193492352474899</v>
      </c>
      <c r="C2692">
        <v>0.79090049972985199</v>
      </c>
      <c r="D2692">
        <v>0.75488777950802299</v>
      </c>
      <c r="E2692">
        <v>0.50701380783114203</v>
      </c>
      <c r="F2692">
        <v>0.52301064524000396</v>
      </c>
      <c r="G2692">
        <v>0.295428728128527</v>
      </c>
      <c r="H2692">
        <v>0.203508773151968</v>
      </c>
      <c r="I2692">
        <v>0.218563794238397</v>
      </c>
      <c r="J2692">
        <v>0.31042304481231298</v>
      </c>
      <c r="K2692">
        <v>0.30667273184170801</v>
      </c>
      <c r="L2692">
        <v>588.04840797926397</v>
      </c>
      <c r="M2692">
        <v>12.2196081992891</v>
      </c>
      <c r="N2692">
        <v>50.7535774597809</v>
      </c>
      <c r="O2692">
        <v>46.8889390904911</v>
      </c>
      <c r="P2692">
        <v>-4.9880266657567202E-2</v>
      </c>
      <c r="Q2692">
        <v>0.234571877082552</v>
      </c>
      <c r="R2692">
        <v>0.94198161721646101</v>
      </c>
      <c r="S2692" t="s">
        <v>9362</v>
      </c>
      <c r="T2692" t="s">
        <v>13338</v>
      </c>
      <c r="U2692" t="s">
        <v>13338</v>
      </c>
      <c r="V2692" t="s">
        <v>13338</v>
      </c>
      <c r="W2692" t="s">
        <v>15988</v>
      </c>
      <c r="X2692">
        <v>2</v>
      </c>
      <c r="Y2692" t="s">
        <v>22546</v>
      </c>
      <c r="Z2692" t="s">
        <v>29107</v>
      </c>
      <c r="AA2692">
        <v>0.47060806066436012</v>
      </c>
      <c r="AB2692" t="str">
        <f>HYPERLINK("Melting_Curves/meltCurve_P50150_GNG4.pdf", "Melting_Curves/meltCurve_P50150_GNG4.pdf")</f>
        <v>Melting_Curves/meltCurve_P50150_GNG4.pdf</v>
      </c>
    </row>
    <row r="2693" spans="1:28" x14ac:dyDescent="0.25">
      <c r="A2693" t="s">
        <v>2697</v>
      </c>
      <c r="B2693">
        <v>0.99193492352474899</v>
      </c>
      <c r="C2693">
        <v>0.96105227426238604</v>
      </c>
      <c r="D2693">
        <v>0.87022944617868503</v>
      </c>
      <c r="E2693">
        <v>0.680919734077849</v>
      </c>
      <c r="F2693">
        <v>0.45151583703745901</v>
      </c>
      <c r="G2693">
        <v>0.37254610060071802</v>
      </c>
      <c r="H2693">
        <v>0.20980103048247001</v>
      </c>
      <c r="I2693">
        <v>0.32408699303175298</v>
      </c>
      <c r="J2693">
        <v>0.43262424778396602</v>
      </c>
      <c r="K2693">
        <v>0.34797410440485799</v>
      </c>
      <c r="L2693">
        <v>1060.4676269250999</v>
      </c>
      <c r="M2693">
        <v>21.401312854719698</v>
      </c>
      <c r="N2693">
        <v>52.127513610644101</v>
      </c>
      <c r="O2693">
        <v>49.124954069342699</v>
      </c>
      <c r="P2693">
        <v>-7.3370334208428895E-2</v>
      </c>
      <c r="Q2693">
        <v>0.32635430240692398</v>
      </c>
      <c r="R2693">
        <v>0.96089073493982802</v>
      </c>
      <c r="S2693" t="s">
        <v>9363</v>
      </c>
      <c r="T2693" t="s">
        <v>13338</v>
      </c>
      <c r="U2693" t="s">
        <v>13338</v>
      </c>
      <c r="V2693" t="s">
        <v>13338</v>
      </c>
      <c r="W2693" t="s">
        <v>15989</v>
      </c>
      <c r="X2693">
        <v>2</v>
      </c>
      <c r="Y2693" t="s">
        <v>22547</v>
      </c>
      <c r="Z2693" t="s">
        <v>29108</v>
      </c>
      <c r="AA2693">
        <v>0.54904107242340372</v>
      </c>
      <c r="AB2693" t="str">
        <f>HYPERLINK("Melting_Curves/meltCurve_P50151_GNG10.pdf", "Melting_Curves/meltCurve_P50151_GNG10.pdf")</f>
        <v>Melting_Curves/meltCurve_P50151_GNG10.pdf</v>
      </c>
    </row>
    <row r="2694" spans="1:28" x14ac:dyDescent="0.25">
      <c r="A2694" t="s">
        <v>2698</v>
      </c>
      <c r="B2694">
        <v>0.99193492352474899</v>
      </c>
      <c r="C2694">
        <v>0.96459854305029102</v>
      </c>
      <c r="D2694">
        <v>0.839776778380533</v>
      </c>
      <c r="E2694">
        <v>0.83309845880404498</v>
      </c>
      <c r="F2694">
        <v>0.483734011904425</v>
      </c>
      <c r="G2694">
        <v>0.16215289125250701</v>
      </c>
      <c r="H2694">
        <v>8.8270706753986003E-2</v>
      </c>
      <c r="I2694">
        <v>8.9739074820225501E-2</v>
      </c>
      <c r="J2694">
        <v>0.102239975306206</v>
      </c>
      <c r="K2694">
        <v>0.11481636986994199</v>
      </c>
      <c r="L2694">
        <v>1233.18628037243</v>
      </c>
      <c r="M2694">
        <v>23.540855662397199</v>
      </c>
      <c r="N2694">
        <v>52.774391479298401</v>
      </c>
      <c r="O2694">
        <v>52.011312026147998</v>
      </c>
      <c r="P2694">
        <v>-0.104132210257756</v>
      </c>
      <c r="Q2694">
        <v>7.9734314156595806E-2</v>
      </c>
      <c r="R2694">
        <v>0.98436564562761697</v>
      </c>
      <c r="S2694" t="s">
        <v>9364</v>
      </c>
      <c r="T2694" t="s">
        <v>13338</v>
      </c>
      <c r="U2694" t="s">
        <v>13338</v>
      </c>
      <c r="V2694" t="s">
        <v>13338</v>
      </c>
      <c r="W2694" t="s">
        <v>15990</v>
      </c>
      <c r="X2694">
        <v>22</v>
      </c>
      <c r="Y2694" t="s">
        <v>22548</v>
      </c>
      <c r="Z2694" t="s">
        <v>29109</v>
      </c>
      <c r="AA2694">
        <v>0.46909597979611439</v>
      </c>
      <c r="AB2694" t="str">
        <f>HYPERLINK("Melting_Curves/meltCurve_P50213_IDH3A.pdf", "Melting_Curves/meltCurve_P50213_IDH3A.pdf")</f>
        <v>Melting_Curves/meltCurve_P50213_IDH3A.pdf</v>
      </c>
    </row>
    <row r="2695" spans="1:28" x14ac:dyDescent="0.25">
      <c r="A2695" t="s">
        <v>2699</v>
      </c>
      <c r="B2695">
        <v>0.99193492352474899</v>
      </c>
      <c r="C2695">
        <v>0.82237390698281199</v>
      </c>
      <c r="D2695">
        <v>0.813411091948542</v>
      </c>
      <c r="E2695">
        <v>0.69494944861970498</v>
      </c>
      <c r="F2695">
        <v>0.41531445840456699</v>
      </c>
      <c r="G2695">
        <v>0.29811702761652997</v>
      </c>
      <c r="H2695">
        <v>0.29849454353049998</v>
      </c>
      <c r="I2695">
        <v>0.42916115842567498</v>
      </c>
      <c r="J2695">
        <v>0.490341168594006</v>
      </c>
      <c r="K2695">
        <v>0.49057801572743598</v>
      </c>
      <c r="L2695">
        <v>866.79681170424601</v>
      </c>
      <c r="M2695">
        <v>18.146256543848899</v>
      </c>
      <c r="N2695">
        <v>52.1981937255063</v>
      </c>
      <c r="O2695">
        <v>47.198471788561697</v>
      </c>
      <c r="P2695">
        <v>-5.8360054446400203E-2</v>
      </c>
      <c r="Q2695">
        <v>0.392850137434062</v>
      </c>
      <c r="R2695">
        <v>0.86258112500834605</v>
      </c>
      <c r="S2695" t="s">
        <v>9365</v>
      </c>
      <c r="T2695" t="s">
        <v>13338</v>
      </c>
      <c r="U2695" t="s">
        <v>13338</v>
      </c>
      <c r="V2695" t="s">
        <v>13338</v>
      </c>
      <c r="W2695" t="s">
        <v>15991</v>
      </c>
      <c r="X2695">
        <v>4</v>
      </c>
      <c r="Y2695" t="s">
        <v>22549</v>
      </c>
      <c r="Z2695" t="s">
        <v>29110</v>
      </c>
      <c r="AA2695">
        <v>0.56071573455979629</v>
      </c>
      <c r="AB2695" t="str">
        <f>HYPERLINK("Melting_Curves/meltCurve_P50238_CRIP1.pdf", "Melting_Curves/meltCurve_P50238_CRIP1.pdf")</f>
        <v>Melting_Curves/meltCurve_P50238_CRIP1.pdf</v>
      </c>
    </row>
    <row r="2696" spans="1:28" x14ac:dyDescent="0.25">
      <c r="A2696" t="s">
        <v>2700</v>
      </c>
      <c r="B2696">
        <v>0.99193492352474899</v>
      </c>
      <c r="C2696">
        <v>0.36825403689208702</v>
      </c>
      <c r="D2696">
        <v>0.49217521465792902</v>
      </c>
      <c r="E2696">
        <v>0.218229783781176</v>
      </c>
      <c r="F2696">
        <v>0.122940843339944</v>
      </c>
      <c r="G2696">
        <v>5.2863762920214899E-2</v>
      </c>
      <c r="H2696">
        <v>2.37641849039005E-2</v>
      </c>
      <c r="I2696">
        <v>2.70624326393985E-2</v>
      </c>
      <c r="J2696">
        <v>1.6602807450187999E-2</v>
      </c>
      <c r="K2696">
        <v>3.7654232249211897E-2</v>
      </c>
      <c r="L2696">
        <v>603.73351434912604</v>
      </c>
      <c r="M2696">
        <v>13.6698089694031</v>
      </c>
      <c r="N2696">
        <v>44.300404562902202</v>
      </c>
      <c r="O2696">
        <v>43.252464048764502</v>
      </c>
      <c r="P2696">
        <v>-7.7411831830699801E-2</v>
      </c>
      <c r="Q2696">
        <v>2.0391227350175699E-2</v>
      </c>
      <c r="R2696">
        <v>0.88088544843919303</v>
      </c>
      <c r="S2696" t="s">
        <v>9366</v>
      </c>
      <c r="T2696" t="s">
        <v>13338</v>
      </c>
      <c r="U2696" t="s">
        <v>13338</v>
      </c>
      <c r="V2696" t="s">
        <v>13338</v>
      </c>
      <c r="W2696" t="s">
        <v>15992</v>
      </c>
      <c r="X2696">
        <v>2</v>
      </c>
      <c r="Y2696" t="s">
        <v>22550</v>
      </c>
      <c r="Z2696" t="s">
        <v>29111</v>
      </c>
      <c r="AA2696">
        <v>0.19826242106126071</v>
      </c>
      <c r="AB2696" t="str">
        <f>HYPERLINK("Melting_Curves/meltCurve_P50336_PPOX.pdf", "Melting_Curves/meltCurve_P50336_PPOX.pdf")</f>
        <v>Melting_Curves/meltCurve_P50336_PPOX.pdf</v>
      </c>
    </row>
    <row r="2697" spans="1:28" x14ac:dyDescent="0.25">
      <c r="A2697" t="s">
        <v>2701</v>
      </c>
      <c r="B2697">
        <v>0.99193492352474899</v>
      </c>
      <c r="C2697">
        <v>0.76905636408508604</v>
      </c>
      <c r="D2697">
        <v>0.96242490733055197</v>
      </c>
      <c r="E2697">
        <v>0.62238219977145903</v>
      </c>
      <c r="F2697">
        <v>0.34604020479676501</v>
      </c>
      <c r="G2697">
        <v>0.216977084867435</v>
      </c>
      <c r="H2697">
        <v>0.184499167573274</v>
      </c>
      <c r="I2697">
        <v>0.316687117541186</v>
      </c>
      <c r="J2697">
        <v>0.39236991772399699</v>
      </c>
      <c r="K2697">
        <v>0.75111841028491</v>
      </c>
      <c r="L2697">
        <v>2606.4941636660201</v>
      </c>
      <c r="M2697">
        <v>52.976121109690297</v>
      </c>
      <c r="N2697">
        <v>50.4590627659286</v>
      </c>
      <c r="O2697">
        <v>49.131343197334097</v>
      </c>
      <c r="P2697">
        <v>-0.17076923053588999</v>
      </c>
      <c r="Q2697">
        <v>0.366498276844274</v>
      </c>
      <c r="R2697">
        <v>0.68264094732478797</v>
      </c>
      <c r="S2697" t="s">
        <v>9367</v>
      </c>
      <c r="T2697" t="s">
        <v>13338</v>
      </c>
      <c r="U2697" t="s">
        <v>13338</v>
      </c>
      <c r="V2697" t="s">
        <v>13338</v>
      </c>
      <c r="W2697" t="s">
        <v>15993</v>
      </c>
      <c r="X2697">
        <v>6</v>
      </c>
      <c r="Y2697" t="s">
        <v>22551</v>
      </c>
      <c r="Z2697" t="s">
        <v>29112</v>
      </c>
      <c r="AA2697">
        <v>0.56202369430586951</v>
      </c>
      <c r="AB2697" t="str">
        <f>HYPERLINK("Melting_Curves/meltCurve_P50402_EMD.pdf", "Melting_Curves/meltCurve_P50402_EMD.pdf")</f>
        <v>Melting_Curves/meltCurve_P50402_EMD.pdf</v>
      </c>
    </row>
    <row r="2698" spans="1:28" x14ac:dyDescent="0.25">
      <c r="A2698" t="s">
        <v>2702</v>
      </c>
      <c r="B2698">
        <v>0.99193492352474899</v>
      </c>
      <c r="C2698">
        <v>0.97017533826796898</v>
      </c>
      <c r="D2698">
        <v>0.95468627908977</v>
      </c>
      <c r="E2698">
        <v>0.48725140163680702</v>
      </c>
      <c r="F2698">
        <v>0.22129048891391401</v>
      </c>
      <c r="G2698">
        <v>0.104234817939239</v>
      </c>
      <c r="H2698">
        <v>6.5481580379353005E-2</v>
      </c>
      <c r="I2698">
        <v>8.1641462809508097E-2</v>
      </c>
      <c r="J2698">
        <v>8.7814917658523506E-2</v>
      </c>
      <c r="K2698">
        <v>0.102504505754379</v>
      </c>
      <c r="L2698">
        <v>1524.4218021875599</v>
      </c>
      <c r="M2698">
        <v>30.868057557302699</v>
      </c>
      <c r="N2698">
        <v>49.703586759453003</v>
      </c>
      <c r="O2698">
        <v>49.179210842981398</v>
      </c>
      <c r="P2698">
        <v>-0.142835525630891</v>
      </c>
      <c r="Q2698">
        <v>8.9738954786470607E-2</v>
      </c>
      <c r="R2698">
        <v>0.99631301517280302</v>
      </c>
      <c r="S2698" t="s">
        <v>9368</v>
      </c>
      <c r="T2698" t="s">
        <v>13338</v>
      </c>
      <c r="U2698" t="s">
        <v>13338</v>
      </c>
      <c r="V2698" t="s">
        <v>13338</v>
      </c>
      <c r="W2698" t="s">
        <v>15994</v>
      </c>
      <c r="X2698">
        <v>16</v>
      </c>
      <c r="Y2698" t="s">
        <v>22552</v>
      </c>
      <c r="Z2698" t="s">
        <v>29113</v>
      </c>
      <c r="AA2698">
        <v>0.37976251386877641</v>
      </c>
      <c r="AB2698" t="str">
        <f>HYPERLINK("Melting_Curves/meltCurve_P50416_CPT1A.pdf", "Melting_Curves/meltCurve_P50416_CPT1A.pdf")</f>
        <v>Melting_Curves/meltCurve_P50416_CPT1A.pdf</v>
      </c>
    </row>
    <row r="2699" spans="1:28" x14ac:dyDescent="0.25">
      <c r="A2699" t="s">
        <v>2703</v>
      </c>
      <c r="B2699">
        <v>0.99193492352474899</v>
      </c>
      <c r="C2699">
        <v>0.89550438376181096</v>
      </c>
      <c r="D2699">
        <v>0.90604232663948803</v>
      </c>
      <c r="E2699">
        <v>0.72171831457934499</v>
      </c>
      <c r="F2699">
        <v>0.82039966130676101</v>
      </c>
      <c r="G2699">
        <v>0.37345270866372998</v>
      </c>
      <c r="H2699">
        <v>0.29844371614979798</v>
      </c>
      <c r="I2699">
        <v>0.243565596615687</v>
      </c>
      <c r="J2699">
        <v>0.191376080537422</v>
      </c>
      <c r="K2699">
        <v>0.16740759768692301</v>
      </c>
      <c r="L2699">
        <v>603.17195164805503</v>
      </c>
      <c r="M2699">
        <v>10.860688210576299</v>
      </c>
      <c r="N2699">
        <v>56.192647369715502</v>
      </c>
      <c r="O2699">
        <v>53.753798164876301</v>
      </c>
      <c r="P2699">
        <v>-4.7522913086144702E-2</v>
      </c>
      <c r="Q2699">
        <v>5.94952570120603E-2</v>
      </c>
      <c r="R2699">
        <v>0.94623914030810896</v>
      </c>
      <c r="S2699" t="s">
        <v>9369</v>
      </c>
      <c r="T2699" t="s">
        <v>13338</v>
      </c>
      <c r="U2699" t="s">
        <v>13338</v>
      </c>
      <c r="V2699" t="s">
        <v>13338</v>
      </c>
      <c r="W2699" t="s">
        <v>15995</v>
      </c>
      <c r="X2699">
        <v>3</v>
      </c>
      <c r="Y2699" t="s">
        <v>22553</v>
      </c>
      <c r="Z2699" t="s">
        <v>29114</v>
      </c>
      <c r="AA2699">
        <v>0.56807897245480932</v>
      </c>
      <c r="AB2699" t="str">
        <f>HYPERLINK("Melting_Curves/meltCurve_P50440_3_GATM.pdf", "Melting_Curves/meltCurve_P50440_3_GATM.pdf")</f>
        <v>Melting_Curves/meltCurve_P50440_3_GATM.pdf</v>
      </c>
    </row>
    <row r="2700" spans="1:28" x14ac:dyDescent="0.25">
      <c r="A2700" t="s">
        <v>2704</v>
      </c>
      <c r="B2700">
        <v>0.99193492352474899</v>
      </c>
      <c r="C2700">
        <v>0.93296414895191504</v>
      </c>
      <c r="D2700">
        <v>0.90345250983786796</v>
      </c>
      <c r="E2700">
        <v>0.83635895276458305</v>
      </c>
      <c r="F2700">
        <v>0.70197095604908799</v>
      </c>
      <c r="G2700">
        <v>0.453489360365954</v>
      </c>
      <c r="H2700">
        <v>0.23773562177476601</v>
      </c>
      <c r="I2700">
        <v>0.13173097844616699</v>
      </c>
      <c r="J2700">
        <v>0.133045584995411</v>
      </c>
      <c r="K2700">
        <v>0.13720695158760099</v>
      </c>
      <c r="L2700">
        <v>785.98062462419</v>
      </c>
      <c r="M2700">
        <v>14.1884104776217</v>
      </c>
      <c r="N2700">
        <v>55.835455729813603</v>
      </c>
      <c r="O2700">
        <v>54.330372096280698</v>
      </c>
      <c r="P2700">
        <v>-6.1845943783537097E-2</v>
      </c>
      <c r="Q2700">
        <v>5.2835093758376701E-2</v>
      </c>
      <c r="R2700">
        <v>0.99099894322354898</v>
      </c>
      <c r="S2700" t="s">
        <v>9370</v>
      </c>
      <c r="T2700" t="s">
        <v>13338</v>
      </c>
      <c r="U2700" t="s">
        <v>13338</v>
      </c>
      <c r="V2700" t="s">
        <v>13338</v>
      </c>
      <c r="W2700" t="s">
        <v>15996</v>
      </c>
      <c r="X2700">
        <v>23</v>
      </c>
      <c r="Y2700" t="s">
        <v>22554</v>
      </c>
      <c r="Z2700" t="s">
        <v>29115</v>
      </c>
      <c r="AA2700">
        <v>0.55758908814226638</v>
      </c>
      <c r="AB2700" t="str">
        <f>HYPERLINK("Melting_Curves/meltCurve_P50452_SERPINB8.pdf", "Melting_Curves/meltCurve_P50452_SERPINB8.pdf")</f>
        <v>Melting_Curves/meltCurve_P50452_SERPINB8.pdf</v>
      </c>
    </row>
    <row r="2701" spans="1:28" x14ac:dyDescent="0.25">
      <c r="A2701" t="s">
        <v>2705</v>
      </c>
      <c r="B2701">
        <v>0.99193492352474899</v>
      </c>
      <c r="C2701">
        <v>0.89202617387064798</v>
      </c>
      <c r="D2701">
        <v>0.92284056601972797</v>
      </c>
      <c r="E2701">
        <v>0.76671818950761605</v>
      </c>
      <c r="F2701">
        <v>0.49452452731970897</v>
      </c>
      <c r="G2701">
        <v>0.182350699918957</v>
      </c>
      <c r="H2701">
        <v>0.10664657506531799</v>
      </c>
      <c r="I2701">
        <v>0.106417849030295</v>
      </c>
      <c r="J2701">
        <v>0.111000825635866</v>
      </c>
      <c r="K2701">
        <v>0.105213932241344</v>
      </c>
      <c r="L2701">
        <v>1067.9141776234801</v>
      </c>
      <c r="M2701">
        <v>20.453373992851802</v>
      </c>
      <c r="N2701">
        <v>52.672951256794001</v>
      </c>
      <c r="O2701">
        <v>51.720709429865302</v>
      </c>
      <c r="P2701">
        <v>-9.0768016382344996E-2</v>
      </c>
      <c r="Q2701">
        <v>8.19223560092667E-2</v>
      </c>
      <c r="R2701">
        <v>0.98884016911497796</v>
      </c>
      <c r="S2701" t="s">
        <v>9371</v>
      </c>
      <c r="T2701" t="s">
        <v>13338</v>
      </c>
      <c r="U2701" t="s">
        <v>13338</v>
      </c>
      <c r="V2701" t="s">
        <v>13338</v>
      </c>
      <c r="W2701" t="s">
        <v>15997</v>
      </c>
      <c r="X2701">
        <v>9</v>
      </c>
      <c r="Y2701" t="s">
        <v>22555</v>
      </c>
      <c r="Z2701" t="s">
        <v>29116</v>
      </c>
      <c r="AA2701">
        <v>0.4678405383162379</v>
      </c>
      <c r="AB2701" t="str">
        <f>HYPERLINK("Melting_Curves/meltCurve_P50454_SERPINH1.pdf", "Melting_Curves/meltCurve_P50454_SERPINH1.pdf")</f>
        <v>Melting_Curves/meltCurve_P50454_SERPINH1.pdf</v>
      </c>
    </row>
    <row r="2702" spans="1:28" x14ac:dyDescent="0.25">
      <c r="A2702" t="s">
        <v>2706</v>
      </c>
      <c r="B2702">
        <v>0.99193492352474899</v>
      </c>
      <c r="C2702">
        <v>0.88940234246056604</v>
      </c>
      <c r="D2702">
        <v>0.90012445834000998</v>
      </c>
      <c r="E2702">
        <v>0.49883714128238099</v>
      </c>
      <c r="F2702">
        <v>0.18327114488628299</v>
      </c>
      <c r="G2702">
        <v>0.102404864650205</v>
      </c>
      <c r="H2702">
        <v>6.3930169623076405E-2</v>
      </c>
      <c r="I2702">
        <v>8.2638118863436097E-2</v>
      </c>
      <c r="J2702">
        <v>0.103502079780837</v>
      </c>
      <c r="K2702">
        <v>0.11364242018748701</v>
      </c>
      <c r="L2702">
        <v>1343.3191644326</v>
      </c>
      <c r="M2702">
        <v>27.291081689388001</v>
      </c>
      <c r="N2702">
        <v>49.5653771224381</v>
      </c>
      <c r="O2702">
        <v>48.959913446771203</v>
      </c>
      <c r="P2702">
        <v>-0.12734967304729999</v>
      </c>
      <c r="Q2702">
        <v>8.6152967065965799E-2</v>
      </c>
      <c r="R2702">
        <v>0.99181262949219295</v>
      </c>
      <c r="S2702" t="s">
        <v>9372</v>
      </c>
      <c r="T2702" t="s">
        <v>13338</v>
      </c>
      <c r="U2702" t="s">
        <v>13338</v>
      </c>
      <c r="V2702" t="s">
        <v>13338</v>
      </c>
      <c r="W2702" t="s">
        <v>15998</v>
      </c>
      <c r="X2702">
        <v>18</v>
      </c>
      <c r="Y2702" t="s">
        <v>22556</v>
      </c>
      <c r="Z2702" t="s">
        <v>29117</v>
      </c>
      <c r="AA2702">
        <v>0.3738436715920877</v>
      </c>
      <c r="AB2702" t="str">
        <f>HYPERLINK("Melting_Curves/meltCurve_P50502_ST13.pdf", "Melting_Curves/meltCurve_P50502_ST13.pdf")</f>
        <v>Melting_Curves/meltCurve_P50502_ST13.pdf</v>
      </c>
    </row>
    <row r="2703" spans="1:28" x14ac:dyDescent="0.25">
      <c r="A2703" t="s">
        <v>2707</v>
      </c>
      <c r="B2703">
        <v>0.99193492352474899</v>
      </c>
      <c r="C2703">
        <v>1.1548323882415401</v>
      </c>
      <c r="D2703">
        <v>0.82484442518523304</v>
      </c>
      <c r="E2703">
        <v>0.54522916319338899</v>
      </c>
      <c r="F2703">
        <v>0.170416011462761</v>
      </c>
      <c r="G2703">
        <v>0.15573133638238901</v>
      </c>
      <c r="H2703">
        <v>9.2072717378324703E-2</v>
      </c>
      <c r="I2703">
        <v>0.13471904816462399</v>
      </c>
      <c r="J2703">
        <v>0.106256168518088</v>
      </c>
      <c r="K2703">
        <v>9.8955634210894802E-2</v>
      </c>
      <c r="L2703">
        <v>1385.71308890305</v>
      </c>
      <c r="M2703">
        <v>28.119304350254399</v>
      </c>
      <c r="N2703">
        <v>49.708533524219199</v>
      </c>
      <c r="O2703">
        <v>49.032543311975203</v>
      </c>
      <c r="P2703">
        <v>-0.12793357565234501</v>
      </c>
      <c r="Q2703">
        <v>0.10767947900394</v>
      </c>
      <c r="R2703">
        <v>0.97615712886407802</v>
      </c>
      <c r="S2703" t="s">
        <v>9373</v>
      </c>
      <c r="T2703" t="s">
        <v>13338</v>
      </c>
      <c r="U2703" t="s">
        <v>13338</v>
      </c>
      <c r="V2703" t="s">
        <v>13338</v>
      </c>
      <c r="W2703" t="s">
        <v>15999</v>
      </c>
      <c r="X2703">
        <v>8</v>
      </c>
      <c r="Y2703" t="s">
        <v>22557</v>
      </c>
      <c r="Z2703" t="s">
        <v>29118</v>
      </c>
      <c r="AA2703">
        <v>0.38992630599601219</v>
      </c>
      <c r="AB2703" t="str">
        <f>HYPERLINK("Melting_Curves/meltCurve_P50552_VASP.pdf", "Melting_Curves/meltCurve_P50552_VASP.pdf")</f>
        <v>Melting_Curves/meltCurve_P50552_VASP.pdf</v>
      </c>
    </row>
    <row r="2704" spans="1:28" x14ac:dyDescent="0.25">
      <c r="A2704" t="s">
        <v>2708</v>
      </c>
      <c r="B2704">
        <v>0.99193492352474899</v>
      </c>
      <c r="C2704">
        <v>0.89886413928243603</v>
      </c>
      <c r="D2704">
        <v>0.99357999148576204</v>
      </c>
      <c r="E2704">
        <v>0.64778828499312102</v>
      </c>
      <c r="F2704">
        <v>0.180314634287875</v>
      </c>
      <c r="G2704">
        <v>0.10985532882950901</v>
      </c>
      <c r="H2704">
        <v>6.5827710942744103E-2</v>
      </c>
      <c r="I2704">
        <v>7.0562108411760596E-2</v>
      </c>
      <c r="J2704">
        <v>8.1877595267092401E-2</v>
      </c>
      <c r="K2704">
        <v>7.1662471176277498E-2</v>
      </c>
      <c r="L2704">
        <v>1873.3825540191699</v>
      </c>
      <c r="M2704">
        <v>37.273840961563998</v>
      </c>
      <c r="N2704">
        <v>50.485804991843402</v>
      </c>
      <c r="O2704">
        <v>50.115970770070199</v>
      </c>
      <c r="P2704">
        <v>-0.17166144780409801</v>
      </c>
      <c r="Q2704">
        <v>7.6783485761026504E-2</v>
      </c>
      <c r="R2704">
        <v>0.99291600527758395</v>
      </c>
      <c r="S2704" t="s">
        <v>9374</v>
      </c>
      <c r="T2704" t="s">
        <v>13338</v>
      </c>
      <c r="U2704" t="s">
        <v>13338</v>
      </c>
      <c r="V2704" t="s">
        <v>13338</v>
      </c>
      <c r="W2704" t="s">
        <v>16000</v>
      </c>
      <c r="X2704">
        <v>36</v>
      </c>
      <c r="Y2704" t="s">
        <v>21100</v>
      </c>
      <c r="Z2704" t="s">
        <v>29119</v>
      </c>
      <c r="AA2704">
        <v>0.3962221166221101</v>
      </c>
      <c r="AB2704" t="str">
        <f>HYPERLINK("Melting_Curves/meltCurve_P50570_4_DNM2.pdf", "Melting_Curves/meltCurve_P50570_4_DNM2.pdf")</f>
        <v>Melting_Curves/meltCurve_P50570_4_DNM2.pdf</v>
      </c>
    </row>
    <row r="2705" spans="1:28" x14ac:dyDescent="0.25">
      <c r="A2705" t="s">
        <v>2709</v>
      </c>
      <c r="B2705">
        <v>0.99193492352474899</v>
      </c>
      <c r="C2705">
        <v>0.78609556866722596</v>
      </c>
      <c r="D2705">
        <v>0.86885045697165897</v>
      </c>
      <c r="E2705">
        <v>0.71401715690276202</v>
      </c>
      <c r="F2705">
        <v>0.56042172457166595</v>
      </c>
      <c r="G2705">
        <v>0.35541918841623499</v>
      </c>
      <c r="H2705">
        <v>0.28485014289393301</v>
      </c>
      <c r="I2705">
        <v>0.21670795028926501</v>
      </c>
      <c r="J2705">
        <v>0.15937861235924899</v>
      </c>
      <c r="K2705">
        <v>0.15122585810053299</v>
      </c>
      <c r="L2705">
        <v>471.17571194967701</v>
      </c>
      <c r="M2705">
        <v>8.7399953777622503</v>
      </c>
      <c r="N2705">
        <v>54.136524131546899</v>
      </c>
      <c r="O2705">
        <v>51.311302806743598</v>
      </c>
      <c r="P2705">
        <v>-4.1853500470188799E-2</v>
      </c>
      <c r="Q2705">
        <v>1.7932338806435699E-2</v>
      </c>
      <c r="R2705">
        <v>0.97573851778842702</v>
      </c>
      <c r="S2705" t="s">
        <v>9375</v>
      </c>
      <c r="T2705" t="s">
        <v>13338</v>
      </c>
      <c r="U2705" t="s">
        <v>13338</v>
      </c>
      <c r="V2705" t="s">
        <v>13338</v>
      </c>
      <c r="W2705" t="s">
        <v>16001</v>
      </c>
      <c r="X2705">
        <v>15</v>
      </c>
      <c r="Y2705" t="s">
        <v>20637</v>
      </c>
      <c r="Z2705" t="s">
        <v>29120</v>
      </c>
      <c r="AA2705">
        <v>0.50593231557157725</v>
      </c>
      <c r="AB2705" t="str">
        <f>HYPERLINK("Melting_Curves/meltCurve_P50579_METAP2.pdf", "Melting_Curves/meltCurve_P50579_METAP2.pdf")</f>
        <v>Melting_Curves/meltCurve_P50579_METAP2.pdf</v>
      </c>
    </row>
    <row r="2706" spans="1:28" x14ac:dyDescent="0.25">
      <c r="A2706" t="s">
        <v>2710</v>
      </c>
      <c r="B2706">
        <v>0.99193492352474899</v>
      </c>
      <c r="C2706">
        <v>0.812722384924219</v>
      </c>
      <c r="D2706">
        <v>0.91400417963121705</v>
      </c>
      <c r="E2706">
        <v>0.67877554138754903</v>
      </c>
      <c r="F2706">
        <v>0.51248390028304902</v>
      </c>
      <c r="G2706">
        <v>0.19991970140621801</v>
      </c>
      <c r="H2706">
        <v>9.64075997942134E-2</v>
      </c>
      <c r="I2706">
        <v>9.3603778749473898E-2</v>
      </c>
      <c r="J2706">
        <v>0.121479713868428</v>
      </c>
      <c r="K2706">
        <v>9.2682980746550306E-2</v>
      </c>
      <c r="L2706">
        <v>772.12455361868501</v>
      </c>
      <c r="M2706">
        <v>14.858836148422</v>
      </c>
      <c r="N2706">
        <v>52.322955310059498</v>
      </c>
      <c r="O2706">
        <v>51.050032199375401</v>
      </c>
      <c r="P2706">
        <v>-6.9247286213820106E-2</v>
      </c>
      <c r="Q2706">
        <v>4.8456934737514099E-2</v>
      </c>
      <c r="R2706">
        <v>0.970962595004917</v>
      </c>
      <c r="S2706" t="s">
        <v>9376</v>
      </c>
      <c r="T2706" t="s">
        <v>13338</v>
      </c>
      <c r="U2706" t="s">
        <v>13338</v>
      </c>
      <c r="V2706" t="s">
        <v>13338</v>
      </c>
      <c r="W2706" t="s">
        <v>16002</v>
      </c>
      <c r="X2706">
        <v>8</v>
      </c>
      <c r="Y2706" t="s">
        <v>22558</v>
      </c>
      <c r="Z2706" t="s">
        <v>29121</v>
      </c>
      <c r="AA2706">
        <v>0.44954215877098269</v>
      </c>
      <c r="AB2706" t="str">
        <f>HYPERLINK("Melting_Curves/meltCurve_P50583_NUDT2.pdf", "Melting_Curves/meltCurve_P50583_NUDT2.pdf")</f>
        <v>Melting_Curves/meltCurve_P50583_NUDT2.pdf</v>
      </c>
    </row>
    <row r="2707" spans="1:28" x14ac:dyDescent="0.25">
      <c r="A2707" t="s">
        <v>2711</v>
      </c>
      <c r="B2707">
        <v>0.99193492352474899</v>
      </c>
      <c r="C2707">
        <v>0.80451006096181998</v>
      </c>
      <c r="D2707">
        <v>0.84799167565533395</v>
      </c>
      <c r="E2707">
        <v>0.42561716201098398</v>
      </c>
      <c r="F2707">
        <v>0.25456175880473803</v>
      </c>
      <c r="G2707">
        <v>0.12295800965511799</v>
      </c>
      <c r="H2707">
        <v>4.4260431487558101E-2</v>
      </c>
      <c r="I2707">
        <v>5.9971352695471297E-2</v>
      </c>
      <c r="J2707">
        <v>6.0568042028541498E-2</v>
      </c>
      <c r="K2707">
        <v>5.1539489381529198E-2</v>
      </c>
      <c r="L2707">
        <v>819.35773974724395</v>
      </c>
      <c r="M2707">
        <v>16.728750753314799</v>
      </c>
      <c r="N2707">
        <v>49.2042787226287</v>
      </c>
      <c r="O2707">
        <v>48.295173269500403</v>
      </c>
      <c r="P2707">
        <v>-8.34096302291856E-2</v>
      </c>
      <c r="Q2707">
        <v>3.6863518568626297E-2</v>
      </c>
      <c r="R2707">
        <v>0.98084938869435301</v>
      </c>
      <c r="S2707" t="s">
        <v>9377</v>
      </c>
      <c r="T2707" t="s">
        <v>13338</v>
      </c>
      <c r="U2707" t="s">
        <v>13338</v>
      </c>
      <c r="V2707" t="s">
        <v>13338</v>
      </c>
      <c r="W2707" t="s">
        <v>16003</v>
      </c>
      <c r="X2707">
        <v>5</v>
      </c>
      <c r="Y2707" t="s">
        <v>22559</v>
      </c>
      <c r="Z2707" t="s">
        <v>29122</v>
      </c>
      <c r="AA2707">
        <v>0.34442074200075917</v>
      </c>
      <c r="AB2707" t="str">
        <f>HYPERLINK("Melting_Curves/meltCurve_P50747_HLCS.pdf", "Melting_Curves/meltCurve_P50747_HLCS.pdf")</f>
        <v>Melting_Curves/meltCurve_P50747_HLCS.pdf</v>
      </c>
    </row>
    <row r="2708" spans="1:28" x14ac:dyDescent="0.25">
      <c r="A2708" t="s">
        <v>2712</v>
      </c>
      <c r="B2708">
        <v>0.99193492352474899</v>
      </c>
      <c r="C2708">
        <v>1.1272426289458499</v>
      </c>
      <c r="D2708">
        <v>1.04690843476908</v>
      </c>
      <c r="E2708">
        <v>0.39867491736718602</v>
      </c>
      <c r="F2708">
        <v>0.210546926113306</v>
      </c>
      <c r="G2708">
        <v>0.13710652369826501</v>
      </c>
      <c r="H2708">
        <v>6.2265589135188197E-2</v>
      </c>
      <c r="I2708">
        <v>8.12426127277424E-2</v>
      </c>
      <c r="J2708">
        <v>0.11276856138703201</v>
      </c>
      <c r="K2708">
        <v>0.10435894136879099</v>
      </c>
      <c r="L2708">
        <v>4737.64249393313</v>
      </c>
      <c r="M2708">
        <v>96.275465694725895</v>
      </c>
      <c r="N2708">
        <v>49.347048440544803</v>
      </c>
      <c r="O2708">
        <v>49.188019098023197</v>
      </c>
      <c r="P2708">
        <v>-0.431645432811818</v>
      </c>
      <c r="Q2708">
        <v>0.11787360067453601</v>
      </c>
      <c r="R2708">
        <v>0.98200904437060599</v>
      </c>
      <c r="S2708" t="s">
        <v>9378</v>
      </c>
      <c r="T2708" t="s">
        <v>13338</v>
      </c>
      <c r="U2708" t="s">
        <v>13338</v>
      </c>
      <c r="V2708" t="s">
        <v>13338</v>
      </c>
      <c r="W2708" t="s">
        <v>16004</v>
      </c>
      <c r="X2708">
        <v>7</v>
      </c>
      <c r="Y2708" t="s">
        <v>22560</v>
      </c>
      <c r="Z2708" t="s">
        <v>29123</v>
      </c>
      <c r="AA2708">
        <v>0.38917839967998558</v>
      </c>
      <c r="AB2708" t="str">
        <f>HYPERLINK("Melting_Curves/meltCurve_P50748_KNTC1.pdf", "Melting_Curves/meltCurve_P50748_KNTC1.pdf")</f>
        <v>Melting_Curves/meltCurve_P50748_KNTC1.pdf</v>
      </c>
    </row>
    <row r="2709" spans="1:28" x14ac:dyDescent="0.25">
      <c r="A2709" t="s">
        <v>2713</v>
      </c>
      <c r="B2709">
        <v>0.99193492352474899</v>
      </c>
      <c r="C2709">
        <v>0.81867820532774005</v>
      </c>
      <c r="D2709">
        <v>0.45464912119888101</v>
      </c>
      <c r="E2709">
        <v>0.151053868670976</v>
      </c>
      <c r="F2709">
        <v>9.6933879663788705E-2</v>
      </c>
      <c r="G2709">
        <v>5.60649608061713E-2</v>
      </c>
      <c r="H2709">
        <v>4.1779474427687702E-2</v>
      </c>
      <c r="I2709">
        <v>5.0646233804923002E-2</v>
      </c>
      <c r="J2709">
        <v>5.5481113521921199E-2</v>
      </c>
      <c r="K2709">
        <v>5.17312810439471E-2</v>
      </c>
      <c r="L2709">
        <v>1142.4775565175901</v>
      </c>
      <c r="M2709">
        <v>25.145454778115301</v>
      </c>
      <c r="N2709">
        <v>45.636955164181998</v>
      </c>
      <c r="O2709">
        <v>45.150318002679398</v>
      </c>
      <c r="P2709">
        <v>-0.13189410130534401</v>
      </c>
      <c r="Q2709">
        <v>5.2714262580983801E-2</v>
      </c>
      <c r="R2709">
        <v>0.99898793928031004</v>
      </c>
      <c r="S2709" t="s">
        <v>9379</v>
      </c>
      <c r="T2709" t="s">
        <v>13338</v>
      </c>
      <c r="U2709" t="s">
        <v>13338</v>
      </c>
      <c r="V2709" t="s">
        <v>13338</v>
      </c>
      <c r="W2709" t="s">
        <v>16005</v>
      </c>
      <c r="X2709">
        <v>6</v>
      </c>
      <c r="Y2709" t="s">
        <v>22561</v>
      </c>
      <c r="Z2709" t="s">
        <v>29124</v>
      </c>
      <c r="AA2709">
        <v>0.23327366399393551</v>
      </c>
      <c r="AB2709" t="str">
        <f>HYPERLINK("Melting_Curves/meltCurve_P50749_RASSF2.pdf", "Melting_Curves/meltCurve_P50749_RASSF2.pdf")</f>
        <v>Melting_Curves/meltCurve_P50749_RASSF2.pdf</v>
      </c>
    </row>
    <row r="2710" spans="1:28" x14ac:dyDescent="0.25">
      <c r="A2710" t="s">
        <v>2714</v>
      </c>
      <c r="B2710">
        <v>0.99193492352474899</v>
      </c>
      <c r="C2710">
        <v>0.65251260084062601</v>
      </c>
      <c r="D2710">
        <v>0.81961080556202504</v>
      </c>
      <c r="E2710">
        <v>0.63074105224466803</v>
      </c>
      <c r="F2710">
        <v>0.31090554221731098</v>
      </c>
      <c r="G2710">
        <v>8.9465617122715502E-2</v>
      </c>
      <c r="H2710">
        <v>4.9176957168508E-2</v>
      </c>
      <c r="I2710">
        <v>5.8718768524804302E-2</v>
      </c>
      <c r="J2710">
        <v>5.60878379714096E-2</v>
      </c>
      <c r="K2710">
        <v>6.7820172735598303E-2</v>
      </c>
      <c r="L2710">
        <v>622.99133417823305</v>
      </c>
      <c r="M2710">
        <v>12.4660547508755</v>
      </c>
      <c r="N2710">
        <v>49.975019790554299</v>
      </c>
      <c r="O2710">
        <v>48.741278207938798</v>
      </c>
      <c r="P2710">
        <v>-6.3953225930002897E-2</v>
      </c>
      <c r="Q2710">
        <v>0</v>
      </c>
      <c r="R2710">
        <v>0.92888820827517804</v>
      </c>
      <c r="S2710" t="s">
        <v>9380</v>
      </c>
      <c r="T2710" t="s">
        <v>13338</v>
      </c>
      <c r="U2710" t="s">
        <v>13338</v>
      </c>
      <c r="V2710" t="s">
        <v>13338</v>
      </c>
      <c r="W2710" t="s">
        <v>16006</v>
      </c>
      <c r="X2710">
        <v>7</v>
      </c>
      <c r="Y2710" t="s">
        <v>22562</v>
      </c>
      <c r="Z2710" t="s">
        <v>29125</v>
      </c>
      <c r="AA2710">
        <v>0.36513768590745088</v>
      </c>
      <c r="AB2710" t="str">
        <f>HYPERLINK("Melting_Curves/meltCurve_P50750_CDK9.pdf", "Melting_Curves/meltCurve_P50750_CDK9.pdf")</f>
        <v>Melting_Curves/meltCurve_P50750_CDK9.pdf</v>
      </c>
    </row>
    <row r="2711" spans="1:28" x14ac:dyDescent="0.25">
      <c r="A2711" t="s">
        <v>2715</v>
      </c>
      <c r="B2711">
        <v>0.99193492352474899</v>
      </c>
      <c r="C2711">
        <v>0.99577632937997496</v>
      </c>
      <c r="D2711">
        <v>0.87757042460888401</v>
      </c>
      <c r="E2711">
        <v>0.51926505166897896</v>
      </c>
      <c r="F2711">
        <v>0.21900886013005399</v>
      </c>
      <c r="G2711">
        <v>0.17051890605944001</v>
      </c>
      <c r="H2711">
        <v>0.106451949308004</v>
      </c>
      <c r="I2711">
        <v>0.13840231157196101</v>
      </c>
      <c r="J2711">
        <v>0.14271467142668801</v>
      </c>
      <c r="K2711">
        <v>0.21265339402855599</v>
      </c>
      <c r="L2711">
        <v>1407.73192354772</v>
      </c>
      <c r="M2711">
        <v>28.689716236805101</v>
      </c>
      <c r="N2711">
        <v>49.677493205173498</v>
      </c>
      <c r="O2711">
        <v>48.830952633991501</v>
      </c>
      <c r="P2711">
        <v>-0.12507673519823601</v>
      </c>
      <c r="Q2711">
        <v>0.14846609482693501</v>
      </c>
      <c r="R2711">
        <v>0.99459062246988095</v>
      </c>
      <c r="S2711" t="s">
        <v>9381</v>
      </c>
      <c r="T2711" t="s">
        <v>13338</v>
      </c>
      <c r="U2711" t="s">
        <v>13338</v>
      </c>
      <c r="V2711" t="s">
        <v>13338</v>
      </c>
      <c r="W2711" t="s">
        <v>16007</v>
      </c>
      <c r="X2711">
        <v>37</v>
      </c>
      <c r="Y2711" t="s">
        <v>22563</v>
      </c>
      <c r="Z2711" t="s">
        <v>29126</v>
      </c>
      <c r="AA2711">
        <v>0.41153049233746808</v>
      </c>
      <c r="AB2711" t="str">
        <f>HYPERLINK("Melting_Curves/meltCurve_P50851_LRBA.pdf", "Melting_Curves/meltCurve_P50851_LRBA.pdf")</f>
        <v>Melting_Curves/meltCurve_P50851_LRBA.pdf</v>
      </c>
    </row>
    <row r="2712" spans="1:28" x14ac:dyDescent="0.25">
      <c r="A2712" t="s">
        <v>2716</v>
      </c>
      <c r="B2712">
        <v>0.99193492352474899</v>
      </c>
      <c r="C2712">
        <v>0.91950654254370001</v>
      </c>
      <c r="D2712">
        <v>0.92325245408000101</v>
      </c>
      <c r="E2712">
        <v>0.70470051920394905</v>
      </c>
      <c r="F2712">
        <v>0.632244335672561</v>
      </c>
      <c r="G2712">
        <v>0.48134246608252301</v>
      </c>
      <c r="H2712">
        <v>0.36000471904125703</v>
      </c>
      <c r="I2712">
        <v>0.37493503578023502</v>
      </c>
      <c r="J2712">
        <v>0.55085631970508397</v>
      </c>
      <c r="K2712">
        <v>0.44342123751285101</v>
      </c>
      <c r="L2712">
        <v>855.94463409097898</v>
      </c>
      <c r="M2712">
        <v>17.107880526813101</v>
      </c>
      <c r="N2712">
        <v>56.291478906475803</v>
      </c>
      <c r="O2712">
        <v>49.3635791606117</v>
      </c>
      <c r="P2712">
        <v>-4.9788704746741998E-2</v>
      </c>
      <c r="Q2712">
        <v>0.42538747200830801</v>
      </c>
      <c r="R2712">
        <v>0.93335422475661101</v>
      </c>
      <c r="S2712" t="s">
        <v>9382</v>
      </c>
      <c r="T2712" t="s">
        <v>13338</v>
      </c>
      <c r="U2712" t="s">
        <v>13338</v>
      </c>
      <c r="V2712" t="s">
        <v>13338</v>
      </c>
      <c r="W2712" t="s">
        <v>16008</v>
      </c>
      <c r="X2712">
        <v>3</v>
      </c>
      <c r="Y2712" t="s">
        <v>22564</v>
      </c>
      <c r="Z2712" t="s">
        <v>29127</v>
      </c>
      <c r="AA2712">
        <v>0.62831907395093045</v>
      </c>
      <c r="AB2712" t="str">
        <f>HYPERLINK("Melting_Curves/meltCurve_P50895_BCAM.pdf", "Melting_Curves/meltCurve_P50895_BCAM.pdf")</f>
        <v>Melting_Curves/meltCurve_P50895_BCAM.pdf</v>
      </c>
    </row>
    <row r="2713" spans="1:28" x14ac:dyDescent="0.25">
      <c r="A2713" t="s">
        <v>2717</v>
      </c>
      <c r="B2713">
        <v>0.99193492352474899</v>
      </c>
      <c r="C2713">
        <v>1.07691416414612</v>
      </c>
      <c r="D2713">
        <v>0.84446161530628605</v>
      </c>
      <c r="E2713">
        <v>0.86909745389878601</v>
      </c>
      <c r="F2713">
        <v>0.53675554619881605</v>
      </c>
      <c r="G2713">
        <v>0.211440949884172</v>
      </c>
      <c r="H2713">
        <v>7.57443889421755E-2</v>
      </c>
      <c r="I2713">
        <v>8.2458933937949494E-2</v>
      </c>
      <c r="J2713">
        <v>9.0768585684088202E-2</v>
      </c>
      <c r="K2713">
        <v>9.7875098962439705E-2</v>
      </c>
      <c r="L2713">
        <v>1285.0408268169101</v>
      </c>
      <c r="M2713">
        <v>24.2229017750705</v>
      </c>
      <c r="N2713">
        <v>53.383825044458298</v>
      </c>
      <c r="O2713">
        <v>52.693053811812703</v>
      </c>
      <c r="P2713">
        <v>-0.106864039975336</v>
      </c>
      <c r="Q2713">
        <v>7.0151573327558905E-2</v>
      </c>
      <c r="R2713">
        <v>0.98304975294256003</v>
      </c>
      <c r="S2713" t="s">
        <v>9383</v>
      </c>
      <c r="T2713" t="s">
        <v>13338</v>
      </c>
      <c r="U2713" t="s">
        <v>13338</v>
      </c>
      <c r="V2713" t="s">
        <v>13338</v>
      </c>
      <c r="W2713" t="s">
        <v>16009</v>
      </c>
      <c r="X2713">
        <v>12</v>
      </c>
      <c r="Y2713" t="s">
        <v>22565</v>
      </c>
      <c r="Z2713" t="s">
        <v>29128</v>
      </c>
      <c r="AA2713">
        <v>0.48373984759056532</v>
      </c>
      <c r="AB2713" t="str">
        <f>HYPERLINK("Melting_Curves/meltCurve_P50897_PPT1.pdf", "Melting_Curves/meltCurve_P50897_PPT1.pdf")</f>
        <v>Melting_Curves/meltCurve_P50897_PPT1.pdf</v>
      </c>
    </row>
    <row r="2714" spans="1:28" x14ac:dyDescent="0.25">
      <c r="A2714" t="s">
        <v>2718</v>
      </c>
      <c r="B2714">
        <v>0.99193492352474899</v>
      </c>
      <c r="C2714">
        <v>0.84765398885614196</v>
      </c>
      <c r="D2714">
        <v>0.87828875070660695</v>
      </c>
      <c r="E2714">
        <v>0.75420727957015699</v>
      </c>
      <c r="F2714">
        <v>0.69154742734615005</v>
      </c>
      <c r="G2714">
        <v>0.52137238789624596</v>
      </c>
      <c r="H2714">
        <v>0.28687129942223599</v>
      </c>
      <c r="I2714">
        <v>0.14811883365442799</v>
      </c>
      <c r="J2714">
        <v>0.11144999559645601</v>
      </c>
      <c r="K2714">
        <v>9.8988393331434901E-2</v>
      </c>
      <c r="L2714">
        <v>596.03331732333004</v>
      </c>
      <c r="M2714">
        <v>10.6620524648004</v>
      </c>
      <c r="N2714">
        <v>55.902287764575298</v>
      </c>
      <c r="O2714">
        <v>54.043373990393299</v>
      </c>
      <c r="P2714">
        <v>-4.9340500568495697E-2</v>
      </c>
      <c r="Q2714">
        <v>0</v>
      </c>
      <c r="R2714">
        <v>0.97419867478462796</v>
      </c>
      <c r="S2714" t="s">
        <v>9384</v>
      </c>
      <c r="T2714" t="s">
        <v>13338</v>
      </c>
      <c r="U2714" t="s">
        <v>13338</v>
      </c>
      <c r="V2714" t="s">
        <v>13338</v>
      </c>
      <c r="W2714" t="s">
        <v>16010</v>
      </c>
      <c r="X2714">
        <v>52</v>
      </c>
      <c r="Y2714" t="s">
        <v>22566</v>
      </c>
      <c r="Z2714" t="s">
        <v>29129</v>
      </c>
      <c r="AA2714">
        <v>0.55152296874127793</v>
      </c>
      <c r="AB2714" t="str">
        <f>HYPERLINK("Melting_Curves/meltCurve_P50990_CCT8.pdf", "Melting_Curves/meltCurve_P50990_CCT8.pdf")</f>
        <v>Melting_Curves/meltCurve_P50990_CCT8.pdf</v>
      </c>
    </row>
    <row r="2715" spans="1:28" x14ac:dyDescent="0.25">
      <c r="A2715" t="s">
        <v>2719</v>
      </c>
      <c r="B2715">
        <v>0.99193492352474899</v>
      </c>
      <c r="C2715">
        <v>0.83237762445104602</v>
      </c>
      <c r="D2715">
        <v>0.95384616338823802</v>
      </c>
      <c r="E2715">
        <v>0.81702327110217199</v>
      </c>
      <c r="F2715">
        <v>0.76111329695742203</v>
      </c>
      <c r="G2715">
        <v>0.39176358458031801</v>
      </c>
      <c r="H2715">
        <v>0.12898750479771801</v>
      </c>
      <c r="I2715">
        <v>8.2749173327451603E-2</v>
      </c>
      <c r="J2715">
        <v>7.5019812711977094E-2</v>
      </c>
      <c r="K2715">
        <v>5.9807979609365201E-2</v>
      </c>
      <c r="L2715">
        <v>1010.13474132155</v>
      </c>
      <c r="M2715">
        <v>18.237663641598999</v>
      </c>
      <c r="N2715">
        <v>55.487476100523601</v>
      </c>
      <c r="O2715">
        <v>54.734250323231699</v>
      </c>
      <c r="P2715">
        <v>-8.1955604853146097E-2</v>
      </c>
      <c r="Q2715">
        <v>1.6196697770044E-2</v>
      </c>
      <c r="R2715">
        <v>0.97010292157382305</v>
      </c>
      <c r="S2715" t="s">
        <v>9385</v>
      </c>
      <c r="T2715" t="s">
        <v>13338</v>
      </c>
      <c r="U2715" t="s">
        <v>13338</v>
      </c>
      <c r="V2715" t="s">
        <v>13338</v>
      </c>
      <c r="W2715" t="s">
        <v>16011</v>
      </c>
      <c r="X2715">
        <v>32</v>
      </c>
      <c r="Y2715" t="s">
        <v>22567</v>
      </c>
      <c r="Z2715" t="s">
        <v>29130</v>
      </c>
      <c r="AA2715">
        <v>0.5355114369807995</v>
      </c>
      <c r="AB2715" t="str">
        <f>HYPERLINK("Melting_Curves/meltCurve_P50991_CCT4.pdf", "Melting_Curves/meltCurve_P50991_CCT4.pdf")</f>
        <v>Melting_Curves/meltCurve_P50991_CCT4.pdf</v>
      </c>
    </row>
    <row r="2716" spans="1:28" x14ac:dyDescent="0.25">
      <c r="A2716" t="s">
        <v>2720</v>
      </c>
      <c r="B2716">
        <v>0.99193492352474899</v>
      </c>
      <c r="C2716">
        <v>0.945050239806563</v>
      </c>
      <c r="D2716">
        <v>0.97098107447040605</v>
      </c>
      <c r="E2716">
        <v>0.762458810607343</v>
      </c>
      <c r="F2716">
        <v>0.29740466128540499</v>
      </c>
      <c r="G2716">
        <v>0.123979782287028</v>
      </c>
      <c r="H2716">
        <v>8.1767526225893505E-2</v>
      </c>
      <c r="I2716">
        <v>7.4572820300142798E-2</v>
      </c>
      <c r="J2716">
        <v>8.5230166928526502E-2</v>
      </c>
      <c r="K2716">
        <v>7.8401705656710605E-2</v>
      </c>
      <c r="L2716">
        <v>1598.5776297186401</v>
      </c>
      <c r="M2716">
        <v>31.1920944402946</v>
      </c>
      <c r="N2716">
        <v>51.530163264990001</v>
      </c>
      <c r="O2716">
        <v>51.040183035801299</v>
      </c>
      <c r="P2716">
        <v>-0.14084527642471201</v>
      </c>
      <c r="Q2716">
        <v>7.8134549311818999E-2</v>
      </c>
      <c r="R2716">
        <v>0.99811274153392804</v>
      </c>
      <c r="S2716" t="s">
        <v>9386</v>
      </c>
      <c r="T2716" t="s">
        <v>13338</v>
      </c>
      <c r="U2716" t="s">
        <v>13338</v>
      </c>
      <c r="V2716" t="s">
        <v>13338</v>
      </c>
      <c r="W2716" t="s">
        <v>16012</v>
      </c>
      <c r="X2716">
        <v>18</v>
      </c>
      <c r="Y2716" t="s">
        <v>22568</v>
      </c>
      <c r="Z2716" t="s">
        <v>29131</v>
      </c>
      <c r="AA2716">
        <v>0.42920055516373329</v>
      </c>
      <c r="AB2716" t="str">
        <f>HYPERLINK("Melting_Curves/meltCurve_P51003_PAPOLA.pdf", "Melting_Curves/meltCurve_P51003_PAPOLA.pdf")</f>
        <v>Melting_Curves/meltCurve_P51003_PAPOLA.pdf</v>
      </c>
    </row>
    <row r="2717" spans="1:28" x14ac:dyDescent="0.25">
      <c r="A2717" t="s">
        <v>2721</v>
      </c>
      <c r="B2717">
        <v>0.99193492352474899</v>
      </c>
      <c r="C2717">
        <v>0.499218384812531</v>
      </c>
      <c r="D2717">
        <v>0.486209997629931</v>
      </c>
      <c r="E2717">
        <v>0.18974546286323099</v>
      </c>
      <c r="F2717">
        <v>0.115551493463424</v>
      </c>
      <c r="G2717">
        <v>8.9267298586879998E-2</v>
      </c>
      <c r="H2717">
        <v>3.5718305303772499E-2</v>
      </c>
      <c r="I2717">
        <v>4.0917043960218398E-2</v>
      </c>
      <c r="J2717">
        <v>4.9682341574030897E-2</v>
      </c>
      <c r="K2717">
        <v>5.4353767810155003E-2</v>
      </c>
      <c r="L2717">
        <v>699.88647920080496</v>
      </c>
      <c r="M2717">
        <v>15.744141901609099</v>
      </c>
      <c r="N2717">
        <v>44.7198123307003</v>
      </c>
      <c r="O2717">
        <v>43.755114427518201</v>
      </c>
      <c r="P2717">
        <v>-8.59416608916415E-2</v>
      </c>
      <c r="Q2717">
        <v>4.4705026613216202E-2</v>
      </c>
      <c r="R2717">
        <v>0.94272343643065803</v>
      </c>
      <c r="S2717" t="s">
        <v>9387</v>
      </c>
      <c r="T2717" t="s">
        <v>13338</v>
      </c>
      <c r="U2717" t="s">
        <v>13338</v>
      </c>
      <c r="V2717" t="s">
        <v>13338</v>
      </c>
      <c r="W2717" t="s">
        <v>16013</v>
      </c>
      <c r="X2717">
        <v>10</v>
      </c>
      <c r="Y2717" t="s">
        <v>22569</v>
      </c>
      <c r="Z2717" t="s">
        <v>29132</v>
      </c>
      <c r="AA2717">
        <v>0.21605501918351699</v>
      </c>
      <c r="AB2717" t="str">
        <f>HYPERLINK("Melting_Curves/meltCurve_P51116_FXR2.pdf", "Melting_Curves/meltCurve_P51116_FXR2.pdf")</f>
        <v>Melting_Curves/meltCurve_P51116_FXR2.pdf</v>
      </c>
    </row>
    <row r="2718" spans="1:28" x14ac:dyDescent="0.25">
      <c r="A2718" t="s">
        <v>2722</v>
      </c>
      <c r="B2718">
        <v>0.99193492352474899</v>
      </c>
      <c r="C2718">
        <v>0.99849123588377398</v>
      </c>
      <c r="D2718">
        <v>1.09216022982883</v>
      </c>
      <c r="E2718">
        <v>0.90116081505289103</v>
      </c>
      <c r="F2718">
        <v>0.79177972036234801</v>
      </c>
      <c r="G2718">
        <v>0.623101263615775</v>
      </c>
      <c r="H2718">
        <v>0.56648683739554495</v>
      </c>
      <c r="I2718">
        <v>0.594596699284341</v>
      </c>
      <c r="J2718">
        <v>0.55742081250367304</v>
      </c>
      <c r="K2718">
        <v>0.20237726688386401</v>
      </c>
      <c r="L2718">
        <v>485.64652544293801</v>
      </c>
      <c r="M2718">
        <v>7.5826098631423298</v>
      </c>
      <c r="N2718">
        <v>64.047409543292005</v>
      </c>
      <c r="O2718">
        <v>60.047848521971801</v>
      </c>
      <c r="P2718">
        <v>-3.1612616206222202E-2</v>
      </c>
      <c r="Q2718">
        <v>0</v>
      </c>
      <c r="R2718">
        <v>0.87761329608752503</v>
      </c>
      <c r="S2718" t="s">
        <v>9388</v>
      </c>
      <c r="T2718" t="s">
        <v>13338</v>
      </c>
      <c r="U2718" t="s">
        <v>13338</v>
      </c>
      <c r="V2718" t="s">
        <v>13338</v>
      </c>
      <c r="W2718" t="s">
        <v>16014</v>
      </c>
      <c r="X2718">
        <v>10</v>
      </c>
      <c r="Y2718" t="s">
        <v>22570</v>
      </c>
      <c r="Z2718" t="s">
        <v>29133</v>
      </c>
      <c r="AA2718">
        <v>0.73403198442097439</v>
      </c>
      <c r="AB2718" t="str">
        <f>HYPERLINK("Melting_Curves/meltCurve_P51148_RAB5C.pdf", "Melting_Curves/meltCurve_P51148_RAB5C.pdf")</f>
        <v>Melting_Curves/meltCurve_P51148_RAB5C.pdf</v>
      </c>
    </row>
    <row r="2719" spans="1:28" x14ac:dyDescent="0.25">
      <c r="A2719" t="s">
        <v>2723</v>
      </c>
      <c r="B2719">
        <v>0.99193492352474899</v>
      </c>
      <c r="C2719">
        <v>0.81095697976915104</v>
      </c>
      <c r="D2719">
        <v>0.93212847869502702</v>
      </c>
      <c r="E2719">
        <v>0.77007054413696197</v>
      </c>
      <c r="F2719">
        <v>0.70992280116578799</v>
      </c>
      <c r="G2719">
        <v>0.514428515132626</v>
      </c>
      <c r="H2719">
        <v>0.46119758434583502</v>
      </c>
      <c r="I2719">
        <v>0.32676701112296302</v>
      </c>
      <c r="J2719">
        <v>0.31511658984410101</v>
      </c>
      <c r="K2719">
        <v>0.18147765979181699</v>
      </c>
      <c r="L2719">
        <v>424.87345373160701</v>
      </c>
      <c r="M2719">
        <v>7.2800384371311004</v>
      </c>
      <c r="N2719">
        <v>58.361436420120199</v>
      </c>
      <c r="O2719">
        <v>54.441203036030998</v>
      </c>
      <c r="P2719">
        <v>-3.3484394970741203E-2</v>
      </c>
      <c r="Q2719">
        <v>0</v>
      </c>
      <c r="R2719">
        <v>0.96224908550590205</v>
      </c>
      <c r="S2719" t="s">
        <v>9389</v>
      </c>
      <c r="T2719" t="s">
        <v>13338</v>
      </c>
      <c r="U2719" t="s">
        <v>13338</v>
      </c>
      <c r="V2719" t="s">
        <v>13338</v>
      </c>
      <c r="W2719" t="s">
        <v>16015</v>
      </c>
      <c r="X2719">
        <v>24</v>
      </c>
      <c r="Y2719" t="s">
        <v>22571</v>
      </c>
      <c r="Z2719" t="s">
        <v>29134</v>
      </c>
      <c r="AA2719">
        <v>0.60849677382107226</v>
      </c>
      <c r="AB2719" t="str">
        <f>HYPERLINK("Melting_Curves/meltCurve_P51149_RAB7A.pdf", "Melting_Curves/meltCurve_P51149_RAB7A.pdf")</f>
        <v>Melting_Curves/meltCurve_P51149_RAB7A.pdf</v>
      </c>
    </row>
    <row r="2720" spans="1:28" x14ac:dyDescent="0.25">
      <c r="A2720" t="s">
        <v>2724</v>
      </c>
      <c r="B2720">
        <v>0.99193492352474899</v>
      </c>
      <c r="C2720">
        <v>0.94908412907510598</v>
      </c>
      <c r="D2720">
        <v>0.96964217847854395</v>
      </c>
      <c r="E2720">
        <v>0.93072680711340094</v>
      </c>
      <c r="F2720">
        <v>0.71235492058611005</v>
      </c>
      <c r="G2720">
        <v>0.42953380529414598</v>
      </c>
      <c r="H2720">
        <v>0.16483297698312799</v>
      </c>
      <c r="I2720">
        <v>9.1579057400085803E-2</v>
      </c>
      <c r="J2720">
        <v>0.109723044722049</v>
      </c>
      <c r="K2720">
        <v>9.1875341423469203E-2</v>
      </c>
      <c r="L2720">
        <v>1191.1152769498999</v>
      </c>
      <c r="M2720">
        <v>21.5343710181604</v>
      </c>
      <c r="N2720">
        <v>55.699305045145103</v>
      </c>
      <c r="O2720">
        <v>54.841925293665703</v>
      </c>
      <c r="P2720">
        <v>-9.1346700352645194E-2</v>
      </c>
      <c r="Q2720">
        <v>6.9486245552644904E-2</v>
      </c>
      <c r="R2720">
        <v>0.99657483176905104</v>
      </c>
      <c r="S2720" t="s">
        <v>9390</v>
      </c>
      <c r="T2720" t="s">
        <v>13338</v>
      </c>
      <c r="U2720" t="s">
        <v>13338</v>
      </c>
      <c r="V2720" t="s">
        <v>13338</v>
      </c>
      <c r="W2720" t="s">
        <v>16016</v>
      </c>
      <c r="X2720">
        <v>5</v>
      </c>
      <c r="Y2720" t="s">
        <v>22572</v>
      </c>
      <c r="Z2720" t="s">
        <v>29135</v>
      </c>
      <c r="AA2720">
        <v>0.55541578124693936</v>
      </c>
      <c r="AB2720" t="str">
        <f>HYPERLINK("Melting_Curves/meltCurve_P51151_RAB9A.pdf", "Melting_Curves/meltCurve_P51151_RAB9A.pdf")</f>
        <v>Melting_Curves/meltCurve_P51151_RAB9A.pdf</v>
      </c>
    </row>
    <row r="2721" spans="1:28" x14ac:dyDescent="0.25">
      <c r="A2721" t="s">
        <v>2725</v>
      </c>
      <c r="B2721">
        <v>0.99193492352474899</v>
      </c>
      <c r="C2721">
        <v>0.92116312394784094</v>
      </c>
      <c r="D2721">
        <v>0.98009967182594904</v>
      </c>
      <c r="E2721">
        <v>0.63208850926022397</v>
      </c>
      <c r="F2721">
        <v>0.213357085234743</v>
      </c>
      <c r="G2721">
        <v>0.12360913045284801</v>
      </c>
      <c r="H2721">
        <v>7.2615053464309604E-2</v>
      </c>
      <c r="I2721">
        <v>8.4562427558142098E-2</v>
      </c>
      <c r="J2721">
        <v>9.2431599247718696E-2</v>
      </c>
      <c r="K2721">
        <v>8.7042269765148006E-2</v>
      </c>
      <c r="L2721">
        <v>1645.5980948798001</v>
      </c>
      <c r="M2721">
        <v>32.763655031464801</v>
      </c>
      <c r="N2721">
        <v>50.521045161893603</v>
      </c>
      <c r="O2721">
        <v>50.0403253490203</v>
      </c>
      <c r="P2721">
        <v>-0.14944899143851401</v>
      </c>
      <c r="Q2721">
        <v>8.6983206472277794E-2</v>
      </c>
      <c r="R2721">
        <v>0.99544609702882503</v>
      </c>
      <c r="S2721" t="s">
        <v>9391</v>
      </c>
      <c r="T2721" t="s">
        <v>13338</v>
      </c>
      <c r="U2721" t="s">
        <v>13338</v>
      </c>
      <c r="V2721" t="s">
        <v>13338</v>
      </c>
      <c r="W2721" t="s">
        <v>16017</v>
      </c>
      <c r="X2721">
        <v>6</v>
      </c>
      <c r="Y2721" t="s">
        <v>22573</v>
      </c>
      <c r="Z2721" t="s">
        <v>29136</v>
      </c>
      <c r="AA2721">
        <v>0.40295404329322271</v>
      </c>
      <c r="AB2721" t="str">
        <f>HYPERLINK("Melting_Curves/meltCurve_P51157_RAB28.pdf", "Melting_Curves/meltCurve_P51157_RAB28.pdf")</f>
        <v>Melting_Curves/meltCurve_P51157_RAB28.pdf</v>
      </c>
    </row>
    <row r="2722" spans="1:28" x14ac:dyDescent="0.25">
      <c r="A2722" t="s">
        <v>2726</v>
      </c>
      <c r="B2722">
        <v>0.99193492352474899</v>
      </c>
      <c r="C2722">
        <v>0.85322259533370504</v>
      </c>
      <c r="D2722">
        <v>0.97448186720263696</v>
      </c>
      <c r="E2722">
        <v>0.71495246624050102</v>
      </c>
      <c r="F2722">
        <v>0.50894330853479397</v>
      </c>
      <c r="G2722">
        <v>0.27756314654865</v>
      </c>
      <c r="H2722">
        <v>0.142676163898626</v>
      </c>
      <c r="I2722">
        <v>0.126104539956615</v>
      </c>
      <c r="J2722">
        <v>0.13883530531962199</v>
      </c>
      <c r="K2722">
        <v>0.14980200640446001</v>
      </c>
      <c r="L2722">
        <v>896.66026685602799</v>
      </c>
      <c r="M2722">
        <v>17.190001874038501</v>
      </c>
      <c r="N2722">
        <v>52.907410833520302</v>
      </c>
      <c r="O2722">
        <v>51.471176177459398</v>
      </c>
      <c r="P2722">
        <v>-7.4515569187147898E-2</v>
      </c>
      <c r="Q2722">
        <v>0.107579718891716</v>
      </c>
      <c r="R2722">
        <v>0.98086216144073002</v>
      </c>
      <c r="S2722" t="s">
        <v>9392</v>
      </c>
      <c r="T2722" t="s">
        <v>13338</v>
      </c>
      <c r="U2722" t="s">
        <v>13338</v>
      </c>
      <c r="V2722" t="s">
        <v>13338</v>
      </c>
      <c r="W2722" t="s">
        <v>16018</v>
      </c>
      <c r="X2722">
        <v>6</v>
      </c>
      <c r="Y2722" t="s">
        <v>22574</v>
      </c>
      <c r="Z2722" t="s">
        <v>29137</v>
      </c>
      <c r="AA2722">
        <v>0.48535853632190401</v>
      </c>
      <c r="AB2722" t="str">
        <f>HYPERLINK("Melting_Curves/meltCurve_P51159_RAB27A.pdf", "Melting_Curves/meltCurve_P51159_RAB27A.pdf")</f>
        <v>Melting_Curves/meltCurve_P51159_RAB27A.pdf</v>
      </c>
    </row>
    <row r="2723" spans="1:28" x14ac:dyDescent="0.25">
      <c r="A2723" t="s">
        <v>2727</v>
      </c>
      <c r="B2723">
        <v>0.99193492352474899</v>
      </c>
      <c r="C2723">
        <v>0.72960680628319796</v>
      </c>
      <c r="D2723">
        <v>0.70473759942784397</v>
      </c>
      <c r="E2723">
        <v>0.36502690999816501</v>
      </c>
      <c r="F2723">
        <v>0.10302160083150699</v>
      </c>
      <c r="G2723">
        <v>5.1227185205143203E-2</v>
      </c>
      <c r="H2723">
        <v>2.92474628376958E-2</v>
      </c>
      <c r="I2723">
        <v>3.7186095616739502E-2</v>
      </c>
      <c r="J2723">
        <v>3.7455566871585501E-2</v>
      </c>
      <c r="K2723">
        <v>3.53888549421063E-2</v>
      </c>
      <c r="L2723">
        <v>758.25234182113297</v>
      </c>
      <c r="M2723">
        <v>15.9626893100657</v>
      </c>
      <c r="N2723">
        <v>47.5514346525867</v>
      </c>
      <c r="O2723">
        <v>46.774814041293098</v>
      </c>
      <c r="P2723">
        <v>-8.4614945946291195E-2</v>
      </c>
      <c r="Q2723">
        <v>8.3040550499303492E-3</v>
      </c>
      <c r="R2723">
        <v>0.978041763223234</v>
      </c>
      <c r="S2723" t="s">
        <v>9393</v>
      </c>
      <c r="T2723" t="s">
        <v>13338</v>
      </c>
      <c r="U2723" t="s">
        <v>13338</v>
      </c>
      <c r="V2723" t="s">
        <v>13338</v>
      </c>
      <c r="W2723" t="s">
        <v>16019</v>
      </c>
      <c r="X2723">
        <v>9</v>
      </c>
      <c r="Y2723" t="s">
        <v>22575</v>
      </c>
      <c r="Z2723" t="s">
        <v>29138</v>
      </c>
      <c r="AA2723">
        <v>0.2793228254719613</v>
      </c>
      <c r="AB2723" t="str">
        <f>HYPERLINK("Melting_Curves/meltCurve_P51398_2_DAP3.pdf", "Melting_Curves/meltCurve_P51398_2_DAP3.pdf")</f>
        <v>Melting_Curves/meltCurve_P51398_2_DAP3.pdf</v>
      </c>
    </row>
    <row r="2724" spans="1:28" x14ac:dyDescent="0.25">
      <c r="A2724" t="s">
        <v>2728</v>
      </c>
      <c r="B2724">
        <v>0.99193492352474899</v>
      </c>
      <c r="C2724">
        <v>0.82391923965740799</v>
      </c>
      <c r="D2724">
        <v>1.0339393001688</v>
      </c>
      <c r="E2724">
        <v>0.69118015596646198</v>
      </c>
      <c r="F2724">
        <v>0.23264349484101299</v>
      </c>
      <c r="G2724">
        <v>0.128778365058277</v>
      </c>
      <c r="H2724">
        <v>8.9235587953012604E-2</v>
      </c>
      <c r="I2724">
        <v>7.9024341017994396E-2</v>
      </c>
      <c r="J2724">
        <v>9.6592332536737796E-2</v>
      </c>
      <c r="K2724">
        <v>8.6641046741786895E-2</v>
      </c>
      <c r="L2724">
        <v>1793.7143735459699</v>
      </c>
      <c r="M2724">
        <v>35.450860510462903</v>
      </c>
      <c r="N2724">
        <v>50.8891578726247</v>
      </c>
      <c r="O2724">
        <v>50.437015295638801</v>
      </c>
      <c r="P2724">
        <v>-0.159549849762644</v>
      </c>
      <c r="Q2724">
        <v>9.2017445060811401E-2</v>
      </c>
      <c r="R2724">
        <v>0.97684808408592405</v>
      </c>
      <c r="S2724" t="s">
        <v>9394</v>
      </c>
      <c r="T2724" t="s">
        <v>13338</v>
      </c>
      <c r="U2724" t="s">
        <v>13338</v>
      </c>
      <c r="V2724" t="s">
        <v>13338</v>
      </c>
      <c r="W2724" t="s">
        <v>16020</v>
      </c>
      <c r="X2724">
        <v>6</v>
      </c>
      <c r="Y2724" t="s">
        <v>22576</v>
      </c>
      <c r="Z2724" t="s">
        <v>29139</v>
      </c>
      <c r="AA2724">
        <v>0.41680453767112979</v>
      </c>
      <c r="AB2724" t="str">
        <f>HYPERLINK("Melting_Curves/meltCurve_P51452_DUSP3.pdf", "Melting_Curves/meltCurve_P51452_DUSP3.pdf")</f>
        <v>Melting_Curves/meltCurve_P51452_DUSP3.pdf</v>
      </c>
    </row>
    <row r="2725" spans="1:28" x14ac:dyDescent="0.25">
      <c r="A2725" t="s">
        <v>2729</v>
      </c>
      <c r="B2725">
        <v>0.99193492352474899</v>
      </c>
      <c r="C2725">
        <v>0.90126890176936103</v>
      </c>
      <c r="D2725">
        <v>0.88767419574123696</v>
      </c>
      <c r="E2725">
        <v>0.58850350883981295</v>
      </c>
      <c r="F2725">
        <v>0.40361817631243302</v>
      </c>
      <c r="G2725">
        <v>0.140080161887082</v>
      </c>
      <c r="H2725">
        <v>8.5528958909161706E-2</v>
      </c>
      <c r="I2725">
        <v>8.8061504013803596E-2</v>
      </c>
      <c r="J2725">
        <v>0.105997831345294</v>
      </c>
      <c r="K2725">
        <v>0.105379674734436</v>
      </c>
      <c r="L2725">
        <v>880.35029451042703</v>
      </c>
      <c r="M2725">
        <v>17.408466336334001</v>
      </c>
      <c r="N2725">
        <v>51.016868517663603</v>
      </c>
      <c r="O2725">
        <v>49.917086026458001</v>
      </c>
      <c r="P2725">
        <v>-8.1029184340016103E-2</v>
      </c>
      <c r="Q2725">
        <v>7.0679049181367401E-2</v>
      </c>
      <c r="R2725">
        <v>0.99001166436311805</v>
      </c>
      <c r="S2725" t="s">
        <v>9395</v>
      </c>
      <c r="T2725" t="s">
        <v>13338</v>
      </c>
      <c r="U2725" t="s">
        <v>13338</v>
      </c>
      <c r="V2725" t="s">
        <v>13338</v>
      </c>
      <c r="W2725" t="s">
        <v>16021</v>
      </c>
      <c r="X2725">
        <v>6</v>
      </c>
      <c r="Y2725" t="s">
        <v>22577</v>
      </c>
      <c r="Z2725" t="s">
        <v>29140</v>
      </c>
      <c r="AA2725">
        <v>0.41484876175033142</v>
      </c>
      <c r="AB2725" t="str">
        <f>HYPERLINK("Melting_Curves/meltCurve_P51513_5_NOVA1.pdf", "Melting_Curves/meltCurve_P51513_5_NOVA1.pdf")</f>
        <v>Melting_Curves/meltCurve_P51513_5_NOVA1.pdf</v>
      </c>
    </row>
    <row r="2726" spans="1:28" x14ac:dyDescent="0.25">
      <c r="A2726" t="s">
        <v>2730</v>
      </c>
      <c r="B2726">
        <v>0.99193492352474899</v>
      </c>
      <c r="C2726">
        <v>0.80664746350618499</v>
      </c>
      <c r="D2726">
        <v>0.83452294081162404</v>
      </c>
      <c r="E2726">
        <v>0.58694980770619198</v>
      </c>
      <c r="F2726">
        <v>0.53859517261727596</v>
      </c>
      <c r="G2726">
        <v>0.35111980872335302</v>
      </c>
      <c r="H2726">
        <v>0.246981154958195</v>
      </c>
      <c r="I2726">
        <v>0.25706552686040002</v>
      </c>
      <c r="J2726">
        <v>0.28220807041435603</v>
      </c>
      <c r="K2726">
        <v>0.34417238198477101</v>
      </c>
      <c r="L2726">
        <v>597.33235024792702</v>
      </c>
      <c r="M2726">
        <v>12.090623437260099</v>
      </c>
      <c r="N2726">
        <v>52.355362696753097</v>
      </c>
      <c r="O2726">
        <v>48.111326986661801</v>
      </c>
      <c r="P2726">
        <v>-4.7315953264514397E-2</v>
      </c>
      <c r="Q2726">
        <v>0.24705279258167401</v>
      </c>
      <c r="R2726">
        <v>0.95503139288684102</v>
      </c>
      <c r="S2726" t="s">
        <v>9396</v>
      </c>
      <c r="T2726" t="s">
        <v>13338</v>
      </c>
      <c r="U2726" t="s">
        <v>13338</v>
      </c>
      <c r="V2726" t="s">
        <v>13338</v>
      </c>
      <c r="W2726" t="s">
        <v>16022</v>
      </c>
      <c r="X2726">
        <v>16</v>
      </c>
      <c r="Y2726" t="s">
        <v>22578</v>
      </c>
      <c r="Z2726" t="s">
        <v>29141</v>
      </c>
      <c r="AA2726">
        <v>0.50975920091749816</v>
      </c>
      <c r="AB2726" t="str">
        <f>HYPERLINK("Melting_Curves/meltCurve_P51531_SMARCA2.pdf", "Melting_Curves/meltCurve_P51531_SMARCA2.pdf")</f>
        <v>Melting_Curves/meltCurve_P51531_SMARCA2.pdf</v>
      </c>
    </row>
    <row r="2727" spans="1:28" x14ac:dyDescent="0.25">
      <c r="A2727" t="s">
        <v>2731</v>
      </c>
      <c r="B2727">
        <v>0.99193492352474899</v>
      </c>
      <c r="C2727">
        <v>1.0466257929707801</v>
      </c>
      <c r="D2727">
        <v>1.12034690033443</v>
      </c>
      <c r="E2727">
        <v>0.86941395822321299</v>
      </c>
      <c r="F2727">
        <v>0.57503861753882501</v>
      </c>
      <c r="G2727">
        <v>0.32473928921839101</v>
      </c>
      <c r="H2727">
        <v>0.157814325986978</v>
      </c>
      <c r="I2727">
        <v>0.15239680424083701</v>
      </c>
      <c r="J2727">
        <v>0.131820940012982</v>
      </c>
      <c r="K2727">
        <v>0.16498632607973801</v>
      </c>
      <c r="L2727">
        <v>1368.25589530457</v>
      </c>
      <c r="M2727">
        <v>25.640917018268102</v>
      </c>
      <c r="N2727">
        <v>54.074280116566399</v>
      </c>
      <c r="O2727">
        <v>53.0408026340398</v>
      </c>
      <c r="P2727">
        <v>-0.103540371256159</v>
      </c>
      <c r="Q2727">
        <v>0.143275959239337</v>
      </c>
      <c r="R2727">
        <v>0.98505467266068902</v>
      </c>
      <c r="S2727" t="s">
        <v>9397</v>
      </c>
      <c r="T2727" t="s">
        <v>13338</v>
      </c>
      <c r="U2727" t="s">
        <v>13338</v>
      </c>
      <c r="V2727" t="s">
        <v>13338</v>
      </c>
      <c r="W2727" t="s">
        <v>16023</v>
      </c>
      <c r="X2727">
        <v>5</v>
      </c>
      <c r="Y2727" t="s">
        <v>22579</v>
      </c>
      <c r="Z2727" t="s">
        <v>29142</v>
      </c>
      <c r="AA2727">
        <v>0.53240818807899104</v>
      </c>
      <c r="AB2727" t="str">
        <f>HYPERLINK("Melting_Curves/meltCurve_P51553_IDH3G.pdf", "Melting_Curves/meltCurve_P51553_IDH3G.pdf")</f>
        <v>Melting_Curves/meltCurve_P51553_IDH3G.pdf</v>
      </c>
    </row>
    <row r="2728" spans="1:28" x14ac:dyDescent="0.25">
      <c r="A2728" t="s">
        <v>2732</v>
      </c>
      <c r="B2728">
        <v>0.99193492352474899</v>
      </c>
      <c r="C2728">
        <v>1.0449028903755599</v>
      </c>
      <c r="D2728">
        <v>0.89502507727120195</v>
      </c>
      <c r="E2728">
        <v>0.77834594434820403</v>
      </c>
      <c r="F2728">
        <v>0.45632861952731102</v>
      </c>
      <c r="G2728">
        <v>0.188964285568716</v>
      </c>
      <c r="H2728">
        <v>9.2022239103868697E-2</v>
      </c>
      <c r="I2728">
        <v>9.1927015286937599E-2</v>
      </c>
      <c r="J2728">
        <v>9.4442552719638306E-2</v>
      </c>
      <c r="K2728">
        <v>9.3100390016813597E-2</v>
      </c>
      <c r="L2728">
        <v>1132.81507819748</v>
      </c>
      <c r="M2728">
        <v>21.7251089263887</v>
      </c>
      <c r="N2728">
        <v>52.534016784320301</v>
      </c>
      <c r="O2728">
        <v>51.707358202951603</v>
      </c>
      <c r="P2728">
        <v>-9.7201956799450207E-2</v>
      </c>
      <c r="Q2728">
        <v>7.4630468506726499E-2</v>
      </c>
      <c r="R2728">
        <v>0.99493478142376901</v>
      </c>
      <c r="S2728" t="s">
        <v>9398</v>
      </c>
      <c r="T2728" t="s">
        <v>13338</v>
      </c>
      <c r="U2728" t="s">
        <v>13338</v>
      </c>
      <c r="V2728" t="s">
        <v>13338</v>
      </c>
      <c r="W2728" t="s">
        <v>16024</v>
      </c>
      <c r="X2728">
        <v>16</v>
      </c>
      <c r="Y2728" t="s">
        <v>22580</v>
      </c>
      <c r="Z2728" t="s">
        <v>29143</v>
      </c>
      <c r="AA2728">
        <v>0.4602101961421704</v>
      </c>
      <c r="AB2728" t="str">
        <f>HYPERLINK("Melting_Curves/meltCurve_P51570_GALK1.pdf", "Melting_Curves/meltCurve_P51570_GALK1.pdf")</f>
        <v>Melting_Curves/meltCurve_P51570_GALK1.pdf</v>
      </c>
    </row>
    <row r="2729" spans="1:28" x14ac:dyDescent="0.25">
      <c r="A2729" t="s">
        <v>2733</v>
      </c>
      <c r="B2729">
        <v>0.99193492352474899</v>
      </c>
      <c r="C2729">
        <v>0.79653668074939099</v>
      </c>
      <c r="D2729">
        <v>0.85710793265250895</v>
      </c>
      <c r="E2729">
        <v>0.67122247064933604</v>
      </c>
      <c r="F2729">
        <v>0.53527449912201097</v>
      </c>
      <c r="G2729">
        <v>0.35484250352130497</v>
      </c>
      <c r="H2729">
        <v>0.106143648995376</v>
      </c>
      <c r="I2729">
        <v>0.10126615602441</v>
      </c>
      <c r="J2729">
        <v>0.101143412805503</v>
      </c>
      <c r="K2729">
        <v>0.118300807540583</v>
      </c>
      <c r="L2729">
        <v>561.70942756746695</v>
      </c>
      <c r="M2729">
        <v>10.6228377440163</v>
      </c>
      <c r="N2729">
        <v>52.877528141785703</v>
      </c>
      <c r="O2729">
        <v>51.106890017870498</v>
      </c>
      <c r="P2729">
        <v>-5.1983873861723401E-2</v>
      </c>
      <c r="Q2729">
        <v>0</v>
      </c>
      <c r="R2729">
        <v>0.97026385009683802</v>
      </c>
      <c r="S2729" t="s">
        <v>9399</v>
      </c>
      <c r="T2729" t="s">
        <v>13338</v>
      </c>
      <c r="U2729" t="s">
        <v>13338</v>
      </c>
      <c r="V2729" t="s">
        <v>13338</v>
      </c>
      <c r="W2729" t="s">
        <v>16025</v>
      </c>
      <c r="X2729">
        <v>6</v>
      </c>
      <c r="Y2729" t="s">
        <v>22581</v>
      </c>
      <c r="Z2729" t="s">
        <v>29144</v>
      </c>
      <c r="AA2729">
        <v>0.46197935995368999</v>
      </c>
      <c r="AB2729" t="str">
        <f>HYPERLINK("Melting_Curves/meltCurve_P51571_SSR4.pdf", "Melting_Curves/meltCurve_P51571_SSR4.pdf")</f>
        <v>Melting_Curves/meltCurve_P51571_SSR4.pdf</v>
      </c>
    </row>
    <row r="2730" spans="1:28" x14ac:dyDescent="0.25">
      <c r="A2730" t="s">
        <v>2734</v>
      </c>
      <c r="B2730">
        <v>0.99193492352474899</v>
      </c>
      <c r="C2730">
        <v>0.82721311795818697</v>
      </c>
      <c r="D2730">
        <v>0.92843481255649496</v>
      </c>
      <c r="E2730">
        <v>0.71557892015690105</v>
      </c>
      <c r="F2730">
        <v>0.70443912847262902</v>
      </c>
      <c r="G2730">
        <v>0.520070435210499</v>
      </c>
      <c r="H2730">
        <v>0.491770812805913</v>
      </c>
      <c r="I2730">
        <v>0.57993189697114</v>
      </c>
      <c r="J2730">
        <v>0.76356340822665703</v>
      </c>
      <c r="K2730">
        <v>0.89779988082161899</v>
      </c>
      <c r="L2730">
        <v>862.67497258654601</v>
      </c>
      <c r="M2730">
        <v>18.646762377581801</v>
      </c>
      <c r="O2730">
        <v>45.741814750116497</v>
      </c>
      <c r="P2730">
        <v>-3.5207534230233803E-2</v>
      </c>
      <c r="Q2730">
        <v>0.65454859864253101</v>
      </c>
      <c r="R2730">
        <v>0.45778106458835299</v>
      </c>
      <c r="S2730" t="s">
        <v>9400</v>
      </c>
      <c r="T2730" t="s">
        <v>13338</v>
      </c>
      <c r="U2730" t="s">
        <v>13338</v>
      </c>
      <c r="V2730" t="s">
        <v>13338</v>
      </c>
      <c r="W2730" t="s">
        <v>16026</v>
      </c>
      <c r="X2730">
        <v>25</v>
      </c>
      <c r="Y2730" t="s">
        <v>22582</v>
      </c>
      <c r="Z2730" t="s">
        <v>29145</v>
      </c>
      <c r="AA2730">
        <v>0.73282771940014635</v>
      </c>
      <c r="AB2730" t="str">
        <f>HYPERLINK("Melting_Curves/meltCurve_P51572_BCAP31.pdf", "Melting_Curves/meltCurve_P51572_BCAP31.pdf")</f>
        <v>Melting_Curves/meltCurve_P51572_BCAP31.pdf</v>
      </c>
    </row>
    <row r="2731" spans="1:28" x14ac:dyDescent="0.25">
      <c r="A2731" t="s">
        <v>2735</v>
      </c>
      <c r="B2731">
        <v>0.99193492352474899</v>
      </c>
      <c r="C2731">
        <v>0.79663663878202196</v>
      </c>
      <c r="D2731">
        <v>0.91245593764148802</v>
      </c>
      <c r="E2731">
        <v>0.71637035834260099</v>
      </c>
      <c r="F2731">
        <v>0.48902232044277799</v>
      </c>
      <c r="G2731">
        <v>0.19537811897328999</v>
      </c>
      <c r="H2731">
        <v>9.7077672362070794E-2</v>
      </c>
      <c r="I2731">
        <v>0.107344519618791</v>
      </c>
      <c r="J2731">
        <v>0.131172115910204</v>
      </c>
      <c r="K2731">
        <v>0.16785220777799401</v>
      </c>
      <c r="L2731">
        <v>891.96613821800099</v>
      </c>
      <c r="M2731">
        <v>17.263942736020301</v>
      </c>
      <c r="N2731">
        <v>52.292475079194297</v>
      </c>
      <c r="O2731">
        <v>50.988135192801302</v>
      </c>
      <c r="P2731">
        <v>-7.6748536471446305E-2</v>
      </c>
      <c r="Q2731">
        <v>9.3361876395978399E-2</v>
      </c>
      <c r="R2731">
        <v>0.961174307976979</v>
      </c>
      <c r="S2731" t="s">
        <v>9401</v>
      </c>
      <c r="T2731" t="s">
        <v>13338</v>
      </c>
      <c r="U2731" t="s">
        <v>13338</v>
      </c>
      <c r="V2731" t="s">
        <v>13338</v>
      </c>
      <c r="W2731" t="s">
        <v>16027</v>
      </c>
      <c r="X2731">
        <v>12</v>
      </c>
      <c r="Y2731" t="s">
        <v>22583</v>
      </c>
      <c r="Z2731" t="s">
        <v>29146</v>
      </c>
      <c r="AA2731">
        <v>0.46221906883563407</v>
      </c>
      <c r="AB2731" t="str">
        <f>HYPERLINK("Melting_Curves/meltCurve_P51580_TPMT.pdf", "Melting_Curves/meltCurve_P51580_TPMT.pdf")</f>
        <v>Melting_Curves/meltCurve_P51580_TPMT.pdf</v>
      </c>
    </row>
    <row r="2732" spans="1:28" x14ac:dyDescent="0.25">
      <c r="A2732" t="s">
        <v>2736</v>
      </c>
      <c r="B2732">
        <v>0.99193492352474899</v>
      </c>
      <c r="C2732">
        <v>0.39030564432449999</v>
      </c>
      <c r="D2732">
        <v>0.92011222038834495</v>
      </c>
      <c r="E2732">
        <v>0.36650371692803202</v>
      </c>
      <c r="F2732">
        <v>0.35908004144212702</v>
      </c>
      <c r="G2732">
        <v>0.164679428600706</v>
      </c>
      <c r="H2732">
        <v>0.175892613320797</v>
      </c>
      <c r="I2732">
        <v>0.120864480053749</v>
      </c>
      <c r="J2732">
        <v>0.20631317672700999</v>
      </c>
      <c r="K2732">
        <v>0.236453558480229</v>
      </c>
      <c r="L2732">
        <v>463.62660212254798</v>
      </c>
      <c r="M2732">
        <v>9.9167246157128499</v>
      </c>
      <c r="N2732">
        <v>48.143595365529997</v>
      </c>
      <c r="O2732">
        <v>44.969967181633102</v>
      </c>
      <c r="P2732">
        <v>-4.8284130084249199E-2</v>
      </c>
      <c r="Q2732">
        <v>0.124611393635225</v>
      </c>
      <c r="R2732">
        <v>0.68548501066037704</v>
      </c>
      <c r="S2732" t="s">
        <v>9402</v>
      </c>
      <c r="T2732" t="s">
        <v>13338</v>
      </c>
      <c r="U2732" t="s">
        <v>13338</v>
      </c>
      <c r="V2732" t="s">
        <v>13338</v>
      </c>
      <c r="W2732" t="s">
        <v>16028</v>
      </c>
      <c r="X2732">
        <v>7</v>
      </c>
      <c r="Y2732" t="s">
        <v>22584</v>
      </c>
      <c r="Z2732" t="s">
        <v>29147</v>
      </c>
      <c r="AA2732">
        <v>0.37366842332237482</v>
      </c>
      <c r="AB2732" t="str">
        <f>HYPERLINK("Melting_Curves/meltCurve_P51608_MECP2.pdf", "Melting_Curves/meltCurve_P51608_MECP2.pdf")</f>
        <v>Melting_Curves/meltCurve_P51608_MECP2.pdf</v>
      </c>
    </row>
    <row r="2733" spans="1:28" x14ac:dyDescent="0.25">
      <c r="A2733" t="s">
        <v>2737</v>
      </c>
      <c r="B2733">
        <v>0.99193492352474899</v>
      </c>
      <c r="C2733">
        <v>0.93783258102996703</v>
      </c>
      <c r="D2733">
        <v>1.12108848075175</v>
      </c>
      <c r="E2733">
        <v>0.49791905580787299</v>
      </c>
      <c r="F2733">
        <v>0.32895427683307898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1311.77798514035</v>
      </c>
      <c r="M2733">
        <v>25.957957145528699</v>
      </c>
      <c r="N2733">
        <v>50.534715811992797</v>
      </c>
      <c r="O2733">
        <v>50.237659601439603</v>
      </c>
      <c r="P2733">
        <v>-0.129177286020973</v>
      </c>
      <c r="Q2733">
        <v>0</v>
      </c>
      <c r="R2733">
        <v>0.96391926158749297</v>
      </c>
      <c r="S2733" t="s">
        <v>9403</v>
      </c>
      <c r="T2733" t="s">
        <v>13338</v>
      </c>
      <c r="U2733" t="s">
        <v>13338</v>
      </c>
      <c r="V2733" t="s">
        <v>13338</v>
      </c>
      <c r="W2733" t="s">
        <v>16029</v>
      </c>
      <c r="X2733">
        <v>29</v>
      </c>
      <c r="Y2733" t="s">
        <v>19971</v>
      </c>
      <c r="Z2733" t="s">
        <v>29148</v>
      </c>
      <c r="AA2733">
        <v>0.35949704138748328</v>
      </c>
      <c r="AB2733" t="str">
        <f>HYPERLINK("Melting_Curves/meltCurve_P51610_2_HCFC1.pdf", "Melting_Curves/meltCurve_P51610_2_HCFC1.pdf")</f>
        <v>Melting_Curves/meltCurve_P51610_2_HCFC1.pdf</v>
      </c>
    </row>
    <row r="2734" spans="1:28" x14ac:dyDescent="0.25">
      <c r="A2734" t="s">
        <v>2738</v>
      </c>
      <c r="B2734">
        <v>0.99193492352474899</v>
      </c>
      <c r="C2734">
        <v>1.08916453870412</v>
      </c>
      <c r="D2734">
        <v>0.90664334870300201</v>
      </c>
      <c r="E2734">
        <v>0.97871987878919997</v>
      </c>
      <c r="F2734">
        <v>0.73963146604760199</v>
      </c>
      <c r="G2734">
        <v>0.62237658869683099</v>
      </c>
      <c r="H2734">
        <v>0.162751797620758</v>
      </c>
      <c r="I2734">
        <v>0.10768595877470501</v>
      </c>
      <c r="J2734">
        <v>9.7700513714135906E-2</v>
      </c>
      <c r="K2734">
        <v>9.1175768798475706E-2</v>
      </c>
      <c r="L2734">
        <v>1192.48997737483</v>
      </c>
      <c r="M2734">
        <v>20.9785648524952</v>
      </c>
      <c r="N2734">
        <v>57.093079780414698</v>
      </c>
      <c r="O2734">
        <v>56.3343108842124</v>
      </c>
      <c r="P2734">
        <v>-8.9018150958450296E-2</v>
      </c>
      <c r="Q2734">
        <v>4.3854315708894198E-2</v>
      </c>
      <c r="R2734">
        <v>0.97572734513229997</v>
      </c>
      <c r="S2734" t="s">
        <v>9404</v>
      </c>
      <c r="T2734" t="s">
        <v>13338</v>
      </c>
      <c r="U2734" t="s">
        <v>13338</v>
      </c>
      <c r="V2734" t="s">
        <v>13338</v>
      </c>
      <c r="W2734" t="s">
        <v>16030</v>
      </c>
      <c r="X2734">
        <v>18</v>
      </c>
      <c r="Y2734" t="s">
        <v>22585</v>
      </c>
      <c r="Z2734" t="s">
        <v>29149</v>
      </c>
      <c r="AA2734">
        <v>0.59180127988688969</v>
      </c>
      <c r="AB2734" t="str">
        <f>HYPERLINK("Melting_Curves/meltCurve_P51649_ALDH5A1.pdf", "Melting_Curves/meltCurve_P51649_ALDH5A1.pdf")</f>
        <v>Melting_Curves/meltCurve_P51649_ALDH5A1.pdf</v>
      </c>
    </row>
    <row r="2735" spans="1:28" x14ac:dyDescent="0.25">
      <c r="A2735" t="s">
        <v>2739</v>
      </c>
      <c r="B2735">
        <v>0.99193492352474899</v>
      </c>
      <c r="C2735">
        <v>0.86719178722605195</v>
      </c>
      <c r="D2735">
        <v>0.86968709149553503</v>
      </c>
      <c r="E2735">
        <v>0.740070877339289</v>
      </c>
      <c r="F2735">
        <v>0.50252917482154302</v>
      </c>
      <c r="G2735">
        <v>0.19342899522773899</v>
      </c>
      <c r="H2735">
        <v>9.4170951731929894E-2</v>
      </c>
      <c r="I2735">
        <v>8.7577449648366099E-2</v>
      </c>
      <c r="J2735">
        <v>9.1489708384864796E-2</v>
      </c>
      <c r="K2735">
        <v>9.0110738949873301E-2</v>
      </c>
      <c r="L2735">
        <v>839.35845227239304</v>
      </c>
      <c r="M2735">
        <v>16.070137663341601</v>
      </c>
      <c r="N2735">
        <v>52.526239382602299</v>
      </c>
      <c r="O2735">
        <v>51.442225137232697</v>
      </c>
      <c r="P2735">
        <v>-7.47305664040782E-2</v>
      </c>
      <c r="Q2735">
        <v>4.3191696856857302E-2</v>
      </c>
      <c r="R2735">
        <v>0.98373629163821996</v>
      </c>
      <c r="S2735" t="s">
        <v>9405</v>
      </c>
      <c r="T2735" t="s">
        <v>13338</v>
      </c>
      <c r="U2735" t="s">
        <v>13338</v>
      </c>
      <c r="V2735" t="s">
        <v>13338</v>
      </c>
      <c r="W2735" t="s">
        <v>16031</v>
      </c>
      <c r="X2735">
        <v>34</v>
      </c>
      <c r="Y2735" t="s">
        <v>22586</v>
      </c>
      <c r="Z2735" t="s">
        <v>29150</v>
      </c>
      <c r="AA2735">
        <v>0.45236767739138811</v>
      </c>
      <c r="AB2735" t="str">
        <f>HYPERLINK("Melting_Curves/meltCurve_P51659_HSD17B4.pdf", "Melting_Curves/meltCurve_P51659_HSD17B4.pdf")</f>
        <v>Melting_Curves/meltCurve_P51659_HSD17B4.pdf</v>
      </c>
    </row>
    <row r="2736" spans="1:28" x14ac:dyDescent="0.25">
      <c r="A2736" t="s">
        <v>2740</v>
      </c>
      <c r="B2736">
        <v>0.99193492352474899</v>
      </c>
      <c r="C2736">
        <v>0.80032999393461302</v>
      </c>
      <c r="D2736">
        <v>0.78835815296318801</v>
      </c>
      <c r="E2736">
        <v>0.57875500350653797</v>
      </c>
      <c r="F2736">
        <v>0.490499941967246</v>
      </c>
      <c r="G2736">
        <v>0.18853350646870901</v>
      </c>
      <c r="H2736">
        <v>8.5099448382930903E-2</v>
      </c>
      <c r="I2736">
        <v>7.2730456346730393E-2</v>
      </c>
      <c r="J2736">
        <v>0.10130055680811199</v>
      </c>
      <c r="K2736">
        <v>0.10887418986438301</v>
      </c>
      <c r="L2736">
        <v>568.19127764046505</v>
      </c>
      <c r="M2736">
        <v>11.142268522280499</v>
      </c>
      <c r="N2736">
        <v>51.086120573549501</v>
      </c>
      <c r="O2736">
        <v>49.434348334992698</v>
      </c>
      <c r="P2736">
        <v>-5.5807724175491999E-2</v>
      </c>
      <c r="Q2736">
        <v>9.9206714982420507E-3</v>
      </c>
      <c r="R2736">
        <v>0.97132313259088099</v>
      </c>
      <c r="S2736" t="s">
        <v>9406</v>
      </c>
      <c r="T2736" t="s">
        <v>13338</v>
      </c>
      <c r="U2736" t="s">
        <v>13338</v>
      </c>
      <c r="V2736" t="s">
        <v>13338</v>
      </c>
      <c r="W2736" t="s">
        <v>16032</v>
      </c>
      <c r="X2736">
        <v>13</v>
      </c>
      <c r="Y2736" t="s">
        <v>22587</v>
      </c>
      <c r="Z2736" t="s">
        <v>29151</v>
      </c>
      <c r="AA2736">
        <v>0.40857496789300563</v>
      </c>
      <c r="AB2736" t="str">
        <f>HYPERLINK("Melting_Curves/meltCurve_P51665_PSMD7.pdf", "Melting_Curves/meltCurve_P51665_PSMD7.pdf")</f>
        <v>Melting_Curves/meltCurve_P51665_PSMD7.pdf</v>
      </c>
    </row>
    <row r="2737" spans="1:28" x14ac:dyDescent="0.25">
      <c r="A2737" t="s">
        <v>2741</v>
      </c>
      <c r="B2737">
        <v>0.99193492352474899</v>
      </c>
      <c r="C2737">
        <v>0.76416199749611402</v>
      </c>
      <c r="D2737">
        <v>0.85900364127968498</v>
      </c>
      <c r="E2737">
        <v>0.22974487025731799</v>
      </c>
      <c r="F2737">
        <v>9.3068233591718993E-2</v>
      </c>
      <c r="G2737">
        <v>1.6156220949214699E-2</v>
      </c>
      <c r="H2737">
        <v>1.36662803288821E-2</v>
      </c>
      <c r="I2737">
        <v>1.1383900256038E-2</v>
      </c>
      <c r="J2737">
        <v>1.23374847683306E-2</v>
      </c>
      <c r="K2737">
        <v>2.5185808754747699E-2</v>
      </c>
      <c r="L2737">
        <v>1502.74899590577</v>
      </c>
      <c r="M2737">
        <v>31.358040878450598</v>
      </c>
      <c r="N2737">
        <v>47.973609451290201</v>
      </c>
      <c r="O2737">
        <v>47.728665527916</v>
      </c>
      <c r="P2737">
        <v>-0.16154183213662601</v>
      </c>
      <c r="Q2737">
        <v>1.6503265570167701E-2</v>
      </c>
      <c r="R2737">
        <v>0.96412659334468798</v>
      </c>
      <c r="S2737" t="s">
        <v>9407</v>
      </c>
      <c r="T2737" t="s">
        <v>13338</v>
      </c>
      <c r="U2737" t="s">
        <v>13338</v>
      </c>
      <c r="V2737" t="s">
        <v>13338</v>
      </c>
      <c r="W2737" t="s">
        <v>16033</v>
      </c>
      <c r="X2737">
        <v>3</v>
      </c>
      <c r="Y2737" t="s">
        <v>22588</v>
      </c>
      <c r="Z2737" t="s">
        <v>29152</v>
      </c>
      <c r="AA2737">
        <v>0.28161441190077791</v>
      </c>
      <c r="AB2737" t="str">
        <f>HYPERLINK("Melting_Curves/meltCurve_P51668_UBE2D1.pdf", "Melting_Curves/meltCurve_P51668_UBE2D1.pdf")</f>
        <v>Melting_Curves/meltCurve_P51668_UBE2D1.pdf</v>
      </c>
    </row>
    <row r="2738" spans="1:28" x14ac:dyDescent="0.25">
      <c r="A2738" t="s">
        <v>2742</v>
      </c>
      <c r="B2738">
        <v>0.99193492352474899</v>
      </c>
      <c r="C2738">
        <v>0.93993204707391897</v>
      </c>
      <c r="D2738">
        <v>0.75197778779784796</v>
      </c>
      <c r="E2738">
        <v>0.78192374794642805</v>
      </c>
      <c r="F2738">
        <v>0.75253422702407802</v>
      </c>
      <c r="G2738">
        <v>0.47951033037952101</v>
      </c>
      <c r="H2738">
        <v>0.49436475972148403</v>
      </c>
      <c r="I2738">
        <v>0.63132771865542603</v>
      </c>
      <c r="J2738">
        <v>0.67520319412065999</v>
      </c>
      <c r="K2738">
        <v>1.0351727832716699</v>
      </c>
      <c r="L2738">
        <v>1123.41346622432</v>
      </c>
      <c r="M2738">
        <v>25.0795276408235</v>
      </c>
      <c r="O2738">
        <v>44.512160318981003</v>
      </c>
      <c r="P2738">
        <v>-4.4488970248030002E-2</v>
      </c>
      <c r="Q2738">
        <v>0.68416089596221796</v>
      </c>
      <c r="R2738">
        <v>0.35563596085212301</v>
      </c>
      <c r="S2738" t="s">
        <v>9408</v>
      </c>
      <c r="T2738" t="s">
        <v>13338</v>
      </c>
      <c r="U2738" t="s">
        <v>13338</v>
      </c>
      <c r="V2738" t="s">
        <v>13338</v>
      </c>
      <c r="W2738" t="s">
        <v>16034</v>
      </c>
      <c r="X2738">
        <v>4</v>
      </c>
      <c r="Y2738" t="s">
        <v>22589</v>
      </c>
      <c r="Z2738" t="s">
        <v>29153</v>
      </c>
      <c r="AA2738">
        <v>0.73782701671457473</v>
      </c>
      <c r="AB2738" t="str">
        <f>HYPERLINK("Melting_Curves/meltCurve_P51688_SGSH.pdf", "Melting_Curves/meltCurve_P51688_SGSH.pdf")</f>
        <v>Melting_Curves/meltCurve_P51688_SGSH.pdf</v>
      </c>
    </row>
    <row r="2739" spans="1:28" x14ac:dyDescent="0.25">
      <c r="A2739" t="s">
        <v>2743</v>
      </c>
      <c r="B2739">
        <v>0.99193492352474899</v>
      </c>
      <c r="C2739">
        <v>0.79625246269984695</v>
      </c>
      <c r="D2739">
        <v>0.40543900222401202</v>
      </c>
      <c r="E2739">
        <v>0.17454442590914099</v>
      </c>
      <c r="F2739">
        <v>0.11935258679911399</v>
      </c>
      <c r="G2739">
        <v>7.5577983537693197E-2</v>
      </c>
      <c r="H2739">
        <v>5.6863244159540999E-2</v>
      </c>
      <c r="I2739">
        <v>7.7265287893463902E-2</v>
      </c>
      <c r="J2739">
        <v>8.5151604636180198E-2</v>
      </c>
      <c r="K2739">
        <v>9.7115270505958501E-2</v>
      </c>
      <c r="L2739">
        <v>1168.4748628933801</v>
      </c>
      <c r="M2739">
        <v>25.970949108239299</v>
      </c>
      <c r="N2739">
        <v>45.308564676013702</v>
      </c>
      <c r="O2739">
        <v>44.727401020037497</v>
      </c>
      <c r="P2739">
        <v>-0.13310602487342901</v>
      </c>
      <c r="Q2739">
        <v>8.3065049241544106E-2</v>
      </c>
      <c r="R2739">
        <v>0.99751555182084595</v>
      </c>
      <c r="S2739" t="s">
        <v>9409</v>
      </c>
      <c r="T2739" t="s">
        <v>13338</v>
      </c>
      <c r="U2739" t="s">
        <v>13338</v>
      </c>
      <c r="V2739" t="s">
        <v>13338</v>
      </c>
      <c r="W2739" t="s">
        <v>16035</v>
      </c>
      <c r="X2739">
        <v>13</v>
      </c>
      <c r="Y2739" t="s">
        <v>22590</v>
      </c>
      <c r="Z2739" t="s">
        <v>29154</v>
      </c>
      <c r="AA2739">
        <v>0.24397458430344451</v>
      </c>
      <c r="AB2739" t="str">
        <f>HYPERLINK("Melting_Curves/meltCurve_P51692_STAT5B.pdf", "Melting_Curves/meltCurve_P51692_STAT5B.pdf")</f>
        <v>Melting_Curves/meltCurve_P51692_STAT5B.pdf</v>
      </c>
    </row>
    <row r="2740" spans="1:28" x14ac:dyDescent="0.25">
      <c r="A2740" t="s">
        <v>2744</v>
      </c>
      <c r="B2740">
        <v>0.99193492352474899</v>
      </c>
      <c r="C2740">
        <v>0.73904353874084905</v>
      </c>
      <c r="D2740">
        <v>0.69956722858136</v>
      </c>
      <c r="E2740">
        <v>0.48695687368076102</v>
      </c>
      <c r="F2740">
        <v>0.334769411152535</v>
      </c>
      <c r="G2740">
        <v>0.22058189102658099</v>
      </c>
      <c r="H2740">
        <v>0.12450590943213399</v>
      </c>
      <c r="I2740">
        <v>0.109738834259204</v>
      </c>
      <c r="J2740">
        <v>0.10398087780836</v>
      </c>
      <c r="K2740">
        <v>0.16434067041133901</v>
      </c>
      <c r="L2740">
        <v>555.24117342458896</v>
      </c>
      <c r="M2740">
        <v>11.4804765359684</v>
      </c>
      <c r="N2740">
        <v>49.125279418192399</v>
      </c>
      <c r="O2740">
        <v>46.966334293474098</v>
      </c>
      <c r="P2740">
        <v>-5.61460113565675E-2</v>
      </c>
      <c r="Q2740">
        <v>8.1495218410242695E-2</v>
      </c>
      <c r="R2740">
        <v>0.97904399858906399</v>
      </c>
      <c r="S2740" t="s">
        <v>9410</v>
      </c>
      <c r="T2740" t="s">
        <v>13338</v>
      </c>
      <c r="U2740" t="s">
        <v>13338</v>
      </c>
      <c r="V2740" t="s">
        <v>13338</v>
      </c>
      <c r="W2740" t="s">
        <v>16036</v>
      </c>
      <c r="X2740">
        <v>4</v>
      </c>
      <c r="Y2740" t="s">
        <v>22591</v>
      </c>
      <c r="Z2740" t="s">
        <v>29155</v>
      </c>
      <c r="AA2740">
        <v>0.37543786431564458</v>
      </c>
      <c r="AB2740" t="str">
        <f>HYPERLINK("Melting_Curves/meltCurve_P51790_4_CLCN3.pdf", "Melting_Curves/meltCurve_P51790_4_CLCN3.pdf")</f>
        <v>Melting_Curves/meltCurve_P51790_4_CLCN3.pdf</v>
      </c>
    </row>
    <row r="2741" spans="1:28" x14ac:dyDescent="0.25">
      <c r="A2741" t="s">
        <v>2745</v>
      </c>
      <c r="B2741">
        <v>0.99193492352474899</v>
      </c>
      <c r="C2741">
        <v>1.33644516149598</v>
      </c>
      <c r="D2741">
        <v>0.87389469572126199</v>
      </c>
      <c r="E2741">
        <v>0.84517454222680999</v>
      </c>
      <c r="F2741">
        <v>0.4677323133547</v>
      </c>
      <c r="G2741">
        <v>0.38741227260210798</v>
      </c>
      <c r="H2741">
        <v>0.25093290415404301</v>
      </c>
      <c r="I2741">
        <v>0.26182265931911602</v>
      </c>
      <c r="J2741">
        <v>0.20586607993850101</v>
      </c>
      <c r="K2741">
        <v>0.124897850818895</v>
      </c>
      <c r="L2741">
        <v>1096.2350832493601</v>
      </c>
      <c r="M2741">
        <v>20.950650132937401</v>
      </c>
      <c r="N2741">
        <v>53.6185600833983</v>
      </c>
      <c r="O2741">
        <v>51.854904824828701</v>
      </c>
      <c r="P2741">
        <v>-8.0966359529293194E-2</v>
      </c>
      <c r="Q2741">
        <v>0.19842300625989101</v>
      </c>
      <c r="R2741">
        <v>0.90501316459581305</v>
      </c>
      <c r="S2741" t="s">
        <v>9411</v>
      </c>
      <c r="T2741" t="s">
        <v>13338</v>
      </c>
      <c r="U2741" t="s">
        <v>13338</v>
      </c>
      <c r="V2741" t="s">
        <v>13338</v>
      </c>
      <c r="W2741" t="s">
        <v>16037</v>
      </c>
      <c r="X2741">
        <v>2</v>
      </c>
      <c r="Y2741" t="s">
        <v>22592</v>
      </c>
      <c r="Z2741" t="s">
        <v>29156</v>
      </c>
      <c r="AA2741">
        <v>0.53792319608185235</v>
      </c>
      <c r="AB2741" t="str">
        <f>HYPERLINK("Melting_Curves/meltCurve_P51795_CLCN5.pdf", "Melting_Curves/meltCurve_P51795_CLCN5.pdf")</f>
        <v>Melting_Curves/meltCurve_P51795_CLCN5.pdf</v>
      </c>
    </row>
    <row r="2742" spans="1:28" x14ac:dyDescent="0.25">
      <c r="A2742" t="s">
        <v>2746</v>
      </c>
      <c r="B2742">
        <v>0.99193492352474899</v>
      </c>
      <c r="C2742">
        <v>0.85163010279255202</v>
      </c>
      <c r="D2742">
        <v>0.88893706067162404</v>
      </c>
      <c r="E2742">
        <v>0.63903669494205695</v>
      </c>
      <c r="F2742">
        <v>0.30947441897216599</v>
      </c>
      <c r="G2742">
        <v>0.21798494163444901</v>
      </c>
      <c r="H2742">
        <v>0.11936633374361701</v>
      </c>
      <c r="I2742">
        <v>0.161427331145134</v>
      </c>
      <c r="J2742">
        <v>0.15308339634819601</v>
      </c>
      <c r="K2742">
        <v>0.18322860577949601</v>
      </c>
      <c r="L2742">
        <v>1010.65590431892</v>
      </c>
      <c r="M2742">
        <v>20.210129186179799</v>
      </c>
      <c r="N2742">
        <v>50.854242305005897</v>
      </c>
      <c r="O2742">
        <v>49.5255113178222</v>
      </c>
      <c r="P2742">
        <v>-8.7444890506630693E-2</v>
      </c>
      <c r="Q2742">
        <v>0.142881747707097</v>
      </c>
      <c r="R2742">
        <v>0.98188927637424495</v>
      </c>
      <c r="S2742" t="s">
        <v>9412</v>
      </c>
      <c r="T2742" t="s">
        <v>13338</v>
      </c>
      <c r="U2742" t="s">
        <v>13338</v>
      </c>
      <c r="V2742" t="s">
        <v>13338</v>
      </c>
      <c r="W2742" t="s">
        <v>16038</v>
      </c>
      <c r="X2742">
        <v>3</v>
      </c>
      <c r="Y2742" t="s">
        <v>22593</v>
      </c>
      <c r="Z2742" t="s">
        <v>29157</v>
      </c>
      <c r="AA2742">
        <v>0.4404899805376386</v>
      </c>
      <c r="AB2742" t="str">
        <f>HYPERLINK("Melting_Curves/meltCurve_P51797_CLCN6.pdf", "Melting_Curves/meltCurve_P51797_CLCN6.pdf")</f>
        <v>Melting_Curves/meltCurve_P51797_CLCN6.pdf</v>
      </c>
    </row>
    <row r="2743" spans="1:28" x14ac:dyDescent="0.25">
      <c r="A2743" t="s">
        <v>2747</v>
      </c>
      <c r="B2743">
        <v>0.99193492352474899</v>
      </c>
      <c r="C2743">
        <v>0.82828118709639098</v>
      </c>
      <c r="D2743">
        <v>0.88925141021946696</v>
      </c>
      <c r="E2743">
        <v>0.61139681939496704</v>
      </c>
      <c r="F2743">
        <v>0.41543631814119802</v>
      </c>
      <c r="G2743">
        <v>0.203802951655356</v>
      </c>
      <c r="H2743">
        <v>0.123199355414772</v>
      </c>
      <c r="I2743">
        <v>0.155881268539767</v>
      </c>
      <c r="J2743">
        <v>0.19098093985484901</v>
      </c>
      <c r="K2743">
        <v>0.263320286091213</v>
      </c>
      <c r="L2743">
        <v>884.28855077941898</v>
      </c>
      <c r="M2743">
        <v>17.699285263242601</v>
      </c>
      <c r="N2743">
        <v>51.112520186766901</v>
      </c>
      <c r="O2743">
        <v>49.337118274126297</v>
      </c>
      <c r="P2743">
        <v>-7.4952000703596103E-2</v>
      </c>
      <c r="Q2743">
        <v>0.16432304377556001</v>
      </c>
      <c r="R2743">
        <v>0.96295279236475995</v>
      </c>
      <c r="S2743" t="s">
        <v>9413</v>
      </c>
      <c r="T2743" t="s">
        <v>13338</v>
      </c>
      <c r="U2743" t="s">
        <v>13338</v>
      </c>
      <c r="V2743" t="s">
        <v>13338</v>
      </c>
      <c r="W2743" t="s">
        <v>16039</v>
      </c>
      <c r="X2743">
        <v>5</v>
      </c>
      <c r="Y2743" t="s">
        <v>22594</v>
      </c>
      <c r="Z2743" t="s">
        <v>29158</v>
      </c>
      <c r="AA2743">
        <v>0.45654018103539701</v>
      </c>
      <c r="AB2743" t="str">
        <f>HYPERLINK("Melting_Curves/meltCurve_P51798_2_CLCN7.pdf", "Melting_Curves/meltCurve_P51798_2_CLCN7.pdf")</f>
        <v>Melting_Curves/meltCurve_P51798_2_CLCN7.pdf</v>
      </c>
    </row>
    <row r="2744" spans="1:28" x14ac:dyDescent="0.25">
      <c r="A2744" t="s">
        <v>2748</v>
      </c>
      <c r="B2744">
        <v>0.99193492352474899</v>
      </c>
      <c r="C2744">
        <v>0.89079372306015503</v>
      </c>
      <c r="D2744">
        <v>0.99060395221183495</v>
      </c>
      <c r="E2744">
        <v>0.78940879287895305</v>
      </c>
      <c r="F2744">
        <v>0.55347671099718998</v>
      </c>
      <c r="G2744">
        <v>0.174833597917088</v>
      </c>
      <c r="H2744">
        <v>9.7218668200720199E-2</v>
      </c>
      <c r="I2744">
        <v>9.4072859054964597E-2</v>
      </c>
      <c r="J2744">
        <v>9.5119666873181394E-2</v>
      </c>
      <c r="K2744">
        <v>9.3249421250103104E-2</v>
      </c>
      <c r="L2744">
        <v>1226.9874442492601</v>
      </c>
      <c r="M2744">
        <v>23.229396399784498</v>
      </c>
      <c r="N2744">
        <v>53.182969459625497</v>
      </c>
      <c r="O2744">
        <v>52.433693219921501</v>
      </c>
      <c r="P2744">
        <v>-0.102648635253932</v>
      </c>
      <c r="Q2744">
        <v>7.3217578073047296E-2</v>
      </c>
      <c r="R2744">
        <v>0.98666165071103296</v>
      </c>
      <c r="S2744" t="s">
        <v>9414</v>
      </c>
      <c r="T2744" t="s">
        <v>13338</v>
      </c>
      <c r="U2744" t="s">
        <v>13338</v>
      </c>
      <c r="V2744" t="s">
        <v>13338</v>
      </c>
      <c r="W2744" t="s">
        <v>16040</v>
      </c>
      <c r="X2744">
        <v>7</v>
      </c>
      <c r="Y2744" t="s">
        <v>22595</v>
      </c>
      <c r="Z2744" t="s">
        <v>29159</v>
      </c>
      <c r="AA2744">
        <v>0.47904952828016462</v>
      </c>
      <c r="AB2744" t="str">
        <f>HYPERLINK("Melting_Curves/meltCurve_P51809_VAMP7.pdf", "Melting_Curves/meltCurve_P51809_VAMP7.pdf")</f>
        <v>Melting_Curves/meltCurve_P51809_VAMP7.pdf</v>
      </c>
    </row>
    <row r="2745" spans="1:28" x14ac:dyDescent="0.25">
      <c r="A2745" t="s">
        <v>2749</v>
      </c>
      <c r="B2745">
        <v>0.99193492352474899</v>
      </c>
      <c r="C2745">
        <v>0.81503343700794095</v>
      </c>
      <c r="D2745">
        <v>0.72466756723331005</v>
      </c>
      <c r="E2745">
        <v>0.289215709918627</v>
      </c>
      <c r="F2745">
        <v>0.25291287693530201</v>
      </c>
      <c r="G2745">
        <v>0.10775738815585</v>
      </c>
      <c r="H2745">
        <v>4.7717397497285E-2</v>
      </c>
      <c r="I2745">
        <v>0.12786536976714399</v>
      </c>
      <c r="J2745">
        <v>0.128740170409884</v>
      </c>
      <c r="K2745">
        <v>0</v>
      </c>
      <c r="L2745">
        <v>832.46212023503699</v>
      </c>
      <c r="M2745">
        <v>17.557337048307598</v>
      </c>
      <c r="N2745">
        <v>47.823513839449099</v>
      </c>
      <c r="O2745">
        <v>46.811637686691597</v>
      </c>
      <c r="P2745">
        <v>-8.7225070038998195E-2</v>
      </c>
      <c r="Q2745">
        <v>6.9807095144758899E-2</v>
      </c>
      <c r="R2745">
        <v>0.97358250197907903</v>
      </c>
      <c r="S2745" t="s">
        <v>9415</v>
      </c>
      <c r="T2745" t="s">
        <v>13338</v>
      </c>
      <c r="U2745" t="s">
        <v>13338</v>
      </c>
      <c r="V2745" t="s">
        <v>13338</v>
      </c>
      <c r="W2745" t="s">
        <v>16041</v>
      </c>
      <c r="X2745">
        <v>1</v>
      </c>
      <c r="Y2745" t="s">
        <v>22596</v>
      </c>
      <c r="Z2745" t="s">
        <v>29160</v>
      </c>
      <c r="AA2745">
        <v>0.31745384413481409</v>
      </c>
      <c r="AB2745" t="str">
        <f>HYPERLINK("Melting_Curves/meltCurve_P51813_BMX.pdf", "Melting_Curves/meltCurve_P51813_BMX.pdf")</f>
        <v>Melting_Curves/meltCurve_P51813_BMX.pdf</v>
      </c>
    </row>
    <row r="2746" spans="1:28" x14ac:dyDescent="0.25">
      <c r="A2746" t="s">
        <v>2750</v>
      </c>
      <c r="B2746">
        <v>0.99193492352474899</v>
      </c>
      <c r="C2746">
        <v>0.80335044126909705</v>
      </c>
      <c r="D2746">
        <v>0.90640802812320898</v>
      </c>
      <c r="E2746">
        <v>0.68437918340373805</v>
      </c>
      <c r="F2746">
        <v>0.44431330519109502</v>
      </c>
      <c r="G2746">
        <v>0.245170941323995</v>
      </c>
      <c r="H2746">
        <v>0.17755915761896399</v>
      </c>
      <c r="I2746">
        <v>0.23943803937843899</v>
      </c>
      <c r="J2746">
        <v>0.31608586207644501</v>
      </c>
      <c r="K2746">
        <v>0.42310508457664597</v>
      </c>
      <c r="L2746">
        <v>1071.8619712367999</v>
      </c>
      <c r="M2746">
        <v>21.500691284048099</v>
      </c>
      <c r="N2746">
        <v>51.745760048136702</v>
      </c>
      <c r="O2746">
        <v>49.427199838282597</v>
      </c>
      <c r="P2746">
        <v>-7.9136163802409704E-2</v>
      </c>
      <c r="Q2746">
        <v>0.27232416811631099</v>
      </c>
      <c r="R2746">
        <v>0.90669871230456001</v>
      </c>
      <c r="S2746" t="s">
        <v>9416</v>
      </c>
      <c r="T2746" t="s">
        <v>13338</v>
      </c>
      <c r="U2746" t="s">
        <v>13338</v>
      </c>
      <c r="V2746" t="s">
        <v>13338</v>
      </c>
      <c r="W2746" t="s">
        <v>16042</v>
      </c>
      <c r="X2746">
        <v>25</v>
      </c>
      <c r="Y2746" t="s">
        <v>22597</v>
      </c>
      <c r="Z2746" t="s">
        <v>29161</v>
      </c>
      <c r="AA2746">
        <v>0.52008991542357363</v>
      </c>
      <c r="AB2746" t="str">
        <f>HYPERLINK("Melting_Curves/meltCurve_P51858_HDGF.pdf", "Melting_Curves/meltCurve_P51858_HDGF.pdf")</f>
        <v>Melting_Curves/meltCurve_P51858_HDGF.pdf</v>
      </c>
    </row>
    <row r="2747" spans="1:28" x14ac:dyDescent="0.25">
      <c r="A2747" t="s">
        <v>2751</v>
      </c>
      <c r="B2747">
        <v>0.99193492352474899</v>
      </c>
      <c r="C2747">
        <v>1.0880669317125899</v>
      </c>
      <c r="D2747">
        <v>1.05241700509125</v>
      </c>
      <c r="E2747">
        <v>0.77869331388610796</v>
      </c>
      <c r="F2747">
        <v>0.58104829826160898</v>
      </c>
      <c r="G2747">
        <v>0.32698483288548802</v>
      </c>
      <c r="H2747">
        <v>0.234328160301156</v>
      </c>
      <c r="I2747">
        <v>0.274618152744938</v>
      </c>
      <c r="J2747">
        <v>0.36489862887073099</v>
      </c>
      <c r="K2747">
        <v>0.44379552909164099</v>
      </c>
      <c r="L2747">
        <v>1465.9301133660799</v>
      </c>
      <c r="M2747">
        <v>28.425145473772201</v>
      </c>
      <c r="N2747">
        <v>53.536750825270303</v>
      </c>
      <c r="O2747">
        <v>51.318358959678399</v>
      </c>
      <c r="P2747">
        <v>-9.36273674449489E-2</v>
      </c>
      <c r="Q2747">
        <v>0.32387111525266499</v>
      </c>
      <c r="R2747">
        <v>0.95082783917537295</v>
      </c>
      <c r="S2747" t="s">
        <v>9417</v>
      </c>
      <c r="T2747" t="s">
        <v>13338</v>
      </c>
      <c r="U2747" t="s">
        <v>13338</v>
      </c>
      <c r="V2747" t="s">
        <v>13338</v>
      </c>
      <c r="W2747" t="s">
        <v>16043</v>
      </c>
      <c r="X2747">
        <v>10</v>
      </c>
      <c r="Y2747" t="s">
        <v>22598</v>
      </c>
      <c r="Z2747" t="s">
        <v>29162</v>
      </c>
      <c r="AA2747">
        <v>0.5894434118024392</v>
      </c>
      <c r="AB2747" t="str">
        <f>HYPERLINK("Melting_Curves/meltCurve_P51948_2_MNAT1.pdf", "Melting_Curves/meltCurve_P51948_2_MNAT1.pdf")</f>
        <v>Melting_Curves/meltCurve_P51948_2_MNAT1.pdf</v>
      </c>
    </row>
    <row r="2748" spans="1:28" x14ac:dyDescent="0.25">
      <c r="A2748" t="s">
        <v>2752</v>
      </c>
      <c r="B2748">
        <v>0.99193492352474899</v>
      </c>
      <c r="C2748">
        <v>1.14551650387767</v>
      </c>
      <c r="D2748">
        <v>0.66566564255418204</v>
      </c>
      <c r="E2748">
        <v>0.75803240108826797</v>
      </c>
      <c r="F2748">
        <v>0.34012032424850303</v>
      </c>
      <c r="G2748">
        <v>0.28107660600116802</v>
      </c>
      <c r="H2748">
        <v>0.183675131148165</v>
      </c>
      <c r="I2748">
        <v>0.197068982726987</v>
      </c>
      <c r="J2748">
        <v>0.179548844486668</v>
      </c>
      <c r="K2748">
        <v>0.224097025676292</v>
      </c>
      <c r="L2748">
        <v>887.54535945509997</v>
      </c>
      <c r="M2748">
        <v>17.681542133291</v>
      </c>
      <c r="N2748">
        <v>51.481084857720198</v>
      </c>
      <c r="O2748">
        <v>49.567292603475998</v>
      </c>
      <c r="P2748">
        <v>-7.3273000482796904E-2</v>
      </c>
      <c r="Q2748">
        <v>0.17840837783322799</v>
      </c>
      <c r="R2748">
        <v>0.92059129516872096</v>
      </c>
      <c r="S2748" t="s">
        <v>9418</v>
      </c>
      <c r="T2748" t="s">
        <v>13338</v>
      </c>
      <c r="U2748" t="s">
        <v>13338</v>
      </c>
      <c r="V2748" t="s">
        <v>13338</v>
      </c>
      <c r="W2748" t="s">
        <v>16044</v>
      </c>
      <c r="X2748">
        <v>9</v>
      </c>
      <c r="Y2748" t="s">
        <v>22599</v>
      </c>
      <c r="Z2748" t="s">
        <v>29163</v>
      </c>
      <c r="AA2748">
        <v>0.47209577914547501</v>
      </c>
      <c r="AB2748" t="str">
        <f>HYPERLINK("Melting_Curves/meltCurve_P51970_NDUFA8.pdf", "Melting_Curves/meltCurve_P51970_NDUFA8.pdf")</f>
        <v>Melting_Curves/meltCurve_P51970_NDUFA8.pdf</v>
      </c>
    </row>
    <row r="2749" spans="1:28" x14ac:dyDescent="0.25">
      <c r="A2749" t="s">
        <v>2753</v>
      </c>
      <c r="B2749">
        <v>0.99193492352474899</v>
      </c>
      <c r="C2749">
        <v>0.34408115376998</v>
      </c>
      <c r="D2749">
        <v>0.66290726577463599</v>
      </c>
      <c r="E2749">
        <v>0.26570106259710302</v>
      </c>
      <c r="F2749">
        <v>0.167644902082454</v>
      </c>
      <c r="G2749">
        <v>9.6664423700631205E-2</v>
      </c>
      <c r="H2749">
        <v>9.0080305274840303E-2</v>
      </c>
      <c r="I2749">
        <v>0.11319263317907199</v>
      </c>
      <c r="J2749">
        <v>0.20811403863532699</v>
      </c>
      <c r="K2749">
        <v>0.26586452939541699</v>
      </c>
      <c r="L2749">
        <v>634.46393343693603</v>
      </c>
      <c r="M2749">
        <v>14.500255244479501</v>
      </c>
      <c r="N2749">
        <v>44.831702630490398</v>
      </c>
      <c r="O2749">
        <v>42.9484146297767</v>
      </c>
      <c r="P2749">
        <v>-7.2006026012144994E-2</v>
      </c>
      <c r="Q2749">
        <v>0.14699767221731599</v>
      </c>
      <c r="R2749">
        <v>0.73802456112276504</v>
      </c>
      <c r="S2749" t="s">
        <v>9419</v>
      </c>
      <c r="T2749" t="s">
        <v>13338</v>
      </c>
      <c r="U2749" t="s">
        <v>13338</v>
      </c>
      <c r="V2749" t="s">
        <v>13338</v>
      </c>
      <c r="W2749" t="s">
        <v>16045</v>
      </c>
      <c r="X2749">
        <v>16</v>
      </c>
      <c r="Y2749" t="s">
        <v>22600</v>
      </c>
      <c r="Z2749" t="s">
        <v>29164</v>
      </c>
      <c r="AA2749">
        <v>0.28801350554706567</v>
      </c>
      <c r="AB2749" t="str">
        <f>HYPERLINK("Melting_Curves/meltCurve_P51991_HNRNPA3.pdf", "Melting_Curves/meltCurve_P51991_HNRNPA3.pdf")</f>
        <v>Melting_Curves/meltCurve_P51991_HNRNPA3.pdf</v>
      </c>
    </row>
    <row r="2750" spans="1:28" x14ac:dyDescent="0.25">
      <c r="A2750" t="s">
        <v>2754</v>
      </c>
      <c r="B2750">
        <v>0.99193492352474899</v>
      </c>
      <c r="C2750">
        <v>0.39519437097340199</v>
      </c>
      <c r="D2750">
        <v>0.51372555920738106</v>
      </c>
      <c r="E2750">
        <v>0.16709493832753899</v>
      </c>
      <c r="F2750">
        <v>0.1153367665576</v>
      </c>
      <c r="G2750">
        <v>6.0956672542654501E-2</v>
      </c>
      <c r="H2750">
        <v>4.5140838522600597E-2</v>
      </c>
      <c r="I2750">
        <v>6.2676598240277104E-2</v>
      </c>
      <c r="J2750">
        <v>8.7474426933692395E-2</v>
      </c>
      <c r="K2750">
        <v>0.106022361906933</v>
      </c>
      <c r="L2750">
        <v>713.996257819535</v>
      </c>
      <c r="M2750">
        <v>16.3118068355117</v>
      </c>
      <c r="N2750">
        <v>44.173033846432602</v>
      </c>
      <c r="O2750">
        <v>43.129735606856002</v>
      </c>
      <c r="P2750">
        <v>-8.8046367253614297E-2</v>
      </c>
      <c r="Q2750">
        <v>6.8860862588668303E-2</v>
      </c>
      <c r="R2750">
        <v>0.88029440678848703</v>
      </c>
      <c r="S2750" t="s">
        <v>9420</v>
      </c>
      <c r="T2750" t="s">
        <v>13338</v>
      </c>
      <c r="U2750" t="s">
        <v>13338</v>
      </c>
      <c r="V2750" t="s">
        <v>13338</v>
      </c>
      <c r="W2750" t="s">
        <v>16046</v>
      </c>
      <c r="X2750">
        <v>37</v>
      </c>
      <c r="Y2750" t="s">
        <v>22601</v>
      </c>
      <c r="Z2750" t="s">
        <v>29165</v>
      </c>
      <c r="AA2750">
        <v>0.21528812586127671</v>
      </c>
      <c r="AB2750" t="str">
        <f>HYPERLINK("Melting_Curves/meltCurve_P52272_2_HNRNPM.pdf", "Melting_Curves/meltCurve_P52272_2_HNRNPM.pdf")</f>
        <v>Melting_Curves/meltCurve_P52272_2_HNRNPM.pdf</v>
      </c>
    </row>
    <row r="2751" spans="1:28" x14ac:dyDescent="0.25">
      <c r="A2751" t="s">
        <v>2755</v>
      </c>
      <c r="B2751">
        <v>0.99193492352474899</v>
      </c>
      <c r="C2751">
        <v>0.68344095393255599</v>
      </c>
      <c r="D2751">
        <v>0.37584569456332001</v>
      </c>
      <c r="E2751">
        <v>0.12692556258627299</v>
      </c>
      <c r="F2751">
        <v>8.4591843899620406E-2</v>
      </c>
      <c r="G2751">
        <v>4.6490197391512403E-2</v>
      </c>
      <c r="H2751">
        <v>2.8976341439641701E-2</v>
      </c>
      <c r="I2751">
        <v>3.2056594984693702E-2</v>
      </c>
      <c r="J2751">
        <v>4.0441385746663998E-2</v>
      </c>
      <c r="K2751">
        <v>3.5746613133207997E-2</v>
      </c>
      <c r="L2751">
        <v>1000.34787152729</v>
      </c>
      <c r="M2751">
        <v>22.430514027795301</v>
      </c>
      <c r="N2751">
        <v>44.758338689072502</v>
      </c>
      <c r="O2751">
        <v>44.247700957639502</v>
      </c>
      <c r="P2751">
        <v>-0.121831976577721</v>
      </c>
      <c r="Q2751">
        <v>3.86893114531911E-2</v>
      </c>
      <c r="R2751">
        <v>0.99436814639999604</v>
      </c>
      <c r="S2751" t="s">
        <v>9421</v>
      </c>
      <c r="T2751" t="s">
        <v>13338</v>
      </c>
      <c r="U2751" t="s">
        <v>13338</v>
      </c>
      <c r="V2751" t="s">
        <v>13338</v>
      </c>
      <c r="W2751" t="s">
        <v>16047</v>
      </c>
      <c r="X2751">
        <v>14</v>
      </c>
      <c r="Y2751" t="s">
        <v>22602</v>
      </c>
      <c r="Z2751" t="s">
        <v>29166</v>
      </c>
      <c r="AA2751">
        <v>0.19905621477902569</v>
      </c>
      <c r="AB2751" t="str">
        <f>HYPERLINK("Melting_Curves/meltCurve_P52292_KPNA2.pdf", "Melting_Curves/meltCurve_P52292_KPNA2.pdf")</f>
        <v>Melting_Curves/meltCurve_P52292_KPNA2.pdf</v>
      </c>
    </row>
    <row r="2752" spans="1:28" x14ac:dyDescent="0.25">
      <c r="A2752" t="s">
        <v>2756</v>
      </c>
      <c r="B2752">
        <v>0.99193492352474899</v>
      </c>
      <c r="C2752">
        <v>0.81519379508961398</v>
      </c>
      <c r="D2752">
        <v>0.71098602829205604</v>
      </c>
      <c r="E2752">
        <v>0.31193713106926402</v>
      </c>
      <c r="F2752">
        <v>0.18173358553350999</v>
      </c>
      <c r="G2752">
        <v>0.122457699445869</v>
      </c>
      <c r="H2752">
        <v>7.8856633144891206E-2</v>
      </c>
      <c r="I2752">
        <v>0.10441490968338001</v>
      </c>
      <c r="J2752">
        <v>0.10417884292405501</v>
      </c>
      <c r="K2752">
        <v>0.115729246491399</v>
      </c>
      <c r="L2752">
        <v>923.91814148166998</v>
      </c>
      <c r="M2752">
        <v>19.601537470860801</v>
      </c>
      <c r="N2752">
        <v>47.6372617724805</v>
      </c>
      <c r="O2752">
        <v>46.652623082665002</v>
      </c>
      <c r="P2752">
        <v>-9.5236889824189402E-2</v>
      </c>
      <c r="Q2752">
        <v>9.3358030704615194E-2</v>
      </c>
      <c r="R2752">
        <v>0.99026316918489099</v>
      </c>
      <c r="S2752" t="s">
        <v>9422</v>
      </c>
      <c r="T2752" t="s">
        <v>13338</v>
      </c>
      <c r="U2752" t="s">
        <v>13338</v>
      </c>
      <c r="V2752" t="s">
        <v>13338</v>
      </c>
      <c r="W2752" t="s">
        <v>16048</v>
      </c>
      <c r="X2752">
        <v>12</v>
      </c>
      <c r="Y2752" t="s">
        <v>22603</v>
      </c>
      <c r="Z2752" t="s">
        <v>29167</v>
      </c>
      <c r="AA2752">
        <v>0.32278758052482359</v>
      </c>
      <c r="AB2752" t="str">
        <f>HYPERLINK("Melting_Curves/meltCurve_P52294_KPNA1.pdf", "Melting_Curves/meltCurve_P52294_KPNA1.pdf")</f>
        <v>Melting_Curves/meltCurve_P52294_KPNA1.pdf</v>
      </c>
    </row>
    <row r="2753" spans="1:28" x14ac:dyDescent="0.25">
      <c r="A2753" t="s">
        <v>2757</v>
      </c>
      <c r="B2753">
        <v>0.99193492352474899</v>
      </c>
      <c r="C2753">
        <v>0.701922660100605</v>
      </c>
      <c r="D2753">
        <v>0.85230928982056098</v>
      </c>
      <c r="E2753">
        <v>0.57381658401831503</v>
      </c>
      <c r="F2753">
        <v>0.27964416312024098</v>
      </c>
      <c r="G2753">
        <v>0.11955267882258799</v>
      </c>
      <c r="H2753">
        <v>6.8294202743036006E-2</v>
      </c>
      <c r="I2753">
        <v>5.2699560114241401E-2</v>
      </c>
      <c r="J2753">
        <v>7.4612171907464206E-2</v>
      </c>
      <c r="K2753">
        <v>0.104255632863186</v>
      </c>
      <c r="L2753">
        <v>694.012693882912</v>
      </c>
      <c r="M2753">
        <v>13.967599865492501</v>
      </c>
      <c r="N2753">
        <v>49.898330254584998</v>
      </c>
      <c r="O2753">
        <v>48.702085376803801</v>
      </c>
      <c r="P2753">
        <v>-6.9652369723484403E-2</v>
      </c>
      <c r="Q2753">
        <v>2.8676986216652298E-2</v>
      </c>
      <c r="R2753">
        <v>0.94859674704975006</v>
      </c>
      <c r="S2753" t="s">
        <v>9423</v>
      </c>
      <c r="T2753" t="s">
        <v>13338</v>
      </c>
      <c r="U2753" t="s">
        <v>13338</v>
      </c>
      <c r="V2753" t="s">
        <v>13338</v>
      </c>
      <c r="W2753" t="s">
        <v>16049</v>
      </c>
      <c r="X2753">
        <v>10</v>
      </c>
      <c r="Y2753" t="s">
        <v>22604</v>
      </c>
      <c r="Z2753" t="s">
        <v>29168</v>
      </c>
      <c r="AA2753">
        <v>0.36888964524639051</v>
      </c>
      <c r="AB2753" t="str">
        <f>HYPERLINK("Melting_Curves/meltCurve_P52298_NCBP2.pdf", "Melting_Curves/meltCurve_P52298_NCBP2.pdf")</f>
        <v>Melting_Curves/meltCurve_P52298_NCBP2.pdf</v>
      </c>
    </row>
    <row r="2754" spans="1:28" x14ac:dyDescent="0.25">
      <c r="A2754" t="s">
        <v>2758</v>
      </c>
      <c r="B2754">
        <v>0.99193492352474899</v>
      </c>
      <c r="C2754">
        <v>0.77273167575259705</v>
      </c>
      <c r="D2754">
        <v>0.87115538823114003</v>
      </c>
      <c r="E2754">
        <v>0.29422609325765697</v>
      </c>
      <c r="F2754">
        <v>0.17533370070276899</v>
      </c>
      <c r="G2754">
        <v>0.109349384919085</v>
      </c>
      <c r="H2754">
        <v>6.6140750795546599E-2</v>
      </c>
      <c r="I2754">
        <v>7.8778768567920904E-2</v>
      </c>
      <c r="J2754">
        <v>0.100635475903045</v>
      </c>
      <c r="K2754">
        <v>9.6945139337921302E-2</v>
      </c>
      <c r="L2754">
        <v>1358.89604430499</v>
      </c>
      <c r="M2754">
        <v>28.3434628076525</v>
      </c>
      <c r="N2754">
        <v>48.27867826005</v>
      </c>
      <c r="O2754">
        <v>47.707116859556102</v>
      </c>
      <c r="P2754">
        <v>-0.13527824951067999</v>
      </c>
      <c r="Q2754">
        <v>8.92170589725821E-2</v>
      </c>
      <c r="R2754">
        <v>0.95962492469736205</v>
      </c>
      <c r="S2754" t="s">
        <v>9424</v>
      </c>
      <c r="T2754" t="s">
        <v>13338</v>
      </c>
      <c r="U2754" t="s">
        <v>13338</v>
      </c>
      <c r="V2754" t="s">
        <v>13338</v>
      </c>
      <c r="W2754" t="s">
        <v>16050</v>
      </c>
      <c r="X2754">
        <v>25</v>
      </c>
      <c r="Y2754" t="s">
        <v>22605</v>
      </c>
      <c r="Z2754" t="s">
        <v>29169</v>
      </c>
      <c r="AA2754">
        <v>0.33656175702472241</v>
      </c>
      <c r="AB2754" t="str">
        <f>HYPERLINK("Melting_Curves/meltCurve_P52306_RAP1GDS1.pdf", "Melting_Curves/meltCurve_P52306_RAP1GDS1.pdf")</f>
        <v>Melting_Curves/meltCurve_P52306_RAP1GDS1.pdf</v>
      </c>
    </row>
    <row r="2755" spans="1:28" x14ac:dyDescent="0.25">
      <c r="A2755" t="s">
        <v>2759</v>
      </c>
      <c r="B2755">
        <v>0.99193492352474899</v>
      </c>
      <c r="C2755">
        <v>0.87519851205967403</v>
      </c>
      <c r="D2755">
        <v>0.72350325464315202</v>
      </c>
      <c r="E2755">
        <v>0.54898409973628504</v>
      </c>
      <c r="F2755">
        <v>0.48427278658456402</v>
      </c>
      <c r="G2755">
        <v>0.40476275031952702</v>
      </c>
      <c r="H2755">
        <v>0.28790739238448898</v>
      </c>
      <c r="I2755">
        <v>0.24413706418470099</v>
      </c>
      <c r="J2755">
        <v>0.30054915851748498</v>
      </c>
      <c r="K2755">
        <v>0.47953133837210099</v>
      </c>
      <c r="L2755">
        <v>704.12758545655902</v>
      </c>
      <c r="M2755">
        <v>14.8595297504536</v>
      </c>
      <c r="N2755">
        <v>51.058450397191898</v>
      </c>
      <c r="O2755">
        <v>46.552238488396902</v>
      </c>
      <c r="P2755">
        <v>-5.3606777633724803E-2</v>
      </c>
      <c r="Q2755">
        <v>0.3283089572731</v>
      </c>
      <c r="R2755">
        <v>0.93080427746368699</v>
      </c>
      <c r="S2755" t="s">
        <v>9425</v>
      </c>
      <c r="T2755" t="s">
        <v>13338</v>
      </c>
      <c r="U2755" t="s">
        <v>13338</v>
      </c>
      <c r="V2755" t="s">
        <v>13338</v>
      </c>
      <c r="W2755" t="s">
        <v>16051</v>
      </c>
      <c r="X2755">
        <v>2</v>
      </c>
      <c r="Y2755" t="s">
        <v>22606</v>
      </c>
      <c r="Z2755" t="s">
        <v>29170</v>
      </c>
      <c r="AA2755">
        <v>0.51185224378988181</v>
      </c>
      <c r="AB2755" t="str">
        <f>HYPERLINK("Melting_Curves/meltCurve_P52435_POLR2J.pdf", "Melting_Curves/meltCurve_P52435_POLR2J.pdf")</f>
        <v>Melting_Curves/meltCurve_P52435_POLR2J.pdf</v>
      </c>
    </row>
    <row r="2756" spans="1:28" x14ac:dyDescent="0.25">
      <c r="A2756" t="s">
        <v>2760</v>
      </c>
      <c r="B2756">
        <v>0.99193492352474899</v>
      </c>
      <c r="C2756">
        <v>0.89584788928188597</v>
      </c>
      <c r="D2756">
        <v>1.0737250472225901</v>
      </c>
      <c r="E2756">
        <v>0.85577833202558995</v>
      </c>
      <c r="F2756">
        <v>0.63133463666652401</v>
      </c>
      <c r="G2756">
        <v>0.139823688547206</v>
      </c>
      <c r="H2756">
        <v>6.5505058966895499E-2</v>
      </c>
      <c r="I2756">
        <v>5.8603331470896802E-2</v>
      </c>
      <c r="J2756">
        <v>8.6898526590241998E-2</v>
      </c>
      <c r="K2756">
        <v>5.8274217918089198E-2</v>
      </c>
      <c r="L2756">
        <v>1795.9724775105999</v>
      </c>
      <c r="M2756">
        <v>33.485547417203499</v>
      </c>
      <c r="N2756">
        <v>53.822849411081499</v>
      </c>
      <c r="O2756">
        <v>53.444056512253397</v>
      </c>
      <c r="P2756">
        <v>-0.14796815762286</v>
      </c>
      <c r="Q2756">
        <v>5.53554251839724E-2</v>
      </c>
      <c r="R2756">
        <v>0.98365882766657597</v>
      </c>
      <c r="S2756" t="s">
        <v>9426</v>
      </c>
      <c r="T2756" t="s">
        <v>13338</v>
      </c>
      <c r="U2756" t="s">
        <v>13338</v>
      </c>
      <c r="V2756" t="s">
        <v>13338</v>
      </c>
      <c r="W2756" t="s">
        <v>16052</v>
      </c>
      <c r="X2756">
        <v>11</v>
      </c>
      <c r="Y2756" t="s">
        <v>22607</v>
      </c>
      <c r="Z2756" t="s">
        <v>29171</v>
      </c>
      <c r="AA2756">
        <v>0.48965403617617242</v>
      </c>
      <c r="AB2756" t="str">
        <f>HYPERLINK("Melting_Curves/meltCurve_P52564_MAP2K6.pdf", "Melting_Curves/meltCurve_P52564_MAP2K6.pdf")</f>
        <v>Melting_Curves/meltCurve_P52564_MAP2K6.pdf</v>
      </c>
    </row>
    <row r="2757" spans="1:28" x14ac:dyDescent="0.25">
      <c r="A2757" t="s">
        <v>2761</v>
      </c>
      <c r="B2757">
        <v>0.99193492352474899</v>
      </c>
      <c r="C2757">
        <v>1.11725751295995</v>
      </c>
      <c r="D2757">
        <v>0.92644042201658205</v>
      </c>
      <c r="E2757">
        <v>0.86008180581627702</v>
      </c>
      <c r="F2757">
        <v>0.38352727194895297</v>
      </c>
      <c r="G2757">
        <v>0.16416273181818999</v>
      </c>
      <c r="H2757">
        <v>7.69419805330738E-2</v>
      </c>
      <c r="I2757">
        <v>9.4134543319774097E-2</v>
      </c>
      <c r="J2757">
        <v>0.10116420964404101</v>
      </c>
      <c r="K2757">
        <v>0.11803706820576999</v>
      </c>
      <c r="L2757">
        <v>1710.9451873111</v>
      </c>
      <c r="M2757">
        <v>32.894898251791197</v>
      </c>
      <c r="N2757">
        <v>52.3575288588371</v>
      </c>
      <c r="O2757">
        <v>51.821385355427303</v>
      </c>
      <c r="P2757">
        <v>-0.14322975219176101</v>
      </c>
      <c r="Q2757">
        <v>9.7449021979731307E-2</v>
      </c>
      <c r="R2757">
        <v>0.98863149485429502</v>
      </c>
      <c r="S2757" t="s">
        <v>9427</v>
      </c>
      <c r="T2757" t="s">
        <v>13338</v>
      </c>
      <c r="U2757" t="s">
        <v>13338</v>
      </c>
      <c r="V2757" t="s">
        <v>13338</v>
      </c>
      <c r="W2757" t="s">
        <v>16053</v>
      </c>
      <c r="X2757">
        <v>14</v>
      </c>
      <c r="Y2757" t="s">
        <v>22608</v>
      </c>
      <c r="Z2757" t="s">
        <v>29172</v>
      </c>
      <c r="AA2757">
        <v>0.46364621537788081</v>
      </c>
      <c r="AB2757" t="str">
        <f>HYPERLINK("Melting_Curves/meltCurve_P52565_ARHGDIA.pdf", "Melting_Curves/meltCurve_P52565_ARHGDIA.pdf")</f>
        <v>Melting_Curves/meltCurve_P52565_ARHGDIA.pdf</v>
      </c>
    </row>
    <row r="2758" spans="1:28" x14ac:dyDescent="0.25">
      <c r="A2758" t="s">
        <v>2762</v>
      </c>
      <c r="B2758">
        <v>0.99193492352474899</v>
      </c>
      <c r="C2758">
        <v>0.96325760067038502</v>
      </c>
      <c r="D2758">
        <v>0.94077956626834702</v>
      </c>
      <c r="E2758">
        <v>0.80897122652916398</v>
      </c>
      <c r="F2758">
        <v>0.40505530313732402</v>
      </c>
      <c r="G2758">
        <v>0.158141666830726</v>
      </c>
      <c r="H2758">
        <v>8.6593022407159603E-2</v>
      </c>
      <c r="I2758">
        <v>9.2199476340232803E-2</v>
      </c>
      <c r="J2758">
        <v>0.104803126485131</v>
      </c>
      <c r="K2758">
        <v>0.11074275017681701</v>
      </c>
      <c r="L2758">
        <v>1428.5505826409999</v>
      </c>
      <c r="M2758">
        <v>27.517893676539401</v>
      </c>
      <c r="N2758">
        <v>52.296346371083402</v>
      </c>
      <c r="O2758">
        <v>51.641678137760699</v>
      </c>
      <c r="P2758">
        <v>-0.12106408242824999</v>
      </c>
      <c r="Q2758">
        <v>9.1224783616862606E-2</v>
      </c>
      <c r="R2758">
        <v>0.99770403514595396</v>
      </c>
      <c r="S2758" t="s">
        <v>9428</v>
      </c>
      <c r="T2758" t="s">
        <v>13338</v>
      </c>
      <c r="U2758" t="s">
        <v>13338</v>
      </c>
      <c r="V2758" t="s">
        <v>13338</v>
      </c>
      <c r="W2758" t="s">
        <v>16054</v>
      </c>
      <c r="X2758">
        <v>20</v>
      </c>
      <c r="Y2758" t="s">
        <v>22609</v>
      </c>
      <c r="Z2758" t="s">
        <v>29173</v>
      </c>
      <c r="AA2758">
        <v>0.45899168400913748</v>
      </c>
      <c r="AB2758" t="str">
        <f>HYPERLINK("Melting_Curves/meltCurve_P52566_ARHGDIB.pdf", "Melting_Curves/meltCurve_P52566_ARHGDIB.pdf")</f>
        <v>Melting_Curves/meltCurve_P52566_ARHGDIB.pdf</v>
      </c>
    </row>
    <row r="2759" spans="1:28" x14ac:dyDescent="0.25">
      <c r="A2759" t="s">
        <v>2763</v>
      </c>
      <c r="B2759">
        <v>0.99193492352474899</v>
      </c>
      <c r="C2759">
        <v>0.92004270731756999</v>
      </c>
      <c r="D2759">
        <v>0.83438376637010203</v>
      </c>
      <c r="E2759">
        <v>0.66916958376374103</v>
      </c>
      <c r="F2759">
        <v>0.21810861747167201</v>
      </c>
      <c r="G2759">
        <v>8.3486999681049903E-2</v>
      </c>
      <c r="H2759">
        <v>4.2691367374097101E-2</v>
      </c>
      <c r="I2759">
        <v>5.0928379156366402E-2</v>
      </c>
      <c r="J2759">
        <v>5.0990763892089397E-2</v>
      </c>
      <c r="K2759">
        <v>9.5404844116594195E-2</v>
      </c>
      <c r="L2759">
        <v>1177.61587065866</v>
      </c>
      <c r="M2759">
        <v>23.394778007264801</v>
      </c>
      <c r="N2759">
        <v>50.540173910819703</v>
      </c>
      <c r="O2759">
        <v>49.973237201953097</v>
      </c>
      <c r="P2759">
        <v>-0.111778383257926</v>
      </c>
      <c r="Q2759">
        <v>4.4944162613236902E-2</v>
      </c>
      <c r="R2759">
        <v>0.987783694140972</v>
      </c>
      <c r="S2759" t="s">
        <v>9429</v>
      </c>
      <c r="T2759" t="s">
        <v>13338</v>
      </c>
      <c r="U2759" t="s">
        <v>13338</v>
      </c>
      <c r="V2759" t="s">
        <v>13338</v>
      </c>
      <c r="W2759" t="s">
        <v>16055</v>
      </c>
      <c r="X2759">
        <v>11</v>
      </c>
      <c r="Y2759" t="s">
        <v>22610</v>
      </c>
      <c r="Z2759" t="s">
        <v>29174</v>
      </c>
      <c r="AA2759">
        <v>0.38378950433653769</v>
      </c>
      <c r="AB2759" t="str">
        <f>HYPERLINK("Melting_Curves/meltCurve_P52594_2_AGFG1.pdf", "Melting_Curves/meltCurve_P52594_2_AGFG1.pdf")</f>
        <v>Melting_Curves/meltCurve_P52594_2_AGFG1.pdf</v>
      </c>
    </row>
    <row r="2760" spans="1:28" x14ac:dyDescent="0.25">
      <c r="A2760" t="s">
        <v>2764</v>
      </c>
      <c r="B2760">
        <v>0.99193492352474899</v>
      </c>
      <c r="C2760">
        <v>0.86161083756423995</v>
      </c>
      <c r="D2760">
        <v>0.54408162537621496</v>
      </c>
      <c r="E2760">
        <v>0.18720021929323299</v>
      </c>
      <c r="F2760">
        <v>0.11263733294548101</v>
      </c>
      <c r="G2760">
        <v>6.9225088399770707E-2</v>
      </c>
      <c r="H2760">
        <v>4.24478717864692E-2</v>
      </c>
      <c r="I2760">
        <v>5.1479190669284101E-2</v>
      </c>
      <c r="J2760">
        <v>5.7954581167255201E-2</v>
      </c>
      <c r="K2760">
        <v>4.67187772096904E-2</v>
      </c>
      <c r="L2760">
        <v>1117.0201345119201</v>
      </c>
      <c r="M2760">
        <v>24.226185185330099</v>
      </c>
      <c r="N2760">
        <v>46.324187442956301</v>
      </c>
      <c r="O2760">
        <v>45.797240495496503</v>
      </c>
      <c r="P2760">
        <v>-0.12517933417060401</v>
      </c>
      <c r="Q2760">
        <v>5.3456997524429201E-2</v>
      </c>
      <c r="R2760">
        <v>0.99897479158471103</v>
      </c>
      <c r="S2760" t="s">
        <v>9430</v>
      </c>
      <c r="T2760" t="s">
        <v>13338</v>
      </c>
      <c r="U2760" t="s">
        <v>13338</v>
      </c>
      <c r="V2760" t="s">
        <v>13338</v>
      </c>
      <c r="W2760" t="s">
        <v>16056</v>
      </c>
      <c r="X2760">
        <v>17</v>
      </c>
      <c r="Y2760" t="s">
        <v>22611</v>
      </c>
      <c r="Z2760" t="s">
        <v>29175</v>
      </c>
      <c r="AA2760">
        <v>0.25552144657892911</v>
      </c>
      <c r="AB2760" t="str">
        <f>HYPERLINK("Melting_Curves/meltCurve_P52597_HNRNPF.pdf", "Melting_Curves/meltCurve_P52597_HNRNPF.pdf")</f>
        <v>Melting_Curves/meltCurve_P52597_HNRNPF.pdf</v>
      </c>
    </row>
    <row r="2761" spans="1:28" x14ac:dyDescent="0.25">
      <c r="A2761" t="s">
        <v>2765</v>
      </c>
      <c r="B2761">
        <v>0.99193492352474899</v>
      </c>
      <c r="C2761">
        <v>0.80212717133607603</v>
      </c>
      <c r="D2761">
        <v>0.39348868861520703</v>
      </c>
      <c r="E2761">
        <v>0.220321728593181</v>
      </c>
      <c r="F2761">
        <v>0.20019199246716499</v>
      </c>
      <c r="G2761">
        <v>8.8892369872010296E-2</v>
      </c>
      <c r="H2761">
        <v>6.5272962012842703E-2</v>
      </c>
      <c r="I2761">
        <v>7.9192113479375298E-2</v>
      </c>
      <c r="J2761">
        <v>7.7509238051423304E-2</v>
      </c>
      <c r="K2761">
        <v>6.4495114288905697E-2</v>
      </c>
      <c r="L2761">
        <v>1055.19420713368</v>
      </c>
      <c r="M2761">
        <v>23.428458003618498</v>
      </c>
      <c r="N2761">
        <v>45.430623679394699</v>
      </c>
      <c r="O2761">
        <v>44.714711696262697</v>
      </c>
      <c r="P2761">
        <v>-0.119013424635383</v>
      </c>
      <c r="Q2761">
        <v>9.1436896892207298E-2</v>
      </c>
      <c r="R2761">
        <v>0.98625060928669195</v>
      </c>
      <c r="S2761" t="s">
        <v>9431</v>
      </c>
      <c r="T2761" t="s">
        <v>13338</v>
      </c>
      <c r="U2761" t="s">
        <v>13338</v>
      </c>
      <c r="V2761" t="s">
        <v>13338</v>
      </c>
      <c r="W2761" t="s">
        <v>16057</v>
      </c>
      <c r="X2761">
        <v>6</v>
      </c>
      <c r="Y2761" t="s">
        <v>22612</v>
      </c>
      <c r="Z2761" t="s">
        <v>29176</v>
      </c>
      <c r="AA2761">
        <v>0.25457864820369008</v>
      </c>
      <c r="AB2761" t="str">
        <f>HYPERLINK("Melting_Curves/meltCurve_P52630_4_STAT2.pdf", "Melting_Curves/meltCurve_P52630_4_STAT2.pdf")</f>
        <v>Melting_Curves/meltCurve_P52630_4_STAT2.pdf</v>
      </c>
    </row>
    <row r="2762" spans="1:28" x14ac:dyDescent="0.25">
      <c r="A2762" t="s">
        <v>2766</v>
      </c>
      <c r="B2762">
        <v>0.99193492352474899</v>
      </c>
      <c r="C2762">
        <v>0.76452867879990705</v>
      </c>
      <c r="D2762">
        <v>0.90345921842045696</v>
      </c>
      <c r="E2762">
        <v>0.69215529345348603</v>
      </c>
      <c r="F2762">
        <v>0.68673506790483196</v>
      </c>
      <c r="G2762">
        <v>0.406166804575055</v>
      </c>
      <c r="H2762">
        <v>0.37169275501208299</v>
      </c>
      <c r="I2762">
        <v>0.353525488136612</v>
      </c>
      <c r="J2762">
        <v>0.41268043328618698</v>
      </c>
      <c r="K2762">
        <v>0.38386786092876202</v>
      </c>
      <c r="L2762">
        <v>510.44148192670502</v>
      </c>
      <c r="M2762">
        <v>9.9972905478772898</v>
      </c>
      <c r="N2762">
        <v>56.408303071246003</v>
      </c>
      <c r="O2762">
        <v>49.1411856149494</v>
      </c>
      <c r="P2762">
        <v>-3.52993424628976E-2</v>
      </c>
      <c r="Q2762">
        <v>0.30628921356455802</v>
      </c>
      <c r="R2762">
        <v>0.89780779503558705</v>
      </c>
      <c r="S2762" t="s">
        <v>9432</v>
      </c>
      <c r="T2762" t="s">
        <v>13338</v>
      </c>
      <c r="U2762" t="s">
        <v>13338</v>
      </c>
      <c r="V2762" t="s">
        <v>13338</v>
      </c>
      <c r="W2762" t="s">
        <v>16058</v>
      </c>
      <c r="X2762">
        <v>3</v>
      </c>
      <c r="Y2762" t="s">
        <v>22613</v>
      </c>
      <c r="Z2762" t="s">
        <v>29177</v>
      </c>
      <c r="AA2762">
        <v>0.5907078321508803</v>
      </c>
      <c r="AB2762" t="str">
        <f>HYPERLINK("Melting_Curves/meltCurve_P52655_GTF2A1.pdf", "Melting_Curves/meltCurve_P52655_GTF2A1.pdf")</f>
        <v>Melting_Curves/meltCurve_P52655_GTF2A1.pdf</v>
      </c>
    </row>
    <row r="2763" spans="1:28" x14ac:dyDescent="0.25">
      <c r="A2763" t="s">
        <v>2767</v>
      </c>
      <c r="B2763">
        <v>0.99193492352474899</v>
      </c>
      <c r="C2763">
        <v>0.89117998121339304</v>
      </c>
      <c r="D2763">
        <v>0.50039456697347495</v>
      </c>
      <c r="E2763">
        <v>0.22501348104482399</v>
      </c>
      <c r="F2763">
        <v>0.13912574840058201</v>
      </c>
      <c r="G2763">
        <v>7.6122267682968994E-2</v>
      </c>
      <c r="H2763">
        <v>4.9789545957119298E-2</v>
      </c>
      <c r="I2763">
        <v>5.0345631975834602E-2</v>
      </c>
      <c r="J2763">
        <v>5.6005952528250497E-2</v>
      </c>
      <c r="K2763">
        <v>6.4463305877736299E-2</v>
      </c>
      <c r="L2763">
        <v>1101.3222531113599</v>
      </c>
      <c r="M2763">
        <v>23.937154080377699</v>
      </c>
      <c r="N2763">
        <v>46.278082107789402</v>
      </c>
      <c r="O2763">
        <v>45.691421705980297</v>
      </c>
      <c r="P2763">
        <v>-0.12246298756229999</v>
      </c>
      <c r="Q2763">
        <v>6.4982120093416001E-2</v>
      </c>
      <c r="R2763">
        <v>0.99586265400714902</v>
      </c>
      <c r="S2763" t="s">
        <v>9433</v>
      </c>
      <c r="T2763" t="s">
        <v>13338</v>
      </c>
      <c r="U2763" t="s">
        <v>13338</v>
      </c>
      <c r="V2763" t="s">
        <v>13338</v>
      </c>
      <c r="W2763" t="s">
        <v>16059</v>
      </c>
      <c r="X2763">
        <v>25</v>
      </c>
      <c r="Y2763" t="s">
        <v>22614</v>
      </c>
      <c r="Z2763" t="s">
        <v>29178</v>
      </c>
      <c r="AA2763">
        <v>0.26180768684913069</v>
      </c>
      <c r="AB2763" t="str">
        <f>HYPERLINK("Melting_Curves/meltCurve_P52732_KIF11.pdf", "Melting_Curves/meltCurve_P52732_KIF11.pdf")</f>
        <v>Melting_Curves/meltCurve_P52732_KIF11.pdf</v>
      </c>
    </row>
    <row r="2764" spans="1:28" x14ac:dyDescent="0.25">
      <c r="A2764" t="s">
        <v>2768</v>
      </c>
      <c r="B2764">
        <v>0.99193492352474899</v>
      </c>
      <c r="C2764">
        <v>0.95326495772574305</v>
      </c>
      <c r="D2764">
        <v>0.64383904322047303</v>
      </c>
      <c r="E2764">
        <v>0.15064823862301199</v>
      </c>
      <c r="F2764">
        <v>0.116016674257279</v>
      </c>
      <c r="G2764">
        <v>5.3091444613351302E-2</v>
      </c>
      <c r="H2764">
        <v>8.2193203345023395E-3</v>
      </c>
      <c r="I2764">
        <v>4.9430017452379703E-2</v>
      </c>
      <c r="J2764">
        <v>5.6211115282902603E-2</v>
      </c>
      <c r="K2764">
        <v>3.5324402539674803E-2</v>
      </c>
      <c r="L2764">
        <v>1562.0187478816099</v>
      </c>
      <c r="M2764">
        <v>33.4558371853579</v>
      </c>
      <c r="N2764">
        <v>46.829893084924699</v>
      </c>
      <c r="O2764">
        <v>46.523114614498503</v>
      </c>
      <c r="P2764">
        <v>-0.171172573448478</v>
      </c>
      <c r="Q2764">
        <v>4.7885500026053802E-2</v>
      </c>
      <c r="R2764">
        <v>0.99658704995949698</v>
      </c>
      <c r="S2764" t="s">
        <v>9434</v>
      </c>
      <c r="T2764" t="s">
        <v>13338</v>
      </c>
      <c r="U2764" t="s">
        <v>13338</v>
      </c>
      <c r="V2764" t="s">
        <v>13338</v>
      </c>
      <c r="W2764" t="s">
        <v>16060</v>
      </c>
      <c r="X2764">
        <v>5</v>
      </c>
      <c r="Y2764" t="s">
        <v>22615</v>
      </c>
      <c r="Z2764" t="s">
        <v>29179</v>
      </c>
      <c r="AA2764">
        <v>0.26469843068382909</v>
      </c>
      <c r="AB2764" t="str">
        <f>HYPERLINK("Melting_Curves/meltCurve_P52735_3_VAV2.pdf", "Melting_Curves/meltCurve_P52735_3_VAV2.pdf")</f>
        <v>Melting_Curves/meltCurve_P52735_3_VAV2.pdf</v>
      </c>
    </row>
    <row r="2765" spans="1:28" x14ac:dyDescent="0.25">
      <c r="A2765" t="s">
        <v>2769</v>
      </c>
      <c r="B2765">
        <v>0.99193492352474899</v>
      </c>
      <c r="C2765">
        <v>0.41305652458090097</v>
      </c>
      <c r="D2765">
        <v>0.29919503012012899</v>
      </c>
      <c r="E2765">
        <v>0.210396037432968</v>
      </c>
      <c r="F2765">
        <v>0.13892959788142401</v>
      </c>
      <c r="G2765">
        <v>8.8255505213888794E-2</v>
      </c>
      <c r="H2765">
        <v>8.7025903889452194E-2</v>
      </c>
      <c r="I2765">
        <v>0.136725059916671</v>
      </c>
      <c r="J2765">
        <v>0.16798449541920099</v>
      </c>
      <c r="K2765">
        <v>0.17238198424027301</v>
      </c>
      <c r="L2765">
        <v>2109.9227719905698</v>
      </c>
      <c r="M2765">
        <v>49.914809747723297</v>
      </c>
      <c r="N2765">
        <v>42.597401075666603</v>
      </c>
      <c r="O2765">
        <v>42.202772079107604</v>
      </c>
      <c r="P2765">
        <v>-0.24863453651916001</v>
      </c>
      <c r="Q2765">
        <v>0.15912227040058699</v>
      </c>
      <c r="R2765">
        <v>0.95265455005916799</v>
      </c>
      <c r="S2765" t="s">
        <v>9435</v>
      </c>
      <c r="T2765" t="s">
        <v>13338</v>
      </c>
      <c r="U2765" t="s">
        <v>13338</v>
      </c>
      <c r="V2765" t="s">
        <v>13338</v>
      </c>
      <c r="W2765" t="s">
        <v>16061</v>
      </c>
      <c r="X2765">
        <v>8</v>
      </c>
      <c r="Y2765" t="s">
        <v>22616</v>
      </c>
      <c r="Z2765" t="s">
        <v>29180</v>
      </c>
      <c r="AA2765">
        <v>0.2255059150320847</v>
      </c>
      <c r="AB2765" t="str">
        <f>HYPERLINK("Melting_Curves/meltCurve_P52756_RBM5.pdf", "Melting_Curves/meltCurve_P52756_RBM5.pdf")</f>
        <v>Melting_Curves/meltCurve_P52756_RBM5.pdf</v>
      </c>
    </row>
    <row r="2766" spans="1:28" x14ac:dyDescent="0.25">
      <c r="A2766" t="s">
        <v>2770</v>
      </c>
      <c r="B2766">
        <v>0.99193492352474899</v>
      </c>
      <c r="C2766">
        <v>0.84682120808555505</v>
      </c>
      <c r="D2766">
        <v>0.94902578465514398</v>
      </c>
      <c r="E2766">
        <v>0.75362705490361603</v>
      </c>
      <c r="F2766">
        <v>0.727173671685728</v>
      </c>
      <c r="G2766">
        <v>0.40724835087287897</v>
      </c>
      <c r="H2766">
        <v>0.419873790819901</v>
      </c>
      <c r="I2766">
        <v>0.45202096910530898</v>
      </c>
      <c r="J2766">
        <v>0.58536410166371</v>
      </c>
      <c r="K2766">
        <v>0.86011428201037199</v>
      </c>
      <c r="L2766">
        <v>1104.4783862557499</v>
      </c>
      <c r="M2766">
        <v>22.4131909573609</v>
      </c>
      <c r="O2766">
        <v>48.890788707573797</v>
      </c>
      <c r="P2766">
        <v>-5.0860158154935303E-2</v>
      </c>
      <c r="Q2766">
        <v>0.55623590895369701</v>
      </c>
      <c r="R2766">
        <v>0.58055922047602904</v>
      </c>
      <c r="S2766" t="s">
        <v>9436</v>
      </c>
      <c r="T2766" t="s">
        <v>13338</v>
      </c>
      <c r="U2766" t="s">
        <v>13338</v>
      </c>
      <c r="V2766" t="s">
        <v>13338</v>
      </c>
      <c r="W2766" t="s">
        <v>16062</v>
      </c>
      <c r="X2766">
        <v>9</v>
      </c>
      <c r="Y2766" t="s">
        <v>22617</v>
      </c>
      <c r="Z2766" t="s">
        <v>29181</v>
      </c>
      <c r="AA2766">
        <v>0.69840275398977103</v>
      </c>
      <c r="AB2766" t="str">
        <f>HYPERLINK("Melting_Curves/meltCurve_P52758_HRSP12.pdf", "Melting_Curves/meltCurve_P52758_HRSP12.pdf")</f>
        <v>Melting_Curves/meltCurve_P52758_HRSP12.pdf</v>
      </c>
    </row>
    <row r="2767" spans="1:28" x14ac:dyDescent="0.25">
      <c r="A2767" t="s">
        <v>2771</v>
      </c>
      <c r="B2767">
        <v>0.99193492352474899</v>
      </c>
      <c r="C2767">
        <v>0.99066698900245798</v>
      </c>
      <c r="D2767">
        <v>0.952150561651395</v>
      </c>
      <c r="E2767">
        <v>0.919115778727296</v>
      </c>
      <c r="F2767">
        <v>0.69430494045476399</v>
      </c>
      <c r="G2767">
        <v>0.410828169682186</v>
      </c>
      <c r="H2767">
        <v>0.14312575305609801</v>
      </c>
      <c r="I2767">
        <v>9.3823775457287706E-2</v>
      </c>
      <c r="J2767">
        <v>0.101323591920693</v>
      </c>
      <c r="K2767">
        <v>9.6287998805488606E-2</v>
      </c>
      <c r="L2767">
        <v>1186.3016433197299</v>
      </c>
      <c r="M2767">
        <v>21.5488168714129</v>
      </c>
      <c r="N2767">
        <v>55.430028731461398</v>
      </c>
      <c r="O2767">
        <v>54.584295700950797</v>
      </c>
      <c r="P2767">
        <v>-9.19499672614668E-2</v>
      </c>
      <c r="Q2767">
        <v>6.8366019482138898E-2</v>
      </c>
      <c r="R2767">
        <v>0.99737169450123797</v>
      </c>
      <c r="S2767" t="s">
        <v>9437</v>
      </c>
      <c r="T2767" t="s">
        <v>13338</v>
      </c>
      <c r="U2767" t="s">
        <v>13338</v>
      </c>
      <c r="V2767" t="s">
        <v>13338</v>
      </c>
      <c r="W2767" t="s">
        <v>16063</v>
      </c>
      <c r="X2767">
        <v>16</v>
      </c>
      <c r="Y2767" t="s">
        <v>22618</v>
      </c>
      <c r="Z2767" t="s">
        <v>29182</v>
      </c>
      <c r="AA2767">
        <v>0.5468362868615334</v>
      </c>
      <c r="AB2767" t="str">
        <f>HYPERLINK("Melting_Curves/meltCurve_P52788_SMS.pdf", "Melting_Curves/meltCurve_P52788_SMS.pdf")</f>
        <v>Melting_Curves/meltCurve_P52788_SMS.pdf</v>
      </c>
    </row>
    <row r="2768" spans="1:28" x14ac:dyDescent="0.25">
      <c r="A2768" t="s">
        <v>2772</v>
      </c>
      <c r="B2768">
        <v>0.99193492352474899</v>
      </c>
      <c r="C2768">
        <v>0.89740144034402602</v>
      </c>
      <c r="D2768">
        <v>0.66587111441982605</v>
      </c>
      <c r="E2768">
        <v>0.18492066684709299</v>
      </c>
      <c r="F2768">
        <v>0.129622017742095</v>
      </c>
      <c r="G2768">
        <v>6.6636139054129101E-2</v>
      </c>
      <c r="H2768">
        <v>5.0312451031065603E-2</v>
      </c>
      <c r="I2768">
        <v>5.5551475780119798E-2</v>
      </c>
      <c r="J2768">
        <v>7.3221621058014996E-2</v>
      </c>
      <c r="K2768">
        <v>8.81581659072216E-2</v>
      </c>
      <c r="L2768">
        <v>1358.80819546924</v>
      </c>
      <c r="M2768">
        <v>29.067850157992201</v>
      </c>
      <c r="N2768">
        <v>46.9833648447282</v>
      </c>
      <c r="O2768">
        <v>46.526516283886799</v>
      </c>
      <c r="P2768">
        <v>-0.145528252752436</v>
      </c>
      <c r="Q2768">
        <v>6.82664743115909E-2</v>
      </c>
      <c r="R2768">
        <v>0.99593541770128902</v>
      </c>
      <c r="S2768" t="s">
        <v>9438</v>
      </c>
      <c r="T2768" t="s">
        <v>13338</v>
      </c>
      <c r="U2768" t="s">
        <v>13338</v>
      </c>
      <c r="V2768" t="s">
        <v>13338</v>
      </c>
      <c r="W2768" t="s">
        <v>16064</v>
      </c>
      <c r="X2768">
        <v>28</v>
      </c>
      <c r="Y2768" t="s">
        <v>22619</v>
      </c>
      <c r="Z2768" t="s">
        <v>29183</v>
      </c>
      <c r="AA2768">
        <v>0.28378183170416538</v>
      </c>
      <c r="AB2768" t="str">
        <f>HYPERLINK("Melting_Curves/meltCurve_P52789_HK2.pdf", "Melting_Curves/meltCurve_P52789_HK2.pdf")</f>
        <v>Melting_Curves/meltCurve_P52789_HK2.pdf</v>
      </c>
    </row>
    <row r="2769" spans="1:28" x14ac:dyDescent="0.25">
      <c r="A2769" t="s">
        <v>2773</v>
      </c>
      <c r="B2769">
        <v>0.99193492352474899</v>
      </c>
      <c r="C2769">
        <v>1.00237465615552</v>
      </c>
      <c r="D2769">
        <v>0.848850492092871</v>
      </c>
      <c r="E2769">
        <v>0.78232801076761105</v>
      </c>
      <c r="F2769">
        <v>0.59460939821308101</v>
      </c>
      <c r="G2769">
        <v>0.51433973481050399</v>
      </c>
      <c r="H2769">
        <v>0.20094331009043301</v>
      </c>
      <c r="I2769">
        <v>0.251144798479217</v>
      </c>
      <c r="J2769">
        <v>0.27346076041614298</v>
      </c>
      <c r="K2769">
        <v>0.37112388917677303</v>
      </c>
      <c r="L2769">
        <v>776.81990730362998</v>
      </c>
      <c r="M2769">
        <v>14.8225355584069</v>
      </c>
      <c r="N2769">
        <v>54.974786152926598</v>
      </c>
      <c r="O2769">
        <v>51.481865913130697</v>
      </c>
      <c r="P2769">
        <v>-5.4009852867219099E-2</v>
      </c>
      <c r="Q2769">
        <v>0.249727900871725</v>
      </c>
      <c r="R2769">
        <v>0.949030279216455</v>
      </c>
      <c r="S2769" t="s">
        <v>9439</v>
      </c>
      <c r="T2769" t="s">
        <v>13338</v>
      </c>
      <c r="U2769" t="s">
        <v>13338</v>
      </c>
      <c r="V2769" t="s">
        <v>13338</v>
      </c>
      <c r="W2769" t="s">
        <v>16065</v>
      </c>
      <c r="X2769">
        <v>1</v>
      </c>
      <c r="Y2769" t="s">
        <v>22620</v>
      </c>
      <c r="Z2769" t="s">
        <v>29184</v>
      </c>
      <c r="AA2769">
        <v>0.57686079681807712</v>
      </c>
      <c r="AB2769" t="str">
        <f>HYPERLINK("Melting_Curves/meltCurve_P52798_2_EFNA4.pdf", "Melting_Curves/meltCurve_P52798_2_EFNA4.pdf")</f>
        <v>Melting_Curves/meltCurve_P52798_2_EFNA4.pdf</v>
      </c>
    </row>
    <row r="2770" spans="1:28" x14ac:dyDescent="0.25">
      <c r="A2770" t="s">
        <v>2774</v>
      </c>
      <c r="B2770">
        <v>0.99193492352474899</v>
      </c>
      <c r="C2770">
        <v>1.21461067851576</v>
      </c>
      <c r="D2770">
        <v>0.96207229715082798</v>
      </c>
      <c r="E2770">
        <v>0.87368350650314797</v>
      </c>
      <c r="F2770">
        <v>0.63334187889461202</v>
      </c>
      <c r="G2770">
        <v>0.63982121083883503</v>
      </c>
      <c r="H2770">
        <v>0.36374988630417399</v>
      </c>
      <c r="I2770">
        <v>0.49201266182710301</v>
      </c>
      <c r="J2770">
        <v>0.38384119378082998</v>
      </c>
      <c r="K2770">
        <v>0.23052688330913801</v>
      </c>
      <c r="L2770">
        <v>772.90732491962797</v>
      </c>
      <c r="M2770">
        <v>14.0987230847864</v>
      </c>
      <c r="N2770">
        <v>58.559308203520303</v>
      </c>
      <c r="O2770">
        <v>53.753530139769602</v>
      </c>
      <c r="P2770">
        <v>-4.6120957939282101E-2</v>
      </c>
      <c r="Q2770">
        <v>0.29671783537447499</v>
      </c>
      <c r="R2770">
        <v>0.89756341115155902</v>
      </c>
      <c r="S2770" t="s">
        <v>9440</v>
      </c>
      <c r="T2770" t="s">
        <v>13338</v>
      </c>
      <c r="U2770" t="s">
        <v>13338</v>
      </c>
      <c r="V2770" t="s">
        <v>13338</v>
      </c>
      <c r="W2770" t="s">
        <v>16066</v>
      </c>
      <c r="X2770">
        <v>7</v>
      </c>
      <c r="Y2770" t="s">
        <v>22621</v>
      </c>
      <c r="Z2770" t="s">
        <v>29185</v>
      </c>
      <c r="AA2770">
        <v>0.65881607927915087</v>
      </c>
      <c r="AB2770" t="str">
        <f>HYPERLINK("Melting_Curves/meltCurve_P52815_MRPL12.pdf", "Melting_Curves/meltCurve_P52815_MRPL12.pdf")</f>
        <v>Melting_Curves/meltCurve_P52815_MRPL12.pdf</v>
      </c>
    </row>
    <row r="2771" spans="1:28" x14ac:dyDescent="0.25">
      <c r="A2771" t="s">
        <v>2775</v>
      </c>
      <c r="B2771">
        <v>0.99193492352474899</v>
      </c>
      <c r="C2771">
        <v>1.0866224163856</v>
      </c>
      <c r="D2771">
        <v>1.0479849460101101</v>
      </c>
      <c r="E2771">
        <v>0.95435343153464602</v>
      </c>
      <c r="F2771">
        <v>0.77850919559379606</v>
      </c>
      <c r="G2771">
        <v>0.60392618053370695</v>
      </c>
      <c r="H2771">
        <v>0.36660266271693698</v>
      </c>
      <c r="I2771">
        <v>0.241888289198431</v>
      </c>
      <c r="J2771">
        <v>0.18491734114407499</v>
      </c>
      <c r="K2771">
        <v>0.14823139102127</v>
      </c>
      <c r="L2771">
        <v>968.14564222167701</v>
      </c>
      <c r="M2771">
        <v>16.877514053568898</v>
      </c>
      <c r="N2771">
        <v>58.244669570803701</v>
      </c>
      <c r="O2771">
        <v>56.575865713459002</v>
      </c>
      <c r="P2771">
        <v>-6.6176550849836493E-2</v>
      </c>
      <c r="Q2771">
        <v>0.112722626177059</v>
      </c>
      <c r="R2771">
        <v>0.98959767152808398</v>
      </c>
      <c r="S2771" t="s">
        <v>9441</v>
      </c>
      <c r="T2771" t="s">
        <v>13338</v>
      </c>
      <c r="U2771" t="s">
        <v>13338</v>
      </c>
      <c r="V2771" t="s">
        <v>13338</v>
      </c>
      <c r="W2771" t="s">
        <v>16067</v>
      </c>
      <c r="X2771">
        <v>32</v>
      </c>
      <c r="Y2771" t="s">
        <v>22622</v>
      </c>
      <c r="Z2771" t="s">
        <v>29186</v>
      </c>
      <c r="AA2771">
        <v>0.6386650572667194</v>
      </c>
      <c r="AB2771" t="str">
        <f>HYPERLINK("Melting_Curves/meltCurve_P52888_THOP1.pdf", "Melting_Curves/meltCurve_P52888_THOP1.pdf")</f>
        <v>Melting_Curves/meltCurve_P52888_THOP1.pdf</v>
      </c>
    </row>
    <row r="2772" spans="1:28" x14ac:dyDescent="0.25">
      <c r="A2772" t="s">
        <v>2776</v>
      </c>
      <c r="B2772">
        <v>0.99193492352474899</v>
      </c>
      <c r="C2772">
        <v>0.80171897545756599</v>
      </c>
      <c r="D2772">
        <v>0.80438600873860799</v>
      </c>
      <c r="E2772">
        <v>0.60735016139134801</v>
      </c>
      <c r="F2772">
        <v>0.46543920035911202</v>
      </c>
      <c r="G2772">
        <v>0.22872619454301099</v>
      </c>
      <c r="H2772">
        <v>0.12787902469447299</v>
      </c>
      <c r="I2772">
        <v>0.113907075644036</v>
      </c>
      <c r="J2772">
        <v>0.12785987904554399</v>
      </c>
      <c r="K2772">
        <v>0.135127862183192</v>
      </c>
      <c r="L2772">
        <v>578.48235493207903</v>
      </c>
      <c r="M2772">
        <v>11.3718422029521</v>
      </c>
      <c r="N2772">
        <v>51.355386027201</v>
      </c>
      <c r="O2772">
        <v>49.372847604513197</v>
      </c>
      <c r="P2772">
        <v>-5.4662091263328501E-2</v>
      </c>
      <c r="Q2772">
        <v>5.0981732521044501E-2</v>
      </c>
      <c r="R2772">
        <v>0.97930511546743004</v>
      </c>
      <c r="S2772" t="s">
        <v>9442</v>
      </c>
      <c r="T2772" t="s">
        <v>13338</v>
      </c>
      <c r="U2772" t="s">
        <v>13338</v>
      </c>
      <c r="V2772" t="s">
        <v>13338</v>
      </c>
      <c r="W2772" t="s">
        <v>16068</v>
      </c>
      <c r="X2772">
        <v>19</v>
      </c>
      <c r="Y2772" t="s">
        <v>22623</v>
      </c>
      <c r="Z2772" t="s">
        <v>29187</v>
      </c>
      <c r="AA2772">
        <v>0.4285068906096009</v>
      </c>
      <c r="AB2772" t="str">
        <f>HYPERLINK("Melting_Curves/meltCurve_P52907_CAPZA1.pdf", "Melting_Curves/meltCurve_P52907_CAPZA1.pdf")</f>
        <v>Melting_Curves/meltCurve_P52907_CAPZA1.pdf</v>
      </c>
    </row>
    <row r="2773" spans="1:28" x14ac:dyDescent="0.25">
      <c r="A2773" t="s">
        <v>2777</v>
      </c>
      <c r="B2773">
        <v>0.99193492352474899</v>
      </c>
      <c r="C2773">
        <v>0.72121219310989704</v>
      </c>
      <c r="D2773">
        <v>0.96527589278725001</v>
      </c>
      <c r="E2773">
        <v>0.67721908533229802</v>
      </c>
      <c r="F2773">
        <v>0.61673405638749002</v>
      </c>
      <c r="G2773">
        <v>0.35893406583472098</v>
      </c>
      <c r="H2773">
        <v>0.33297903811572799</v>
      </c>
      <c r="I2773">
        <v>0.39813208859930799</v>
      </c>
      <c r="J2773">
        <v>0.540875709672344</v>
      </c>
      <c r="K2773">
        <v>0.63937729550910904</v>
      </c>
      <c r="L2773">
        <v>821.14420060524196</v>
      </c>
      <c r="M2773">
        <v>16.916427156072899</v>
      </c>
      <c r="N2773">
        <v>56.493888600176497</v>
      </c>
      <c r="O2773">
        <v>47.878119937478999</v>
      </c>
      <c r="P2773">
        <v>-4.8250476795494997E-2</v>
      </c>
      <c r="Q2773">
        <v>0.45378618324648201</v>
      </c>
      <c r="R2773">
        <v>0.68299847830889604</v>
      </c>
      <c r="S2773" t="s">
        <v>9443</v>
      </c>
      <c r="T2773" t="s">
        <v>13338</v>
      </c>
      <c r="U2773" t="s">
        <v>13338</v>
      </c>
      <c r="V2773" t="s">
        <v>13338</v>
      </c>
      <c r="W2773" t="s">
        <v>16069</v>
      </c>
      <c r="X2773">
        <v>4</v>
      </c>
      <c r="Y2773" t="s">
        <v>22624</v>
      </c>
      <c r="Z2773" t="s">
        <v>29188</v>
      </c>
      <c r="AA2773">
        <v>0.62012823005389373</v>
      </c>
      <c r="AB2773" t="str">
        <f>HYPERLINK("Melting_Curves/meltCurve_P52943_CRIP2.pdf", "Melting_Curves/meltCurve_P52943_CRIP2.pdf")</f>
        <v>Melting_Curves/meltCurve_P52943_CRIP2.pdf</v>
      </c>
    </row>
    <row r="2774" spans="1:28" x14ac:dyDescent="0.25">
      <c r="A2774" t="s">
        <v>2778</v>
      </c>
      <c r="B2774">
        <v>0.99193492352474899</v>
      </c>
      <c r="C2774">
        <v>0.72701325177757903</v>
      </c>
      <c r="D2774">
        <v>0.67360345209060601</v>
      </c>
      <c r="E2774">
        <v>0.39893506307471299</v>
      </c>
      <c r="F2774">
        <v>0.175388276096826</v>
      </c>
      <c r="G2774">
        <v>9.7088308825660205E-2</v>
      </c>
      <c r="H2774">
        <v>7.27555029504596E-2</v>
      </c>
      <c r="I2774">
        <v>8.0587630312802402E-2</v>
      </c>
      <c r="J2774">
        <v>9.8482211325142996E-2</v>
      </c>
      <c r="K2774">
        <v>0.12662171245404399</v>
      </c>
      <c r="L2774">
        <v>710.96447012431997</v>
      </c>
      <c r="M2774">
        <v>15.083336153953001</v>
      </c>
      <c r="N2774">
        <v>47.604907063894203</v>
      </c>
      <c r="O2774">
        <v>46.330524188763803</v>
      </c>
      <c r="P2774">
        <v>-7.5776540411302398E-2</v>
      </c>
      <c r="Q2774">
        <v>6.9060291560427797E-2</v>
      </c>
      <c r="R2774">
        <v>0.97725025751414396</v>
      </c>
      <c r="S2774" t="s">
        <v>9444</v>
      </c>
      <c r="T2774" t="s">
        <v>13338</v>
      </c>
      <c r="U2774" t="s">
        <v>13338</v>
      </c>
      <c r="V2774" t="s">
        <v>13338</v>
      </c>
      <c r="W2774" t="s">
        <v>16070</v>
      </c>
      <c r="X2774">
        <v>26</v>
      </c>
      <c r="Y2774" t="s">
        <v>22625</v>
      </c>
      <c r="Z2774" t="s">
        <v>29189</v>
      </c>
      <c r="AA2774">
        <v>0.31529288630885799</v>
      </c>
      <c r="AB2774" t="str">
        <f>HYPERLINK("Melting_Curves/meltCurve_P52948_5_NUP98.pdf", "Melting_Curves/meltCurve_P52948_5_NUP98.pdf")</f>
        <v>Melting_Curves/meltCurve_P52948_5_NUP98.pdf</v>
      </c>
    </row>
    <row r="2775" spans="1:28" x14ac:dyDescent="0.25">
      <c r="A2775" t="s">
        <v>2779</v>
      </c>
      <c r="B2775">
        <v>0.99193492352474899</v>
      </c>
      <c r="C2775">
        <v>0.77687676682373197</v>
      </c>
      <c r="D2775">
        <v>0.89398921982753898</v>
      </c>
      <c r="E2775">
        <v>0.70428815831138503</v>
      </c>
      <c r="F2775">
        <v>0.42159726280478399</v>
      </c>
      <c r="G2775">
        <v>0.101575994052595</v>
      </c>
      <c r="H2775">
        <v>5.1262163938248499E-2</v>
      </c>
      <c r="I2775">
        <v>5.1541213948343302E-2</v>
      </c>
      <c r="J2775">
        <v>5.6489529143295497E-2</v>
      </c>
      <c r="K2775">
        <v>6.2213769335286502E-2</v>
      </c>
      <c r="L2775">
        <v>894.531051855702</v>
      </c>
      <c r="M2775">
        <v>17.350005949787001</v>
      </c>
      <c r="N2775">
        <v>51.653880812564601</v>
      </c>
      <c r="O2775">
        <v>50.887659917940198</v>
      </c>
      <c r="P2775">
        <v>-8.3890470768527695E-2</v>
      </c>
      <c r="Q2775">
        <v>1.58513388665848E-2</v>
      </c>
      <c r="R2775">
        <v>0.96422165967120799</v>
      </c>
      <c r="S2775" t="s">
        <v>9445</v>
      </c>
      <c r="T2775" t="s">
        <v>13338</v>
      </c>
      <c r="U2775" t="s">
        <v>13338</v>
      </c>
      <c r="V2775" t="s">
        <v>13338</v>
      </c>
      <c r="W2775" t="s">
        <v>16071</v>
      </c>
      <c r="X2775">
        <v>13</v>
      </c>
      <c r="Y2775" t="s">
        <v>22626</v>
      </c>
      <c r="Z2775" t="s">
        <v>29190</v>
      </c>
      <c r="AA2775">
        <v>0.41256689871539098</v>
      </c>
      <c r="AB2775" t="str">
        <f>HYPERLINK("Melting_Curves/meltCurve_P53004_BLVRA.pdf", "Melting_Curves/meltCurve_P53004_BLVRA.pdf")</f>
        <v>Melting_Curves/meltCurve_P53004_BLVRA.pdf</v>
      </c>
    </row>
    <row r="2776" spans="1:28" x14ac:dyDescent="0.25">
      <c r="A2776" t="s">
        <v>2780</v>
      </c>
      <c r="B2776">
        <v>0.99193492352474899</v>
      </c>
      <c r="C2776">
        <v>0.90488644197610102</v>
      </c>
      <c r="D2776">
        <v>0.95255797551251997</v>
      </c>
      <c r="E2776">
        <v>0.86081193174103998</v>
      </c>
      <c r="F2776">
        <v>0.69428613488774704</v>
      </c>
      <c r="G2776">
        <v>0.56224974299212305</v>
      </c>
      <c r="H2776">
        <v>0.46928271620927398</v>
      </c>
      <c r="I2776">
        <v>0.40989348256193803</v>
      </c>
      <c r="J2776">
        <v>0.291727120710566</v>
      </c>
      <c r="K2776">
        <v>0.52705241788300605</v>
      </c>
      <c r="L2776">
        <v>824.66715701749399</v>
      </c>
      <c r="M2776">
        <v>15.5064098146202</v>
      </c>
      <c r="N2776">
        <v>58.859310106570803</v>
      </c>
      <c r="O2776">
        <v>52.321390709261998</v>
      </c>
      <c r="P2776">
        <v>-4.5352707635931702E-2</v>
      </c>
      <c r="Q2776">
        <v>0.387941774132608</v>
      </c>
      <c r="R2776">
        <v>0.93371348053882197</v>
      </c>
      <c r="S2776" t="s">
        <v>9446</v>
      </c>
      <c r="T2776" t="s">
        <v>13338</v>
      </c>
      <c r="U2776" t="s">
        <v>13338</v>
      </c>
      <c r="V2776" t="s">
        <v>13338</v>
      </c>
      <c r="W2776" t="s">
        <v>16072</v>
      </c>
      <c r="X2776">
        <v>9</v>
      </c>
      <c r="Y2776" t="s">
        <v>22627</v>
      </c>
      <c r="Z2776" t="s">
        <v>29191</v>
      </c>
      <c r="AA2776">
        <v>0.66936705045521505</v>
      </c>
      <c r="AB2776" t="str">
        <f>HYPERLINK("Melting_Curves/meltCurve_P53007_SLC25A1.pdf", "Melting_Curves/meltCurve_P53007_SLC25A1.pdf")</f>
        <v>Melting_Curves/meltCurve_P53007_SLC25A1.pdf</v>
      </c>
    </row>
    <row r="2777" spans="1:28" x14ac:dyDescent="0.25">
      <c r="A2777" t="s">
        <v>2781</v>
      </c>
      <c r="B2777">
        <v>0.99193492352474899</v>
      </c>
      <c r="C2777">
        <v>0.88125369906766604</v>
      </c>
      <c r="D2777">
        <v>0.86931642539230702</v>
      </c>
      <c r="E2777">
        <v>0.60431643480947295</v>
      </c>
      <c r="F2777">
        <v>0.33136955826579201</v>
      </c>
      <c r="G2777">
        <v>7.6975838298107502E-2</v>
      </c>
      <c r="H2777">
        <v>4.1276026874517001E-2</v>
      </c>
      <c r="I2777">
        <v>4.8689412721368903E-2</v>
      </c>
      <c r="J2777">
        <v>7.9227578718113395E-2</v>
      </c>
      <c r="K2777">
        <v>1.0495372472185901E-2</v>
      </c>
      <c r="L2777">
        <v>913.78531993904903</v>
      </c>
      <c r="M2777">
        <v>18.067983826063902</v>
      </c>
      <c r="N2777">
        <v>50.669305692507002</v>
      </c>
      <c r="O2777">
        <v>49.967511468761003</v>
      </c>
      <c r="P2777">
        <v>-8.8905731679201599E-2</v>
      </c>
      <c r="Q2777">
        <v>1.65627513305391E-2</v>
      </c>
      <c r="R2777">
        <v>0.99012519073551197</v>
      </c>
      <c r="S2777" t="s">
        <v>9447</v>
      </c>
      <c r="T2777" t="s">
        <v>13338</v>
      </c>
      <c r="U2777" t="s">
        <v>13338</v>
      </c>
      <c r="V2777" t="s">
        <v>13338</v>
      </c>
      <c r="W2777" t="s">
        <v>16073</v>
      </c>
      <c r="X2777">
        <v>3</v>
      </c>
      <c r="Y2777" t="s">
        <v>22628</v>
      </c>
      <c r="Z2777" t="s">
        <v>29192</v>
      </c>
      <c r="AA2777">
        <v>0.37975629287426688</v>
      </c>
      <c r="AB2777" t="str">
        <f>HYPERLINK("Melting_Curves/meltCurve_P53350_PLK1.pdf", "Melting_Curves/meltCurve_P53350_PLK1.pdf")</f>
        <v>Melting_Curves/meltCurve_P53350_PLK1.pdf</v>
      </c>
    </row>
    <row r="2778" spans="1:28" x14ac:dyDescent="0.25">
      <c r="A2778" t="s">
        <v>2782</v>
      </c>
      <c r="B2778">
        <v>0.99193492352474899</v>
      </c>
      <c r="C2778">
        <v>0.72032494672374803</v>
      </c>
      <c r="D2778">
        <v>0.82508913843529696</v>
      </c>
      <c r="E2778">
        <v>0.429052087081435</v>
      </c>
      <c r="F2778">
        <v>0.182580766328727</v>
      </c>
      <c r="G2778">
        <v>0.114091250690446</v>
      </c>
      <c r="H2778">
        <v>7.3182008015521494E-2</v>
      </c>
      <c r="I2778">
        <v>9.7779637884429005E-2</v>
      </c>
      <c r="J2778">
        <v>9.2213326975500096E-2</v>
      </c>
      <c r="K2778">
        <v>0.103538061897507</v>
      </c>
      <c r="L2778">
        <v>799.01409042994396</v>
      </c>
      <c r="M2778">
        <v>16.574062143064602</v>
      </c>
      <c r="N2778">
        <v>48.628459582123</v>
      </c>
      <c r="O2778">
        <v>47.523279426674897</v>
      </c>
      <c r="P2778">
        <v>-8.1383660774677596E-2</v>
      </c>
      <c r="Q2778">
        <v>6.6648686007665103E-2</v>
      </c>
      <c r="R2778">
        <v>0.95703210651159998</v>
      </c>
      <c r="S2778" t="s">
        <v>9448</v>
      </c>
      <c r="T2778" t="s">
        <v>13338</v>
      </c>
      <c r="U2778" t="s">
        <v>13338</v>
      </c>
      <c r="V2778" t="s">
        <v>13338</v>
      </c>
      <c r="W2778" t="s">
        <v>16074</v>
      </c>
      <c r="X2778">
        <v>11</v>
      </c>
      <c r="Y2778" t="s">
        <v>22629</v>
      </c>
      <c r="Z2778" t="s">
        <v>29193</v>
      </c>
      <c r="AA2778">
        <v>0.34152987418028802</v>
      </c>
      <c r="AB2778" t="str">
        <f>HYPERLINK("Melting_Curves/meltCurve_P53365_ARFIP2.pdf", "Melting_Curves/meltCurve_P53365_ARFIP2.pdf")</f>
        <v>Melting_Curves/meltCurve_P53365_ARFIP2.pdf</v>
      </c>
    </row>
    <row r="2779" spans="1:28" x14ac:dyDescent="0.25">
      <c r="A2779" t="s">
        <v>2783</v>
      </c>
      <c r="B2779">
        <v>0.99193492352474899</v>
      </c>
      <c r="C2779">
        <v>1.0016929044424401</v>
      </c>
      <c r="D2779">
        <v>0.70633198631731098</v>
      </c>
      <c r="E2779">
        <v>0.40406799649414299</v>
      </c>
      <c r="F2779">
        <v>6.6739042793901096E-2</v>
      </c>
      <c r="G2779">
        <v>0.13759511128969901</v>
      </c>
      <c r="H2779">
        <v>0.12865206870896001</v>
      </c>
      <c r="I2779">
        <v>0.182909528327796</v>
      </c>
      <c r="J2779">
        <v>0.39117791030114801</v>
      </c>
      <c r="K2779">
        <v>0.67582233411674297</v>
      </c>
      <c r="L2779">
        <v>1734.8920505266001</v>
      </c>
      <c r="M2779">
        <v>37.217622712814297</v>
      </c>
      <c r="N2779">
        <v>47.615523314789598</v>
      </c>
      <c r="O2779">
        <v>46.480855698190297</v>
      </c>
      <c r="P2779">
        <v>-0.145869758215741</v>
      </c>
      <c r="Q2779">
        <v>0.27129908050141499</v>
      </c>
      <c r="R2779">
        <v>0.75848099998964602</v>
      </c>
      <c r="S2779" t="s">
        <v>9449</v>
      </c>
      <c r="T2779" t="s">
        <v>13338</v>
      </c>
      <c r="U2779" t="s">
        <v>13338</v>
      </c>
      <c r="V2779" t="s">
        <v>13338</v>
      </c>
      <c r="W2779" t="s">
        <v>16075</v>
      </c>
      <c r="X2779">
        <v>12</v>
      </c>
      <c r="Y2779" t="s">
        <v>22630</v>
      </c>
      <c r="Z2779" t="s">
        <v>29194</v>
      </c>
      <c r="AA2779">
        <v>0.43473466998820948</v>
      </c>
      <c r="AB2779" t="str">
        <f>HYPERLINK("Melting_Curves/meltCurve_P53367_ARFIP1.pdf", "Melting_Curves/meltCurve_P53367_ARFIP1.pdf")</f>
        <v>Melting_Curves/meltCurve_P53367_ARFIP1.pdf</v>
      </c>
    </row>
    <row r="2780" spans="1:28" x14ac:dyDescent="0.25">
      <c r="A2780" t="s">
        <v>2784</v>
      </c>
      <c r="B2780">
        <v>0.99193492352474899</v>
      </c>
      <c r="C2780">
        <v>0.79759010223688298</v>
      </c>
      <c r="D2780">
        <v>0.75103467348309005</v>
      </c>
      <c r="E2780">
        <v>0.37081015079916302</v>
      </c>
      <c r="F2780">
        <v>0.170782781435354</v>
      </c>
      <c r="G2780">
        <v>0.12973385987668301</v>
      </c>
      <c r="H2780">
        <v>7.0609563323366695E-2</v>
      </c>
      <c r="I2780">
        <v>9.1658102328872407E-2</v>
      </c>
      <c r="J2780">
        <v>0.107141225092225</v>
      </c>
      <c r="K2780">
        <v>0.24181908067216301</v>
      </c>
      <c r="L2780">
        <v>944.61969575229898</v>
      </c>
      <c r="M2780">
        <v>19.930630171323902</v>
      </c>
      <c r="N2780">
        <v>48.019597612456302</v>
      </c>
      <c r="O2780">
        <v>46.925970876262603</v>
      </c>
      <c r="P2780">
        <v>-9.4066697943791702E-2</v>
      </c>
      <c r="Q2780">
        <v>0.114122179284669</v>
      </c>
      <c r="R2780">
        <v>0.96581881708432804</v>
      </c>
      <c r="S2780" t="s">
        <v>9450</v>
      </c>
      <c r="T2780" t="s">
        <v>13338</v>
      </c>
      <c r="U2780" t="s">
        <v>13338</v>
      </c>
      <c r="V2780" t="s">
        <v>13338</v>
      </c>
      <c r="W2780" t="s">
        <v>16076</v>
      </c>
      <c r="X2780">
        <v>12</v>
      </c>
      <c r="Y2780" t="s">
        <v>22630</v>
      </c>
      <c r="Z2780" t="s">
        <v>29195</v>
      </c>
      <c r="AA2780">
        <v>0.34538619577853003</v>
      </c>
      <c r="AB2780" t="str">
        <f>HYPERLINK("Melting_Curves/meltCurve_P53367_2_ARFIP1.pdf", "Melting_Curves/meltCurve_P53367_2_ARFIP1.pdf")</f>
        <v>Melting_Curves/meltCurve_P53367_2_ARFIP1.pdf</v>
      </c>
    </row>
    <row r="2781" spans="1:28" x14ac:dyDescent="0.25">
      <c r="A2781" t="s">
        <v>2785</v>
      </c>
      <c r="B2781">
        <v>0.99193492352474899</v>
      </c>
      <c r="C2781">
        <v>1.03731816559485</v>
      </c>
      <c r="D2781">
        <v>0.85731242499833205</v>
      </c>
      <c r="E2781">
        <v>0.89897310905504202</v>
      </c>
      <c r="F2781">
        <v>0.50555784788826197</v>
      </c>
      <c r="G2781">
        <v>0.1972072641441</v>
      </c>
      <c r="H2781">
        <v>8.5968150344574695E-2</v>
      </c>
      <c r="I2781">
        <v>8.5000737862307593E-2</v>
      </c>
      <c r="J2781">
        <v>0.10671106720194901</v>
      </c>
      <c r="K2781">
        <v>0.102120503616194</v>
      </c>
      <c r="L2781">
        <v>1488.65375346271</v>
      </c>
      <c r="M2781">
        <v>28.1517932762046</v>
      </c>
      <c r="N2781">
        <v>53.238646309111303</v>
      </c>
      <c r="O2781">
        <v>52.614867262969597</v>
      </c>
      <c r="P2781">
        <v>-0.122197240067625</v>
      </c>
      <c r="Q2781">
        <v>8.6475586345173105E-2</v>
      </c>
      <c r="R2781">
        <v>0.987264323379488</v>
      </c>
      <c r="S2781" t="s">
        <v>9451</v>
      </c>
      <c r="T2781" t="s">
        <v>13338</v>
      </c>
      <c r="U2781" t="s">
        <v>13338</v>
      </c>
      <c r="V2781" t="s">
        <v>13338</v>
      </c>
      <c r="W2781" t="s">
        <v>16077</v>
      </c>
      <c r="X2781">
        <v>6</v>
      </c>
      <c r="Y2781" t="s">
        <v>22631</v>
      </c>
      <c r="Z2781" t="s">
        <v>29196</v>
      </c>
      <c r="AA2781">
        <v>0.4853634855846245</v>
      </c>
      <c r="AB2781" t="str">
        <f>HYPERLINK("Melting_Curves/meltCurve_P53384_2_NUBP1.pdf", "Melting_Curves/meltCurve_P53384_2_NUBP1.pdf")</f>
        <v>Melting_Curves/meltCurve_P53384_2_NUBP1.pdf</v>
      </c>
    </row>
    <row r="2782" spans="1:28" x14ac:dyDescent="0.25">
      <c r="A2782" t="s">
        <v>2786</v>
      </c>
      <c r="B2782">
        <v>0.99193492352474899</v>
      </c>
      <c r="C2782">
        <v>1.0345514574883901</v>
      </c>
      <c r="D2782">
        <v>0.96831945033667599</v>
      </c>
      <c r="E2782">
        <v>0.94363031800321495</v>
      </c>
      <c r="F2782">
        <v>0.47808508571934</v>
      </c>
      <c r="G2782">
        <v>0.12420749566865801</v>
      </c>
      <c r="H2782">
        <v>8.0905136814628298E-2</v>
      </c>
      <c r="I2782">
        <v>8.9936641749547699E-2</v>
      </c>
      <c r="J2782">
        <v>0.10042235354791</v>
      </c>
      <c r="K2782">
        <v>9.3940717257088704E-2</v>
      </c>
      <c r="L2782">
        <v>2279.55226593302</v>
      </c>
      <c r="M2782">
        <v>43.154064650871902</v>
      </c>
      <c r="N2782">
        <v>53.064538148897697</v>
      </c>
      <c r="O2782">
        <v>52.710512477430697</v>
      </c>
      <c r="P2782">
        <v>-0.18646408148406299</v>
      </c>
      <c r="Q2782">
        <v>8.8975294235723396E-2</v>
      </c>
      <c r="R2782">
        <v>0.99855781633538199</v>
      </c>
      <c r="S2782" t="s">
        <v>9452</v>
      </c>
      <c r="T2782" t="s">
        <v>13338</v>
      </c>
      <c r="U2782" t="s">
        <v>13338</v>
      </c>
      <c r="V2782" t="s">
        <v>13338</v>
      </c>
      <c r="W2782" t="s">
        <v>16078</v>
      </c>
      <c r="X2782">
        <v>63</v>
      </c>
      <c r="Y2782" t="s">
        <v>22632</v>
      </c>
      <c r="Z2782" t="s">
        <v>29197</v>
      </c>
      <c r="AA2782">
        <v>0.48124876116542409</v>
      </c>
      <c r="AB2782" t="str">
        <f>HYPERLINK("Melting_Curves/meltCurve_P53396_ACLY.pdf", "Melting_Curves/meltCurve_P53396_ACLY.pdf")</f>
        <v>Melting_Curves/meltCurve_P53396_ACLY.pdf</v>
      </c>
    </row>
    <row r="2783" spans="1:28" x14ac:dyDescent="0.25">
      <c r="A2783" t="s">
        <v>2787</v>
      </c>
      <c r="B2783">
        <v>0.99193492352474899</v>
      </c>
      <c r="C2783">
        <v>0.54317066796449298</v>
      </c>
      <c r="D2783">
        <v>0.83882445298929298</v>
      </c>
      <c r="E2783">
        <v>0.59781033617878898</v>
      </c>
      <c r="F2783">
        <v>0.43678942590360698</v>
      </c>
      <c r="G2783">
        <v>0.27791198049388999</v>
      </c>
      <c r="H2783">
        <v>0.42260001629024802</v>
      </c>
      <c r="I2783">
        <v>0.37795525181317502</v>
      </c>
      <c r="J2783">
        <v>0.45728576153078798</v>
      </c>
      <c r="K2783">
        <v>1.01417510561735</v>
      </c>
      <c r="L2783">
        <v>721.98481954550005</v>
      </c>
      <c r="M2783">
        <v>16.8514124574804</v>
      </c>
      <c r="O2783">
        <v>42.2544646175377</v>
      </c>
      <c r="P2783">
        <v>-4.8587609732475799E-2</v>
      </c>
      <c r="Q2783">
        <v>0.51270265109548396</v>
      </c>
      <c r="R2783">
        <v>0.27085826369848298</v>
      </c>
      <c r="S2783" t="s">
        <v>9453</v>
      </c>
      <c r="T2783" t="s">
        <v>13338</v>
      </c>
      <c r="U2783" t="s">
        <v>13338</v>
      </c>
      <c r="V2783" t="s">
        <v>13338</v>
      </c>
      <c r="W2783" t="s">
        <v>16079</v>
      </c>
      <c r="X2783">
        <v>1</v>
      </c>
      <c r="Y2783" t="s">
        <v>22633</v>
      </c>
      <c r="Z2783" t="s">
        <v>29198</v>
      </c>
      <c r="AA2783">
        <v>0.57573353579772113</v>
      </c>
      <c r="AB2783" t="str">
        <f>HYPERLINK("Melting_Curves/meltCurve_P53567_CEBPG.pdf", "Melting_Curves/meltCurve_P53567_CEBPG.pdf")</f>
        <v>Melting_Curves/meltCurve_P53567_CEBPG.pdf</v>
      </c>
    </row>
    <row r="2784" spans="1:28" x14ac:dyDescent="0.25">
      <c r="A2784" t="s">
        <v>2788</v>
      </c>
      <c r="B2784">
        <v>0.99193492352474899</v>
      </c>
      <c r="C2784">
        <v>0.92769507080537605</v>
      </c>
      <c r="D2784">
        <v>0.77416900554915702</v>
      </c>
      <c r="E2784">
        <v>0.67921386960656305</v>
      </c>
      <c r="F2784">
        <v>0.41757707021567603</v>
      </c>
      <c r="G2784">
        <v>0.22745421216814199</v>
      </c>
      <c r="H2784">
        <v>0.10522039912704401</v>
      </c>
      <c r="I2784">
        <v>0.11823866997089801</v>
      </c>
      <c r="J2784">
        <v>0.121668328528082</v>
      </c>
      <c r="K2784">
        <v>0.131902160700968</v>
      </c>
      <c r="L2784">
        <v>720.74447272906298</v>
      </c>
      <c r="M2784">
        <v>14.146362747086499</v>
      </c>
      <c r="N2784">
        <v>51.541142056736497</v>
      </c>
      <c r="O2784">
        <v>49.963403217049901</v>
      </c>
      <c r="P2784">
        <v>-6.5483867655071804E-2</v>
      </c>
      <c r="Q2784">
        <v>7.4990151643045594E-2</v>
      </c>
      <c r="R2784">
        <v>0.98956424613391802</v>
      </c>
      <c r="S2784" t="s">
        <v>9454</v>
      </c>
      <c r="T2784" t="s">
        <v>13338</v>
      </c>
      <c r="U2784" t="s">
        <v>13338</v>
      </c>
      <c r="V2784" t="s">
        <v>13338</v>
      </c>
      <c r="W2784" t="s">
        <v>16080</v>
      </c>
      <c r="X2784">
        <v>14</v>
      </c>
      <c r="Y2784" t="s">
        <v>22634</v>
      </c>
      <c r="Z2784" t="s">
        <v>29199</v>
      </c>
      <c r="AA2784">
        <v>0.43614640694279472</v>
      </c>
      <c r="AB2784" t="str">
        <f>HYPERLINK("Melting_Curves/meltCurve_P53582_METAP1.pdf", "Melting_Curves/meltCurve_P53582_METAP1.pdf")</f>
        <v>Melting_Curves/meltCurve_P53582_METAP1.pdf</v>
      </c>
    </row>
    <row r="2785" spans="1:28" x14ac:dyDescent="0.25">
      <c r="A2785" t="s">
        <v>2789</v>
      </c>
      <c r="B2785">
        <v>0.99193492352474899</v>
      </c>
      <c r="C2785">
        <v>0.991281096094762</v>
      </c>
      <c r="D2785">
        <v>0.62309433274294701</v>
      </c>
      <c r="E2785">
        <v>0.83602895010840494</v>
      </c>
      <c r="F2785">
        <v>0.21334488016724101</v>
      </c>
      <c r="G2785">
        <v>0.109622566933537</v>
      </c>
      <c r="H2785">
        <v>6.0070176381876103E-2</v>
      </c>
      <c r="I2785">
        <v>7.6368009644546306E-2</v>
      </c>
      <c r="J2785">
        <v>6.6720988254998698E-2</v>
      </c>
      <c r="K2785">
        <v>6.3035358743171399E-2</v>
      </c>
      <c r="L2785">
        <v>889.48114431142903</v>
      </c>
      <c r="M2785">
        <v>17.560156945739401</v>
      </c>
      <c r="N2785">
        <v>50.828964762627301</v>
      </c>
      <c r="O2785">
        <v>50.010163266075999</v>
      </c>
      <c r="P2785">
        <v>-8.5204070348546601E-2</v>
      </c>
      <c r="Q2785">
        <v>2.9430630052576401E-2</v>
      </c>
      <c r="R2785">
        <v>0.91580434303499303</v>
      </c>
      <c r="S2785" t="s">
        <v>9455</v>
      </c>
      <c r="T2785" t="s">
        <v>13338</v>
      </c>
      <c r="U2785" t="s">
        <v>13338</v>
      </c>
      <c r="V2785" t="s">
        <v>13338</v>
      </c>
      <c r="W2785" t="s">
        <v>16081</v>
      </c>
      <c r="X2785">
        <v>8</v>
      </c>
      <c r="Y2785" t="s">
        <v>22635</v>
      </c>
      <c r="Z2785" t="s">
        <v>29200</v>
      </c>
      <c r="AA2785">
        <v>0.39127127209111279</v>
      </c>
      <c r="AB2785" t="str">
        <f>HYPERLINK("Melting_Curves/meltCurve_P53597_SUCLG1.pdf", "Melting_Curves/meltCurve_P53597_SUCLG1.pdf")</f>
        <v>Melting_Curves/meltCurve_P53597_SUCLG1.pdf</v>
      </c>
    </row>
    <row r="2786" spans="1:28" x14ac:dyDescent="0.25">
      <c r="A2786" t="s">
        <v>2790</v>
      </c>
      <c r="B2786">
        <v>0.99193492352474899</v>
      </c>
      <c r="C2786">
        <v>0.94558255378913403</v>
      </c>
      <c r="D2786">
        <v>0.84994177991198305</v>
      </c>
      <c r="E2786">
        <v>0.72436787896090804</v>
      </c>
      <c r="F2786">
        <v>0.44365879099872502</v>
      </c>
      <c r="G2786">
        <v>0.14713323951638299</v>
      </c>
      <c r="H2786">
        <v>7.6682639452528401E-2</v>
      </c>
      <c r="I2786">
        <v>7.4202696691799006E-2</v>
      </c>
      <c r="J2786">
        <v>8.2787339975102597E-2</v>
      </c>
      <c r="K2786">
        <v>7.6571995198187498E-2</v>
      </c>
      <c r="L2786">
        <v>934.37745979772205</v>
      </c>
      <c r="M2786">
        <v>18.063965342548499</v>
      </c>
      <c r="N2786">
        <v>51.993804453579003</v>
      </c>
      <c r="O2786">
        <v>51.1046222527388</v>
      </c>
      <c r="P2786">
        <v>-8.4446796233221405E-2</v>
      </c>
      <c r="Q2786">
        <v>4.4415425727438201E-2</v>
      </c>
      <c r="R2786">
        <v>0.991782938149252</v>
      </c>
      <c r="S2786" t="s">
        <v>9456</v>
      </c>
      <c r="T2786" t="s">
        <v>13338</v>
      </c>
      <c r="U2786" t="s">
        <v>13338</v>
      </c>
      <c r="V2786" t="s">
        <v>13338</v>
      </c>
      <c r="W2786" t="s">
        <v>16082</v>
      </c>
      <c r="X2786">
        <v>12</v>
      </c>
      <c r="Y2786" t="s">
        <v>22636</v>
      </c>
      <c r="Z2786" t="s">
        <v>29201</v>
      </c>
      <c r="AA2786">
        <v>0.43378493714107591</v>
      </c>
      <c r="AB2786" t="str">
        <f>HYPERLINK("Melting_Curves/meltCurve_P53602_MVD.pdf", "Melting_Curves/meltCurve_P53602_MVD.pdf")</f>
        <v>Melting_Curves/meltCurve_P53602_MVD.pdf</v>
      </c>
    </row>
    <row r="2787" spans="1:28" x14ac:dyDescent="0.25">
      <c r="A2787" t="s">
        <v>2791</v>
      </c>
      <c r="B2787">
        <v>0.99193492352474899</v>
      </c>
      <c r="C2787">
        <v>0.98968736830001403</v>
      </c>
      <c r="D2787">
        <v>0.98691005576567004</v>
      </c>
      <c r="E2787">
        <v>0.76244287990593196</v>
      </c>
      <c r="F2787">
        <v>0.50995092523337504</v>
      </c>
      <c r="G2787">
        <v>0.15389118929477799</v>
      </c>
      <c r="H2787">
        <v>8.9421664036519105E-2</v>
      </c>
      <c r="I2787">
        <v>0.11451520977754701</v>
      </c>
      <c r="J2787">
        <v>0.12584626720152001</v>
      </c>
      <c r="K2787">
        <v>0.131146435965593</v>
      </c>
      <c r="L2787">
        <v>1282.75570556655</v>
      </c>
      <c r="M2787">
        <v>24.554820518653798</v>
      </c>
      <c r="N2787">
        <v>52.715116932726097</v>
      </c>
      <c r="O2787">
        <v>51.897695618463402</v>
      </c>
      <c r="P2787">
        <v>-0.106555674518263</v>
      </c>
      <c r="Q2787">
        <v>9.9172546993274102E-2</v>
      </c>
      <c r="R2787">
        <v>0.99209030554242905</v>
      </c>
      <c r="S2787" t="s">
        <v>9457</v>
      </c>
      <c r="T2787" t="s">
        <v>13338</v>
      </c>
      <c r="U2787" t="s">
        <v>13338</v>
      </c>
      <c r="V2787" t="s">
        <v>13338</v>
      </c>
      <c r="W2787" t="s">
        <v>16083</v>
      </c>
      <c r="X2787">
        <v>5</v>
      </c>
      <c r="Y2787" t="s">
        <v>22637</v>
      </c>
      <c r="Z2787" t="s">
        <v>29202</v>
      </c>
      <c r="AA2787">
        <v>0.47525488496274049</v>
      </c>
      <c r="AB2787" t="str">
        <f>HYPERLINK("Melting_Curves/meltCurve_P53609_PGGT1B.pdf", "Melting_Curves/meltCurve_P53609_PGGT1B.pdf")</f>
        <v>Melting_Curves/meltCurve_P53609_PGGT1B.pdf</v>
      </c>
    </row>
    <row r="2788" spans="1:28" x14ac:dyDescent="0.25">
      <c r="A2788" t="s">
        <v>2792</v>
      </c>
      <c r="B2788">
        <v>0.99193492352474899</v>
      </c>
      <c r="C2788">
        <v>0.870307612350666</v>
      </c>
      <c r="D2788">
        <v>0.84505141648916104</v>
      </c>
      <c r="E2788">
        <v>0.68058600408959002</v>
      </c>
      <c r="F2788">
        <v>0.35081416562225298</v>
      </c>
      <c r="G2788">
        <v>0.156752101852242</v>
      </c>
      <c r="H2788">
        <v>0.103412656704945</v>
      </c>
      <c r="I2788">
        <v>9.7043097628495403E-2</v>
      </c>
      <c r="J2788">
        <v>8.9561422276438499E-2</v>
      </c>
      <c r="K2788">
        <v>9.6595121440892495E-2</v>
      </c>
      <c r="L2788">
        <v>865.62342867739699</v>
      </c>
      <c r="M2788">
        <v>17.044709141396201</v>
      </c>
      <c r="N2788">
        <v>51.200659456759901</v>
      </c>
      <c r="O2788">
        <v>50.101865516274401</v>
      </c>
      <c r="P2788">
        <v>-7.9565471741587998E-2</v>
      </c>
      <c r="Q2788">
        <v>6.4546152617374605E-2</v>
      </c>
      <c r="R2788">
        <v>0.98889380090432899</v>
      </c>
      <c r="S2788" t="s">
        <v>9458</v>
      </c>
      <c r="T2788" t="s">
        <v>13338</v>
      </c>
      <c r="U2788" t="s">
        <v>13338</v>
      </c>
      <c r="V2788" t="s">
        <v>13338</v>
      </c>
      <c r="W2788" t="s">
        <v>16084</v>
      </c>
      <c r="X2788">
        <v>5</v>
      </c>
      <c r="Y2788" t="s">
        <v>22638</v>
      </c>
      <c r="Z2788" t="s">
        <v>29203</v>
      </c>
      <c r="AA2788">
        <v>0.41829177987658511</v>
      </c>
      <c r="AB2788" t="str">
        <f>HYPERLINK("Melting_Curves/meltCurve_P53611_RABGGTB.pdf", "Melting_Curves/meltCurve_P53611_RABGGTB.pdf")</f>
        <v>Melting_Curves/meltCurve_P53611_RABGGTB.pdf</v>
      </c>
    </row>
    <row r="2789" spans="1:28" x14ac:dyDescent="0.25">
      <c r="A2789" t="s">
        <v>2793</v>
      </c>
      <c r="B2789">
        <v>0.99193492352474899</v>
      </c>
      <c r="C2789">
        <v>0.91703752980495101</v>
      </c>
      <c r="D2789">
        <v>1.01882117981494</v>
      </c>
      <c r="E2789">
        <v>0.76941915764322699</v>
      </c>
      <c r="F2789">
        <v>0.51953848724740204</v>
      </c>
      <c r="G2789">
        <v>0.14473937194221501</v>
      </c>
      <c r="H2789">
        <v>7.5430627735023598E-2</v>
      </c>
      <c r="I2789">
        <v>7.1780009226836305E-2</v>
      </c>
      <c r="J2789">
        <v>7.9926910251728003E-2</v>
      </c>
      <c r="K2789">
        <v>7.9578970892883197E-2</v>
      </c>
      <c r="L2789">
        <v>1263.1879110836401</v>
      </c>
      <c r="M2789">
        <v>24.0179570355122</v>
      </c>
      <c r="N2789">
        <v>52.864366780578202</v>
      </c>
      <c r="O2789">
        <v>52.232951466335798</v>
      </c>
      <c r="P2789">
        <v>-0.108301668563413</v>
      </c>
      <c r="Q2789">
        <v>5.7900452775304201E-2</v>
      </c>
      <c r="R2789">
        <v>0.98891589686595005</v>
      </c>
      <c r="S2789" t="s">
        <v>9459</v>
      </c>
      <c r="T2789" t="s">
        <v>13338</v>
      </c>
      <c r="U2789" t="s">
        <v>13338</v>
      </c>
      <c r="V2789" t="s">
        <v>13338</v>
      </c>
      <c r="W2789" t="s">
        <v>15765</v>
      </c>
      <c r="X2789">
        <v>43</v>
      </c>
      <c r="Y2789" t="s">
        <v>22639</v>
      </c>
      <c r="Z2789" t="s">
        <v>29204</v>
      </c>
      <c r="AA2789">
        <v>0.46270349959237428</v>
      </c>
      <c r="AB2789" t="str">
        <f>HYPERLINK("Melting_Curves/meltCurve_P53618_COPB1.pdf", "Melting_Curves/meltCurve_P53618_COPB1.pdf")</f>
        <v>Melting_Curves/meltCurve_P53618_COPB1.pdf</v>
      </c>
    </row>
    <row r="2790" spans="1:28" x14ac:dyDescent="0.25">
      <c r="A2790" t="s">
        <v>2794</v>
      </c>
      <c r="B2790">
        <v>0.99193492352474899</v>
      </c>
      <c r="C2790">
        <v>0.93466469807311503</v>
      </c>
      <c r="D2790">
        <v>1.1375299157857299</v>
      </c>
      <c r="E2790">
        <v>0.93304878186963003</v>
      </c>
      <c r="F2790">
        <v>0.44437889381347301</v>
      </c>
      <c r="G2790">
        <v>0.128342475968729</v>
      </c>
      <c r="H2790">
        <v>8.14444773111931E-2</v>
      </c>
      <c r="I2790">
        <v>9.1531763934570701E-2</v>
      </c>
      <c r="J2790">
        <v>0.106501213739079</v>
      </c>
      <c r="K2790">
        <v>0.112216459534872</v>
      </c>
      <c r="L2790">
        <v>2339.0243223489902</v>
      </c>
      <c r="M2790">
        <v>44.446504665812597</v>
      </c>
      <c r="N2790">
        <v>52.882325861024903</v>
      </c>
      <c r="O2790">
        <v>52.519407654737499</v>
      </c>
      <c r="P2790">
        <v>-0.191042233881658</v>
      </c>
      <c r="Q2790">
        <v>9.7034815089120402E-2</v>
      </c>
      <c r="R2790">
        <v>0.986515163049688</v>
      </c>
      <c r="S2790" t="s">
        <v>9460</v>
      </c>
      <c r="T2790" t="s">
        <v>13338</v>
      </c>
      <c r="U2790" t="s">
        <v>13338</v>
      </c>
      <c r="V2790" t="s">
        <v>13338</v>
      </c>
      <c r="W2790" t="s">
        <v>16085</v>
      </c>
      <c r="X2790">
        <v>46</v>
      </c>
      <c r="Y2790" t="s">
        <v>22640</v>
      </c>
      <c r="Z2790" t="s">
        <v>29205</v>
      </c>
      <c r="AA2790">
        <v>0.47970648722539638</v>
      </c>
      <c r="AB2790" t="str">
        <f>HYPERLINK("Melting_Curves/meltCurve_P53621_COPA.pdf", "Melting_Curves/meltCurve_P53621_COPA.pdf")</f>
        <v>Melting_Curves/meltCurve_P53621_COPA.pdf</v>
      </c>
    </row>
    <row r="2791" spans="1:28" x14ac:dyDescent="0.25">
      <c r="A2791" t="s">
        <v>2795</v>
      </c>
      <c r="B2791">
        <v>0.99193492352474899</v>
      </c>
      <c r="C2791">
        <v>1.0544124145354199</v>
      </c>
      <c r="D2791">
        <v>0.92861161709984397</v>
      </c>
      <c r="E2791">
        <v>0.910059386943041</v>
      </c>
      <c r="F2791">
        <v>0.79255767986849301</v>
      </c>
      <c r="G2791">
        <v>0.63059115139198596</v>
      </c>
      <c r="H2791">
        <v>0.35948200619100801</v>
      </c>
      <c r="I2791">
        <v>0.24145538901326799</v>
      </c>
      <c r="J2791">
        <v>0.290999355740998</v>
      </c>
      <c r="K2791">
        <v>0.25127951917229202</v>
      </c>
      <c r="L2791">
        <v>987.42426958969395</v>
      </c>
      <c r="M2791">
        <v>17.483793207088201</v>
      </c>
      <c r="N2791">
        <v>58.270406624558397</v>
      </c>
      <c r="O2791">
        <v>55.753263848443602</v>
      </c>
      <c r="P2791">
        <v>-6.2085995362091501E-2</v>
      </c>
      <c r="Q2791">
        <v>0.20811133224718001</v>
      </c>
      <c r="R2791">
        <v>0.98488661380373299</v>
      </c>
      <c r="S2791" t="s">
        <v>9461</v>
      </c>
      <c r="T2791" t="s">
        <v>13338</v>
      </c>
      <c r="U2791" t="s">
        <v>13338</v>
      </c>
      <c r="V2791" t="s">
        <v>13338</v>
      </c>
      <c r="W2791" t="s">
        <v>16086</v>
      </c>
      <c r="X2791">
        <v>11</v>
      </c>
      <c r="Y2791" t="s">
        <v>22641</v>
      </c>
      <c r="Z2791" t="s">
        <v>29206</v>
      </c>
      <c r="AA2791">
        <v>0.65470218228963906</v>
      </c>
      <c r="AB2791" t="str">
        <f>HYPERLINK("Melting_Curves/meltCurve_P53634_CTSC.pdf", "Melting_Curves/meltCurve_P53634_CTSC.pdf")</f>
        <v>Melting_Curves/meltCurve_P53634_CTSC.pdf</v>
      </c>
    </row>
    <row r="2792" spans="1:28" x14ac:dyDescent="0.25">
      <c r="A2792" t="s">
        <v>2796</v>
      </c>
      <c r="B2792">
        <v>0.99193492352474899</v>
      </c>
      <c r="C2792">
        <v>1.0358058303000499</v>
      </c>
      <c r="D2792">
        <v>0.97614822841867199</v>
      </c>
      <c r="E2792">
        <v>0.87960284001937905</v>
      </c>
      <c r="F2792">
        <v>0.63365044596200903</v>
      </c>
      <c r="G2792">
        <v>0.41853846164265501</v>
      </c>
      <c r="H2792">
        <v>0.218287487600135</v>
      </c>
      <c r="I2792">
        <v>0.20135805526242601</v>
      </c>
      <c r="J2792">
        <v>0.21046189616466099</v>
      </c>
      <c r="K2792">
        <v>0.22436322685259799</v>
      </c>
      <c r="L2792">
        <v>1146.0081138749099</v>
      </c>
      <c r="M2792">
        <v>21.313537928386999</v>
      </c>
      <c r="N2792">
        <v>55.0232772095138</v>
      </c>
      <c r="O2792">
        <v>53.3023985060616</v>
      </c>
      <c r="P2792">
        <v>-8.0732897474057097E-2</v>
      </c>
      <c r="Q2792">
        <v>0.19241034932128301</v>
      </c>
      <c r="R2792">
        <v>0.99577195942494401</v>
      </c>
      <c r="S2792" t="s">
        <v>9462</v>
      </c>
      <c r="T2792" t="s">
        <v>13338</v>
      </c>
      <c r="U2792" t="s">
        <v>13338</v>
      </c>
      <c r="V2792" t="s">
        <v>13338</v>
      </c>
      <c r="W2792" t="s">
        <v>16087</v>
      </c>
      <c r="X2792">
        <v>16</v>
      </c>
      <c r="Y2792" t="s">
        <v>22642</v>
      </c>
      <c r="Z2792" t="s">
        <v>29207</v>
      </c>
      <c r="AA2792">
        <v>0.57297314347486561</v>
      </c>
      <c r="AB2792" t="str">
        <f>HYPERLINK("Melting_Curves/meltCurve_P53701_HCCS.pdf", "Melting_Curves/meltCurve_P53701_HCCS.pdf")</f>
        <v>Melting_Curves/meltCurve_P53701_HCCS.pdf</v>
      </c>
    </row>
    <row r="2793" spans="1:28" x14ac:dyDescent="0.25">
      <c r="A2793" t="s">
        <v>2797</v>
      </c>
      <c r="B2793">
        <v>0.99193492352474899</v>
      </c>
      <c r="C2793">
        <v>1.0158135427422701</v>
      </c>
      <c r="D2793">
        <v>1.17321674598364</v>
      </c>
      <c r="E2793">
        <v>0.87842031969286705</v>
      </c>
      <c r="F2793">
        <v>0.490596995809499</v>
      </c>
      <c r="G2793">
        <v>0.16934381511191299</v>
      </c>
      <c r="H2793">
        <v>0.10009778410252999</v>
      </c>
      <c r="I2793">
        <v>0.137917399353605</v>
      </c>
      <c r="J2793">
        <v>0.12739117257019</v>
      </c>
      <c r="K2793">
        <v>8.5379229704411794E-2</v>
      </c>
      <c r="L2793">
        <v>1843.59067449244</v>
      </c>
      <c r="M2793">
        <v>34.987056162404301</v>
      </c>
      <c r="N2793">
        <v>53.068405770855698</v>
      </c>
      <c r="O2793">
        <v>52.522251001037603</v>
      </c>
      <c r="P2793">
        <v>-0.14829948913966801</v>
      </c>
      <c r="Q2793">
        <v>0.109499763457324</v>
      </c>
      <c r="R2793">
        <v>0.98054984880089102</v>
      </c>
      <c r="S2793" t="s">
        <v>9463</v>
      </c>
      <c r="T2793" t="s">
        <v>13338</v>
      </c>
      <c r="U2793" t="s">
        <v>13338</v>
      </c>
      <c r="V2793" t="s">
        <v>13338</v>
      </c>
      <c r="W2793" t="s">
        <v>16088</v>
      </c>
      <c r="X2793">
        <v>2</v>
      </c>
      <c r="Y2793" t="s">
        <v>22643</v>
      </c>
      <c r="Z2793" t="s">
        <v>29208</v>
      </c>
      <c r="AA2793">
        <v>0.49052325729623919</v>
      </c>
      <c r="AB2793" t="str">
        <f>HYPERLINK("Melting_Curves/meltCurve_P53778_MAPK12.pdf", "Melting_Curves/meltCurve_P53778_MAPK12.pdf")</f>
        <v>Melting_Curves/meltCurve_P53778_MAPK12.pdf</v>
      </c>
    </row>
    <row r="2794" spans="1:28" x14ac:dyDescent="0.25">
      <c r="A2794" t="s">
        <v>2798</v>
      </c>
      <c r="B2794">
        <v>0.99193492352474899</v>
      </c>
      <c r="C2794">
        <v>0.97120888446618803</v>
      </c>
      <c r="D2794">
        <v>0.88524973472189705</v>
      </c>
      <c r="E2794">
        <v>0.65322528065607999</v>
      </c>
      <c r="F2794">
        <v>0.585891676473689</v>
      </c>
      <c r="G2794">
        <v>0.43411613053394499</v>
      </c>
      <c r="H2794">
        <v>0.36915242906079299</v>
      </c>
      <c r="I2794">
        <v>0.36904047186934602</v>
      </c>
      <c r="J2794">
        <v>0.45378386484511901</v>
      </c>
      <c r="K2794">
        <v>0.46662789780835001</v>
      </c>
      <c r="L2794">
        <v>930.22293313871705</v>
      </c>
      <c r="M2794">
        <v>18.893991739773899</v>
      </c>
      <c r="N2794">
        <v>54.186581126336002</v>
      </c>
      <c r="O2794">
        <v>48.692216241954497</v>
      </c>
      <c r="P2794">
        <v>-5.71311520650832E-2</v>
      </c>
      <c r="Q2794">
        <v>0.41108706432057601</v>
      </c>
      <c r="R2794">
        <v>0.97218319986742696</v>
      </c>
      <c r="S2794" t="s">
        <v>9464</v>
      </c>
      <c r="T2794" t="s">
        <v>13338</v>
      </c>
      <c r="U2794" t="s">
        <v>13338</v>
      </c>
      <c r="V2794" t="s">
        <v>13338</v>
      </c>
      <c r="W2794" t="s">
        <v>16089</v>
      </c>
      <c r="X2794">
        <v>4</v>
      </c>
      <c r="Y2794" t="s">
        <v>22644</v>
      </c>
      <c r="Z2794" t="s">
        <v>29209</v>
      </c>
      <c r="AA2794">
        <v>0.60157747032580766</v>
      </c>
      <c r="AB2794" t="str">
        <f>HYPERLINK("Melting_Curves/meltCurve_P53794_SLC5A3.pdf", "Melting_Curves/meltCurve_P53794_SLC5A3.pdf")</f>
        <v>Melting_Curves/meltCurve_P53794_SLC5A3.pdf</v>
      </c>
    </row>
    <row r="2795" spans="1:28" x14ac:dyDescent="0.25">
      <c r="A2795" t="s">
        <v>2799</v>
      </c>
      <c r="B2795">
        <v>0.99193492352474899</v>
      </c>
      <c r="C2795">
        <v>0.75235564639858399</v>
      </c>
      <c r="D2795">
        <v>0.86801245390198301</v>
      </c>
      <c r="E2795">
        <v>0.82009293410754502</v>
      </c>
      <c r="F2795">
        <v>0.60889916563846902</v>
      </c>
      <c r="G2795">
        <v>0.44595212234425602</v>
      </c>
      <c r="H2795">
        <v>0.398002145635176</v>
      </c>
      <c r="I2795">
        <v>0.44797468168265497</v>
      </c>
      <c r="J2795">
        <v>0.52187915047521904</v>
      </c>
      <c r="K2795">
        <v>0.62811163645221102</v>
      </c>
      <c r="L2795">
        <v>601.45108846548999</v>
      </c>
      <c r="M2795">
        <v>12.362694996018901</v>
      </c>
      <c r="N2795">
        <v>62.835787992700702</v>
      </c>
      <c r="O2795">
        <v>47.430103276060898</v>
      </c>
      <c r="P2795">
        <v>-3.4588163874032199E-2</v>
      </c>
      <c r="Q2795">
        <v>0.46931703541109698</v>
      </c>
      <c r="R2795">
        <v>0.75455007393251605</v>
      </c>
      <c r="S2795" t="s">
        <v>9465</v>
      </c>
      <c r="T2795" t="s">
        <v>13338</v>
      </c>
      <c r="U2795" t="s">
        <v>13338</v>
      </c>
      <c r="V2795" t="s">
        <v>13338</v>
      </c>
      <c r="W2795" t="s">
        <v>16090</v>
      </c>
      <c r="X2795">
        <v>3</v>
      </c>
      <c r="Y2795" t="s">
        <v>22645</v>
      </c>
      <c r="Z2795" t="s">
        <v>29210</v>
      </c>
      <c r="AA2795">
        <v>0.6412614706048132</v>
      </c>
      <c r="AB2795" t="str">
        <f>HYPERLINK("Melting_Curves/meltCurve_P53801_PTTG1IP.pdf", "Melting_Curves/meltCurve_P53801_PTTG1IP.pdf")</f>
        <v>Melting_Curves/meltCurve_P53801_PTTG1IP.pdf</v>
      </c>
    </row>
    <row r="2796" spans="1:28" x14ac:dyDescent="0.25">
      <c r="A2796" t="s">
        <v>2800</v>
      </c>
      <c r="B2796">
        <v>0.99193492352474899</v>
      </c>
      <c r="C2796">
        <v>0.56985445271874902</v>
      </c>
      <c r="D2796">
        <v>0.92397559651530703</v>
      </c>
      <c r="E2796">
        <v>0.59427576388699399</v>
      </c>
      <c r="F2796">
        <v>0.61482310669095797</v>
      </c>
      <c r="G2796">
        <v>0.36749874337928801</v>
      </c>
      <c r="H2796">
        <v>0.34130449580411798</v>
      </c>
      <c r="I2796">
        <v>0.299040775632267</v>
      </c>
      <c r="J2796">
        <v>0.32604964902033001</v>
      </c>
      <c r="K2796">
        <v>0.481639910708203</v>
      </c>
      <c r="L2796">
        <v>420.38820985209099</v>
      </c>
      <c r="M2796">
        <v>8.6463270891814297</v>
      </c>
      <c r="N2796">
        <v>54.1625731773523</v>
      </c>
      <c r="O2796">
        <v>46.229491048080398</v>
      </c>
      <c r="P2796">
        <v>-3.3058100524489702E-2</v>
      </c>
      <c r="Q2796">
        <v>0.29358724716867601</v>
      </c>
      <c r="R2796">
        <v>0.70533554475698701</v>
      </c>
      <c r="S2796" t="s">
        <v>9466</v>
      </c>
      <c r="T2796" t="s">
        <v>13338</v>
      </c>
      <c r="U2796" t="s">
        <v>13338</v>
      </c>
      <c r="V2796" t="s">
        <v>13338</v>
      </c>
      <c r="W2796" t="s">
        <v>16091</v>
      </c>
      <c r="X2796">
        <v>3</v>
      </c>
      <c r="Y2796" t="s">
        <v>22646</v>
      </c>
      <c r="Z2796" t="s">
        <v>29211</v>
      </c>
      <c r="AA2796">
        <v>0.5403571951291376</v>
      </c>
      <c r="AB2796" t="str">
        <f>HYPERLINK("Melting_Curves/meltCurve_P53803_POLR2K.pdf", "Melting_Curves/meltCurve_P53803_POLR2K.pdf")</f>
        <v>Melting_Curves/meltCurve_P53803_POLR2K.pdf</v>
      </c>
    </row>
    <row r="2797" spans="1:28" x14ac:dyDescent="0.25">
      <c r="A2797" t="s">
        <v>2801</v>
      </c>
      <c r="B2797">
        <v>0.99193492352474899</v>
      </c>
      <c r="C2797">
        <v>1.07059541926</v>
      </c>
      <c r="D2797">
        <v>1.02479927664278</v>
      </c>
      <c r="E2797">
        <v>0.97590433159392898</v>
      </c>
      <c r="F2797">
        <v>0.91406564412364599</v>
      </c>
      <c r="G2797">
        <v>0.80217997454109102</v>
      </c>
      <c r="H2797">
        <v>0.63098569226426504</v>
      </c>
      <c r="I2797">
        <v>0.76310656013176204</v>
      </c>
      <c r="J2797">
        <v>0.77218390907006795</v>
      </c>
      <c r="K2797">
        <v>1.1089775339277199</v>
      </c>
      <c r="L2797">
        <v>13307.3029502138</v>
      </c>
      <c r="M2797">
        <v>250</v>
      </c>
      <c r="O2797">
        <v>53.225804349364303</v>
      </c>
      <c r="P2797">
        <v>-0.216663314100522</v>
      </c>
      <c r="Q2797">
        <v>0.81548672962435598</v>
      </c>
      <c r="R2797">
        <v>0.40212970431818301</v>
      </c>
      <c r="S2797" t="s">
        <v>9467</v>
      </c>
      <c r="T2797" t="s">
        <v>13338</v>
      </c>
      <c r="U2797" t="s">
        <v>13338</v>
      </c>
      <c r="V2797" t="s">
        <v>13338</v>
      </c>
      <c r="W2797" t="s">
        <v>16092</v>
      </c>
      <c r="X2797">
        <v>7</v>
      </c>
      <c r="Y2797" t="s">
        <v>22647</v>
      </c>
      <c r="Z2797" t="s">
        <v>29212</v>
      </c>
      <c r="AA2797">
        <v>0.8968694706591519</v>
      </c>
      <c r="AB2797" t="str">
        <f>HYPERLINK("Melting_Curves/meltCurve_P53985_SLC16A1.pdf", "Melting_Curves/meltCurve_P53985_SLC16A1.pdf")</f>
        <v>Melting_Curves/meltCurve_P53985_SLC16A1.pdf</v>
      </c>
    </row>
    <row r="2798" spans="1:28" x14ac:dyDescent="0.25">
      <c r="A2798" t="s">
        <v>2802</v>
      </c>
      <c r="B2798">
        <v>0.99193492352474899</v>
      </c>
      <c r="C2798">
        <v>0.78406602680204796</v>
      </c>
      <c r="D2798">
        <v>0.78621560356272802</v>
      </c>
      <c r="E2798">
        <v>0.42656897388368398</v>
      </c>
      <c r="F2798">
        <v>0.14889022906667501</v>
      </c>
      <c r="G2798">
        <v>8.8953213369899697E-2</v>
      </c>
      <c r="H2798">
        <v>5.7498509811279699E-2</v>
      </c>
      <c r="I2798">
        <v>5.7772811364184697E-2</v>
      </c>
      <c r="J2798">
        <v>6.7980870820408101E-2</v>
      </c>
      <c r="K2798">
        <v>8.7093556735394304E-2</v>
      </c>
      <c r="L2798">
        <v>871.67300331880699</v>
      </c>
      <c r="M2798">
        <v>18.068894192778099</v>
      </c>
      <c r="N2798">
        <v>48.509897837975103</v>
      </c>
      <c r="O2798">
        <v>47.662384437013401</v>
      </c>
      <c r="P2798">
        <v>-9.0273822583740795E-2</v>
      </c>
      <c r="Q2798">
        <v>4.75440330700189E-2</v>
      </c>
      <c r="R2798">
        <v>0.97982449759656298</v>
      </c>
      <c r="S2798" t="s">
        <v>9468</v>
      </c>
      <c r="T2798" t="s">
        <v>13338</v>
      </c>
      <c r="U2798" t="s">
        <v>13338</v>
      </c>
      <c r="V2798" t="s">
        <v>13338</v>
      </c>
      <c r="W2798" t="s">
        <v>16093</v>
      </c>
      <c r="X2798">
        <v>7</v>
      </c>
      <c r="Y2798" t="s">
        <v>22648</v>
      </c>
      <c r="Z2798" t="s">
        <v>29213</v>
      </c>
      <c r="AA2798">
        <v>0.32585443137088071</v>
      </c>
      <c r="AB2798" t="str">
        <f>HYPERLINK("Melting_Curves/meltCurve_P53990_2_IST1.pdf", "Melting_Curves/meltCurve_P53990_2_IST1.pdf")</f>
        <v>Melting_Curves/meltCurve_P53990_2_IST1.pdf</v>
      </c>
    </row>
    <row r="2799" spans="1:28" x14ac:dyDescent="0.25">
      <c r="A2799" t="s">
        <v>2803</v>
      </c>
      <c r="B2799">
        <v>0.99193492352474899</v>
      </c>
      <c r="C2799">
        <v>0.94555271572421895</v>
      </c>
      <c r="D2799">
        <v>0.90046238946173396</v>
      </c>
      <c r="E2799">
        <v>0.436044568584877</v>
      </c>
      <c r="F2799">
        <v>0.15773317531508399</v>
      </c>
      <c r="G2799">
        <v>8.9002925641799999E-2</v>
      </c>
      <c r="H2799">
        <v>6.0982800640023198E-2</v>
      </c>
      <c r="I2799">
        <v>7.2614916284360106E-2</v>
      </c>
      <c r="J2799">
        <v>8.8468364741567496E-2</v>
      </c>
      <c r="K2799">
        <v>0.10574159160273799</v>
      </c>
      <c r="L2799">
        <v>1528.9749838310099</v>
      </c>
      <c r="M2799">
        <v>31.265897720972301</v>
      </c>
      <c r="N2799">
        <v>49.182320180595099</v>
      </c>
      <c r="O2799">
        <v>48.7035530190294</v>
      </c>
      <c r="P2799">
        <v>-0.14740693969830701</v>
      </c>
      <c r="Q2799">
        <v>8.1528971742198197E-2</v>
      </c>
      <c r="R2799">
        <v>0.997667334001902</v>
      </c>
      <c r="S2799" t="s">
        <v>9469</v>
      </c>
      <c r="T2799" t="s">
        <v>13338</v>
      </c>
      <c r="U2799" t="s">
        <v>13338</v>
      </c>
      <c r="V2799" t="s">
        <v>13338</v>
      </c>
      <c r="W2799" t="s">
        <v>16094</v>
      </c>
      <c r="X2799">
        <v>26</v>
      </c>
      <c r="Y2799" t="s">
        <v>22649</v>
      </c>
      <c r="Z2799" t="s">
        <v>29214</v>
      </c>
      <c r="AA2799">
        <v>0.35921221202858072</v>
      </c>
      <c r="AB2799" t="str">
        <f>HYPERLINK("Melting_Curves/meltCurve_P53992_SEC24C.pdf", "Melting_Curves/meltCurve_P53992_SEC24C.pdf")</f>
        <v>Melting_Curves/meltCurve_P53992_SEC24C.pdf</v>
      </c>
    </row>
    <row r="2800" spans="1:28" x14ac:dyDescent="0.25">
      <c r="A2800" t="s">
        <v>2804</v>
      </c>
      <c r="B2800">
        <v>0.99193492352474899</v>
      </c>
      <c r="C2800">
        <v>1.14023301003639</v>
      </c>
      <c r="D2800">
        <v>1.02781672258492</v>
      </c>
      <c r="E2800">
        <v>0.95395871387793696</v>
      </c>
      <c r="F2800">
        <v>0.63512492734456205</v>
      </c>
      <c r="G2800">
        <v>0.40608270616594799</v>
      </c>
      <c r="H2800">
        <v>0.245087276240712</v>
      </c>
      <c r="I2800">
        <v>0.27397965500703098</v>
      </c>
      <c r="J2800">
        <v>0.34576374600478299</v>
      </c>
      <c r="K2800">
        <v>0.38256676293355302</v>
      </c>
      <c r="L2800">
        <v>1913.1714871163699</v>
      </c>
      <c r="M2800">
        <v>36.047178064776297</v>
      </c>
      <c r="N2800">
        <v>54.5882564264096</v>
      </c>
      <c r="O2800">
        <v>52.911555324144402</v>
      </c>
      <c r="P2800">
        <v>-0.11649192083073</v>
      </c>
      <c r="Q2800">
        <v>0.31603534230286801</v>
      </c>
      <c r="R2800">
        <v>0.96876679907309005</v>
      </c>
      <c r="S2800" t="s">
        <v>9470</v>
      </c>
      <c r="T2800" t="s">
        <v>13338</v>
      </c>
      <c r="U2800" t="s">
        <v>13338</v>
      </c>
      <c r="V2800" t="s">
        <v>13338</v>
      </c>
      <c r="W2800" t="s">
        <v>16095</v>
      </c>
      <c r="X2800">
        <v>11</v>
      </c>
      <c r="Y2800" t="s">
        <v>22650</v>
      </c>
      <c r="Z2800" t="s">
        <v>29215</v>
      </c>
      <c r="AA2800">
        <v>0.61719615814966922</v>
      </c>
      <c r="AB2800" t="str">
        <f>HYPERLINK("Melting_Curves/meltCurve_P53999_SUB1.pdf", "Melting_Curves/meltCurve_P53999_SUB1.pdf")</f>
        <v>Melting_Curves/meltCurve_P53999_SUB1.pdf</v>
      </c>
    </row>
    <row r="2801" spans="1:28" x14ac:dyDescent="0.25">
      <c r="A2801" t="s">
        <v>2805</v>
      </c>
      <c r="B2801">
        <v>0.99193492352474899</v>
      </c>
      <c r="C2801">
        <v>0.711329871602699</v>
      </c>
      <c r="D2801">
        <v>0.64515625713885705</v>
      </c>
      <c r="E2801">
        <v>0.29809936830894401</v>
      </c>
      <c r="F2801">
        <v>0.14529863957918801</v>
      </c>
      <c r="G2801">
        <v>9.9666484480670794E-2</v>
      </c>
      <c r="H2801">
        <v>5.5249687004060702E-2</v>
      </c>
      <c r="I2801">
        <v>5.8384071050842E-2</v>
      </c>
      <c r="J2801">
        <v>6.5191935511550003E-2</v>
      </c>
      <c r="K2801">
        <v>6.7137391786154604E-2</v>
      </c>
      <c r="L2801">
        <v>733.47447193902894</v>
      </c>
      <c r="M2801">
        <v>15.7266676006913</v>
      </c>
      <c r="N2801">
        <v>46.925069013916698</v>
      </c>
      <c r="O2801">
        <v>45.904346525483</v>
      </c>
      <c r="P2801">
        <v>-8.1739587971553798E-2</v>
      </c>
      <c r="Q2801">
        <v>4.5726214595358999E-2</v>
      </c>
      <c r="R2801">
        <v>0.98238296715344497</v>
      </c>
      <c r="S2801" t="s">
        <v>9471</v>
      </c>
      <c r="T2801" t="s">
        <v>13338</v>
      </c>
      <c r="U2801" t="s">
        <v>13338</v>
      </c>
      <c r="V2801" t="s">
        <v>13338</v>
      </c>
      <c r="W2801" t="s">
        <v>16096</v>
      </c>
      <c r="X2801">
        <v>10</v>
      </c>
      <c r="Y2801" t="s">
        <v>22651</v>
      </c>
      <c r="Z2801" t="s">
        <v>29216</v>
      </c>
      <c r="AA2801">
        <v>0.28094443156227411</v>
      </c>
      <c r="AB2801" t="str">
        <f>HYPERLINK("Melting_Curves/meltCurve_P54098_POLG.pdf", "Melting_Curves/meltCurve_P54098_POLG.pdf")</f>
        <v>Melting_Curves/meltCurve_P54098_POLG.pdf</v>
      </c>
    </row>
    <row r="2802" spans="1:28" x14ac:dyDescent="0.25">
      <c r="A2802" t="s">
        <v>2806</v>
      </c>
      <c r="B2802">
        <v>0.99193492352474899</v>
      </c>
      <c r="C2802">
        <v>0.78102618951679004</v>
      </c>
      <c r="D2802">
        <v>0.65131519590891496</v>
      </c>
      <c r="E2802">
        <v>0.16817246118513299</v>
      </c>
      <c r="F2802">
        <v>0.103890149892321</v>
      </c>
      <c r="G2802">
        <v>5.6421431757609303E-2</v>
      </c>
      <c r="H2802">
        <v>3.6334585933280303E-2</v>
      </c>
      <c r="I2802">
        <v>4.52817637038418E-2</v>
      </c>
      <c r="J2802">
        <v>5.9545772432894398E-2</v>
      </c>
      <c r="K2802">
        <v>5.8482816270811297E-2</v>
      </c>
      <c r="L2802">
        <v>1029.2748411944699</v>
      </c>
      <c r="M2802">
        <v>22.1586338130484</v>
      </c>
      <c r="N2802">
        <v>46.635834443032003</v>
      </c>
      <c r="O2802">
        <v>46.076945012950397</v>
      </c>
      <c r="P2802">
        <v>-0.115155968727159</v>
      </c>
      <c r="Q2802">
        <v>4.2193879372295198E-2</v>
      </c>
      <c r="R2802">
        <v>0.98445055182185703</v>
      </c>
      <c r="S2802" t="s">
        <v>9472</v>
      </c>
      <c r="T2802" t="s">
        <v>13338</v>
      </c>
      <c r="U2802" t="s">
        <v>13338</v>
      </c>
      <c r="V2802" t="s">
        <v>13338</v>
      </c>
      <c r="W2802" t="s">
        <v>16097</v>
      </c>
      <c r="X2802">
        <v>30</v>
      </c>
      <c r="Y2802" t="s">
        <v>22652</v>
      </c>
      <c r="Z2802" t="s">
        <v>29217</v>
      </c>
      <c r="AA2802">
        <v>0.25954153536584579</v>
      </c>
      <c r="AB2802" t="str">
        <f>HYPERLINK("Melting_Curves/meltCurve_P54136_RARS.pdf", "Melting_Curves/meltCurve_P54136_RARS.pdf")</f>
        <v>Melting_Curves/meltCurve_P54136_RARS.pdf</v>
      </c>
    </row>
    <row r="2803" spans="1:28" x14ac:dyDescent="0.25">
      <c r="A2803" t="s">
        <v>2807</v>
      </c>
      <c r="B2803">
        <v>0.99193492352474899</v>
      </c>
      <c r="C2803">
        <v>1.0410415609922099</v>
      </c>
      <c r="D2803">
        <v>0.68932712452489397</v>
      </c>
      <c r="E2803">
        <v>0.78639841592664905</v>
      </c>
      <c r="F2803">
        <v>0.63646961754253095</v>
      </c>
      <c r="G2803">
        <v>0.378997198121584</v>
      </c>
      <c r="H2803">
        <v>0.138987304324803</v>
      </c>
      <c r="I2803">
        <v>7.7033364966217696E-2</v>
      </c>
      <c r="J2803">
        <v>0.10207313422560201</v>
      </c>
      <c r="K2803">
        <v>6.05540734461366E-2</v>
      </c>
      <c r="L2803">
        <v>662.90902518568203</v>
      </c>
      <c r="M2803">
        <v>12.251776983071</v>
      </c>
      <c r="N2803">
        <v>54.1071734794264</v>
      </c>
      <c r="O2803">
        <v>52.726263180483897</v>
      </c>
      <c r="P2803">
        <v>-5.8104353476002402E-2</v>
      </c>
      <c r="Q2803">
        <v>0</v>
      </c>
      <c r="R2803">
        <v>0.95114406260348705</v>
      </c>
      <c r="S2803" t="s">
        <v>9473</v>
      </c>
      <c r="T2803" t="s">
        <v>13338</v>
      </c>
      <c r="U2803" t="s">
        <v>13338</v>
      </c>
      <c r="V2803" t="s">
        <v>13338</v>
      </c>
      <c r="W2803" t="s">
        <v>16098</v>
      </c>
      <c r="X2803">
        <v>1</v>
      </c>
      <c r="Y2803" t="s">
        <v>22653</v>
      </c>
      <c r="Z2803" t="s">
        <v>29218</v>
      </c>
      <c r="AA2803">
        <v>0.49560074362064838</v>
      </c>
      <c r="AB2803" t="str">
        <f>HYPERLINK("Melting_Curves/meltCurve_P54259_ATN1.pdf", "Melting_Curves/meltCurve_P54259_ATN1.pdf")</f>
        <v>Melting_Curves/meltCurve_P54259_ATN1.pdf</v>
      </c>
    </row>
    <row r="2804" spans="1:28" x14ac:dyDescent="0.25">
      <c r="A2804" t="s">
        <v>2808</v>
      </c>
      <c r="B2804">
        <v>0.99193492352474899</v>
      </c>
      <c r="C2804">
        <v>0.79786679597784904</v>
      </c>
      <c r="D2804">
        <v>0.56070126727187497</v>
      </c>
      <c r="E2804">
        <v>0.19981531834244701</v>
      </c>
      <c r="F2804">
        <v>0.124470304575469</v>
      </c>
      <c r="G2804">
        <v>6.5749942031631994E-2</v>
      </c>
      <c r="H2804">
        <v>4.5944446689284803E-2</v>
      </c>
      <c r="I2804">
        <v>5.1817699386815602E-2</v>
      </c>
      <c r="J2804">
        <v>5.3373319743707098E-2</v>
      </c>
      <c r="K2804">
        <v>4.7107933436539497E-2</v>
      </c>
      <c r="L2804">
        <v>951.52468712402595</v>
      </c>
      <c r="M2804">
        <v>20.6442092281622</v>
      </c>
      <c r="N2804">
        <v>46.316631454989498</v>
      </c>
      <c r="O2804">
        <v>45.665649149709402</v>
      </c>
      <c r="P2804">
        <v>-0.107628517681785</v>
      </c>
      <c r="Q2804">
        <v>4.7716450053915602E-2</v>
      </c>
      <c r="R2804">
        <v>0.99643623775337697</v>
      </c>
      <c r="S2804" t="s">
        <v>9474</v>
      </c>
      <c r="T2804" t="s">
        <v>13338</v>
      </c>
      <c r="U2804" t="s">
        <v>13338</v>
      </c>
      <c r="V2804" t="s">
        <v>13338</v>
      </c>
      <c r="W2804" t="s">
        <v>16099</v>
      </c>
      <c r="X2804">
        <v>8</v>
      </c>
      <c r="Y2804" t="s">
        <v>22654</v>
      </c>
      <c r="Z2804" t="s">
        <v>29219</v>
      </c>
      <c r="AA2804">
        <v>0.2546857144818484</v>
      </c>
      <c r="AB2804" t="str">
        <f>HYPERLINK("Melting_Curves/meltCurve_P54278_PMS2.pdf", "Melting_Curves/meltCurve_P54278_PMS2.pdf")</f>
        <v>Melting_Curves/meltCurve_P54278_PMS2.pdf</v>
      </c>
    </row>
    <row r="2805" spans="1:28" x14ac:dyDescent="0.25">
      <c r="A2805" t="s">
        <v>2809</v>
      </c>
      <c r="B2805">
        <v>0.99193492352474899</v>
      </c>
      <c r="C2805">
        <v>0.67787844531865604</v>
      </c>
      <c r="D2805">
        <v>0.48082675767711702</v>
      </c>
      <c r="E2805">
        <v>0.193065844244451</v>
      </c>
      <c r="F2805">
        <v>0.12535972334336101</v>
      </c>
      <c r="G2805">
        <v>7.4718894027591395E-2</v>
      </c>
      <c r="H2805">
        <v>4.73071291032955E-2</v>
      </c>
      <c r="I2805">
        <v>5.85084611748104E-2</v>
      </c>
      <c r="J2805">
        <v>6.7157757236027807E-2</v>
      </c>
      <c r="K2805">
        <v>6.6697873014587405E-2</v>
      </c>
      <c r="L2805">
        <v>839.000916985299</v>
      </c>
      <c r="M2805">
        <v>18.590961146667201</v>
      </c>
      <c r="N2805">
        <v>45.430986037738698</v>
      </c>
      <c r="O2805">
        <v>44.617066901503797</v>
      </c>
      <c r="P2805">
        <v>-9.8128581683868898E-2</v>
      </c>
      <c r="Q2805">
        <v>5.8032711358649403E-2</v>
      </c>
      <c r="R2805">
        <v>0.988689182454766</v>
      </c>
      <c r="S2805" t="s">
        <v>9475</v>
      </c>
      <c r="T2805" t="s">
        <v>13338</v>
      </c>
      <c r="U2805" t="s">
        <v>13338</v>
      </c>
      <c r="V2805" t="s">
        <v>13338</v>
      </c>
      <c r="W2805" t="s">
        <v>16100</v>
      </c>
      <c r="X2805">
        <v>36</v>
      </c>
      <c r="Y2805" t="s">
        <v>22655</v>
      </c>
      <c r="Z2805" t="s">
        <v>29220</v>
      </c>
      <c r="AA2805">
        <v>0.23770255182049069</v>
      </c>
      <c r="AB2805" t="str">
        <f>HYPERLINK("Melting_Curves/meltCurve_P54577_YARS.pdf", "Melting_Curves/meltCurve_P54577_YARS.pdf")</f>
        <v>Melting_Curves/meltCurve_P54577_YARS.pdf</v>
      </c>
    </row>
    <row r="2806" spans="1:28" x14ac:dyDescent="0.25">
      <c r="A2806" t="s">
        <v>2810</v>
      </c>
      <c r="B2806">
        <v>0.99193492352474899</v>
      </c>
      <c r="C2806">
        <v>0.87158990528244196</v>
      </c>
      <c r="D2806">
        <v>0.93843462107796405</v>
      </c>
      <c r="E2806">
        <v>0.55183012226694705</v>
      </c>
      <c r="F2806">
        <v>0.17387998577310301</v>
      </c>
      <c r="G2806">
        <v>0.112269366124281</v>
      </c>
      <c r="H2806">
        <v>7.3025686628851103E-2</v>
      </c>
      <c r="I2806">
        <v>8.0389864545779302E-2</v>
      </c>
      <c r="J2806">
        <v>8.8070734459108999E-2</v>
      </c>
      <c r="K2806">
        <v>9.1417857741721606E-2</v>
      </c>
      <c r="L2806">
        <v>1516.2087308795899</v>
      </c>
      <c r="M2806">
        <v>30.542868348898899</v>
      </c>
      <c r="N2806">
        <v>49.935940574330502</v>
      </c>
      <c r="O2806">
        <v>49.4306403164383</v>
      </c>
      <c r="P2806">
        <v>-0.141765154410604</v>
      </c>
      <c r="Q2806">
        <v>8.2273517480084796E-2</v>
      </c>
      <c r="R2806">
        <v>0.98911645932042203</v>
      </c>
      <c r="S2806" t="s">
        <v>9476</v>
      </c>
      <c r="T2806" t="s">
        <v>13338</v>
      </c>
      <c r="U2806" t="s">
        <v>13338</v>
      </c>
      <c r="V2806" t="s">
        <v>13338</v>
      </c>
      <c r="W2806" t="s">
        <v>16101</v>
      </c>
      <c r="X2806">
        <v>31</v>
      </c>
      <c r="Y2806" t="s">
        <v>22656</v>
      </c>
      <c r="Z2806" t="s">
        <v>29221</v>
      </c>
      <c r="AA2806">
        <v>0.38267240450898299</v>
      </c>
      <c r="AB2806" t="str">
        <f>HYPERLINK("Melting_Curves/meltCurve_P54578_USP14.pdf", "Melting_Curves/meltCurve_P54578_USP14.pdf")</f>
        <v>Melting_Curves/meltCurve_P54578_USP14.pdf</v>
      </c>
    </row>
    <row r="2807" spans="1:28" x14ac:dyDescent="0.25">
      <c r="A2807" t="s">
        <v>2811</v>
      </c>
      <c r="B2807">
        <v>0.99193492352474899</v>
      </c>
      <c r="C2807">
        <v>0.87168001785659699</v>
      </c>
      <c r="D2807">
        <v>0.907134646400098</v>
      </c>
      <c r="E2807">
        <v>0.56716596607431502</v>
      </c>
      <c r="F2807">
        <v>0.33735146690981199</v>
      </c>
      <c r="G2807">
        <v>0.14263363032115101</v>
      </c>
      <c r="H2807">
        <v>7.9248064689995804E-2</v>
      </c>
      <c r="I2807">
        <v>7.6589370751594693E-2</v>
      </c>
      <c r="J2807">
        <v>8.2958494798259896E-2</v>
      </c>
      <c r="K2807">
        <v>9.6626835485272095E-2</v>
      </c>
      <c r="L2807">
        <v>931.813934935784</v>
      </c>
      <c r="M2807">
        <v>18.547349601229701</v>
      </c>
      <c r="N2807">
        <v>50.626379627843797</v>
      </c>
      <c r="O2807">
        <v>49.666648808642599</v>
      </c>
      <c r="P2807">
        <v>-8.7197821141243401E-2</v>
      </c>
      <c r="Q2807">
        <v>6.6037473381146503E-2</v>
      </c>
      <c r="R2807">
        <v>0.98970977314423803</v>
      </c>
      <c r="S2807" t="s">
        <v>9477</v>
      </c>
      <c r="T2807" t="s">
        <v>13338</v>
      </c>
      <c r="U2807" t="s">
        <v>13338</v>
      </c>
      <c r="V2807" t="s">
        <v>13338</v>
      </c>
      <c r="W2807" t="s">
        <v>16102</v>
      </c>
      <c r="X2807">
        <v>14</v>
      </c>
      <c r="Y2807" t="s">
        <v>22657</v>
      </c>
      <c r="Z2807" t="s">
        <v>29222</v>
      </c>
      <c r="AA2807">
        <v>0.39982900518438619</v>
      </c>
      <c r="AB2807" t="str">
        <f>HYPERLINK("Melting_Curves/meltCurve_P54619_2_PRKAG1.pdf", "Melting_Curves/meltCurve_P54619_2_PRKAG1.pdf")</f>
        <v>Melting_Curves/meltCurve_P54619_2_PRKAG1.pdf</v>
      </c>
    </row>
    <row r="2808" spans="1:28" x14ac:dyDescent="0.25">
      <c r="A2808" t="s">
        <v>2812</v>
      </c>
      <c r="B2808">
        <v>0.99193492352474899</v>
      </c>
      <c r="C2808">
        <v>0.836915950078435</v>
      </c>
      <c r="D2808">
        <v>0.87437583424586096</v>
      </c>
      <c r="E2808">
        <v>0.58192056643846901</v>
      </c>
      <c r="F2808">
        <v>0.51073202547838004</v>
      </c>
      <c r="G2808">
        <v>0.38090251063131297</v>
      </c>
      <c r="H2808">
        <v>0.122332399949314</v>
      </c>
      <c r="I2808">
        <v>0.10868431577513001</v>
      </c>
      <c r="J2808">
        <v>0.116548717028638</v>
      </c>
      <c r="K2808">
        <v>0.128423348033536</v>
      </c>
      <c r="L2808">
        <v>542.83571406291105</v>
      </c>
      <c r="M2808">
        <v>10.362414954016501</v>
      </c>
      <c r="N2808">
        <v>52.544327524889397</v>
      </c>
      <c r="O2808">
        <v>50.546781397211902</v>
      </c>
      <c r="P2808">
        <v>-5.0480607511596699E-2</v>
      </c>
      <c r="Q2808">
        <v>1.54615998471092E-2</v>
      </c>
      <c r="R2808">
        <v>0.97209739513708304</v>
      </c>
      <c r="S2808" t="s">
        <v>9478</v>
      </c>
      <c r="T2808" t="s">
        <v>13338</v>
      </c>
      <c r="U2808" t="s">
        <v>13338</v>
      </c>
      <c r="V2808" t="s">
        <v>13338</v>
      </c>
      <c r="W2808" t="s">
        <v>16103</v>
      </c>
      <c r="X2808">
        <v>29</v>
      </c>
      <c r="Y2808" t="s">
        <v>22658</v>
      </c>
      <c r="Z2808" t="s">
        <v>29223</v>
      </c>
      <c r="AA2808">
        <v>0.45658794172727868</v>
      </c>
      <c r="AB2808" t="str">
        <f>HYPERLINK("Melting_Curves/meltCurve_P54652_HSPA2.pdf", "Melting_Curves/meltCurve_P54652_HSPA2.pdf")</f>
        <v>Melting_Curves/meltCurve_P54652_HSPA2.pdf</v>
      </c>
    </row>
    <row r="2809" spans="1:28" x14ac:dyDescent="0.25">
      <c r="A2809" t="s">
        <v>2813</v>
      </c>
      <c r="B2809">
        <v>0.99193492352474899</v>
      </c>
      <c r="C2809">
        <v>1.19217131298088</v>
      </c>
      <c r="D2809">
        <v>0.94431828301703902</v>
      </c>
      <c r="E2809">
        <v>0.99078857767590101</v>
      </c>
      <c r="F2809">
        <v>0.76134068497526697</v>
      </c>
      <c r="G2809">
        <v>0.66412280261038004</v>
      </c>
      <c r="H2809">
        <v>0.41734270560352699</v>
      </c>
      <c r="I2809">
        <v>0.312035050298068</v>
      </c>
      <c r="J2809">
        <v>0.258312100613381</v>
      </c>
      <c r="K2809">
        <v>0.19960271557561601</v>
      </c>
      <c r="L2809">
        <v>889.53766741567495</v>
      </c>
      <c r="M2809">
        <v>15.3981959084295</v>
      </c>
      <c r="N2809">
        <v>59.224962531118699</v>
      </c>
      <c r="O2809">
        <v>56.820942972542198</v>
      </c>
      <c r="P2809">
        <v>-5.7078485462548803E-2</v>
      </c>
      <c r="Q2809">
        <v>0.15757491377682201</v>
      </c>
      <c r="R2809">
        <v>0.95817797970919305</v>
      </c>
      <c r="S2809" t="s">
        <v>9479</v>
      </c>
      <c r="T2809" t="s">
        <v>13338</v>
      </c>
      <c r="U2809" t="s">
        <v>13338</v>
      </c>
      <c r="V2809" t="s">
        <v>13338</v>
      </c>
      <c r="W2809" t="s">
        <v>16104</v>
      </c>
      <c r="X2809">
        <v>13</v>
      </c>
      <c r="Y2809" t="s">
        <v>22659</v>
      </c>
      <c r="Z2809" t="s">
        <v>29224</v>
      </c>
      <c r="AA2809">
        <v>0.66826148482770387</v>
      </c>
      <c r="AB2809" t="str">
        <f>HYPERLINK("Melting_Curves/meltCurve_P54687_BCAT1.pdf", "Melting_Curves/meltCurve_P54687_BCAT1.pdf")</f>
        <v>Melting_Curves/meltCurve_P54687_BCAT1.pdf</v>
      </c>
    </row>
    <row r="2810" spans="1:28" x14ac:dyDescent="0.25">
      <c r="A2810" t="s">
        <v>2814</v>
      </c>
      <c r="B2810">
        <v>0.99193492352474899</v>
      </c>
      <c r="C2810">
        <v>0.83777911479852696</v>
      </c>
      <c r="D2810">
        <v>0.97740337314816705</v>
      </c>
      <c r="E2810">
        <v>0.82198750985345603</v>
      </c>
      <c r="F2810">
        <v>0.703926637924151</v>
      </c>
      <c r="G2810">
        <v>0.54300061659088705</v>
      </c>
      <c r="H2810">
        <v>0.41062766517222898</v>
      </c>
      <c r="I2810">
        <v>0.33004936707313798</v>
      </c>
      <c r="J2810">
        <v>0.30084434769782697</v>
      </c>
      <c r="K2810">
        <v>0.238760661583901</v>
      </c>
      <c r="L2810">
        <v>537.68538208403004</v>
      </c>
      <c r="M2810">
        <v>9.4893409051472908</v>
      </c>
      <c r="N2810">
        <v>58.307388240187699</v>
      </c>
      <c r="O2810">
        <v>54.316830287663201</v>
      </c>
      <c r="P2810">
        <v>-3.8568591962641702E-2</v>
      </c>
      <c r="Q2810">
        <v>0.117460319459568</v>
      </c>
      <c r="R2810">
        <v>0.97285512817002295</v>
      </c>
      <c r="S2810" t="s">
        <v>9480</v>
      </c>
      <c r="T2810" t="s">
        <v>13338</v>
      </c>
      <c r="U2810" t="s">
        <v>13338</v>
      </c>
      <c r="V2810" t="s">
        <v>13338</v>
      </c>
      <c r="W2810" t="s">
        <v>16105</v>
      </c>
      <c r="X2810">
        <v>11</v>
      </c>
      <c r="Y2810" t="s">
        <v>22660</v>
      </c>
      <c r="Z2810" t="s">
        <v>29225</v>
      </c>
      <c r="AA2810">
        <v>0.6228065398166851</v>
      </c>
      <c r="AB2810" t="str">
        <f>HYPERLINK("Melting_Curves/meltCurve_P54709_ATP1B3.pdf", "Melting_Curves/meltCurve_P54709_ATP1B3.pdf")</f>
        <v>Melting_Curves/meltCurve_P54709_ATP1B3.pdf</v>
      </c>
    </row>
    <row r="2811" spans="1:28" x14ac:dyDescent="0.25">
      <c r="A2811" t="s">
        <v>2815</v>
      </c>
      <c r="B2811">
        <v>0.99193492352474899</v>
      </c>
      <c r="C2811">
        <v>0.79822306815609201</v>
      </c>
      <c r="D2811">
        <v>0.935905848506838</v>
      </c>
      <c r="E2811">
        <v>0.69726253196663801</v>
      </c>
      <c r="F2811">
        <v>0.62987153558544096</v>
      </c>
      <c r="G2811">
        <v>0.45851786505088299</v>
      </c>
      <c r="H2811">
        <v>0.42945983183883601</v>
      </c>
      <c r="I2811">
        <v>0.39546484487143801</v>
      </c>
      <c r="J2811">
        <v>0.74712216861710401</v>
      </c>
      <c r="K2811">
        <v>1.00598362713746</v>
      </c>
      <c r="L2811">
        <v>963.98786282812603</v>
      </c>
      <c r="M2811">
        <v>20.6116874565435</v>
      </c>
      <c r="O2811">
        <v>46.335437209047001</v>
      </c>
      <c r="P2811">
        <v>-4.3642048874144898E-2</v>
      </c>
      <c r="Q2811">
        <v>0.60757895297803799</v>
      </c>
      <c r="R2811">
        <v>0.339625172901724</v>
      </c>
      <c r="S2811" t="s">
        <v>9481</v>
      </c>
      <c r="T2811" t="s">
        <v>13338</v>
      </c>
      <c r="U2811" t="s">
        <v>13338</v>
      </c>
      <c r="V2811" t="s">
        <v>13338</v>
      </c>
      <c r="W2811" t="s">
        <v>16106</v>
      </c>
      <c r="X2811">
        <v>2</v>
      </c>
      <c r="Y2811" t="s">
        <v>22661</v>
      </c>
      <c r="Z2811" t="s">
        <v>29226</v>
      </c>
      <c r="AA2811">
        <v>0.70154697629931795</v>
      </c>
      <c r="AB2811" t="str">
        <f>HYPERLINK("Melting_Curves/meltCurve_P54710_2_FXYD2.pdf", "Melting_Curves/meltCurve_P54710_2_FXYD2.pdf")</f>
        <v>Melting_Curves/meltCurve_P54710_2_FXYD2.pdf</v>
      </c>
    </row>
    <row r="2812" spans="1:28" x14ac:dyDescent="0.25">
      <c r="A2812" t="s">
        <v>2816</v>
      </c>
      <c r="B2812">
        <v>0.99193492352474899</v>
      </c>
      <c r="C2812">
        <v>0.72857081178407102</v>
      </c>
      <c r="D2812">
        <v>0.97678321917867394</v>
      </c>
      <c r="E2812">
        <v>0.69216605061221903</v>
      </c>
      <c r="F2812">
        <v>0.79886422717936101</v>
      </c>
      <c r="G2812">
        <v>0.43696637302208802</v>
      </c>
      <c r="H2812">
        <v>0.33871952448838599</v>
      </c>
      <c r="I2812">
        <v>0.29842684683427001</v>
      </c>
      <c r="J2812">
        <v>0.419351651249949</v>
      </c>
      <c r="K2812">
        <v>0.43444080143295799</v>
      </c>
      <c r="L2812">
        <v>563.07628507158302</v>
      </c>
      <c r="M2812">
        <v>10.7632044596215</v>
      </c>
      <c r="N2812">
        <v>57.321361619494198</v>
      </c>
      <c r="O2812">
        <v>50.606075112055002</v>
      </c>
      <c r="P2812">
        <v>-3.6983862900595799E-2</v>
      </c>
      <c r="Q2812">
        <v>0.30469688380134202</v>
      </c>
      <c r="R2812">
        <v>0.79378248149918895</v>
      </c>
      <c r="S2812" t="s">
        <v>9482</v>
      </c>
      <c r="T2812" t="s">
        <v>13338</v>
      </c>
      <c r="U2812" t="s">
        <v>13338</v>
      </c>
      <c r="V2812" t="s">
        <v>13338</v>
      </c>
      <c r="W2812" t="s">
        <v>16107</v>
      </c>
      <c r="X2812">
        <v>18</v>
      </c>
      <c r="Y2812" t="s">
        <v>22662</v>
      </c>
      <c r="Z2812" t="s">
        <v>29227</v>
      </c>
      <c r="AA2812">
        <v>0.61377127243682184</v>
      </c>
      <c r="AB2812" t="str">
        <f>HYPERLINK("Melting_Curves/meltCurve_P54727_RAD23B.pdf", "Melting_Curves/meltCurve_P54727_RAD23B.pdf")</f>
        <v>Melting_Curves/meltCurve_P54727_RAD23B.pdf</v>
      </c>
    </row>
    <row r="2813" spans="1:28" x14ac:dyDescent="0.25">
      <c r="A2813" t="s">
        <v>2817</v>
      </c>
      <c r="B2813">
        <v>0.99193492352474899</v>
      </c>
      <c r="C2813">
        <v>1.1587034358277899</v>
      </c>
      <c r="D2813">
        <v>0.86844060064335404</v>
      </c>
      <c r="E2813">
        <v>1.00453051498631</v>
      </c>
      <c r="F2813">
        <v>0.72042806033111295</v>
      </c>
      <c r="G2813">
        <v>0.63280108564584203</v>
      </c>
      <c r="H2813">
        <v>0.54218954346761195</v>
      </c>
      <c r="I2813">
        <v>0.498649023339998</v>
      </c>
      <c r="J2813">
        <v>0.26623570445959699</v>
      </c>
      <c r="K2813">
        <v>0.263712847551899</v>
      </c>
      <c r="L2813">
        <v>583.94493536991604</v>
      </c>
      <c r="M2813">
        <v>9.6710803535426795</v>
      </c>
      <c r="N2813">
        <v>61.357705613335398</v>
      </c>
      <c r="O2813">
        <v>57.968396872786101</v>
      </c>
      <c r="P2813">
        <v>-3.8752959407193699E-2</v>
      </c>
      <c r="Q2813">
        <v>7.13732543616791E-2</v>
      </c>
      <c r="R2813">
        <v>0.91900079298678305</v>
      </c>
      <c r="S2813" t="s">
        <v>9483</v>
      </c>
      <c r="T2813" t="s">
        <v>13338</v>
      </c>
      <c r="U2813" t="s">
        <v>13338</v>
      </c>
      <c r="V2813" t="s">
        <v>13338</v>
      </c>
      <c r="W2813" t="s">
        <v>16108</v>
      </c>
      <c r="X2813">
        <v>18</v>
      </c>
      <c r="Y2813" t="s">
        <v>22663</v>
      </c>
      <c r="Z2813" t="s">
        <v>29228</v>
      </c>
      <c r="AA2813">
        <v>0.69428513654167845</v>
      </c>
      <c r="AB2813" t="str">
        <f>HYPERLINK("Melting_Curves/meltCurve_P54819_AK2.pdf", "Melting_Curves/meltCurve_P54819_AK2.pdf")</f>
        <v>Melting_Curves/meltCurve_P54819_AK2.pdf</v>
      </c>
    </row>
    <row r="2814" spans="1:28" x14ac:dyDescent="0.25">
      <c r="A2814" t="s">
        <v>2818</v>
      </c>
      <c r="B2814">
        <v>0.99193492352474899</v>
      </c>
      <c r="C2814">
        <v>1.5077805828072499</v>
      </c>
      <c r="D2814">
        <v>1.0076883497195901</v>
      </c>
      <c r="E2814">
        <v>0.34068740205208897</v>
      </c>
      <c r="F2814">
        <v>0.10017004422658</v>
      </c>
      <c r="G2814">
        <v>4.2294041022082202E-2</v>
      </c>
      <c r="H2814">
        <v>1.78934223356635E-2</v>
      </c>
      <c r="I2814">
        <v>1.450898135576E-2</v>
      </c>
      <c r="J2814">
        <v>1.7212164110689002E-2</v>
      </c>
      <c r="K2814">
        <v>8.4686059782492808E-3</v>
      </c>
      <c r="L2814">
        <v>3282.4814608301599</v>
      </c>
      <c r="M2814">
        <v>66.925797160364596</v>
      </c>
      <c r="N2814">
        <v>49.0954514650184</v>
      </c>
      <c r="O2814">
        <v>49.002845231397103</v>
      </c>
      <c r="P2814">
        <v>-0.33043583238902902</v>
      </c>
      <c r="Q2814">
        <v>3.22242227950333E-2</v>
      </c>
      <c r="R2814">
        <v>0.90454299912152802</v>
      </c>
      <c r="S2814" t="s">
        <v>9484</v>
      </c>
      <c r="T2814" t="s">
        <v>13338</v>
      </c>
      <c r="U2814" t="s">
        <v>13338</v>
      </c>
      <c r="V2814" t="s">
        <v>13338</v>
      </c>
      <c r="W2814" t="s">
        <v>16109</v>
      </c>
      <c r="X2814">
        <v>4</v>
      </c>
      <c r="Y2814" t="s">
        <v>22664</v>
      </c>
      <c r="Z2814" t="s">
        <v>29229</v>
      </c>
      <c r="AA2814">
        <v>0.32522532877666338</v>
      </c>
      <c r="AB2814" t="str">
        <f>HYPERLINK("Melting_Curves/meltCurve_P54868_HMGCS2.pdf", "Melting_Curves/meltCurve_P54868_HMGCS2.pdf")</f>
        <v>Melting_Curves/meltCurve_P54868_HMGCS2.pdf</v>
      </c>
    </row>
    <row r="2815" spans="1:28" x14ac:dyDescent="0.25">
      <c r="A2815" t="s">
        <v>2819</v>
      </c>
      <c r="B2815">
        <v>0.99193492352474899</v>
      </c>
      <c r="C2815">
        <v>1.0582464772029101</v>
      </c>
      <c r="D2815">
        <v>0.93761527759214103</v>
      </c>
      <c r="E2815">
        <v>0.90485101108382604</v>
      </c>
      <c r="F2815">
        <v>0.75086792801388502</v>
      </c>
      <c r="G2815">
        <v>0.46619193586996899</v>
      </c>
      <c r="H2815">
        <v>9.1978970918662903E-2</v>
      </c>
      <c r="I2815">
        <v>7.5899603510361E-2</v>
      </c>
      <c r="J2815">
        <v>0.110191482780833</v>
      </c>
      <c r="K2815">
        <v>8.9860230146320705E-2</v>
      </c>
      <c r="L2815">
        <v>1306.4181746668901</v>
      </c>
      <c r="M2815">
        <v>23.491864011480398</v>
      </c>
      <c r="N2815">
        <v>55.898117105359802</v>
      </c>
      <c r="O2815">
        <v>55.213241603913801</v>
      </c>
      <c r="P2815">
        <v>-0.100335339513366</v>
      </c>
      <c r="Q2815">
        <v>5.6738310873368399E-2</v>
      </c>
      <c r="R2815">
        <v>0.98786056739964301</v>
      </c>
      <c r="S2815" t="s">
        <v>9485</v>
      </c>
      <c r="T2815" t="s">
        <v>13338</v>
      </c>
      <c r="U2815" t="s">
        <v>13338</v>
      </c>
      <c r="V2815" t="s">
        <v>13338</v>
      </c>
      <c r="W2815" t="s">
        <v>16110</v>
      </c>
      <c r="X2815">
        <v>23</v>
      </c>
      <c r="Y2815" t="s">
        <v>22665</v>
      </c>
      <c r="Z2815" t="s">
        <v>29230</v>
      </c>
      <c r="AA2815">
        <v>0.55724021226225662</v>
      </c>
      <c r="AB2815" t="str">
        <f>HYPERLINK("Melting_Curves/meltCurve_P54886_ALDH18A1.pdf", "Melting_Curves/meltCurve_P54886_ALDH18A1.pdf")</f>
        <v>Melting_Curves/meltCurve_P54886_ALDH18A1.pdf</v>
      </c>
    </row>
    <row r="2816" spans="1:28" x14ac:dyDescent="0.25">
      <c r="A2816" t="s">
        <v>2820</v>
      </c>
      <c r="B2816">
        <v>0.99193492352474899</v>
      </c>
      <c r="C2816">
        <v>0.96102567878412304</v>
      </c>
      <c r="D2816">
        <v>1.0218895178029199</v>
      </c>
      <c r="E2816">
        <v>0.83541380459643499</v>
      </c>
      <c r="F2816">
        <v>0.46433088777854098</v>
      </c>
      <c r="G2816">
        <v>0.19576822396549701</v>
      </c>
      <c r="H2816">
        <v>0.12511406339832901</v>
      </c>
      <c r="I2816">
        <v>0.13632746345770899</v>
      </c>
      <c r="J2816">
        <v>0.15281191066587299</v>
      </c>
      <c r="K2816">
        <v>0.174778595496838</v>
      </c>
      <c r="L2816">
        <v>1584.5288115324799</v>
      </c>
      <c r="M2816">
        <v>30.3656274591109</v>
      </c>
      <c r="N2816">
        <v>52.762239354470303</v>
      </c>
      <c r="O2816">
        <v>51.956914701297599</v>
      </c>
      <c r="P2816">
        <v>-0.125359719436169</v>
      </c>
      <c r="Q2816">
        <v>0.14202150593223301</v>
      </c>
      <c r="R2816">
        <v>0.99613210778639105</v>
      </c>
      <c r="S2816" t="s">
        <v>9486</v>
      </c>
      <c r="T2816" t="s">
        <v>13338</v>
      </c>
      <c r="U2816" t="s">
        <v>13338</v>
      </c>
      <c r="V2816" t="s">
        <v>13338</v>
      </c>
      <c r="W2816" t="s">
        <v>16111</v>
      </c>
      <c r="X2816">
        <v>25</v>
      </c>
      <c r="Y2816" t="s">
        <v>22666</v>
      </c>
      <c r="Z2816" t="s">
        <v>29231</v>
      </c>
      <c r="AA2816">
        <v>0.49577527240577851</v>
      </c>
      <c r="AB2816" t="str">
        <f>HYPERLINK("Melting_Curves/meltCurve_P54920_NAPA.pdf", "Melting_Curves/meltCurve_P54920_NAPA.pdf")</f>
        <v>Melting_Curves/meltCurve_P54920_NAPA.pdf</v>
      </c>
    </row>
    <row r="2817" spans="1:28" x14ac:dyDescent="0.25">
      <c r="A2817" t="s">
        <v>2821</v>
      </c>
      <c r="B2817">
        <v>0.99193492352474899</v>
      </c>
      <c r="C2817">
        <v>0.81728389713021499</v>
      </c>
      <c r="D2817">
        <v>0.91187087569763603</v>
      </c>
      <c r="E2817">
        <v>0.66235342648694195</v>
      </c>
      <c r="F2817">
        <v>0.23786066391229499</v>
      </c>
      <c r="G2817">
        <v>0.109551958484347</v>
      </c>
      <c r="H2817">
        <v>6.7556730971326195E-2</v>
      </c>
      <c r="I2817">
        <v>7.0323541426841399E-2</v>
      </c>
      <c r="J2817">
        <v>7.6311112171959794E-2</v>
      </c>
      <c r="K2817">
        <v>9.7001046917212605E-2</v>
      </c>
      <c r="L2817">
        <v>1270.5084634453699</v>
      </c>
      <c r="M2817">
        <v>25.201898075008501</v>
      </c>
      <c r="N2817">
        <v>50.7070022666272</v>
      </c>
      <c r="O2817">
        <v>50.099006500107699</v>
      </c>
      <c r="P2817">
        <v>-0.11721911928621701</v>
      </c>
      <c r="Q2817">
        <v>6.7929812377799006E-2</v>
      </c>
      <c r="R2817">
        <v>0.97643569099223504</v>
      </c>
      <c r="S2817" t="s">
        <v>9487</v>
      </c>
      <c r="T2817" t="s">
        <v>13338</v>
      </c>
      <c r="U2817" t="s">
        <v>13338</v>
      </c>
      <c r="V2817" t="s">
        <v>13338</v>
      </c>
      <c r="W2817" t="s">
        <v>16112</v>
      </c>
      <c r="X2817">
        <v>21</v>
      </c>
      <c r="Y2817" t="s">
        <v>22667</v>
      </c>
      <c r="Z2817" t="s">
        <v>29232</v>
      </c>
      <c r="AA2817">
        <v>0.39969138736696919</v>
      </c>
      <c r="AB2817" t="str">
        <f>HYPERLINK("Melting_Curves/meltCurve_P55010_EIF5.pdf", "Melting_Curves/meltCurve_P55010_EIF5.pdf")</f>
        <v>Melting_Curves/meltCurve_P55010_EIF5.pdf</v>
      </c>
    </row>
    <row r="2818" spans="1:28" x14ac:dyDescent="0.25">
      <c r="A2818" t="s">
        <v>2822</v>
      </c>
      <c r="B2818">
        <v>0.99193492352474899</v>
      </c>
      <c r="C2818">
        <v>0.92279724308794298</v>
      </c>
      <c r="D2818">
        <v>1.03517451447308</v>
      </c>
      <c r="E2818">
        <v>0.82018065065732204</v>
      </c>
      <c r="F2818">
        <v>0.72164178226576303</v>
      </c>
      <c r="G2818">
        <v>0.57153584353403897</v>
      </c>
      <c r="H2818">
        <v>0.13254799989061</v>
      </c>
      <c r="I2818">
        <v>0.146840725130366</v>
      </c>
      <c r="J2818">
        <v>0.15965291845110699</v>
      </c>
      <c r="K2818">
        <v>0.17479541080402</v>
      </c>
      <c r="L2818">
        <v>1011.95746292536</v>
      </c>
      <c r="M2818">
        <v>18.201156233106399</v>
      </c>
      <c r="N2818">
        <v>56.287007069665201</v>
      </c>
      <c r="O2818">
        <v>54.940412949807303</v>
      </c>
      <c r="P2818">
        <v>-7.4560585729379306E-2</v>
      </c>
      <c r="Q2818">
        <v>9.9794288106576506E-2</v>
      </c>
      <c r="R2818">
        <v>0.96334297794163404</v>
      </c>
      <c r="S2818" t="s">
        <v>9488</v>
      </c>
      <c r="T2818" t="s">
        <v>13338</v>
      </c>
      <c r="U2818" t="s">
        <v>13338</v>
      </c>
      <c r="V2818" t="s">
        <v>13338</v>
      </c>
      <c r="W2818" t="s">
        <v>16113</v>
      </c>
      <c r="X2818">
        <v>20</v>
      </c>
      <c r="Y2818" t="s">
        <v>22668</v>
      </c>
      <c r="Z2818" t="s">
        <v>29233</v>
      </c>
      <c r="AA2818">
        <v>0.58122210195776047</v>
      </c>
      <c r="AB2818" t="str">
        <f>HYPERLINK("Melting_Curves/meltCurve_P55011_3_SLC12A2.pdf", "Melting_Curves/meltCurve_P55011_3_SLC12A2.pdf")</f>
        <v>Melting_Curves/meltCurve_P55011_3_SLC12A2.pdf</v>
      </c>
    </row>
    <row r="2819" spans="1:28" x14ac:dyDescent="0.25">
      <c r="A2819" t="s">
        <v>2823</v>
      </c>
      <c r="B2819">
        <v>0.99193492352474899</v>
      </c>
      <c r="C2819">
        <v>0.71778181640605698</v>
      </c>
      <c r="D2819">
        <v>0.79658407998085001</v>
      </c>
      <c r="E2819">
        <v>0.59923560164193101</v>
      </c>
      <c r="F2819">
        <v>0.46396862870913502</v>
      </c>
      <c r="G2819">
        <v>0.15774259620937001</v>
      </c>
      <c r="H2819">
        <v>8.9181090136972105E-2</v>
      </c>
      <c r="I2819">
        <v>8.1764834258374303E-2</v>
      </c>
      <c r="J2819">
        <v>0.11814457261568501</v>
      </c>
      <c r="K2819">
        <v>0.10108846481360401</v>
      </c>
      <c r="L2819">
        <v>535.19829629032904</v>
      </c>
      <c r="M2819">
        <v>10.543725752486599</v>
      </c>
      <c r="N2819">
        <v>50.797162302801198</v>
      </c>
      <c r="O2819">
        <v>49.035976423262497</v>
      </c>
      <c r="P2819">
        <v>-5.35692489008638E-2</v>
      </c>
      <c r="Q2819">
        <v>3.8520216899178002E-3</v>
      </c>
      <c r="R2819">
        <v>0.95049816832665601</v>
      </c>
      <c r="S2819" t="s">
        <v>9489</v>
      </c>
      <c r="T2819" t="s">
        <v>13338</v>
      </c>
      <c r="U2819" t="s">
        <v>13338</v>
      </c>
      <c r="V2819" t="s">
        <v>13338</v>
      </c>
      <c r="W2819" t="s">
        <v>16114</v>
      </c>
      <c r="X2819">
        <v>16</v>
      </c>
      <c r="Y2819" t="s">
        <v>22669</v>
      </c>
      <c r="Z2819" t="s">
        <v>29234</v>
      </c>
      <c r="AA2819">
        <v>0.40061766248995179</v>
      </c>
      <c r="AB2819" t="str">
        <f>HYPERLINK("Melting_Curves/meltCurve_P55036_PSMD4.pdf", "Melting_Curves/meltCurve_P55036_PSMD4.pdf")</f>
        <v>Melting_Curves/meltCurve_P55036_PSMD4.pdf</v>
      </c>
    </row>
    <row r="2820" spans="1:28" x14ac:dyDescent="0.25">
      <c r="A2820" t="s">
        <v>2824</v>
      </c>
      <c r="B2820">
        <v>0.99193492352474899</v>
      </c>
      <c r="C2820">
        <v>0.987296032483856</v>
      </c>
      <c r="D2820">
        <v>1.04425099902805</v>
      </c>
      <c r="E2820">
        <v>0.82202480524292998</v>
      </c>
      <c r="F2820">
        <v>0.30515902743819801</v>
      </c>
      <c r="G2820">
        <v>9.4717470558059597E-2</v>
      </c>
      <c r="H2820">
        <v>5.7216203742817003E-2</v>
      </c>
      <c r="I2820">
        <v>6.6449301820975401E-2</v>
      </c>
      <c r="J2820">
        <v>7.2269587580184494E-2</v>
      </c>
      <c r="K2820">
        <v>6.3849587017655696E-2</v>
      </c>
      <c r="L2820">
        <v>1902.49406912874</v>
      </c>
      <c r="M2820">
        <v>36.844303160741802</v>
      </c>
      <c r="N2820">
        <v>51.829003140952501</v>
      </c>
      <c r="O2820">
        <v>51.484624763223401</v>
      </c>
      <c r="P2820">
        <v>-0.16744350293926499</v>
      </c>
      <c r="Q2820">
        <v>6.4089426985429299E-2</v>
      </c>
      <c r="R2820">
        <v>0.99809918374102002</v>
      </c>
      <c r="S2820" t="s">
        <v>9490</v>
      </c>
      <c r="T2820" t="s">
        <v>13338</v>
      </c>
      <c r="U2820" t="s">
        <v>13338</v>
      </c>
      <c r="V2820" t="s">
        <v>13338</v>
      </c>
      <c r="W2820" t="s">
        <v>16115</v>
      </c>
      <c r="X2820">
        <v>11</v>
      </c>
      <c r="Y2820" t="s">
        <v>22670</v>
      </c>
      <c r="Z2820" t="s">
        <v>29235</v>
      </c>
      <c r="AA2820">
        <v>0.43103899911899701</v>
      </c>
      <c r="AB2820" t="str">
        <f>HYPERLINK("Melting_Curves/meltCurve_P55039_DRG2.pdf", "Melting_Curves/meltCurve_P55039_DRG2.pdf")</f>
        <v>Melting_Curves/meltCurve_P55039_DRG2.pdf</v>
      </c>
    </row>
    <row r="2821" spans="1:28" x14ac:dyDescent="0.25">
      <c r="A2821" t="s">
        <v>2825</v>
      </c>
      <c r="B2821">
        <v>0.99193492352474899</v>
      </c>
      <c r="C2821">
        <v>0.77276658679509003</v>
      </c>
      <c r="D2821">
        <v>0.81346831238742301</v>
      </c>
      <c r="E2821">
        <v>0.33384328019734699</v>
      </c>
      <c r="F2821">
        <v>0.117667896583644</v>
      </c>
      <c r="G2821">
        <v>5.8879815413708403E-2</v>
      </c>
      <c r="H2821">
        <v>3.8402740142120202E-2</v>
      </c>
      <c r="I2821">
        <v>4.5028298563750797E-2</v>
      </c>
      <c r="J2821">
        <v>5.8597463413079698E-2</v>
      </c>
      <c r="K2821">
        <v>4.8226781980436798E-2</v>
      </c>
      <c r="L2821">
        <v>1011.97473819143</v>
      </c>
      <c r="M2821">
        <v>21.092552465624401</v>
      </c>
      <c r="N2821">
        <v>48.140340140896903</v>
      </c>
      <c r="O2821">
        <v>47.552789887751899</v>
      </c>
      <c r="P2821">
        <v>-0.10708189818578701</v>
      </c>
      <c r="Q2821">
        <v>3.4367918830303198E-2</v>
      </c>
      <c r="R2821">
        <v>0.97397485736612899</v>
      </c>
      <c r="S2821" t="s">
        <v>9491</v>
      </c>
      <c r="T2821" t="s">
        <v>13338</v>
      </c>
      <c r="U2821" t="s">
        <v>13338</v>
      </c>
      <c r="V2821" t="s">
        <v>13338</v>
      </c>
      <c r="W2821" t="s">
        <v>16116</v>
      </c>
      <c r="X2821">
        <v>34</v>
      </c>
      <c r="Y2821" t="s">
        <v>22671</v>
      </c>
      <c r="Z2821" t="s">
        <v>29236</v>
      </c>
      <c r="AA2821">
        <v>0.30341679729746041</v>
      </c>
      <c r="AB2821" t="str">
        <f>HYPERLINK("Melting_Curves/meltCurve_P55060_3_CSE1L.pdf", "Melting_Curves/meltCurve_P55060_3_CSE1L.pdf")</f>
        <v>Melting_Curves/meltCurve_P55060_3_CSE1L.pdf</v>
      </c>
    </row>
    <row r="2822" spans="1:28" x14ac:dyDescent="0.25">
      <c r="A2822" t="s">
        <v>2826</v>
      </c>
      <c r="B2822">
        <v>0.99193492352474899</v>
      </c>
      <c r="C2822">
        <v>1.1487121775728599</v>
      </c>
      <c r="D2822">
        <v>0.95131974785487305</v>
      </c>
      <c r="E2822">
        <v>1.0374167328136901</v>
      </c>
      <c r="F2822">
        <v>1.0318669249475201</v>
      </c>
      <c r="G2822">
        <v>0.97622414987765205</v>
      </c>
      <c r="H2822">
        <v>0.68837337574384305</v>
      </c>
      <c r="I2822">
        <v>0.72728996623749498</v>
      </c>
      <c r="J2822">
        <v>0.45221904342924901</v>
      </c>
      <c r="K2822">
        <v>0.26036025382386901</v>
      </c>
      <c r="L2822">
        <v>1085.39672128241</v>
      </c>
      <c r="M2822">
        <v>16.392124025142898</v>
      </c>
      <c r="N2822">
        <v>66.214501648354002</v>
      </c>
      <c r="O2822">
        <v>65.252608586214393</v>
      </c>
      <c r="P2822">
        <v>-6.2807041652736206E-2</v>
      </c>
      <c r="Q2822">
        <v>0</v>
      </c>
      <c r="R2822">
        <v>0.92713666080383705</v>
      </c>
      <c r="S2822" t="s">
        <v>9492</v>
      </c>
      <c r="T2822" t="s">
        <v>13338</v>
      </c>
      <c r="U2822" t="s">
        <v>13338</v>
      </c>
      <c r="V2822" t="s">
        <v>13338</v>
      </c>
      <c r="W2822" t="s">
        <v>16117</v>
      </c>
      <c r="X2822">
        <v>71</v>
      </c>
      <c r="Y2822" t="s">
        <v>22672</v>
      </c>
      <c r="Z2822" t="s">
        <v>29237</v>
      </c>
      <c r="AA2822">
        <v>0.84112371470741798</v>
      </c>
      <c r="AB2822" t="str">
        <f>HYPERLINK("Melting_Curves/meltCurve_P55072_VCP.pdf", "Melting_Curves/meltCurve_P55072_VCP.pdf")</f>
        <v>Melting_Curves/meltCurve_P55072_VCP.pdf</v>
      </c>
    </row>
    <row r="2823" spans="1:28" x14ac:dyDescent="0.25">
      <c r="A2823" t="s">
        <v>2827</v>
      </c>
      <c r="B2823">
        <v>0.99193492352474899</v>
      </c>
      <c r="C2823">
        <v>0.85093742406163497</v>
      </c>
      <c r="D2823">
        <v>0.84687528324493699</v>
      </c>
      <c r="E2823">
        <v>0.64619342426592896</v>
      </c>
      <c r="F2823">
        <v>0.519684834137778</v>
      </c>
      <c r="G2823">
        <v>0.37505555705124599</v>
      </c>
      <c r="H2823">
        <v>0.35376521915303799</v>
      </c>
      <c r="I2823">
        <v>0.50444044894247397</v>
      </c>
      <c r="J2823">
        <v>0.56091504557929295</v>
      </c>
      <c r="K2823">
        <v>0.78313731339514003</v>
      </c>
      <c r="L2823">
        <v>1021.36865137926</v>
      </c>
      <c r="M2823">
        <v>21.830164069023802</v>
      </c>
      <c r="O2823">
        <v>46.399740030950198</v>
      </c>
      <c r="P2823">
        <v>-5.7240467745846201E-2</v>
      </c>
      <c r="Q2823">
        <v>0.51335569912171797</v>
      </c>
      <c r="R2823">
        <v>0.68113063520679695</v>
      </c>
      <c r="S2823" t="s">
        <v>9493</v>
      </c>
      <c r="T2823" t="s">
        <v>13338</v>
      </c>
      <c r="U2823" t="s">
        <v>13338</v>
      </c>
      <c r="V2823" t="s">
        <v>13338</v>
      </c>
      <c r="W2823" t="s">
        <v>16118</v>
      </c>
      <c r="X2823">
        <v>20</v>
      </c>
      <c r="Y2823" t="s">
        <v>22673</v>
      </c>
      <c r="Z2823" t="s">
        <v>29238</v>
      </c>
      <c r="AA2823">
        <v>0.62936281303232</v>
      </c>
      <c r="AB2823" t="str">
        <f>HYPERLINK("Melting_Curves/meltCurve_P55081_MFAP1.pdf", "Melting_Curves/meltCurve_P55081_MFAP1.pdf")</f>
        <v>Melting_Curves/meltCurve_P55081_MFAP1.pdf</v>
      </c>
    </row>
    <row r="2824" spans="1:28" x14ac:dyDescent="0.25">
      <c r="A2824" t="s">
        <v>2828</v>
      </c>
      <c r="B2824">
        <v>0.99193492352474899</v>
      </c>
      <c r="C2824">
        <v>0.83766968267499298</v>
      </c>
      <c r="D2824">
        <v>1.1834597279508099</v>
      </c>
      <c r="E2824">
        <v>0.68527731839417005</v>
      </c>
      <c r="F2824">
        <v>0.190758306719467</v>
      </c>
      <c r="G2824">
        <v>0.124155951837796</v>
      </c>
      <c r="H2824">
        <v>6.9780405660605893E-2</v>
      </c>
      <c r="I2824">
        <v>8.6853222017383602E-2</v>
      </c>
      <c r="J2824">
        <v>8.9871456207606601E-2</v>
      </c>
      <c r="K2824">
        <v>0.103861721069044</v>
      </c>
      <c r="L2824">
        <v>2467.9475374736298</v>
      </c>
      <c r="M2824">
        <v>49.0480997948344</v>
      </c>
      <c r="N2824">
        <v>50.545387149031903</v>
      </c>
      <c r="O2824">
        <v>50.233460788284702</v>
      </c>
      <c r="P2824">
        <v>-0.21982879957735699</v>
      </c>
      <c r="Q2824">
        <v>9.9435084174525804E-2</v>
      </c>
      <c r="R2824">
        <v>0.96175330202100695</v>
      </c>
      <c r="S2824" t="s">
        <v>9494</v>
      </c>
      <c r="T2824" t="s">
        <v>13338</v>
      </c>
      <c r="U2824" t="s">
        <v>13338</v>
      </c>
      <c r="V2824" t="s">
        <v>13338</v>
      </c>
      <c r="W2824" t="s">
        <v>16119</v>
      </c>
      <c r="X2824">
        <v>22</v>
      </c>
      <c r="Y2824" t="s">
        <v>22674</v>
      </c>
      <c r="Z2824" t="s">
        <v>29239</v>
      </c>
      <c r="AA2824">
        <v>0.41121346552313021</v>
      </c>
      <c r="AB2824" t="str">
        <f>HYPERLINK("Melting_Curves/meltCurve_P55084_HADHB.pdf", "Melting_Curves/meltCurve_P55084_HADHB.pdf")</f>
        <v>Melting_Curves/meltCurve_P55084_HADHB.pdf</v>
      </c>
    </row>
    <row r="2825" spans="1:28" x14ac:dyDescent="0.25">
      <c r="A2825" t="s">
        <v>2829</v>
      </c>
      <c r="B2825">
        <v>0.99193492352474899</v>
      </c>
      <c r="C2825">
        <v>0.82746271000555105</v>
      </c>
      <c r="D2825">
        <v>0.93176841122005305</v>
      </c>
      <c r="E2825">
        <v>0.79435241682682001</v>
      </c>
      <c r="F2825">
        <v>0.662607400960046</v>
      </c>
      <c r="G2825">
        <v>0.51587214135382198</v>
      </c>
      <c r="H2825">
        <v>0.53113329593778702</v>
      </c>
      <c r="I2825">
        <v>0.60986243722194899</v>
      </c>
      <c r="J2825">
        <v>0.74350400361894398</v>
      </c>
      <c r="K2825">
        <v>1.01344105658729</v>
      </c>
      <c r="L2825">
        <v>883.74658415597401</v>
      </c>
      <c r="M2825">
        <v>19.0446583890465</v>
      </c>
      <c r="O2825">
        <v>45.901360010653796</v>
      </c>
      <c r="P2825">
        <v>-3.2993950349916298E-2</v>
      </c>
      <c r="Q2825">
        <v>0.681925023623426</v>
      </c>
      <c r="R2825">
        <v>0.338826610985345</v>
      </c>
      <c r="S2825" t="s">
        <v>9495</v>
      </c>
      <c r="T2825" t="s">
        <v>13338</v>
      </c>
      <c r="U2825" t="s">
        <v>13338</v>
      </c>
      <c r="V2825" t="s">
        <v>13338</v>
      </c>
      <c r="W2825" t="s">
        <v>16120</v>
      </c>
      <c r="X2825">
        <v>19</v>
      </c>
      <c r="Y2825" t="s">
        <v>22675</v>
      </c>
      <c r="Z2825" t="s">
        <v>29240</v>
      </c>
      <c r="AA2825">
        <v>0.75517354819544946</v>
      </c>
      <c r="AB2825" t="str">
        <f>HYPERLINK("Melting_Curves/meltCurve_P55145_MANF.pdf", "Melting_Curves/meltCurve_P55145_MANF.pdf")</f>
        <v>Melting_Curves/meltCurve_P55145_MANF.pdf</v>
      </c>
    </row>
    <row r="2826" spans="1:28" x14ac:dyDescent="0.25">
      <c r="A2826" t="s">
        <v>2830</v>
      </c>
      <c r="B2826">
        <v>0.99193492352474899</v>
      </c>
      <c r="C2826">
        <v>0.89890853274182003</v>
      </c>
      <c r="D2826">
        <v>1.1443543730652099</v>
      </c>
      <c r="E2826">
        <v>0.75028613051425397</v>
      </c>
      <c r="F2826">
        <v>0.25266822203205402</v>
      </c>
      <c r="G2826">
        <v>0.10808210738334199</v>
      </c>
      <c r="H2826">
        <v>7.15876519800554E-2</v>
      </c>
      <c r="I2826">
        <v>7.7808635466946705E-2</v>
      </c>
      <c r="J2826">
        <v>8.9047380918539601E-2</v>
      </c>
      <c r="K2826">
        <v>0.10753161597645799</v>
      </c>
      <c r="L2826">
        <v>2020.91129017607</v>
      </c>
      <c r="M2826">
        <v>39.6396082683763</v>
      </c>
      <c r="N2826">
        <v>51.236842538553901</v>
      </c>
      <c r="O2826">
        <v>50.852885180862103</v>
      </c>
      <c r="P2826">
        <v>-0.17744610621649101</v>
      </c>
      <c r="Q2826">
        <v>8.9433272934135596E-2</v>
      </c>
      <c r="R2826">
        <v>0.97924180833818697</v>
      </c>
      <c r="S2826" t="s">
        <v>9496</v>
      </c>
      <c r="T2826" t="s">
        <v>13338</v>
      </c>
      <c r="U2826" t="s">
        <v>13338</v>
      </c>
      <c r="V2826" t="s">
        <v>13338</v>
      </c>
      <c r="W2826" t="s">
        <v>16121</v>
      </c>
      <c r="X2826">
        <v>22</v>
      </c>
      <c r="Y2826" t="s">
        <v>22676</v>
      </c>
      <c r="Z2826" t="s">
        <v>29241</v>
      </c>
      <c r="AA2826">
        <v>0.42603277944760959</v>
      </c>
      <c r="AB2826" t="str">
        <f>HYPERLINK("Melting_Curves/meltCurve_P55160_NCKAP1L.pdf", "Melting_Curves/meltCurve_P55160_NCKAP1L.pdf")</f>
        <v>Melting_Curves/meltCurve_P55160_NCKAP1L.pdf</v>
      </c>
    </row>
    <row r="2827" spans="1:28" x14ac:dyDescent="0.25">
      <c r="A2827" t="s">
        <v>2831</v>
      </c>
      <c r="B2827">
        <v>0.99193492352474899</v>
      </c>
      <c r="C2827">
        <v>0.68944076888045402</v>
      </c>
      <c r="D2827">
        <v>0.55516961024835398</v>
      </c>
      <c r="E2827">
        <v>0.149429753188597</v>
      </c>
      <c r="F2827">
        <v>0.15525992388530599</v>
      </c>
      <c r="G2827">
        <v>4.2755478080922102E-2</v>
      </c>
      <c r="H2827">
        <v>2.55021678754336E-2</v>
      </c>
      <c r="I2827">
        <v>3.60291526823628E-2</v>
      </c>
      <c r="J2827">
        <v>6.8968018228000194E-2</v>
      </c>
      <c r="K2827">
        <v>7.1462488950087499E-2</v>
      </c>
      <c r="L2827">
        <v>845.67759380011796</v>
      </c>
      <c r="M2827">
        <v>18.5618744951956</v>
      </c>
      <c r="N2827">
        <v>45.787960416328602</v>
      </c>
      <c r="O2827">
        <v>45.041004413090299</v>
      </c>
      <c r="P2827">
        <v>-9.8483297742463796E-2</v>
      </c>
      <c r="Q2827">
        <v>4.4149818336152197E-2</v>
      </c>
      <c r="R2827">
        <v>0.97584545230471698</v>
      </c>
      <c r="S2827" t="s">
        <v>9497</v>
      </c>
      <c r="T2827" t="s">
        <v>13338</v>
      </c>
      <c r="U2827" t="s">
        <v>13338</v>
      </c>
      <c r="V2827" t="s">
        <v>13338</v>
      </c>
      <c r="W2827" t="s">
        <v>16122</v>
      </c>
      <c r="X2827">
        <v>5</v>
      </c>
      <c r="Y2827" t="s">
        <v>22677</v>
      </c>
      <c r="Z2827" t="s">
        <v>29242</v>
      </c>
      <c r="AA2827">
        <v>0.2394585689392624</v>
      </c>
      <c r="AB2827" t="str">
        <f>HYPERLINK("Melting_Curves/meltCurve_P55199_ELL.pdf", "Melting_Curves/meltCurve_P55199_ELL.pdf")</f>
        <v>Melting_Curves/meltCurve_P55199_ELL.pdf</v>
      </c>
    </row>
    <row r="2828" spans="1:28" x14ac:dyDescent="0.25">
      <c r="A2828" t="s">
        <v>2832</v>
      </c>
      <c r="B2828">
        <v>0.99193492352474899</v>
      </c>
      <c r="C2828">
        <v>0.91820127209772595</v>
      </c>
      <c r="D2828">
        <v>0.89551049389182302</v>
      </c>
      <c r="E2828">
        <v>0.77303448276264697</v>
      </c>
      <c r="F2828">
        <v>0.56319496225311905</v>
      </c>
      <c r="G2828">
        <v>0.37693801666862098</v>
      </c>
      <c r="H2828">
        <v>0.21921257350090201</v>
      </c>
      <c r="I2828">
        <v>0.14320803883587799</v>
      </c>
      <c r="J2828">
        <v>0.14428368748835799</v>
      </c>
      <c r="K2828">
        <v>0.140907048514755</v>
      </c>
      <c r="L2828">
        <v>704.14508467356097</v>
      </c>
      <c r="M2828">
        <v>13.158235615587699</v>
      </c>
      <c r="N2828">
        <v>54.199430396342301</v>
      </c>
      <c r="O2828">
        <v>52.322913697017697</v>
      </c>
      <c r="P2828">
        <v>-5.80588254033663E-2</v>
      </c>
      <c r="Q2828">
        <v>7.6686253867333298E-2</v>
      </c>
      <c r="R2828">
        <v>0.99611073339954004</v>
      </c>
      <c r="S2828" t="s">
        <v>9498</v>
      </c>
      <c r="T2828" t="s">
        <v>13338</v>
      </c>
      <c r="U2828" t="s">
        <v>13338</v>
      </c>
      <c r="V2828" t="s">
        <v>13338</v>
      </c>
      <c r="W2828" t="s">
        <v>16123</v>
      </c>
      <c r="X2828">
        <v>15</v>
      </c>
      <c r="Y2828" t="s">
        <v>22678</v>
      </c>
      <c r="Z2828" t="s">
        <v>29243</v>
      </c>
      <c r="AA2828">
        <v>0.51540816250503907</v>
      </c>
      <c r="AB2828" t="str">
        <f>HYPERLINK("Melting_Curves/meltCurve_P55210_CASP7.pdf", "Melting_Curves/meltCurve_P55210_CASP7.pdf")</f>
        <v>Melting_Curves/meltCurve_P55210_CASP7.pdf</v>
      </c>
    </row>
    <row r="2829" spans="1:28" x14ac:dyDescent="0.25">
      <c r="A2829" t="s">
        <v>2833</v>
      </c>
      <c r="B2829">
        <v>0.99193492352474899</v>
      </c>
      <c r="C2829">
        <v>0.88329541515003895</v>
      </c>
      <c r="D2829">
        <v>0.82076913149014696</v>
      </c>
      <c r="E2829">
        <v>0.75212418430133299</v>
      </c>
      <c r="F2829">
        <v>0.62630287079525604</v>
      </c>
      <c r="G2829">
        <v>0.53479549963541295</v>
      </c>
      <c r="H2829">
        <v>0.41534983041212897</v>
      </c>
      <c r="I2829">
        <v>0.53134311785881405</v>
      </c>
      <c r="J2829">
        <v>0.48549162796752499</v>
      </c>
      <c r="K2829">
        <v>0.421980799173926</v>
      </c>
      <c r="L2829">
        <v>539.66731906244604</v>
      </c>
      <c r="M2829">
        <v>10.811984930546901</v>
      </c>
      <c r="N2829">
        <v>60.188048109745502</v>
      </c>
      <c r="O2829">
        <v>48.297300320043398</v>
      </c>
      <c r="P2829">
        <v>-3.2413789538481397E-2</v>
      </c>
      <c r="Q2829">
        <v>0.42103719901723602</v>
      </c>
      <c r="R2829">
        <v>0.96057904098446301</v>
      </c>
      <c r="S2829" t="s">
        <v>9499</v>
      </c>
      <c r="T2829" t="s">
        <v>13338</v>
      </c>
      <c r="U2829" t="s">
        <v>13338</v>
      </c>
      <c r="V2829" t="s">
        <v>13338</v>
      </c>
      <c r="W2829" t="s">
        <v>16124</v>
      </c>
      <c r="X2829">
        <v>17</v>
      </c>
      <c r="Y2829" t="s">
        <v>22679</v>
      </c>
      <c r="Z2829" t="s">
        <v>29244</v>
      </c>
      <c r="AA2829">
        <v>0.63595515073337616</v>
      </c>
      <c r="AB2829" t="str">
        <f>HYPERLINK("Melting_Curves/meltCurve_P55212_CASP6.pdf", "Melting_Curves/meltCurve_P55212_CASP6.pdf")</f>
        <v>Melting_Curves/meltCurve_P55212_CASP6.pdf</v>
      </c>
    </row>
    <row r="2830" spans="1:28" x14ac:dyDescent="0.25">
      <c r="A2830" t="s">
        <v>2834</v>
      </c>
      <c r="B2830">
        <v>0.99193492352474899</v>
      </c>
      <c r="C2830">
        <v>0.837866309480085</v>
      </c>
      <c r="D2830">
        <v>0.96617952492507198</v>
      </c>
      <c r="E2830">
        <v>0.77368697942021802</v>
      </c>
      <c r="F2830">
        <v>0.74835037413539895</v>
      </c>
      <c r="G2830">
        <v>0.40343706750144898</v>
      </c>
      <c r="H2830">
        <v>0.19330281367836</v>
      </c>
      <c r="I2830">
        <v>0.105066037432308</v>
      </c>
      <c r="J2830">
        <v>0.11309671661553</v>
      </c>
      <c r="K2830">
        <v>0.111983663659876</v>
      </c>
      <c r="L2830">
        <v>816.33340341587802</v>
      </c>
      <c r="M2830">
        <v>14.7762081947875</v>
      </c>
      <c r="N2830">
        <v>55.490718446987103</v>
      </c>
      <c r="O2830">
        <v>54.264197293582498</v>
      </c>
      <c r="P2830">
        <v>-6.5939287383794606E-2</v>
      </c>
      <c r="Q2830">
        <v>3.1481157969830802E-2</v>
      </c>
      <c r="R2830">
        <v>0.96632965466507603</v>
      </c>
      <c r="S2830" t="s">
        <v>9500</v>
      </c>
      <c r="T2830" t="s">
        <v>13338</v>
      </c>
      <c r="U2830" t="s">
        <v>13338</v>
      </c>
      <c r="V2830" t="s">
        <v>13338</v>
      </c>
      <c r="W2830" t="s">
        <v>16125</v>
      </c>
      <c r="X2830">
        <v>15</v>
      </c>
      <c r="Y2830" t="s">
        <v>22680</v>
      </c>
      <c r="Z2830" t="s">
        <v>29245</v>
      </c>
      <c r="AA2830">
        <v>0.54231392837688175</v>
      </c>
      <c r="AB2830" t="str">
        <f>HYPERLINK("Melting_Curves/meltCurve_P55263_ADK.pdf", "Melting_Curves/meltCurve_P55263_ADK.pdf")</f>
        <v>Melting_Curves/meltCurve_P55263_ADK.pdf</v>
      </c>
    </row>
    <row r="2831" spans="1:28" x14ac:dyDescent="0.25">
      <c r="A2831" t="s">
        <v>2835</v>
      </c>
      <c r="B2831">
        <v>0.99193492352474899</v>
      </c>
      <c r="C2831">
        <v>0.97805196180843701</v>
      </c>
      <c r="D2831">
        <v>0.94199217935102897</v>
      </c>
      <c r="E2831">
        <v>0.76576032602328503</v>
      </c>
      <c r="F2831">
        <v>0.48629996987982799</v>
      </c>
      <c r="G2831">
        <v>0.25034645488475699</v>
      </c>
      <c r="H2831">
        <v>0.13552391384495699</v>
      </c>
      <c r="I2831">
        <v>0.10557267832065501</v>
      </c>
      <c r="J2831">
        <v>0.15164134689285599</v>
      </c>
      <c r="K2831">
        <v>0.15700780327948799</v>
      </c>
      <c r="L2831">
        <v>1091.6146560158199</v>
      </c>
      <c r="M2831">
        <v>20.943719882606398</v>
      </c>
      <c r="N2831">
        <v>52.820385320490999</v>
      </c>
      <c r="O2831">
        <v>51.653147973165197</v>
      </c>
      <c r="P2831">
        <v>-8.9099858886309904E-2</v>
      </c>
      <c r="Q2831">
        <v>0.121042056485895</v>
      </c>
      <c r="R2831">
        <v>0.99696467600930905</v>
      </c>
      <c r="S2831" t="s">
        <v>9501</v>
      </c>
      <c r="T2831" t="s">
        <v>13338</v>
      </c>
      <c r="U2831" t="s">
        <v>13338</v>
      </c>
      <c r="V2831" t="s">
        <v>13338</v>
      </c>
      <c r="W2831" t="s">
        <v>16126</v>
      </c>
      <c r="X2831">
        <v>3</v>
      </c>
      <c r="Y2831" t="s">
        <v>22681</v>
      </c>
      <c r="Z2831" t="s">
        <v>29246</v>
      </c>
      <c r="AA2831">
        <v>0.48736947802845498</v>
      </c>
      <c r="AB2831" t="str">
        <f>HYPERLINK("Melting_Curves/meltCurve_P55273_CDKN2D.pdf", "Melting_Curves/meltCurve_P55273_CDKN2D.pdf")</f>
        <v>Melting_Curves/meltCurve_P55273_CDKN2D.pdf</v>
      </c>
    </row>
    <row r="2832" spans="1:28" x14ac:dyDescent="0.25">
      <c r="A2832" t="s">
        <v>2836</v>
      </c>
      <c r="B2832">
        <v>0.99193492352474899</v>
      </c>
      <c r="C2832">
        <v>1.0726449950332</v>
      </c>
      <c r="D2832">
        <v>0.97294245516143896</v>
      </c>
      <c r="E2832">
        <v>0.81802027655940901</v>
      </c>
      <c r="F2832">
        <v>0.67717815208523202</v>
      </c>
      <c r="G2832">
        <v>0.385151844938593</v>
      </c>
      <c r="H2832">
        <v>0.31178385136676001</v>
      </c>
      <c r="I2832">
        <v>0.38470065952360999</v>
      </c>
      <c r="J2832">
        <v>0.406810008539431</v>
      </c>
      <c r="K2832">
        <v>0.39511033817970098</v>
      </c>
      <c r="L2832">
        <v>1300.31263009381</v>
      </c>
      <c r="M2832">
        <v>24.881813184212199</v>
      </c>
      <c r="N2832">
        <v>55.128680236132801</v>
      </c>
      <c r="O2832">
        <v>51.925506138091997</v>
      </c>
      <c r="P2832">
        <v>-7.6305618097541397E-2</v>
      </c>
      <c r="Q2832">
        <v>0.36304424103428101</v>
      </c>
      <c r="R2832">
        <v>0.971333156216312</v>
      </c>
      <c r="S2832" t="s">
        <v>9502</v>
      </c>
      <c r="T2832" t="s">
        <v>13338</v>
      </c>
      <c r="U2832" t="s">
        <v>13338</v>
      </c>
      <c r="V2832" t="s">
        <v>13338</v>
      </c>
      <c r="W2832" t="s">
        <v>16127</v>
      </c>
      <c r="X2832">
        <v>3</v>
      </c>
      <c r="Y2832" t="s">
        <v>22682</v>
      </c>
      <c r="Z2832" t="s">
        <v>29247</v>
      </c>
      <c r="AA2832">
        <v>0.62921966562939124</v>
      </c>
      <c r="AB2832" t="str">
        <f>HYPERLINK("Melting_Curves/meltCurve_P55283_CDH4.pdf", "Melting_Curves/meltCurve_P55283_CDH4.pdf")</f>
        <v>Melting_Curves/meltCurve_P55283_CDH4.pdf</v>
      </c>
    </row>
    <row r="2833" spans="1:28" x14ac:dyDescent="0.25">
      <c r="A2833" t="s">
        <v>2837</v>
      </c>
      <c r="B2833">
        <v>0.99193492352474899</v>
      </c>
      <c r="C2833">
        <v>0.89840362386463701</v>
      </c>
      <c r="D2833">
        <v>0.83986805207913295</v>
      </c>
      <c r="E2833">
        <v>0.82246814410809299</v>
      </c>
      <c r="F2833">
        <v>0.70039022161833497</v>
      </c>
      <c r="G2833">
        <v>0.60737706432976601</v>
      </c>
      <c r="H2833">
        <v>0.56700731555066797</v>
      </c>
      <c r="I2833">
        <v>0.71399434520987803</v>
      </c>
      <c r="J2833">
        <v>0.860000485476904</v>
      </c>
      <c r="K2833">
        <v>1.07347128421806</v>
      </c>
      <c r="L2833">
        <v>1023.32573742665</v>
      </c>
      <c r="M2833">
        <v>23.214238738756301</v>
      </c>
      <c r="O2833">
        <v>43.758617152545</v>
      </c>
      <c r="P2833">
        <v>-3.1740261259505097E-2</v>
      </c>
      <c r="Q2833">
        <v>0.76068402659575196</v>
      </c>
      <c r="R2833">
        <v>0.24165908272105099</v>
      </c>
      <c r="S2833" t="s">
        <v>9503</v>
      </c>
      <c r="T2833" t="s">
        <v>13338</v>
      </c>
      <c r="U2833" t="s">
        <v>13338</v>
      </c>
      <c r="V2833" t="s">
        <v>13338</v>
      </c>
      <c r="W2833" t="s">
        <v>16128</v>
      </c>
      <c r="X2833">
        <v>16</v>
      </c>
      <c r="Y2833" t="s">
        <v>20566</v>
      </c>
      <c r="Z2833" t="s">
        <v>29248</v>
      </c>
      <c r="AA2833">
        <v>0.7964783040984611</v>
      </c>
      <c r="AB2833" t="str">
        <f>HYPERLINK("Melting_Curves/meltCurve_P55327_2_TPD52.pdf", "Melting_Curves/meltCurve_P55327_2_TPD52.pdf")</f>
        <v>Melting_Curves/meltCurve_P55327_2_TPD52.pdf</v>
      </c>
    </row>
    <row r="2834" spans="1:28" x14ac:dyDescent="0.25">
      <c r="A2834" t="s">
        <v>2838</v>
      </c>
      <c r="B2834">
        <v>0.99193492352474899</v>
      </c>
      <c r="C2834">
        <v>0.736503528848371</v>
      </c>
      <c r="D2834">
        <v>0.74717780880012397</v>
      </c>
      <c r="E2834">
        <v>0.43402395492525703</v>
      </c>
      <c r="F2834">
        <v>0.28960355385874997</v>
      </c>
      <c r="G2834">
        <v>0.16978366934661501</v>
      </c>
      <c r="H2834">
        <v>7.4548615228491794E-2</v>
      </c>
      <c r="I2834">
        <v>8.6816973734775205E-2</v>
      </c>
      <c r="J2834">
        <v>7.4340283400774504E-2</v>
      </c>
      <c r="K2834">
        <v>9.7063522866132596E-2</v>
      </c>
      <c r="L2834">
        <v>610.32651968600499</v>
      </c>
      <c r="M2834">
        <v>12.604019852293799</v>
      </c>
      <c r="N2834">
        <v>48.792993042669302</v>
      </c>
      <c r="O2834">
        <v>47.252733370253601</v>
      </c>
      <c r="P2834">
        <v>-6.3659081734527306E-2</v>
      </c>
      <c r="Q2834">
        <v>4.5553501503045997E-2</v>
      </c>
      <c r="R2834">
        <v>0.97850653841037205</v>
      </c>
      <c r="S2834" t="s">
        <v>9504</v>
      </c>
      <c r="T2834" t="s">
        <v>13338</v>
      </c>
      <c r="U2834" t="s">
        <v>13338</v>
      </c>
      <c r="V2834" t="s">
        <v>13338</v>
      </c>
      <c r="W2834" t="s">
        <v>16129</v>
      </c>
      <c r="X2834">
        <v>11</v>
      </c>
      <c r="Y2834" t="s">
        <v>22683</v>
      </c>
      <c r="Z2834" t="s">
        <v>29249</v>
      </c>
      <c r="AA2834">
        <v>0.34687366742236242</v>
      </c>
      <c r="AB2834" t="str">
        <f>HYPERLINK("Melting_Curves/meltCurve_P55735_SEC13.pdf", "Melting_Curves/meltCurve_P55735_SEC13.pdf")</f>
        <v>Melting_Curves/meltCurve_P55735_SEC13.pdf</v>
      </c>
    </row>
    <row r="2835" spans="1:28" x14ac:dyDescent="0.25">
      <c r="A2835" t="s">
        <v>2839</v>
      </c>
      <c r="B2835">
        <v>0.99193492352474899</v>
      </c>
      <c r="C2835">
        <v>0.85244489153868297</v>
      </c>
      <c r="D2835">
        <v>0.88470035976885297</v>
      </c>
      <c r="E2835">
        <v>0.65147937081929697</v>
      </c>
      <c r="F2835">
        <v>0.59552400185822496</v>
      </c>
      <c r="G2835">
        <v>0.39695603047643702</v>
      </c>
      <c r="H2835">
        <v>0.276923120233874</v>
      </c>
      <c r="I2835">
        <v>0.28698009022867299</v>
      </c>
      <c r="J2835">
        <v>0.35497613907367898</v>
      </c>
      <c r="K2835">
        <v>0.419029671119242</v>
      </c>
      <c r="L2835">
        <v>696.15929535785097</v>
      </c>
      <c r="M2835">
        <v>13.912553439460201</v>
      </c>
      <c r="N2835">
        <v>53.820925891526997</v>
      </c>
      <c r="O2835">
        <v>49.038406284066703</v>
      </c>
      <c r="P2835">
        <v>-4.8808882503362898E-2</v>
      </c>
      <c r="Q2835">
        <v>0.31193499952769799</v>
      </c>
      <c r="R2835">
        <v>0.94184968050672702</v>
      </c>
      <c r="S2835" t="s">
        <v>9505</v>
      </c>
      <c r="T2835" t="s">
        <v>13338</v>
      </c>
      <c r="U2835" t="s">
        <v>13338</v>
      </c>
      <c r="V2835" t="s">
        <v>13338</v>
      </c>
      <c r="W2835" t="s">
        <v>16130</v>
      </c>
      <c r="X2835">
        <v>6</v>
      </c>
      <c r="Y2835" t="s">
        <v>22684</v>
      </c>
      <c r="Z2835" t="s">
        <v>29250</v>
      </c>
      <c r="AA2835">
        <v>0.56083933788893425</v>
      </c>
      <c r="AB2835" t="str">
        <f>HYPERLINK("Melting_Curves/meltCurve_P55789_GFER.pdf", "Melting_Curves/meltCurve_P55789_GFER.pdf")</f>
        <v>Melting_Curves/meltCurve_P55789_GFER.pdf</v>
      </c>
    </row>
    <row r="2836" spans="1:28" x14ac:dyDescent="0.25">
      <c r="A2836" t="s">
        <v>2840</v>
      </c>
      <c r="B2836">
        <v>0.99193492352474899</v>
      </c>
      <c r="C2836">
        <v>0.29718058518822799</v>
      </c>
      <c r="D2836">
        <v>0.19688027870049901</v>
      </c>
      <c r="E2836">
        <v>0.10733675801846</v>
      </c>
      <c r="F2836">
        <v>9.5707491930838898E-2</v>
      </c>
      <c r="G2836">
        <v>5.2395526348083497E-2</v>
      </c>
      <c r="H2836">
        <v>5.8118329757913603E-2</v>
      </c>
      <c r="I2836">
        <v>6.8556395679313403E-2</v>
      </c>
      <c r="J2836">
        <v>9.2049892155523005E-2</v>
      </c>
      <c r="K2836">
        <v>0.204914455724411</v>
      </c>
      <c r="L2836">
        <v>3107.5288363457898</v>
      </c>
      <c r="M2836">
        <v>73.741014820123397</v>
      </c>
      <c r="N2836">
        <v>42.282217969591798</v>
      </c>
      <c r="O2836">
        <v>42.110158037058298</v>
      </c>
      <c r="P2836">
        <v>-0.39003967055842098</v>
      </c>
      <c r="Q2836">
        <v>0.10906412239994601</v>
      </c>
      <c r="R2836">
        <v>0.96605850075948096</v>
      </c>
      <c r="S2836" t="s">
        <v>9506</v>
      </c>
      <c r="T2836" t="s">
        <v>13338</v>
      </c>
      <c r="U2836" t="s">
        <v>13338</v>
      </c>
      <c r="V2836" t="s">
        <v>13338</v>
      </c>
      <c r="W2836" t="s">
        <v>16131</v>
      </c>
      <c r="X2836">
        <v>10</v>
      </c>
      <c r="Y2836" t="s">
        <v>22685</v>
      </c>
      <c r="Z2836" t="s">
        <v>29251</v>
      </c>
      <c r="AA2836">
        <v>0.17369500770963431</v>
      </c>
      <c r="AB2836" t="str">
        <f>HYPERLINK("Melting_Curves/meltCurve_P55795_HNRNPH2.pdf", "Melting_Curves/meltCurve_P55795_HNRNPH2.pdf")</f>
        <v>Melting_Curves/meltCurve_P55795_HNRNPH2.pdf</v>
      </c>
    </row>
    <row r="2837" spans="1:28" x14ac:dyDescent="0.25">
      <c r="A2837" t="s">
        <v>2841</v>
      </c>
      <c r="B2837">
        <v>0.99193492352474899</v>
      </c>
      <c r="C2837">
        <v>1.0167838434998799</v>
      </c>
      <c r="D2837">
        <v>0.972670960473071</v>
      </c>
      <c r="E2837">
        <v>0.81081427038533804</v>
      </c>
      <c r="F2837">
        <v>0.44632865098950703</v>
      </c>
      <c r="G2837">
        <v>0.10693765862445</v>
      </c>
      <c r="H2837">
        <v>5.9368903272354598E-2</v>
      </c>
      <c r="I2837">
        <v>6.6704660884870606E-2</v>
      </c>
      <c r="J2837">
        <v>7.1870250318672405E-2</v>
      </c>
      <c r="K2837">
        <v>6.5360185747852406E-2</v>
      </c>
      <c r="L2837">
        <v>1467.0647974645301</v>
      </c>
      <c r="M2837">
        <v>28.0472833997826</v>
      </c>
      <c r="N2837">
        <v>52.519706189146298</v>
      </c>
      <c r="O2837">
        <v>52.043099911716801</v>
      </c>
      <c r="P2837">
        <v>-0.12749372515864299</v>
      </c>
      <c r="Q2837">
        <v>5.37247826274143E-2</v>
      </c>
      <c r="R2837">
        <v>0.99773613866940802</v>
      </c>
      <c r="S2837" t="s">
        <v>9507</v>
      </c>
      <c r="T2837" t="s">
        <v>13338</v>
      </c>
      <c r="U2837" t="s">
        <v>13338</v>
      </c>
      <c r="V2837" t="s">
        <v>13338</v>
      </c>
      <c r="W2837" t="s">
        <v>16132</v>
      </c>
      <c r="X2837">
        <v>20</v>
      </c>
      <c r="Y2837" t="s">
        <v>22686</v>
      </c>
      <c r="Z2837" t="s">
        <v>29252</v>
      </c>
      <c r="AA2837">
        <v>0.44884796668473759</v>
      </c>
      <c r="AB2837" t="str">
        <f>HYPERLINK("Melting_Curves/meltCurve_P55809_OXCT1.pdf", "Melting_Curves/meltCurve_P55809_OXCT1.pdf")</f>
        <v>Melting_Curves/meltCurve_P55809_OXCT1.pdf</v>
      </c>
    </row>
    <row r="2838" spans="1:28" x14ac:dyDescent="0.25">
      <c r="A2838" t="s">
        <v>2842</v>
      </c>
      <c r="B2838">
        <v>0.99193492352474899</v>
      </c>
      <c r="C2838">
        <v>0.70025167971697799</v>
      </c>
      <c r="D2838">
        <v>0.76240400100950301</v>
      </c>
      <c r="E2838">
        <v>0.24356269906927</v>
      </c>
      <c r="F2838">
        <v>0.15334429099160901</v>
      </c>
      <c r="G2838">
        <v>9.3198515481903998E-2</v>
      </c>
      <c r="H2838">
        <v>6.1899330259989803E-2</v>
      </c>
      <c r="I2838">
        <v>7.6512536554569799E-2</v>
      </c>
      <c r="J2838">
        <v>0.10372822662091501</v>
      </c>
      <c r="K2838">
        <v>8.9848995507707904E-2</v>
      </c>
      <c r="L2838">
        <v>856.27944073886999</v>
      </c>
      <c r="M2838">
        <v>18.2571371530466</v>
      </c>
      <c r="N2838">
        <v>47.273238880245003</v>
      </c>
      <c r="O2838">
        <v>46.3492529869918</v>
      </c>
      <c r="P2838">
        <v>-9.1888300970964995E-2</v>
      </c>
      <c r="Q2838">
        <v>6.6939055702187195E-2</v>
      </c>
      <c r="R2838">
        <v>0.95055922680190696</v>
      </c>
      <c r="S2838" t="s">
        <v>9508</v>
      </c>
      <c r="T2838" t="s">
        <v>13338</v>
      </c>
      <c r="U2838" t="s">
        <v>13338</v>
      </c>
      <c r="V2838" t="s">
        <v>13338</v>
      </c>
      <c r="W2838" t="s">
        <v>16133</v>
      </c>
      <c r="X2838">
        <v>32</v>
      </c>
      <c r="Y2838" t="s">
        <v>22687</v>
      </c>
      <c r="Z2838" t="s">
        <v>29253</v>
      </c>
      <c r="AA2838">
        <v>0.2983485382295053</v>
      </c>
      <c r="AB2838" t="str">
        <f>HYPERLINK("Melting_Curves/meltCurve_P55884_EIF3B.pdf", "Melting_Curves/meltCurve_P55884_EIF3B.pdf")</f>
        <v>Melting_Curves/meltCurve_P55884_EIF3B.pdf</v>
      </c>
    </row>
    <row r="2839" spans="1:28" x14ac:dyDescent="0.25">
      <c r="A2839" t="s">
        <v>2843</v>
      </c>
      <c r="B2839">
        <v>0.99193492352474899</v>
      </c>
      <c r="C2839">
        <v>0.93589819143523201</v>
      </c>
      <c r="D2839">
        <v>0.78685911744958403</v>
      </c>
      <c r="E2839">
        <v>0.73795377006066798</v>
      </c>
      <c r="F2839">
        <v>0.54491225772964103</v>
      </c>
      <c r="G2839">
        <v>0.41905495695994299</v>
      </c>
      <c r="H2839">
        <v>0.206143627572519</v>
      </c>
      <c r="I2839">
        <v>0.247882464571446</v>
      </c>
      <c r="J2839">
        <v>0.30184423133079202</v>
      </c>
      <c r="K2839">
        <v>7.2434058713348098E-2</v>
      </c>
      <c r="L2839">
        <v>523.90255207013104</v>
      </c>
      <c r="M2839">
        <v>9.8146650078280704</v>
      </c>
      <c r="N2839">
        <v>54.253605513199297</v>
      </c>
      <c r="O2839">
        <v>51.305090874158601</v>
      </c>
      <c r="P2839">
        <v>-4.43509153360018E-2</v>
      </c>
      <c r="Q2839">
        <v>7.3125484264386795E-2</v>
      </c>
      <c r="R2839">
        <v>0.96457424087260701</v>
      </c>
      <c r="S2839" t="s">
        <v>9509</v>
      </c>
      <c r="T2839" t="s">
        <v>13338</v>
      </c>
      <c r="U2839" t="s">
        <v>13338</v>
      </c>
      <c r="V2839" t="s">
        <v>13338</v>
      </c>
      <c r="W2839" t="s">
        <v>16134</v>
      </c>
      <c r="X2839">
        <v>1</v>
      </c>
      <c r="Y2839" t="s">
        <v>22688</v>
      </c>
      <c r="Z2839" t="s">
        <v>29254</v>
      </c>
      <c r="AA2839">
        <v>0.51729423102961525</v>
      </c>
      <c r="AB2839" t="str">
        <f>HYPERLINK("Melting_Curves/meltCurve_P55899_FCGRT.pdf", "Melting_Curves/meltCurve_P55899_FCGRT.pdf")</f>
        <v>Melting_Curves/meltCurve_P55899_FCGRT.pdf</v>
      </c>
    </row>
    <row r="2840" spans="1:28" x14ac:dyDescent="0.25">
      <c r="A2840" t="s">
        <v>2844</v>
      </c>
      <c r="B2840">
        <v>0.99193492352474899</v>
      </c>
      <c r="C2840">
        <v>0.95056158859364204</v>
      </c>
      <c r="D2840">
        <v>0.98836571708131504</v>
      </c>
      <c r="E2840">
        <v>0.75799351909697499</v>
      </c>
      <c r="F2840">
        <v>0.70997938754244405</v>
      </c>
      <c r="G2840">
        <v>0.43046959049126399</v>
      </c>
      <c r="H2840">
        <v>0.38233245061887799</v>
      </c>
      <c r="I2840">
        <v>0.343567917820296</v>
      </c>
      <c r="J2840">
        <v>0.40713542054702601</v>
      </c>
      <c r="K2840">
        <v>0.40872914914650299</v>
      </c>
      <c r="L2840">
        <v>961.399669578454</v>
      </c>
      <c r="M2840">
        <v>18.4307424951207</v>
      </c>
      <c r="N2840">
        <v>56.137346406233299</v>
      </c>
      <c r="O2840">
        <v>51.560367117174899</v>
      </c>
      <c r="P2840">
        <v>-5.6802843474443303E-2</v>
      </c>
      <c r="Q2840">
        <v>0.36440007467176</v>
      </c>
      <c r="R2840">
        <v>0.96765587020688804</v>
      </c>
      <c r="S2840" t="s">
        <v>9510</v>
      </c>
      <c r="T2840" t="s">
        <v>13338</v>
      </c>
      <c r="U2840" t="s">
        <v>13338</v>
      </c>
      <c r="V2840" t="s">
        <v>13338</v>
      </c>
      <c r="W2840" t="s">
        <v>16135</v>
      </c>
      <c r="X2840">
        <v>10</v>
      </c>
      <c r="Y2840" t="s">
        <v>22689</v>
      </c>
      <c r="Z2840" t="s">
        <v>29255</v>
      </c>
      <c r="AA2840">
        <v>0.63222671169741507</v>
      </c>
      <c r="AB2840" t="str">
        <f>HYPERLINK("Melting_Curves/meltCurve_P55957_BID.pdf", "Melting_Curves/meltCurve_P55957_BID.pdf")</f>
        <v>Melting_Curves/meltCurve_P55957_BID.pdf</v>
      </c>
    </row>
    <row r="2841" spans="1:28" x14ac:dyDescent="0.25">
      <c r="A2841" t="s">
        <v>2845</v>
      </c>
      <c r="B2841">
        <v>0.99193492352474899</v>
      </c>
      <c r="C2841">
        <v>0.93151772209942896</v>
      </c>
      <c r="D2841">
        <v>1.1168609662065301</v>
      </c>
      <c r="E2841">
        <v>0.76880015213712605</v>
      </c>
      <c r="F2841">
        <v>0.82726532219259796</v>
      </c>
      <c r="G2841">
        <v>0.594324511163561</v>
      </c>
      <c r="H2841">
        <v>0.44657686586064699</v>
      </c>
      <c r="I2841">
        <v>0.32189096194497802</v>
      </c>
      <c r="J2841">
        <v>0.29942981970629901</v>
      </c>
      <c r="K2841">
        <v>0.43986476254901102</v>
      </c>
      <c r="L2841">
        <v>918.13374396503104</v>
      </c>
      <c r="M2841">
        <v>16.631886292138301</v>
      </c>
      <c r="N2841">
        <v>58.874089037957503</v>
      </c>
      <c r="O2841">
        <v>54.423689330945301</v>
      </c>
      <c r="P2841">
        <v>-5.17458183239074E-2</v>
      </c>
      <c r="Q2841">
        <v>0.32274461428604201</v>
      </c>
      <c r="R2841">
        <v>0.91645720843053402</v>
      </c>
      <c r="S2841" t="s">
        <v>9511</v>
      </c>
      <c r="T2841" t="s">
        <v>13338</v>
      </c>
      <c r="U2841" t="s">
        <v>13338</v>
      </c>
      <c r="V2841" t="s">
        <v>13338</v>
      </c>
      <c r="W2841" t="s">
        <v>16136</v>
      </c>
      <c r="X2841">
        <v>3</v>
      </c>
      <c r="Y2841" t="s">
        <v>22690</v>
      </c>
      <c r="Z2841" t="s">
        <v>29256</v>
      </c>
      <c r="AA2841">
        <v>0.67743327734807834</v>
      </c>
      <c r="AB2841" t="str">
        <f>HYPERLINK("Melting_Curves/meltCurve_P56134_3_ATP5J2.pdf", "Melting_Curves/meltCurve_P56134_3_ATP5J2.pdf")</f>
        <v>Melting_Curves/meltCurve_P56134_3_ATP5J2.pdf</v>
      </c>
    </row>
    <row r="2842" spans="1:28" x14ac:dyDescent="0.25">
      <c r="A2842" t="s">
        <v>2846</v>
      </c>
      <c r="B2842">
        <v>0.99193492352474899</v>
      </c>
      <c r="C2842">
        <v>0.90196914747586598</v>
      </c>
      <c r="D2842">
        <v>0.89682251605949803</v>
      </c>
      <c r="E2842">
        <v>0.74591673617050203</v>
      </c>
      <c r="F2842">
        <v>0.659364329984235</v>
      </c>
      <c r="G2842">
        <v>0.49958637628686797</v>
      </c>
      <c r="H2842">
        <v>0.34534000323416703</v>
      </c>
      <c r="I2842">
        <v>0.35221698697467002</v>
      </c>
      <c r="J2842">
        <v>0.33995045438604099</v>
      </c>
      <c r="K2842">
        <v>0.34573996568243598</v>
      </c>
      <c r="L2842">
        <v>606.41070596973304</v>
      </c>
      <c r="M2842">
        <v>11.5200410324555</v>
      </c>
      <c r="N2842">
        <v>56.604821201612197</v>
      </c>
      <c r="O2842">
        <v>51.128406977433301</v>
      </c>
      <c r="P2842">
        <v>-4.0743037641266203E-2</v>
      </c>
      <c r="Q2842">
        <v>0.27689899763138198</v>
      </c>
      <c r="R2842">
        <v>0.98540163904324896</v>
      </c>
      <c r="S2842" t="s">
        <v>9512</v>
      </c>
      <c r="T2842" t="s">
        <v>13338</v>
      </c>
      <c r="U2842" t="s">
        <v>13338</v>
      </c>
      <c r="V2842" t="s">
        <v>13338</v>
      </c>
      <c r="W2842" t="s">
        <v>16137</v>
      </c>
      <c r="X2842">
        <v>7</v>
      </c>
      <c r="Y2842" t="s">
        <v>22691</v>
      </c>
      <c r="Z2842" t="s">
        <v>29257</v>
      </c>
      <c r="AA2842">
        <v>0.60373626334691977</v>
      </c>
      <c r="AB2842" t="str">
        <f>HYPERLINK("Melting_Curves/meltCurve_P56159_2_GFRA1.pdf", "Melting_Curves/meltCurve_P56159_2_GFRA1.pdf")</f>
        <v>Melting_Curves/meltCurve_P56159_2_GFRA1.pdf</v>
      </c>
    </row>
    <row r="2843" spans="1:28" x14ac:dyDescent="0.25">
      <c r="A2843" t="s">
        <v>2847</v>
      </c>
      <c r="B2843">
        <v>0.99193492352474899</v>
      </c>
      <c r="C2843">
        <v>0.64898867255141401</v>
      </c>
      <c r="D2843">
        <v>0.89687784893182498</v>
      </c>
      <c r="E2843">
        <v>0.62047536637517298</v>
      </c>
      <c r="F2843">
        <v>0.51258415619707998</v>
      </c>
      <c r="G2843">
        <v>0.247973247406022</v>
      </c>
      <c r="H2843">
        <v>0.25262404938628802</v>
      </c>
      <c r="I2843">
        <v>0.29677750544013398</v>
      </c>
      <c r="J2843">
        <v>0.53003555072762898</v>
      </c>
      <c r="K2843">
        <v>0.70287574470035297</v>
      </c>
      <c r="L2843">
        <v>678.82484144720695</v>
      </c>
      <c r="M2843">
        <v>14.572480582147801</v>
      </c>
      <c r="N2843">
        <v>52.728457018323098</v>
      </c>
      <c r="O2843">
        <v>45.731799927957702</v>
      </c>
      <c r="P2843">
        <v>-4.7124111724732298E-2</v>
      </c>
      <c r="Q2843">
        <v>0.40852162623703497</v>
      </c>
      <c r="R2843">
        <v>0.55943987879240598</v>
      </c>
      <c r="S2843" t="s">
        <v>9513</v>
      </c>
      <c r="T2843" t="s">
        <v>13338</v>
      </c>
      <c r="U2843" t="s">
        <v>13338</v>
      </c>
      <c r="V2843" t="s">
        <v>13338</v>
      </c>
      <c r="W2843" t="s">
        <v>16138</v>
      </c>
      <c r="X2843">
        <v>1</v>
      </c>
      <c r="Y2843" t="s">
        <v>22692</v>
      </c>
      <c r="Z2843" t="s">
        <v>29258</v>
      </c>
      <c r="AA2843">
        <v>0.55584431880982044</v>
      </c>
      <c r="AB2843" t="str">
        <f>HYPERLINK("Melting_Curves/meltCurve_P56181_NDUFV3.pdf", "Melting_Curves/meltCurve_P56181_NDUFV3.pdf")</f>
        <v>Melting_Curves/meltCurve_P56181_NDUFV3.pdf</v>
      </c>
    </row>
    <row r="2844" spans="1:28" x14ac:dyDescent="0.25">
      <c r="A2844" t="s">
        <v>2848</v>
      </c>
      <c r="B2844">
        <v>0.99193492352474899</v>
      </c>
      <c r="C2844">
        <v>0.83029669580052801</v>
      </c>
      <c r="D2844">
        <v>0.91670462409565201</v>
      </c>
      <c r="E2844">
        <v>0.73233978911383402</v>
      </c>
      <c r="F2844">
        <v>0.72268099701671495</v>
      </c>
      <c r="G2844">
        <v>0.53505923795181698</v>
      </c>
      <c r="H2844">
        <v>0.49909798796955401</v>
      </c>
      <c r="I2844">
        <v>0.64766971872866697</v>
      </c>
      <c r="J2844">
        <v>0.790235574258079</v>
      </c>
      <c r="K2844">
        <v>1.04415181427552</v>
      </c>
      <c r="L2844">
        <v>843.88286581278305</v>
      </c>
      <c r="M2844">
        <v>18.7751162297325</v>
      </c>
      <c r="O2844">
        <v>44.446290572240599</v>
      </c>
      <c r="P2844">
        <v>-3.1009922364841399E-2</v>
      </c>
      <c r="Q2844">
        <v>0.70637338956391105</v>
      </c>
      <c r="R2844">
        <v>0.27214539504143498</v>
      </c>
      <c r="S2844" t="s">
        <v>9514</v>
      </c>
      <c r="T2844" t="s">
        <v>13338</v>
      </c>
      <c r="U2844" t="s">
        <v>13338</v>
      </c>
      <c r="V2844" t="s">
        <v>13338</v>
      </c>
      <c r="W2844" t="s">
        <v>16139</v>
      </c>
      <c r="X2844">
        <v>10</v>
      </c>
      <c r="Y2844" t="s">
        <v>22692</v>
      </c>
      <c r="Z2844" t="s">
        <v>29259</v>
      </c>
      <c r="AA2844">
        <v>0.76057911370479014</v>
      </c>
      <c r="AB2844" t="str">
        <f>HYPERLINK("Melting_Curves/meltCurve_P56181_2_NDUFV3.pdf", "Melting_Curves/meltCurve_P56181_2_NDUFV3.pdf")</f>
        <v>Melting_Curves/meltCurve_P56181_2_NDUFV3.pdf</v>
      </c>
    </row>
    <row r="2845" spans="1:28" x14ac:dyDescent="0.25">
      <c r="A2845" t="s">
        <v>2849</v>
      </c>
      <c r="B2845">
        <v>0.99193492352474899</v>
      </c>
      <c r="C2845">
        <v>0.280624988038642</v>
      </c>
      <c r="D2845">
        <v>0.53606314173661096</v>
      </c>
      <c r="E2845">
        <v>0.145629753572627</v>
      </c>
      <c r="F2845">
        <v>0.17146257479270799</v>
      </c>
      <c r="G2845">
        <v>8.3809159534407707E-2</v>
      </c>
      <c r="H2845">
        <v>5.3381407392023003E-2</v>
      </c>
      <c r="I2845">
        <v>5.9458150669314903E-2</v>
      </c>
      <c r="J2845">
        <v>8.4108005377171502E-2</v>
      </c>
      <c r="K2845">
        <v>3.6394397980949497E-2</v>
      </c>
      <c r="L2845">
        <v>653.34497512913003</v>
      </c>
      <c r="M2845">
        <v>15.0683043996466</v>
      </c>
      <c r="N2845">
        <v>43.763606151009903</v>
      </c>
      <c r="O2845">
        <v>42.616733850591899</v>
      </c>
      <c r="P2845">
        <v>-8.2653722047724795E-2</v>
      </c>
      <c r="Q2845">
        <v>6.50355561690735E-2</v>
      </c>
      <c r="R2845">
        <v>0.79778568931110005</v>
      </c>
      <c r="S2845" t="s">
        <v>9515</v>
      </c>
      <c r="T2845" t="s">
        <v>13338</v>
      </c>
      <c r="U2845" t="s">
        <v>13338</v>
      </c>
      <c r="V2845" t="s">
        <v>13338</v>
      </c>
      <c r="W2845" t="s">
        <v>16140</v>
      </c>
      <c r="X2845">
        <v>3</v>
      </c>
      <c r="Y2845" t="s">
        <v>22693</v>
      </c>
      <c r="Z2845" t="s">
        <v>29260</v>
      </c>
      <c r="AA2845">
        <v>0.2065791454151408</v>
      </c>
      <c r="AB2845" t="str">
        <f>HYPERLINK("Melting_Curves/meltCurve_P56182_RRP1.pdf", "Melting_Curves/meltCurve_P56182_RRP1.pdf")</f>
        <v>Melting_Curves/meltCurve_P56182_RRP1.pdf</v>
      </c>
    </row>
    <row r="2846" spans="1:28" x14ac:dyDescent="0.25">
      <c r="A2846" t="s">
        <v>2850</v>
      </c>
      <c r="B2846">
        <v>0.99193492352474899</v>
      </c>
      <c r="C2846">
        <v>0.78630400519675703</v>
      </c>
      <c r="D2846">
        <v>0.779960645912401</v>
      </c>
      <c r="E2846">
        <v>0.343931029383297</v>
      </c>
      <c r="F2846">
        <v>0.18625239352651499</v>
      </c>
      <c r="G2846">
        <v>9.5931495298277394E-2</v>
      </c>
      <c r="H2846">
        <v>7.1344108053952499E-2</v>
      </c>
      <c r="I2846">
        <v>5.6427193105466497E-2</v>
      </c>
      <c r="J2846">
        <v>7.1669589374252496E-2</v>
      </c>
      <c r="K2846">
        <v>5.8686656037223298E-2</v>
      </c>
      <c r="L2846">
        <v>859.00863191764495</v>
      </c>
      <c r="M2846">
        <v>17.940541677266999</v>
      </c>
      <c r="N2846">
        <v>48.167952315987002</v>
      </c>
      <c r="O2846">
        <v>47.297854412252001</v>
      </c>
      <c r="P2846">
        <v>-9.0023634477412906E-2</v>
      </c>
      <c r="Q2846">
        <v>5.0706026109381998E-2</v>
      </c>
      <c r="R2846">
        <v>0.98198877746781399</v>
      </c>
      <c r="S2846" t="s">
        <v>9516</v>
      </c>
      <c r="T2846" t="s">
        <v>13338</v>
      </c>
      <c r="U2846" t="s">
        <v>13338</v>
      </c>
      <c r="V2846" t="s">
        <v>13338</v>
      </c>
      <c r="W2846" t="s">
        <v>16141</v>
      </c>
      <c r="X2846">
        <v>25</v>
      </c>
      <c r="Y2846" t="s">
        <v>22694</v>
      </c>
      <c r="Z2846" t="s">
        <v>29261</v>
      </c>
      <c r="AA2846">
        <v>0.31710475679505051</v>
      </c>
      <c r="AB2846" t="str">
        <f>HYPERLINK("Melting_Curves/meltCurve_P56192_MARS.pdf", "Melting_Curves/meltCurve_P56192_MARS.pdf")</f>
        <v>Melting_Curves/meltCurve_P56192_MARS.pdf</v>
      </c>
    </row>
    <row r="2847" spans="1:28" x14ac:dyDescent="0.25">
      <c r="A2847" t="s">
        <v>2851</v>
      </c>
      <c r="B2847">
        <v>0.99193492352474899</v>
      </c>
      <c r="C2847">
        <v>0.78572193974336901</v>
      </c>
      <c r="D2847">
        <v>0.67929696565852205</v>
      </c>
      <c r="E2847">
        <v>0.411303248126351</v>
      </c>
      <c r="F2847">
        <v>0.306627809126155</v>
      </c>
      <c r="G2847">
        <v>0.27991350092130401</v>
      </c>
      <c r="H2847">
        <v>0.22063750583464201</v>
      </c>
      <c r="I2847">
        <v>0.33566960111070998</v>
      </c>
      <c r="J2847">
        <v>0.21400178581281201</v>
      </c>
      <c r="K2847">
        <v>0.35022081415130202</v>
      </c>
      <c r="L2847">
        <v>846.68731171479499</v>
      </c>
      <c r="M2847">
        <v>18.417971446759001</v>
      </c>
      <c r="N2847">
        <v>47.998740520570401</v>
      </c>
      <c r="O2847">
        <v>45.4390604730172</v>
      </c>
      <c r="P2847">
        <v>-7.3938074004360796E-2</v>
      </c>
      <c r="Q2847">
        <v>0.27038107294594799</v>
      </c>
      <c r="R2847">
        <v>0.96202657425965699</v>
      </c>
      <c r="S2847" t="s">
        <v>9517</v>
      </c>
      <c r="T2847" t="s">
        <v>13338</v>
      </c>
      <c r="U2847" t="s">
        <v>13338</v>
      </c>
      <c r="V2847" t="s">
        <v>13338</v>
      </c>
      <c r="W2847" t="s">
        <v>16142</v>
      </c>
      <c r="X2847">
        <v>4</v>
      </c>
      <c r="Y2847" t="s">
        <v>22695</v>
      </c>
      <c r="Z2847" t="s">
        <v>29262</v>
      </c>
      <c r="AA2847">
        <v>0.42922633265388349</v>
      </c>
      <c r="AB2847" t="str">
        <f>HYPERLINK("Melting_Curves/meltCurve_P56199_ITGA1.pdf", "Melting_Curves/meltCurve_P56199_ITGA1.pdf")</f>
        <v>Melting_Curves/meltCurve_P56199_ITGA1.pdf</v>
      </c>
    </row>
    <row r="2848" spans="1:28" x14ac:dyDescent="0.25">
      <c r="A2848" t="s">
        <v>2852</v>
      </c>
      <c r="B2848">
        <v>0.99193492352474899</v>
      </c>
      <c r="C2848">
        <v>0.76539603108087495</v>
      </c>
      <c r="D2848">
        <v>0.82966772271990796</v>
      </c>
      <c r="E2848">
        <v>0.56689256515715403</v>
      </c>
      <c r="F2848">
        <v>0.48158239026579303</v>
      </c>
      <c r="G2848">
        <v>0.33507919426313099</v>
      </c>
      <c r="H2848">
        <v>0.31240283922878898</v>
      </c>
      <c r="I2848">
        <v>0.37223000762383501</v>
      </c>
      <c r="J2848">
        <v>0.49637597688426799</v>
      </c>
      <c r="K2848">
        <v>0.66233115396836295</v>
      </c>
      <c r="L2848">
        <v>812.77420970187904</v>
      </c>
      <c r="M2848">
        <v>17.5571345460157</v>
      </c>
      <c r="N2848">
        <v>52.283638890741898</v>
      </c>
      <c r="O2848">
        <v>45.705062276613397</v>
      </c>
      <c r="P2848">
        <v>-5.4443597671500997E-2</v>
      </c>
      <c r="Q2848">
        <v>0.433116474046564</v>
      </c>
      <c r="R2848">
        <v>0.75125209511178004</v>
      </c>
      <c r="S2848" t="s">
        <v>9518</v>
      </c>
      <c r="T2848" t="s">
        <v>13338</v>
      </c>
      <c r="U2848" t="s">
        <v>13338</v>
      </c>
      <c r="V2848" t="s">
        <v>13338</v>
      </c>
      <c r="W2848" t="s">
        <v>16143</v>
      </c>
      <c r="X2848">
        <v>5</v>
      </c>
      <c r="Y2848" t="s">
        <v>22696</v>
      </c>
      <c r="Z2848" t="s">
        <v>29263</v>
      </c>
      <c r="AA2848">
        <v>0.56354777239831177</v>
      </c>
      <c r="AB2848" t="str">
        <f>HYPERLINK("Melting_Curves/meltCurve_P56211_ARPP19.pdf", "Melting_Curves/meltCurve_P56211_ARPP19.pdf")</f>
        <v>Melting_Curves/meltCurve_P56211_ARPP19.pdf</v>
      </c>
    </row>
    <row r="2849" spans="1:28" x14ac:dyDescent="0.25">
      <c r="A2849" t="s">
        <v>2853</v>
      </c>
      <c r="B2849">
        <v>0.99193492352474899</v>
      </c>
      <c r="C2849">
        <v>0.85501124234088999</v>
      </c>
      <c r="D2849">
        <v>0.747606210135489</v>
      </c>
      <c r="E2849">
        <v>0.57253007974608605</v>
      </c>
      <c r="F2849">
        <v>0.439261280223817</v>
      </c>
      <c r="G2849">
        <v>0.27086613412525501</v>
      </c>
      <c r="H2849">
        <v>0.27290439959103002</v>
      </c>
      <c r="I2849">
        <v>0.37486699470719598</v>
      </c>
      <c r="J2849">
        <v>0.33554928869527201</v>
      </c>
      <c r="K2849">
        <v>0.60315216425372897</v>
      </c>
      <c r="L2849">
        <v>882.03830321682995</v>
      </c>
      <c r="M2849">
        <v>18.8491039216958</v>
      </c>
      <c r="N2849">
        <v>50.4423801736596</v>
      </c>
      <c r="O2849">
        <v>46.277548304747</v>
      </c>
      <c r="P2849">
        <v>-6.3943545650535297E-2</v>
      </c>
      <c r="Q2849">
        <v>0.372059529645139</v>
      </c>
      <c r="R2849">
        <v>0.85125873014640896</v>
      </c>
      <c r="S2849" t="s">
        <v>9519</v>
      </c>
      <c r="T2849" t="s">
        <v>13338</v>
      </c>
      <c r="U2849" t="s">
        <v>13338</v>
      </c>
      <c r="V2849" t="s">
        <v>13338</v>
      </c>
      <c r="W2849" t="s">
        <v>16144</v>
      </c>
      <c r="X2849">
        <v>7</v>
      </c>
      <c r="Y2849" t="s">
        <v>22697</v>
      </c>
      <c r="Z2849" t="s">
        <v>29264</v>
      </c>
      <c r="AA2849">
        <v>0.52486027491968001</v>
      </c>
      <c r="AB2849" t="str">
        <f>HYPERLINK("Melting_Curves/meltCurve_P56270_2_MAZ.pdf", "Melting_Curves/meltCurve_P56270_2_MAZ.pdf")</f>
        <v>Melting_Curves/meltCurve_P56270_2_MAZ.pdf</v>
      </c>
    </row>
    <row r="2850" spans="1:28" x14ac:dyDescent="0.25">
      <c r="A2850" t="s">
        <v>2854</v>
      </c>
      <c r="B2850">
        <v>0.99193492352474899</v>
      </c>
      <c r="C2850">
        <v>1.03844909406525</v>
      </c>
      <c r="D2850">
        <v>0.83674954108492305</v>
      </c>
      <c r="E2850">
        <v>0.88162675449703098</v>
      </c>
      <c r="F2850">
        <v>0.64379722877053203</v>
      </c>
      <c r="G2850">
        <v>0.57675105069056898</v>
      </c>
      <c r="H2850">
        <v>0.45346267215186198</v>
      </c>
      <c r="I2850">
        <v>0.59861324923783998</v>
      </c>
      <c r="J2850">
        <v>0.51587312901904703</v>
      </c>
      <c r="K2850">
        <v>0.66537854830703203</v>
      </c>
      <c r="L2850">
        <v>1065.1995253615701</v>
      </c>
      <c r="M2850">
        <v>21.147487983979499</v>
      </c>
      <c r="O2850">
        <v>49.926108257607197</v>
      </c>
      <c r="P2850">
        <v>-4.7451122066948799E-2</v>
      </c>
      <c r="Q2850">
        <v>0.55191122030268502</v>
      </c>
      <c r="R2850">
        <v>0.87133288270881104</v>
      </c>
      <c r="S2850" t="s">
        <v>9520</v>
      </c>
      <c r="T2850" t="s">
        <v>13338</v>
      </c>
      <c r="U2850" t="s">
        <v>13338</v>
      </c>
      <c r="V2850" t="s">
        <v>13338</v>
      </c>
      <c r="W2850" t="s">
        <v>16145</v>
      </c>
      <c r="X2850">
        <v>3</v>
      </c>
      <c r="Y2850" t="s">
        <v>22698</v>
      </c>
      <c r="Z2850" t="s">
        <v>29265</v>
      </c>
      <c r="AA2850">
        <v>0.71239409153878164</v>
      </c>
      <c r="AB2850" t="str">
        <f>HYPERLINK("Melting_Curves/meltCurve_P56277_CMC4.pdf", "Melting_Curves/meltCurve_P56277_CMC4.pdf")</f>
        <v>Melting_Curves/meltCurve_P56277_CMC4.pdf</v>
      </c>
    </row>
    <row r="2851" spans="1:28" x14ac:dyDescent="0.25">
      <c r="A2851" t="s">
        <v>2855</v>
      </c>
      <c r="B2851">
        <v>0.99193492352474899</v>
      </c>
      <c r="C2851">
        <v>0.84084851210957201</v>
      </c>
      <c r="D2851">
        <v>0.692330372902911</v>
      </c>
      <c r="E2851">
        <v>0.42771299860555601</v>
      </c>
      <c r="F2851">
        <v>0.30269659950828198</v>
      </c>
      <c r="G2851">
        <v>0.148281618851516</v>
      </c>
      <c r="H2851">
        <v>7.1561949821337595E-2</v>
      </c>
      <c r="I2851">
        <v>8.0937330194744403E-2</v>
      </c>
      <c r="J2851">
        <v>8.1450528756378204E-2</v>
      </c>
      <c r="K2851">
        <v>4.3846159589902997E-2</v>
      </c>
      <c r="L2851">
        <v>655.53680831720703</v>
      </c>
      <c r="M2851">
        <v>13.510634784819301</v>
      </c>
      <c r="N2851">
        <v>48.816558339786901</v>
      </c>
      <c r="O2851">
        <v>47.494091661008802</v>
      </c>
      <c r="P2851">
        <v>-6.8326515881453304E-2</v>
      </c>
      <c r="Q2851">
        <v>3.9390069604480799E-2</v>
      </c>
      <c r="R2851">
        <v>0.99508119119996197</v>
      </c>
      <c r="S2851" t="s">
        <v>9521</v>
      </c>
      <c r="T2851" t="s">
        <v>13338</v>
      </c>
      <c r="U2851" t="s">
        <v>13338</v>
      </c>
      <c r="V2851" t="s">
        <v>13338</v>
      </c>
      <c r="W2851" t="s">
        <v>16146</v>
      </c>
      <c r="X2851">
        <v>9</v>
      </c>
      <c r="Y2851" t="s">
        <v>22699</v>
      </c>
      <c r="Z2851" t="s">
        <v>29266</v>
      </c>
      <c r="AA2851">
        <v>0.34163307873360699</v>
      </c>
      <c r="AB2851" t="str">
        <f>HYPERLINK("Melting_Curves/meltCurve_P56282_POLE2.pdf", "Melting_Curves/meltCurve_P56282_POLE2.pdf")</f>
        <v>Melting_Curves/meltCurve_P56282_POLE2.pdf</v>
      </c>
    </row>
    <row r="2852" spans="1:28" x14ac:dyDescent="0.25">
      <c r="A2852" t="s">
        <v>2856</v>
      </c>
      <c r="B2852">
        <v>0.99193492352474899</v>
      </c>
      <c r="C2852">
        <v>0.85756366331909495</v>
      </c>
      <c r="D2852">
        <v>0.72282158509416194</v>
      </c>
      <c r="E2852">
        <v>0.31431345364220198</v>
      </c>
      <c r="F2852">
        <v>0.194052643036905</v>
      </c>
      <c r="G2852">
        <v>0.105906693826293</v>
      </c>
      <c r="H2852">
        <v>7.3835144779466899E-2</v>
      </c>
      <c r="I2852">
        <v>7.4215640907769595E-2</v>
      </c>
      <c r="J2852">
        <v>9.7307949861159398E-2</v>
      </c>
      <c r="K2852">
        <v>6.4517845385673706E-2</v>
      </c>
      <c r="L2852">
        <v>953.90838807694195</v>
      </c>
      <c r="M2852">
        <v>20.089706863221299</v>
      </c>
      <c r="N2852">
        <v>47.863038363244897</v>
      </c>
      <c r="O2852">
        <v>47.019460664456602</v>
      </c>
      <c r="P2852">
        <v>-9.8933825267435702E-2</v>
      </c>
      <c r="Q2852">
        <v>7.3820595237133205E-2</v>
      </c>
      <c r="R2852">
        <v>0.99457438482605898</v>
      </c>
      <c r="S2852" t="s">
        <v>9522</v>
      </c>
      <c r="T2852" t="s">
        <v>13338</v>
      </c>
      <c r="U2852" t="s">
        <v>13338</v>
      </c>
      <c r="V2852" t="s">
        <v>13338</v>
      </c>
      <c r="W2852" t="s">
        <v>16147</v>
      </c>
      <c r="X2852">
        <v>4</v>
      </c>
      <c r="Y2852" t="s">
        <v>22700</v>
      </c>
      <c r="Z2852" t="s">
        <v>29267</v>
      </c>
      <c r="AA2852">
        <v>0.31802808151060152</v>
      </c>
      <c r="AB2852" t="str">
        <f>HYPERLINK("Melting_Curves/meltCurve_P56377_AP1S2.pdf", "Melting_Curves/meltCurve_P56377_AP1S2.pdf")</f>
        <v>Melting_Curves/meltCurve_P56377_AP1S2.pdf</v>
      </c>
    </row>
    <row r="2853" spans="1:28" x14ac:dyDescent="0.25">
      <c r="A2853" t="s">
        <v>2857</v>
      </c>
      <c r="B2853">
        <v>0.99193492352474899</v>
      </c>
      <c r="C2853">
        <v>0.83693532405619897</v>
      </c>
      <c r="D2853">
        <v>0.97708268964139899</v>
      </c>
      <c r="E2853">
        <v>0.81299732874389596</v>
      </c>
      <c r="F2853">
        <v>0.68461949725301896</v>
      </c>
      <c r="G2853">
        <v>0.53514017730502095</v>
      </c>
      <c r="H2853">
        <v>0.387409240587959</v>
      </c>
      <c r="I2853">
        <v>0.27956761096806898</v>
      </c>
      <c r="J2853">
        <v>0.29421224170311799</v>
      </c>
      <c r="K2853">
        <v>0.255626228517077</v>
      </c>
      <c r="L2853">
        <v>594.883374624113</v>
      </c>
      <c r="M2853">
        <v>10.7268345781001</v>
      </c>
      <c r="N2853">
        <v>57.5247418288182</v>
      </c>
      <c r="O2853">
        <v>53.634365686410803</v>
      </c>
      <c r="P2853">
        <v>-4.2018445577480801E-2</v>
      </c>
      <c r="Q2853">
        <v>0.159940293300948</v>
      </c>
      <c r="R2853">
        <v>0.97031045650530201</v>
      </c>
      <c r="S2853" t="s">
        <v>9523</v>
      </c>
      <c r="T2853" t="s">
        <v>13338</v>
      </c>
      <c r="U2853" t="s">
        <v>13338</v>
      </c>
      <c r="V2853" t="s">
        <v>13338</v>
      </c>
      <c r="W2853" t="s">
        <v>16148</v>
      </c>
      <c r="X2853">
        <v>1</v>
      </c>
      <c r="Y2853" t="s">
        <v>22701</v>
      </c>
      <c r="Z2853" t="s">
        <v>29268</v>
      </c>
      <c r="AA2853">
        <v>0.61232914068097599</v>
      </c>
      <c r="AB2853" t="str">
        <f>HYPERLINK("Melting_Curves/meltCurve_P56378_MP68.pdf", "Melting_Curves/meltCurve_P56378_MP68.pdf")</f>
        <v>Melting_Curves/meltCurve_P56378_MP68.pdf</v>
      </c>
    </row>
    <row r="2854" spans="1:28" x14ac:dyDescent="0.25">
      <c r="A2854" t="s">
        <v>2858</v>
      </c>
      <c r="B2854">
        <v>0.99193492352474899</v>
      </c>
      <c r="C2854">
        <v>0.97475719062238997</v>
      </c>
      <c r="D2854">
        <v>0.994197105981101</v>
      </c>
      <c r="E2854">
        <v>0.88039837104025498</v>
      </c>
      <c r="F2854">
        <v>0.78810356310585605</v>
      </c>
      <c r="G2854">
        <v>0.70635683341863598</v>
      </c>
      <c r="H2854">
        <v>0.61437223671072005</v>
      </c>
      <c r="I2854">
        <v>0.68664302287313905</v>
      </c>
      <c r="J2854">
        <v>0.288730833965053</v>
      </c>
      <c r="K2854">
        <v>0.24186294407963099</v>
      </c>
      <c r="L2854">
        <v>544.42298981556996</v>
      </c>
      <c r="M2854">
        <v>8.5614194507610808</v>
      </c>
      <c r="N2854">
        <v>63.590267032475701</v>
      </c>
      <c r="O2854">
        <v>60.405913630374101</v>
      </c>
      <c r="P2854">
        <v>-3.5463944329003197E-2</v>
      </c>
      <c r="Q2854">
        <v>0</v>
      </c>
      <c r="R2854">
        <v>0.90766727225562405</v>
      </c>
      <c r="S2854" t="s">
        <v>9524</v>
      </c>
      <c r="T2854" t="s">
        <v>13338</v>
      </c>
      <c r="U2854" t="s">
        <v>13338</v>
      </c>
      <c r="V2854" t="s">
        <v>13338</v>
      </c>
      <c r="W2854" t="s">
        <v>16149</v>
      </c>
      <c r="X2854">
        <v>3</v>
      </c>
      <c r="Y2854" t="s">
        <v>22702</v>
      </c>
      <c r="Z2854" t="s">
        <v>29269</v>
      </c>
      <c r="AA2854">
        <v>0.73608756657022423</v>
      </c>
      <c r="AB2854" t="str">
        <f>HYPERLINK("Melting_Curves/meltCurve_P56381_ATP5E.pdf", "Melting_Curves/meltCurve_P56381_ATP5E.pdf")</f>
        <v>Melting_Curves/meltCurve_P56381_ATP5E.pdf</v>
      </c>
    </row>
    <row r="2855" spans="1:28" x14ac:dyDescent="0.25">
      <c r="A2855" t="s">
        <v>2859</v>
      </c>
      <c r="B2855">
        <v>0.99193492352474899</v>
      </c>
      <c r="C2855">
        <v>0.98444685402584997</v>
      </c>
      <c r="D2855">
        <v>1.0085613362125401</v>
      </c>
      <c r="E2855">
        <v>0.97904796287134099</v>
      </c>
      <c r="F2855">
        <v>0.81719208326690995</v>
      </c>
      <c r="G2855">
        <v>0.584342713966718</v>
      </c>
      <c r="H2855">
        <v>0.58169388544371403</v>
      </c>
      <c r="I2855">
        <v>0.40962737750934503</v>
      </c>
      <c r="J2855">
        <v>0.370078455902556</v>
      </c>
      <c r="K2855">
        <v>0.35058481826410098</v>
      </c>
      <c r="L2855">
        <v>902.487793369104</v>
      </c>
      <c r="M2855">
        <v>15.9722830672216</v>
      </c>
      <c r="N2855">
        <v>60.668352323958899</v>
      </c>
      <c r="O2855">
        <v>55.6398987736588</v>
      </c>
      <c r="P2855">
        <v>-4.7872986337607101E-2</v>
      </c>
      <c r="Q2855">
        <v>0.332984913550668</v>
      </c>
      <c r="R2855">
        <v>0.97807349153462697</v>
      </c>
      <c r="S2855" t="s">
        <v>9525</v>
      </c>
      <c r="T2855" t="s">
        <v>13338</v>
      </c>
      <c r="U2855" t="s">
        <v>13338</v>
      </c>
      <c r="V2855" t="s">
        <v>13338</v>
      </c>
      <c r="W2855" t="s">
        <v>16150</v>
      </c>
      <c r="X2855">
        <v>5</v>
      </c>
      <c r="Y2855" t="s">
        <v>22703</v>
      </c>
      <c r="Z2855" t="s">
        <v>29270</v>
      </c>
      <c r="AA2855">
        <v>0.71060196831507805</v>
      </c>
      <c r="AB2855" t="str">
        <f>HYPERLINK("Melting_Curves/meltCurve_P56385_ATP5I.pdf", "Melting_Curves/meltCurve_P56385_ATP5I.pdf")</f>
        <v>Melting_Curves/meltCurve_P56385_ATP5I.pdf</v>
      </c>
    </row>
    <row r="2856" spans="1:28" x14ac:dyDescent="0.25">
      <c r="A2856" t="s">
        <v>2860</v>
      </c>
      <c r="B2856">
        <v>0.99193492352474899</v>
      </c>
      <c r="C2856">
        <v>1.00427047072627</v>
      </c>
      <c r="D2856">
        <v>0.92081715772815298</v>
      </c>
      <c r="E2856">
        <v>0.76288987717582002</v>
      </c>
      <c r="F2856">
        <v>0.547857113019941</v>
      </c>
      <c r="G2856">
        <v>0.33290865335675701</v>
      </c>
      <c r="H2856">
        <v>0.190977534995489</v>
      </c>
      <c r="I2856">
        <v>0.20467577089294001</v>
      </c>
      <c r="J2856">
        <v>0.25437088166003102</v>
      </c>
      <c r="K2856">
        <v>0.32464866683956201</v>
      </c>
      <c r="L2856">
        <v>1074.38416034908</v>
      </c>
      <c r="M2856">
        <v>20.764197553065401</v>
      </c>
      <c r="N2856">
        <v>53.360301481672998</v>
      </c>
      <c r="O2856">
        <v>51.269398406290797</v>
      </c>
      <c r="P2856">
        <v>-7.7598565042748494E-2</v>
      </c>
      <c r="Q2856">
        <v>0.233619219890074</v>
      </c>
      <c r="R2856">
        <v>0.98226295878446301</v>
      </c>
      <c r="S2856" t="s">
        <v>9526</v>
      </c>
      <c r="T2856" t="s">
        <v>13338</v>
      </c>
      <c r="U2856" t="s">
        <v>13338</v>
      </c>
      <c r="V2856" t="s">
        <v>13338</v>
      </c>
      <c r="W2856" t="s">
        <v>16151</v>
      </c>
      <c r="X2856">
        <v>16</v>
      </c>
      <c r="Y2856" t="s">
        <v>22704</v>
      </c>
      <c r="Z2856" t="s">
        <v>29271</v>
      </c>
      <c r="AA2856">
        <v>0.54349804710544991</v>
      </c>
      <c r="AB2856" t="str">
        <f>HYPERLINK("Melting_Curves/meltCurve_P56524_HDAC4.pdf", "Melting_Curves/meltCurve_P56524_HDAC4.pdf")</f>
        <v>Melting_Curves/meltCurve_P56524_HDAC4.pdf</v>
      </c>
    </row>
    <row r="2857" spans="1:28" x14ac:dyDescent="0.25">
      <c r="A2857" t="s">
        <v>2861</v>
      </c>
      <c r="B2857">
        <v>0.99193492352474899</v>
      </c>
      <c r="C2857">
        <v>0.94880758039369895</v>
      </c>
      <c r="D2857">
        <v>1.0307048692648</v>
      </c>
      <c r="E2857">
        <v>0.91100529162009702</v>
      </c>
      <c r="F2857">
        <v>0.87335139833800801</v>
      </c>
      <c r="G2857">
        <v>0.76122306941052298</v>
      </c>
      <c r="H2857">
        <v>0.38989078805518801</v>
      </c>
      <c r="I2857">
        <v>0.17125733299186699</v>
      </c>
      <c r="J2857">
        <v>0.169152353696706</v>
      </c>
      <c r="K2857">
        <v>0.16523660762009901</v>
      </c>
      <c r="L2857">
        <v>1378.6215658410499</v>
      </c>
      <c r="M2857">
        <v>23.5039052554006</v>
      </c>
      <c r="N2857">
        <v>59.3271601698466</v>
      </c>
      <c r="O2857">
        <v>58.235361106524202</v>
      </c>
      <c r="P2857">
        <v>-8.9107514944638505E-2</v>
      </c>
      <c r="Q2857">
        <v>0.116892558389386</v>
      </c>
      <c r="R2857">
        <v>0.98541423187048705</v>
      </c>
      <c r="S2857" t="s">
        <v>9527</v>
      </c>
      <c r="T2857" t="s">
        <v>13338</v>
      </c>
      <c r="U2857" t="s">
        <v>13338</v>
      </c>
      <c r="V2857" t="s">
        <v>13338</v>
      </c>
      <c r="W2857" t="s">
        <v>16152</v>
      </c>
      <c r="X2857">
        <v>7</v>
      </c>
      <c r="Y2857" t="s">
        <v>22705</v>
      </c>
      <c r="Z2857" t="s">
        <v>29272</v>
      </c>
      <c r="AA2857">
        <v>0.67402115560781151</v>
      </c>
      <c r="AB2857" t="str">
        <f>HYPERLINK("Melting_Curves/meltCurve_P56537_EIF6.pdf", "Melting_Curves/meltCurve_P56537_EIF6.pdf")</f>
        <v>Melting_Curves/meltCurve_P56537_EIF6.pdf</v>
      </c>
    </row>
    <row r="2858" spans="1:28" x14ac:dyDescent="0.25">
      <c r="A2858" t="s">
        <v>2862</v>
      </c>
      <c r="B2858">
        <v>0.99193492352474899</v>
      </c>
      <c r="C2858">
        <v>0.70187995665374003</v>
      </c>
      <c r="D2858">
        <v>0.50249226173603201</v>
      </c>
      <c r="E2858">
        <v>0.28224731770613198</v>
      </c>
      <c r="F2858">
        <v>0.20375075608545501</v>
      </c>
      <c r="G2858">
        <v>0.137267271426118</v>
      </c>
      <c r="H2858">
        <v>4.8014017630203999E-2</v>
      </c>
      <c r="I2858">
        <v>7.9640259226282595E-2</v>
      </c>
      <c r="J2858">
        <v>7.2808852489647996E-2</v>
      </c>
      <c r="K2858">
        <v>9.5875508256606304E-2</v>
      </c>
      <c r="L2858">
        <v>719.28353264376506</v>
      </c>
      <c r="M2858">
        <v>15.770297632241199</v>
      </c>
      <c r="N2858">
        <v>46.100276597370097</v>
      </c>
      <c r="O2858">
        <v>44.895538693758098</v>
      </c>
      <c r="P2858">
        <v>-8.1043805057429794E-2</v>
      </c>
      <c r="Q2858">
        <v>7.7201412891454296E-2</v>
      </c>
      <c r="R2858">
        <v>0.98498753344809997</v>
      </c>
      <c r="S2858" t="s">
        <v>9528</v>
      </c>
      <c r="T2858" t="s">
        <v>13338</v>
      </c>
      <c r="U2858" t="s">
        <v>13338</v>
      </c>
      <c r="V2858" t="s">
        <v>13338</v>
      </c>
      <c r="W2858" t="s">
        <v>16153</v>
      </c>
      <c r="X2858">
        <v>4</v>
      </c>
      <c r="Y2858" t="s">
        <v>22706</v>
      </c>
      <c r="Z2858" t="s">
        <v>29273</v>
      </c>
      <c r="AA2858">
        <v>0.27482773110609809</v>
      </c>
      <c r="AB2858" t="str">
        <f>HYPERLINK("Melting_Curves/meltCurve_P56556_NDUFA6.pdf", "Melting_Curves/meltCurve_P56556_NDUFA6.pdf")</f>
        <v>Melting_Curves/meltCurve_P56556_NDUFA6.pdf</v>
      </c>
    </row>
    <row r="2859" spans="1:28" x14ac:dyDescent="0.25">
      <c r="A2859" t="s">
        <v>2863</v>
      </c>
      <c r="B2859">
        <v>0.99193492352474899</v>
      </c>
      <c r="C2859">
        <v>0.93824732557196899</v>
      </c>
      <c r="D2859">
        <v>0.90182669670059301</v>
      </c>
      <c r="E2859">
        <v>0.62492511448747001</v>
      </c>
      <c r="F2859">
        <v>0.39933701983072201</v>
      </c>
      <c r="G2859">
        <v>0.374188813596882</v>
      </c>
      <c r="H2859">
        <v>0.34628613253883</v>
      </c>
      <c r="I2859">
        <v>0.61956516620636504</v>
      </c>
      <c r="J2859">
        <v>0.75706601639108395</v>
      </c>
      <c r="K2859">
        <v>0.87422569439147702</v>
      </c>
      <c r="L2859">
        <v>2159.3949149301802</v>
      </c>
      <c r="M2859">
        <v>45.715529909936699</v>
      </c>
      <c r="O2859">
        <v>47.145359088391302</v>
      </c>
      <c r="P2859">
        <v>-0.105713453196561</v>
      </c>
      <c r="Q2859">
        <v>0.563921264458076</v>
      </c>
      <c r="R2859">
        <v>0.53991696216186802</v>
      </c>
      <c r="S2859" t="s">
        <v>9529</v>
      </c>
      <c r="T2859" t="s">
        <v>13338</v>
      </c>
      <c r="U2859" t="s">
        <v>13338</v>
      </c>
      <c r="V2859" t="s">
        <v>13338</v>
      </c>
      <c r="W2859" t="s">
        <v>16154</v>
      </c>
      <c r="X2859">
        <v>2</v>
      </c>
      <c r="Y2859" t="s">
        <v>22707</v>
      </c>
      <c r="Z2859" t="s">
        <v>29274</v>
      </c>
      <c r="AA2859">
        <v>0.67018662001972495</v>
      </c>
      <c r="AB2859" t="str">
        <f>HYPERLINK("Melting_Curves/meltCurve_P56559_ARL4C.pdf", "Melting_Curves/meltCurve_P56559_ARL4C.pdf")</f>
        <v>Melting_Curves/meltCurve_P56559_ARL4C.pdf</v>
      </c>
    </row>
    <row r="2860" spans="1:28" x14ac:dyDescent="0.25">
      <c r="A2860" t="s">
        <v>2864</v>
      </c>
      <c r="B2860">
        <v>0.99193492352474899</v>
      </c>
      <c r="C2860">
        <v>1.06840360956166</v>
      </c>
      <c r="D2860">
        <v>0.949666581790097</v>
      </c>
      <c r="E2860">
        <v>0.69231489970195903</v>
      </c>
      <c r="F2860">
        <v>0.23421376901853699</v>
      </c>
      <c r="G2860">
        <v>0.12928285559368799</v>
      </c>
      <c r="H2860">
        <v>6.9160459395415902E-2</v>
      </c>
      <c r="I2860">
        <v>9.0981978319093701E-2</v>
      </c>
      <c r="J2860">
        <v>6.7248455418776706E-2</v>
      </c>
      <c r="K2860">
        <v>6.4419475352252106E-2</v>
      </c>
      <c r="L2860">
        <v>1598.42760357719</v>
      </c>
      <c r="M2860">
        <v>31.551643359032798</v>
      </c>
      <c r="N2860">
        <v>50.925128161807102</v>
      </c>
      <c r="O2860">
        <v>50.458475753919402</v>
      </c>
      <c r="P2860">
        <v>-0.14451323718725201</v>
      </c>
      <c r="Q2860">
        <v>7.5562793201886996E-2</v>
      </c>
      <c r="R2860">
        <v>0.99613218911088697</v>
      </c>
      <c r="S2860" t="s">
        <v>9530</v>
      </c>
      <c r="T2860" t="s">
        <v>13338</v>
      </c>
      <c r="U2860" t="s">
        <v>13338</v>
      </c>
      <c r="V2860" t="s">
        <v>13338</v>
      </c>
      <c r="W2860" t="s">
        <v>16155</v>
      </c>
      <c r="X2860">
        <v>7</v>
      </c>
      <c r="Y2860" t="s">
        <v>22708</v>
      </c>
      <c r="Z2860" t="s">
        <v>29275</v>
      </c>
      <c r="AA2860">
        <v>0.4092894543272968</v>
      </c>
      <c r="AB2860" t="str">
        <f>HYPERLINK("Melting_Curves/meltCurve_P56589_PEX3.pdf", "Melting_Curves/meltCurve_P56589_PEX3.pdf")</f>
        <v>Melting_Curves/meltCurve_P56589_PEX3.pdf</v>
      </c>
    </row>
    <row r="2861" spans="1:28" x14ac:dyDescent="0.25">
      <c r="A2861" t="s">
        <v>2865</v>
      </c>
      <c r="B2861">
        <v>0.99193492352474899</v>
      </c>
      <c r="C2861">
        <v>0.99947073639966499</v>
      </c>
      <c r="D2861">
        <v>0.89097467735575298</v>
      </c>
      <c r="E2861">
        <v>0.61436729095540599</v>
      </c>
      <c r="F2861">
        <v>0.18779206271625501</v>
      </c>
      <c r="G2861">
        <v>0.12918183054330301</v>
      </c>
      <c r="H2861">
        <v>7.8887843270204497E-2</v>
      </c>
      <c r="I2861">
        <v>8.2146946997690706E-2</v>
      </c>
      <c r="J2861">
        <v>8.7553720364262594E-2</v>
      </c>
      <c r="K2861">
        <v>5.1905111748653601E-2</v>
      </c>
      <c r="L2861">
        <v>1396.0552972772</v>
      </c>
      <c r="M2861">
        <v>27.9148193211403</v>
      </c>
      <c r="N2861">
        <v>50.298397244818503</v>
      </c>
      <c r="O2861">
        <v>49.756716120109502</v>
      </c>
      <c r="P2861">
        <v>-0.12992733169919701</v>
      </c>
      <c r="Q2861">
        <v>7.3653143846742805E-2</v>
      </c>
      <c r="R2861">
        <v>0.99727230047357096</v>
      </c>
      <c r="S2861" t="s">
        <v>9531</v>
      </c>
      <c r="T2861" t="s">
        <v>13338</v>
      </c>
      <c r="U2861" t="s">
        <v>13338</v>
      </c>
      <c r="V2861" t="s">
        <v>13338</v>
      </c>
      <c r="W2861" t="s">
        <v>16156</v>
      </c>
      <c r="X2861">
        <v>4</v>
      </c>
      <c r="Y2861" t="s">
        <v>22709</v>
      </c>
      <c r="Z2861" t="s">
        <v>29276</v>
      </c>
      <c r="AA2861">
        <v>0.38941255164123689</v>
      </c>
      <c r="AB2861" t="str">
        <f>HYPERLINK("Melting_Curves/meltCurve_P56937_3_HSD17B7.pdf", "Melting_Curves/meltCurve_P56937_3_HSD17B7.pdf")</f>
        <v>Melting_Curves/meltCurve_P56937_3_HSD17B7.pdf</v>
      </c>
    </row>
    <row r="2862" spans="1:28" x14ac:dyDescent="0.25">
      <c r="A2862" t="s">
        <v>2866</v>
      </c>
      <c r="B2862">
        <v>0.99193492352474899</v>
      </c>
      <c r="C2862">
        <v>0.77625930225297202</v>
      </c>
      <c r="D2862">
        <v>0.64776172472734195</v>
      </c>
      <c r="E2862">
        <v>0.34197732643019202</v>
      </c>
      <c r="F2862">
        <v>0.169067076346062</v>
      </c>
      <c r="G2862">
        <v>9.3837797720103797E-2</v>
      </c>
      <c r="H2862">
        <v>5.6043375851596203E-2</v>
      </c>
      <c r="I2862">
        <v>8.4385524961304803E-2</v>
      </c>
      <c r="J2862">
        <v>0.118774885194742</v>
      </c>
      <c r="K2862">
        <v>8.6364093100916306E-2</v>
      </c>
      <c r="L2862">
        <v>791.83398089552895</v>
      </c>
      <c r="M2862">
        <v>16.883181921236801</v>
      </c>
      <c r="N2862">
        <v>47.330171236591397</v>
      </c>
      <c r="O2862">
        <v>46.257606079558201</v>
      </c>
      <c r="P2862">
        <v>-8.4771085435993099E-2</v>
      </c>
      <c r="Q2862">
        <v>7.1014746066606904E-2</v>
      </c>
      <c r="R2862">
        <v>0.98972807801576901</v>
      </c>
      <c r="S2862" t="s">
        <v>9532</v>
      </c>
      <c r="T2862" t="s">
        <v>13338</v>
      </c>
      <c r="U2862" t="s">
        <v>13338</v>
      </c>
      <c r="V2862" t="s">
        <v>13338</v>
      </c>
      <c r="W2862" t="s">
        <v>16157</v>
      </c>
      <c r="X2862">
        <v>3</v>
      </c>
      <c r="Y2862" t="s">
        <v>22710</v>
      </c>
      <c r="Z2862" t="s">
        <v>29277</v>
      </c>
      <c r="AA2862">
        <v>0.30449579227932871</v>
      </c>
      <c r="AB2862" t="str">
        <f>HYPERLINK("Melting_Curves/meltCurve_P56962_STX17.pdf", "Melting_Curves/meltCurve_P56962_STX17.pdf")</f>
        <v>Melting_Curves/meltCurve_P56962_STX17.pdf</v>
      </c>
    </row>
    <row r="2863" spans="1:28" x14ac:dyDescent="0.25">
      <c r="A2863" t="s">
        <v>2867</v>
      </c>
      <c r="B2863">
        <v>0.99193492352474899</v>
      </c>
      <c r="C2863">
        <v>1.01126124862263</v>
      </c>
      <c r="D2863">
        <v>0.78397705332198098</v>
      </c>
      <c r="E2863">
        <v>0.53173701593478895</v>
      </c>
      <c r="F2863">
        <v>0.222866227670938</v>
      </c>
      <c r="G2863">
        <v>0.143006338327446</v>
      </c>
      <c r="H2863">
        <v>0.10273412275731</v>
      </c>
      <c r="I2863">
        <v>0.174792872690024</v>
      </c>
      <c r="J2863">
        <v>0.23662403190690801</v>
      </c>
      <c r="K2863">
        <v>0.50199288496900496</v>
      </c>
      <c r="L2863">
        <v>1322.4084052277501</v>
      </c>
      <c r="M2863">
        <v>27.428523638621201</v>
      </c>
      <c r="N2863">
        <v>49.285627946935101</v>
      </c>
      <c r="O2863">
        <v>47.958783291127702</v>
      </c>
      <c r="P2863">
        <v>-0.110843108216966</v>
      </c>
      <c r="Q2863">
        <v>0.224770120526222</v>
      </c>
      <c r="R2863">
        <v>0.89676691122091601</v>
      </c>
      <c r="S2863" t="s">
        <v>9533</v>
      </c>
      <c r="T2863" t="s">
        <v>13338</v>
      </c>
      <c r="U2863" t="s">
        <v>13338</v>
      </c>
      <c r="V2863" t="s">
        <v>13338</v>
      </c>
      <c r="W2863" t="s">
        <v>16158</v>
      </c>
      <c r="X2863">
        <v>5</v>
      </c>
      <c r="Y2863" t="s">
        <v>22711</v>
      </c>
      <c r="Z2863" t="s">
        <v>29278</v>
      </c>
      <c r="AA2863">
        <v>0.4426364933790129</v>
      </c>
      <c r="AB2863" t="str">
        <f>HYPERLINK("Melting_Curves/meltCurve_P57075_2_UBASH3A.pdf", "Melting_Curves/meltCurve_P57075_2_UBASH3A.pdf")</f>
        <v>Melting_Curves/meltCurve_P57075_2_UBASH3A.pdf</v>
      </c>
    </row>
    <row r="2864" spans="1:28" x14ac:dyDescent="0.25">
      <c r="A2864" t="s">
        <v>2868</v>
      </c>
      <c r="B2864">
        <v>0.99193492352474899</v>
      </c>
      <c r="C2864">
        <v>0.73173862075052198</v>
      </c>
      <c r="D2864">
        <v>0.47433995980467503</v>
      </c>
      <c r="E2864">
        <v>0.24319060562862699</v>
      </c>
      <c r="F2864">
        <v>0.19021078066937999</v>
      </c>
      <c r="G2864">
        <v>0.109128693945195</v>
      </c>
      <c r="H2864">
        <v>7.8585182389929495E-2</v>
      </c>
      <c r="I2864">
        <v>8.3068323625261106E-2</v>
      </c>
      <c r="J2864">
        <v>9.86616910360434E-2</v>
      </c>
      <c r="K2864">
        <v>0.108776564982682</v>
      </c>
      <c r="L2864">
        <v>855.04595828864103</v>
      </c>
      <c r="M2864">
        <v>18.903440206549998</v>
      </c>
      <c r="N2864">
        <v>45.753109257716503</v>
      </c>
      <c r="O2864">
        <v>44.735221294012497</v>
      </c>
      <c r="P2864">
        <v>-9.5418319319861097E-2</v>
      </c>
      <c r="Q2864">
        <v>9.68023227034739E-2</v>
      </c>
      <c r="R2864">
        <v>0.991558385425928</v>
      </c>
      <c r="S2864" t="s">
        <v>9534</v>
      </c>
      <c r="T2864" t="s">
        <v>13338</v>
      </c>
      <c r="U2864" t="s">
        <v>13338</v>
      </c>
      <c r="V2864" t="s">
        <v>13338</v>
      </c>
      <c r="W2864" t="s">
        <v>16159</v>
      </c>
      <c r="X2864">
        <v>10</v>
      </c>
      <c r="Y2864" t="s">
        <v>22712</v>
      </c>
      <c r="Z2864" t="s">
        <v>29279</v>
      </c>
      <c r="AA2864">
        <v>0.27131824789945769</v>
      </c>
      <c r="AB2864" t="str">
        <f>HYPERLINK("Melting_Curves/meltCurve_P57076_C21orf59.pdf", "Melting_Curves/meltCurve_P57076_C21orf59.pdf")</f>
        <v>Melting_Curves/meltCurve_P57076_C21orf59.pdf</v>
      </c>
    </row>
    <row r="2865" spans="1:28" x14ac:dyDescent="0.25">
      <c r="A2865" t="s">
        <v>2869</v>
      </c>
      <c r="B2865">
        <v>0.99193492352474899</v>
      </c>
      <c r="C2865">
        <v>0.99154084538988996</v>
      </c>
      <c r="D2865">
        <v>0.95001380117697598</v>
      </c>
      <c r="E2865">
        <v>0.76065155207510604</v>
      </c>
      <c r="F2865">
        <v>0.52415387195039798</v>
      </c>
      <c r="G2865">
        <v>0.20338884799111601</v>
      </c>
      <c r="H2865">
        <v>9.8098230633554398E-2</v>
      </c>
      <c r="I2865">
        <v>0.12881880130782999</v>
      </c>
      <c r="J2865">
        <v>0.12077768889780199</v>
      </c>
      <c r="K2865">
        <v>0.14438172179546099</v>
      </c>
      <c r="L2865">
        <v>1144.6707298209601</v>
      </c>
      <c r="M2865">
        <v>21.8760421257067</v>
      </c>
      <c r="N2865">
        <v>52.8917618261653</v>
      </c>
      <c r="O2865">
        <v>51.893957049628703</v>
      </c>
      <c r="P2865">
        <v>-9.4384714696131702E-2</v>
      </c>
      <c r="Q2865">
        <v>0.10442956092444799</v>
      </c>
      <c r="R2865">
        <v>0.99373902058189101</v>
      </c>
      <c r="S2865" t="s">
        <v>9535</v>
      </c>
      <c r="T2865" t="s">
        <v>13338</v>
      </c>
      <c r="U2865" t="s">
        <v>13338</v>
      </c>
      <c r="V2865" t="s">
        <v>13338</v>
      </c>
      <c r="W2865" t="s">
        <v>16160</v>
      </c>
      <c r="X2865">
        <v>6</v>
      </c>
      <c r="Y2865" t="s">
        <v>22713</v>
      </c>
      <c r="Z2865" t="s">
        <v>29280</v>
      </c>
      <c r="AA2865">
        <v>0.48289966727408778</v>
      </c>
      <c r="AB2865" t="str">
        <f>HYPERLINK("Melting_Curves/meltCurve_P57081_2_WDR4.pdf", "Melting_Curves/meltCurve_P57081_2_WDR4.pdf")</f>
        <v>Melting_Curves/meltCurve_P57081_2_WDR4.pdf</v>
      </c>
    </row>
    <row r="2866" spans="1:28" x14ac:dyDescent="0.25">
      <c r="A2866" t="s">
        <v>2870</v>
      </c>
      <c r="B2866">
        <v>0.99193492352474899</v>
      </c>
      <c r="C2866">
        <v>1.12205818621514</v>
      </c>
      <c r="D2866">
        <v>1.21069482095162</v>
      </c>
      <c r="E2866">
        <v>0.88896486858141099</v>
      </c>
      <c r="F2866">
        <v>0.82501806379221398</v>
      </c>
      <c r="G2866">
        <v>0.67498355379601305</v>
      </c>
      <c r="H2866">
        <v>0.42790775628928801</v>
      </c>
      <c r="I2866">
        <v>0.17316572533062599</v>
      </c>
      <c r="J2866">
        <v>0.150224473519464</v>
      </c>
      <c r="K2866">
        <v>7.9510580972920006E-2</v>
      </c>
      <c r="L2866">
        <v>959.23313772467998</v>
      </c>
      <c r="M2866">
        <v>16.221162441515599</v>
      </c>
      <c r="N2866">
        <v>59.151023280636501</v>
      </c>
      <c r="O2866">
        <v>58.257851872506002</v>
      </c>
      <c r="P2866">
        <v>-6.9458802579861104E-2</v>
      </c>
      <c r="Q2866">
        <v>2.2367985336742701E-3</v>
      </c>
      <c r="R2866">
        <v>0.95307823741172204</v>
      </c>
      <c r="S2866" t="s">
        <v>9536</v>
      </c>
      <c r="T2866" t="s">
        <v>13338</v>
      </c>
      <c r="U2866" t="s">
        <v>13338</v>
      </c>
      <c r="V2866" t="s">
        <v>13338</v>
      </c>
      <c r="W2866" t="s">
        <v>16161</v>
      </c>
      <c r="X2866">
        <v>3</v>
      </c>
      <c r="Y2866" t="s">
        <v>22714</v>
      </c>
      <c r="Z2866" t="s">
        <v>29281</v>
      </c>
      <c r="AA2866">
        <v>0.64895235008209984</v>
      </c>
      <c r="AB2866" t="str">
        <f>HYPERLINK("Melting_Curves/meltCurve_P57088_TMEM33.pdf", "Melting_Curves/meltCurve_P57088_TMEM33.pdf")</f>
        <v>Melting_Curves/meltCurve_P57088_TMEM33.pdf</v>
      </c>
    </row>
    <row r="2867" spans="1:28" x14ac:dyDescent="0.25">
      <c r="A2867" t="s">
        <v>2871</v>
      </c>
      <c r="B2867">
        <v>0.99193492352474899</v>
      </c>
      <c r="C2867">
        <v>0.85576075558202302</v>
      </c>
      <c r="D2867">
        <v>0.85345793073179199</v>
      </c>
      <c r="E2867">
        <v>0.63780051484393796</v>
      </c>
      <c r="F2867">
        <v>0.34267753413576102</v>
      </c>
      <c r="G2867">
        <v>0.28202103657123201</v>
      </c>
      <c r="H2867">
        <v>0.21821280184163699</v>
      </c>
      <c r="I2867">
        <v>0.225655434210983</v>
      </c>
      <c r="J2867">
        <v>0.22062419604156</v>
      </c>
      <c r="K2867">
        <v>0.16154680896807899</v>
      </c>
      <c r="L2867">
        <v>803.36553716738604</v>
      </c>
      <c r="M2867">
        <v>16.157382350035199</v>
      </c>
      <c r="N2867">
        <v>51.154051201027102</v>
      </c>
      <c r="O2867">
        <v>48.978325309574402</v>
      </c>
      <c r="P2867">
        <v>-6.7467411216338105E-2</v>
      </c>
      <c r="Q2867">
        <v>0.18199818307704599</v>
      </c>
      <c r="R2867">
        <v>0.98462890096049105</v>
      </c>
      <c r="S2867" t="s">
        <v>9537</v>
      </c>
      <c r="T2867" t="s">
        <v>13338</v>
      </c>
      <c r="U2867" t="s">
        <v>13338</v>
      </c>
      <c r="V2867" t="s">
        <v>13338</v>
      </c>
      <c r="W2867" t="s">
        <v>16162</v>
      </c>
      <c r="X2867">
        <v>2</v>
      </c>
      <c r="Y2867" t="s">
        <v>22715</v>
      </c>
      <c r="Z2867" t="s">
        <v>29282</v>
      </c>
      <c r="AA2867">
        <v>0.4642452376766833</v>
      </c>
      <c r="AB2867" t="str">
        <f>HYPERLINK("Melting_Curves/meltCurve_P57105_SYNJ2BP.pdf", "Melting_Curves/meltCurve_P57105_SYNJ2BP.pdf")</f>
        <v>Melting_Curves/meltCurve_P57105_SYNJ2BP.pdf</v>
      </c>
    </row>
    <row r="2868" spans="1:28" x14ac:dyDescent="0.25">
      <c r="A2868" t="s">
        <v>2872</v>
      </c>
      <c r="B2868">
        <v>0.99193492352474899</v>
      </c>
      <c r="C2868">
        <v>0.80099808878575796</v>
      </c>
      <c r="D2868">
        <v>0.553282831969791</v>
      </c>
      <c r="E2868">
        <v>0.40027237173135899</v>
      </c>
      <c r="F2868">
        <v>0.195579472987534</v>
      </c>
      <c r="G2868">
        <v>0.135618054570806</v>
      </c>
      <c r="H2868">
        <v>8.0237743095877195E-2</v>
      </c>
      <c r="I2868">
        <v>0.10202118092212099</v>
      </c>
      <c r="J2868">
        <v>0.10266816741424201</v>
      </c>
      <c r="K2868">
        <v>0.138873240822003</v>
      </c>
      <c r="L2868">
        <v>736.21434414005705</v>
      </c>
      <c r="M2868">
        <v>15.805694919861001</v>
      </c>
      <c r="N2868">
        <v>47.213613252161899</v>
      </c>
      <c r="O2868">
        <v>45.852583370937403</v>
      </c>
      <c r="P2868">
        <v>-7.7936727064012501E-2</v>
      </c>
      <c r="Q2868">
        <v>9.5691842578401895E-2</v>
      </c>
      <c r="R2868">
        <v>0.98882072811128596</v>
      </c>
      <c r="S2868" t="s">
        <v>9538</v>
      </c>
      <c r="T2868" t="s">
        <v>13338</v>
      </c>
      <c r="U2868" t="s">
        <v>13338</v>
      </c>
      <c r="V2868" t="s">
        <v>13338</v>
      </c>
      <c r="W2868" t="s">
        <v>16163</v>
      </c>
      <c r="X2868">
        <v>29</v>
      </c>
      <c r="Y2868" t="s">
        <v>22716</v>
      </c>
      <c r="Z2868" t="s">
        <v>29283</v>
      </c>
      <c r="AA2868">
        <v>0.31663996515229098</v>
      </c>
      <c r="AB2868" t="str">
        <f>HYPERLINK("Melting_Curves/meltCurve_P57737_3_CORO7.pdf", "Melting_Curves/meltCurve_P57737_3_CORO7.pdf")</f>
        <v>Melting_Curves/meltCurve_P57737_3_CORO7.pdf</v>
      </c>
    </row>
    <row r="2869" spans="1:28" x14ac:dyDescent="0.25">
      <c r="A2869" t="s">
        <v>2873</v>
      </c>
      <c r="B2869">
        <v>0.99193492352474899</v>
      </c>
      <c r="C2869">
        <v>0.70762501349937201</v>
      </c>
      <c r="D2869">
        <v>0.76890599852289998</v>
      </c>
      <c r="E2869">
        <v>0.545465997363484</v>
      </c>
      <c r="F2869">
        <v>0.16476076837415701</v>
      </c>
      <c r="G2869">
        <v>9.0898659167040902E-2</v>
      </c>
      <c r="H2869">
        <v>4.7650363568453702E-2</v>
      </c>
      <c r="I2869">
        <v>6.6843984218719801E-2</v>
      </c>
      <c r="J2869">
        <v>7.7122409407620302E-2</v>
      </c>
      <c r="K2869">
        <v>8.8777548041172896E-2</v>
      </c>
      <c r="L2869">
        <v>699.37192453079604</v>
      </c>
      <c r="M2869">
        <v>14.3729749335515</v>
      </c>
      <c r="N2869">
        <v>48.8604503563663</v>
      </c>
      <c r="O2869">
        <v>47.7459832991428</v>
      </c>
      <c r="P2869">
        <v>-7.3099303100471497E-2</v>
      </c>
      <c r="Q2869">
        <v>2.8793952141707099E-2</v>
      </c>
      <c r="R2869">
        <v>0.95131348332507104</v>
      </c>
      <c r="S2869" t="s">
        <v>9539</v>
      </c>
      <c r="T2869" t="s">
        <v>13338</v>
      </c>
      <c r="U2869" t="s">
        <v>13338</v>
      </c>
      <c r="V2869" t="s">
        <v>13338</v>
      </c>
      <c r="W2869" t="s">
        <v>16164</v>
      </c>
      <c r="X2869">
        <v>8</v>
      </c>
      <c r="Y2869" t="s">
        <v>22717</v>
      </c>
      <c r="Z2869" t="s">
        <v>29284</v>
      </c>
      <c r="AA2869">
        <v>0.33544974760919738</v>
      </c>
      <c r="AB2869" t="str">
        <f>HYPERLINK("Melting_Curves/meltCurve_P57740_NUP107.pdf", "Melting_Curves/meltCurve_P57740_NUP107.pdf")</f>
        <v>Melting_Curves/meltCurve_P57740_NUP107.pdf</v>
      </c>
    </row>
    <row r="2870" spans="1:28" x14ac:dyDescent="0.25">
      <c r="A2870" t="s">
        <v>2874</v>
      </c>
      <c r="B2870">
        <v>0.99193492352474899</v>
      </c>
      <c r="C2870">
        <v>0.81197876088551002</v>
      </c>
      <c r="D2870">
        <v>0.89645322592794796</v>
      </c>
      <c r="E2870">
        <v>0.59000254451946799</v>
      </c>
      <c r="F2870">
        <v>0.33678066350082603</v>
      </c>
      <c r="G2870">
        <v>0.18630638950103401</v>
      </c>
      <c r="H2870">
        <v>0.103441871264631</v>
      </c>
      <c r="I2870">
        <v>0.116614862187552</v>
      </c>
      <c r="J2870">
        <v>0.160361318202348</v>
      </c>
      <c r="K2870">
        <v>0.118122660281617</v>
      </c>
      <c r="L2870">
        <v>865.01406918734801</v>
      </c>
      <c r="M2870">
        <v>17.295489267939299</v>
      </c>
      <c r="N2870">
        <v>50.6903836850272</v>
      </c>
      <c r="O2870">
        <v>49.359600372634702</v>
      </c>
      <c r="P2870">
        <v>-7.8575691554608404E-2</v>
      </c>
      <c r="Q2870">
        <v>0.103062999678462</v>
      </c>
      <c r="R2870">
        <v>0.97629701076447695</v>
      </c>
      <c r="S2870" t="s">
        <v>9540</v>
      </c>
      <c r="T2870" t="s">
        <v>13338</v>
      </c>
      <c r="U2870" t="s">
        <v>13338</v>
      </c>
      <c r="V2870" t="s">
        <v>13338</v>
      </c>
      <c r="W2870" t="s">
        <v>16165</v>
      </c>
      <c r="X2870">
        <v>4</v>
      </c>
      <c r="Y2870" t="s">
        <v>22718</v>
      </c>
      <c r="Z2870" t="s">
        <v>29285</v>
      </c>
      <c r="AA2870">
        <v>0.41894525330484472</v>
      </c>
      <c r="AB2870" t="str">
        <f>HYPERLINK("Melting_Curves/meltCurve_P57768_SNX16.pdf", "Melting_Curves/meltCurve_P57768_SNX16.pdf")</f>
        <v>Melting_Curves/meltCurve_P57768_SNX16.pdf</v>
      </c>
    </row>
    <row r="2871" spans="1:28" x14ac:dyDescent="0.25">
      <c r="A2871" t="s">
        <v>2875</v>
      </c>
      <c r="B2871">
        <v>0.99193492352474899</v>
      </c>
      <c r="C2871">
        <v>0.66304644194982099</v>
      </c>
      <c r="D2871">
        <v>0.797812256597485</v>
      </c>
      <c r="E2871">
        <v>0.29717231461357702</v>
      </c>
      <c r="F2871">
        <v>0.118334789188628</v>
      </c>
      <c r="G2871">
        <v>7.0424241715173502E-2</v>
      </c>
      <c r="H2871">
        <v>4.1384576816785201E-2</v>
      </c>
      <c r="I2871">
        <v>5.5644494000794999E-2</v>
      </c>
      <c r="J2871">
        <v>4.5969989739946801E-2</v>
      </c>
      <c r="K2871">
        <v>3.5595630884165598E-2</v>
      </c>
      <c r="L2871">
        <v>773.67324372488201</v>
      </c>
      <c r="M2871">
        <v>16.3068969929239</v>
      </c>
      <c r="N2871">
        <v>47.562143963487401</v>
      </c>
      <c r="O2871">
        <v>46.748275141700297</v>
      </c>
      <c r="P2871">
        <v>-8.5489198077043693E-2</v>
      </c>
      <c r="Q2871">
        <v>1.9757174482318202E-2</v>
      </c>
      <c r="R2871">
        <v>0.94222475983420795</v>
      </c>
      <c r="S2871" t="s">
        <v>9541</v>
      </c>
      <c r="T2871" t="s">
        <v>13338</v>
      </c>
      <c r="U2871" t="s">
        <v>13338</v>
      </c>
      <c r="V2871" t="s">
        <v>13338</v>
      </c>
      <c r="W2871" t="s">
        <v>16166</v>
      </c>
      <c r="X2871">
        <v>15</v>
      </c>
      <c r="Y2871" t="s">
        <v>22719</v>
      </c>
      <c r="Z2871" t="s">
        <v>29286</v>
      </c>
      <c r="AA2871">
        <v>0.28485663613524531</v>
      </c>
      <c r="AB2871" t="str">
        <f>HYPERLINK("Melting_Curves/meltCurve_P57772_EEFSEC.pdf", "Melting_Curves/meltCurve_P57772_EEFSEC.pdf")</f>
        <v>Melting_Curves/meltCurve_P57772_EEFSEC.pdf</v>
      </c>
    </row>
    <row r="2872" spans="1:28" x14ac:dyDescent="0.25">
      <c r="A2872" t="s">
        <v>2876</v>
      </c>
      <c r="B2872">
        <v>0.99193492352474899</v>
      </c>
      <c r="C2872">
        <v>0.84727611468596198</v>
      </c>
      <c r="D2872">
        <v>0.89641536875113603</v>
      </c>
      <c r="E2872">
        <v>0.28693494676351899</v>
      </c>
      <c r="F2872">
        <v>0.24026026750753701</v>
      </c>
      <c r="G2872">
        <v>8.8001327814095906E-2</v>
      </c>
      <c r="H2872">
        <v>6.8467174525934302E-2</v>
      </c>
      <c r="I2872">
        <v>6.0224967081038201E-2</v>
      </c>
      <c r="J2872">
        <v>0.120837952662561</v>
      </c>
      <c r="K2872">
        <v>6.8921287306333998E-2</v>
      </c>
      <c r="L2872">
        <v>1648.84049764365</v>
      </c>
      <c r="M2872">
        <v>34.273123553916399</v>
      </c>
      <c r="N2872">
        <v>48.410292227292103</v>
      </c>
      <c r="O2872">
        <v>47.945970307520398</v>
      </c>
      <c r="P2872">
        <v>-0.16153652335177501</v>
      </c>
      <c r="Q2872">
        <v>9.6085651281832704E-2</v>
      </c>
      <c r="R2872">
        <v>0.96983880635980901</v>
      </c>
      <c r="S2872" t="s">
        <v>9542</v>
      </c>
      <c r="T2872" t="s">
        <v>13338</v>
      </c>
      <c r="U2872" t="s">
        <v>13338</v>
      </c>
      <c r="V2872" t="s">
        <v>13338</v>
      </c>
      <c r="W2872" t="s">
        <v>16167</v>
      </c>
      <c r="X2872">
        <v>1</v>
      </c>
      <c r="Y2872" t="s">
        <v>22720</v>
      </c>
      <c r="Z2872" t="s">
        <v>29287</v>
      </c>
      <c r="AA2872">
        <v>0.34454261853666901</v>
      </c>
      <c r="AB2872" t="str">
        <f>HYPERLINK("Melting_Curves/meltCurve_P58004_SESN2.pdf", "Melting_Curves/meltCurve_P58004_SESN2.pdf")</f>
        <v>Melting_Curves/meltCurve_P58004_SESN2.pdf</v>
      </c>
    </row>
    <row r="2873" spans="1:28" x14ac:dyDescent="0.25">
      <c r="A2873" t="s">
        <v>2877</v>
      </c>
      <c r="B2873">
        <v>0.99193492352474899</v>
      </c>
      <c r="C2873">
        <v>0.65077621565968802</v>
      </c>
      <c r="D2873">
        <v>0.94374366786983599</v>
      </c>
      <c r="E2873">
        <v>0.57726781782473202</v>
      </c>
      <c r="F2873">
        <v>0.22018113110454801</v>
      </c>
      <c r="G2873">
        <v>8.7487387703120201E-2</v>
      </c>
      <c r="H2873">
        <v>5.73330630659293E-2</v>
      </c>
      <c r="I2873">
        <v>6.2379512537362701E-2</v>
      </c>
      <c r="J2873">
        <v>7.7447162110690401E-2</v>
      </c>
      <c r="K2873">
        <v>8.9668890814488506E-2</v>
      </c>
      <c r="L2873">
        <v>989.73700346930605</v>
      </c>
      <c r="M2873">
        <v>19.8681549727803</v>
      </c>
      <c r="N2873">
        <v>50.074967948084698</v>
      </c>
      <c r="O2873">
        <v>49.3188286315158</v>
      </c>
      <c r="P2873">
        <v>-9.5785244657700205E-2</v>
      </c>
      <c r="Q2873">
        <v>4.8958988439970499E-2</v>
      </c>
      <c r="R2873">
        <v>0.91283164728018495</v>
      </c>
      <c r="S2873" t="s">
        <v>9543</v>
      </c>
      <c r="T2873" t="s">
        <v>13338</v>
      </c>
      <c r="U2873" t="s">
        <v>13338</v>
      </c>
      <c r="V2873" t="s">
        <v>13338</v>
      </c>
      <c r="W2873" t="s">
        <v>16168</v>
      </c>
      <c r="X2873">
        <v>7</v>
      </c>
      <c r="Y2873" t="s">
        <v>22721</v>
      </c>
      <c r="Z2873" t="s">
        <v>29288</v>
      </c>
      <c r="AA2873">
        <v>0.37353885312494051</v>
      </c>
      <c r="AB2873" t="str">
        <f>HYPERLINK("Melting_Curves/meltCurve_P58546_MTPN.pdf", "Melting_Curves/meltCurve_P58546_MTPN.pdf")</f>
        <v>Melting_Curves/meltCurve_P58546_MTPN.pdf</v>
      </c>
    </row>
    <row r="2874" spans="1:28" x14ac:dyDescent="0.25">
      <c r="A2874" t="s">
        <v>2878</v>
      </c>
      <c r="B2874">
        <v>0.99193492352474899</v>
      </c>
      <c r="C2874">
        <v>1.15585427721275</v>
      </c>
      <c r="D2874">
        <v>0.83694945788461494</v>
      </c>
      <c r="E2874">
        <v>0.37420888602461999</v>
      </c>
      <c r="F2874">
        <v>6.1171818238347601E-2</v>
      </c>
      <c r="G2874">
        <v>4.1677826247389103E-2</v>
      </c>
      <c r="H2874">
        <v>7.1327305945981098E-3</v>
      </c>
      <c r="I2874">
        <v>3.3595282548631297E-2</v>
      </c>
      <c r="J2874">
        <v>3.1586496903220497E-2</v>
      </c>
      <c r="K2874">
        <v>3.58316589508492E-2</v>
      </c>
      <c r="L2874">
        <v>1632.52501073398</v>
      </c>
      <c r="M2874">
        <v>33.566810843881299</v>
      </c>
      <c r="N2874">
        <v>48.713239285516899</v>
      </c>
      <c r="O2874">
        <v>48.463443589507698</v>
      </c>
      <c r="P2874">
        <v>-0.16861738421987299</v>
      </c>
      <c r="Q2874">
        <v>2.6211201365654101E-2</v>
      </c>
      <c r="R2874">
        <v>0.98391258745867305</v>
      </c>
      <c r="S2874" t="s">
        <v>9544</v>
      </c>
      <c r="T2874" t="s">
        <v>13338</v>
      </c>
      <c r="U2874" t="s">
        <v>13338</v>
      </c>
      <c r="V2874" t="s">
        <v>13338</v>
      </c>
      <c r="W2874" t="s">
        <v>16169</v>
      </c>
      <c r="X2874">
        <v>1</v>
      </c>
      <c r="Y2874" t="s">
        <v>22722</v>
      </c>
      <c r="Z2874" t="s">
        <v>29289</v>
      </c>
      <c r="AA2874">
        <v>0.31118862046068302</v>
      </c>
      <c r="AB2874" t="str">
        <f>HYPERLINK("Melting_Curves/meltCurve_P58557_2_YBEY.pdf", "Melting_Curves/meltCurve_P58557_2_YBEY.pdf")</f>
        <v>Melting_Curves/meltCurve_P58557_2_YBEY.pdf</v>
      </c>
    </row>
    <row r="2875" spans="1:28" x14ac:dyDescent="0.25">
      <c r="A2875" t="s">
        <v>2879</v>
      </c>
      <c r="B2875">
        <v>0.99193492352474899</v>
      </c>
      <c r="C2875">
        <v>0.93353211954439796</v>
      </c>
      <c r="D2875">
        <v>1.01496662536427</v>
      </c>
      <c r="E2875">
        <v>0.82900510959626195</v>
      </c>
      <c r="F2875">
        <v>0.646794899932572</v>
      </c>
      <c r="G2875">
        <v>0.39576728900340302</v>
      </c>
      <c r="H2875">
        <v>0.13643334734001999</v>
      </c>
      <c r="I2875">
        <v>0.14322001908869</v>
      </c>
      <c r="J2875">
        <v>0.105571424622126</v>
      </c>
      <c r="K2875">
        <v>0.16667020618908401</v>
      </c>
      <c r="L2875">
        <v>1054.5572947307201</v>
      </c>
      <c r="M2875">
        <v>19.460852420321299</v>
      </c>
      <c r="N2875">
        <v>54.837388323932501</v>
      </c>
      <c r="O2875">
        <v>53.626196009551897</v>
      </c>
      <c r="P2875">
        <v>-8.1398922224726597E-2</v>
      </c>
      <c r="Q2875">
        <v>0.102823213198381</v>
      </c>
      <c r="R2875">
        <v>0.98823744412766801</v>
      </c>
      <c r="S2875" t="s">
        <v>9545</v>
      </c>
      <c r="T2875" t="s">
        <v>13338</v>
      </c>
      <c r="U2875" t="s">
        <v>13338</v>
      </c>
      <c r="V2875" t="s">
        <v>13338</v>
      </c>
      <c r="W2875" t="s">
        <v>16170</v>
      </c>
      <c r="X2875">
        <v>3</v>
      </c>
      <c r="Y2875" t="s">
        <v>22723</v>
      </c>
      <c r="Z2875" t="s">
        <v>29290</v>
      </c>
      <c r="AA2875">
        <v>0.5398377486445225</v>
      </c>
      <c r="AB2875" t="str">
        <f>HYPERLINK("Melting_Curves/meltCurve_P59190_RAB15.pdf", "Melting_Curves/meltCurve_P59190_RAB15.pdf")</f>
        <v>Melting_Curves/meltCurve_P59190_RAB15.pdf</v>
      </c>
    </row>
    <row r="2876" spans="1:28" x14ac:dyDescent="0.25">
      <c r="A2876" t="s">
        <v>2880</v>
      </c>
      <c r="B2876">
        <v>0.99193492352474899</v>
      </c>
      <c r="C2876">
        <v>1.5982158554358701</v>
      </c>
      <c r="D2876">
        <v>0.63872434351498197</v>
      </c>
      <c r="E2876">
        <v>0.99741256886344998</v>
      </c>
      <c r="F2876">
        <v>0.43255310560536903</v>
      </c>
      <c r="G2876">
        <v>0.58477268165068597</v>
      </c>
      <c r="H2876">
        <v>0.47316057365721298</v>
      </c>
      <c r="I2876">
        <v>0.55964185031631097</v>
      </c>
      <c r="J2876">
        <v>0.17678123282001099</v>
      </c>
      <c r="K2876">
        <v>0.31395655930287297</v>
      </c>
      <c r="L2876">
        <v>963.15346086754596</v>
      </c>
      <c r="M2876">
        <v>18.4754685950242</v>
      </c>
      <c r="N2876">
        <v>56.049673505131302</v>
      </c>
      <c r="O2876">
        <v>51.532258320956203</v>
      </c>
      <c r="P2876">
        <v>-5.71351334417569E-2</v>
      </c>
      <c r="Q2876">
        <v>0.36257730360398799</v>
      </c>
      <c r="R2876">
        <v>0.59871000724574597</v>
      </c>
      <c r="S2876" t="s">
        <v>9546</v>
      </c>
      <c r="T2876" t="s">
        <v>13338</v>
      </c>
      <c r="U2876" t="s">
        <v>13338</v>
      </c>
      <c r="V2876" t="s">
        <v>13338</v>
      </c>
      <c r="W2876" t="s">
        <v>16171</v>
      </c>
      <c r="X2876">
        <v>2</v>
      </c>
      <c r="Y2876" t="s">
        <v>22724</v>
      </c>
      <c r="Z2876" t="s">
        <v>29291</v>
      </c>
      <c r="AA2876">
        <v>0.63046750987800881</v>
      </c>
      <c r="AB2876" t="str">
        <f>HYPERLINK("Melting_Curves/meltCurve_P60059_SEC61G.pdf", "Melting_Curves/meltCurve_P60059_SEC61G.pdf")</f>
        <v>Melting_Curves/meltCurve_P60059_SEC61G.pdf</v>
      </c>
    </row>
    <row r="2877" spans="1:28" x14ac:dyDescent="0.25">
      <c r="A2877" t="s">
        <v>2881</v>
      </c>
      <c r="B2877">
        <v>0.99193492352474899</v>
      </c>
      <c r="C2877">
        <v>0.92376111376039505</v>
      </c>
      <c r="D2877">
        <v>0.80822133264457197</v>
      </c>
      <c r="E2877">
        <v>0.84031912989393998</v>
      </c>
      <c r="F2877">
        <v>0.68268234126725202</v>
      </c>
      <c r="G2877">
        <v>0.54372834664255698</v>
      </c>
      <c r="H2877">
        <v>0.38132076696240103</v>
      </c>
      <c r="I2877">
        <v>0.201466074298424</v>
      </c>
      <c r="J2877">
        <v>0.19163996842643699</v>
      </c>
      <c r="K2877">
        <v>0.22186868346605701</v>
      </c>
      <c r="L2877">
        <v>505.49661319070998</v>
      </c>
      <c r="M2877">
        <v>8.8356301255955092</v>
      </c>
      <c r="N2877">
        <v>57.2111614238028</v>
      </c>
      <c r="O2877">
        <v>54.507835346915698</v>
      </c>
      <c r="P2877">
        <v>-4.0556129866383302E-2</v>
      </c>
      <c r="Q2877">
        <v>0</v>
      </c>
      <c r="R2877">
        <v>0.97506255641640904</v>
      </c>
      <c r="S2877" t="s">
        <v>9547</v>
      </c>
      <c r="T2877" t="s">
        <v>13338</v>
      </c>
      <c r="U2877" t="s">
        <v>13338</v>
      </c>
      <c r="V2877" t="s">
        <v>13338</v>
      </c>
      <c r="W2877" t="s">
        <v>16172</v>
      </c>
      <c r="X2877">
        <v>24</v>
      </c>
      <c r="Y2877" t="s">
        <v>22725</v>
      </c>
      <c r="Z2877" t="s">
        <v>29292</v>
      </c>
      <c r="AA2877">
        <v>0.58625823594534665</v>
      </c>
      <c r="AB2877" t="str">
        <f>HYPERLINK("Melting_Curves/meltCurve_P60174_TPI1.pdf", "Melting_Curves/meltCurve_P60174_TPI1.pdf")</f>
        <v>Melting_Curves/meltCurve_P60174_TPI1.pdf</v>
      </c>
    </row>
    <row r="2878" spans="1:28" x14ac:dyDescent="0.25">
      <c r="A2878" t="s">
        <v>2882</v>
      </c>
      <c r="B2878">
        <v>0.99193492352474899</v>
      </c>
      <c r="C2878">
        <v>0.64797457272499404</v>
      </c>
      <c r="D2878">
        <v>0.61347498003365797</v>
      </c>
      <c r="E2878">
        <v>0.21816093830929201</v>
      </c>
      <c r="F2878">
        <v>0.116191368735622</v>
      </c>
      <c r="G2878">
        <v>7.5424407828398002E-2</v>
      </c>
      <c r="H2878">
        <v>4.7292552839251503E-2</v>
      </c>
      <c r="I2878">
        <v>5.90063095637764E-2</v>
      </c>
      <c r="J2878">
        <v>5.8227182010014297E-2</v>
      </c>
      <c r="K2878">
        <v>7.5155424894631701E-2</v>
      </c>
      <c r="L2878">
        <v>753.85854834271902</v>
      </c>
      <c r="M2878">
        <v>16.4380946035511</v>
      </c>
      <c r="N2878">
        <v>46.123782782900001</v>
      </c>
      <c r="O2878">
        <v>45.197861750772098</v>
      </c>
      <c r="P2878">
        <v>-8.6856761659600004E-2</v>
      </c>
      <c r="Q2878">
        <v>4.4788798388341898E-2</v>
      </c>
      <c r="R2878">
        <v>0.96759288984554404</v>
      </c>
      <c r="S2878" t="s">
        <v>9548</v>
      </c>
      <c r="T2878" t="s">
        <v>13338</v>
      </c>
      <c r="U2878" t="s">
        <v>13338</v>
      </c>
      <c r="V2878" t="s">
        <v>13338</v>
      </c>
      <c r="W2878" t="s">
        <v>16173</v>
      </c>
      <c r="X2878">
        <v>18</v>
      </c>
      <c r="Y2878" t="s">
        <v>22726</v>
      </c>
      <c r="Z2878" t="s">
        <v>29293</v>
      </c>
      <c r="AA2878">
        <v>0.25457852591924418</v>
      </c>
      <c r="AB2878" t="str">
        <f>HYPERLINK("Melting_Curves/meltCurve_P60228_EIF3E.pdf", "Melting_Curves/meltCurve_P60228_EIF3E.pdf")</f>
        <v>Melting_Curves/meltCurve_P60228_EIF3E.pdf</v>
      </c>
    </row>
    <row r="2879" spans="1:28" x14ac:dyDescent="0.25">
      <c r="A2879" t="s">
        <v>2883</v>
      </c>
      <c r="B2879">
        <v>0.99193492352474899</v>
      </c>
      <c r="C2879">
        <v>0.61964611713211504</v>
      </c>
      <c r="D2879">
        <v>0.81397146189616898</v>
      </c>
      <c r="E2879">
        <v>0.647274231435921</v>
      </c>
      <c r="F2879">
        <v>0.47279751786290902</v>
      </c>
      <c r="G2879">
        <v>0.30985169418848002</v>
      </c>
      <c r="H2879">
        <v>0.30503948128769198</v>
      </c>
      <c r="I2879">
        <v>0.26669671335126599</v>
      </c>
      <c r="J2879">
        <v>0.30410455821472698</v>
      </c>
      <c r="K2879">
        <v>0.22233610975026299</v>
      </c>
      <c r="L2879">
        <v>404.980636360284</v>
      </c>
      <c r="M2879">
        <v>8.1236642632754492</v>
      </c>
      <c r="N2879">
        <v>52.269897239320201</v>
      </c>
      <c r="O2879">
        <v>47.103997617600498</v>
      </c>
      <c r="P2879">
        <v>-3.6401378385463097E-2</v>
      </c>
      <c r="Q2879">
        <v>0.156626402765812</v>
      </c>
      <c r="R2879">
        <v>0.88518629583613395</v>
      </c>
      <c r="S2879" t="s">
        <v>9549</v>
      </c>
      <c r="T2879" t="s">
        <v>13338</v>
      </c>
      <c r="U2879" t="s">
        <v>13338</v>
      </c>
      <c r="V2879" t="s">
        <v>13338</v>
      </c>
      <c r="W2879" t="s">
        <v>16174</v>
      </c>
      <c r="X2879">
        <v>2</v>
      </c>
      <c r="Y2879" t="s">
        <v>22727</v>
      </c>
      <c r="Z2879" t="s">
        <v>29294</v>
      </c>
      <c r="AA2879">
        <v>0.48378640836730258</v>
      </c>
      <c r="AB2879" t="str">
        <f>HYPERLINK("Melting_Curves/meltCurve_P60468_SEC61B.pdf", "Melting_Curves/meltCurve_P60468_SEC61B.pdf")</f>
        <v>Melting_Curves/meltCurve_P60468_SEC61B.pdf</v>
      </c>
    </row>
    <row r="2880" spans="1:28" x14ac:dyDescent="0.25">
      <c r="A2880" t="s">
        <v>2884</v>
      </c>
      <c r="B2880">
        <v>0.99193492352474899</v>
      </c>
      <c r="C2880">
        <v>0.98695673810256002</v>
      </c>
      <c r="D2880">
        <v>0.84923467597956304</v>
      </c>
      <c r="E2880">
        <v>0.75975971650987295</v>
      </c>
      <c r="F2880">
        <v>0.56686823476978698</v>
      </c>
      <c r="G2880">
        <v>0.40516993973320797</v>
      </c>
      <c r="H2880">
        <v>0.19906441448742401</v>
      </c>
      <c r="I2880">
        <v>0.137020162325283</v>
      </c>
      <c r="J2880">
        <v>0.13341966060522101</v>
      </c>
      <c r="K2880">
        <v>9.7884051070766906E-2</v>
      </c>
      <c r="L2880">
        <v>644.92813253035195</v>
      </c>
      <c r="M2880">
        <v>11.925767144039201</v>
      </c>
      <c r="N2880">
        <v>54.329813995955497</v>
      </c>
      <c r="O2880">
        <v>52.625256401319703</v>
      </c>
      <c r="P2880">
        <v>-5.5147724898571497E-2</v>
      </c>
      <c r="Q2880">
        <v>2.6830995661425699E-2</v>
      </c>
      <c r="R2880">
        <v>0.99525869250406895</v>
      </c>
      <c r="S2880" t="s">
        <v>9550</v>
      </c>
      <c r="T2880" t="s">
        <v>13338</v>
      </c>
      <c r="U2880" t="s">
        <v>13338</v>
      </c>
      <c r="V2880" t="s">
        <v>13338</v>
      </c>
      <c r="W2880" t="s">
        <v>16175</v>
      </c>
      <c r="X2880">
        <v>14</v>
      </c>
      <c r="Y2880" t="s">
        <v>22728</v>
      </c>
      <c r="Z2880" t="s">
        <v>29295</v>
      </c>
      <c r="AA2880">
        <v>0.50889120076721306</v>
      </c>
      <c r="AB2880" t="str">
        <f>HYPERLINK("Melting_Curves/meltCurve_P60510_PPP4C.pdf", "Melting_Curves/meltCurve_P60510_PPP4C.pdf")</f>
        <v>Melting_Curves/meltCurve_P60510_PPP4C.pdf</v>
      </c>
    </row>
    <row r="2881" spans="1:28" x14ac:dyDescent="0.25">
      <c r="A2881" t="s">
        <v>2885</v>
      </c>
      <c r="B2881">
        <v>0.99193492352474899</v>
      </c>
      <c r="C2881">
        <v>0.95515888790453896</v>
      </c>
      <c r="D2881">
        <v>0.91578765997513401</v>
      </c>
      <c r="E2881">
        <v>0.73679154731371099</v>
      </c>
      <c r="F2881">
        <v>0.53970814671075495</v>
      </c>
      <c r="G2881">
        <v>0.227669453602483</v>
      </c>
      <c r="H2881">
        <v>0.105006791879194</v>
      </c>
      <c r="I2881">
        <v>9.9160523537204101E-2</v>
      </c>
      <c r="J2881">
        <v>0.10666529816460001</v>
      </c>
      <c r="K2881">
        <v>0.10830706259289299</v>
      </c>
      <c r="L2881">
        <v>939.22940080157196</v>
      </c>
      <c r="M2881">
        <v>17.8805419743926</v>
      </c>
      <c r="N2881">
        <v>52.971783004757299</v>
      </c>
      <c r="O2881">
        <v>51.884218007948697</v>
      </c>
      <c r="P2881">
        <v>-8.0167315926842606E-2</v>
      </c>
      <c r="Q2881">
        <v>6.9556780228789805E-2</v>
      </c>
      <c r="R2881">
        <v>0.99359366721599596</v>
      </c>
      <c r="S2881" t="s">
        <v>9551</v>
      </c>
      <c r="T2881" t="s">
        <v>13338</v>
      </c>
      <c r="U2881" t="s">
        <v>13338</v>
      </c>
      <c r="V2881" t="s">
        <v>13338</v>
      </c>
      <c r="W2881" t="s">
        <v>16176</v>
      </c>
      <c r="X2881">
        <v>8</v>
      </c>
      <c r="Y2881" t="s">
        <v>22729</v>
      </c>
      <c r="Z2881" t="s">
        <v>29296</v>
      </c>
      <c r="AA2881">
        <v>0.4736418535380601</v>
      </c>
      <c r="AB2881" t="str">
        <f>HYPERLINK("Melting_Curves/meltCurve_P60520_GABARAPL2.pdf", "Melting_Curves/meltCurve_P60520_GABARAPL2.pdf")</f>
        <v>Melting_Curves/meltCurve_P60520_GABARAPL2.pdf</v>
      </c>
    </row>
    <row r="2882" spans="1:28" x14ac:dyDescent="0.25">
      <c r="A2882" t="s">
        <v>2886</v>
      </c>
      <c r="B2882">
        <v>0.99193492352474899</v>
      </c>
      <c r="C2882">
        <v>1.0490797380768899</v>
      </c>
      <c r="D2882">
        <v>1.0901550199160801</v>
      </c>
      <c r="E2882">
        <v>0.97773071753901297</v>
      </c>
      <c r="F2882">
        <v>0.76847223693073696</v>
      </c>
      <c r="G2882">
        <v>0.70786200713470704</v>
      </c>
      <c r="H2882">
        <v>0.62111276526210901</v>
      </c>
      <c r="I2882">
        <v>0.65791406876416803</v>
      </c>
      <c r="J2882">
        <v>0.73744623083953098</v>
      </c>
      <c r="K2882">
        <v>1.03049986182542</v>
      </c>
      <c r="L2882">
        <v>3721.6982660638</v>
      </c>
      <c r="M2882">
        <v>72.6604641081355</v>
      </c>
      <c r="O2882">
        <v>51.181646091757898</v>
      </c>
      <c r="P2882">
        <v>-8.8293258775472699E-2</v>
      </c>
      <c r="Q2882">
        <v>0.75122683540360402</v>
      </c>
      <c r="R2882">
        <v>0.60349644240937494</v>
      </c>
      <c r="S2882" t="s">
        <v>9552</v>
      </c>
      <c r="T2882" t="s">
        <v>13338</v>
      </c>
      <c r="U2882" t="s">
        <v>13338</v>
      </c>
      <c r="V2882" t="s">
        <v>13338</v>
      </c>
      <c r="W2882" t="s">
        <v>16177</v>
      </c>
      <c r="X2882">
        <v>5</v>
      </c>
      <c r="Y2882" t="s">
        <v>22730</v>
      </c>
      <c r="Z2882" t="s">
        <v>29297</v>
      </c>
      <c r="AA2882">
        <v>0.84453671066324487</v>
      </c>
      <c r="AB2882" t="str">
        <f>HYPERLINK("Melting_Curves/meltCurve_P60602_ROMO1.pdf", "Melting_Curves/meltCurve_P60602_ROMO1.pdf")</f>
        <v>Melting_Curves/meltCurve_P60602_ROMO1.pdf</v>
      </c>
    </row>
    <row r="2883" spans="1:28" x14ac:dyDescent="0.25">
      <c r="A2883" t="s">
        <v>2887</v>
      </c>
      <c r="B2883">
        <v>0.99193492352474899</v>
      </c>
      <c r="C2883">
        <v>0.95394193247580095</v>
      </c>
      <c r="D2883">
        <v>0.94531194366224502</v>
      </c>
      <c r="E2883">
        <v>0.48967431977460102</v>
      </c>
      <c r="F2883">
        <v>0.28246019034320602</v>
      </c>
      <c r="G2883">
        <v>0.16734312913710001</v>
      </c>
      <c r="H2883">
        <v>0.12277237238984599</v>
      </c>
      <c r="I2883">
        <v>0.148383336587605</v>
      </c>
      <c r="J2883">
        <v>0.173358725975119</v>
      </c>
      <c r="K2883">
        <v>0.17176569534348901</v>
      </c>
      <c r="L2883">
        <v>1503.13895662501</v>
      </c>
      <c r="M2883">
        <v>30.598443438495401</v>
      </c>
      <c r="N2883">
        <v>49.750984169203697</v>
      </c>
      <c r="O2883">
        <v>48.9162941150935</v>
      </c>
      <c r="P2883">
        <v>-0.13138594940032899</v>
      </c>
      <c r="Q2883">
        <v>0.159842879620227</v>
      </c>
      <c r="R2883">
        <v>0.99348322707081205</v>
      </c>
      <c r="S2883" t="s">
        <v>9553</v>
      </c>
      <c r="T2883" t="s">
        <v>13338</v>
      </c>
      <c r="U2883" t="s">
        <v>13338</v>
      </c>
      <c r="V2883" t="s">
        <v>13338</v>
      </c>
      <c r="W2883" t="s">
        <v>16178</v>
      </c>
      <c r="X2883">
        <v>2</v>
      </c>
      <c r="Y2883" t="s">
        <v>22731</v>
      </c>
      <c r="Z2883" t="s">
        <v>29298</v>
      </c>
      <c r="AA2883">
        <v>0.42030524287991211</v>
      </c>
      <c r="AB2883" t="str">
        <f>HYPERLINK("Melting_Curves/meltCurve_P60604_2_UBE2G2.pdf", "Melting_Curves/meltCurve_P60604_2_UBE2G2.pdf")</f>
        <v>Melting_Curves/meltCurve_P60604_2_UBE2G2.pdf</v>
      </c>
    </row>
    <row r="2884" spans="1:28" x14ac:dyDescent="0.25">
      <c r="A2884" t="s">
        <v>2888</v>
      </c>
      <c r="B2884">
        <v>0.99193492352474899</v>
      </c>
      <c r="C2884">
        <v>1.0077715417188899</v>
      </c>
      <c r="D2884">
        <v>0.786686960949321</v>
      </c>
      <c r="E2884">
        <v>0.72768276796633502</v>
      </c>
      <c r="F2884">
        <v>0.52219246272064401</v>
      </c>
      <c r="G2884">
        <v>0.36951606074797599</v>
      </c>
      <c r="H2884">
        <v>0.28217265914908601</v>
      </c>
      <c r="I2884">
        <v>0.36495237557820298</v>
      </c>
      <c r="J2884">
        <v>0.33660866395834099</v>
      </c>
      <c r="K2884">
        <v>0.18335265335168999</v>
      </c>
      <c r="L2884">
        <v>699.12060033881301</v>
      </c>
      <c r="M2884">
        <v>13.734042151192201</v>
      </c>
      <c r="N2884">
        <v>53.5971859868162</v>
      </c>
      <c r="O2884">
        <v>49.861397102924101</v>
      </c>
      <c r="P2884">
        <v>-5.1706388030222698E-2</v>
      </c>
      <c r="Q2884">
        <v>0.24922764865119301</v>
      </c>
      <c r="R2884">
        <v>0.96471641823024001</v>
      </c>
      <c r="S2884" t="s">
        <v>9554</v>
      </c>
      <c r="T2884" t="s">
        <v>13338</v>
      </c>
      <c r="U2884" t="s">
        <v>13338</v>
      </c>
      <c r="V2884" t="s">
        <v>13338</v>
      </c>
      <c r="W2884" t="s">
        <v>16179</v>
      </c>
      <c r="X2884">
        <v>36</v>
      </c>
      <c r="Y2884" t="s">
        <v>22732</v>
      </c>
      <c r="Z2884" t="s">
        <v>29299</v>
      </c>
      <c r="AA2884">
        <v>0.54219136005382806</v>
      </c>
      <c r="AB2884" t="str">
        <f>HYPERLINK("Melting_Curves/meltCurve_P60709_ACTB.pdf", "Melting_Curves/meltCurve_P60709_ACTB.pdf")</f>
        <v>Melting_Curves/meltCurve_P60709_ACTB.pdf</v>
      </c>
    </row>
    <row r="2885" spans="1:28" x14ac:dyDescent="0.25">
      <c r="A2885" t="s">
        <v>2889</v>
      </c>
      <c r="B2885">
        <v>0.99193492352474899</v>
      </c>
      <c r="C2885">
        <v>0.97210476223894904</v>
      </c>
      <c r="D2885">
        <v>0.34778714628128099</v>
      </c>
      <c r="E2885">
        <v>0.606211492754262</v>
      </c>
      <c r="F2885">
        <v>0.36684006086138599</v>
      </c>
      <c r="G2885">
        <v>0.24446278083245301</v>
      </c>
      <c r="H2885">
        <v>0.106478491290755</v>
      </c>
      <c r="I2885">
        <v>0.13359455466936701</v>
      </c>
      <c r="J2885">
        <v>8.0501788716362196E-2</v>
      </c>
      <c r="K2885">
        <v>0.13481363765802701</v>
      </c>
      <c r="L2885">
        <v>528.95574927774896</v>
      </c>
      <c r="M2885">
        <v>10.959926151941399</v>
      </c>
      <c r="N2885">
        <v>48.986891519361997</v>
      </c>
      <c r="O2885">
        <v>46.739409034808503</v>
      </c>
      <c r="P2885">
        <v>-5.4256854379049001E-2</v>
      </c>
      <c r="Q2885">
        <v>7.4787031945299801E-2</v>
      </c>
      <c r="R2885">
        <v>0.85604274061666197</v>
      </c>
      <c r="S2885" t="s">
        <v>9555</v>
      </c>
      <c r="T2885" t="s">
        <v>13338</v>
      </c>
      <c r="U2885" t="s">
        <v>13338</v>
      </c>
      <c r="V2885" t="s">
        <v>13338</v>
      </c>
      <c r="W2885" t="s">
        <v>16180</v>
      </c>
      <c r="X2885">
        <v>8</v>
      </c>
      <c r="Y2885" t="s">
        <v>22733</v>
      </c>
      <c r="Z2885" t="s">
        <v>29300</v>
      </c>
      <c r="AA2885">
        <v>0.37110850763960929</v>
      </c>
      <c r="AB2885" t="str">
        <f>HYPERLINK("Melting_Curves/meltCurve_P60763_RAC3.pdf", "Melting_Curves/meltCurve_P60763_RAC3.pdf")</f>
        <v>Melting_Curves/meltCurve_P60763_RAC3.pdf</v>
      </c>
    </row>
    <row r="2886" spans="1:28" x14ac:dyDescent="0.25">
      <c r="A2886" t="s">
        <v>2890</v>
      </c>
      <c r="B2886">
        <v>0.99193492352474899</v>
      </c>
      <c r="C2886">
        <v>0.88307791318674</v>
      </c>
      <c r="D2886">
        <v>0.84775574085028504</v>
      </c>
      <c r="E2886">
        <v>0.56131837373549098</v>
      </c>
      <c r="F2886">
        <v>0.24134880027553701</v>
      </c>
      <c r="G2886">
        <v>0.117902705509707</v>
      </c>
      <c r="H2886">
        <v>6.2292094303506997E-2</v>
      </c>
      <c r="I2886">
        <v>6.9880216636081696E-2</v>
      </c>
      <c r="J2886">
        <v>7.0076408885685407E-2</v>
      </c>
      <c r="K2886">
        <v>8.3014591039616503E-2</v>
      </c>
      <c r="L2886">
        <v>973.15806384935399</v>
      </c>
      <c r="M2886">
        <v>19.5823868610955</v>
      </c>
      <c r="N2886">
        <v>49.997873453003102</v>
      </c>
      <c r="O2886">
        <v>49.186025504689603</v>
      </c>
      <c r="P2886">
        <v>-9.3978821507522597E-2</v>
      </c>
      <c r="Q2886">
        <v>5.5828633008000998E-2</v>
      </c>
      <c r="R2886">
        <v>0.994027894506753</v>
      </c>
      <c r="S2886" t="s">
        <v>9556</v>
      </c>
      <c r="T2886" t="s">
        <v>13338</v>
      </c>
      <c r="U2886" t="s">
        <v>13338</v>
      </c>
      <c r="V2886" t="s">
        <v>13338</v>
      </c>
      <c r="W2886" t="s">
        <v>16181</v>
      </c>
      <c r="X2886">
        <v>34</v>
      </c>
      <c r="Y2886" t="s">
        <v>22734</v>
      </c>
      <c r="Z2886" t="s">
        <v>29301</v>
      </c>
      <c r="AA2886">
        <v>0.37469230334745529</v>
      </c>
      <c r="AB2886" t="str">
        <f>HYPERLINK("Melting_Curves/meltCurve_P60842_EIF4A1.pdf", "Melting_Curves/meltCurve_P60842_EIF4A1.pdf")</f>
        <v>Melting_Curves/meltCurve_P60842_EIF4A1.pdf</v>
      </c>
    </row>
    <row r="2887" spans="1:28" x14ac:dyDescent="0.25">
      <c r="A2887" t="s">
        <v>2891</v>
      </c>
      <c r="B2887">
        <v>0.99193492352474899</v>
      </c>
      <c r="C2887">
        <v>0.879823947495597</v>
      </c>
      <c r="D2887">
        <v>0.72570120661765802</v>
      </c>
      <c r="E2887">
        <v>0.85611080666196604</v>
      </c>
      <c r="F2887">
        <v>0.41268607947519798</v>
      </c>
      <c r="G2887">
        <v>0.23836179426186599</v>
      </c>
      <c r="H2887">
        <v>0.10825376381160499</v>
      </c>
      <c r="I2887">
        <v>9.9222369199632898E-2</v>
      </c>
      <c r="J2887">
        <v>9.3902081201312895E-2</v>
      </c>
      <c r="K2887">
        <v>0.10290908655662601</v>
      </c>
      <c r="L2887">
        <v>721.90488938114299</v>
      </c>
      <c r="M2887">
        <v>13.8472685368525</v>
      </c>
      <c r="N2887">
        <v>52.411453652835597</v>
      </c>
      <c r="O2887">
        <v>51.082191801671698</v>
      </c>
      <c r="P2887">
        <v>-6.5378369388515906E-2</v>
      </c>
      <c r="Q2887">
        <v>3.54172231192732E-2</v>
      </c>
      <c r="R2887">
        <v>0.94993785323076696</v>
      </c>
      <c r="S2887" t="s">
        <v>9557</v>
      </c>
      <c r="T2887" t="s">
        <v>13338</v>
      </c>
      <c r="U2887" t="s">
        <v>13338</v>
      </c>
      <c r="V2887" t="s">
        <v>13338</v>
      </c>
      <c r="W2887" t="s">
        <v>16182</v>
      </c>
      <c r="X2887">
        <v>9</v>
      </c>
      <c r="Y2887" t="s">
        <v>22735</v>
      </c>
      <c r="Z2887" t="s">
        <v>29302</v>
      </c>
      <c r="AA2887">
        <v>0.4496744124463784</v>
      </c>
      <c r="AB2887" t="str">
        <f>HYPERLINK("Melting_Curves/meltCurve_P60866_RPS20.pdf", "Melting_Curves/meltCurve_P60866_RPS20.pdf")</f>
        <v>Melting_Curves/meltCurve_P60866_RPS20.pdf</v>
      </c>
    </row>
    <row r="2888" spans="1:28" x14ac:dyDescent="0.25">
      <c r="A2888" t="s">
        <v>2892</v>
      </c>
      <c r="B2888">
        <v>0.99193492352474899</v>
      </c>
      <c r="C2888">
        <v>0.92896314870915897</v>
      </c>
      <c r="D2888">
        <v>0.89583863088169702</v>
      </c>
      <c r="E2888">
        <v>0.52926029878623904</v>
      </c>
      <c r="F2888">
        <v>0.34121627185964198</v>
      </c>
      <c r="G2888">
        <v>0.29598740104117599</v>
      </c>
      <c r="H2888">
        <v>0.232869184770499</v>
      </c>
      <c r="I2888">
        <v>0.33614571620357903</v>
      </c>
      <c r="J2888">
        <v>0.39964435231200501</v>
      </c>
      <c r="K2888">
        <v>0.40032521510086799</v>
      </c>
      <c r="L2888">
        <v>1613.3919800891299</v>
      </c>
      <c r="M2888">
        <v>33.432269390731904</v>
      </c>
      <c r="N2888">
        <v>49.8640953241555</v>
      </c>
      <c r="O2888">
        <v>48.086825689251398</v>
      </c>
      <c r="P2888">
        <v>-0.11652329775628099</v>
      </c>
      <c r="Q2888">
        <v>0.32960412899723301</v>
      </c>
      <c r="R2888">
        <v>0.96695536065934795</v>
      </c>
      <c r="S2888" t="s">
        <v>9558</v>
      </c>
      <c r="T2888" t="s">
        <v>13338</v>
      </c>
      <c r="U2888" t="s">
        <v>13338</v>
      </c>
      <c r="V2888" t="s">
        <v>13338</v>
      </c>
      <c r="W2888" t="s">
        <v>16183</v>
      </c>
      <c r="X2888">
        <v>4</v>
      </c>
      <c r="Y2888" t="s">
        <v>22736</v>
      </c>
      <c r="Z2888" t="s">
        <v>29303</v>
      </c>
      <c r="AA2888">
        <v>0.51738697676847845</v>
      </c>
      <c r="AB2888" t="str">
        <f>HYPERLINK("Melting_Curves/meltCurve_P60880_2_SNAP25.pdf", "Melting_Curves/meltCurve_P60880_2_SNAP25.pdf")</f>
        <v>Melting_Curves/meltCurve_P60880_2_SNAP25.pdf</v>
      </c>
    </row>
    <row r="2889" spans="1:28" x14ac:dyDescent="0.25">
      <c r="A2889" t="s">
        <v>2893</v>
      </c>
      <c r="B2889">
        <v>0.99193492352474899</v>
      </c>
      <c r="C2889">
        <v>0.89884628282489398</v>
      </c>
      <c r="D2889">
        <v>0.97559770176591298</v>
      </c>
      <c r="E2889">
        <v>0.751907005084271</v>
      </c>
      <c r="F2889">
        <v>0.81441225429300601</v>
      </c>
      <c r="G2889">
        <v>0.57830424781451595</v>
      </c>
      <c r="H2889">
        <v>0.36388095721286001</v>
      </c>
      <c r="I2889">
        <v>0.14551831790990899</v>
      </c>
      <c r="J2889">
        <v>0.14797586447029901</v>
      </c>
      <c r="K2889">
        <v>0.12661158939403699</v>
      </c>
      <c r="L2889">
        <v>701.91543520902599</v>
      </c>
      <c r="M2889">
        <v>12.175604906636099</v>
      </c>
      <c r="N2889">
        <v>57.649308056977098</v>
      </c>
      <c r="O2889">
        <v>56.160334401331902</v>
      </c>
      <c r="P2889">
        <v>-5.4212548390550001E-2</v>
      </c>
      <c r="Q2889">
        <v>0</v>
      </c>
      <c r="R2889">
        <v>0.96566038198072901</v>
      </c>
      <c r="S2889" t="s">
        <v>9559</v>
      </c>
      <c r="T2889" t="s">
        <v>13338</v>
      </c>
      <c r="U2889" t="s">
        <v>13338</v>
      </c>
      <c r="V2889" t="s">
        <v>13338</v>
      </c>
      <c r="W2889" t="s">
        <v>16184</v>
      </c>
      <c r="X2889">
        <v>22</v>
      </c>
      <c r="Y2889" t="s">
        <v>22737</v>
      </c>
      <c r="Z2889" t="s">
        <v>29304</v>
      </c>
      <c r="AA2889">
        <v>0.60261907001858761</v>
      </c>
      <c r="AB2889" t="str">
        <f>HYPERLINK("Melting_Curves/meltCurve_P60891_PRPS1.pdf", "Melting_Curves/meltCurve_P60891_PRPS1.pdf")</f>
        <v>Melting_Curves/meltCurve_P60891_PRPS1.pdf</v>
      </c>
    </row>
    <row r="2890" spans="1:28" x14ac:dyDescent="0.25">
      <c r="A2890" t="s">
        <v>2894</v>
      </c>
      <c r="B2890">
        <v>0.99193492352474899</v>
      </c>
      <c r="C2890">
        <v>1.1069520934019299</v>
      </c>
      <c r="D2890">
        <v>0.48059312903656898</v>
      </c>
      <c r="E2890">
        <v>0.99751640453644397</v>
      </c>
      <c r="F2890">
        <v>0.205875315494851</v>
      </c>
      <c r="G2890">
        <v>0.38026789263077598</v>
      </c>
      <c r="H2890">
        <v>0.50452442142814802</v>
      </c>
      <c r="I2890">
        <v>0.56053762483935698</v>
      </c>
      <c r="J2890">
        <v>0.15780686090558099</v>
      </c>
      <c r="K2890">
        <v>0.155052967044819</v>
      </c>
      <c r="L2890">
        <v>607.36126840331406</v>
      </c>
      <c r="M2890">
        <v>12.192448236339599</v>
      </c>
      <c r="N2890">
        <v>53.190250520550599</v>
      </c>
      <c r="O2890">
        <v>48.531294569870703</v>
      </c>
      <c r="P2890">
        <v>-4.5899209214099498E-2</v>
      </c>
      <c r="Q2890">
        <v>0.26936931691231503</v>
      </c>
      <c r="R2890">
        <v>0.58849756731594105</v>
      </c>
      <c r="S2890" t="s">
        <v>9560</v>
      </c>
      <c r="T2890" t="s">
        <v>13338</v>
      </c>
      <c r="U2890" t="s">
        <v>13338</v>
      </c>
      <c r="V2890" t="s">
        <v>13338</v>
      </c>
      <c r="W2890" t="s">
        <v>16185</v>
      </c>
      <c r="X2890">
        <v>1</v>
      </c>
      <c r="Y2890" t="s">
        <v>22738</v>
      </c>
      <c r="Z2890" t="s">
        <v>29305</v>
      </c>
      <c r="AA2890">
        <v>0.53332636363322983</v>
      </c>
      <c r="AB2890" t="str">
        <f>HYPERLINK("Melting_Curves/meltCurve_P60896_SHFM1.pdf", "Melting_Curves/meltCurve_P60896_SHFM1.pdf")</f>
        <v>Melting_Curves/meltCurve_P60896_SHFM1.pdf</v>
      </c>
    </row>
    <row r="2891" spans="1:28" x14ac:dyDescent="0.25">
      <c r="A2891" t="s">
        <v>2895</v>
      </c>
      <c r="B2891">
        <v>0.99193492352474899</v>
      </c>
      <c r="C2891">
        <v>1.0342234284619001</v>
      </c>
      <c r="D2891">
        <v>0.98595860690300696</v>
      </c>
      <c r="E2891">
        <v>0.88134850160540201</v>
      </c>
      <c r="F2891">
        <v>0.94390207255852998</v>
      </c>
      <c r="G2891">
        <v>0.85872180497077399</v>
      </c>
      <c r="H2891">
        <v>0.61918124522333096</v>
      </c>
      <c r="I2891">
        <v>0.63587976645917799</v>
      </c>
      <c r="J2891">
        <v>0.52509706650508003</v>
      </c>
      <c r="K2891">
        <v>0.25754326260180599</v>
      </c>
      <c r="L2891">
        <v>680.67773979669596</v>
      </c>
      <c r="M2891">
        <v>10.352447093443701</v>
      </c>
      <c r="N2891">
        <v>65.750412622225795</v>
      </c>
      <c r="O2891">
        <v>63.438918184165303</v>
      </c>
      <c r="P2891">
        <v>-4.0814287510898502E-2</v>
      </c>
      <c r="Q2891">
        <v>0</v>
      </c>
      <c r="R2891">
        <v>0.940204847829613</v>
      </c>
      <c r="S2891" t="s">
        <v>9561</v>
      </c>
      <c r="T2891" t="s">
        <v>13338</v>
      </c>
      <c r="U2891" t="s">
        <v>13338</v>
      </c>
      <c r="V2891" t="s">
        <v>13338</v>
      </c>
      <c r="W2891" t="s">
        <v>16186</v>
      </c>
      <c r="X2891">
        <v>19</v>
      </c>
      <c r="Y2891" t="s">
        <v>22739</v>
      </c>
      <c r="Z2891" t="s">
        <v>29306</v>
      </c>
      <c r="AA2891">
        <v>0.7972525468845989</v>
      </c>
      <c r="AB2891" t="str">
        <f>HYPERLINK("Melting_Curves/meltCurve_P60900_PSMA6.pdf", "Melting_Curves/meltCurve_P60900_PSMA6.pdf")</f>
        <v>Melting_Curves/meltCurve_P60900_PSMA6.pdf</v>
      </c>
    </row>
    <row r="2892" spans="1:28" x14ac:dyDescent="0.25">
      <c r="A2892" t="s">
        <v>2896</v>
      </c>
      <c r="B2892">
        <v>0.99193492352474899</v>
      </c>
      <c r="C2892">
        <v>0.47436648391210001</v>
      </c>
      <c r="D2892">
        <v>0.91080633281279699</v>
      </c>
      <c r="E2892">
        <v>0.33700249079131001</v>
      </c>
      <c r="F2892">
        <v>0.192565983575469</v>
      </c>
      <c r="G2892">
        <v>9.1290558825634902E-2</v>
      </c>
      <c r="H2892">
        <v>7.3910163650134295E-2</v>
      </c>
      <c r="I2892">
        <v>6.5167998527461996E-2</v>
      </c>
      <c r="J2892">
        <v>9.7576838572228694E-2</v>
      </c>
      <c r="K2892">
        <v>0.104764227195337</v>
      </c>
      <c r="L2892">
        <v>579.72649321519202</v>
      </c>
      <c r="M2892">
        <v>12.217073133901099</v>
      </c>
      <c r="N2892">
        <v>47.727628733634901</v>
      </c>
      <c r="O2892">
        <v>46.234498049707902</v>
      </c>
      <c r="P2892">
        <v>-6.3825961881286003E-2</v>
      </c>
      <c r="Q2892">
        <v>3.4041034652511099E-2</v>
      </c>
      <c r="R2892">
        <v>0.80946373935125704</v>
      </c>
      <c r="S2892" t="s">
        <v>9562</v>
      </c>
      <c r="T2892" t="s">
        <v>13338</v>
      </c>
      <c r="U2892" t="s">
        <v>13338</v>
      </c>
      <c r="V2892" t="s">
        <v>13338</v>
      </c>
      <c r="W2892" t="s">
        <v>16187</v>
      </c>
      <c r="X2892">
        <v>2</v>
      </c>
      <c r="Y2892" t="s">
        <v>22740</v>
      </c>
      <c r="Z2892" t="s">
        <v>29307</v>
      </c>
      <c r="AA2892">
        <v>0.3119752878226445</v>
      </c>
      <c r="AB2892" t="str">
        <f>HYPERLINK("Melting_Curves/meltCurve_P60903_S100A10.pdf", "Melting_Curves/meltCurve_P60903_S100A10.pdf")</f>
        <v>Melting_Curves/meltCurve_P60903_S100A10.pdf</v>
      </c>
    </row>
    <row r="2893" spans="1:28" x14ac:dyDescent="0.25">
      <c r="A2893" t="s">
        <v>2897</v>
      </c>
      <c r="B2893">
        <v>0.99193492352474899</v>
      </c>
      <c r="C2893">
        <v>1.0114062199931</v>
      </c>
      <c r="D2893">
        <v>0.88989869202974503</v>
      </c>
      <c r="E2893">
        <v>0.86826990563678397</v>
      </c>
      <c r="F2893">
        <v>0.69398765754286595</v>
      </c>
      <c r="G2893">
        <v>0.45079603138357999</v>
      </c>
      <c r="H2893">
        <v>0.33815074732195899</v>
      </c>
      <c r="I2893">
        <v>0.304298134395179</v>
      </c>
      <c r="J2893">
        <v>0.241696037142137</v>
      </c>
      <c r="K2893">
        <v>0.20010043915135201</v>
      </c>
      <c r="L2893">
        <v>778.92460202024699</v>
      </c>
      <c r="M2893">
        <v>14.2455419923617</v>
      </c>
      <c r="N2893">
        <v>56.487517363457002</v>
      </c>
      <c r="O2893">
        <v>53.634847722527397</v>
      </c>
      <c r="P2893">
        <v>-5.4245196857461001E-2</v>
      </c>
      <c r="Q2893">
        <v>0.18316250799766201</v>
      </c>
      <c r="R2893">
        <v>0.99205497391588104</v>
      </c>
      <c r="S2893" t="s">
        <v>9563</v>
      </c>
      <c r="T2893" t="s">
        <v>13338</v>
      </c>
      <c r="U2893" t="s">
        <v>13338</v>
      </c>
      <c r="V2893" t="s">
        <v>13338</v>
      </c>
      <c r="W2893" t="s">
        <v>16188</v>
      </c>
      <c r="X2893">
        <v>12</v>
      </c>
      <c r="Y2893" t="s">
        <v>22741</v>
      </c>
      <c r="Z2893" t="s">
        <v>29308</v>
      </c>
      <c r="AA2893">
        <v>0.5998515836705447</v>
      </c>
      <c r="AB2893" t="str">
        <f>HYPERLINK("Melting_Curves/meltCurve_P60953_CDC42.pdf", "Melting_Curves/meltCurve_P60953_CDC42.pdf")</f>
        <v>Melting_Curves/meltCurve_P60953_CDC42.pdf</v>
      </c>
    </row>
    <row r="2894" spans="1:28" x14ac:dyDescent="0.25">
      <c r="A2894" t="s">
        <v>2898</v>
      </c>
      <c r="B2894">
        <v>0.99193492352474899</v>
      </c>
      <c r="C2894">
        <v>1.02573092239853</v>
      </c>
      <c r="D2894">
        <v>0.79094928995948399</v>
      </c>
      <c r="E2894">
        <v>0.88615111684771697</v>
      </c>
      <c r="F2894">
        <v>0.66995510903537703</v>
      </c>
      <c r="G2894">
        <v>0.57524928652195295</v>
      </c>
      <c r="H2894">
        <v>0.44955091844426098</v>
      </c>
      <c r="I2894">
        <v>0.45476846724037101</v>
      </c>
      <c r="J2894">
        <v>0.385897155452056</v>
      </c>
      <c r="K2894">
        <v>0.20895363453922899</v>
      </c>
      <c r="L2894">
        <v>419.23231967001198</v>
      </c>
      <c r="M2894">
        <v>7.0100369974410199</v>
      </c>
      <c r="N2894">
        <v>60.049005631548297</v>
      </c>
      <c r="O2894">
        <v>55.508474683760099</v>
      </c>
      <c r="P2894">
        <v>-3.118527325513E-2</v>
      </c>
      <c r="Q2894">
        <v>1.40653026712698E-2</v>
      </c>
      <c r="R2894">
        <v>0.94480532820462404</v>
      </c>
      <c r="S2894" t="s">
        <v>9564</v>
      </c>
      <c r="T2894" t="s">
        <v>13338</v>
      </c>
      <c r="U2894" t="s">
        <v>13338</v>
      </c>
      <c r="V2894" t="s">
        <v>13338</v>
      </c>
      <c r="W2894" t="s">
        <v>16189</v>
      </c>
      <c r="X2894">
        <v>10</v>
      </c>
      <c r="Y2894" t="s">
        <v>22741</v>
      </c>
      <c r="Z2894" t="s">
        <v>29309</v>
      </c>
      <c r="AA2894">
        <v>0.64422106621640474</v>
      </c>
      <c r="AB2894" t="str">
        <f>HYPERLINK("Melting_Curves/meltCurve_P60953_1_CDC42.pdf", "Melting_Curves/meltCurve_P60953_1_CDC42.pdf")</f>
        <v>Melting_Curves/meltCurve_P60953_1_CDC42.pdf</v>
      </c>
    </row>
    <row r="2895" spans="1:28" x14ac:dyDescent="0.25">
      <c r="A2895" t="s">
        <v>2899</v>
      </c>
      <c r="B2895">
        <v>0.99193492352474899</v>
      </c>
      <c r="C2895">
        <v>0.79343785857806703</v>
      </c>
      <c r="D2895">
        <v>0.92599918366679201</v>
      </c>
      <c r="E2895">
        <v>0.75121996466780505</v>
      </c>
      <c r="F2895">
        <v>0.43759986245887</v>
      </c>
      <c r="G2895">
        <v>0.12441586351922899</v>
      </c>
      <c r="H2895">
        <v>7.4488339910586093E-2</v>
      </c>
      <c r="I2895">
        <v>6.87760554663122E-2</v>
      </c>
      <c r="J2895">
        <v>9.4271437484722498E-2</v>
      </c>
      <c r="K2895">
        <v>9.5612679229509903E-2</v>
      </c>
      <c r="L2895">
        <v>1109.83775920879</v>
      </c>
      <c r="M2895">
        <v>21.420688893803199</v>
      </c>
      <c r="N2895">
        <v>52.123116678895897</v>
      </c>
      <c r="O2895">
        <v>51.366274330377301</v>
      </c>
      <c r="P2895">
        <v>-9.7991062533407294E-2</v>
      </c>
      <c r="Q2895">
        <v>6.0102887162725403E-2</v>
      </c>
      <c r="R2895">
        <v>0.96649809851678303</v>
      </c>
      <c r="S2895" t="s">
        <v>9565</v>
      </c>
      <c r="T2895" t="s">
        <v>13338</v>
      </c>
      <c r="U2895" t="s">
        <v>13338</v>
      </c>
      <c r="V2895" t="s">
        <v>13338</v>
      </c>
      <c r="W2895" t="s">
        <v>16190</v>
      </c>
      <c r="X2895">
        <v>14</v>
      </c>
      <c r="Y2895" t="s">
        <v>22742</v>
      </c>
      <c r="Z2895" t="s">
        <v>29310</v>
      </c>
      <c r="AA2895">
        <v>0.44163527658146878</v>
      </c>
      <c r="AB2895" t="str">
        <f>HYPERLINK("Melting_Curves/meltCurve_P60981_DSTN.pdf", "Melting_Curves/meltCurve_P60981_DSTN.pdf")</f>
        <v>Melting_Curves/meltCurve_P60981_DSTN.pdf</v>
      </c>
    </row>
    <row r="2896" spans="1:28" x14ac:dyDescent="0.25">
      <c r="A2896" t="s">
        <v>2900</v>
      </c>
      <c r="B2896">
        <v>0.99193492352474899</v>
      </c>
      <c r="C2896">
        <v>0.86817961678195998</v>
      </c>
      <c r="D2896">
        <v>1.0040078267377499</v>
      </c>
      <c r="E2896">
        <v>0.91019650719527201</v>
      </c>
      <c r="F2896">
        <v>0.69300755794885005</v>
      </c>
      <c r="G2896">
        <v>0.46510516833870502</v>
      </c>
      <c r="H2896">
        <v>0.26909686080525602</v>
      </c>
      <c r="I2896">
        <v>0.18373165004228401</v>
      </c>
      <c r="J2896">
        <v>0.23167986396932699</v>
      </c>
      <c r="K2896">
        <v>0.203263210460953</v>
      </c>
      <c r="L2896">
        <v>1097.10013174147</v>
      </c>
      <c r="M2896">
        <v>20.063796007940699</v>
      </c>
      <c r="N2896">
        <v>55.954474476817097</v>
      </c>
      <c r="O2896">
        <v>54.146082176121801</v>
      </c>
      <c r="P2896">
        <v>-7.5655561156834805E-2</v>
      </c>
      <c r="Q2896">
        <v>0.18334086746227099</v>
      </c>
      <c r="R2896">
        <v>0.98128747828905205</v>
      </c>
      <c r="S2896" t="s">
        <v>9566</v>
      </c>
      <c r="T2896" t="s">
        <v>13338</v>
      </c>
      <c r="U2896" t="s">
        <v>13338</v>
      </c>
      <c r="V2896" t="s">
        <v>13338</v>
      </c>
      <c r="W2896" t="s">
        <v>16191</v>
      </c>
      <c r="X2896">
        <v>11</v>
      </c>
      <c r="Y2896" t="s">
        <v>22743</v>
      </c>
      <c r="Z2896" t="s">
        <v>29311</v>
      </c>
      <c r="AA2896">
        <v>0.59387966755906896</v>
      </c>
      <c r="AB2896" t="str">
        <f>HYPERLINK("Melting_Curves/meltCurve_P60983_GMFB.pdf", "Melting_Curves/meltCurve_P60983_GMFB.pdf")</f>
        <v>Melting_Curves/meltCurve_P60983_GMFB.pdf</v>
      </c>
    </row>
    <row r="2897" spans="1:28" x14ac:dyDescent="0.25">
      <c r="A2897" t="s">
        <v>2901</v>
      </c>
      <c r="B2897">
        <v>0.99193492352474899</v>
      </c>
      <c r="C2897">
        <v>1.1350349467688401</v>
      </c>
      <c r="D2897">
        <v>0.92583362185590501</v>
      </c>
      <c r="E2897">
        <v>1.0226921210943301</v>
      </c>
      <c r="F2897">
        <v>0.67079947784941196</v>
      </c>
      <c r="G2897">
        <v>0.63801869589977001</v>
      </c>
      <c r="H2897">
        <v>0.472085499197822</v>
      </c>
      <c r="I2897">
        <v>0.48546708082879197</v>
      </c>
      <c r="J2897">
        <v>0.238919464448655</v>
      </c>
      <c r="K2897">
        <v>0.14110584944639401</v>
      </c>
      <c r="L2897">
        <v>614.37842102996001</v>
      </c>
      <c r="M2897">
        <v>10.176729346048401</v>
      </c>
      <c r="N2897">
        <v>60.370931581643497</v>
      </c>
      <c r="O2897">
        <v>58.178997742861199</v>
      </c>
      <c r="P2897">
        <v>-4.3750144743299003E-2</v>
      </c>
      <c r="Q2897">
        <v>0</v>
      </c>
      <c r="R2897">
        <v>0.92867977570503601</v>
      </c>
      <c r="S2897" t="s">
        <v>9567</v>
      </c>
      <c r="T2897" t="s">
        <v>13338</v>
      </c>
      <c r="U2897" t="s">
        <v>13338</v>
      </c>
      <c r="V2897" t="s">
        <v>13338</v>
      </c>
      <c r="W2897" t="s">
        <v>16192</v>
      </c>
      <c r="X2897">
        <v>14</v>
      </c>
      <c r="Y2897" t="s">
        <v>22744</v>
      </c>
      <c r="Z2897" t="s">
        <v>29312</v>
      </c>
      <c r="AA2897">
        <v>0.67289816905806654</v>
      </c>
      <c r="AB2897" t="str">
        <f>HYPERLINK("Melting_Curves/meltCurve_P61006_RAB8A.pdf", "Melting_Curves/meltCurve_P61006_RAB8A.pdf")</f>
        <v>Melting_Curves/meltCurve_P61006_RAB8A.pdf</v>
      </c>
    </row>
    <row r="2898" spans="1:28" x14ac:dyDescent="0.25">
      <c r="A2898" t="s">
        <v>2902</v>
      </c>
      <c r="B2898">
        <v>0.99193492352474899</v>
      </c>
      <c r="C2898">
        <v>1.2025309727637401</v>
      </c>
      <c r="D2898">
        <v>1.3628161002073</v>
      </c>
      <c r="E2898">
        <v>1.01262339212484</v>
      </c>
      <c r="F2898">
        <v>0.477028871362427</v>
      </c>
      <c r="G2898">
        <v>0.163524897498149</v>
      </c>
      <c r="H2898">
        <v>8.0906880312183099E-2</v>
      </c>
      <c r="I2898">
        <v>7.9583464201895604E-2</v>
      </c>
      <c r="J2898">
        <v>0.10827173187696</v>
      </c>
      <c r="K2898">
        <v>8.6445814614913394E-2</v>
      </c>
      <c r="L2898">
        <v>3059.4499478142102</v>
      </c>
      <c r="M2898">
        <v>57.805539593571297</v>
      </c>
      <c r="N2898">
        <v>53.130415697450502</v>
      </c>
      <c r="O2898">
        <v>52.863356802152303</v>
      </c>
      <c r="P2898">
        <v>-0.24618687786594801</v>
      </c>
      <c r="Q2898">
        <v>9.9445583081815905E-2</v>
      </c>
      <c r="R2898">
        <v>0.929227142396025</v>
      </c>
      <c r="S2898" t="s">
        <v>9568</v>
      </c>
      <c r="T2898" t="s">
        <v>13338</v>
      </c>
      <c r="U2898" t="s">
        <v>13338</v>
      </c>
      <c r="V2898" t="s">
        <v>13338</v>
      </c>
      <c r="W2898" t="s">
        <v>16193</v>
      </c>
      <c r="X2898">
        <v>4</v>
      </c>
      <c r="Y2898" t="s">
        <v>22745</v>
      </c>
      <c r="Z2898" t="s">
        <v>29313</v>
      </c>
      <c r="AA2898">
        <v>0.48905282549405299</v>
      </c>
      <c r="AB2898" t="str">
        <f>HYPERLINK("Melting_Curves/meltCurve_P61009_SPCS3.pdf", "Melting_Curves/meltCurve_P61009_SPCS3.pdf")</f>
        <v>Melting_Curves/meltCurve_P61009_SPCS3.pdf</v>
      </c>
    </row>
    <row r="2899" spans="1:28" x14ac:dyDescent="0.25">
      <c r="A2899" t="s">
        <v>2903</v>
      </c>
      <c r="B2899">
        <v>0.99193492352474899</v>
      </c>
      <c r="C2899">
        <v>0.76362937298163502</v>
      </c>
      <c r="D2899">
        <v>0.86982272958224505</v>
      </c>
      <c r="E2899">
        <v>0.61365376289316498</v>
      </c>
      <c r="F2899">
        <v>0.18576833176968999</v>
      </c>
      <c r="G2899">
        <v>7.7822296261761306E-2</v>
      </c>
      <c r="H2899">
        <v>5.1969064979083698E-2</v>
      </c>
      <c r="I2899">
        <v>7.0569384943285199E-2</v>
      </c>
      <c r="J2899">
        <v>7.6490779978999196E-2</v>
      </c>
      <c r="K2899">
        <v>6.7338356296818697E-2</v>
      </c>
      <c r="L2899">
        <v>1052.92491181423</v>
      </c>
      <c r="M2899">
        <v>21.129079726081201</v>
      </c>
      <c r="N2899">
        <v>50.0567221358842</v>
      </c>
      <c r="O2899">
        <v>49.393031657982696</v>
      </c>
      <c r="P2899">
        <v>-0.10212734040553099</v>
      </c>
      <c r="Q2899">
        <v>4.5060672012147002E-2</v>
      </c>
      <c r="R2899">
        <v>0.96025933577309897</v>
      </c>
      <c r="S2899" t="s">
        <v>9569</v>
      </c>
      <c r="T2899" t="s">
        <v>13338</v>
      </c>
      <c r="U2899" t="s">
        <v>13338</v>
      </c>
      <c r="V2899" t="s">
        <v>13338</v>
      </c>
      <c r="W2899" t="s">
        <v>16194</v>
      </c>
      <c r="X2899">
        <v>25</v>
      </c>
      <c r="Y2899" t="s">
        <v>22746</v>
      </c>
      <c r="Z2899" t="s">
        <v>29314</v>
      </c>
      <c r="AA2899">
        <v>0.36999353509836769</v>
      </c>
      <c r="AB2899" t="str">
        <f>HYPERLINK("Melting_Curves/meltCurve_P61011_SRP54.pdf", "Melting_Curves/meltCurve_P61011_SRP54.pdf")</f>
        <v>Melting_Curves/meltCurve_P61011_SRP54.pdf</v>
      </c>
    </row>
    <row r="2900" spans="1:28" x14ac:dyDescent="0.25">
      <c r="A2900" t="s">
        <v>2904</v>
      </c>
      <c r="B2900">
        <v>0.99193492352474899</v>
      </c>
      <c r="C2900">
        <v>0.88481050384698701</v>
      </c>
      <c r="D2900">
        <v>0.963610627356419</v>
      </c>
      <c r="E2900">
        <v>0.87582712536474305</v>
      </c>
      <c r="F2900">
        <v>0.81061678338422305</v>
      </c>
      <c r="G2900">
        <v>0.64027940049016496</v>
      </c>
      <c r="H2900">
        <v>0.52604200339785201</v>
      </c>
      <c r="I2900">
        <v>0.41823632087907903</v>
      </c>
      <c r="J2900">
        <v>0.29958502479738602</v>
      </c>
      <c r="K2900">
        <v>0.25251074408256502</v>
      </c>
      <c r="L2900">
        <v>523.19357914149305</v>
      </c>
      <c r="M2900">
        <v>8.5515324212155406</v>
      </c>
      <c r="N2900">
        <v>61.181262602965703</v>
      </c>
      <c r="O2900">
        <v>58.111029074781896</v>
      </c>
      <c r="P2900">
        <v>-3.6822031327313202E-2</v>
      </c>
      <c r="Q2900">
        <v>0</v>
      </c>
      <c r="R2900">
        <v>0.98518285854809795</v>
      </c>
      <c r="S2900" t="s">
        <v>9570</v>
      </c>
      <c r="T2900" t="s">
        <v>13338</v>
      </c>
      <c r="U2900" t="s">
        <v>13338</v>
      </c>
      <c r="V2900" t="s">
        <v>13338</v>
      </c>
      <c r="W2900" t="s">
        <v>16195</v>
      </c>
      <c r="X2900">
        <v>12</v>
      </c>
      <c r="Y2900" t="s">
        <v>22747</v>
      </c>
      <c r="Z2900" t="s">
        <v>29315</v>
      </c>
      <c r="AA2900">
        <v>0.68301804611398453</v>
      </c>
      <c r="AB2900" t="str">
        <f>HYPERLINK("Melting_Curves/meltCurve_P61018_RAB4B.pdf", "Melting_Curves/meltCurve_P61018_RAB4B.pdf")</f>
        <v>Melting_Curves/meltCurve_P61018_RAB4B.pdf</v>
      </c>
    </row>
    <row r="2901" spans="1:28" x14ac:dyDescent="0.25">
      <c r="A2901" t="s">
        <v>2905</v>
      </c>
      <c r="B2901">
        <v>0.99193492352474899</v>
      </c>
      <c r="C2901">
        <v>0.92819700730043797</v>
      </c>
      <c r="D2901">
        <v>0.87984806137313998</v>
      </c>
      <c r="E2901">
        <v>0.77404651016430703</v>
      </c>
      <c r="F2901">
        <v>0.62242081633867896</v>
      </c>
      <c r="G2901">
        <v>0.55486742726307903</v>
      </c>
      <c r="H2901">
        <v>0.46087693357723297</v>
      </c>
      <c r="I2901">
        <v>0.47500742460223999</v>
      </c>
      <c r="J2901">
        <v>0.308426435764517</v>
      </c>
      <c r="K2901">
        <v>0.13492914135276499</v>
      </c>
      <c r="L2901">
        <v>407.332675748898</v>
      </c>
      <c r="M2901">
        <v>6.9313947145896702</v>
      </c>
      <c r="N2901">
        <v>58.766342356163598</v>
      </c>
      <c r="O2901">
        <v>54.459800332893799</v>
      </c>
      <c r="P2901">
        <v>-3.18800184719455E-2</v>
      </c>
      <c r="Q2901">
        <v>0</v>
      </c>
      <c r="R2901">
        <v>0.95821487398271998</v>
      </c>
      <c r="S2901" t="s">
        <v>9571</v>
      </c>
      <c r="T2901" t="s">
        <v>13338</v>
      </c>
      <c r="U2901" t="s">
        <v>13338</v>
      </c>
      <c r="V2901" t="s">
        <v>13338</v>
      </c>
      <c r="W2901" t="s">
        <v>16196</v>
      </c>
      <c r="X2901">
        <v>15</v>
      </c>
      <c r="Y2901" t="s">
        <v>22748</v>
      </c>
      <c r="Z2901" t="s">
        <v>29316</v>
      </c>
      <c r="AA2901">
        <v>0.61540775391146696</v>
      </c>
      <c r="AB2901" t="str">
        <f>HYPERLINK("Melting_Curves/meltCurve_P61019_RAB2A.pdf", "Melting_Curves/meltCurve_P61019_RAB2A.pdf")</f>
        <v>Melting_Curves/meltCurve_P61019_RAB2A.pdf</v>
      </c>
    </row>
    <row r="2902" spans="1:28" x14ac:dyDescent="0.25">
      <c r="A2902" t="s">
        <v>2906</v>
      </c>
      <c r="B2902">
        <v>0.99193492352474899</v>
      </c>
      <c r="C2902">
        <v>1.09393325386411</v>
      </c>
      <c r="D2902">
        <v>1.0449911944333501</v>
      </c>
      <c r="E2902">
        <v>0.93301297906109804</v>
      </c>
      <c r="F2902">
        <v>0.89749564843529706</v>
      </c>
      <c r="G2902">
        <v>0.64760181400917105</v>
      </c>
      <c r="H2902">
        <v>0.60904050415087196</v>
      </c>
      <c r="I2902">
        <v>0.60123187986736104</v>
      </c>
      <c r="J2902">
        <v>0.63397626488815795</v>
      </c>
      <c r="K2902">
        <v>0.186746605235282</v>
      </c>
      <c r="L2902">
        <v>548.71675162600798</v>
      </c>
      <c r="M2902">
        <v>8.4214400931150593</v>
      </c>
      <c r="N2902">
        <v>65.157114347673101</v>
      </c>
      <c r="O2902">
        <v>61.794111174799603</v>
      </c>
      <c r="P2902">
        <v>-3.4102360643031397E-2</v>
      </c>
      <c r="Q2902">
        <v>0</v>
      </c>
      <c r="R2902">
        <v>0.84765447504609504</v>
      </c>
      <c r="S2902" t="s">
        <v>9572</v>
      </c>
      <c r="T2902" t="s">
        <v>13338</v>
      </c>
      <c r="U2902" t="s">
        <v>13338</v>
      </c>
      <c r="V2902" t="s">
        <v>13338</v>
      </c>
      <c r="W2902" t="s">
        <v>16197</v>
      </c>
      <c r="X2902">
        <v>7</v>
      </c>
      <c r="Y2902" t="s">
        <v>22749</v>
      </c>
      <c r="Z2902" t="s">
        <v>29317</v>
      </c>
      <c r="AA2902">
        <v>0.76603457309170264</v>
      </c>
      <c r="AB2902" t="str">
        <f>HYPERLINK("Melting_Curves/meltCurve_P61020_RAB5B.pdf", "Melting_Curves/meltCurve_P61020_RAB5B.pdf")</f>
        <v>Melting_Curves/meltCurve_P61020_RAB5B.pdf</v>
      </c>
    </row>
    <row r="2903" spans="1:28" x14ac:dyDescent="0.25">
      <c r="A2903" t="s">
        <v>2907</v>
      </c>
      <c r="B2903">
        <v>0.99193492352474899</v>
      </c>
      <c r="C2903">
        <v>0.81949178074907403</v>
      </c>
      <c r="D2903">
        <v>0.804525343002783</v>
      </c>
      <c r="E2903">
        <v>0.68874629182252101</v>
      </c>
      <c r="F2903">
        <v>0.50638131914226403</v>
      </c>
      <c r="G2903">
        <v>0.41393586832335999</v>
      </c>
      <c r="H2903">
        <v>0.42042946548796301</v>
      </c>
      <c r="I2903">
        <v>0.37936262188532999</v>
      </c>
      <c r="J2903">
        <v>0.31471737409303702</v>
      </c>
      <c r="K2903">
        <v>0.347866385635697</v>
      </c>
      <c r="L2903">
        <v>526.69801403260794</v>
      </c>
      <c r="M2903">
        <v>10.635556010501</v>
      </c>
      <c r="N2903">
        <v>54.340665581374203</v>
      </c>
      <c r="O2903">
        <v>47.867833459526203</v>
      </c>
      <c r="P2903">
        <v>-3.8604170504133402E-2</v>
      </c>
      <c r="Q2903">
        <v>0.30527806247606198</v>
      </c>
      <c r="R2903">
        <v>0.975981334398352</v>
      </c>
      <c r="S2903" t="s">
        <v>9573</v>
      </c>
      <c r="T2903" t="s">
        <v>13338</v>
      </c>
      <c r="U2903" t="s">
        <v>13338</v>
      </c>
      <c r="V2903" t="s">
        <v>13338</v>
      </c>
      <c r="W2903" t="s">
        <v>16198</v>
      </c>
      <c r="X2903">
        <v>3</v>
      </c>
      <c r="Y2903" t="s">
        <v>22750</v>
      </c>
      <c r="Z2903" t="s">
        <v>29318</v>
      </c>
      <c r="AA2903">
        <v>0.55562738353439611</v>
      </c>
      <c r="AB2903" t="str">
        <f>HYPERLINK("Melting_Curves/meltCurve_P61024_CKS1B.pdf", "Melting_Curves/meltCurve_P61024_CKS1B.pdf")</f>
        <v>Melting_Curves/meltCurve_P61024_CKS1B.pdf</v>
      </c>
    </row>
    <row r="2904" spans="1:28" x14ac:dyDescent="0.25">
      <c r="A2904" t="s">
        <v>2908</v>
      </c>
      <c r="B2904">
        <v>0.99193492352474899</v>
      </c>
      <c r="C2904">
        <v>1.0806773131493499</v>
      </c>
      <c r="D2904">
        <v>0.85497401659130801</v>
      </c>
      <c r="E2904">
        <v>0.95933479585735404</v>
      </c>
      <c r="F2904">
        <v>0.63018901114828196</v>
      </c>
      <c r="G2904">
        <v>0.57463959510805596</v>
      </c>
      <c r="H2904">
        <v>0.461051460436053</v>
      </c>
      <c r="I2904">
        <v>0.45673422251956097</v>
      </c>
      <c r="J2904">
        <v>0.26272834895358299</v>
      </c>
      <c r="K2904">
        <v>0.156739153954042</v>
      </c>
      <c r="L2904">
        <v>516.84794478600202</v>
      </c>
      <c r="M2904">
        <v>8.6864460716107708</v>
      </c>
      <c r="N2904">
        <v>59.500506406993601</v>
      </c>
      <c r="O2904">
        <v>56.599367933196</v>
      </c>
      <c r="P2904">
        <v>-3.8399992553028402E-2</v>
      </c>
      <c r="Q2904">
        <v>0</v>
      </c>
      <c r="R2904">
        <v>0.93775169971323502</v>
      </c>
      <c r="S2904" t="s">
        <v>9574</v>
      </c>
      <c r="T2904" t="s">
        <v>13338</v>
      </c>
      <c r="U2904" t="s">
        <v>13338</v>
      </c>
      <c r="V2904" t="s">
        <v>13338</v>
      </c>
      <c r="W2904" t="s">
        <v>16199</v>
      </c>
      <c r="X2904">
        <v>13</v>
      </c>
      <c r="Y2904" t="s">
        <v>22751</v>
      </c>
      <c r="Z2904" t="s">
        <v>29319</v>
      </c>
      <c r="AA2904">
        <v>0.64390240596072046</v>
      </c>
      <c r="AB2904" t="str">
        <f>HYPERLINK("Melting_Curves/meltCurve_P61026_RAB10.pdf", "Melting_Curves/meltCurve_P61026_RAB10.pdf")</f>
        <v>Melting_Curves/meltCurve_P61026_RAB10.pdf</v>
      </c>
    </row>
    <row r="2905" spans="1:28" x14ac:dyDescent="0.25">
      <c r="A2905" t="s">
        <v>2909</v>
      </c>
      <c r="B2905">
        <v>0.99193492352474899</v>
      </c>
      <c r="C2905">
        <v>1.12818592402347</v>
      </c>
      <c r="D2905">
        <v>0.80132838005681795</v>
      </c>
      <c r="E2905">
        <v>0.61957030253399603</v>
      </c>
      <c r="F2905">
        <v>0.22275595293171599</v>
      </c>
      <c r="G2905">
        <v>0.16391588814817401</v>
      </c>
      <c r="H2905">
        <v>7.99585236799564E-2</v>
      </c>
      <c r="I2905">
        <v>0.117829806196214</v>
      </c>
      <c r="J2905">
        <v>9.8975685400854205E-2</v>
      </c>
      <c r="K2905">
        <v>0.13331476659514599</v>
      </c>
      <c r="L2905">
        <v>1209.8444898597099</v>
      </c>
      <c r="M2905">
        <v>24.2980160700893</v>
      </c>
      <c r="N2905">
        <v>50.271531634248397</v>
      </c>
      <c r="O2905">
        <v>49.4583183329771</v>
      </c>
      <c r="P2905">
        <v>-0.110116060947341</v>
      </c>
      <c r="Q2905">
        <v>0.103453863539418</v>
      </c>
      <c r="R2905">
        <v>0.97623666803251197</v>
      </c>
      <c r="S2905" t="s">
        <v>9575</v>
      </c>
      <c r="T2905" t="s">
        <v>13338</v>
      </c>
      <c r="U2905" t="s">
        <v>13338</v>
      </c>
      <c r="V2905" t="s">
        <v>13338</v>
      </c>
      <c r="W2905" t="s">
        <v>16200</v>
      </c>
      <c r="X2905">
        <v>5</v>
      </c>
      <c r="Y2905" t="s">
        <v>22752</v>
      </c>
      <c r="Z2905" t="s">
        <v>29320</v>
      </c>
      <c r="AA2905">
        <v>0.40455351830602548</v>
      </c>
      <c r="AB2905" t="str">
        <f>HYPERLINK("Melting_Curves/meltCurve_P61077_UBE2D3.pdf", "Melting_Curves/meltCurve_P61077_UBE2D3.pdf")</f>
        <v>Melting_Curves/meltCurve_P61077_UBE2D3.pdf</v>
      </c>
    </row>
    <row r="2906" spans="1:28" x14ac:dyDescent="0.25">
      <c r="A2906" t="s">
        <v>2910</v>
      </c>
      <c r="B2906">
        <v>0.99193492352474899</v>
      </c>
      <c r="C2906">
        <v>0.84002662509291504</v>
      </c>
      <c r="D2906">
        <v>0.84799678684316204</v>
      </c>
      <c r="E2906">
        <v>0.69491047140781004</v>
      </c>
      <c r="F2906">
        <v>0.19832227053512699</v>
      </c>
      <c r="G2906">
        <v>0.115440292511478</v>
      </c>
      <c r="H2906">
        <v>6.7594780565446405E-2</v>
      </c>
      <c r="I2906">
        <v>6.7014368024491205E-2</v>
      </c>
      <c r="J2906">
        <v>7.8047532788149201E-2</v>
      </c>
      <c r="K2906">
        <v>9.1541384853142199E-2</v>
      </c>
      <c r="L2906">
        <v>1234.4065734941701</v>
      </c>
      <c r="M2906">
        <v>24.513038279319499</v>
      </c>
      <c r="N2906">
        <v>50.636425667313198</v>
      </c>
      <c r="O2906">
        <v>50.025599885035199</v>
      </c>
      <c r="P2906">
        <v>-0.114758361836607</v>
      </c>
      <c r="Q2906">
        <v>6.3229599425799796E-2</v>
      </c>
      <c r="R2906">
        <v>0.97285922982865702</v>
      </c>
      <c r="S2906" t="s">
        <v>9576</v>
      </c>
      <c r="T2906" t="s">
        <v>13338</v>
      </c>
      <c r="U2906" t="s">
        <v>13338</v>
      </c>
      <c r="V2906" t="s">
        <v>13338</v>
      </c>
      <c r="W2906" t="s">
        <v>16201</v>
      </c>
      <c r="X2906">
        <v>10</v>
      </c>
      <c r="Y2906" t="s">
        <v>22753</v>
      </c>
      <c r="Z2906" t="s">
        <v>29321</v>
      </c>
      <c r="AA2906">
        <v>0.39537828842340672</v>
      </c>
      <c r="AB2906" t="str">
        <f>HYPERLINK("Melting_Curves/meltCurve_P61081_UBE2M.pdf", "Melting_Curves/meltCurve_P61081_UBE2M.pdf")</f>
        <v>Melting_Curves/meltCurve_P61081_UBE2M.pdf</v>
      </c>
    </row>
    <row r="2907" spans="1:28" x14ac:dyDescent="0.25">
      <c r="A2907" t="s">
        <v>2911</v>
      </c>
      <c r="B2907">
        <v>0.99193492352474899</v>
      </c>
      <c r="C2907">
        <v>0.79958123343417598</v>
      </c>
      <c r="D2907">
        <v>1.00516272511218</v>
      </c>
      <c r="E2907">
        <v>0.76428106655536199</v>
      </c>
      <c r="F2907">
        <v>0.47429438042757599</v>
      </c>
      <c r="G2907">
        <v>0.13655601734756301</v>
      </c>
      <c r="H2907">
        <v>8.1523440978918005E-2</v>
      </c>
      <c r="I2907">
        <v>7.0818161099397495E-2</v>
      </c>
      <c r="J2907">
        <v>8.6167761938290802E-2</v>
      </c>
      <c r="K2907">
        <v>8.3135042029945302E-2</v>
      </c>
      <c r="L2907">
        <v>1233.8206717422499</v>
      </c>
      <c r="M2907">
        <v>23.6206328112753</v>
      </c>
      <c r="N2907">
        <v>52.529953933896401</v>
      </c>
      <c r="O2907">
        <v>51.864795820619399</v>
      </c>
      <c r="P2907">
        <v>-0.106784572050052</v>
      </c>
      <c r="Q2907">
        <v>6.21306729709264E-2</v>
      </c>
      <c r="R2907">
        <v>0.96898812655656197</v>
      </c>
      <c r="S2907" t="s">
        <v>9577</v>
      </c>
      <c r="T2907" t="s">
        <v>13338</v>
      </c>
      <c r="U2907" t="s">
        <v>13338</v>
      </c>
      <c r="V2907" t="s">
        <v>13338</v>
      </c>
      <c r="W2907" t="s">
        <v>16202</v>
      </c>
      <c r="X2907">
        <v>15</v>
      </c>
      <c r="Y2907" t="s">
        <v>22754</v>
      </c>
      <c r="Z2907" t="s">
        <v>29322</v>
      </c>
      <c r="AA2907">
        <v>0.4541790377896015</v>
      </c>
      <c r="AB2907" t="str">
        <f>HYPERLINK("Melting_Curves/meltCurve_P61086_UBE2K.pdf", "Melting_Curves/meltCurve_P61086_UBE2K.pdf")</f>
        <v>Melting_Curves/meltCurve_P61086_UBE2K.pdf</v>
      </c>
    </row>
    <row r="2908" spans="1:28" x14ac:dyDescent="0.25">
      <c r="A2908" t="s">
        <v>2912</v>
      </c>
      <c r="B2908">
        <v>0.99193492352474899</v>
      </c>
      <c r="C2908">
        <v>0.91906604569436001</v>
      </c>
      <c r="D2908">
        <v>0.72617217555902402</v>
      </c>
      <c r="E2908">
        <v>0.72387491997305298</v>
      </c>
      <c r="F2908">
        <v>0.39500758975800598</v>
      </c>
      <c r="G2908">
        <v>0.142263453631577</v>
      </c>
      <c r="H2908">
        <v>9.1126652558416399E-2</v>
      </c>
      <c r="I2908">
        <v>9.6796994000353895E-2</v>
      </c>
      <c r="J2908">
        <v>0.1106156997496</v>
      </c>
      <c r="K2908">
        <v>0.115408345204752</v>
      </c>
      <c r="L2908">
        <v>749.73970391120395</v>
      </c>
      <c r="M2908">
        <v>14.74541604096</v>
      </c>
      <c r="N2908">
        <v>51.255381345923503</v>
      </c>
      <c r="O2908">
        <v>49.937912426588397</v>
      </c>
      <c r="P2908">
        <v>-6.97219045058632E-2</v>
      </c>
      <c r="Q2908">
        <v>5.5600671648551897E-2</v>
      </c>
      <c r="R2908">
        <v>0.97133101626309104</v>
      </c>
      <c r="S2908" t="s">
        <v>9578</v>
      </c>
      <c r="T2908" t="s">
        <v>13338</v>
      </c>
      <c r="U2908" t="s">
        <v>13338</v>
      </c>
      <c r="V2908" t="s">
        <v>13338</v>
      </c>
      <c r="W2908" t="s">
        <v>16203</v>
      </c>
      <c r="X2908">
        <v>13</v>
      </c>
      <c r="Y2908" t="s">
        <v>22755</v>
      </c>
      <c r="Z2908" t="s">
        <v>29323</v>
      </c>
      <c r="AA2908">
        <v>0.41958061367786909</v>
      </c>
      <c r="AB2908" t="str">
        <f>HYPERLINK("Melting_Curves/meltCurve_P61088_UBE2N.pdf", "Melting_Curves/meltCurve_P61088_UBE2N.pdf")</f>
        <v>Melting_Curves/meltCurve_P61088_UBE2N.pdf</v>
      </c>
    </row>
    <row r="2909" spans="1:28" x14ac:dyDescent="0.25">
      <c r="A2909" t="s">
        <v>2913</v>
      </c>
      <c r="B2909">
        <v>0.99193492352474899</v>
      </c>
      <c r="C2909">
        <v>0.925704651972167</v>
      </c>
      <c r="D2909">
        <v>0.99598016669518896</v>
      </c>
      <c r="E2909">
        <v>0.90875104295341502</v>
      </c>
      <c r="F2909">
        <v>0.84471111229048601</v>
      </c>
      <c r="G2909">
        <v>0.65922517191762298</v>
      </c>
      <c r="H2909">
        <v>0.55714904968510304</v>
      </c>
      <c r="I2909">
        <v>0.401650590990351</v>
      </c>
      <c r="J2909">
        <v>0.28846824252186098</v>
      </c>
      <c r="K2909">
        <v>0.18184043936366701</v>
      </c>
      <c r="L2909">
        <v>642.25206662352298</v>
      </c>
      <c r="M2909">
        <v>10.4802577133123</v>
      </c>
      <c r="N2909">
        <v>61.282087170431403</v>
      </c>
      <c r="O2909">
        <v>59.176962617183001</v>
      </c>
      <c r="P2909">
        <v>-4.4293067537672398E-2</v>
      </c>
      <c r="Q2909">
        <v>0</v>
      </c>
      <c r="R2909">
        <v>0.989398189522115</v>
      </c>
      <c r="S2909" t="s">
        <v>9579</v>
      </c>
      <c r="T2909" t="s">
        <v>13338</v>
      </c>
      <c r="U2909" t="s">
        <v>13338</v>
      </c>
      <c r="V2909" t="s">
        <v>13338</v>
      </c>
      <c r="W2909" t="s">
        <v>16204</v>
      </c>
      <c r="X2909">
        <v>14</v>
      </c>
      <c r="Y2909" t="s">
        <v>22756</v>
      </c>
      <c r="Z2909" t="s">
        <v>29324</v>
      </c>
      <c r="AA2909">
        <v>0.69725970063511999</v>
      </c>
      <c r="AB2909" t="str">
        <f>HYPERLINK("Melting_Curves/meltCurve_P61106_RAB14.pdf", "Melting_Curves/meltCurve_P61106_RAB14.pdf")</f>
        <v>Melting_Curves/meltCurve_P61106_RAB14.pdf</v>
      </c>
    </row>
    <row r="2910" spans="1:28" x14ac:dyDescent="0.25">
      <c r="A2910" t="s">
        <v>2914</v>
      </c>
      <c r="B2910">
        <v>0.99193492352474899</v>
      </c>
      <c r="C2910">
        <v>0.85451975203898001</v>
      </c>
      <c r="D2910">
        <v>0.87645606903412898</v>
      </c>
      <c r="E2910">
        <v>0.72992797005729504</v>
      </c>
      <c r="F2910">
        <v>0.57496455545948</v>
      </c>
      <c r="G2910">
        <v>0.34946723353128301</v>
      </c>
      <c r="H2910">
        <v>0.139546744424732</v>
      </c>
      <c r="I2910">
        <v>0.19888291651056</v>
      </c>
      <c r="J2910">
        <v>0.24257872924753801</v>
      </c>
      <c r="K2910">
        <v>0.28439617266630601</v>
      </c>
      <c r="L2910">
        <v>761.934336592053</v>
      </c>
      <c r="M2910">
        <v>14.71792563917</v>
      </c>
      <c r="N2910">
        <v>53.424265706626699</v>
      </c>
      <c r="O2910">
        <v>50.841597272056198</v>
      </c>
      <c r="P2910">
        <v>-5.9127805656448401E-2</v>
      </c>
      <c r="Q2910">
        <v>0.18308458842026601</v>
      </c>
      <c r="R2910">
        <v>0.95536215729638496</v>
      </c>
      <c r="S2910" t="s">
        <v>9580</v>
      </c>
      <c r="T2910" t="s">
        <v>13338</v>
      </c>
      <c r="U2910" t="s">
        <v>13338</v>
      </c>
      <c r="V2910" t="s">
        <v>13338</v>
      </c>
      <c r="W2910" t="s">
        <v>16205</v>
      </c>
      <c r="X2910">
        <v>1</v>
      </c>
      <c r="Y2910" t="s">
        <v>22757</v>
      </c>
      <c r="Z2910" t="s">
        <v>29325</v>
      </c>
      <c r="AA2910">
        <v>0.5225221191135655</v>
      </c>
      <c r="AB2910" t="str">
        <f>HYPERLINK("Melting_Curves/meltCurve_P61129_ZC3H6.pdf", "Melting_Curves/meltCurve_P61129_ZC3H6.pdf")</f>
        <v>Melting_Curves/meltCurve_P61129_ZC3H6.pdf</v>
      </c>
    </row>
    <row r="2911" spans="1:28" x14ac:dyDescent="0.25">
      <c r="A2911" t="s">
        <v>2915</v>
      </c>
      <c r="B2911">
        <v>0.99193492352474899</v>
      </c>
      <c r="C2911">
        <v>1.03838610877689</v>
      </c>
      <c r="D2911">
        <v>0.94967312206457899</v>
      </c>
      <c r="E2911">
        <v>0.89552457630239701</v>
      </c>
      <c r="F2911">
        <v>0.77791638895232795</v>
      </c>
      <c r="G2911">
        <v>0.55565615872372498</v>
      </c>
      <c r="H2911">
        <v>0.24802861405079599</v>
      </c>
      <c r="I2911">
        <v>0.14069290160769901</v>
      </c>
      <c r="J2911">
        <v>0.126031997112276</v>
      </c>
      <c r="K2911">
        <v>0.122948374458871</v>
      </c>
      <c r="L2911">
        <v>1025.97215685417</v>
      </c>
      <c r="M2911">
        <v>18.129590329686401</v>
      </c>
      <c r="N2911">
        <v>57.055046293962597</v>
      </c>
      <c r="O2911">
        <v>55.915976246056601</v>
      </c>
      <c r="P2911">
        <v>-7.55048504043484E-2</v>
      </c>
      <c r="Q2911">
        <v>6.8544880952183002E-2</v>
      </c>
      <c r="R2911">
        <v>0.99405241070922801</v>
      </c>
      <c r="S2911" t="s">
        <v>9581</v>
      </c>
      <c r="T2911" t="s">
        <v>13338</v>
      </c>
      <c r="U2911" t="s">
        <v>13338</v>
      </c>
      <c r="V2911" t="s">
        <v>13338</v>
      </c>
      <c r="W2911" t="s">
        <v>16206</v>
      </c>
      <c r="X2911">
        <v>26</v>
      </c>
      <c r="Y2911" t="s">
        <v>22758</v>
      </c>
      <c r="Z2911" t="s">
        <v>29326</v>
      </c>
      <c r="AA2911">
        <v>0.59677037951195333</v>
      </c>
      <c r="AB2911" t="str">
        <f>HYPERLINK("Melting_Curves/meltCurve_P61158_ACTR3.pdf", "Melting_Curves/meltCurve_P61158_ACTR3.pdf")</f>
        <v>Melting_Curves/meltCurve_P61158_ACTR3.pdf</v>
      </c>
    </row>
    <row r="2912" spans="1:28" x14ac:dyDescent="0.25">
      <c r="A2912" t="s">
        <v>2916</v>
      </c>
      <c r="B2912">
        <v>0.99193492352474899</v>
      </c>
      <c r="C2912">
        <v>1.04430771414872</v>
      </c>
      <c r="D2912">
        <v>0.94859319065720205</v>
      </c>
      <c r="E2912">
        <v>0.84103517706450004</v>
      </c>
      <c r="F2912">
        <v>0.65739066643313904</v>
      </c>
      <c r="G2912">
        <v>0.55433828032752397</v>
      </c>
      <c r="H2912">
        <v>0.24967316987829899</v>
      </c>
      <c r="I2912">
        <v>0.15165050765719601</v>
      </c>
      <c r="J2912">
        <v>0.135475113783732</v>
      </c>
      <c r="K2912">
        <v>0.13665639730541901</v>
      </c>
      <c r="L2912">
        <v>774.59924954373298</v>
      </c>
      <c r="M2912">
        <v>13.835457767528</v>
      </c>
      <c r="N2912">
        <v>56.395136243812097</v>
      </c>
      <c r="O2912">
        <v>54.855785191432901</v>
      </c>
      <c r="P2912">
        <v>-6.0055037165642297E-2</v>
      </c>
      <c r="Q2912">
        <v>4.7690419634276802E-2</v>
      </c>
      <c r="R2912">
        <v>0.98839113107378895</v>
      </c>
      <c r="S2912" t="s">
        <v>9582</v>
      </c>
      <c r="T2912" t="s">
        <v>13338</v>
      </c>
      <c r="U2912" t="s">
        <v>13338</v>
      </c>
      <c r="V2912" t="s">
        <v>13338</v>
      </c>
      <c r="W2912" t="s">
        <v>16207</v>
      </c>
      <c r="X2912">
        <v>20</v>
      </c>
      <c r="Y2912" t="s">
        <v>22759</v>
      </c>
      <c r="Z2912" t="s">
        <v>29327</v>
      </c>
      <c r="AA2912">
        <v>0.57316757904557891</v>
      </c>
      <c r="AB2912" t="str">
        <f>HYPERLINK("Melting_Curves/meltCurve_P61160_ACTR2.pdf", "Melting_Curves/meltCurve_P61160_ACTR2.pdf")</f>
        <v>Melting_Curves/meltCurve_P61160_ACTR2.pdf</v>
      </c>
    </row>
    <row r="2913" spans="1:28" x14ac:dyDescent="0.25">
      <c r="A2913" t="s">
        <v>2917</v>
      </c>
      <c r="B2913">
        <v>0.99193492352474899</v>
      </c>
      <c r="C2913">
        <v>0.923016363113627</v>
      </c>
      <c r="D2913">
        <v>0.95690884716350399</v>
      </c>
      <c r="E2913">
        <v>0.81269915457007702</v>
      </c>
      <c r="F2913">
        <v>0.79680648156928102</v>
      </c>
      <c r="G2913">
        <v>0.54713817106611196</v>
      </c>
      <c r="H2913">
        <v>0.29476486940269803</v>
      </c>
      <c r="I2913">
        <v>0.15762468587362399</v>
      </c>
      <c r="J2913">
        <v>0.11549039208903</v>
      </c>
      <c r="K2913">
        <v>0.11839379164014401</v>
      </c>
      <c r="L2913">
        <v>766.19858349619903</v>
      </c>
      <c r="M2913">
        <v>13.380338563399301</v>
      </c>
      <c r="N2913">
        <v>57.2630322269627</v>
      </c>
      <c r="O2913">
        <v>56.029324578136801</v>
      </c>
      <c r="P2913">
        <v>-5.9711818571631999E-2</v>
      </c>
      <c r="Q2913">
        <v>0</v>
      </c>
      <c r="R2913">
        <v>0.98557791894496505</v>
      </c>
      <c r="S2913" t="s">
        <v>9583</v>
      </c>
      <c r="T2913" t="s">
        <v>13338</v>
      </c>
      <c r="U2913" t="s">
        <v>13338</v>
      </c>
      <c r="V2913" t="s">
        <v>13338</v>
      </c>
      <c r="W2913" t="s">
        <v>16208</v>
      </c>
      <c r="X2913">
        <v>17</v>
      </c>
      <c r="Y2913" t="s">
        <v>22760</v>
      </c>
      <c r="Z2913" t="s">
        <v>29328</v>
      </c>
      <c r="AA2913">
        <v>0.59125134566959048</v>
      </c>
      <c r="AB2913" t="str">
        <f>HYPERLINK("Melting_Curves/meltCurve_P61163_ACTR1A.pdf", "Melting_Curves/meltCurve_P61163_ACTR1A.pdf")</f>
        <v>Melting_Curves/meltCurve_P61163_ACTR1A.pdf</v>
      </c>
    </row>
    <row r="2914" spans="1:28" x14ac:dyDescent="0.25">
      <c r="A2914" t="s">
        <v>2918</v>
      </c>
      <c r="B2914">
        <v>0.99193492352474899</v>
      </c>
      <c r="C2914">
        <v>0.77242230601759798</v>
      </c>
      <c r="D2914">
        <v>0.91128128469115499</v>
      </c>
      <c r="E2914">
        <v>0.65180846578546703</v>
      </c>
      <c r="F2914">
        <v>0.36762326513161803</v>
      </c>
      <c r="G2914">
        <v>0.115558411486261</v>
      </c>
      <c r="H2914">
        <v>6.22650473597159E-2</v>
      </c>
      <c r="I2914">
        <v>6.43341996208978E-2</v>
      </c>
      <c r="J2914">
        <v>6.7030795565664894E-2</v>
      </c>
      <c r="K2914">
        <v>7.8180397847077199E-2</v>
      </c>
      <c r="L2914">
        <v>881.48867246517705</v>
      </c>
      <c r="M2914">
        <v>17.304461083602401</v>
      </c>
      <c r="N2914">
        <v>51.152277205706902</v>
      </c>
      <c r="O2914">
        <v>50.274288205731096</v>
      </c>
      <c r="P2914">
        <v>-8.3073221794808694E-2</v>
      </c>
      <c r="Q2914">
        <v>3.4652262236434903E-2</v>
      </c>
      <c r="R2914">
        <v>0.96639416167646597</v>
      </c>
      <c r="S2914" t="s">
        <v>9584</v>
      </c>
      <c r="T2914" t="s">
        <v>13338</v>
      </c>
      <c r="U2914" t="s">
        <v>13338</v>
      </c>
      <c r="V2914" t="s">
        <v>13338</v>
      </c>
      <c r="W2914" t="s">
        <v>16209</v>
      </c>
      <c r="X2914">
        <v>23</v>
      </c>
      <c r="Y2914" t="s">
        <v>22761</v>
      </c>
      <c r="Z2914" t="s">
        <v>29329</v>
      </c>
      <c r="AA2914">
        <v>0.40415136497678877</v>
      </c>
      <c r="AB2914" t="str">
        <f>HYPERLINK("Melting_Curves/meltCurve_P61201_COPS2.pdf", "Melting_Curves/meltCurve_P61201_COPS2.pdf")</f>
        <v>Melting_Curves/meltCurve_P61201_COPS2.pdf</v>
      </c>
    </row>
    <row r="2915" spans="1:28" x14ac:dyDescent="0.25">
      <c r="A2915" t="s">
        <v>2919</v>
      </c>
      <c r="B2915">
        <v>0.99193492352474899</v>
      </c>
      <c r="C2915">
        <v>0.70638693457229895</v>
      </c>
      <c r="D2915">
        <v>0.97462679602259195</v>
      </c>
      <c r="E2915">
        <v>0.66845765563241899</v>
      </c>
      <c r="F2915">
        <v>0.75025488420526498</v>
      </c>
      <c r="G2915">
        <v>0.429351225011399</v>
      </c>
      <c r="H2915">
        <v>0.32565296783792103</v>
      </c>
      <c r="I2915">
        <v>0.22301692533884901</v>
      </c>
      <c r="J2915">
        <v>0.23119880698321299</v>
      </c>
      <c r="K2915">
        <v>0.14378149502594401</v>
      </c>
      <c r="L2915">
        <v>461.68235640972603</v>
      </c>
      <c r="M2915">
        <v>8.2435346910283105</v>
      </c>
      <c r="N2915">
        <v>56.005387700202697</v>
      </c>
      <c r="O2915">
        <v>52.999602227373003</v>
      </c>
      <c r="P2915">
        <v>-3.8924206616685303E-2</v>
      </c>
      <c r="Q2915">
        <v>0</v>
      </c>
      <c r="R2915">
        <v>0.89534914447505398</v>
      </c>
      <c r="S2915" t="s">
        <v>9585</v>
      </c>
      <c r="T2915" t="s">
        <v>13338</v>
      </c>
      <c r="U2915" t="s">
        <v>13338</v>
      </c>
      <c r="V2915" t="s">
        <v>13338</v>
      </c>
      <c r="W2915" t="s">
        <v>16210</v>
      </c>
      <c r="X2915">
        <v>10</v>
      </c>
      <c r="Y2915" t="s">
        <v>22762</v>
      </c>
      <c r="Z2915" t="s">
        <v>29330</v>
      </c>
      <c r="AA2915">
        <v>0.55359989166124102</v>
      </c>
      <c r="AB2915" t="str">
        <f>HYPERLINK("Melting_Curves/meltCurve_P61204_ARF3.pdf", "Melting_Curves/meltCurve_P61204_ARF3.pdf")</f>
        <v>Melting_Curves/meltCurve_P61204_ARF3.pdf</v>
      </c>
    </row>
    <row r="2916" spans="1:28" x14ac:dyDescent="0.25">
      <c r="A2916" t="s">
        <v>2920</v>
      </c>
      <c r="B2916">
        <v>0.99193492352474899</v>
      </c>
      <c r="C2916">
        <v>1.01311798452502</v>
      </c>
      <c r="D2916">
        <v>1.0212356812326799</v>
      </c>
      <c r="E2916">
        <v>0.90839323028905805</v>
      </c>
      <c r="F2916">
        <v>0.81144302531130896</v>
      </c>
      <c r="G2916">
        <v>0.663858014155434</v>
      </c>
      <c r="H2916">
        <v>0.48050638496375597</v>
      </c>
      <c r="I2916">
        <v>0.316956742577443</v>
      </c>
      <c r="J2916">
        <v>0.17085804797714299</v>
      </c>
      <c r="K2916">
        <v>0.13532660116973699</v>
      </c>
      <c r="L2916">
        <v>759.29320695321098</v>
      </c>
      <c r="M2916">
        <v>12.6801205614428</v>
      </c>
      <c r="N2916">
        <v>59.880598485092399</v>
      </c>
      <c r="O2916">
        <v>58.449857261862</v>
      </c>
      <c r="P2916">
        <v>-5.4245593155503903E-2</v>
      </c>
      <c r="Q2916">
        <v>0</v>
      </c>
      <c r="R2916">
        <v>0.99533745844667898</v>
      </c>
      <c r="S2916" t="s">
        <v>9586</v>
      </c>
      <c r="T2916" t="s">
        <v>13338</v>
      </c>
      <c r="U2916" t="s">
        <v>13338</v>
      </c>
      <c r="V2916" t="s">
        <v>13338</v>
      </c>
      <c r="W2916" t="s">
        <v>16211</v>
      </c>
      <c r="X2916">
        <v>39</v>
      </c>
      <c r="Y2916" t="s">
        <v>22763</v>
      </c>
      <c r="Z2916" t="s">
        <v>29331</v>
      </c>
      <c r="AA2916">
        <v>0.66713558010721619</v>
      </c>
      <c r="AB2916" t="str">
        <f>HYPERLINK("Melting_Curves/meltCurve_P61221_ABCE1.pdf", "Melting_Curves/meltCurve_P61221_ABCE1.pdf")</f>
        <v>Melting_Curves/meltCurve_P61221_ABCE1.pdf</v>
      </c>
    </row>
    <row r="2917" spans="1:28" x14ac:dyDescent="0.25">
      <c r="A2917" t="s">
        <v>2921</v>
      </c>
      <c r="B2917">
        <v>0.99193492352474899</v>
      </c>
      <c r="C2917">
        <v>0.92877731404293495</v>
      </c>
      <c r="D2917">
        <v>0.93053913598857296</v>
      </c>
      <c r="E2917">
        <v>0.85577001232890504</v>
      </c>
      <c r="F2917">
        <v>0.71523690353352698</v>
      </c>
      <c r="G2917">
        <v>0.56407993313805904</v>
      </c>
      <c r="H2917">
        <v>0.53432217508119095</v>
      </c>
      <c r="I2917">
        <v>0.53795913086325498</v>
      </c>
      <c r="J2917">
        <v>0.55622507122871401</v>
      </c>
      <c r="K2917">
        <v>0.41605187042741298</v>
      </c>
      <c r="L2917">
        <v>699.95902662669096</v>
      </c>
      <c r="M2917">
        <v>13.340714300293101</v>
      </c>
      <c r="N2917">
        <v>65.363915660488999</v>
      </c>
      <c r="O2917">
        <v>51.3310008349791</v>
      </c>
      <c r="P2917">
        <v>-3.4829316958336201E-2</v>
      </c>
      <c r="Q2917">
        <v>0.46403514442608501</v>
      </c>
      <c r="R2917">
        <v>0.96405358933201302</v>
      </c>
      <c r="S2917" t="s">
        <v>9587</v>
      </c>
      <c r="T2917" t="s">
        <v>13338</v>
      </c>
      <c r="U2917" t="s">
        <v>13338</v>
      </c>
      <c r="V2917" t="s">
        <v>13338</v>
      </c>
      <c r="W2917" t="s">
        <v>16212</v>
      </c>
      <c r="X2917">
        <v>15</v>
      </c>
      <c r="Y2917" t="s">
        <v>22764</v>
      </c>
      <c r="Z2917" t="s">
        <v>29332</v>
      </c>
      <c r="AA2917">
        <v>0.70066063504072773</v>
      </c>
      <c r="AB2917" t="str">
        <f>HYPERLINK("Melting_Curves/meltCurve_P61224_RAP1B.pdf", "Melting_Curves/meltCurve_P61224_RAP1B.pdf")</f>
        <v>Melting_Curves/meltCurve_P61224_RAP1B.pdf</v>
      </c>
    </row>
    <row r="2918" spans="1:28" x14ac:dyDescent="0.25">
      <c r="A2918" t="s">
        <v>2922</v>
      </c>
      <c r="B2918">
        <v>0.99193492352474899</v>
      </c>
      <c r="C2918">
        <v>0.914395818032543</v>
      </c>
      <c r="D2918">
        <v>0.85682695273160503</v>
      </c>
      <c r="E2918">
        <v>0.65329143215724705</v>
      </c>
      <c r="F2918">
        <v>0.64029038410329198</v>
      </c>
      <c r="G2918">
        <v>0.43035664469062102</v>
      </c>
      <c r="H2918">
        <v>0.31773731920574599</v>
      </c>
      <c r="I2918">
        <v>0.22019397829818499</v>
      </c>
      <c r="J2918">
        <v>0.21376680101857901</v>
      </c>
      <c r="K2918">
        <v>9.1893643428978697E-2</v>
      </c>
      <c r="L2918">
        <v>474.01615889742499</v>
      </c>
      <c r="M2918">
        <v>8.5952144717363907</v>
      </c>
      <c r="N2918">
        <v>55.148845943251999</v>
      </c>
      <c r="O2918">
        <v>52.407147417209799</v>
      </c>
      <c r="P2918">
        <v>-4.1037556666936703E-2</v>
      </c>
      <c r="Q2918">
        <v>0</v>
      </c>
      <c r="R2918">
        <v>0.98552737410100599</v>
      </c>
      <c r="S2918" t="s">
        <v>9588</v>
      </c>
      <c r="T2918" t="s">
        <v>13338</v>
      </c>
      <c r="U2918" t="s">
        <v>13338</v>
      </c>
      <c r="V2918" t="s">
        <v>13338</v>
      </c>
      <c r="W2918" t="s">
        <v>16213</v>
      </c>
      <c r="X2918">
        <v>4</v>
      </c>
      <c r="Y2918" t="s">
        <v>22765</v>
      </c>
      <c r="Z2918" t="s">
        <v>29333</v>
      </c>
      <c r="AA2918">
        <v>0.53098587270095532</v>
      </c>
      <c r="AB2918" t="str">
        <f>HYPERLINK("Melting_Curves/meltCurve_P61225_RAP2B.pdf", "Melting_Curves/meltCurve_P61225_RAP2B.pdf")</f>
        <v>Melting_Curves/meltCurve_P61225_RAP2B.pdf</v>
      </c>
    </row>
    <row r="2919" spans="1:28" x14ac:dyDescent="0.25">
      <c r="A2919" t="s">
        <v>2923</v>
      </c>
      <c r="B2919">
        <v>0.99193492352474899</v>
      </c>
      <c r="C2919">
        <v>0.86972875355817703</v>
      </c>
      <c r="D2919">
        <v>0.83688497399377904</v>
      </c>
      <c r="E2919">
        <v>0.75358256187376504</v>
      </c>
      <c r="F2919">
        <v>0.61570873899156497</v>
      </c>
      <c r="G2919">
        <v>0.39552959563590701</v>
      </c>
      <c r="H2919">
        <v>0.38725003626760901</v>
      </c>
      <c r="I2919">
        <v>0.456896419572349</v>
      </c>
      <c r="J2919">
        <v>0.60672241124704196</v>
      </c>
      <c r="K2919">
        <v>0.96489404759717401</v>
      </c>
      <c r="L2919">
        <v>907.06255463151001</v>
      </c>
      <c r="M2919">
        <v>19.3175133197451</v>
      </c>
      <c r="O2919">
        <v>46.460942724516499</v>
      </c>
      <c r="P2919">
        <v>-4.4755442984234499E-2</v>
      </c>
      <c r="Q2919">
        <v>0.56944718438776198</v>
      </c>
      <c r="R2919">
        <v>0.46535385043914801</v>
      </c>
      <c r="S2919" t="s">
        <v>9589</v>
      </c>
      <c r="T2919" t="s">
        <v>13338</v>
      </c>
      <c r="U2919" t="s">
        <v>13338</v>
      </c>
      <c r="V2919" t="s">
        <v>13338</v>
      </c>
      <c r="W2919" t="s">
        <v>16214</v>
      </c>
      <c r="X2919">
        <v>7</v>
      </c>
      <c r="Y2919" t="s">
        <v>22766</v>
      </c>
      <c r="Z2919" t="s">
        <v>29334</v>
      </c>
      <c r="AA2919">
        <v>0.67608835135724543</v>
      </c>
      <c r="AB2919" t="str">
        <f>HYPERLINK("Melting_Curves/meltCurve_P61244_2_MAX.pdf", "Melting_Curves/meltCurve_P61244_2_MAX.pdf")</f>
        <v>Melting_Curves/meltCurve_P61244_2_MAX.pdf</v>
      </c>
    </row>
    <row r="2920" spans="1:28" x14ac:dyDescent="0.25">
      <c r="A2920" t="s">
        <v>2924</v>
      </c>
      <c r="B2920">
        <v>0.99193492352474899</v>
      </c>
      <c r="C2920">
        <v>0.69279391323367001</v>
      </c>
      <c r="D2920">
        <v>0.84582854286823606</v>
      </c>
      <c r="E2920">
        <v>0.74836590253614499</v>
      </c>
      <c r="F2920">
        <v>0.75786295457697295</v>
      </c>
      <c r="G2920">
        <v>0.32835631538318999</v>
      </c>
      <c r="H2920">
        <v>0.13088995266574199</v>
      </c>
      <c r="I2920">
        <v>0.123668300917554</v>
      </c>
      <c r="J2920">
        <v>0.15803576237723299</v>
      </c>
      <c r="K2920">
        <v>0.139042289636816</v>
      </c>
      <c r="L2920">
        <v>560.35237723965702</v>
      </c>
      <c r="M2920">
        <v>10.306346418909399</v>
      </c>
      <c r="N2920">
        <v>54.369643073539002</v>
      </c>
      <c r="O2920">
        <v>52.442097974295699</v>
      </c>
      <c r="P2920">
        <v>-4.9153318018398701E-2</v>
      </c>
      <c r="Q2920">
        <v>0</v>
      </c>
      <c r="R2920">
        <v>0.88199984425325995</v>
      </c>
      <c r="S2920" t="s">
        <v>9590</v>
      </c>
      <c r="T2920" t="s">
        <v>13338</v>
      </c>
      <c r="U2920" t="s">
        <v>13338</v>
      </c>
      <c r="V2920" t="s">
        <v>13338</v>
      </c>
      <c r="W2920" t="s">
        <v>16215</v>
      </c>
      <c r="X2920">
        <v>19</v>
      </c>
      <c r="Y2920" t="s">
        <v>22767</v>
      </c>
      <c r="Z2920" t="s">
        <v>29335</v>
      </c>
      <c r="AA2920">
        <v>0.50712445923282412</v>
      </c>
      <c r="AB2920" t="str">
        <f>HYPERLINK("Melting_Curves/meltCurve_P61247_RPS3A.pdf", "Melting_Curves/meltCurve_P61247_RPS3A.pdf")</f>
        <v>Melting_Curves/meltCurve_P61247_RPS3A.pdf</v>
      </c>
    </row>
    <row r="2921" spans="1:28" x14ac:dyDescent="0.25">
      <c r="A2921" t="s">
        <v>2925</v>
      </c>
      <c r="B2921">
        <v>0.99193492352474899</v>
      </c>
      <c r="C2921">
        <v>0.710136286186973</v>
      </c>
      <c r="D2921">
        <v>0.77193695029413301</v>
      </c>
      <c r="E2921">
        <v>0.71762338380772905</v>
      </c>
      <c r="F2921">
        <v>0.73582779195942405</v>
      </c>
      <c r="G2921">
        <v>0.38517786094402101</v>
      </c>
      <c r="H2921">
        <v>0.101737360543178</v>
      </c>
      <c r="I2921">
        <v>8.8961875568061094E-2</v>
      </c>
      <c r="J2921">
        <v>0.101256687755957</v>
      </c>
      <c r="K2921">
        <v>8.8649569903881703E-2</v>
      </c>
      <c r="L2921">
        <v>554.10366215982503</v>
      </c>
      <c r="M2921">
        <v>10.299539566905899</v>
      </c>
      <c r="N2921">
        <v>53.7988765974968</v>
      </c>
      <c r="O2921">
        <v>51.889191405745997</v>
      </c>
      <c r="P2921">
        <v>-4.9644317410860103E-2</v>
      </c>
      <c r="Q2921">
        <v>0</v>
      </c>
      <c r="R2921">
        <v>0.89110994882412697</v>
      </c>
      <c r="S2921" t="s">
        <v>9591</v>
      </c>
      <c r="T2921" t="s">
        <v>13338</v>
      </c>
      <c r="U2921" t="s">
        <v>13338</v>
      </c>
      <c r="V2921" t="s">
        <v>13338</v>
      </c>
      <c r="W2921" t="s">
        <v>16216</v>
      </c>
      <c r="X2921">
        <v>10</v>
      </c>
      <c r="Y2921" t="s">
        <v>22768</v>
      </c>
      <c r="Z2921" t="s">
        <v>29336</v>
      </c>
      <c r="AA2921">
        <v>0.49032708959327659</v>
      </c>
      <c r="AB2921" t="str">
        <f>HYPERLINK("Melting_Curves/meltCurve_P61254_RPL26.pdf", "Melting_Curves/meltCurve_P61254_RPL26.pdf")</f>
        <v>Melting_Curves/meltCurve_P61254_RPL26.pdf</v>
      </c>
    </row>
    <row r="2922" spans="1:28" x14ac:dyDescent="0.25">
      <c r="A2922" t="s">
        <v>2926</v>
      </c>
      <c r="B2922">
        <v>0.99193492352474899</v>
      </c>
      <c r="C2922">
        <v>0.97454673203157705</v>
      </c>
      <c r="D2922">
        <v>0.89764521451402501</v>
      </c>
      <c r="E2922">
        <v>0.82017498452942095</v>
      </c>
      <c r="F2922">
        <v>0.75411135408437902</v>
      </c>
      <c r="G2922">
        <v>0.63317998435882406</v>
      </c>
      <c r="H2922">
        <v>0.52585011524242697</v>
      </c>
      <c r="I2922">
        <v>0.64185195296916997</v>
      </c>
      <c r="J2922">
        <v>0.7037050343422</v>
      </c>
      <c r="K2922">
        <v>0.89700189290838805</v>
      </c>
      <c r="L2922">
        <v>1037.7988696135801</v>
      </c>
      <c r="M2922">
        <v>21.5059861801072</v>
      </c>
      <c r="O2922">
        <v>47.844852056240001</v>
      </c>
      <c r="P2922">
        <v>-3.5421705908440598E-2</v>
      </c>
      <c r="Q2922">
        <v>0.68479383217859702</v>
      </c>
      <c r="R2922">
        <v>0.64354582515015502</v>
      </c>
      <c r="S2922" t="s">
        <v>9592</v>
      </c>
      <c r="T2922" t="s">
        <v>13338</v>
      </c>
      <c r="U2922" t="s">
        <v>13338</v>
      </c>
      <c r="V2922" t="s">
        <v>13338</v>
      </c>
      <c r="W2922" t="s">
        <v>16217</v>
      </c>
      <c r="X2922">
        <v>23</v>
      </c>
      <c r="Y2922" t="s">
        <v>22769</v>
      </c>
      <c r="Z2922" t="s">
        <v>29337</v>
      </c>
      <c r="AA2922">
        <v>0.7753680243844755</v>
      </c>
      <c r="AB2922" t="str">
        <f>HYPERLINK("Melting_Curves/meltCurve_P61289_PSME3.pdf", "Melting_Curves/meltCurve_P61289_PSME3.pdf")</f>
        <v>Melting_Curves/meltCurve_P61289_PSME3.pdf</v>
      </c>
    </row>
    <row r="2923" spans="1:28" x14ac:dyDescent="0.25">
      <c r="A2923" t="s">
        <v>2927</v>
      </c>
      <c r="B2923">
        <v>0.99193492352474899</v>
      </c>
      <c r="C2923">
        <v>0.75942994393515695</v>
      </c>
      <c r="D2923">
        <v>0.79868733722874297</v>
      </c>
      <c r="E2923">
        <v>0.53936277089267204</v>
      </c>
      <c r="F2923">
        <v>0.23934362437526999</v>
      </c>
      <c r="G2923">
        <v>0.14024695578469301</v>
      </c>
      <c r="H2923">
        <v>7.2695630449732498E-2</v>
      </c>
      <c r="I2923">
        <v>7.0112210790448701E-2</v>
      </c>
      <c r="J2923">
        <v>7.2149408804837098E-2</v>
      </c>
      <c r="K2923">
        <v>9.2164241870677996E-2</v>
      </c>
      <c r="L2923">
        <v>704.31902769901103</v>
      </c>
      <c r="M2923">
        <v>14.320648401899399</v>
      </c>
      <c r="N2923">
        <v>49.466545980690299</v>
      </c>
      <c r="O2923">
        <v>48.252852270628402</v>
      </c>
      <c r="P2923">
        <v>-7.1271602772018799E-2</v>
      </c>
      <c r="Q2923">
        <v>3.9529072089403497E-2</v>
      </c>
      <c r="R2923">
        <v>0.97459833694528897</v>
      </c>
      <c r="S2923" t="s">
        <v>9593</v>
      </c>
      <c r="T2923" t="s">
        <v>13338</v>
      </c>
      <c r="U2923" t="s">
        <v>13338</v>
      </c>
      <c r="V2923" t="s">
        <v>13338</v>
      </c>
      <c r="W2923" t="s">
        <v>16218</v>
      </c>
      <c r="X2923">
        <v>13</v>
      </c>
      <c r="Y2923" t="s">
        <v>22770</v>
      </c>
      <c r="Z2923" t="s">
        <v>29338</v>
      </c>
      <c r="AA2923">
        <v>0.35914641710276729</v>
      </c>
      <c r="AB2923" t="str">
        <f>HYPERLINK("Melting_Curves/meltCurve_P61326_MAGOH.pdf", "Melting_Curves/meltCurve_P61326_MAGOH.pdf")</f>
        <v>Melting_Curves/meltCurve_P61326_MAGOH.pdf</v>
      </c>
    </row>
    <row r="2924" spans="1:28" x14ac:dyDescent="0.25">
      <c r="A2924" t="s">
        <v>2928</v>
      </c>
      <c r="B2924">
        <v>0.99193492352474899</v>
      </c>
      <c r="C2924">
        <v>0.45636767263573902</v>
      </c>
      <c r="D2924">
        <v>0.71856659306564696</v>
      </c>
      <c r="E2924">
        <v>0.84666628774994301</v>
      </c>
      <c r="F2924">
        <v>1.05088372421131</v>
      </c>
      <c r="G2924">
        <v>0.69066552834331696</v>
      </c>
      <c r="H2924">
        <v>0.236713597340238</v>
      </c>
      <c r="I2924">
        <v>0.22176364712383501</v>
      </c>
      <c r="J2924">
        <v>0.38950293840993699</v>
      </c>
      <c r="K2924">
        <v>0.32961182281880502</v>
      </c>
      <c r="L2924">
        <v>312.52773729240403</v>
      </c>
      <c r="M2924">
        <v>5.26267828234114</v>
      </c>
      <c r="N2924">
        <v>59.385704403501698</v>
      </c>
      <c r="O2924">
        <v>52.4308044703075</v>
      </c>
      <c r="P2924">
        <v>-2.5222346900640898E-2</v>
      </c>
      <c r="Q2924">
        <v>0</v>
      </c>
      <c r="R2924">
        <v>0.43967505721643502</v>
      </c>
      <c r="S2924" t="s">
        <v>9594</v>
      </c>
      <c r="T2924" t="s">
        <v>13338</v>
      </c>
      <c r="U2924" t="s">
        <v>13338</v>
      </c>
      <c r="V2924" t="s">
        <v>13338</v>
      </c>
      <c r="W2924" t="s">
        <v>16219</v>
      </c>
      <c r="X2924">
        <v>5</v>
      </c>
      <c r="Y2924" t="s">
        <v>22771</v>
      </c>
      <c r="Z2924" t="s">
        <v>29339</v>
      </c>
      <c r="AA2924">
        <v>0.61155825669365016</v>
      </c>
      <c r="AB2924" t="str">
        <f>HYPERLINK("Melting_Curves/meltCurve_P61353_RPL27.pdf", "Melting_Curves/meltCurve_P61353_RPL27.pdf")</f>
        <v>Melting_Curves/meltCurve_P61353_RPL27.pdf</v>
      </c>
    </row>
    <row r="2925" spans="1:28" x14ac:dyDescent="0.25">
      <c r="A2925" t="s">
        <v>2929</v>
      </c>
      <c r="B2925">
        <v>0.99193492352474899</v>
      </c>
      <c r="C2925">
        <v>0.61061473788609699</v>
      </c>
      <c r="D2925">
        <v>0.53024435904724698</v>
      </c>
      <c r="E2925">
        <v>0.459443119328311</v>
      </c>
      <c r="F2925">
        <v>0.27164717327320298</v>
      </c>
      <c r="G2925">
        <v>0.18776299150535999</v>
      </c>
      <c r="H2925">
        <v>0.17333403675143999</v>
      </c>
      <c r="I2925">
        <v>0.14611636750429899</v>
      </c>
      <c r="J2925">
        <v>0.138673277020294</v>
      </c>
      <c r="K2925">
        <v>0.195186101970765</v>
      </c>
      <c r="L2925">
        <v>552.32595464664598</v>
      </c>
      <c r="M2925">
        <v>12.1104531859967</v>
      </c>
      <c r="N2925">
        <v>46.8998755572158</v>
      </c>
      <c r="O2925">
        <v>44.417216802484802</v>
      </c>
      <c r="P2925">
        <v>-5.85054350237319E-2</v>
      </c>
      <c r="Q2925">
        <v>0.141883280212206</v>
      </c>
      <c r="R2925">
        <v>0.94286550374293998</v>
      </c>
      <c r="S2925" t="s">
        <v>9595</v>
      </c>
      <c r="T2925" t="s">
        <v>13338</v>
      </c>
      <c r="U2925" t="s">
        <v>13338</v>
      </c>
      <c r="V2925" t="s">
        <v>13338</v>
      </c>
      <c r="W2925" t="s">
        <v>16220</v>
      </c>
      <c r="X2925">
        <v>5</v>
      </c>
      <c r="Y2925" t="s">
        <v>22772</v>
      </c>
      <c r="Z2925" t="s">
        <v>29340</v>
      </c>
      <c r="AA2925">
        <v>0.34202686946963312</v>
      </c>
      <c r="AB2925" t="str">
        <f>HYPERLINK("Melting_Curves/meltCurve_P61457_PCBD1.pdf", "Melting_Curves/meltCurve_P61457_PCBD1.pdf")</f>
        <v>Melting_Curves/meltCurve_P61457_PCBD1.pdf</v>
      </c>
    </row>
    <row r="2926" spans="1:28" x14ac:dyDescent="0.25">
      <c r="A2926" t="s">
        <v>2930</v>
      </c>
      <c r="B2926">
        <v>0.99193492352474899</v>
      </c>
      <c r="C2926">
        <v>0.632669529779193</v>
      </c>
      <c r="D2926">
        <v>0.89545397469416999</v>
      </c>
      <c r="E2926">
        <v>1.01815142457671</v>
      </c>
      <c r="F2926">
        <v>1.06974459567611</v>
      </c>
      <c r="G2926">
        <v>0.85721924369855995</v>
      </c>
      <c r="H2926">
        <v>0.16126870870115301</v>
      </c>
      <c r="I2926">
        <v>0.118322414609712</v>
      </c>
      <c r="J2926">
        <v>0.15827477906006401</v>
      </c>
      <c r="K2926">
        <v>9.0464569961668198E-2</v>
      </c>
      <c r="L2926">
        <v>4151.6882710539403</v>
      </c>
      <c r="M2926">
        <v>71.4429182862945</v>
      </c>
      <c r="N2926">
        <v>58.342031574920803</v>
      </c>
      <c r="O2926">
        <v>58.066485040390603</v>
      </c>
      <c r="P2926">
        <v>-0.269831128330278</v>
      </c>
      <c r="Q2926">
        <v>0.12276030071376499</v>
      </c>
      <c r="R2926">
        <v>0.90294263677431497</v>
      </c>
      <c r="S2926" t="s">
        <v>9596</v>
      </c>
      <c r="T2926" t="s">
        <v>13338</v>
      </c>
      <c r="U2926" t="s">
        <v>13338</v>
      </c>
      <c r="V2926" t="s">
        <v>13338</v>
      </c>
      <c r="W2926" t="s">
        <v>16221</v>
      </c>
      <c r="X2926">
        <v>2</v>
      </c>
      <c r="Y2926" t="s">
        <v>22773</v>
      </c>
      <c r="Z2926" t="s">
        <v>29341</v>
      </c>
      <c r="AA2926">
        <v>0.65347615074899013</v>
      </c>
      <c r="AB2926" t="str">
        <f>HYPERLINK("Melting_Curves/meltCurve_P61513_RPL37A.pdf", "Melting_Curves/meltCurve_P61513_RPL37A.pdf")</f>
        <v>Melting_Curves/meltCurve_P61513_RPL37A.pdf</v>
      </c>
    </row>
    <row r="2927" spans="1:28" x14ac:dyDescent="0.25">
      <c r="A2927" t="s">
        <v>2931</v>
      </c>
      <c r="B2927">
        <v>0.99193492352474899</v>
      </c>
      <c r="C2927">
        <v>0.86029143332595304</v>
      </c>
      <c r="D2927">
        <v>1.01069440489555</v>
      </c>
      <c r="E2927">
        <v>0.74140617510273499</v>
      </c>
      <c r="F2927">
        <v>0.63356684657311702</v>
      </c>
      <c r="G2927">
        <v>0.50793119596128899</v>
      </c>
      <c r="H2927">
        <v>0.44352819574253499</v>
      </c>
      <c r="I2927">
        <v>0.53966618511388198</v>
      </c>
      <c r="J2927">
        <v>0.54461295534319099</v>
      </c>
      <c r="K2927">
        <v>0.190446334200048</v>
      </c>
      <c r="L2927">
        <v>552.88879816725705</v>
      </c>
      <c r="M2927">
        <v>10.459373820821099</v>
      </c>
      <c r="N2927">
        <v>59.020381649880399</v>
      </c>
      <c r="O2927">
        <v>51.037918742976899</v>
      </c>
      <c r="P2927">
        <v>-3.42295499956628E-2</v>
      </c>
      <c r="Q2927">
        <v>0.33216275141510399</v>
      </c>
      <c r="R2927">
        <v>0.83537827546536902</v>
      </c>
      <c r="S2927" t="s">
        <v>9597</v>
      </c>
      <c r="T2927" t="s">
        <v>13338</v>
      </c>
      <c r="U2927" t="s">
        <v>13338</v>
      </c>
      <c r="V2927" t="s">
        <v>13338</v>
      </c>
      <c r="W2927" t="s">
        <v>16222</v>
      </c>
      <c r="X2927">
        <v>10</v>
      </c>
      <c r="Y2927" t="s">
        <v>22774</v>
      </c>
      <c r="Z2927" t="s">
        <v>29342</v>
      </c>
      <c r="AA2927">
        <v>0.64068743699611852</v>
      </c>
      <c r="AB2927" t="str">
        <f>HYPERLINK("Melting_Curves/meltCurve_P61586_RHOA.pdf", "Melting_Curves/meltCurve_P61586_RHOA.pdf")</f>
        <v>Melting_Curves/meltCurve_P61586_RHOA.pdf</v>
      </c>
    </row>
    <row r="2928" spans="1:28" x14ac:dyDescent="0.25">
      <c r="A2928" t="s">
        <v>2932</v>
      </c>
      <c r="B2928">
        <v>0.99193492352474899</v>
      </c>
      <c r="C2928">
        <v>0.63982903578551298</v>
      </c>
      <c r="D2928">
        <v>0.89657428545032802</v>
      </c>
      <c r="E2928">
        <v>0.40579446298753002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1336.7141446645401</v>
      </c>
      <c r="M2928">
        <v>27.45071409677</v>
      </c>
      <c r="N2928">
        <v>48.695059097998403</v>
      </c>
      <c r="O2928">
        <v>48.4388434677888</v>
      </c>
      <c r="P2928">
        <v>-0.141678509665219</v>
      </c>
      <c r="Q2928">
        <v>0</v>
      </c>
      <c r="R2928">
        <v>0.91588144601669297</v>
      </c>
      <c r="S2928" t="s">
        <v>9598</v>
      </c>
      <c r="T2928" t="s">
        <v>13338</v>
      </c>
      <c r="U2928" t="s">
        <v>13338</v>
      </c>
      <c r="V2928" t="s">
        <v>13338</v>
      </c>
      <c r="W2928" t="s">
        <v>16223</v>
      </c>
      <c r="X2928">
        <v>4</v>
      </c>
      <c r="Y2928" t="s">
        <v>22775</v>
      </c>
      <c r="Z2928" t="s">
        <v>29343</v>
      </c>
      <c r="AA2928">
        <v>0.29712172957488919</v>
      </c>
      <c r="AB2928" t="str">
        <f>HYPERLINK("Melting_Curves/meltCurve_P61599_NAA20.pdf", "Melting_Curves/meltCurve_P61599_NAA20.pdf")</f>
        <v>Melting_Curves/meltCurve_P61599_NAA20.pdf</v>
      </c>
    </row>
    <row r="2929" spans="1:28" x14ac:dyDescent="0.25">
      <c r="A2929" t="s">
        <v>2933</v>
      </c>
      <c r="B2929">
        <v>0.99193492352474899</v>
      </c>
      <c r="C2929">
        <v>0.80081024737986595</v>
      </c>
      <c r="D2929">
        <v>0.83767695583728496</v>
      </c>
      <c r="E2929">
        <v>0.75624950442642502</v>
      </c>
      <c r="F2929">
        <v>0.63805962300802099</v>
      </c>
      <c r="G2929">
        <v>0.54733949014821703</v>
      </c>
      <c r="H2929">
        <v>0.46643326478355901</v>
      </c>
      <c r="I2929">
        <v>0.53083983693039605</v>
      </c>
      <c r="J2929">
        <v>0.51624916661296005</v>
      </c>
      <c r="K2929">
        <v>0.61398345687801803</v>
      </c>
      <c r="L2929">
        <v>537.83193116343</v>
      </c>
      <c r="M2929">
        <v>11.247000267939001</v>
      </c>
      <c r="O2929">
        <v>46.383029636511701</v>
      </c>
      <c r="P2929">
        <v>-2.9751607172050699E-2</v>
      </c>
      <c r="Q2929">
        <v>0.50936521019707703</v>
      </c>
      <c r="R2929">
        <v>0.88296171774598997</v>
      </c>
      <c r="S2929" t="s">
        <v>9599</v>
      </c>
      <c r="T2929" t="s">
        <v>13338</v>
      </c>
      <c r="U2929" t="s">
        <v>13338</v>
      </c>
      <c r="V2929" t="s">
        <v>13338</v>
      </c>
      <c r="W2929" t="s">
        <v>16224</v>
      </c>
      <c r="X2929">
        <v>15</v>
      </c>
      <c r="Y2929" t="s">
        <v>22776</v>
      </c>
      <c r="Z2929" t="s">
        <v>29344</v>
      </c>
      <c r="AA2929">
        <v>0.65901325910761599</v>
      </c>
      <c r="AB2929" t="str">
        <f>HYPERLINK("Melting_Curves/meltCurve_P61604_HSPE1.pdf", "Melting_Curves/meltCurve_P61604_HSPE1.pdf")</f>
        <v>Melting_Curves/meltCurve_P61604_HSPE1.pdf</v>
      </c>
    </row>
    <row r="2930" spans="1:28" x14ac:dyDescent="0.25">
      <c r="A2930" t="s">
        <v>2934</v>
      </c>
      <c r="B2930">
        <v>0.99193492352474899</v>
      </c>
      <c r="C2930">
        <v>1.00868007716992</v>
      </c>
      <c r="D2930">
        <v>0.91644660707224501</v>
      </c>
      <c r="E2930">
        <v>0.86275436267745598</v>
      </c>
      <c r="F2930">
        <v>0.76794210690456299</v>
      </c>
      <c r="G2930">
        <v>0.58170800407013701</v>
      </c>
      <c r="H2930">
        <v>0.410757452951865</v>
      </c>
      <c r="I2930">
        <v>0.338531107284754</v>
      </c>
      <c r="J2930">
        <v>0.29184250084608898</v>
      </c>
      <c r="K2930">
        <v>0.32329480666178601</v>
      </c>
      <c r="L2930">
        <v>756.88171031236698</v>
      </c>
      <c r="M2930">
        <v>13.586512333320499</v>
      </c>
      <c r="N2930">
        <v>58.582812510038401</v>
      </c>
      <c r="O2930">
        <v>54.5430176109464</v>
      </c>
      <c r="P2930">
        <v>-4.7130737932765898E-2</v>
      </c>
      <c r="Q2930">
        <v>0.24328767996630599</v>
      </c>
      <c r="R2930">
        <v>0.99254198496429702</v>
      </c>
      <c r="S2930" t="s">
        <v>9600</v>
      </c>
      <c r="T2930" t="s">
        <v>13338</v>
      </c>
      <c r="U2930" t="s">
        <v>13338</v>
      </c>
      <c r="V2930" t="s">
        <v>13338</v>
      </c>
      <c r="W2930" t="s">
        <v>16225</v>
      </c>
      <c r="X2930">
        <v>19</v>
      </c>
      <c r="Y2930" t="s">
        <v>22777</v>
      </c>
      <c r="Z2930" t="s">
        <v>29345</v>
      </c>
      <c r="AA2930">
        <v>0.65447359527307747</v>
      </c>
      <c r="AB2930" t="str">
        <f>HYPERLINK("Melting_Curves/meltCurve_P61758_VBP1.pdf", "Melting_Curves/meltCurve_P61758_VBP1.pdf")</f>
        <v>Melting_Curves/meltCurve_P61758_VBP1.pdf</v>
      </c>
    </row>
    <row r="2931" spans="1:28" x14ac:dyDescent="0.25">
      <c r="A2931" t="s">
        <v>2935</v>
      </c>
      <c r="B2931">
        <v>0.99193492352474899</v>
      </c>
      <c r="C2931">
        <v>1.01128509566488</v>
      </c>
      <c r="D2931">
        <v>0.79368925982990302</v>
      </c>
      <c r="E2931">
        <v>0.38747067333871199</v>
      </c>
      <c r="F2931">
        <v>0.18352824674559801</v>
      </c>
      <c r="G2931">
        <v>0.106772066833176</v>
      </c>
      <c r="H2931">
        <v>6.5419408765549705E-2</v>
      </c>
      <c r="I2931">
        <v>7.28546210418657E-2</v>
      </c>
      <c r="J2931">
        <v>8.3693601774129905E-2</v>
      </c>
      <c r="K2931">
        <v>8.8539853206509797E-2</v>
      </c>
      <c r="L2931">
        <v>1242.51796263396</v>
      </c>
      <c r="M2931">
        <v>25.7069097303227</v>
      </c>
      <c r="N2931">
        <v>48.669031520546099</v>
      </c>
      <c r="O2931">
        <v>48.044349193663301</v>
      </c>
      <c r="P2931">
        <v>-0.12292045819967901</v>
      </c>
      <c r="Q2931">
        <v>8.1093065639068804E-2</v>
      </c>
      <c r="R2931">
        <v>0.99764825367371401</v>
      </c>
      <c r="S2931" t="s">
        <v>9601</v>
      </c>
      <c r="T2931" t="s">
        <v>13338</v>
      </c>
      <c r="U2931" t="s">
        <v>13338</v>
      </c>
      <c r="V2931" t="s">
        <v>13338</v>
      </c>
      <c r="W2931" t="s">
        <v>16226</v>
      </c>
      <c r="X2931">
        <v>19</v>
      </c>
      <c r="Y2931" t="s">
        <v>22778</v>
      </c>
      <c r="Z2931" t="s">
        <v>29346</v>
      </c>
      <c r="AA2931">
        <v>0.34402462014937518</v>
      </c>
      <c r="AB2931" t="str">
        <f>HYPERLINK("Melting_Curves/meltCurve_P61764_STXBP1.pdf", "Melting_Curves/meltCurve_P61764_STXBP1.pdf")</f>
        <v>Melting_Curves/meltCurve_P61764_STXBP1.pdf</v>
      </c>
    </row>
    <row r="2932" spans="1:28" x14ac:dyDescent="0.25">
      <c r="A2932" t="s">
        <v>2936</v>
      </c>
      <c r="B2932">
        <v>0.99193492352474899</v>
      </c>
      <c r="C2932">
        <v>1.06054175820729</v>
      </c>
      <c r="D2932">
        <v>0.83978147485689503</v>
      </c>
      <c r="E2932">
        <v>0.884895006818188</v>
      </c>
      <c r="F2932">
        <v>0.66581460066209297</v>
      </c>
      <c r="G2932">
        <v>0.37998020883706202</v>
      </c>
      <c r="H2932">
        <v>0.28321782858654099</v>
      </c>
      <c r="I2932">
        <v>0.29322172059360702</v>
      </c>
      <c r="J2932">
        <v>0.24983782690430301</v>
      </c>
      <c r="K2932">
        <v>0.346881229759189</v>
      </c>
      <c r="L2932">
        <v>1196.1031087348199</v>
      </c>
      <c r="M2932">
        <v>22.5249184412951</v>
      </c>
      <c r="N2932">
        <v>55.0550454511868</v>
      </c>
      <c r="O2932">
        <v>52.688109565712097</v>
      </c>
      <c r="P2932">
        <v>-7.7468707904717798E-2</v>
      </c>
      <c r="Q2932">
        <v>0.27518551490014198</v>
      </c>
      <c r="R2932">
        <v>0.96551974983791999</v>
      </c>
      <c r="S2932" t="s">
        <v>9602</v>
      </c>
      <c r="T2932" t="s">
        <v>13338</v>
      </c>
      <c r="U2932" t="s">
        <v>13338</v>
      </c>
      <c r="V2932" t="s">
        <v>13338</v>
      </c>
      <c r="W2932" t="s">
        <v>16227</v>
      </c>
      <c r="X2932">
        <v>5</v>
      </c>
      <c r="Y2932" t="s">
        <v>22779</v>
      </c>
      <c r="Z2932" t="s">
        <v>29347</v>
      </c>
      <c r="AA2932">
        <v>0.59980840827491622</v>
      </c>
      <c r="AB2932" t="str">
        <f>HYPERLINK("Melting_Curves/meltCurve_P61769_B2M.pdf", "Melting_Curves/meltCurve_P61769_B2M.pdf")</f>
        <v>Melting_Curves/meltCurve_P61769_B2M.pdf</v>
      </c>
    </row>
    <row r="2933" spans="1:28" x14ac:dyDescent="0.25">
      <c r="A2933" t="s">
        <v>2937</v>
      </c>
      <c r="B2933">
        <v>0.99193492352474899</v>
      </c>
      <c r="C2933">
        <v>0.84065383163971696</v>
      </c>
      <c r="D2933">
        <v>0.80383284874045802</v>
      </c>
      <c r="E2933">
        <v>0.74545830962724102</v>
      </c>
      <c r="F2933">
        <v>0.669808270283624</v>
      </c>
      <c r="G2933">
        <v>0.50913130797036399</v>
      </c>
      <c r="H2933">
        <v>0.447361092653416</v>
      </c>
      <c r="I2933">
        <v>0.551761116529219</v>
      </c>
      <c r="J2933">
        <v>0.59317717228936195</v>
      </c>
      <c r="K2933">
        <v>0.82376896194759996</v>
      </c>
      <c r="L2933">
        <v>703.21829786652404</v>
      </c>
      <c r="M2933">
        <v>15.3090420760743</v>
      </c>
      <c r="O2933">
        <v>45.172467829762901</v>
      </c>
      <c r="P2933">
        <v>-3.4618411639538299E-2</v>
      </c>
      <c r="Q2933">
        <v>0.59144341330875705</v>
      </c>
      <c r="R2933">
        <v>0.63594890441802998</v>
      </c>
      <c r="S2933" t="s">
        <v>9603</v>
      </c>
      <c r="T2933" t="s">
        <v>13338</v>
      </c>
      <c r="U2933" t="s">
        <v>13338</v>
      </c>
      <c r="V2933" t="s">
        <v>13338</v>
      </c>
      <c r="W2933" t="s">
        <v>16228</v>
      </c>
      <c r="X2933">
        <v>2</v>
      </c>
      <c r="Y2933" t="s">
        <v>22780</v>
      </c>
      <c r="Z2933" t="s">
        <v>29348</v>
      </c>
      <c r="AA2933">
        <v>0.68375823769998578</v>
      </c>
      <c r="AB2933" t="str">
        <f>HYPERLINK("Melting_Curves/meltCurve_P61925_PKIA.pdf", "Melting_Curves/meltCurve_P61925_PKIA.pdf")</f>
        <v>Melting_Curves/meltCurve_P61925_PKIA.pdf</v>
      </c>
    </row>
    <row r="2934" spans="1:28" x14ac:dyDescent="0.25">
      <c r="A2934" t="s">
        <v>2938</v>
      </c>
      <c r="B2934">
        <v>0.99193492352474899</v>
      </c>
      <c r="C2934">
        <v>1.0431071837975601</v>
      </c>
      <c r="D2934">
        <v>1.1612434937752201</v>
      </c>
      <c r="E2934">
        <v>1.1184369940493699</v>
      </c>
      <c r="F2934">
        <v>0.50172445815992295</v>
      </c>
      <c r="G2934">
        <v>0.32893769972162701</v>
      </c>
      <c r="H2934">
        <v>0.18360595715973399</v>
      </c>
      <c r="I2934">
        <v>0.14102985512673</v>
      </c>
      <c r="J2934">
        <v>0.10219918897479</v>
      </c>
      <c r="K2934">
        <v>0.178052639100507</v>
      </c>
      <c r="L2934">
        <v>5013.2857261607796</v>
      </c>
      <c r="M2934">
        <v>94.682502234106707</v>
      </c>
      <c r="N2934">
        <v>53.210335833598499</v>
      </c>
      <c r="O2934">
        <v>52.924779297663498</v>
      </c>
      <c r="P2934">
        <v>-0.36393949050690499</v>
      </c>
      <c r="Q2934">
        <v>0.18627347711376999</v>
      </c>
      <c r="R2934">
        <v>0.96075524890278896</v>
      </c>
      <c r="S2934" t="s">
        <v>9604</v>
      </c>
      <c r="T2934" t="s">
        <v>13338</v>
      </c>
      <c r="U2934" t="s">
        <v>13338</v>
      </c>
      <c r="V2934" t="s">
        <v>13338</v>
      </c>
      <c r="W2934" t="s">
        <v>16229</v>
      </c>
      <c r="X2934">
        <v>1</v>
      </c>
      <c r="Y2934" t="s">
        <v>22781</v>
      </c>
      <c r="Z2934" t="s">
        <v>29349</v>
      </c>
      <c r="AA2934">
        <v>0.53801619052999483</v>
      </c>
      <c r="AB2934" t="str">
        <f>HYPERLINK("Melting_Curves/meltCurve_P61927_RPL37.pdf", "Melting_Curves/meltCurve_P61927_RPL37.pdf")</f>
        <v>Melting_Curves/meltCurve_P61927_RPL37.pdf</v>
      </c>
    </row>
    <row r="2935" spans="1:28" x14ac:dyDescent="0.25">
      <c r="A2935" t="s">
        <v>2939</v>
      </c>
      <c r="B2935">
        <v>0.99193492352474899</v>
      </c>
      <c r="C2935">
        <v>0.81031354131838096</v>
      </c>
      <c r="D2935">
        <v>0.88182613819632505</v>
      </c>
      <c r="E2935">
        <v>0.69374328894847803</v>
      </c>
      <c r="F2935">
        <v>0.48693231036300999</v>
      </c>
      <c r="G2935">
        <v>0.25740567981812901</v>
      </c>
      <c r="H2935">
        <v>0.14988455774334999</v>
      </c>
      <c r="I2935">
        <v>0.12395066888866201</v>
      </c>
      <c r="J2935">
        <v>0.125411712028311</v>
      </c>
      <c r="K2935">
        <v>0.116355823356039</v>
      </c>
      <c r="L2935">
        <v>664.90422061792901</v>
      </c>
      <c r="M2935">
        <v>12.794729784404501</v>
      </c>
      <c r="N2935">
        <v>52.457078718154499</v>
      </c>
      <c r="O2935">
        <v>50.746666427159703</v>
      </c>
      <c r="P2935">
        <v>-5.9492994034645003E-2</v>
      </c>
      <c r="Q2935">
        <v>5.6329021173897799E-2</v>
      </c>
      <c r="R2935">
        <v>0.97913528752656198</v>
      </c>
      <c r="S2935" t="s">
        <v>9605</v>
      </c>
      <c r="T2935" t="s">
        <v>13338</v>
      </c>
      <c r="U2935" t="s">
        <v>13338</v>
      </c>
      <c r="V2935" t="s">
        <v>13338</v>
      </c>
      <c r="W2935" t="s">
        <v>16230</v>
      </c>
      <c r="X2935">
        <v>11</v>
      </c>
      <c r="Y2935" t="s">
        <v>22782</v>
      </c>
      <c r="Z2935" t="s">
        <v>29350</v>
      </c>
      <c r="AA2935">
        <v>0.4593472110464229</v>
      </c>
      <c r="AB2935" t="str">
        <f>HYPERLINK("Melting_Curves/meltCurve_P61962_DCAF7.pdf", "Melting_Curves/meltCurve_P61962_DCAF7.pdf")</f>
        <v>Melting_Curves/meltCurve_P61962_DCAF7.pdf</v>
      </c>
    </row>
    <row r="2936" spans="1:28" x14ac:dyDescent="0.25">
      <c r="A2936" t="s">
        <v>2940</v>
      </c>
      <c r="B2936">
        <v>0.99193492352474899</v>
      </c>
      <c r="C2936">
        <v>0.82592030751533396</v>
      </c>
      <c r="D2936">
        <v>0.81195462006530505</v>
      </c>
      <c r="E2936">
        <v>0.76280947222300099</v>
      </c>
      <c r="F2936">
        <v>0.73305312547662604</v>
      </c>
      <c r="G2936">
        <v>0.65719744330223795</v>
      </c>
      <c r="H2936">
        <v>0.623847733405408</v>
      </c>
      <c r="I2936">
        <v>0.65365450360782196</v>
      </c>
      <c r="J2936">
        <v>0.73082484002889703</v>
      </c>
      <c r="K2936">
        <v>0.63886031537950305</v>
      </c>
      <c r="L2936">
        <v>551.36901991764796</v>
      </c>
      <c r="M2936">
        <v>12.2115849995833</v>
      </c>
      <c r="O2936">
        <v>43.9916873687039</v>
      </c>
      <c r="P2936">
        <v>-2.3873103992214199E-2</v>
      </c>
      <c r="Q2936">
        <v>0.65607031145449202</v>
      </c>
      <c r="R2936">
        <v>0.86833935130679396</v>
      </c>
      <c r="S2936" t="s">
        <v>9606</v>
      </c>
      <c r="T2936" t="s">
        <v>13338</v>
      </c>
      <c r="U2936" t="s">
        <v>13338</v>
      </c>
      <c r="V2936" t="s">
        <v>13338</v>
      </c>
      <c r="W2936" t="s">
        <v>16231</v>
      </c>
      <c r="X2936">
        <v>8</v>
      </c>
      <c r="Y2936" t="s">
        <v>22783</v>
      </c>
      <c r="Z2936" t="s">
        <v>29351</v>
      </c>
      <c r="AA2936">
        <v>0.73150690493982229</v>
      </c>
      <c r="AB2936" t="str">
        <f>HYPERLINK("Melting_Curves/meltCurve_P61964_WDR5.pdf", "Melting_Curves/meltCurve_P61964_WDR5.pdf")</f>
        <v>Melting_Curves/meltCurve_P61964_WDR5.pdf</v>
      </c>
    </row>
    <row r="2937" spans="1:28" x14ac:dyDescent="0.25">
      <c r="A2937" t="s">
        <v>2941</v>
      </c>
      <c r="B2937">
        <v>0.99193492352474899</v>
      </c>
      <c r="C2937">
        <v>0.93988743274548603</v>
      </c>
      <c r="D2937">
        <v>0.814776647034399</v>
      </c>
      <c r="E2937">
        <v>0.44931692133404699</v>
      </c>
      <c r="F2937">
        <v>0.27202497036906398</v>
      </c>
      <c r="G2937">
        <v>0.15807912086956599</v>
      </c>
      <c r="H2937">
        <v>9.0361477472141002E-2</v>
      </c>
      <c r="I2937">
        <v>8.9862465081732706E-2</v>
      </c>
      <c r="J2937">
        <v>9.7254407587398298E-2</v>
      </c>
      <c r="K2937">
        <v>0.124271780128016</v>
      </c>
      <c r="L2937">
        <v>977.55107921766501</v>
      </c>
      <c r="M2937">
        <v>20.026815112267201</v>
      </c>
      <c r="N2937">
        <v>49.349825758405998</v>
      </c>
      <c r="O2937">
        <v>48.333242230650598</v>
      </c>
      <c r="P2937">
        <v>-9.3436317754403503E-2</v>
      </c>
      <c r="Q2937">
        <v>9.8022692284556498E-2</v>
      </c>
      <c r="R2937">
        <v>0.99709105713346502</v>
      </c>
      <c r="S2937" t="s">
        <v>9607</v>
      </c>
      <c r="T2937" t="s">
        <v>13338</v>
      </c>
      <c r="U2937" t="s">
        <v>13338</v>
      </c>
      <c r="V2937" t="s">
        <v>13338</v>
      </c>
      <c r="W2937" t="s">
        <v>16232</v>
      </c>
      <c r="X2937">
        <v>5</v>
      </c>
      <c r="Y2937" t="s">
        <v>22784</v>
      </c>
      <c r="Z2937" t="s">
        <v>29352</v>
      </c>
      <c r="AA2937">
        <v>0.37559077898523963</v>
      </c>
      <c r="AB2937" t="str">
        <f>HYPERLINK("Melting_Curves/meltCurve_P61966_AP1S1.pdf", "Melting_Curves/meltCurve_P61966_AP1S1.pdf")</f>
        <v>Melting_Curves/meltCurve_P61966_AP1S1.pdf</v>
      </c>
    </row>
    <row r="2938" spans="1:28" x14ac:dyDescent="0.25">
      <c r="A2938" t="s">
        <v>2942</v>
      </c>
      <c r="B2938">
        <v>0.99193492352474899</v>
      </c>
      <c r="C2938">
        <v>0.99441285730274098</v>
      </c>
      <c r="D2938">
        <v>0.968681529267302</v>
      </c>
      <c r="E2938">
        <v>0.76800873193806596</v>
      </c>
      <c r="F2938">
        <v>0.58728484041068996</v>
      </c>
      <c r="G2938">
        <v>0.174725373932415</v>
      </c>
      <c r="H2938">
        <v>9.6722672650491795E-2</v>
      </c>
      <c r="I2938">
        <v>0.122090063360013</v>
      </c>
      <c r="J2938">
        <v>0.12537702284471899</v>
      </c>
      <c r="K2938">
        <v>0.152582351570031</v>
      </c>
      <c r="L2938">
        <v>1236.8590889770501</v>
      </c>
      <c r="M2938">
        <v>23.461532535607599</v>
      </c>
      <c r="N2938">
        <v>53.244012713542098</v>
      </c>
      <c r="O2938">
        <v>52.340072017588803</v>
      </c>
      <c r="P2938">
        <v>-0.10048454858614</v>
      </c>
      <c r="Q2938">
        <v>0.103336022765941</v>
      </c>
      <c r="R2938">
        <v>0.98603166257346397</v>
      </c>
      <c r="S2938" t="s">
        <v>9608</v>
      </c>
      <c r="T2938" t="s">
        <v>13338</v>
      </c>
      <c r="U2938" t="s">
        <v>13338</v>
      </c>
      <c r="V2938" t="s">
        <v>13338</v>
      </c>
      <c r="W2938" t="s">
        <v>16233</v>
      </c>
      <c r="X2938">
        <v>1</v>
      </c>
      <c r="Y2938" t="s">
        <v>22785</v>
      </c>
      <c r="Z2938" t="s">
        <v>29353</v>
      </c>
      <c r="AA2938">
        <v>0.49275874597892239</v>
      </c>
      <c r="AB2938" t="str">
        <f>HYPERLINK("Melting_Curves/meltCurve_P61968_LMO4.pdf", "Melting_Curves/meltCurve_P61968_LMO4.pdf")</f>
        <v>Melting_Curves/meltCurve_P61968_LMO4.pdf</v>
      </c>
    </row>
    <row r="2939" spans="1:28" x14ac:dyDescent="0.25">
      <c r="A2939" t="s">
        <v>2943</v>
      </c>
      <c r="B2939">
        <v>0.99193492352474899</v>
      </c>
      <c r="C2939">
        <v>0.99449830779856696</v>
      </c>
      <c r="D2939">
        <v>0.97725213808546596</v>
      </c>
      <c r="E2939">
        <v>0.86228174273149605</v>
      </c>
      <c r="F2939">
        <v>0.75852221485968396</v>
      </c>
      <c r="G2939">
        <v>0.57807805804528201</v>
      </c>
      <c r="H2939">
        <v>0.53803783999672095</v>
      </c>
      <c r="I2939">
        <v>0.56706163256724296</v>
      </c>
      <c r="J2939">
        <v>0.56721417915064798</v>
      </c>
      <c r="K2939">
        <v>0.45150412380517901</v>
      </c>
      <c r="L2939">
        <v>975.82863303534998</v>
      </c>
      <c r="M2939">
        <v>18.5462612731808</v>
      </c>
      <c r="O2939">
        <v>52.015644444356901</v>
      </c>
      <c r="P2939">
        <v>-4.36560087440317E-2</v>
      </c>
      <c r="Q2939">
        <v>0.51026336853971499</v>
      </c>
      <c r="R2939">
        <v>0.97488680169799302</v>
      </c>
      <c r="S2939" t="s">
        <v>9609</v>
      </c>
      <c r="T2939" t="s">
        <v>13338</v>
      </c>
      <c r="U2939" t="s">
        <v>13338</v>
      </c>
      <c r="V2939" t="s">
        <v>13338</v>
      </c>
      <c r="W2939" t="s">
        <v>16234</v>
      </c>
      <c r="X2939">
        <v>6</v>
      </c>
      <c r="Y2939" t="s">
        <v>22786</v>
      </c>
      <c r="Z2939" t="s">
        <v>29354</v>
      </c>
      <c r="AA2939">
        <v>0.72389647500907439</v>
      </c>
      <c r="AB2939" t="str">
        <f>HYPERLINK("Melting_Curves/meltCurve_P61970_NUTF2.pdf", "Melting_Curves/meltCurve_P61970_NUTF2.pdf")</f>
        <v>Melting_Curves/meltCurve_P61970_NUTF2.pdf</v>
      </c>
    </row>
    <row r="2940" spans="1:28" x14ac:dyDescent="0.25">
      <c r="A2940" t="s">
        <v>2944</v>
      </c>
      <c r="B2940">
        <v>0.99193492352474899</v>
      </c>
      <c r="C2940">
        <v>0.59248793851757398</v>
      </c>
      <c r="D2940">
        <v>0.70175339122090097</v>
      </c>
      <c r="E2940">
        <v>0.317072596807842</v>
      </c>
      <c r="F2940">
        <v>0.142603658354712</v>
      </c>
      <c r="G2940">
        <v>8.5026850355283207E-2</v>
      </c>
      <c r="H2940">
        <v>6.38808839654426E-2</v>
      </c>
      <c r="I2940">
        <v>9.2776503185553902E-2</v>
      </c>
      <c r="J2940">
        <v>0.118835935191</v>
      </c>
      <c r="K2940">
        <v>0.176850814640967</v>
      </c>
      <c r="L2940">
        <v>683.63096919588895</v>
      </c>
      <c r="M2940">
        <v>14.818029508515499</v>
      </c>
      <c r="N2940">
        <v>46.711180028172897</v>
      </c>
      <c r="O2940">
        <v>45.319268692432701</v>
      </c>
      <c r="P2940">
        <v>-7.4923730127244001E-2</v>
      </c>
      <c r="Q2940">
        <v>8.35136571216923E-2</v>
      </c>
      <c r="R2940">
        <v>0.917215974691445</v>
      </c>
      <c r="S2940" t="s">
        <v>9610</v>
      </c>
      <c r="T2940" t="s">
        <v>13338</v>
      </c>
      <c r="U2940" t="s">
        <v>13338</v>
      </c>
      <c r="V2940" t="s">
        <v>13338</v>
      </c>
      <c r="W2940" t="s">
        <v>16235</v>
      </c>
      <c r="X2940">
        <v>26</v>
      </c>
      <c r="Y2940" t="s">
        <v>22787</v>
      </c>
      <c r="Z2940" t="s">
        <v>29355</v>
      </c>
      <c r="AA2940">
        <v>0.29809635664502843</v>
      </c>
      <c r="AB2940" t="str">
        <f>HYPERLINK("Melting_Curves/meltCurve_P61978_3_HNRNPK.pdf", "Melting_Curves/meltCurve_P61978_3_HNRNPK.pdf")</f>
        <v>Melting_Curves/meltCurve_P61978_3_HNRNPK.pdf</v>
      </c>
    </row>
    <row r="2941" spans="1:28" x14ac:dyDescent="0.25">
      <c r="A2941" t="s">
        <v>2945</v>
      </c>
      <c r="B2941">
        <v>0.99193492352474899</v>
      </c>
      <c r="C2941">
        <v>1.1605524854204301</v>
      </c>
      <c r="D2941">
        <v>0.92385778435786303</v>
      </c>
      <c r="E2941">
        <v>1.0476686432787501</v>
      </c>
      <c r="F2941">
        <v>0.77271420921638101</v>
      </c>
      <c r="G2941">
        <v>0.57415778366760295</v>
      </c>
      <c r="H2941">
        <v>0.21563198696042901</v>
      </c>
      <c r="I2941">
        <v>0.15415107938707401</v>
      </c>
      <c r="J2941">
        <v>0.111123678667574</v>
      </c>
      <c r="K2941">
        <v>0.110972168618621</v>
      </c>
      <c r="L2941">
        <v>1301.8235303772899</v>
      </c>
      <c r="M2941">
        <v>22.974199432569499</v>
      </c>
      <c r="N2941">
        <v>57.150796690945498</v>
      </c>
      <c r="O2941">
        <v>56.240504677205998</v>
      </c>
      <c r="P2941">
        <v>-9.3061042860588694E-2</v>
      </c>
      <c r="Q2941">
        <v>8.8768831899905601E-2</v>
      </c>
      <c r="R2941">
        <v>0.97279863631875996</v>
      </c>
      <c r="S2941" t="s">
        <v>9611</v>
      </c>
      <c r="T2941" t="s">
        <v>13338</v>
      </c>
      <c r="U2941" t="s">
        <v>13338</v>
      </c>
      <c r="V2941" t="s">
        <v>13338</v>
      </c>
      <c r="W2941" t="s">
        <v>16236</v>
      </c>
      <c r="X2941">
        <v>21</v>
      </c>
      <c r="Y2941" t="s">
        <v>22788</v>
      </c>
      <c r="Z2941" t="s">
        <v>29356</v>
      </c>
      <c r="AA2941">
        <v>0.60436102852259888</v>
      </c>
      <c r="AB2941" t="str">
        <f>HYPERLINK("Melting_Curves/meltCurve_P61981_YWHAG.pdf", "Melting_Curves/meltCurve_P61981_YWHAG.pdf")</f>
        <v>Melting_Curves/meltCurve_P61981_YWHAG.pdf</v>
      </c>
    </row>
    <row r="2942" spans="1:28" x14ac:dyDescent="0.25">
      <c r="A2942" t="s">
        <v>2946</v>
      </c>
      <c r="B2942">
        <v>0.99193492352474899</v>
      </c>
      <c r="C2942">
        <v>0.82117298716726295</v>
      </c>
      <c r="D2942">
        <v>0.99968894111221696</v>
      </c>
      <c r="E2942">
        <v>0.79043359507611199</v>
      </c>
      <c r="F2942">
        <v>0.80696291934823305</v>
      </c>
      <c r="G2942">
        <v>0.550919903311894</v>
      </c>
      <c r="H2942">
        <v>0.36402868636525598</v>
      </c>
      <c r="I2942">
        <v>0.171114063773254</v>
      </c>
      <c r="J2942">
        <v>0.119246670015706</v>
      </c>
      <c r="K2942">
        <v>0.12883241169433399</v>
      </c>
      <c r="L2942">
        <v>713.49891277852805</v>
      </c>
      <c r="M2942">
        <v>12.3867549733249</v>
      </c>
      <c r="N2942">
        <v>57.601738655211001</v>
      </c>
      <c r="O2942">
        <v>56.162213619201701</v>
      </c>
      <c r="P2942">
        <v>-5.5150043729972897E-2</v>
      </c>
      <c r="Q2942">
        <v>0</v>
      </c>
      <c r="R2942">
        <v>0.95834389704768097</v>
      </c>
      <c r="S2942" t="s">
        <v>9612</v>
      </c>
      <c r="T2942" t="s">
        <v>13338</v>
      </c>
      <c r="U2942" t="s">
        <v>13338</v>
      </c>
      <c r="V2942" t="s">
        <v>13338</v>
      </c>
      <c r="W2942" t="s">
        <v>16237</v>
      </c>
      <c r="X2942">
        <v>13</v>
      </c>
      <c r="Y2942" t="s">
        <v>22789</v>
      </c>
      <c r="Z2942" t="s">
        <v>29357</v>
      </c>
      <c r="AA2942">
        <v>0.60130709869089205</v>
      </c>
      <c r="AB2942" t="str">
        <f>HYPERLINK("Melting_Curves/meltCurve_P62070_RRAS2.pdf", "Melting_Curves/meltCurve_P62070_RRAS2.pdf")</f>
        <v>Melting_Curves/meltCurve_P62070_RRAS2.pdf</v>
      </c>
    </row>
    <row r="2943" spans="1:28" x14ac:dyDescent="0.25">
      <c r="A2943" t="s">
        <v>2947</v>
      </c>
      <c r="B2943">
        <v>0.99193492352474899</v>
      </c>
      <c r="C2943">
        <v>0.88351954696470303</v>
      </c>
      <c r="D2943">
        <v>0.88904192893473799</v>
      </c>
      <c r="E2943">
        <v>0.74356898077574396</v>
      </c>
      <c r="F2943">
        <v>0.61249758508257901</v>
      </c>
      <c r="G2943">
        <v>0.43542587002775102</v>
      </c>
      <c r="H2943">
        <v>0.38610281096965499</v>
      </c>
      <c r="I2943">
        <v>0.452808689967172</v>
      </c>
      <c r="J2943">
        <v>0.51412252608924902</v>
      </c>
      <c r="K2943">
        <v>0.68477099057822599</v>
      </c>
      <c r="L2943">
        <v>959.18871789406899</v>
      </c>
      <c r="M2943">
        <v>19.607025385429999</v>
      </c>
      <c r="N2943">
        <v>63.081738508697597</v>
      </c>
      <c r="O2943">
        <v>48.420307029831598</v>
      </c>
      <c r="P2943">
        <v>-5.1239031779354099E-2</v>
      </c>
      <c r="Q2943">
        <v>0.49387075024328703</v>
      </c>
      <c r="R2943">
        <v>0.83058315783428804</v>
      </c>
      <c r="S2943" t="s">
        <v>9613</v>
      </c>
      <c r="T2943" t="s">
        <v>13338</v>
      </c>
      <c r="U2943" t="s">
        <v>13338</v>
      </c>
      <c r="V2943" t="s">
        <v>13338</v>
      </c>
      <c r="W2943" t="s">
        <v>16238</v>
      </c>
      <c r="X2943">
        <v>10</v>
      </c>
      <c r="Y2943" t="s">
        <v>22790</v>
      </c>
      <c r="Z2943" t="s">
        <v>29358</v>
      </c>
      <c r="AA2943">
        <v>0.65175887278810929</v>
      </c>
      <c r="AB2943" t="str">
        <f>HYPERLINK("Melting_Curves/meltCurve_P62072_TIMM10.pdf", "Melting_Curves/meltCurve_P62072_TIMM10.pdf")</f>
        <v>Melting_Curves/meltCurve_P62072_TIMM10.pdf</v>
      </c>
    </row>
    <row r="2944" spans="1:28" x14ac:dyDescent="0.25">
      <c r="A2944" t="s">
        <v>2948</v>
      </c>
      <c r="B2944">
        <v>0.99193492352474899</v>
      </c>
      <c r="C2944">
        <v>0.40830985213205401</v>
      </c>
      <c r="D2944">
        <v>0.74772489949906895</v>
      </c>
      <c r="E2944">
        <v>0.35449618223694701</v>
      </c>
      <c r="F2944">
        <v>0.344768775415492</v>
      </c>
      <c r="G2944">
        <v>0.138001435350325</v>
      </c>
      <c r="H2944">
        <v>6.2937495090667206E-2</v>
      </c>
      <c r="I2944">
        <v>5.6271933797799101E-2</v>
      </c>
      <c r="J2944">
        <v>7.4583237909348704E-2</v>
      </c>
      <c r="K2944">
        <v>6.8203065055692902E-2</v>
      </c>
      <c r="L2944">
        <v>425.346522778164</v>
      </c>
      <c r="M2944">
        <v>9.0124726812834606</v>
      </c>
      <c r="N2944">
        <v>47.195319981676001</v>
      </c>
      <c r="O2944">
        <v>45.045500900378499</v>
      </c>
      <c r="P2944">
        <v>-5.0054844689136201E-2</v>
      </c>
      <c r="Q2944">
        <v>0</v>
      </c>
      <c r="R2944">
        <v>0.82262347297171401</v>
      </c>
      <c r="S2944" t="s">
        <v>9614</v>
      </c>
      <c r="T2944" t="s">
        <v>13338</v>
      </c>
      <c r="U2944" t="s">
        <v>13338</v>
      </c>
      <c r="V2944" t="s">
        <v>13338</v>
      </c>
      <c r="W2944" t="s">
        <v>16239</v>
      </c>
      <c r="X2944">
        <v>14</v>
      </c>
      <c r="Y2944" t="s">
        <v>22791</v>
      </c>
      <c r="Z2944" t="s">
        <v>29359</v>
      </c>
      <c r="AA2944">
        <v>0.30613261225057919</v>
      </c>
      <c r="AB2944" t="str">
        <f>HYPERLINK("Melting_Curves/meltCurve_P62081_RPS7.pdf", "Melting_Curves/meltCurve_P62081_RPS7.pdf")</f>
        <v>Melting_Curves/meltCurve_P62081_RPS7.pdf</v>
      </c>
    </row>
    <row r="2945" spans="1:28" x14ac:dyDescent="0.25">
      <c r="A2945" t="s">
        <v>2949</v>
      </c>
      <c r="B2945">
        <v>0.99193492352474899</v>
      </c>
      <c r="C2945">
        <v>0.79179410082506896</v>
      </c>
      <c r="D2945">
        <v>0.846967119897444</v>
      </c>
      <c r="E2945">
        <v>0.61917096659238202</v>
      </c>
      <c r="F2945">
        <v>0.42845708375631703</v>
      </c>
      <c r="G2945">
        <v>0.202613995356418</v>
      </c>
      <c r="H2945">
        <v>9.8600555792001499E-2</v>
      </c>
      <c r="I2945">
        <v>0.101084978464568</v>
      </c>
      <c r="J2945">
        <v>0.107621671117606</v>
      </c>
      <c r="K2945">
        <v>0.10739589637394401</v>
      </c>
      <c r="L2945">
        <v>644.98463799425804</v>
      </c>
      <c r="M2945">
        <v>12.6690037194816</v>
      </c>
      <c r="N2945">
        <v>51.2634698876766</v>
      </c>
      <c r="O2945">
        <v>49.691977931279602</v>
      </c>
      <c r="P2945">
        <v>-6.10870532548402E-2</v>
      </c>
      <c r="Q2945">
        <v>4.1773471500494298E-2</v>
      </c>
      <c r="R2945">
        <v>0.97694883214586004</v>
      </c>
      <c r="S2945" t="s">
        <v>9615</v>
      </c>
      <c r="T2945" t="s">
        <v>13338</v>
      </c>
      <c r="U2945" t="s">
        <v>13338</v>
      </c>
      <c r="V2945" t="s">
        <v>13338</v>
      </c>
      <c r="W2945" t="s">
        <v>16240</v>
      </c>
      <c r="X2945">
        <v>20</v>
      </c>
      <c r="Y2945" t="s">
        <v>22792</v>
      </c>
      <c r="Z2945" t="s">
        <v>29360</v>
      </c>
      <c r="AA2945">
        <v>0.41927424347691472</v>
      </c>
      <c r="AB2945" t="str">
        <f>HYPERLINK("Melting_Curves/meltCurve_P62136_PPP1CA.pdf", "Melting_Curves/meltCurve_P62136_PPP1CA.pdf")</f>
        <v>Melting_Curves/meltCurve_P62136_PPP1CA.pdf</v>
      </c>
    </row>
    <row r="2946" spans="1:28" x14ac:dyDescent="0.25">
      <c r="A2946" t="s">
        <v>2950</v>
      </c>
      <c r="B2946">
        <v>0.99193492352474899</v>
      </c>
      <c r="C2946">
        <v>0.77499778776635297</v>
      </c>
      <c r="D2946">
        <v>0.83569135832929198</v>
      </c>
      <c r="E2946">
        <v>0.58423047545559603</v>
      </c>
      <c r="F2946">
        <v>0.4016428227819</v>
      </c>
      <c r="G2946">
        <v>0.23349267411240199</v>
      </c>
      <c r="H2946">
        <v>0.101572393513681</v>
      </c>
      <c r="I2946">
        <v>0.120245557952796</v>
      </c>
      <c r="J2946">
        <v>0.119628234817638</v>
      </c>
      <c r="K2946">
        <v>0.145341261485363</v>
      </c>
      <c r="L2946">
        <v>620.446610061353</v>
      </c>
      <c r="M2946">
        <v>12.339549689056501</v>
      </c>
      <c r="N2946">
        <v>50.8810389239434</v>
      </c>
      <c r="O2946">
        <v>49.015314325045701</v>
      </c>
      <c r="P2946">
        <v>-5.86891143502229E-2</v>
      </c>
      <c r="Q2946">
        <v>6.7699152115363398E-2</v>
      </c>
      <c r="R2946">
        <v>0.97331237880381705</v>
      </c>
      <c r="S2946" t="s">
        <v>9616</v>
      </c>
      <c r="T2946" t="s">
        <v>13338</v>
      </c>
      <c r="U2946" t="s">
        <v>13338</v>
      </c>
      <c r="V2946" t="s">
        <v>13338</v>
      </c>
      <c r="W2946" t="s">
        <v>16241</v>
      </c>
      <c r="X2946">
        <v>16</v>
      </c>
      <c r="Y2946" t="s">
        <v>22793</v>
      </c>
      <c r="Z2946" t="s">
        <v>29361</v>
      </c>
      <c r="AA2946">
        <v>0.41760971097078692</v>
      </c>
      <c r="AB2946" t="str">
        <f>HYPERLINK("Melting_Curves/meltCurve_P62140_PPP1CB.pdf", "Melting_Curves/meltCurve_P62140_PPP1CB.pdf")</f>
        <v>Melting_Curves/meltCurve_P62140_PPP1CB.pdf</v>
      </c>
    </row>
    <row r="2947" spans="1:28" x14ac:dyDescent="0.25">
      <c r="A2947" t="s">
        <v>2951</v>
      </c>
      <c r="B2947">
        <v>0.99193492352474899</v>
      </c>
      <c r="C2947">
        <v>0.63264442622577699</v>
      </c>
      <c r="D2947">
        <v>0.93708843701276001</v>
      </c>
      <c r="E2947">
        <v>0.57793806784574797</v>
      </c>
      <c r="F2947">
        <v>0.52317926355539401</v>
      </c>
      <c r="G2947">
        <v>0.238981713591505</v>
      </c>
      <c r="H2947">
        <v>0.15965093939026601</v>
      </c>
      <c r="I2947">
        <v>0.156853437363625</v>
      </c>
      <c r="J2947">
        <v>0.204042890486898</v>
      </c>
      <c r="K2947">
        <v>0.222093986487989</v>
      </c>
      <c r="L2947">
        <v>535.97667308986001</v>
      </c>
      <c r="M2947">
        <v>10.605858323788199</v>
      </c>
      <c r="N2947">
        <v>51.7133431242952</v>
      </c>
      <c r="O2947">
        <v>48.838553796595697</v>
      </c>
      <c r="P2947">
        <v>-4.8485617092113797E-2</v>
      </c>
      <c r="Q2947">
        <v>0.107267554985923</v>
      </c>
      <c r="R2947">
        <v>0.86790183676437005</v>
      </c>
      <c r="S2947" t="s">
        <v>9617</v>
      </c>
      <c r="T2947" t="s">
        <v>13338</v>
      </c>
      <c r="U2947" t="s">
        <v>13338</v>
      </c>
      <c r="V2947" t="s">
        <v>13338</v>
      </c>
      <c r="W2947" t="s">
        <v>16242</v>
      </c>
      <c r="X2947">
        <v>7</v>
      </c>
      <c r="Y2947" t="s">
        <v>22794</v>
      </c>
      <c r="Z2947" t="s">
        <v>29362</v>
      </c>
      <c r="AA2947">
        <v>0.45650719937120798</v>
      </c>
      <c r="AB2947" t="str">
        <f>HYPERLINK("Melting_Curves/meltCurve_P62166_NCS1.pdf", "Melting_Curves/meltCurve_P62166_NCS1.pdf")</f>
        <v>Melting_Curves/meltCurve_P62166_NCS1.pdf</v>
      </c>
    </row>
    <row r="2948" spans="1:28" x14ac:dyDescent="0.25">
      <c r="A2948" t="s">
        <v>2952</v>
      </c>
      <c r="B2948">
        <v>0.99193492352474899</v>
      </c>
      <c r="C2948">
        <v>0.78295672326841703</v>
      </c>
      <c r="D2948">
        <v>0.85308232797837702</v>
      </c>
      <c r="E2948">
        <v>0.68674469924644099</v>
      </c>
      <c r="F2948">
        <v>0.69718229755498595</v>
      </c>
      <c r="G2948">
        <v>0.25962825587224703</v>
      </c>
      <c r="H2948">
        <v>9.3199410982708897E-2</v>
      </c>
      <c r="I2948">
        <v>9.5889229927587097E-2</v>
      </c>
      <c r="J2948">
        <v>0.113318770618798</v>
      </c>
      <c r="K2948">
        <v>0.11660979851914501</v>
      </c>
      <c r="L2948">
        <v>618.851314677804</v>
      </c>
      <c r="M2948">
        <v>11.581923274185</v>
      </c>
      <c r="N2948">
        <v>53.432516171049102</v>
      </c>
      <c r="O2948">
        <v>51.914106515075801</v>
      </c>
      <c r="P2948">
        <v>-5.5789874758806597E-2</v>
      </c>
      <c r="Q2948">
        <v>0</v>
      </c>
      <c r="R2948">
        <v>0.93082981622581396</v>
      </c>
      <c r="S2948" t="s">
        <v>9618</v>
      </c>
      <c r="T2948" t="s">
        <v>13338</v>
      </c>
      <c r="U2948" t="s">
        <v>13338</v>
      </c>
      <c r="V2948" t="s">
        <v>13338</v>
      </c>
      <c r="W2948" t="s">
        <v>16243</v>
      </c>
      <c r="X2948">
        <v>27</v>
      </c>
      <c r="Y2948" t="s">
        <v>22795</v>
      </c>
      <c r="Z2948" t="s">
        <v>29363</v>
      </c>
      <c r="AA2948">
        <v>0.47624268172937811</v>
      </c>
      <c r="AB2948" t="str">
        <f>HYPERLINK("Melting_Curves/meltCurve_P62191_PSMC1.pdf", "Melting_Curves/meltCurve_P62191_PSMC1.pdf")</f>
        <v>Melting_Curves/meltCurve_P62191_PSMC1.pdf</v>
      </c>
    </row>
    <row r="2949" spans="1:28" x14ac:dyDescent="0.25">
      <c r="A2949" t="s">
        <v>2953</v>
      </c>
      <c r="B2949">
        <v>0.99193492352474899</v>
      </c>
      <c r="C2949">
        <v>0.95386998754959496</v>
      </c>
      <c r="D2949">
        <v>0.97079704728341698</v>
      </c>
      <c r="E2949">
        <v>0.82481275279900101</v>
      </c>
      <c r="F2949">
        <v>0.866760665465234</v>
      </c>
      <c r="G2949">
        <v>0.33126699167313001</v>
      </c>
      <c r="H2949">
        <v>0.111965708323488</v>
      </c>
      <c r="I2949">
        <v>0.117694071484737</v>
      </c>
      <c r="J2949">
        <v>0.14078358055099299</v>
      </c>
      <c r="K2949">
        <v>0.13263140824905501</v>
      </c>
      <c r="L2949">
        <v>2259.3248088432501</v>
      </c>
      <c r="M2949">
        <v>40.907961407461102</v>
      </c>
      <c r="N2949">
        <v>55.601407731878901</v>
      </c>
      <c r="O2949">
        <v>55.097975609163001</v>
      </c>
      <c r="P2949">
        <v>-0.163395771334444</v>
      </c>
      <c r="Q2949">
        <v>0.119705908508927</v>
      </c>
      <c r="R2949">
        <v>0.97793797355447198</v>
      </c>
      <c r="S2949" t="s">
        <v>9619</v>
      </c>
      <c r="T2949" t="s">
        <v>13338</v>
      </c>
      <c r="U2949" t="s">
        <v>13338</v>
      </c>
      <c r="V2949" t="s">
        <v>13338</v>
      </c>
      <c r="W2949" t="s">
        <v>16244</v>
      </c>
      <c r="X2949">
        <v>25</v>
      </c>
      <c r="Y2949" t="s">
        <v>22796</v>
      </c>
      <c r="Z2949" t="s">
        <v>29364</v>
      </c>
      <c r="AA2949">
        <v>0.56978681793618768</v>
      </c>
      <c r="AB2949" t="str">
        <f>HYPERLINK("Melting_Curves/meltCurve_P62195_2_PSMC5.pdf", "Melting_Curves/meltCurve_P62195_2_PSMC5.pdf")</f>
        <v>Melting_Curves/meltCurve_P62195_2_PSMC5.pdf</v>
      </c>
    </row>
    <row r="2950" spans="1:28" x14ac:dyDescent="0.25">
      <c r="A2950" t="s">
        <v>2954</v>
      </c>
      <c r="B2950">
        <v>0.99193492352474899</v>
      </c>
      <c r="C2950">
        <v>1.11078861669367</v>
      </c>
      <c r="D2950">
        <v>1.2356181453899799</v>
      </c>
      <c r="E2950">
        <v>1.7420645350470001</v>
      </c>
      <c r="F2950">
        <v>1.71492278260331</v>
      </c>
      <c r="G2950">
        <v>0.49847436073189599</v>
      </c>
      <c r="H2950">
        <v>0.14155678193530299</v>
      </c>
      <c r="I2950">
        <v>0.134446610391179</v>
      </c>
      <c r="J2950">
        <v>0.25070246396950302</v>
      </c>
      <c r="K2950">
        <v>0.15263171125613301</v>
      </c>
      <c r="L2950">
        <v>14175.9911677318</v>
      </c>
      <c r="M2950">
        <v>250</v>
      </c>
      <c r="N2950">
        <v>56.798247629907301</v>
      </c>
      <c r="O2950">
        <v>56.7003552848117</v>
      </c>
      <c r="P2950">
        <v>-0.91508015375289897</v>
      </c>
      <c r="Q2950">
        <v>0.169834364615607</v>
      </c>
      <c r="R2950">
        <v>0.69525195668360495</v>
      </c>
      <c r="S2950" t="s">
        <v>9620</v>
      </c>
      <c r="T2950" t="s">
        <v>13338</v>
      </c>
      <c r="U2950" t="s">
        <v>13338</v>
      </c>
      <c r="V2950" t="s">
        <v>13338</v>
      </c>
      <c r="W2950" t="s">
        <v>16245</v>
      </c>
      <c r="X2950">
        <v>10</v>
      </c>
      <c r="Y2950" t="s">
        <v>22797</v>
      </c>
      <c r="Z2950" t="s">
        <v>29365</v>
      </c>
      <c r="AA2950">
        <v>0.63215222634568902</v>
      </c>
      <c r="AB2950" t="str">
        <f>HYPERLINK("Melting_Curves/meltCurve_P62241_RPS8.pdf", "Melting_Curves/meltCurve_P62241_RPS8.pdf")</f>
        <v>Melting_Curves/meltCurve_P62241_RPS8.pdf</v>
      </c>
    </row>
    <row r="2951" spans="1:28" x14ac:dyDescent="0.25">
      <c r="A2951" t="s">
        <v>2955</v>
      </c>
      <c r="B2951">
        <v>0.99193492352474899</v>
      </c>
      <c r="C2951">
        <v>0.53185939452243503</v>
      </c>
      <c r="D2951">
        <v>0.78678250244612002</v>
      </c>
      <c r="E2951">
        <v>0.49355595765507598</v>
      </c>
      <c r="F2951">
        <v>0.404729577420672</v>
      </c>
      <c r="G2951">
        <v>0.170489705593805</v>
      </c>
      <c r="H2951">
        <v>7.6688069409684395E-2</v>
      </c>
      <c r="I2951">
        <v>8.5709322335318194E-2</v>
      </c>
      <c r="J2951">
        <v>8.5321589963090999E-2</v>
      </c>
      <c r="K2951">
        <v>9.4060773476125001E-2</v>
      </c>
      <c r="L2951">
        <v>445.28585678915698</v>
      </c>
      <c r="M2951">
        <v>9.0664572536275099</v>
      </c>
      <c r="N2951">
        <v>49.1135451432407</v>
      </c>
      <c r="O2951">
        <v>46.900967305136099</v>
      </c>
      <c r="P2951">
        <v>-4.83617970808096E-2</v>
      </c>
      <c r="Q2951">
        <v>0</v>
      </c>
      <c r="R2951">
        <v>0.88528440826882804</v>
      </c>
      <c r="S2951" t="s">
        <v>9621</v>
      </c>
      <c r="T2951" t="s">
        <v>13338</v>
      </c>
      <c r="U2951" t="s">
        <v>13338</v>
      </c>
      <c r="V2951" t="s">
        <v>13338</v>
      </c>
      <c r="W2951" t="s">
        <v>16246</v>
      </c>
      <c r="X2951">
        <v>11</v>
      </c>
      <c r="Y2951" t="s">
        <v>22798</v>
      </c>
      <c r="Z2951" t="s">
        <v>29366</v>
      </c>
      <c r="AA2951">
        <v>0.35944515602863331</v>
      </c>
      <c r="AB2951" t="str">
        <f>HYPERLINK("Melting_Curves/meltCurve_P62249_RPS16.pdf", "Melting_Curves/meltCurve_P62249_RPS16.pdf")</f>
        <v>Melting_Curves/meltCurve_P62249_RPS16.pdf</v>
      </c>
    </row>
    <row r="2952" spans="1:28" x14ac:dyDescent="0.25">
      <c r="A2952" t="s">
        <v>2956</v>
      </c>
      <c r="B2952">
        <v>0.99193492352474899</v>
      </c>
      <c r="C2952">
        <v>0.73042752650676801</v>
      </c>
      <c r="D2952">
        <v>1.0270610650799801</v>
      </c>
      <c r="E2952">
        <v>0.62231821847866797</v>
      </c>
      <c r="F2952">
        <v>0.34660072128446501</v>
      </c>
      <c r="G2952">
        <v>0.15215491773678499</v>
      </c>
      <c r="H2952">
        <v>0.104534663430735</v>
      </c>
      <c r="I2952">
        <v>8.4229679857596093E-2</v>
      </c>
      <c r="J2952">
        <v>9.8574513011966194E-2</v>
      </c>
      <c r="K2952">
        <v>7.7786709132485504E-2</v>
      </c>
      <c r="L2952">
        <v>1083.5147969908801</v>
      </c>
      <c r="M2952">
        <v>21.336249962948401</v>
      </c>
      <c r="N2952">
        <v>51.1914367844916</v>
      </c>
      <c r="O2952">
        <v>50.343038363406698</v>
      </c>
      <c r="P2952">
        <v>-9.7660686408852698E-2</v>
      </c>
      <c r="Q2952">
        <v>7.8298991461185505E-2</v>
      </c>
      <c r="R2952">
        <v>0.94129531106074604</v>
      </c>
      <c r="S2952" t="s">
        <v>9622</v>
      </c>
      <c r="T2952" t="s">
        <v>13338</v>
      </c>
      <c r="U2952" t="s">
        <v>13338</v>
      </c>
      <c r="V2952" t="s">
        <v>13338</v>
      </c>
      <c r="W2952" t="s">
        <v>16247</v>
      </c>
      <c r="X2952">
        <v>5</v>
      </c>
      <c r="Y2952" t="s">
        <v>22799</v>
      </c>
      <c r="Z2952" t="s">
        <v>29367</v>
      </c>
      <c r="AA2952">
        <v>0.4209005601518917</v>
      </c>
      <c r="AB2952" t="str">
        <f>HYPERLINK("Melting_Curves/meltCurve_P62253_UBE2G1.pdf", "Melting_Curves/meltCurve_P62253_UBE2G1.pdf")</f>
        <v>Melting_Curves/meltCurve_P62253_UBE2G1.pdf</v>
      </c>
    </row>
    <row r="2953" spans="1:28" x14ac:dyDescent="0.25">
      <c r="A2953" t="s">
        <v>2957</v>
      </c>
      <c r="B2953">
        <v>0.99193492352474899</v>
      </c>
      <c r="C2953">
        <v>0.83839725643963003</v>
      </c>
      <c r="D2953">
        <v>0.96048693744036395</v>
      </c>
      <c r="E2953">
        <v>0.72874658457624697</v>
      </c>
      <c r="F2953">
        <v>0.69959219711771004</v>
      </c>
      <c r="G2953">
        <v>0.425731809379707</v>
      </c>
      <c r="H2953">
        <v>0.14625693223024699</v>
      </c>
      <c r="I2953">
        <v>0.122579569219133</v>
      </c>
      <c r="J2953">
        <v>0.133796385914567</v>
      </c>
      <c r="K2953">
        <v>0.136147076453245</v>
      </c>
      <c r="L2953">
        <v>718.52361934742703</v>
      </c>
      <c r="M2953">
        <v>13.133976942151399</v>
      </c>
      <c r="N2953">
        <v>55.001753037805997</v>
      </c>
      <c r="O2953">
        <v>53.485618381577098</v>
      </c>
      <c r="P2953">
        <v>-5.9315741966959698E-2</v>
      </c>
      <c r="Q2953">
        <v>3.3955769908963401E-2</v>
      </c>
      <c r="R2953">
        <v>0.96058613039255003</v>
      </c>
      <c r="S2953" t="s">
        <v>9623</v>
      </c>
      <c r="T2953" t="s">
        <v>13338</v>
      </c>
      <c r="U2953" t="s">
        <v>13338</v>
      </c>
      <c r="V2953" t="s">
        <v>13338</v>
      </c>
      <c r="W2953" t="s">
        <v>16248</v>
      </c>
      <c r="X2953">
        <v>26</v>
      </c>
      <c r="Y2953" t="s">
        <v>22800</v>
      </c>
      <c r="Z2953" t="s">
        <v>29368</v>
      </c>
      <c r="AA2953">
        <v>0.52929250964669394</v>
      </c>
      <c r="AB2953" t="str">
        <f>HYPERLINK("Melting_Curves/meltCurve_P62258_YWHAE.pdf", "Melting_Curves/meltCurve_P62258_YWHAE.pdf")</f>
        <v>Melting_Curves/meltCurve_P62258_YWHAE.pdf</v>
      </c>
    </row>
    <row r="2954" spans="1:28" x14ac:dyDescent="0.25">
      <c r="A2954" t="s">
        <v>2958</v>
      </c>
      <c r="B2954">
        <v>0.99193492352474899</v>
      </c>
      <c r="C2954">
        <v>0.72271340688925101</v>
      </c>
      <c r="D2954">
        <v>0.92376186810173</v>
      </c>
      <c r="E2954">
        <v>0.54519759840794502</v>
      </c>
      <c r="F2954">
        <v>0.38616986338921599</v>
      </c>
      <c r="G2954">
        <v>0.193836642219469</v>
      </c>
      <c r="H2954">
        <v>0.10378681493085801</v>
      </c>
      <c r="I2954">
        <v>0.12823705726703499</v>
      </c>
      <c r="J2954">
        <v>0.13228227666315001</v>
      </c>
      <c r="K2954">
        <v>0.148255848072012</v>
      </c>
      <c r="L2954">
        <v>709.96369230184905</v>
      </c>
      <c r="M2954">
        <v>14.209060382288101</v>
      </c>
      <c r="N2954">
        <v>50.67455752267</v>
      </c>
      <c r="O2954">
        <v>49.007134783870498</v>
      </c>
      <c r="P2954">
        <v>-6.5958869924129096E-2</v>
      </c>
      <c r="Q2954">
        <v>9.0143469374100393E-2</v>
      </c>
      <c r="R2954">
        <v>0.94101519249842303</v>
      </c>
      <c r="S2954" t="s">
        <v>9624</v>
      </c>
      <c r="T2954" t="s">
        <v>13338</v>
      </c>
      <c r="U2954" t="s">
        <v>13338</v>
      </c>
      <c r="V2954" t="s">
        <v>13338</v>
      </c>
      <c r="W2954" t="s">
        <v>16249</v>
      </c>
      <c r="X2954">
        <v>9</v>
      </c>
      <c r="Y2954" t="s">
        <v>22801</v>
      </c>
      <c r="Z2954" t="s">
        <v>29369</v>
      </c>
      <c r="AA2954">
        <v>0.41626825678501228</v>
      </c>
      <c r="AB2954" t="str">
        <f>HYPERLINK("Melting_Curves/meltCurve_P62263_RPS14.pdf", "Melting_Curves/meltCurve_P62263_RPS14.pdf")</f>
        <v>Melting_Curves/meltCurve_P62263_RPS14.pdf</v>
      </c>
    </row>
    <row r="2955" spans="1:28" x14ac:dyDescent="0.25">
      <c r="A2955" t="s">
        <v>2959</v>
      </c>
      <c r="B2955">
        <v>0.99193492352474899</v>
      </c>
      <c r="C2955">
        <v>0.81466469717055101</v>
      </c>
      <c r="D2955">
        <v>0.77356671636388297</v>
      </c>
      <c r="E2955">
        <v>0.81148430805229499</v>
      </c>
      <c r="F2955">
        <v>0.468300392397487</v>
      </c>
      <c r="G2955">
        <v>0.23807415645475499</v>
      </c>
      <c r="H2955">
        <v>0.113562627429315</v>
      </c>
      <c r="I2955">
        <v>0.11511329774524801</v>
      </c>
      <c r="J2955">
        <v>0.175148137593262</v>
      </c>
      <c r="K2955">
        <v>0.13811753748118899</v>
      </c>
      <c r="L2955">
        <v>691.90625889003002</v>
      </c>
      <c r="M2955">
        <v>13.338151825974901</v>
      </c>
      <c r="N2955">
        <v>52.479616556565702</v>
      </c>
      <c r="O2955">
        <v>50.749797829647697</v>
      </c>
      <c r="P2955">
        <v>-6.1029969400724103E-2</v>
      </c>
      <c r="Q2955">
        <v>7.1306542219937402E-2</v>
      </c>
      <c r="R2955">
        <v>0.94774925888060002</v>
      </c>
      <c r="S2955" t="s">
        <v>9625</v>
      </c>
      <c r="T2955" t="s">
        <v>13338</v>
      </c>
      <c r="U2955" t="s">
        <v>13338</v>
      </c>
      <c r="V2955" t="s">
        <v>13338</v>
      </c>
      <c r="W2955" t="s">
        <v>16250</v>
      </c>
      <c r="X2955">
        <v>6</v>
      </c>
      <c r="Y2955" t="s">
        <v>22802</v>
      </c>
      <c r="Z2955" t="s">
        <v>29370</v>
      </c>
      <c r="AA2955">
        <v>0.46370844441677278</v>
      </c>
      <c r="AB2955" t="str">
        <f>HYPERLINK("Melting_Curves/meltCurve_P62266_RPS23.pdf", "Melting_Curves/meltCurve_P62266_RPS23.pdf")</f>
        <v>Melting_Curves/meltCurve_P62266_RPS23.pdf</v>
      </c>
    </row>
    <row r="2956" spans="1:28" x14ac:dyDescent="0.25">
      <c r="A2956" t="s">
        <v>2960</v>
      </c>
      <c r="B2956">
        <v>0.99193492352474899</v>
      </c>
      <c r="C2956">
        <v>0.64690172843826799</v>
      </c>
      <c r="D2956">
        <v>0.79880669993221198</v>
      </c>
      <c r="E2956">
        <v>0.47553593922794601</v>
      </c>
      <c r="F2956">
        <v>0.42227647479694702</v>
      </c>
      <c r="G2956">
        <v>0.16782059497959401</v>
      </c>
      <c r="H2956">
        <v>7.7037495951382901E-2</v>
      </c>
      <c r="I2956">
        <v>8.7570594610983696E-2</v>
      </c>
      <c r="J2956">
        <v>0.10613178436213901</v>
      </c>
      <c r="K2956">
        <v>0.115967505636881</v>
      </c>
      <c r="L2956">
        <v>497.81569778380202</v>
      </c>
      <c r="M2956">
        <v>10.061924962824801</v>
      </c>
      <c r="N2956">
        <v>49.631381105225302</v>
      </c>
      <c r="O2956">
        <v>47.6401536280434</v>
      </c>
      <c r="P2956">
        <v>-5.2003503459657499E-2</v>
      </c>
      <c r="Q2956">
        <v>1.5584564195354001E-2</v>
      </c>
      <c r="R2956">
        <v>0.93013194126796095</v>
      </c>
      <c r="S2956" t="s">
        <v>9626</v>
      </c>
      <c r="T2956" t="s">
        <v>13338</v>
      </c>
      <c r="U2956" t="s">
        <v>13338</v>
      </c>
      <c r="V2956" t="s">
        <v>13338</v>
      </c>
      <c r="W2956" t="s">
        <v>16251</v>
      </c>
      <c r="X2956">
        <v>12</v>
      </c>
      <c r="Y2956" t="s">
        <v>22803</v>
      </c>
      <c r="Z2956" t="s">
        <v>29371</v>
      </c>
      <c r="AA2956">
        <v>0.37250446826657102</v>
      </c>
      <c r="AB2956" t="str">
        <f>HYPERLINK("Melting_Curves/meltCurve_P62269_RPS18.pdf", "Melting_Curves/meltCurve_P62269_RPS18.pdf")</f>
        <v>Melting_Curves/meltCurve_P62269_RPS18.pdf</v>
      </c>
    </row>
    <row r="2957" spans="1:28" x14ac:dyDescent="0.25">
      <c r="A2957" t="s">
        <v>2961</v>
      </c>
      <c r="B2957">
        <v>0.99193492352474899</v>
      </c>
      <c r="C2957">
        <v>0.76709406634565203</v>
      </c>
      <c r="D2957">
        <v>0.83782758475396202</v>
      </c>
      <c r="E2957">
        <v>0.58968305107498498</v>
      </c>
      <c r="F2957">
        <v>0.35786487394718502</v>
      </c>
      <c r="G2957">
        <v>0.16408568213764099</v>
      </c>
      <c r="H2957">
        <v>0.15896670798080401</v>
      </c>
      <c r="I2957">
        <v>0.19920170963964601</v>
      </c>
      <c r="J2957">
        <v>0.30786483168547701</v>
      </c>
      <c r="K2957">
        <v>0.34150374749678097</v>
      </c>
      <c r="L2957">
        <v>846.55989951777997</v>
      </c>
      <c r="M2957">
        <v>17.440780725595001</v>
      </c>
      <c r="N2957">
        <v>50.227168126794297</v>
      </c>
      <c r="O2957">
        <v>47.914460332540898</v>
      </c>
      <c r="P2957">
        <v>-7.0822573058679603E-2</v>
      </c>
      <c r="Q2957">
        <v>0.22176978553076901</v>
      </c>
      <c r="R2957">
        <v>0.91199357048131102</v>
      </c>
      <c r="S2957" t="s">
        <v>9627</v>
      </c>
      <c r="T2957" t="s">
        <v>13338</v>
      </c>
      <c r="U2957" t="s">
        <v>13338</v>
      </c>
      <c r="V2957" t="s">
        <v>13338</v>
      </c>
      <c r="W2957" t="s">
        <v>16252</v>
      </c>
      <c r="X2957">
        <v>3</v>
      </c>
      <c r="Y2957" t="s">
        <v>22804</v>
      </c>
      <c r="Z2957" t="s">
        <v>29372</v>
      </c>
      <c r="AA2957">
        <v>0.45779426893593622</v>
      </c>
      <c r="AB2957" t="str">
        <f>HYPERLINK("Melting_Curves/meltCurve_P62273_RPS29.pdf", "Melting_Curves/meltCurve_P62273_RPS29.pdf")</f>
        <v>Melting_Curves/meltCurve_P62273_RPS29.pdf</v>
      </c>
    </row>
    <row r="2958" spans="1:28" x14ac:dyDescent="0.25">
      <c r="A2958" t="s">
        <v>2962</v>
      </c>
      <c r="B2958">
        <v>0.99193492352474899</v>
      </c>
      <c r="C2958">
        <v>0.79138027239320796</v>
      </c>
      <c r="D2958">
        <v>1.03540904392091</v>
      </c>
      <c r="E2958">
        <v>1.3887921948864199</v>
      </c>
      <c r="F2958">
        <v>1.15719599898447</v>
      </c>
      <c r="G2958">
        <v>0.53404731199015298</v>
      </c>
      <c r="H2958">
        <v>0.23551444807144101</v>
      </c>
      <c r="I2958">
        <v>0.25189432481521101</v>
      </c>
      <c r="J2958">
        <v>0.34506973272601399</v>
      </c>
      <c r="K2958">
        <v>0.24263003990839599</v>
      </c>
      <c r="L2958">
        <v>14168.0025784073</v>
      </c>
      <c r="M2958">
        <v>250</v>
      </c>
      <c r="N2958">
        <v>56.847387860077703</v>
      </c>
      <c r="O2958">
        <v>56.668381360544501</v>
      </c>
      <c r="P2958">
        <v>-0.80647138711795496</v>
      </c>
      <c r="Q2958">
        <v>0.268777120952301</v>
      </c>
      <c r="R2958">
        <v>0.86300466980403401</v>
      </c>
      <c r="S2958" t="s">
        <v>9628</v>
      </c>
      <c r="T2958" t="s">
        <v>13338</v>
      </c>
      <c r="U2958" t="s">
        <v>13338</v>
      </c>
      <c r="V2958" t="s">
        <v>13338</v>
      </c>
      <c r="W2958" t="s">
        <v>16253</v>
      </c>
      <c r="X2958">
        <v>5</v>
      </c>
      <c r="Y2958" t="s">
        <v>22805</v>
      </c>
      <c r="Z2958" t="s">
        <v>29373</v>
      </c>
      <c r="AA2958">
        <v>0.67521502664831989</v>
      </c>
      <c r="AB2958" t="str">
        <f>HYPERLINK("Melting_Curves/meltCurve_P62277_RPS13.pdf", "Melting_Curves/meltCurve_P62277_RPS13.pdf")</f>
        <v>Melting_Curves/meltCurve_P62277_RPS13.pdf</v>
      </c>
    </row>
    <row r="2959" spans="1:28" x14ac:dyDescent="0.25">
      <c r="A2959" t="s">
        <v>2963</v>
      </c>
      <c r="B2959">
        <v>0.99193492352474899</v>
      </c>
      <c r="C2959">
        <v>0.61768187333453595</v>
      </c>
      <c r="D2959">
        <v>0.84132348182980499</v>
      </c>
      <c r="E2959">
        <v>0.620548783898488</v>
      </c>
      <c r="F2959">
        <v>0.50913775831235097</v>
      </c>
      <c r="G2959">
        <v>0.19820547015993201</v>
      </c>
      <c r="H2959">
        <v>5.9967330063364098E-2</v>
      </c>
      <c r="I2959">
        <v>6.4164447708789998E-2</v>
      </c>
      <c r="J2959">
        <v>8.1438536875633502E-2</v>
      </c>
      <c r="K2959">
        <v>6.4421538669287501E-2</v>
      </c>
      <c r="L2959">
        <v>535.18031703138604</v>
      </c>
      <c r="M2959">
        <v>10.4828738732921</v>
      </c>
      <c r="N2959">
        <v>51.052799740258202</v>
      </c>
      <c r="O2959">
        <v>49.299923117532202</v>
      </c>
      <c r="P2959">
        <v>-5.3180263834703798E-2</v>
      </c>
      <c r="Q2959">
        <v>0</v>
      </c>
      <c r="R2959">
        <v>0.90574037854558098</v>
      </c>
      <c r="S2959" t="s">
        <v>9629</v>
      </c>
      <c r="T2959" t="s">
        <v>13338</v>
      </c>
      <c r="U2959" t="s">
        <v>13338</v>
      </c>
      <c r="V2959" t="s">
        <v>13338</v>
      </c>
      <c r="W2959" t="s">
        <v>16254</v>
      </c>
      <c r="X2959">
        <v>11</v>
      </c>
      <c r="Y2959" t="s">
        <v>22806</v>
      </c>
      <c r="Z2959" t="s">
        <v>29374</v>
      </c>
      <c r="AA2959">
        <v>0.40745224502990168</v>
      </c>
      <c r="AB2959" t="str">
        <f>HYPERLINK("Melting_Curves/meltCurve_P62280_RPS11.pdf", "Melting_Curves/meltCurve_P62280_RPS11.pdf")</f>
        <v>Melting_Curves/meltCurve_P62280_RPS11.pdf</v>
      </c>
    </row>
    <row r="2960" spans="1:28" x14ac:dyDescent="0.25">
      <c r="A2960" t="s">
        <v>2964</v>
      </c>
      <c r="B2960">
        <v>0.99193492352474899</v>
      </c>
      <c r="C2960">
        <v>1.0715859386912301</v>
      </c>
      <c r="D2960">
        <v>0.94750893710111095</v>
      </c>
      <c r="E2960">
        <v>0.88010532244173401</v>
      </c>
      <c r="F2960">
        <v>0.73039446917152695</v>
      </c>
      <c r="G2960">
        <v>0.60232833546520403</v>
      </c>
      <c r="H2960">
        <v>0.41301053314560898</v>
      </c>
      <c r="I2960">
        <v>0.51676925375184102</v>
      </c>
      <c r="J2960">
        <v>0.43626733011798102</v>
      </c>
      <c r="K2960">
        <v>0.29068868441420298</v>
      </c>
      <c r="L2960">
        <v>768.06731788180798</v>
      </c>
      <c r="M2960">
        <v>14.006520798316201</v>
      </c>
      <c r="N2960">
        <v>59.789198485310202</v>
      </c>
      <c r="O2960">
        <v>53.754908833364098</v>
      </c>
      <c r="P2960">
        <v>-4.2783621215928498E-2</v>
      </c>
      <c r="Q2960">
        <v>0.34329848136465702</v>
      </c>
      <c r="R2960">
        <v>0.95649226177310998</v>
      </c>
      <c r="S2960" t="s">
        <v>9630</v>
      </c>
      <c r="T2960" t="s">
        <v>13338</v>
      </c>
      <c r="U2960" t="s">
        <v>13338</v>
      </c>
      <c r="V2960" t="s">
        <v>13338</v>
      </c>
      <c r="W2960" t="s">
        <v>16255</v>
      </c>
      <c r="X2960">
        <v>4</v>
      </c>
      <c r="Y2960" t="s">
        <v>22807</v>
      </c>
      <c r="Z2960" t="s">
        <v>29375</v>
      </c>
      <c r="AA2960">
        <v>0.6818214189200088</v>
      </c>
      <c r="AB2960" t="str">
        <f>HYPERLINK("Melting_Curves/meltCurve_P62304_SNRPE.pdf", "Melting_Curves/meltCurve_P62304_SNRPE.pdf")</f>
        <v>Melting_Curves/meltCurve_P62304_SNRPE.pdf</v>
      </c>
    </row>
    <row r="2961" spans="1:28" x14ac:dyDescent="0.25">
      <c r="A2961" t="s">
        <v>2965</v>
      </c>
      <c r="B2961">
        <v>0.99193492352474899</v>
      </c>
      <c r="C2961">
        <v>0.895597995047694</v>
      </c>
      <c r="D2961">
        <v>0.940754468938379</v>
      </c>
      <c r="E2961">
        <v>0.73227840640392505</v>
      </c>
      <c r="F2961">
        <v>0.746413874223533</v>
      </c>
      <c r="G2961">
        <v>0.598686779124318</v>
      </c>
      <c r="H2961">
        <v>0.40336170529910798</v>
      </c>
      <c r="I2961">
        <v>0.61076431235880801</v>
      </c>
      <c r="J2961">
        <v>0.58954639988814606</v>
      </c>
      <c r="K2961">
        <v>0.45717041829094102</v>
      </c>
      <c r="L2961">
        <v>623.97972131505003</v>
      </c>
      <c r="M2961">
        <v>12.2733670494032</v>
      </c>
      <c r="O2961">
        <v>49.547002911405002</v>
      </c>
      <c r="P2961">
        <v>-3.1633215139434498E-2</v>
      </c>
      <c r="Q2961">
        <v>0.48930584108370101</v>
      </c>
      <c r="R2961">
        <v>0.86225615486956697</v>
      </c>
      <c r="S2961" t="s">
        <v>9631</v>
      </c>
      <c r="T2961" t="s">
        <v>13338</v>
      </c>
      <c r="U2961" t="s">
        <v>13338</v>
      </c>
      <c r="V2961" t="s">
        <v>13338</v>
      </c>
      <c r="W2961" t="s">
        <v>16256</v>
      </c>
      <c r="X2961">
        <v>1</v>
      </c>
      <c r="Y2961" t="s">
        <v>22808</v>
      </c>
      <c r="Z2961" t="s">
        <v>29376</v>
      </c>
      <c r="AA2961">
        <v>0.69011151055148756</v>
      </c>
      <c r="AB2961" t="str">
        <f>HYPERLINK("Melting_Curves/meltCurve_P62306_SNRPF.pdf", "Melting_Curves/meltCurve_P62306_SNRPF.pdf")</f>
        <v>Melting_Curves/meltCurve_P62306_SNRPF.pdf</v>
      </c>
    </row>
    <row r="2962" spans="1:28" x14ac:dyDescent="0.25">
      <c r="A2962" t="s">
        <v>2966</v>
      </c>
      <c r="B2962">
        <v>0.99193492352474899</v>
      </c>
      <c r="C2962">
        <v>0.87757829992938796</v>
      </c>
      <c r="D2962">
        <v>0.76919658805929703</v>
      </c>
      <c r="E2962">
        <v>0.66154681127845005</v>
      </c>
      <c r="F2962">
        <v>0.60295401371211099</v>
      </c>
      <c r="G2962">
        <v>0.37692179182200403</v>
      </c>
      <c r="H2962">
        <v>0.30659713106436698</v>
      </c>
      <c r="I2962">
        <v>0.358446138572168</v>
      </c>
      <c r="J2962">
        <v>0.35788431495403999</v>
      </c>
      <c r="K2962">
        <v>0.24367899825234801</v>
      </c>
      <c r="L2962">
        <v>510.49775227477699</v>
      </c>
      <c r="M2962">
        <v>10.074016832262799</v>
      </c>
      <c r="N2962">
        <v>54.183850258762497</v>
      </c>
      <c r="O2962">
        <v>48.799402773676498</v>
      </c>
      <c r="P2962">
        <v>-3.9261714277289798E-2</v>
      </c>
      <c r="Q2962">
        <v>0.239611097424487</v>
      </c>
      <c r="R2962">
        <v>0.96763529888808497</v>
      </c>
      <c r="S2962" t="s">
        <v>9632</v>
      </c>
      <c r="T2962" t="s">
        <v>13338</v>
      </c>
      <c r="U2962" t="s">
        <v>13338</v>
      </c>
      <c r="V2962" t="s">
        <v>13338</v>
      </c>
      <c r="W2962" t="s">
        <v>16257</v>
      </c>
      <c r="X2962">
        <v>5</v>
      </c>
      <c r="Y2962" t="s">
        <v>22809</v>
      </c>
      <c r="Z2962" t="s">
        <v>29377</v>
      </c>
      <c r="AA2962">
        <v>0.5423844581266144</v>
      </c>
      <c r="AB2962" t="str">
        <f>HYPERLINK("Melting_Curves/meltCurve_P62308_SNRPG.pdf", "Melting_Curves/meltCurve_P62308_SNRPG.pdf")</f>
        <v>Melting_Curves/meltCurve_P62308_SNRPG.pdf</v>
      </c>
    </row>
    <row r="2963" spans="1:28" x14ac:dyDescent="0.25">
      <c r="A2963" t="s">
        <v>2967</v>
      </c>
      <c r="B2963">
        <v>0.99193492352474899</v>
      </c>
      <c r="C2963">
        <v>1.32101229324624</v>
      </c>
      <c r="D2963">
        <v>1.0927596903205601</v>
      </c>
      <c r="E2963">
        <v>1.26602149021967</v>
      </c>
      <c r="F2963">
        <v>1.11938735514587</v>
      </c>
      <c r="G2963">
        <v>1.0336044872281001</v>
      </c>
      <c r="H2963">
        <v>0.86946093697980398</v>
      </c>
      <c r="I2963">
        <v>1.3038488604521099</v>
      </c>
      <c r="J2963">
        <v>1.09329107244829</v>
      </c>
      <c r="K2963">
        <v>1.2139394488377999</v>
      </c>
      <c r="L2963">
        <v>10287.3910305876</v>
      </c>
      <c r="M2963">
        <v>250</v>
      </c>
      <c r="O2963">
        <v>41.146930796275697</v>
      </c>
      <c r="P2963">
        <v>0.221651195345723</v>
      </c>
      <c r="Q2963">
        <v>1.1459242622572301</v>
      </c>
      <c r="R2963">
        <v>0.111181181094195</v>
      </c>
      <c r="S2963" t="s">
        <v>9633</v>
      </c>
      <c r="T2963" t="s">
        <v>13338</v>
      </c>
      <c r="U2963" t="s">
        <v>13338</v>
      </c>
      <c r="V2963" t="s">
        <v>13338</v>
      </c>
      <c r="W2963" t="s">
        <v>16258</v>
      </c>
      <c r="X2963">
        <v>3</v>
      </c>
      <c r="Y2963" t="s">
        <v>22810</v>
      </c>
      <c r="Z2963" t="s">
        <v>29378</v>
      </c>
      <c r="AA2963">
        <v>1.140321512004145</v>
      </c>
      <c r="AB2963" t="str">
        <f>HYPERLINK("Melting_Curves/meltCurve_P62310_LSM3.pdf", "Melting_Curves/meltCurve_P62310_LSM3.pdf")</f>
        <v>Melting_Curves/meltCurve_P62310_LSM3.pdf</v>
      </c>
    </row>
    <row r="2964" spans="1:28" x14ac:dyDescent="0.25">
      <c r="A2964" t="s">
        <v>2968</v>
      </c>
      <c r="B2964">
        <v>0.99193492352474899</v>
      </c>
      <c r="C2964">
        <v>0.83167486096935295</v>
      </c>
      <c r="D2964">
        <v>0.84875760608289696</v>
      </c>
      <c r="E2964">
        <v>0.77167721758991303</v>
      </c>
      <c r="F2964">
        <v>0.68634526455768896</v>
      </c>
      <c r="G2964">
        <v>0.59522592628591497</v>
      </c>
      <c r="H2964">
        <v>0.52542697496288404</v>
      </c>
      <c r="I2964">
        <v>0.68613489545501505</v>
      </c>
      <c r="J2964">
        <v>0.77173737141610699</v>
      </c>
      <c r="K2964">
        <v>0.90142152632489703</v>
      </c>
      <c r="L2964">
        <v>787.94190489985601</v>
      </c>
      <c r="M2964">
        <v>17.788489214037899</v>
      </c>
      <c r="O2964">
        <v>43.746629295260099</v>
      </c>
      <c r="P2964">
        <v>-3.0683010225618899E-2</v>
      </c>
      <c r="Q2964">
        <v>0.69818486350879705</v>
      </c>
      <c r="R2964">
        <v>0.45690491785368997</v>
      </c>
      <c r="S2964" t="s">
        <v>9634</v>
      </c>
      <c r="T2964" t="s">
        <v>13338</v>
      </c>
      <c r="U2964" t="s">
        <v>13338</v>
      </c>
      <c r="V2964" t="s">
        <v>13338</v>
      </c>
      <c r="W2964" t="s">
        <v>16259</v>
      </c>
      <c r="X2964">
        <v>9</v>
      </c>
      <c r="Y2964" t="s">
        <v>22811</v>
      </c>
      <c r="Z2964" t="s">
        <v>29379</v>
      </c>
      <c r="AA2964">
        <v>0.74870416377165649</v>
      </c>
      <c r="AB2964" t="str">
        <f>HYPERLINK("Melting_Curves/meltCurve_P62312_LSM6.pdf", "Melting_Curves/meltCurve_P62312_LSM6.pdf")</f>
        <v>Melting_Curves/meltCurve_P62312_LSM6.pdf</v>
      </c>
    </row>
    <row r="2965" spans="1:28" x14ac:dyDescent="0.25">
      <c r="A2965" t="s">
        <v>2969</v>
      </c>
      <c r="B2965">
        <v>0.99193492352474899</v>
      </c>
      <c r="C2965">
        <v>0.77456050218750705</v>
      </c>
      <c r="D2965">
        <v>2.1586235996396099</v>
      </c>
      <c r="E2965">
        <v>0.49934167522579498</v>
      </c>
      <c r="F2965">
        <v>0.680169610904933</v>
      </c>
      <c r="G2965">
        <v>0.52815799426013599</v>
      </c>
      <c r="H2965">
        <v>0.41387759679312303</v>
      </c>
      <c r="I2965">
        <v>0.52972626826844205</v>
      </c>
      <c r="J2965">
        <v>1.72945083069697</v>
      </c>
      <c r="K2965">
        <v>0.54241389260931705</v>
      </c>
      <c r="L2965">
        <v>11976.316157319199</v>
      </c>
      <c r="M2965">
        <v>250</v>
      </c>
      <c r="O2965">
        <v>47.902198858501301</v>
      </c>
      <c r="P2965">
        <v>-0.38710631846694599</v>
      </c>
      <c r="Q2965">
        <v>0.70330809786344695</v>
      </c>
      <c r="R2965">
        <v>0.153861809427108</v>
      </c>
      <c r="S2965" t="s">
        <v>9635</v>
      </c>
      <c r="T2965" t="s">
        <v>13338</v>
      </c>
      <c r="U2965" t="s">
        <v>13338</v>
      </c>
      <c r="V2965" t="s">
        <v>13338</v>
      </c>
      <c r="W2965" t="s">
        <v>16260</v>
      </c>
      <c r="X2965">
        <v>3</v>
      </c>
      <c r="Y2965" t="s">
        <v>22812</v>
      </c>
      <c r="Z2965" t="s">
        <v>29380</v>
      </c>
      <c r="AA2965">
        <v>0.78151397496501118</v>
      </c>
      <c r="AB2965" t="str">
        <f>HYPERLINK("Melting_Curves/meltCurve_P62314_SNRPD1.pdf", "Melting_Curves/meltCurve_P62314_SNRPD1.pdf")</f>
        <v>Melting_Curves/meltCurve_P62314_SNRPD1.pdf</v>
      </c>
    </row>
    <row r="2966" spans="1:28" x14ac:dyDescent="0.25">
      <c r="A2966" t="s">
        <v>2970</v>
      </c>
      <c r="B2966">
        <v>0.99193492352474899</v>
      </c>
      <c r="C2966">
        <v>0.73766492455711496</v>
      </c>
      <c r="D2966">
        <v>0.91497347882963598</v>
      </c>
      <c r="E2966">
        <v>0.66195255772345096</v>
      </c>
      <c r="F2966">
        <v>0.72030076850121605</v>
      </c>
      <c r="G2966">
        <v>0.447336582329318</v>
      </c>
      <c r="H2966">
        <v>0.33396143678994999</v>
      </c>
      <c r="I2966">
        <v>0.36463215445257302</v>
      </c>
      <c r="J2966">
        <v>0.42035302099128802</v>
      </c>
      <c r="K2966">
        <v>0.31013144380051999</v>
      </c>
      <c r="L2966">
        <v>421.71738508536902</v>
      </c>
      <c r="M2966">
        <v>7.99607795226364</v>
      </c>
      <c r="N2966">
        <v>56.947276146474003</v>
      </c>
      <c r="O2966">
        <v>49.748407414765303</v>
      </c>
      <c r="P2966">
        <v>-3.1256279966290303E-2</v>
      </c>
      <c r="Q2966">
        <v>0.22302392249606301</v>
      </c>
      <c r="R2966">
        <v>0.872667106503346</v>
      </c>
      <c r="S2966" t="s">
        <v>9636</v>
      </c>
      <c r="T2966" t="s">
        <v>13338</v>
      </c>
      <c r="U2966" t="s">
        <v>13338</v>
      </c>
      <c r="V2966" t="s">
        <v>13338</v>
      </c>
      <c r="W2966" t="s">
        <v>14459</v>
      </c>
      <c r="X2966">
        <v>14</v>
      </c>
      <c r="Y2966" t="s">
        <v>21060</v>
      </c>
      <c r="Z2966" t="s">
        <v>29381</v>
      </c>
      <c r="AA2966">
        <v>0.58594688223961877</v>
      </c>
      <c r="AB2966" t="str">
        <f>HYPERLINK("Melting_Curves/meltCurve_P62316_SNRPD2.pdf", "Melting_Curves/meltCurve_P62316_SNRPD2.pdf")</f>
        <v>Melting_Curves/meltCurve_P62316_SNRPD2.pdf</v>
      </c>
    </row>
    <row r="2967" spans="1:28" x14ac:dyDescent="0.25">
      <c r="A2967" t="s">
        <v>2971</v>
      </c>
      <c r="B2967">
        <v>0.99193492352474899</v>
      </c>
      <c r="C2967">
        <v>0.54152009359342301</v>
      </c>
      <c r="D2967">
        <v>0.91448923574663299</v>
      </c>
      <c r="E2967">
        <v>0.58376646930806897</v>
      </c>
      <c r="F2967">
        <v>0.76834828887190099</v>
      </c>
      <c r="G2967">
        <v>0.427230573251134</v>
      </c>
      <c r="H2967">
        <v>0.50528544289334498</v>
      </c>
      <c r="I2967">
        <v>0.52933609265263104</v>
      </c>
      <c r="J2967">
        <v>0.80155172951951303</v>
      </c>
      <c r="K2967">
        <v>1.1131312975265499</v>
      </c>
      <c r="L2967">
        <v>10145.2408596938</v>
      </c>
      <c r="M2967">
        <v>250</v>
      </c>
      <c r="O2967">
        <v>40.578366786098897</v>
      </c>
      <c r="P2967">
        <v>-0.48180790822231601</v>
      </c>
      <c r="Q2967">
        <v>0.68718435404476697</v>
      </c>
      <c r="R2967">
        <v>0.16925485325249001</v>
      </c>
      <c r="S2967" t="s">
        <v>9637</v>
      </c>
      <c r="T2967" t="s">
        <v>13338</v>
      </c>
      <c r="U2967" t="s">
        <v>13338</v>
      </c>
      <c r="V2967" t="s">
        <v>13338</v>
      </c>
      <c r="W2967" t="s">
        <v>16261</v>
      </c>
      <c r="X2967">
        <v>9</v>
      </c>
      <c r="Y2967" t="s">
        <v>22813</v>
      </c>
      <c r="Z2967" t="s">
        <v>29382</v>
      </c>
      <c r="AA2967">
        <v>0.69330710379189209</v>
      </c>
      <c r="AB2967" t="str">
        <f>HYPERLINK("Melting_Curves/meltCurve_P62328_TMSB4X.pdf", "Melting_Curves/meltCurve_P62328_TMSB4X.pdf")</f>
        <v>Melting_Curves/meltCurve_P62328_TMSB4X.pdf</v>
      </c>
    </row>
    <row r="2968" spans="1:28" x14ac:dyDescent="0.25">
      <c r="A2968" t="s">
        <v>2972</v>
      </c>
      <c r="B2968">
        <v>0.99193492352474899</v>
      </c>
      <c r="C2968">
        <v>1.0363091364563199</v>
      </c>
      <c r="D2968">
        <v>0.82593124242828797</v>
      </c>
      <c r="E2968">
        <v>0.76691041981171504</v>
      </c>
      <c r="F2968">
        <v>0.46426381563452301</v>
      </c>
      <c r="G2968">
        <v>0.34525681620524901</v>
      </c>
      <c r="H2968">
        <v>0.16037354842420001</v>
      </c>
      <c r="I2968">
        <v>0.18005880766450799</v>
      </c>
      <c r="J2968">
        <v>0.20200071270617201</v>
      </c>
      <c r="K2968">
        <v>0.21369128472282301</v>
      </c>
      <c r="L2968">
        <v>887.40148225347195</v>
      </c>
      <c r="M2968">
        <v>17.191259849927398</v>
      </c>
      <c r="N2968">
        <v>52.883522604414097</v>
      </c>
      <c r="O2968">
        <v>50.936055235618603</v>
      </c>
      <c r="P2968">
        <v>-7.0163982721536899E-2</v>
      </c>
      <c r="Q2968">
        <v>0.16849254880546499</v>
      </c>
      <c r="R2968">
        <v>0.98198766599992804</v>
      </c>
      <c r="S2968" t="s">
        <v>9638</v>
      </c>
      <c r="T2968" t="s">
        <v>13338</v>
      </c>
      <c r="U2968" t="s">
        <v>13338</v>
      </c>
      <c r="V2968" t="s">
        <v>13338</v>
      </c>
      <c r="W2968" t="s">
        <v>16262</v>
      </c>
      <c r="X2968">
        <v>8</v>
      </c>
      <c r="Y2968" t="s">
        <v>22814</v>
      </c>
      <c r="Z2968" t="s">
        <v>29383</v>
      </c>
      <c r="AA2968">
        <v>0.50559846772199835</v>
      </c>
      <c r="AB2968" t="str">
        <f>HYPERLINK("Melting_Curves/meltCurve_P62330_ARF6.pdf", "Melting_Curves/meltCurve_P62330_ARF6.pdf")</f>
        <v>Melting_Curves/meltCurve_P62330_ARF6.pdf</v>
      </c>
    </row>
    <row r="2969" spans="1:28" x14ac:dyDescent="0.25">
      <c r="A2969" t="s">
        <v>2973</v>
      </c>
      <c r="B2969">
        <v>0.99193492352474899</v>
      </c>
      <c r="C2969">
        <v>0.89308168900132001</v>
      </c>
      <c r="D2969">
        <v>0.77862733691573005</v>
      </c>
      <c r="E2969">
        <v>0.69216822891753604</v>
      </c>
      <c r="F2969">
        <v>0.54343964040670101</v>
      </c>
      <c r="G2969">
        <v>0.229328205619662</v>
      </c>
      <c r="H2969">
        <v>6.7273188695392699E-2</v>
      </c>
      <c r="I2969">
        <v>6.8276405018519906E-2</v>
      </c>
      <c r="J2969">
        <v>7.35458300035364E-2</v>
      </c>
      <c r="K2969">
        <v>9.4698753382326695E-2</v>
      </c>
      <c r="L2969">
        <v>654.11221144301498</v>
      </c>
      <c r="M2969">
        <v>12.5004007821264</v>
      </c>
      <c r="N2969">
        <v>52.327321823912897</v>
      </c>
      <c r="O2969">
        <v>51.042285423430897</v>
      </c>
      <c r="P2969">
        <v>-6.1238307210451301E-2</v>
      </c>
      <c r="Q2969">
        <v>0</v>
      </c>
      <c r="R2969">
        <v>0.977225345722881</v>
      </c>
      <c r="S2969" t="s">
        <v>9639</v>
      </c>
      <c r="T2969" t="s">
        <v>13338</v>
      </c>
      <c r="U2969" t="s">
        <v>13338</v>
      </c>
      <c r="V2969" t="s">
        <v>13338</v>
      </c>
      <c r="W2969" t="s">
        <v>16263</v>
      </c>
      <c r="X2969">
        <v>28</v>
      </c>
      <c r="Y2969" t="s">
        <v>22815</v>
      </c>
      <c r="Z2969" t="s">
        <v>29384</v>
      </c>
      <c r="AA2969">
        <v>0.43933841458344869</v>
      </c>
      <c r="AB2969" t="str">
        <f>HYPERLINK("Melting_Curves/meltCurve_P62333_PSMC6.pdf", "Melting_Curves/meltCurve_P62333_PSMC6.pdf")</f>
        <v>Melting_Curves/meltCurve_P62333_PSMC6.pdf</v>
      </c>
    </row>
    <row r="2970" spans="1:28" x14ac:dyDescent="0.25">
      <c r="A2970" t="s">
        <v>2974</v>
      </c>
      <c r="B2970">
        <v>0.99193492352474899</v>
      </c>
      <c r="C2970">
        <v>0.72285074734881105</v>
      </c>
      <c r="D2970">
        <v>0.97571472276743798</v>
      </c>
      <c r="E2970">
        <v>0.56970966290805902</v>
      </c>
      <c r="F2970">
        <v>0.594423799482096</v>
      </c>
      <c r="G2970">
        <v>0.40055995240995701</v>
      </c>
      <c r="H2970">
        <v>0.38459727823404199</v>
      </c>
      <c r="I2970">
        <v>0.35154659187079201</v>
      </c>
      <c r="J2970">
        <v>0.38074674730230601</v>
      </c>
      <c r="K2970">
        <v>0.30089910518861701</v>
      </c>
      <c r="L2970">
        <v>516.58191162279104</v>
      </c>
      <c r="M2970">
        <v>10.312385536223999</v>
      </c>
      <c r="N2970">
        <v>54.599915907136896</v>
      </c>
      <c r="O2970">
        <v>48.319367824139398</v>
      </c>
      <c r="P2970">
        <v>-3.8083302750555999E-2</v>
      </c>
      <c r="Q2970">
        <v>0.286541098957036</v>
      </c>
      <c r="R2970">
        <v>0.86491973087506502</v>
      </c>
      <c r="S2970" t="s">
        <v>9640</v>
      </c>
      <c r="T2970" t="s">
        <v>13338</v>
      </c>
      <c r="U2970" t="s">
        <v>13338</v>
      </c>
      <c r="V2970" t="s">
        <v>13338</v>
      </c>
      <c r="W2970" t="s">
        <v>16264</v>
      </c>
      <c r="X2970">
        <v>2</v>
      </c>
      <c r="Y2970" t="s">
        <v>22816</v>
      </c>
      <c r="Z2970" t="s">
        <v>29385</v>
      </c>
      <c r="AA2970">
        <v>0.55726896280873617</v>
      </c>
      <c r="AB2970" t="str">
        <f>HYPERLINK("Melting_Curves/meltCurve_P62341_SELT.pdf", "Melting_Curves/meltCurve_P62341_SELT.pdf")</f>
        <v>Melting_Curves/meltCurve_P62341_SELT.pdf</v>
      </c>
    </row>
    <row r="2971" spans="1:28" x14ac:dyDescent="0.25">
      <c r="A2971" t="s">
        <v>2975</v>
      </c>
      <c r="B2971">
        <v>0.99193492352474899</v>
      </c>
      <c r="C2971">
        <v>0.93521334450035398</v>
      </c>
      <c r="D2971">
        <v>0.73693539745966696</v>
      </c>
      <c r="E2971">
        <v>0.29860792402166803</v>
      </c>
      <c r="F2971">
        <v>0.125537972803766</v>
      </c>
      <c r="G2971">
        <v>8.1052180556490494E-2</v>
      </c>
      <c r="H2971">
        <v>5.6225752075287599E-2</v>
      </c>
      <c r="I2971">
        <v>6.0927898270745698E-2</v>
      </c>
      <c r="J2971">
        <v>7.7406934002873296E-2</v>
      </c>
      <c r="K2971">
        <v>8.3263474694271297E-2</v>
      </c>
      <c r="L2971">
        <v>1254.21418569345</v>
      </c>
      <c r="M2971">
        <v>26.3726632082893</v>
      </c>
      <c r="N2971">
        <v>47.824662572705698</v>
      </c>
      <c r="O2971">
        <v>47.286443215981997</v>
      </c>
      <c r="P2971">
        <v>-0.12987693161138</v>
      </c>
      <c r="Q2971">
        <v>6.8527692421184797E-2</v>
      </c>
      <c r="R2971">
        <v>0.99933252454828303</v>
      </c>
      <c r="S2971" t="s">
        <v>9641</v>
      </c>
      <c r="T2971" t="s">
        <v>13338</v>
      </c>
      <c r="U2971" t="s">
        <v>13338</v>
      </c>
      <c r="V2971" t="s">
        <v>13338</v>
      </c>
      <c r="W2971" t="s">
        <v>16265</v>
      </c>
      <c r="X2971">
        <v>4</v>
      </c>
      <c r="Y2971" t="s">
        <v>22817</v>
      </c>
      <c r="Z2971" t="s">
        <v>29386</v>
      </c>
      <c r="AA2971">
        <v>0.31053225977436311</v>
      </c>
      <c r="AB2971" t="str">
        <f>HYPERLINK("Melting_Curves/meltCurve_P62380_TBPL1.pdf", "Melting_Curves/meltCurve_P62380_TBPL1.pdf")</f>
        <v>Melting_Curves/meltCurve_P62380_TBPL1.pdf</v>
      </c>
    </row>
    <row r="2972" spans="1:28" x14ac:dyDescent="0.25">
      <c r="A2972" t="s">
        <v>2976</v>
      </c>
      <c r="B2972">
        <v>0.99193492352474899</v>
      </c>
      <c r="C2972">
        <v>1.05400267658931</v>
      </c>
      <c r="D2972">
        <v>0.89722818420769102</v>
      </c>
      <c r="E2972">
        <v>1.7362396884175999</v>
      </c>
      <c r="F2972">
        <v>1.81036592146341</v>
      </c>
      <c r="G2972">
        <v>1.7958238668261</v>
      </c>
      <c r="H2972">
        <v>0.39238372250214598</v>
      </c>
      <c r="I2972">
        <v>0.200739018213136</v>
      </c>
      <c r="J2972">
        <v>0.26434631080236498</v>
      </c>
      <c r="K2972">
        <v>0.19505580420045901</v>
      </c>
      <c r="L2972">
        <v>15000</v>
      </c>
      <c r="M2972">
        <v>247.970615296566</v>
      </c>
      <c r="N2972">
        <v>60.632856088010399</v>
      </c>
      <c r="O2972">
        <v>60.487117522897201</v>
      </c>
      <c r="P2972">
        <v>-0.79936670408235799</v>
      </c>
      <c r="Q2972">
        <v>0.22004667114298701</v>
      </c>
      <c r="R2972">
        <v>0.53773340453796303</v>
      </c>
      <c r="S2972" t="s">
        <v>9642</v>
      </c>
      <c r="T2972" t="s">
        <v>13338</v>
      </c>
      <c r="U2972" t="s">
        <v>13338</v>
      </c>
      <c r="V2972" t="s">
        <v>13338</v>
      </c>
      <c r="W2972" t="s">
        <v>16266</v>
      </c>
      <c r="X2972">
        <v>11</v>
      </c>
      <c r="Y2972" t="s">
        <v>22818</v>
      </c>
      <c r="Z2972" t="s">
        <v>29387</v>
      </c>
      <c r="AA2972">
        <v>0.75286595190038585</v>
      </c>
      <c r="AB2972" t="str">
        <f>HYPERLINK("Melting_Curves/meltCurve_P62424_RPL7A.pdf", "Melting_Curves/meltCurve_P62424_RPL7A.pdf")</f>
        <v>Melting_Curves/meltCurve_P62424_RPL7A.pdf</v>
      </c>
    </row>
    <row r="2973" spans="1:28" x14ac:dyDescent="0.25">
      <c r="A2973" t="s">
        <v>2977</v>
      </c>
      <c r="B2973">
        <v>0.99193492352474899</v>
      </c>
      <c r="C2973">
        <v>0.79488141366812604</v>
      </c>
      <c r="D2973">
        <v>0.91025272490593101</v>
      </c>
      <c r="E2973">
        <v>0.83150185958460299</v>
      </c>
      <c r="F2973">
        <v>0.95428232353072495</v>
      </c>
      <c r="G2973">
        <v>0.73292534371996598</v>
      </c>
      <c r="H2973">
        <v>0.51706620882925802</v>
      </c>
      <c r="I2973">
        <v>0.27641775198027102</v>
      </c>
      <c r="J2973">
        <v>0.14852382747638701</v>
      </c>
      <c r="K2973">
        <v>0.102128236622942</v>
      </c>
      <c r="L2973">
        <v>962.97601428068504</v>
      </c>
      <c r="M2973">
        <v>15.912196520990801</v>
      </c>
      <c r="N2973">
        <v>60.518107178070103</v>
      </c>
      <c r="O2973">
        <v>59.586481300643001</v>
      </c>
      <c r="P2973">
        <v>-6.6766285057437605E-2</v>
      </c>
      <c r="Q2973">
        <v>0</v>
      </c>
      <c r="R2973">
        <v>0.92969098887003498</v>
      </c>
      <c r="S2973" t="s">
        <v>9643</v>
      </c>
      <c r="T2973" t="s">
        <v>13338</v>
      </c>
      <c r="U2973" t="s">
        <v>13338</v>
      </c>
      <c r="V2973" t="s">
        <v>13338</v>
      </c>
      <c r="W2973" t="s">
        <v>16267</v>
      </c>
      <c r="X2973">
        <v>7</v>
      </c>
      <c r="Y2973" t="s">
        <v>22819</v>
      </c>
      <c r="Z2973" t="s">
        <v>29388</v>
      </c>
      <c r="AA2973">
        <v>0.68953552932279394</v>
      </c>
      <c r="AB2973" t="str">
        <f>HYPERLINK("Melting_Curves/meltCurve_P62487_POLR2G.pdf", "Melting_Curves/meltCurve_P62487_POLR2G.pdf")</f>
        <v>Melting_Curves/meltCurve_P62487_POLR2G.pdf</v>
      </c>
    </row>
    <row r="2974" spans="1:28" x14ac:dyDescent="0.25">
      <c r="A2974" t="s">
        <v>2978</v>
      </c>
      <c r="B2974">
        <v>0.99193492352474899</v>
      </c>
      <c r="C2974">
        <v>0.67570630487796801</v>
      </c>
      <c r="D2974">
        <v>1.00842801986383</v>
      </c>
      <c r="E2974">
        <v>0.62009510987745198</v>
      </c>
      <c r="F2974">
        <v>0.19418771333537099</v>
      </c>
      <c r="G2974">
        <v>8.5365402008051997E-2</v>
      </c>
      <c r="H2974">
        <v>4.61983128973978E-2</v>
      </c>
      <c r="I2974">
        <v>4.7985791419902203E-2</v>
      </c>
      <c r="J2974">
        <v>6.3869966747739898E-2</v>
      </c>
      <c r="K2974">
        <v>5.6000893982301299E-2</v>
      </c>
      <c r="L2974">
        <v>1572.0417384221901</v>
      </c>
      <c r="M2974">
        <v>31.272164984299501</v>
      </c>
      <c r="N2974">
        <v>50.450901747463902</v>
      </c>
      <c r="O2974">
        <v>50.065434355340699</v>
      </c>
      <c r="P2974">
        <v>-0.147861375255539</v>
      </c>
      <c r="Q2974">
        <v>5.3125149576524297E-2</v>
      </c>
      <c r="R2974">
        <v>0.92745230470476203</v>
      </c>
      <c r="S2974" t="s">
        <v>9644</v>
      </c>
      <c r="T2974" t="s">
        <v>13338</v>
      </c>
      <c r="U2974" t="s">
        <v>13338</v>
      </c>
      <c r="V2974" t="s">
        <v>13338</v>
      </c>
      <c r="W2974" t="s">
        <v>16268</v>
      </c>
      <c r="X2974">
        <v>19</v>
      </c>
      <c r="Y2974" t="s">
        <v>22820</v>
      </c>
      <c r="Z2974" t="s">
        <v>29389</v>
      </c>
      <c r="AA2974">
        <v>0.38267122806572712</v>
      </c>
      <c r="AB2974" t="str">
        <f>HYPERLINK("Melting_Curves/meltCurve_P62495_ETF1.pdf", "Melting_Curves/meltCurve_P62495_ETF1.pdf")</f>
        <v>Melting_Curves/meltCurve_P62495_ETF1.pdf</v>
      </c>
    </row>
    <row r="2975" spans="1:28" x14ac:dyDescent="0.25">
      <c r="A2975" t="s">
        <v>2979</v>
      </c>
      <c r="B2975">
        <v>0.99193492352474899</v>
      </c>
      <c r="C2975">
        <v>0.957716339902976</v>
      </c>
      <c r="D2975">
        <v>0.85955426043003103</v>
      </c>
      <c r="E2975">
        <v>0.82592656220636596</v>
      </c>
      <c r="F2975">
        <v>0.60436046757504402</v>
      </c>
      <c r="G2975">
        <v>0.51099678855092701</v>
      </c>
      <c r="H2975">
        <v>0.45155082129354002</v>
      </c>
      <c r="I2975">
        <v>0.57934707626993398</v>
      </c>
      <c r="J2975">
        <v>0.56365615206561004</v>
      </c>
      <c r="K2975">
        <v>0.73115833459160295</v>
      </c>
      <c r="L2975">
        <v>1077.80874049215</v>
      </c>
      <c r="M2975">
        <v>21.984522737829099</v>
      </c>
      <c r="O2975">
        <v>48.625563691065899</v>
      </c>
      <c r="P2975">
        <v>-4.9334476214322701E-2</v>
      </c>
      <c r="Q2975">
        <v>0.56353603495683802</v>
      </c>
      <c r="R2975">
        <v>0.82879139133025703</v>
      </c>
      <c r="S2975" t="s">
        <v>9645</v>
      </c>
      <c r="T2975" t="s">
        <v>13338</v>
      </c>
      <c r="U2975" t="s">
        <v>13338</v>
      </c>
      <c r="V2975" t="s">
        <v>13338</v>
      </c>
      <c r="W2975" t="s">
        <v>16269</v>
      </c>
      <c r="X2975">
        <v>15</v>
      </c>
      <c r="Y2975" t="s">
        <v>20292</v>
      </c>
      <c r="Z2975" t="s">
        <v>29390</v>
      </c>
      <c r="AA2975">
        <v>0.69988926341693281</v>
      </c>
      <c r="AB2975" t="str">
        <f>HYPERLINK("Melting_Curves/meltCurve_P62633_2_CNBP.pdf", "Melting_Curves/meltCurve_P62633_2_CNBP.pdf")</f>
        <v>Melting_Curves/meltCurve_P62633_2_CNBP.pdf</v>
      </c>
    </row>
    <row r="2976" spans="1:28" x14ac:dyDescent="0.25">
      <c r="A2976" t="s">
        <v>2980</v>
      </c>
      <c r="B2976">
        <v>0.99193492352474899</v>
      </c>
      <c r="C2976">
        <v>0.86077121558816005</v>
      </c>
      <c r="D2976">
        <v>0.97102408626766001</v>
      </c>
      <c r="E2976">
        <v>2.3237377157647798</v>
      </c>
      <c r="F2976">
        <v>1.43576810719995</v>
      </c>
      <c r="G2976">
        <v>1.5759712263791701</v>
      </c>
      <c r="H2976">
        <v>1.5117588685961401</v>
      </c>
      <c r="I2976">
        <v>3.1172390069779499</v>
      </c>
      <c r="J2976">
        <v>3.0356110912905998</v>
      </c>
      <c r="K2976">
        <v>5.2470896968284597</v>
      </c>
      <c r="L2976">
        <v>11855.116461437299</v>
      </c>
      <c r="M2976">
        <v>250</v>
      </c>
      <c r="O2976">
        <v>47.417431262151197</v>
      </c>
      <c r="P2976">
        <v>0.65904034049336702</v>
      </c>
      <c r="Q2976">
        <v>1.5</v>
      </c>
      <c r="R2976">
        <v>-0.162660964810495</v>
      </c>
      <c r="S2976" t="s">
        <v>9646</v>
      </c>
      <c r="T2976" t="s">
        <v>13338</v>
      </c>
      <c r="U2976" t="s">
        <v>13338</v>
      </c>
      <c r="V2976" t="s">
        <v>13338</v>
      </c>
      <c r="W2976" t="s">
        <v>16270</v>
      </c>
      <c r="X2976">
        <v>15</v>
      </c>
      <c r="Y2976" t="s">
        <v>20292</v>
      </c>
      <c r="Z2976" t="s">
        <v>29391</v>
      </c>
      <c r="AA2976">
        <v>1.376283958147748</v>
      </c>
      <c r="AB2976" t="str">
        <f>HYPERLINK("Melting_Curves/meltCurve_P62633_3_CNBP.pdf", "Melting_Curves/meltCurve_P62633_3_CNBP.pdf")</f>
        <v>Melting_Curves/meltCurve_P62633_3_CNBP.pdf</v>
      </c>
    </row>
    <row r="2977" spans="1:28" x14ac:dyDescent="0.25">
      <c r="A2977" t="s">
        <v>2981</v>
      </c>
      <c r="B2977">
        <v>0.99193492352474899</v>
      </c>
      <c r="C2977">
        <v>0.68252472529813801</v>
      </c>
      <c r="D2977">
        <v>0.97265102962111805</v>
      </c>
      <c r="E2977">
        <v>0.70312493388129804</v>
      </c>
      <c r="F2977">
        <v>0.740805142077963</v>
      </c>
      <c r="G2977">
        <v>0.44608893848548398</v>
      </c>
      <c r="H2977">
        <v>0.48656156991555699</v>
      </c>
      <c r="I2977">
        <v>0.59497243446520598</v>
      </c>
      <c r="J2977">
        <v>0.82508840828902397</v>
      </c>
      <c r="K2977">
        <v>1.06792183961647</v>
      </c>
      <c r="L2977">
        <v>683.06356258164794</v>
      </c>
      <c r="M2977">
        <v>15.9396343143886</v>
      </c>
      <c r="O2977">
        <v>42.195673423307099</v>
      </c>
      <c r="P2977">
        <v>-2.8374657582065199E-2</v>
      </c>
      <c r="Q2977">
        <v>0.69956839067232701</v>
      </c>
      <c r="R2977">
        <v>0.14559286800350801</v>
      </c>
      <c r="S2977" t="s">
        <v>9647</v>
      </c>
      <c r="T2977" t="s">
        <v>13338</v>
      </c>
      <c r="U2977" t="s">
        <v>13338</v>
      </c>
      <c r="V2977" t="s">
        <v>13338</v>
      </c>
      <c r="W2977" t="s">
        <v>16271</v>
      </c>
      <c r="X2977">
        <v>15</v>
      </c>
      <c r="Y2977" t="s">
        <v>20292</v>
      </c>
      <c r="Z2977" t="s">
        <v>29392</v>
      </c>
      <c r="AA2977">
        <v>0.73968292667293567</v>
      </c>
      <c r="AB2977" t="str">
        <f>HYPERLINK("Melting_Curves/meltCurve_P62633_4_CNBP.pdf", "Melting_Curves/meltCurve_P62633_4_CNBP.pdf")</f>
        <v>Melting_Curves/meltCurve_P62633_4_CNBP.pdf</v>
      </c>
    </row>
    <row r="2978" spans="1:28" x14ac:dyDescent="0.25">
      <c r="A2978" t="s">
        <v>2982</v>
      </c>
      <c r="B2978">
        <v>0.99193492352474899</v>
      </c>
      <c r="C2978">
        <v>0.65525861440128197</v>
      </c>
      <c r="D2978">
        <v>0.88262623760069203</v>
      </c>
      <c r="E2978">
        <v>0.53317090789384003</v>
      </c>
      <c r="F2978">
        <v>0.64022542506520697</v>
      </c>
      <c r="G2978">
        <v>0.25824644316575901</v>
      </c>
      <c r="H2978">
        <v>0.29902898684478701</v>
      </c>
      <c r="I2978">
        <v>0.32870331582126799</v>
      </c>
      <c r="J2978">
        <v>0.4388490865504</v>
      </c>
      <c r="K2978">
        <v>0.51937014302022499</v>
      </c>
      <c r="L2978">
        <v>567.767606136739</v>
      </c>
      <c r="M2978">
        <v>12.075584961267101</v>
      </c>
      <c r="N2978">
        <v>52.710372998423402</v>
      </c>
      <c r="O2978">
        <v>45.784108286881597</v>
      </c>
      <c r="P2978">
        <v>-4.1926770554585997E-2</v>
      </c>
      <c r="Q2978">
        <v>0.36429500823772198</v>
      </c>
      <c r="R2978">
        <v>0.69979879827336</v>
      </c>
      <c r="S2978" t="s">
        <v>9648</v>
      </c>
      <c r="T2978" t="s">
        <v>13338</v>
      </c>
      <c r="U2978" t="s">
        <v>13338</v>
      </c>
      <c r="V2978" t="s">
        <v>13338</v>
      </c>
      <c r="W2978" t="s">
        <v>16272</v>
      </c>
      <c r="X2978">
        <v>14</v>
      </c>
      <c r="Y2978" t="s">
        <v>20292</v>
      </c>
      <c r="Z2978" t="s">
        <v>29393</v>
      </c>
      <c r="AA2978">
        <v>0.53935120431027384</v>
      </c>
      <c r="AB2978" t="str">
        <f>HYPERLINK("Melting_Curves/meltCurve_P62633_5_CNBP.pdf", "Melting_Curves/meltCurve_P62633_5_CNBP.pdf")</f>
        <v>Melting_Curves/meltCurve_P62633_5_CNBP.pdf</v>
      </c>
    </row>
    <row r="2979" spans="1:28" x14ac:dyDescent="0.25">
      <c r="A2979" t="s">
        <v>2983</v>
      </c>
      <c r="B2979">
        <v>0.99193492352474899</v>
      </c>
      <c r="C2979">
        <v>0.81611115238588305</v>
      </c>
      <c r="D2979">
        <v>0.80329989550194902</v>
      </c>
      <c r="E2979">
        <v>0.63356699170661301</v>
      </c>
      <c r="F2979">
        <v>0.31950537122204598</v>
      </c>
      <c r="G2979">
        <v>0.18091401155457601</v>
      </c>
      <c r="H2979">
        <v>0.115511188793871</v>
      </c>
      <c r="I2979">
        <v>0.130317596940799</v>
      </c>
      <c r="J2979">
        <v>0.16221795019733701</v>
      </c>
      <c r="K2979">
        <v>0.15408978119493499</v>
      </c>
      <c r="L2979">
        <v>755.56969672423304</v>
      </c>
      <c r="M2979">
        <v>15.203687814698601</v>
      </c>
      <c r="N2979">
        <v>50.494625187839198</v>
      </c>
      <c r="O2979">
        <v>48.860503688489302</v>
      </c>
      <c r="P2979">
        <v>-6.9488955950314193E-2</v>
      </c>
      <c r="Q2979">
        <v>0.106811429318451</v>
      </c>
      <c r="R2979">
        <v>0.97629870419374898</v>
      </c>
      <c r="S2979" t="s">
        <v>9649</v>
      </c>
      <c r="T2979" t="s">
        <v>13338</v>
      </c>
      <c r="U2979" t="s">
        <v>13338</v>
      </c>
      <c r="V2979" t="s">
        <v>13338</v>
      </c>
      <c r="W2979" t="s">
        <v>16273</v>
      </c>
      <c r="X2979">
        <v>1</v>
      </c>
      <c r="Y2979" t="s">
        <v>22821</v>
      </c>
      <c r="Z2979" t="s">
        <v>29394</v>
      </c>
      <c r="AA2979">
        <v>0.4164970889724498</v>
      </c>
      <c r="AB2979" t="str">
        <f>HYPERLINK("Melting_Curves/meltCurve_P62699_YPEL5.pdf", "Melting_Curves/meltCurve_P62699_YPEL5.pdf")</f>
        <v>Melting_Curves/meltCurve_P62699_YPEL5.pdf</v>
      </c>
    </row>
    <row r="2980" spans="1:28" x14ac:dyDescent="0.25">
      <c r="A2980" t="s">
        <v>2984</v>
      </c>
      <c r="B2980">
        <v>0.99193492352474899</v>
      </c>
      <c r="C2980">
        <v>0.40519273335320199</v>
      </c>
      <c r="D2980">
        <v>0.74548818156301999</v>
      </c>
      <c r="E2980">
        <v>0.44331073448603597</v>
      </c>
      <c r="F2980">
        <v>0.42324548464841</v>
      </c>
      <c r="G2980">
        <v>0.156737823335447</v>
      </c>
      <c r="H2980">
        <v>6.6879606315332504E-2</v>
      </c>
      <c r="I2980">
        <v>6.4504498513585903E-2</v>
      </c>
      <c r="J2980">
        <v>8.6485469457985797E-2</v>
      </c>
      <c r="K2980">
        <v>7.5200361532169996E-2</v>
      </c>
      <c r="L2980">
        <v>400.90167833542199</v>
      </c>
      <c r="M2980">
        <v>8.3619970612575791</v>
      </c>
      <c r="N2980">
        <v>47.9432938951186</v>
      </c>
      <c r="O2980">
        <v>45.436442565772602</v>
      </c>
      <c r="P2980">
        <v>-4.6053401911533801E-2</v>
      </c>
      <c r="Q2980">
        <v>0</v>
      </c>
      <c r="R2980">
        <v>0.80869696178522898</v>
      </c>
      <c r="S2980" t="s">
        <v>9650</v>
      </c>
      <c r="T2980" t="s">
        <v>13338</v>
      </c>
      <c r="U2980" t="s">
        <v>13338</v>
      </c>
      <c r="V2980" t="s">
        <v>13338</v>
      </c>
      <c r="W2980" t="s">
        <v>16274</v>
      </c>
      <c r="X2980">
        <v>18</v>
      </c>
      <c r="Y2980" t="s">
        <v>22822</v>
      </c>
      <c r="Z2980" t="s">
        <v>29395</v>
      </c>
      <c r="AA2980">
        <v>0.33368682367744418</v>
      </c>
      <c r="AB2980" t="str">
        <f>HYPERLINK("Melting_Curves/meltCurve_P62701_RPS4X.pdf", "Melting_Curves/meltCurve_P62701_RPS4X.pdf")</f>
        <v>Melting_Curves/meltCurve_P62701_RPS4X.pdf</v>
      </c>
    </row>
    <row r="2981" spans="1:28" x14ac:dyDescent="0.25">
      <c r="A2981" t="s">
        <v>2985</v>
      </c>
      <c r="B2981">
        <v>0.99193492352474899</v>
      </c>
      <c r="C2981">
        <v>1.20171868149893</v>
      </c>
      <c r="D2981">
        <v>1.2333941712829899</v>
      </c>
      <c r="E2981">
        <v>1.1132056534596499</v>
      </c>
      <c r="F2981">
        <v>0.78773616198729102</v>
      </c>
      <c r="G2981">
        <v>0.57278859612291699</v>
      </c>
      <c r="H2981">
        <v>0.26327301622052002</v>
      </c>
      <c r="I2981">
        <v>0.14454606488296701</v>
      </c>
      <c r="J2981">
        <v>0.153495282619977</v>
      </c>
      <c r="K2981">
        <v>0.144286723500268</v>
      </c>
      <c r="L2981">
        <v>1471.27142175416</v>
      </c>
      <c r="M2981">
        <v>25.984253933714999</v>
      </c>
      <c r="N2981">
        <v>57.291275072729597</v>
      </c>
      <c r="O2981">
        <v>56.289479847153302</v>
      </c>
      <c r="P2981">
        <v>-0.10029227575321301</v>
      </c>
      <c r="Q2981">
        <v>0.13096058401349001</v>
      </c>
      <c r="R2981">
        <v>0.93624703573384904</v>
      </c>
      <c r="S2981" t="s">
        <v>9651</v>
      </c>
      <c r="T2981" t="s">
        <v>13338</v>
      </c>
      <c r="U2981" t="s">
        <v>13338</v>
      </c>
      <c r="V2981" t="s">
        <v>13338</v>
      </c>
      <c r="W2981" t="s">
        <v>16275</v>
      </c>
      <c r="X2981">
        <v>20</v>
      </c>
      <c r="Y2981" t="s">
        <v>22823</v>
      </c>
      <c r="Z2981" t="s">
        <v>29396</v>
      </c>
      <c r="AA2981">
        <v>0.61987536908699092</v>
      </c>
      <c r="AB2981" t="str">
        <f>HYPERLINK("Melting_Curves/meltCurve_P62714_PPP2CB.pdf", "Melting_Curves/meltCurve_P62714_PPP2CB.pdf")</f>
        <v>Melting_Curves/meltCurve_P62714_PPP2CB.pdf</v>
      </c>
    </row>
    <row r="2982" spans="1:28" x14ac:dyDescent="0.25">
      <c r="A2982" t="s">
        <v>2986</v>
      </c>
      <c r="B2982">
        <v>0.99193492352474899</v>
      </c>
      <c r="C2982">
        <v>0.87779973843454195</v>
      </c>
      <c r="D2982">
        <v>0.90636696439284503</v>
      </c>
      <c r="E2982">
        <v>0.75273328461140399</v>
      </c>
      <c r="F2982">
        <v>0.60454650617696004</v>
      </c>
      <c r="G2982">
        <v>0.35861015245153199</v>
      </c>
      <c r="H2982">
        <v>0.16656799241927001</v>
      </c>
      <c r="I2982">
        <v>0.14975625031564199</v>
      </c>
      <c r="J2982">
        <v>0.13642716453518799</v>
      </c>
      <c r="K2982">
        <v>0.18415554256467001</v>
      </c>
      <c r="L2982">
        <v>745.757753315174</v>
      </c>
      <c r="M2982">
        <v>14.0006851282238</v>
      </c>
      <c r="N2982">
        <v>54.060602770021497</v>
      </c>
      <c r="O2982">
        <v>52.214430663785997</v>
      </c>
      <c r="P2982">
        <v>-6.0807214510656502E-2</v>
      </c>
      <c r="Q2982">
        <v>9.3017509104957694E-2</v>
      </c>
      <c r="R2982">
        <v>0.98228809627825397</v>
      </c>
      <c r="S2982" t="s">
        <v>9652</v>
      </c>
      <c r="T2982" t="s">
        <v>13338</v>
      </c>
      <c r="U2982" t="s">
        <v>13338</v>
      </c>
      <c r="V2982" t="s">
        <v>13338</v>
      </c>
      <c r="W2982" t="s">
        <v>16276</v>
      </c>
      <c r="X2982">
        <v>6</v>
      </c>
      <c r="Y2982" t="s">
        <v>22824</v>
      </c>
      <c r="Z2982" t="s">
        <v>29397</v>
      </c>
      <c r="AA2982">
        <v>0.5151950329249696</v>
      </c>
      <c r="AB2982" t="str">
        <f>HYPERLINK("Melting_Curves/meltCurve_P62750_RPL23A.pdf", "Melting_Curves/meltCurve_P62750_RPL23A.pdf")</f>
        <v>Melting_Curves/meltCurve_P62750_RPL23A.pdf</v>
      </c>
    </row>
    <row r="2983" spans="1:28" x14ac:dyDescent="0.25">
      <c r="A2983" t="s">
        <v>2987</v>
      </c>
      <c r="B2983">
        <v>0.99193492352474899</v>
      </c>
      <c r="C2983">
        <v>0.77149168809034696</v>
      </c>
      <c r="D2983">
        <v>0.90740449942554302</v>
      </c>
      <c r="E2983">
        <v>0.85714171590107202</v>
      </c>
      <c r="F2983">
        <v>0.75496033319391997</v>
      </c>
      <c r="G2983">
        <v>0.28662758063184501</v>
      </c>
      <c r="H2983">
        <v>0.115974337637648</v>
      </c>
      <c r="I2983">
        <v>0.13075025384008901</v>
      </c>
      <c r="J2983">
        <v>0.214228184871953</v>
      </c>
      <c r="K2983">
        <v>0.241903053016329</v>
      </c>
      <c r="L2983">
        <v>1994.6538381119501</v>
      </c>
      <c r="M2983">
        <v>36.796951477916998</v>
      </c>
      <c r="N2983">
        <v>54.8262474577622</v>
      </c>
      <c r="O2983">
        <v>54.047691424611997</v>
      </c>
      <c r="P2983">
        <v>-0.141267493853281</v>
      </c>
      <c r="Q2983">
        <v>0.17002262615638999</v>
      </c>
      <c r="R2983">
        <v>0.92229037374380696</v>
      </c>
      <c r="S2983" t="s">
        <v>9653</v>
      </c>
      <c r="T2983" t="s">
        <v>13338</v>
      </c>
      <c r="U2983" t="s">
        <v>13338</v>
      </c>
      <c r="V2983" t="s">
        <v>13338</v>
      </c>
      <c r="W2983" t="s">
        <v>16277</v>
      </c>
      <c r="X2983">
        <v>10</v>
      </c>
      <c r="Y2983" t="s">
        <v>22825</v>
      </c>
      <c r="Z2983" t="s">
        <v>29398</v>
      </c>
      <c r="AA2983">
        <v>0.56673711261308191</v>
      </c>
      <c r="AB2983" t="str">
        <f>HYPERLINK("Melting_Curves/meltCurve_P62753_RPS6.pdf", "Melting_Curves/meltCurve_P62753_RPS6.pdf")</f>
        <v>Melting_Curves/meltCurve_P62753_RPS6.pdf</v>
      </c>
    </row>
    <row r="2984" spans="1:28" x14ac:dyDescent="0.25">
      <c r="A2984" t="s">
        <v>2988</v>
      </c>
      <c r="B2984">
        <v>0.99193492352474899</v>
      </c>
      <c r="C2984">
        <v>0.65075461827039605</v>
      </c>
      <c r="D2984">
        <v>0.82454630701718001</v>
      </c>
      <c r="E2984">
        <v>0.57139025560193002</v>
      </c>
      <c r="F2984">
        <v>0.51405571519369198</v>
      </c>
      <c r="G2984">
        <v>0.26396771113123102</v>
      </c>
      <c r="H2984">
        <v>0.23124652697866799</v>
      </c>
      <c r="I2984">
        <v>0.16135520050104499</v>
      </c>
      <c r="J2984">
        <v>0.33185530013980202</v>
      </c>
      <c r="K2984">
        <v>0.29648861208349298</v>
      </c>
      <c r="L2984">
        <v>496.92827812306001</v>
      </c>
      <c r="M2984">
        <v>10.195624039911401</v>
      </c>
      <c r="N2984">
        <v>51.245436716607401</v>
      </c>
      <c r="O2984">
        <v>46.975935159514101</v>
      </c>
      <c r="P2984">
        <v>-4.3627806271791802E-2</v>
      </c>
      <c r="Q2984">
        <v>0.19630945508773401</v>
      </c>
      <c r="R2984">
        <v>0.86670985036056702</v>
      </c>
      <c r="S2984" t="s">
        <v>9654</v>
      </c>
      <c r="T2984" t="s">
        <v>13338</v>
      </c>
      <c r="U2984" t="s">
        <v>13338</v>
      </c>
      <c r="V2984" t="s">
        <v>13338</v>
      </c>
      <c r="W2984" t="s">
        <v>16278</v>
      </c>
      <c r="X2984">
        <v>8</v>
      </c>
      <c r="Y2984" t="s">
        <v>22826</v>
      </c>
      <c r="Z2984" t="s">
        <v>29399</v>
      </c>
      <c r="AA2984">
        <v>0.46943353930551929</v>
      </c>
      <c r="AB2984" t="str">
        <f>HYPERLINK("Melting_Curves/meltCurve_P62805_HIST1H4A.pdf", "Melting_Curves/meltCurve_P62805_HIST1H4A.pdf")</f>
        <v>Melting_Curves/meltCurve_P62805_HIST1H4A.pdf</v>
      </c>
    </row>
    <row r="2985" spans="1:28" x14ac:dyDescent="0.25">
      <c r="A2985" t="s">
        <v>2989</v>
      </c>
      <c r="B2985">
        <v>0.99193492352474899</v>
      </c>
      <c r="C2985">
        <v>0.99639563733393599</v>
      </c>
      <c r="D2985">
        <v>0.94313276374047905</v>
      </c>
      <c r="E2985">
        <v>0.86648446547416202</v>
      </c>
      <c r="F2985">
        <v>0.69264158591400504</v>
      </c>
      <c r="G2985">
        <v>0.60667758699502805</v>
      </c>
      <c r="H2985">
        <v>0.45895092385098701</v>
      </c>
      <c r="I2985">
        <v>0.468682273067341</v>
      </c>
      <c r="J2985">
        <v>0.37780293539641902</v>
      </c>
      <c r="K2985">
        <v>0.16893141710176801</v>
      </c>
      <c r="L2985">
        <v>474.083608587784</v>
      </c>
      <c r="M2985">
        <v>7.8442225703910804</v>
      </c>
      <c r="N2985">
        <v>60.437296764253901</v>
      </c>
      <c r="O2985">
        <v>56.887219620876003</v>
      </c>
      <c r="P2985">
        <v>-3.4514648115486102E-2</v>
      </c>
      <c r="Q2985">
        <v>0</v>
      </c>
      <c r="R2985">
        <v>0.96900970175909296</v>
      </c>
      <c r="S2985" t="s">
        <v>9655</v>
      </c>
      <c r="T2985" t="s">
        <v>13338</v>
      </c>
      <c r="U2985" t="s">
        <v>13338</v>
      </c>
      <c r="V2985" t="s">
        <v>13338</v>
      </c>
      <c r="W2985" t="s">
        <v>16279</v>
      </c>
      <c r="X2985">
        <v>19</v>
      </c>
      <c r="Y2985" t="s">
        <v>22827</v>
      </c>
      <c r="Z2985" t="s">
        <v>29400</v>
      </c>
      <c r="AA2985">
        <v>0.66042278237683627</v>
      </c>
      <c r="AB2985" t="str">
        <f>HYPERLINK("Melting_Curves/meltCurve_P62820_RAB1A.pdf", "Melting_Curves/meltCurve_P62820_RAB1A.pdf")</f>
        <v>Melting_Curves/meltCurve_P62820_RAB1A.pdf</v>
      </c>
    </row>
    <row r="2986" spans="1:28" x14ac:dyDescent="0.25">
      <c r="A2986" t="s">
        <v>2990</v>
      </c>
      <c r="B2986">
        <v>0.99193492352474899</v>
      </c>
      <c r="C2986">
        <v>0.71302190958159295</v>
      </c>
      <c r="D2986">
        <v>0.869856110231636</v>
      </c>
      <c r="E2986">
        <v>0.61467447592818303</v>
      </c>
      <c r="F2986">
        <v>0.451285938800842</v>
      </c>
      <c r="G2986">
        <v>0.205229856878545</v>
      </c>
      <c r="H2986">
        <v>6.8870147037074406E-2</v>
      </c>
      <c r="I2986">
        <v>6.1332574949827599E-2</v>
      </c>
      <c r="J2986">
        <v>7.4489817204120304E-2</v>
      </c>
      <c r="K2986">
        <v>6.5411877084764203E-2</v>
      </c>
      <c r="L2986">
        <v>603.52001625244498</v>
      </c>
      <c r="M2986">
        <v>11.7722955649678</v>
      </c>
      <c r="N2986">
        <v>51.266128450585597</v>
      </c>
      <c r="O2986">
        <v>49.853903271427299</v>
      </c>
      <c r="P2986">
        <v>-5.9049299502902101E-2</v>
      </c>
      <c r="Q2986">
        <v>0</v>
      </c>
      <c r="R2986">
        <v>0.95352065685976095</v>
      </c>
      <c r="S2986" t="s">
        <v>9656</v>
      </c>
      <c r="T2986" t="s">
        <v>13338</v>
      </c>
      <c r="U2986" t="s">
        <v>13338</v>
      </c>
      <c r="V2986" t="s">
        <v>13338</v>
      </c>
      <c r="W2986" t="s">
        <v>16280</v>
      </c>
      <c r="X2986">
        <v>9</v>
      </c>
      <c r="Y2986" t="s">
        <v>22828</v>
      </c>
      <c r="Z2986" t="s">
        <v>29401</v>
      </c>
      <c r="AA2986">
        <v>0.40848432338586738</v>
      </c>
      <c r="AB2986" t="str">
        <f>HYPERLINK("Melting_Curves/meltCurve_P62829_RPL23.pdf", "Melting_Curves/meltCurve_P62829_RPL23.pdf")</f>
        <v>Melting_Curves/meltCurve_P62829_RPL23.pdf</v>
      </c>
    </row>
    <row r="2987" spans="1:28" x14ac:dyDescent="0.25">
      <c r="A2987" t="s">
        <v>2991</v>
      </c>
      <c r="B2987">
        <v>0.99193492352474899</v>
      </c>
      <c r="C2987">
        <v>0.94275340820493103</v>
      </c>
      <c r="D2987">
        <v>0.92687052252463398</v>
      </c>
      <c r="E2987">
        <v>0.913690398536945</v>
      </c>
      <c r="F2987">
        <v>0.78953217368628803</v>
      </c>
      <c r="G2987">
        <v>0.62476355194239597</v>
      </c>
      <c r="H2987">
        <v>0.55270338101139205</v>
      </c>
      <c r="I2987">
        <v>0.56055087825656502</v>
      </c>
      <c r="J2987">
        <v>0.43386592579282901</v>
      </c>
      <c r="K2987">
        <v>0.29135897505082398</v>
      </c>
      <c r="L2987">
        <v>432.02122282420697</v>
      </c>
      <c r="M2987">
        <v>6.8146794255230798</v>
      </c>
      <c r="N2987">
        <v>63.395677953692498</v>
      </c>
      <c r="O2987">
        <v>58.608838623935803</v>
      </c>
      <c r="P2987">
        <v>-2.9127929560771301E-2</v>
      </c>
      <c r="Q2987">
        <v>0</v>
      </c>
      <c r="R2987">
        <v>0.96945681104929504</v>
      </c>
      <c r="S2987" t="s">
        <v>9657</v>
      </c>
      <c r="T2987" t="s">
        <v>13338</v>
      </c>
      <c r="U2987" t="s">
        <v>13338</v>
      </c>
      <c r="V2987" t="s">
        <v>13338</v>
      </c>
      <c r="W2987" t="s">
        <v>16281</v>
      </c>
      <c r="X2987">
        <v>15</v>
      </c>
      <c r="Y2987" t="s">
        <v>22829</v>
      </c>
      <c r="Z2987" t="s">
        <v>29402</v>
      </c>
      <c r="AA2987">
        <v>0.71080365262954825</v>
      </c>
      <c r="AB2987" t="str">
        <f>HYPERLINK("Melting_Curves/meltCurve_P62834_RAP1A.pdf", "Melting_Curves/meltCurve_P62834_RAP1A.pdf")</f>
        <v>Melting_Curves/meltCurve_P62834_RAP1A.pdf</v>
      </c>
    </row>
    <row r="2988" spans="1:28" x14ac:dyDescent="0.25">
      <c r="A2988" t="s">
        <v>2992</v>
      </c>
      <c r="B2988">
        <v>0.99193492352474899</v>
      </c>
      <c r="C2988">
        <v>1.1484129613856</v>
      </c>
      <c r="D2988">
        <v>0.40719563386528401</v>
      </c>
      <c r="E2988">
        <v>0.88968681980229403</v>
      </c>
      <c r="F2988">
        <v>0.17169265507043999</v>
      </c>
      <c r="G2988">
        <v>0.15381788463596699</v>
      </c>
      <c r="H2988">
        <v>4.4690577517087902E-2</v>
      </c>
      <c r="I2988">
        <v>3.5246645396473299E-2</v>
      </c>
      <c r="J2988">
        <v>4.1512837297273501E-2</v>
      </c>
      <c r="K2988">
        <v>4.5757814213223197E-2</v>
      </c>
      <c r="L2988">
        <v>734.28214172236699</v>
      </c>
      <c r="M2988">
        <v>14.5706460374117</v>
      </c>
      <c r="N2988">
        <v>50.394616078863798</v>
      </c>
      <c r="O2988">
        <v>49.473896457866999</v>
      </c>
      <c r="P2988">
        <v>-7.3636258035426699E-2</v>
      </c>
      <c r="Q2988">
        <v>0</v>
      </c>
      <c r="R2988">
        <v>0.81003195000818695</v>
      </c>
      <c r="S2988" t="s">
        <v>9658</v>
      </c>
      <c r="T2988" t="s">
        <v>13338</v>
      </c>
      <c r="U2988" t="s">
        <v>13338</v>
      </c>
      <c r="V2988" t="s">
        <v>13338</v>
      </c>
      <c r="W2988" t="s">
        <v>16282</v>
      </c>
      <c r="X2988">
        <v>5</v>
      </c>
      <c r="Y2988" t="s">
        <v>22830</v>
      </c>
      <c r="Z2988" t="s">
        <v>29403</v>
      </c>
      <c r="AA2988">
        <v>0.37123709232286278</v>
      </c>
      <c r="AB2988" t="str">
        <f>HYPERLINK("Melting_Curves/meltCurve_P62837_UBE2D2.pdf", "Melting_Curves/meltCurve_P62837_UBE2D2.pdf")</f>
        <v>Melting_Curves/meltCurve_P62837_UBE2D2.pdf</v>
      </c>
    </row>
    <row r="2989" spans="1:28" x14ac:dyDescent="0.25">
      <c r="A2989" t="s">
        <v>2993</v>
      </c>
      <c r="B2989">
        <v>0.99193492352474899</v>
      </c>
      <c r="C2989">
        <v>0.55143642366001</v>
      </c>
      <c r="D2989">
        <v>0.74792616284131697</v>
      </c>
      <c r="E2989">
        <v>0.42051563848316098</v>
      </c>
      <c r="F2989">
        <v>0.33854430960999499</v>
      </c>
      <c r="G2989">
        <v>0.172639300452504</v>
      </c>
      <c r="H2989">
        <v>0.13863086437862501</v>
      </c>
      <c r="I2989">
        <v>0.100496540539055</v>
      </c>
      <c r="J2989">
        <v>0.12752611653953699</v>
      </c>
      <c r="K2989">
        <v>0.147223984597425</v>
      </c>
      <c r="L2989">
        <v>476.72706614471298</v>
      </c>
      <c r="M2989">
        <v>10.025390246985699</v>
      </c>
      <c r="N2989">
        <v>48.235860453072497</v>
      </c>
      <c r="O2989">
        <v>45.776180386999997</v>
      </c>
      <c r="P2989">
        <v>-5.1149596942121303E-2</v>
      </c>
      <c r="Q2989">
        <v>6.6248667494422098E-2</v>
      </c>
      <c r="R2989">
        <v>0.89955125539784997</v>
      </c>
      <c r="S2989" t="s">
        <v>9659</v>
      </c>
      <c r="T2989" t="s">
        <v>13338</v>
      </c>
      <c r="U2989" t="s">
        <v>13338</v>
      </c>
      <c r="V2989" t="s">
        <v>13338</v>
      </c>
      <c r="W2989" t="s">
        <v>16283</v>
      </c>
      <c r="X2989">
        <v>7</v>
      </c>
      <c r="Y2989" t="s">
        <v>22831</v>
      </c>
      <c r="Z2989" t="s">
        <v>29404</v>
      </c>
      <c r="AA2989">
        <v>0.35236850679038823</v>
      </c>
      <c r="AB2989" t="str">
        <f>HYPERLINK("Melting_Curves/meltCurve_P62851_RPS25.pdf", "Melting_Curves/meltCurve_P62851_RPS25.pdf")</f>
        <v>Melting_Curves/meltCurve_P62851_RPS25.pdf</v>
      </c>
    </row>
    <row r="2990" spans="1:28" x14ac:dyDescent="0.25">
      <c r="A2990" t="s">
        <v>2994</v>
      </c>
      <c r="B2990">
        <v>0.99193492352474899</v>
      </c>
      <c r="C2990">
        <v>1.1965962807741399</v>
      </c>
      <c r="D2990">
        <v>1.25292545164936</v>
      </c>
      <c r="E2990">
        <v>1.2272800961827901</v>
      </c>
      <c r="F2990">
        <v>0.94796589318636504</v>
      </c>
      <c r="G2990">
        <v>0.48128957510616599</v>
      </c>
      <c r="H2990">
        <v>0.18151711815750399</v>
      </c>
      <c r="I2990">
        <v>0.17487548442326201</v>
      </c>
      <c r="J2990">
        <v>0.29696618879502001</v>
      </c>
      <c r="K2990">
        <v>0.218251687346429</v>
      </c>
      <c r="L2990">
        <v>3236.43875118817</v>
      </c>
      <c r="M2990">
        <v>57.682153660114302</v>
      </c>
      <c r="N2990">
        <v>56.664939351808897</v>
      </c>
      <c r="O2990">
        <v>56.040852675263203</v>
      </c>
      <c r="P2990">
        <v>-0.201656787451435</v>
      </c>
      <c r="Q2990">
        <v>0.216325515391257</v>
      </c>
      <c r="R2990">
        <v>0.91591047007218895</v>
      </c>
      <c r="S2990" t="s">
        <v>9660</v>
      </c>
      <c r="T2990" t="s">
        <v>13338</v>
      </c>
      <c r="U2990" t="s">
        <v>13338</v>
      </c>
      <c r="V2990" t="s">
        <v>13338</v>
      </c>
      <c r="W2990" t="s">
        <v>16284</v>
      </c>
      <c r="X2990">
        <v>2</v>
      </c>
      <c r="Y2990" t="s">
        <v>22832</v>
      </c>
      <c r="Z2990" t="s">
        <v>29405</v>
      </c>
      <c r="AA2990">
        <v>0.63856516547075914</v>
      </c>
      <c r="AB2990" t="str">
        <f>HYPERLINK("Melting_Curves/meltCurve_P62854_RPS26.pdf", "Melting_Curves/meltCurve_P62854_RPS26.pdf")</f>
        <v>Melting_Curves/meltCurve_P62854_RPS26.pdf</v>
      </c>
    </row>
    <row r="2991" spans="1:28" x14ac:dyDescent="0.25">
      <c r="A2991" t="s">
        <v>2995</v>
      </c>
      <c r="B2991">
        <v>0.99193492352474899</v>
      </c>
      <c r="C2991">
        <v>0.98254448572636399</v>
      </c>
      <c r="D2991">
        <v>0.84776131439051405</v>
      </c>
      <c r="E2991">
        <v>0.79581368085313697</v>
      </c>
      <c r="F2991">
        <v>0.62116829789334904</v>
      </c>
      <c r="G2991">
        <v>0.41583215078170599</v>
      </c>
      <c r="H2991">
        <v>0.307871975518626</v>
      </c>
      <c r="I2991">
        <v>0.337822970414553</v>
      </c>
      <c r="J2991">
        <v>0.39106369632244498</v>
      </c>
      <c r="K2991">
        <v>0.47139105291017702</v>
      </c>
      <c r="L2991">
        <v>922.67526313042299</v>
      </c>
      <c r="M2991">
        <v>18.0449250448576</v>
      </c>
      <c r="N2991">
        <v>55.070773722282503</v>
      </c>
      <c r="O2991">
        <v>50.516562273463897</v>
      </c>
      <c r="P2991">
        <v>-5.6937985013982999E-2</v>
      </c>
      <c r="Q2991">
        <v>0.36244218711107501</v>
      </c>
      <c r="R2991">
        <v>0.95172369327525896</v>
      </c>
      <c r="S2991" t="s">
        <v>9661</v>
      </c>
      <c r="T2991" t="s">
        <v>13338</v>
      </c>
      <c r="U2991" t="s">
        <v>13338</v>
      </c>
      <c r="V2991" t="s">
        <v>13338</v>
      </c>
      <c r="W2991" t="s">
        <v>16285</v>
      </c>
      <c r="X2991">
        <v>9</v>
      </c>
      <c r="Y2991" t="s">
        <v>22833</v>
      </c>
      <c r="Z2991" t="s">
        <v>29406</v>
      </c>
      <c r="AA2991">
        <v>0.60969922486266015</v>
      </c>
      <c r="AB2991" t="str">
        <f>HYPERLINK("Melting_Curves/meltCurve_P62857_RPS28.pdf", "Melting_Curves/meltCurve_P62857_RPS28.pdf")</f>
        <v>Melting_Curves/meltCurve_P62857_RPS28.pdf</v>
      </c>
    </row>
    <row r="2992" spans="1:28" x14ac:dyDescent="0.25">
      <c r="A2992" t="s">
        <v>2996</v>
      </c>
      <c r="B2992">
        <v>0.99193492352474899</v>
      </c>
      <c r="C2992">
        <v>1.29538312885998</v>
      </c>
      <c r="D2992">
        <v>1.20461256791069</v>
      </c>
      <c r="E2992">
        <v>1.2477390729012801</v>
      </c>
      <c r="F2992">
        <v>0.99886968299404799</v>
      </c>
      <c r="G2992">
        <v>0.55725214303089099</v>
      </c>
      <c r="H2992">
        <v>0.19425877815314799</v>
      </c>
      <c r="I2992">
        <v>0.118992859816099</v>
      </c>
      <c r="J2992">
        <v>0.12136355354129399</v>
      </c>
      <c r="K2992">
        <v>0.16640179468132099</v>
      </c>
      <c r="L2992">
        <v>3187.68463573502</v>
      </c>
      <c r="M2992">
        <v>56.169722313459999</v>
      </c>
      <c r="N2992">
        <v>57.096984017846999</v>
      </c>
      <c r="O2992">
        <v>56.679143742533398</v>
      </c>
      <c r="P2992">
        <v>-0.212009975391485</v>
      </c>
      <c r="Q2992">
        <v>0.14426940679587399</v>
      </c>
      <c r="R2992">
        <v>0.91636195819903599</v>
      </c>
      <c r="S2992" t="s">
        <v>9662</v>
      </c>
      <c r="T2992" t="s">
        <v>13338</v>
      </c>
      <c r="U2992" t="s">
        <v>13338</v>
      </c>
      <c r="V2992" t="s">
        <v>13338</v>
      </c>
      <c r="W2992" t="s">
        <v>16286</v>
      </c>
      <c r="X2992">
        <v>11</v>
      </c>
      <c r="Y2992" t="s">
        <v>22834</v>
      </c>
      <c r="Z2992" t="s">
        <v>29407</v>
      </c>
      <c r="AA2992">
        <v>0.62377350331388615</v>
      </c>
      <c r="AB2992" t="str">
        <f>HYPERLINK("Melting_Curves/meltCurve_P62873_GNB1.pdf", "Melting_Curves/meltCurve_P62873_GNB1.pdf")</f>
        <v>Melting_Curves/meltCurve_P62873_GNB1.pdf</v>
      </c>
    </row>
    <row r="2993" spans="1:28" x14ac:dyDescent="0.25">
      <c r="A2993" t="s">
        <v>2997</v>
      </c>
      <c r="B2993">
        <v>0.99193492352474899</v>
      </c>
      <c r="C2993">
        <v>0.75336495160274097</v>
      </c>
      <c r="D2993">
        <v>0.91038292230859597</v>
      </c>
      <c r="E2993">
        <v>0.51837300693251998</v>
      </c>
      <c r="F2993">
        <v>0.46389337994968</v>
      </c>
      <c r="G2993">
        <v>0.41008404425991701</v>
      </c>
      <c r="H2993">
        <v>0.37875321110951399</v>
      </c>
      <c r="I2993">
        <v>0.22780232629105501</v>
      </c>
      <c r="J2993">
        <v>0.34975016592288899</v>
      </c>
      <c r="K2993">
        <v>0.22942047930475801</v>
      </c>
      <c r="L2993">
        <v>550.01144671650695</v>
      </c>
      <c r="M2993">
        <v>11.1824513973945</v>
      </c>
      <c r="N2993">
        <v>52.372978419744697</v>
      </c>
      <c r="O2993">
        <v>47.690942108622401</v>
      </c>
      <c r="P2993">
        <v>-4.41630759718653E-2</v>
      </c>
      <c r="Q2993">
        <v>0.24685138202572299</v>
      </c>
      <c r="R2993">
        <v>0.90651936236091402</v>
      </c>
      <c r="S2993" t="s">
        <v>9663</v>
      </c>
      <c r="T2993" t="s">
        <v>13338</v>
      </c>
      <c r="U2993" t="s">
        <v>13338</v>
      </c>
      <c r="V2993" t="s">
        <v>13338</v>
      </c>
      <c r="W2993" t="s">
        <v>16287</v>
      </c>
      <c r="X2993">
        <v>2</v>
      </c>
      <c r="Y2993" t="s">
        <v>22835</v>
      </c>
      <c r="Z2993" t="s">
        <v>29408</v>
      </c>
      <c r="AA2993">
        <v>0.5081140829877957</v>
      </c>
      <c r="AB2993" t="str">
        <f>HYPERLINK("Melting_Curves/meltCurve_P62875_POLR2L.pdf", "Melting_Curves/meltCurve_P62875_POLR2L.pdf")</f>
        <v>Melting_Curves/meltCurve_P62875_POLR2L.pdf</v>
      </c>
    </row>
    <row r="2994" spans="1:28" x14ac:dyDescent="0.25">
      <c r="A2994" t="s">
        <v>2998</v>
      </c>
      <c r="B2994">
        <v>0.99193492352474899</v>
      </c>
      <c r="C2994">
        <v>1.13698419542051</v>
      </c>
      <c r="D2994">
        <v>0.90060572728001898</v>
      </c>
      <c r="E2994">
        <v>0.73263830012314402</v>
      </c>
      <c r="F2994">
        <v>0.45513557231207802</v>
      </c>
      <c r="G2994">
        <v>0.30762984666038601</v>
      </c>
      <c r="H2994">
        <v>0.201567199392542</v>
      </c>
      <c r="I2994">
        <v>0.26202234008391501</v>
      </c>
      <c r="J2994">
        <v>0.27439366336119497</v>
      </c>
      <c r="K2994">
        <v>0.37483199515263699</v>
      </c>
      <c r="L2994">
        <v>1308.4103831611701</v>
      </c>
      <c r="M2994">
        <v>25.848646951808</v>
      </c>
      <c r="N2994">
        <v>52.239612731429403</v>
      </c>
      <c r="O2994">
        <v>50.318094029986902</v>
      </c>
      <c r="P2994">
        <v>-9.3000121477530298E-2</v>
      </c>
      <c r="Q2994">
        <v>0.275856294870994</v>
      </c>
      <c r="R2994">
        <v>0.96218318665646496</v>
      </c>
      <c r="S2994" t="s">
        <v>9664</v>
      </c>
      <c r="T2994" t="s">
        <v>13338</v>
      </c>
      <c r="U2994" t="s">
        <v>13338</v>
      </c>
      <c r="V2994" t="s">
        <v>13338</v>
      </c>
      <c r="W2994" t="s">
        <v>16288</v>
      </c>
      <c r="X2994">
        <v>4</v>
      </c>
      <c r="Y2994" t="s">
        <v>22836</v>
      </c>
      <c r="Z2994" t="s">
        <v>29409</v>
      </c>
      <c r="AA2994">
        <v>0.53825472045804923</v>
      </c>
      <c r="AB2994" t="str">
        <f>HYPERLINK("Melting_Curves/meltCurve_P62877_RBX1.pdf", "Melting_Curves/meltCurve_P62877_RBX1.pdf")</f>
        <v>Melting_Curves/meltCurve_P62877_RBX1.pdf</v>
      </c>
    </row>
    <row r="2995" spans="1:28" x14ac:dyDescent="0.25">
      <c r="A2995" t="s">
        <v>2999</v>
      </c>
      <c r="B2995">
        <v>0.99193492352474899</v>
      </c>
      <c r="C2995">
        <v>1.3161619125785</v>
      </c>
      <c r="D2995">
        <v>1.7451506034542701</v>
      </c>
      <c r="E2995">
        <v>1.6643609225260501</v>
      </c>
      <c r="F2995">
        <v>1.4334734878080899</v>
      </c>
      <c r="G2995">
        <v>0.495443209957734</v>
      </c>
      <c r="H2995">
        <v>0.113105945116644</v>
      </c>
      <c r="I2995">
        <v>0.106594370114502</v>
      </c>
      <c r="J2995">
        <v>0.10880842536972</v>
      </c>
      <c r="K2995">
        <v>9.6946112951414601E-2</v>
      </c>
      <c r="L2995">
        <v>14185.237898854601</v>
      </c>
      <c r="M2995">
        <v>250</v>
      </c>
      <c r="N2995">
        <v>56.795294891179203</v>
      </c>
      <c r="O2995">
        <v>56.737320579272797</v>
      </c>
      <c r="P2995">
        <v>-0.98440089794379404</v>
      </c>
      <c r="Q2995">
        <v>0.106363692292232</v>
      </c>
      <c r="R2995">
        <v>0.70547400411739403</v>
      </c>
      <c r="S2995" t="s">
        <v>9665</v>
      </c>
      <c r="T2995" t="s">
        <v>13338</v>
      </c>
      <c r="U2995" t="s">
        <v>13338</v>
      </c>
      <c r="V2995" t="s">
        <v>13338</v>
      </c>
      <c r="W2995" t="s">
        <v>16289</v>
      </c>
      <c r="X2995">
        <v>10</v>
      </c>
      <c r="Y2995" t="s">
        <v>22837</v>
      </c>
      <c r="Z2995" t="s">
        <v>29410</v>
      </c>
      <c r="AA2995">
        <v>0.60513008584542649</v>
      </c>
      <c r="AB2995" t="str">
        <f>HYPERLINK("Melting_Curves/meltCurve_P62879_GNB2.pdf", "Melting_Curves/meltCurve_P62879_GNB2.pdf")</f>
        <v>Melting_Curves/meltCurve_P62879_GNB2.pdf</v>
      </c>
    </row>
    <row r="2996" spans="1:28" x14ac:dyDescent="0.25">
      <c r="A2996" t="s">
        <v>3000</v>
      </c>
      <c r="B2996">
        <v>0.99193492352474899</v>
      </c>
      <c r="C2996">
        <v>0.46848398953710901</v>
      </c>
      <c r="D2996">
        <v>0.67731033132196605</v>
      </c>
      <c r="E2996">
        <v>0.41882081507340901</v>
      </c>
      <c r="F2996">
        <v>0.42408785575749097</v>
      </c>
      <c r="G2996">
        <v>0.31867818239171097</v>
      </c>
      <c r="H2996">
        <v>0.28909334052140301</v>
      </c>
      <c r="I2996">
        <v>0.124606075527895</v>
      </c>
      <c r="J2996">
        <v>0.14909222439174599</v>
      </c>
      <c r="K2996">
        <v>0.115445360947208</v>
      </c>
      <c r="L2996">
        <v>309.27426069735998</v>
      </c>
      <c r="M2996">
        <v>6.3198782449497202</v>
      </c>
      <c r="N2996">
        <v>48.936743750500298</v>
      </c>
      <c r="O2996">
        <v>44.723220970555403</v>
      </c>
      <c r="P2996">
        <v>-3.5422688004542402E-2</v>
      </c>
      <c r="Q2996">
        <v>0</v>
      </c>
      <c r="R2996">
        <v>0.83113619764138003</v>
      </c>
      <c r="S2996" t="s">
        <v>9666</v>
      </c>
      <c r="T2996" t="s">
        <v>13338</v>
      </c>
      <c r="U2996" t="s">
        <v>13338</v>
      </c>
      <c r="V2996" t="s">
        <v>13338</v>
      </c>
      <c r="W2996" t="s">
        <v>16290</v>
      </c>
      <c r="X2996">
        <v>7</v>
      </c>
      <c r="Y2996" t="s">
        <v>22838</v>
      </c>
      <c r="Z2996" t="s">
        <v>29411</v>
      </c>
      <c r="AA2996">
        <v>0.3836833036072243</v>
      </c>
      <c r="AB2996" t="str">
        <f>HYPERLINK("Melting_Curves/meltCurve_P62888_RPL30.pdf", "Melting_Curves/meltCurve_P62888_RPL30.pdf")</f>
        <v>Melting_Curves/meltCurve_P62888_RPL30.pdf</v>
      </c>
    </row>
    <row r="2997" spans="1:28" x14ac:dyDescent="0.25">
      <c r="A2997" t="s">
        <v>3001</v>
      </c>
      <c r="B2997">
        <v>0.99193492352474899</v>
      </c>
      <c r="C2997">
        <v>0.93331733309625398</v>
      </c>
      <c r="D2997">
        <v>0.899696696427145</v>
      </c>
      <c r="E2997">
        <v>1.1422697349537201</v>
      </c>
      <c r="F2997">
        <v>1.24856578430086</v>
      </c>
      <c r="G2997">
        <v>0.64530230747456396</v>
      </c>
      <c r="H2997">
        <v>0.325053938581082</v>
      </c>
      <c r="I2997">
        <v>0.56023250678459302</v>
      </c>
      <c r="J2997">
        <v>0.652376649312845</v>
      </c>
      <c r="K2997">
        <v>1.3217726776494101</v>
      </c>
      <c r="L2997">
        <v>4765.7147532394802</v>
      </c>
      <c r="M2997">
        <v>86.102366838397998</v>
      </c>
      <c r="O2997">
        <v>55.319576865600602</v>
      </c>
      <c r="P2997">
        <v>-0.11758991139527999</v>
      </c>
      <c r="Q2997">
        <v>0.69780052733567899</v>
      </c>
      <c r="R2997">
        <v>0.29467448208776198</v>
      </c>
      <c r="S2997" t="s">
        <v>9667</v>
      </c>
      <c r="T2997" t="s">
        <v>13338</v>
      </c>
      <c r="U2997" t="s">
        <v>13338</v>
      </c>
      <c r="V2997" t="s">
        <v>13338</v>
      </c>
      <c r="W2997" t="s">
        <v>16291</v>
      </c>
      <c r="X2997">
        <v>8</v>
      </c>
      <c r="Y2997" t="s">
        <v>22839</v>
      </c>
      <c r="Z2997" t="s">
        <v>29412</v>
      </c>
      <c r="AA2997">
        <v>0.85266781049326945</v>
      </c>
      <c r="AB2997" t="str">
        <f>HYPERLINK("Melting_Curves/meltCurve_P62899_RPL31.pdf", "Melting_Curves/meltCurve_P62899_RPL31.pdf")</f>
        <v>Melting_Curves/meltCurve_P62899_RPL31.pdf</v>
      </c>
    </row>
    <row r="2998" spans="1:28" x14ac:dyDescent="0.25">
      <c r="A2998" t="s">
        <v>3002</v>
      </c>
      <c r="B2998">
        <v>0.99193492352474899</v>
      </c>
      <c r="C2998">
        <v>0.61760909364330896</v>
      </c>
      <c r="D2998">
        <v>0.73362053244493297</v>
      </c>
      <c r="E2998">
        <v>0.56422035774386603</v>
      </c>
      <c r="F2998">
        <v>0.51686806719807599</v>
      </c>
      <c r="G2998">
        <v>0.28423252354268702</v>
      </c>
      <c r="H2998">
        <v>9.3471777579814105E-2</v>
      </c>
      <c r="I2998">
        <v>9.3901886939886603E-2</v>
      </c>
      <c r="J2998">
        <v>0.10426773578003699</v>
      </c>
      <c r="K2998">
        <v>0.110567809960864</v>
      </c>
      <c r="L2998">
        <v>424.40385178405501</v>
      </c>
      <c r="M2998">
        <v>8.3983525167702595</v>
      </c>
      <c r="N2998">
        <v>50.534197023189101</v>
      </c>
      <c r="O2998">
        <v>47.912755132702401</v>
      </c>
      <c r="P2998">
        <v>-4.3862380990163999E-2</v>
      </c>
      <c r="Q2998">
        <v>0</v>
      </c>
      <c r="R2998">
        <v>0.91527990660490699</v>
      </c>
      <c r="S2998" t="s">
        <v>9668</v>
      </c>
      <c r="T2998" t="s">
        <v>13338</v>
      </c>
      <c r="U2998" t="s">
        <v>13338</v>
      </c>
      <c r="V2998" t="s">
        <v>13338</v>
      </c>
      <c r="W2998" t="s">
        <v>16292</v>
      </c>
      <c r="X2998">
        <v>10</v>
      </c>
      <c r="Y2998" t="s">
        <v>22840</v>
      </c>
      <c r="Z2998" t="s">
        <v>29413</v>
      </c>
      <c r="AA2998">
        <v>0.40453443858707661</v>
      </c>
      <c r="AB2998" t="str">
        <f>HYPERLINK("Melting_Curves/meltCurve_P62906_RPL10A.pdf", "Melting_Curves/meltCurve_P62906_RPL10A.pdf")</f>
        <v>Melting_Curves/meltCurve_P62906_RPL10A.pdf</v>
      </c>
    </row>
    <row r="2999" spans="1:28" x14ac:dyDescent="0.25">
      <c r="A2999" t="s">
        <v>3003</v>
      </c>
      <c r="B2999">
        <v>0.99193492352474899</v>
      </c>
      <c r="C2999">
        <v>0.64043149308330305</v>
      </c>
      <c r="D2999">
        <v>0.85685563724939195</v>
      </c>
      <c r="E2999">
        <v>0.543049259258919</v>
      </c>
      <c r="F2999">
        <v>0.480753805224167</v>
      </c>
      <c r="G2999">
        <v>0.230089185956276</v>
      </c>
      <c r="H2999">
        <v>0.101502147578028</v>
      </c>
      <c r="I2999">
        <v>9.6019622068004407E-2</v>
      </c>
      <c r="J2999">
        <v>0.123904970977486</v>
      </c>
      <c r="K2999">
        <v>0.10399404709248899</v>
      </c>
      <c r="L2999">
        <v>478.92964555106801</v>
      </c>
      <c r="M2999">
        <v>9.4143454010650203</v>
      </c>
      <c r="N2999">
        <v>50.872316147388702</v>
      </c>
      <c r="O2999">
        <v>48.735380844718499</v>
      </c>
      <c r="P2999">
        <v>-4.83227430768262E-2</v>
      </c>
      <c r="Q2999">
        <v>0</v>
      </c>
      <c r="R2999">
        <v>0.91896518448599895</v>
      </c>
      <c r="S2999" t="s">
        <v>9669</v>
      </c>
      <c r="T2999" t="s">
        <v>13338</v>
      </c>
      <c r="U2999" t="s">
        <v>13338</v>
      </c>
      <c r="V2999" t="s">
        <v>13338</v>
      </c>
      <c r="W2999" t="s">
        <v>16293</v>
      </c>
      <c r="X2999">
        <v>14</v>
      </c>
      <c r="Y2999" t="s">
        <v>22841</v>
      </c>
      <c r="Z2999" t="s">
        <v>29414</v>
      </c>
      <c r="AA2999">
        <v>0.40767793098198712</v>
      </c>
      <c r="AB2999" t="str">
        <f>HYPERLINK("Melting_Curves/meltCurve_P62913_2_RPL11.pdf", "Melting_Curves/meltCurve_P62913_2_RPL11.pdf")</f>
        <v>Melting_Curves/meltCurve_P62913_2_RPL11.pdf</v>
      </c>
    </row>
    <row r="3000" spans="1:28" x14ac:dyDescent="0.25">
      <c r="A3000" t="s">
        <v>3004</v>
      </c>
      <c r="B3000">
        <v>0.99193492352474899</v>
      </c>
      <c r="C3000">
        <v>0.90031030416786195</v>
      </c>
      <c r="D3000">
        <v>0.81288998977098803</v>
      </c>
      <c r="E3000">
        <v>0.64701050553710604</v>
      </c>
      <c r="F3000">
        <v>0.187172121673125</v>
      </c>
      <c r="G3000">
        <v>0.100821131114671</v>
      </c>
      <c r="H3000">
        <v>7.4188849762154896E-2</v>
      </c>
      <c r="I3000">
        <v>0.10343986756687</v>
      </c>
      <c r="J3000">
        <v>0.139006569654746</v>
      </c>
      <c r="K3000">
        <v>0.16356266119103499</v>
      </c>
      <c r="L3000">
        <v>1201.71261162367</v>
      </c>
      <c r="M3000">
        <v>24.174955376532498</v>
      </c>
      <c r="N3000">
        <v>50.171825608413798</v>
      </c>
      <c r="O3000">
        <v>49.372598617566197</v>
      </c>
      <c r="P3000">
        <v>-0.110177943263582</v>
      </c>
      <c r="Q3000">
        <v>9.9946600260594806E-2</v>
      </c>
      <c r="R3000">
        <v>0.97501194251457901</v>
      </c>
      <c r="S3000" t="s">
        <v>9670</v>
      </c>
      <c r="T3000" t="s">
        <v>13338</v>
      </c>
      <c r="U3000" t="s">
        <v>13338</v>
      </c>
      <c r="V3000" t="s">
        <v>13338</v>
      </c>
      <c r="W3000" t="s">
        <v>16294</v>
      </c>
      <c r="X3000">
        <v>18</v>
      </c>
      <c r="Y3000" t="s">
        <v>22842</v>
      </c>
      <c r="Z3000" t="s">
        <v>29415</v>
      </c>
      <c r="AA3000">
        <v>0.39981847883858551</v>
      </c>
      <c r="AB3000" t="str">
        <f>HYPERLINK("Melting_Curves/meltCurve_P62937_PPIA.pdf", "Melting_Curves/meltCurve_P62937_PPIA.pdf")</f>
        <v>Melting_Curves/meltCurve_P62937_PPIA.pdf</v>
      </c>
    </row>
    <row r="3001" spans="1:28" x14ac:dyDescent="0.25">
      <c r="A3001" t="s">
        <v>3005</v>
      </c>
      <c r="B3001">
        <v>0.99193492352474899</v>
      </c>
      <c r="C3001">
        <v>1.2046255545832401</v>
      </c>
      <c r="D3001">
        <v>0.80315060564076102</v>
      </c>
      <c r="E3001">
        <v>0.95677019014572096</v>
      </c>
      <c r="F3001">
        <v>0.51100780887191</v>
      </c>
      <c r="G3001">
        <v>0.40812394949311898</v>
      </c>
      <c r="H3001">
        <v>0.189570219965081</v>
      </c>
      <c r="I3001">
        <v>0.25672444726245203</v>
      </c>
      <c r="J3001">
        <v>0.21379760856485999</v>
      </c>
      <c r="K3001">
        <v>0.332972322771382</v>
      </c>
      <c r="L3001">
        <v>1550.7707171757099</v>
      </c>
      <c r="M3001">
        <v>29.525104112852301</v>
      </c>
      <c r="N3001">
        <v>53.836051642784803</v>
      </c>
      <c r="O3001">
        <v>52.284629413726499</v>
      </c>
      <c r="P3001">
        <v>-0.10495804497736499</v>
      </c>
      <c r="Q3001">
        <v>0.25654407598370199</v>
      </c>
      <c r="R3001">
        <v>0.91586350388148796</v>
      </c>
      <c r="S3001" t="s">
        <v>9671</v>
      </c>
      <c r="T3001" t="s">
        <v>13338</v>
      </c>
      <c r="U3001" t="s">
        <v>13338</v>
      </c>
      <c r="V3001" t="s">
        <v>13338</v>
      </c>
      <c r="W3001" t="s">
        <v>16295</v>
      </c>
      <c r="X3001">
        <v>9</v>
      </c>
      <c r="Y3001" t="s">
        <v>22843</v>
      </c>
      <c r="Z3001" t="s">
        <v>29416</v>
      </c>
      <c r="AA3001">
        <v>0.57184831253454926</v>
      </c>
      <c r="AB3001" t="str">
        <f>HYPERLINK("Melting_Curves/meltCurve_P62942_FKBP1A.pdf", "Melting_Curves/meltCurve_P62942_FKBP1A.pdf")</f>
        <v>Melting_Curves/meltCurve_P62942_FKBP1A.pdf</v>
      </c>
    </row>
    <row r="3002" spans="1:28" x14ac:dyDescent="0.25">
      <c r="A3002" t="s">
        <v>3006</v>
      </c>
      <c r="B3002">
        <v>0.99193492352474899</v>
      </c>
      <c r="C3002">
        <v>0.67279091427141902</v>
      </c>
      <c r="D3002">
        <v>0.92985327039841603</v>
      </c>
      <c r="E3002">
        <v>0.63707304884885696</v>
      </c>
      <c r="F3002">
        <v>0.543784230354735</v>
      </c>
      <c r="G3002">
        <v>0.36273636571971801</v>
      </c>
      <c r="H3002">
        <v>0.22960313326489201</v>
      </c>
      <c r="I3002">
        <v>0.26037545837681297</v>
      </c>
      <c r="J3002">
        <v>0.38752913068982803</v>
      </c>
      <c r="K3002">
        <v>0.58473801132685799</v>
      </c>
      <c r="L3002">
        <v>645.66447301825895</v>
      </c>
      <c r="M3002">
        <v>13.3230693405316</v>
      </c>
      <c r="N3002">
        <v>53.142682183585002</v>
      </c>
      <c r="O3002">
        <v>47.409382479161799</v>
      </c>
      <c r="P3002">
        <v>-4.6000270990027597E-2</v>
      </c>
      <c r="Q3002">
        <v>0.345347746547501</v>
      </c>
      <c r="R3002">
        <v>0.72146709594952796</v>
      </c>
      <c r="S3002" t="s">
        <v>9672</v>
      </c>
      <c r="T3002" t="s">
        <v>13338</v>
      </c>
      <c r="U3002" t="s">
        <v>13338</v>
      </c>
      <c r="V3002" t="s">
        <v>13338</v>
      </c>
      <c r="W3002" t="s">
        <v>16296</v>
      </c>
      <c r="X3002">
        <v>12</v>
      </c>
      <c r="Y3002" t="s">
        <v>22844</v>
      </c>
      <c r="Z3002" t="s">
        <v>29417</v>
      </c>
      <c r="AA3002">
        <v>0.55064575560836637</v>
      </c>
      <c r="AB3002" t="str">
        <f>HYPERLINK("Melting_Curves/meltCurve_P62979_RPS27A.pdf", "Melting_Curves/meltCurve_P62979_RPS27A.pdf")</f>
        <v>Melting_Curves/meltCurve_P62979_RPS27A.pdf</v>
      </c>
    </row>
    <row r="3003" spans="1:28" x14ac:dyDescent="0.25">
      <c r="A3003" t="s">
        <v>3007</v>
      </c>
      <c r="B3003">
        <v>0.99193492352474899</v>
      </c>
      <c r="C3003">
        <v>2.5482314231078802</v>
      </c>
      <c r="D3003">
        <v>0.28886412465725703</v>
      </c>
      <c r="E3003">
        <v>1.61335053709483</v>
      </c>
      <c r="F3003">
        <v>0.19751568607772199</v>
      </c>
      <c r="G3003">
        <v>0.36578025902674299</v>
      </c>
      <c r="H3003">
        <v>0.34647225574783702</v>
      </c>
      <c r="I3003">
        <v>0.39294077389388699</v>
      </c>
      <c r="J3003">
        <v>0.15573140227276699</v>
      </c>
      <c r="K3003">
        <v>0.43342796431332198</v>
      </c>
      <c r="L3003">
        <v>12878.3690773325</v>
      </c>
      <c r="M3003">
        <v>250</v>
      </c>
      <c r="N3003">
        <v>51.719488844579899</v>
      </c>
      <c r="O3003">
        <v>51.510200070022996</v>
      </c>
      <c r="P3003">
        <v>-0.83080193618997</v>
      </c>
      <c r="Q3003">
        <v>0.31528388551654901</v>
      </c>
      <c r="R3003">
        <v>0.38612303397946901</v>
      </c>
      <c r="S3003" t="s">
        <v>9673</v>
      </c>
      <c r="T3003" t="s">
        <v>13338</v>
      </c>
      <c r="U3003" t="s">
        <v>13338</v>
      </c>
      <c r="V3003" t="s">
        <v>13338</v>
      </c>
      <c r="W3003" t="s">
        <v>16297</v>
      </c>
      <c r="X3003">
        <v>12</v>
      </c>
      <c r="Y3003" t="s">
        <v>22845</v>
      </c>
      <c r="Z3003" t="s">
        <v>29418</v>
      </c>
      <c r="AA3003">
        <v>0.57812787960670264</v>
      </c>
      <c r="AB3003" t="str">
        <f>HYPERLINK("Melting_Curves/meltCurve_P62987_UBA52.pdf", "Melting_Curves/meltCurve_P62987_UBA52.pdf")</f>
        <v>Melting_Curves/meltCurve_P62987_UBA52.pdf</v>
      </c>
    </row>
    <row r="3004" spans="1:28" x14ac:dyDescent="0.25">
      <c r="A3004" t="s">
        <v>3008</v>
      </c>
      <c r="B3004">
        <v>0.99193492352474899</v>
      </c>
      <c r="C3004">
        <v>0.81784663176074002</v>
      </c>
      <c r="D3004">
        <v>0.83378893497795803</v>
      </c>
      <c r="E3004">
        <v>0.65633650473125804</v>
      </c>
      <c r="F3004">
        <v>0.31724796611914102</v>
      </c>
      <c r="G3004">
        <v>0.124198653498776</v>
      </c>
      <c r="H3004">
        <v>7.7390596006256598E-2</v>
      </c>
      <c r="I3004">
        <v>0.10053634290244499</v>
      </c>
      <c r="J3004">
        <v>0.116430459514637</v>
      </c>
      <c r="K3004">
        <v>0.126748078563757</v>
      </c>
      <c r="L3004">
        <v>865.83377998213098</v>
      </c>
      <c r="M3004">
        <v>17.24444564365</v>
      </c>
      <c r="N3004">
        <v>50.684943731108199</v>
      </c>
      <c r="O3004">
        <v>49.548812578920803</v>
      </c>
      <c r="P3004">
        <v>-8.0513730284298896E-2</v>
      </c>
      <c r="Q3004">
        <v>7.4687179589951205E-2</v>
      </c>
      <c r="R3004">
        <v>0.97364988634800897</v>
      </c>
      <c r="S3004" t="s">
        <v>9674</v>
      </c>
      <c r="T3004" t="s">
        <v>13338</v>
      </c>
      <c r="U3004" t="s">
        <v>13338</v>
      </c>
      <c r="V3004" t="s">
        <v>13338</v>
      </c>
      <c r="W3004" t="s">
        <v>16298</v>
      </c>
      <c r="X3004">
        <v>16</v>
      </c>
      <c r="Y3004" t="s">
        <v>22846</v>
      </c>
      <c r="Z3004" t="s">
        <v>29419</v>
      </c>
      <c r="AA3004">
        <v>0.40663301451572048</v>
      </c>
      <c r="AB3004" t="str">
        <f>HYPERLINK("Melting_Curves/meltCurve_P62993_GRB2.pdf", "Melting_Curves/meltCurve_P62993_GRB2.pdf")</f>
        <v>Melting_Curves/meltCurve_P62993_GRB2.pdf</v>
      </c>
    </row>
    <row r="3005" spans="1:28" x14ac:dyDescent="0.25">
      <c r="A3005" t="s">
        <v>3009</v>
      </c>
      <c r="B3005">
        <v>0.99193492352474899</v>
      </c>
      <c r="C3005">
        <v>0.69260583765898098</v>
      </c>
      <c r="D3005">
        <v>0.68944376540570995</v>
      </c>
      <c r="E3005">
        <v>0.64008826962797705</v>
      </c>
      <c r="F3005">
        <v>0.51783522455387798</v>
      </c>
      <c r="G3005">
        <v>0.48768500507510998</v>
      </c>
      <c r="H3005">
        <v>0.40329749986819002</v>
      </c>
      <c r="I3005">
        <v>0.689074745183621</v>
      </c>
      <c r="J3005">
        <v>0.77025200713711295</v>
      </c>
      <c r="K3005">
        <v>0.95462913957723605</v>
      </c>
      <c r="L3005">
        <v>3191.99930617369</v>
      </c>
      <c r="M3005">
        <v>76.229649032831205</v>
      </c>
      <c r="O3005">
        <v>41.844685190805301</v>
      </c>
      <c r="P3005">
        <v>-0.16217662443157499</v>
      </c>
      <c r="Q3005">
        <v>0.64390619468239296</v>
      </c>
      <c r="R3005">
        <v>0.33395988077703298</v>
      </c>
      <c r="S3005" t="s">
        <v>9675</v>
      </c>
      <c r="T3005" t="s">
        <v>13338</v>
      </c>
      <c r="U3005" t="s">
        <v>13338</v>
      </c>
      <c r="V3005" t="s">
        <v>13338</v>
      </c>
      <c r="W3005" t="s">
        <v>16299</v>
      </c>
      <c r="X3005">
        <v>10</v>
      </c>
      <c r="Y3005" t="s">
        <v>22847</v>
      </c>
      <c r="Z3005" t="s">
        <v>29420</v>
      </c>
      <c r="AA3005">
        <v>0.66658699962818491</v>
      </c>
      <c r="AB3005" t="str">
        <f>HYPERLINK("Melting_Curves/meltCurve_P62995_3_TRA2B.pdf", "Melting_Curves/meltCurve_P62995_3_TRA2B.pdf")</f>
        <v>Melting_Curves/meltCurve_P62995_3_TRA2B.pdf</v>
      </c>
    </row>
    <row r="3006" spans="1:28" x14ac:dyDescent="0.25">
      <c r="A3006" t="s">
        <v>3010</v>
      </c>
      <c r="B3006">
        <v>0.99193492352474899</v>
      </c>
      <c r="C3006">
        <v>1.15665577152126</v>
      </c>
      <c r="D3006">
        <v>0.78599412467232399</v>
      </c>
      <c r="E3006">
        <v>0.85090527091847001</v>
      </c>
      <c r="F3006">
        <v>0.45651291595182097</v>
      </c>
      <c r="G3006">
        <v>0.29959630817175398</v>
      </c>
      <c r="H3006">
        <v>0.17456147412144299</v>
      </c>
      <c r="I3006">
        <v>0.12963139730218901</v>
      </c>
      <c r="J3006">
        <v>6.9894413776118894E-2</v>
      </c>
      <c r="K3006">
        <v>6.4974902856523103E-2</v>
      </c>
      <c r="L3006">
        <v>888.19777812546602</v>
      </c>
      <c r="M3006">
        <v>16.792061454442798</v>
      </c>
      <c r="N3006">
        <v>53.314347502415202</v>
      </c>
      <c r="O3006">
        <v>52.160840923009999</v>
      </c>
      <c r="P3006">
        <v>-7.5495884792708703E-2</v>
      </c>
      <c r="Q3006">
        <v>6.2015481865342399E-2</v>
      </c>
      <c r="R3006">
        <v>0.95954331787165403</v>
      </c>
      <c r="S3006" t="s">
        <v>9676</v>
      </c>
      <c r="T3006" t="s">
        <v>13338</v>
      </c>
      <c r="U3006" t="s">
        <v>13338</v>
      </c>
      <c r="V3006" t="s">
        <v>13338</v>
      </c>
      <c r="W3006" t="s">
        <v>16300</v>
      </c>
      <c r="X3006">
        <v>11</v>
      </c>
      <c r="Y3006" t="s">
        <v>22848</v>
      </c>
      <c r="Z3006" t="s">
        <v>29421</v>
      </c>
      <c r="AA3006">
        <v>0.4823272127753056</v>
      </c>
      <c r="AB3006" t="str">
        <f>HYPERLINK("Melting_Curves/meltCurve_P63000_RAC1.pdf", "Melting_Curves/meltCurve_P63000_RAC1.pdf")</f>
        <v>Melting_Curves/meltCurve_P63000_RAC1.pdf</v>
      </c>
    </row>
    <row r="3007" spans="1:28" x14ac:dyDescent="0.25">
      <c r="A3007" t="s">
        <v>3011</v>
      </c>
      <c r="B3007">
        <v>0.99193492352474899</v>
      </c>
      <c r="C3007">
        <v>0.82132914109614996</v>
      </c>
      <c r="D3007">
        <v>0.91177667964590303</v>
      </c>
      <c r="E3007">
        <v>0.67854366389180298</v>
      </c>
      <c r="F3007">
        <v>0.31506787579335599</v>
      </c>
      <c r="G3007">
        <v>0.110240882972084</v>
      </c>
      <c r="H3007">
        <v>6.6452411726601004E-2</v>
      </c>
      <c r="I3007">
        <v>8.3890562545629196E-2</v>
      </c>
      <c r="J3007">
        <v>6.0047571773771798E-2</v>
      </c>
      <c r="K3007">
        <v>6.8285497696142103E-2</v>
      </c>
      <c r="L3007">
        <v>1069.61583531477</v>
      </c>
      <c r="M3007">
        <v>21.0308282824884</v>
      </c>
      <c r="N3007">
        <v>51.117189754784</v>
      </c>
      <c r="O3007">
        <v>50.406282470305101</v>
      </c>
      <c r="P3007">
        <v>-9.9061525289472999E-2</v>
      </c>
      <c r="Q3007">
        <v>5.0310372277361799E-2</v>
      </c>
      <c r="R3007">
        <v>0.97950362429433502</v>
      </c>
      <c r="S3007" t="s">
        <v>9677</v>
      </c>
      <c r="T3007" t="s">
        <v>13338</v>
      </c>
      <c r="U3007" t="s">
        <v>13338</v>
      </c>
      <c r="V3007" t="s">
        <v>13338</v>
      </c>
      <c r="W3007" t="s">
        <v>16301</v>
      </c>
      <c r="X3007">
        <v>39</v>
      </c>
      <c r="Y3007" t="s">
        <v>22849</v>
      </c>
      <c r="Z3007" t="s">
        <v>29422</v>
      </c>
      <c r="AA3007">
        <v>0.40606880283514662</v>
      </c>
      <c r="AB3007" t="str">
        <f>HYPERLINK("Melting_Curves/meltCurve_P63010_AP2B1.pdf", "Melting_Curves/meltCurve_P63010_AP2B1.pdf")</f>
        <v>Melting_Curves/meltCurve_P63010_AP2B1.pdf</v>
      </c>
    </row>
    <row r="3008" spans="1:28" x14ac:dyDescent="0.25">
      <c r="A3008" t="s">
        <v>3012</v>
      </c>
      <c r="B3008">
        <v>0.99193492352474899</v>
      </c>
      <c r="C3008">
        <v>1.06149385055026</v>
      </c>
      <c r="D3008">
        <v>0.81049982878115301</v>
      </c>
      <c r="E3008">
        <v>0.66482765425715395</v>
      </c>
      <c r="F3008">
        <v>0.34729415610106801</v>
      </c>
      <c r="G3008">
        <v>0.150138975276843</v>
      </c>
      <c r="H3008">
        <v>0.12613792986667999</v>
      </c>
      <c r="I3008">
        <v>0.18475390398938499</v>
      </c>
      <c r="J3008">
        <v>0.24418044054065099</v>
      </c>
      <c r="K3008">
        <v>0.25570031618633599</v>
      </c>
      <c r="L3008">
        <v>1180.8081454578701</v>
      </c>
      <c r="M3008">
        <v>23.671627472647099</v>
      </c>
      <c r="N3008">
        <v>50.8749669416082</v>
      </c>
      <c r="O3008">
        <v>49.5309395100074</v>
      </c>
      <c r="P3008">
        <v>-9.7392488172590899E-2</v>
      </c>
      <c r="Q3008">
        <v>0.18487043588177801</v>
      </c>
      <c r="R3008">
        <v>0.96968095006282296</v>
      </c>
      <c r="S3008" t="s">
        <v>9678</v>
      </c>
      <c r="T3008" t="s">
        <v>13338</v>
      </c>
      <c r="U3008" t="s">
        <v>13338</v>
      </c>
      <c r="V3008" t="s">
        <v>13338</v>
      </c>
      <c r="W3008" t="s">
        <v>16302</v>
      </c>
      <c r="X3008">
        <v>17</v>
      </c>
      <c r="Y3008" t="s">
        <v>22850</v>
      </c>
      <c r="Z3008" t="s">
        <v>29423</v>
      </c>
      <c r="AA3008">
        <v>0.46151906920824598</v>
      </c>
      <c r="AB3008" t="str">
        <f>HYPERLINK("Melting_Curves/meltCurve_P63092_GNAS.pdf", "Melting_Curves/meltCurve_P63092_GNAS.pdf")</f>
        <v>Melting_Curves/meltCurve_P63092_GNAS.pdf</v>
      </c>
    </row>
    <row r="3009" spans="1:28" x14ac:dyDescent="0.25">
      <c r="A3009" t="s">
        <v>3013</v>
      </c>
      <c r="B3009">
        <v>0.99193492352474899</v>
      </c>
      <c r="C3009">
        <v>0.97141338384583298</v>
      </c>
      <c r="D3009">
        <v>0.966057603862013</v>
      </c>
      <c r="E3009">
        <v>0.775279490513756</v>
      </c>
      <c r="F3009">
        <v>0.51960408994058405</v>
      </c>
      <c r="G3009">
        <v>0.291354176895253</v>
      </c>
      <c r="H3009">
        <v>0.103171347171854</v>
      </c>
      <c r="I3009">
        <v>0.110214564300896</v>
      </c>
      <c r="J3009">
        <v>0.13300365092930899</v>
      </c>
      <c r="K3009">
        <v>0.10932302037672501</v>
      </c>
      <c r="L3009">
        <v>1024.4222560112601</v>
      </c>
      <c r="M3009">
        <v>19.421197796504401</v>
      </c>
      <c r="N3009">
        <v>53.295318077154299</v>
      </c>
      <c r="O3009">
        <v>52.197946225991799</v>
      </c>
      <c r="P3009">
        <v>-8.46056146392134E-2</v>
      </c>
      <c r="Q3009">
        <v>9.0462409320809303E-2</v>
      </c>
      <c r="R3009">
        <v>0.99627764285280995</v>
      </c>
      <c r="S3009" t="s">
        <v>9679</v>
      </c>
      <c r="T3009" t="s">
        <v>13338</v>
      </c>
      <c r="U3009" t="s">
        <v>13338</v>
      </c>
      <c r="V3009" t="s">
        <v>13338</v>
      </c>
      <c r="W3009" t="s">
        <v>16303</v>
      </c>
      <c r="X3009">
        <v>17</v>
      </c>
      <c r="Y3009" t="s">
        <v>22850</v>
      </c>
      <c r="Z3009" t="s">
        <v>29424</v>
      </c>
      <c r="AA3009">
        <v>0.49012648111806351</v>
      </c>
      <c r="AB3009" t="str">
        <f>HYPERLINK("Melting_Curves/meltCurve_P63092_3_GNAS.pdf", "Melting_Curves/meltCurve_P63092_3_GNAS.pdf")</f>
        <v>Melting_Curves/meltCurve_P63092_3_GNAS.pdf</v>
      </c>
    </row>
    <row r="3010" spans="1:28" x14ac:dyDescent="0.25">
      <c r="A3010" t="s">
        <v>3014</v>
      </c>
      <c r="B3010">
        <v>0.99193492352474899</v>
      </c>
      <c r="C3010">
        <v>1.1692969105414801</v>
      </c>
      <c r="D3010">
        <v>1.0233529534967201</v>
      </c>
      <c r="E3010">
        <v>0.97207284702233798</v>
      </c>
      <c r="F3010">
        <v>0.76800581853656702</v>
      </c>
      <c r="G3010">
        <v>0.49911015205356801</v>
      </c>
      <c r="H3010">
        <v>0.135841626792359</v>
      </c>
      <c r="I3010">
        <v>0.121180486401864</v>
      </c>
      <c r="J3010">
        <v>0.13118618600841001</v>
      </c>
      <c r="K3010">
        <v>0.128611028274037</v>
      </c>
      <c r="L3010">
        <v>1456.8612980430801</v>
      </c>
      <c r="M3010">
        <v>26.101924016133999</v>
      </c>
      <c r="N3010">
        <v>56.301454272608602</v>
      </c>
      <c r="O3010">
        <v>55.489810081829198</v>
      </c>
      <c r="P3010">
        <v>-0.105712692400665</v>
      </c>
      <c r="Q3010">
        <v>0.101076132518316</v>
      </c>
      <c r="R3010">
        <v>0.97796700056012098</v>
      </c>
      <c r="S3010" t="s">
        <v>9680</v>
      </c>
      <c r="T3010" t="s">
        <v>13338</v>
      </c>
      <c r="U3010" t="s">
        <v>13338</v>
      </c>
      <c r="V3010" t="s">
        <v>13338</v>
      </c>
      <c r="W3010" t="s">
        <v>16304</v>
      </c>
      <c r="X3010">
        <v>25</v>
      </c>
      <c r="Y3010" t="s">
        <v>22851</v>
      </c>
      <c r="Z3010" t="s">
        <v>29425</v>
      </c>
      <c r="AA3010">
        <v>0.58262271555067946</v>
      </c>
      <c r="AB3010" t="str">
        <f>HYPERLINK("Melting_Curves/meltCurve_P63104_YWHAZ.pdf", "Melting_Curves/meltCurve_P63104_YWHAZ.pdf")</f>
        <v>Melting_Curves/meltCurve_P63104_YWHAZ.pdf</v>
      </c>
    </row>
    <row r="3011" spans="1:28" x14ac:dyDescent="0.25">
      <c r="A3011" t="s">
        <v>3015</v>
      </c>
      <c r="B3011">
        <v>0.99193492352474899</v>
      </c>
      <c r="C3011">
        <v>0.63288403173304797</v>
      </c>
      <c r="D3011">
        <v>0.96401453816169602</v>
      </c>
      <c r="E3011">
        <v>0.56186697312855505</v>
      </c>
      <c r="F3011">
        <v>0.236895099612319</v>
      </c>
      <c r="G3011">
        <v>0.106639224631789</v>
      </c>
      <c r="H3011">
        <v>7.2266878945006496E-2</v>
      </c>
      <c r="I3011">
        <v>6.6499998550917594E-2</v>
      </c>
      <c r="J3011">
        <v>6.6468703258602505E-2</v>
      </c>
      <c r="K3011">
        <v>9.6626054007884807E-2</v>
      </c>
      <c r="L3011">
        <v>916.70658247198401</v>
      </c>
      <c r="M3011">
        <v>18.406775571294101</v>
      </c>
      <c r="N3011">
        <v>50.089484781697898</v>
      </c>
      <c r="O3011">
        <v>49.226004764314801</v>
      </c>
      <c r="P3011">
        <v>-8.8809339902923598E-2</v>
      </c>
      <c r="Q3011">
        <v>5.0016760874542897E-2</v>
      </c>
      <c r="R3011">
        <v>0.90196122012609403</v>
      </c>
      <c r="S3011" t="s">
        <v>9681</v>
      </c>
      <c r="T3011" t="s">
        <v>13338</v>
      </c>
      <c r="U3011" t="s">
        <v>13338</v>
      </c>
      <c r="V3011" t="s">
        <v>13338</v>
      </c>
      <c r="W3011" t="s">
        <v>16305</v>
      </c>
      <c r="X3011">
        <v>2</v>
      </c>
      <c r="Y3011" t="s">
        <v>22852</v>
      </c>
      <c r="Z3011" t="s">
        <v>29426</v>
      </c>
      <c r="AA3011">
        <v>0.3759893469684864</v>
      </c>
      <c r="AB3011" t="str">
        <f>HYPERLINK("Melting_Curves/meltCurve_P63146_UBE2B.pdf", "Melting_Curves/meltCurve_P63146_UBE2B.pdf")</f>
        <v>Melting_Curves/meltCurve_P63146_UBE2B.pdf</v>
      </c>
    </row>
    <row r="3012" spans="1:28" x14ac:dyDescent="0.25">
      <c r="A3012" t="s">
        <v>3016</v>
      </c>
      <c r="B3012">
        <v>0.99193492352474899</v>
      </c>
      <c r="C3012">
        <v>0.91925631041967903</v>
      </c>
      <c r="D3012">
        <v>0.87090043650007298</v>
      </c>
      <c r="E3012">
        <v>0.77240019254843495</v>
      </c>
      <c r="F3012">
        <v>0.70545459166079305</v>
      </c>
      <c r="G3012">
        <v>0.31919228621517698</v>
      </c>
      <c r="H3012">
        <v>0.126022299615968</v>
      </c>
      <c r="I3012">
        <v>9.8606170322395298E-2</v>
      </c>
      <c r="J3012">
        <v>0.102530290320335</v>
      </c>
      <c r="K3012">
        <v>0.110367526148596</v>
      </c>
      <c r="L3012">
        <v>835.25756968724704</v>
      </c>
      <c r="M3012">
        <v>15.3974334858407</v>
      </c>
      <c r="N3012">
        <v>54.506469885788</v>
      </c>
      <c r="O3012">
        <v>53.356234487964599</v>
      </c>
      <c r="P3012">
        <v>-6.9597121359177103E-2</v>
      </c>
      <c r="Q3012">
        <v>3.5397225786498503E-2</v>
      </c>
      <c r="R3012">
        <v>0.97501792817104804</v>
      </c>
      <c r="S3012" t="s">
        <v>9682</v>
      </c>
      <c r="T3012" t="s">
        <v>13338</v>
      </c>
      <c r="U3012" t="s">
        <v>13338</v>
      </c>
      <c r="V3012" t="s">
        <v>13338</v>
      </c>
      <c r="W3012" t="s">
        <v>16306</v>
      </c>
      <c r="X3012">
        <v>18</v>
      </c>
      <c r="Y3012" t="s">
        <v>22853</v>
      </c>
      <c r="Z3012" t="s">
        <v>29427</v>
      </c>
      <c r="AA3012">
        <v>0.51238178229391274</v>
      </c>
      <c r="AB3012" t="str">
        <f>HYPERLINK("Melting_Curves/meltCurve_P63151_PPP2R2A.pdf", "Melting_Curves/meltCurve_P63151_PPP2R2A.pdf")</f>
        <v>Melting_Curves/meltCurve_P63151_PPP2R2A.pdf</v>
      </c>
    </row>
    <row r="3013" spans="1:28" x14ac:dyDescent="0.25">
      <c r="A3013" t="s">
        <v>3017</v>
      </c>
      <c r="B3013">
        <v>0.99193492352474899</v>
      </c>
      <c r="C3013">
        <v>0.675869084335462</v>
      </c>
      <c r="D3013">
        <v>0.64091399857155296</v>
      </c>
      <c r="E3013">
        <v>0.45878828320923098</v>
      </c>
      <c r="F3013">
        <v>0.234945772802609</v>
      </c>
      <c r="G3013">
        <v>0.12581732280332</v>
      </c>
      <c r="H3013">
        <v>6.9233986106198395E-2</v>
      </c>
      <c r="I3013">
        <v>7.0597491443009905E-2</v>
      </c>
      <c r="J3013">
        <v>7.6245946517198598E-2</v>
      </c>
      <c r="K3013">
        <v>8.3975232608340902E-2</v>
      </c>
      <c r="L3013">
        <v>558.33465485873103</v>
      </c>
      <c r="M3013">
        <v>11.7224647871546</v>
      </c>
      <c r="N3013">
        <v>47.8818954134941</v>
      </c>
      <c r="O3013">
        <v>46.306744100259699</v>
      </c>
      <c r="P3013">
        <v>-6.1406858778987099E-2</v>
      </c>
      <c r="Q3013">
        <v>2.9964626047560099E-2</v>
      </c>
      <c r="R3013">
        <v>0.971699330754766</v>
      </c>
      <c r="S3013" t="s">
        <v>9683</v>
      </c>
      <c r="T3013" t="s">
        <v>13338</v>
      </c>
      <c r="U3013" t="s">
        <v>13338</v>
      </c>
      <c r="V3013" t="s">
        <v>13338</v>
      </c>
      <c r="W3013" t="s">
        <v>16307</v>
      </c>
      <c r="X3013">
        <v>8</v>
      </c>
      <c r="Y3013" t="s">
        <v>22854</v>
      </c>
      <c r="Z3013" t="s">
        <v>29428</v>
      </c>
      <c r="AA3013">
        <v>0.31723691168286622</v>
      </c>
      <c r="AB3013" t="str">
        <f>HYPERLINK("Melting_Curves/meltCurve_P63167_DYNLL1.pdf", "Melting_Curves/meltCurve_P63167_DYNLL1.pdf")</f>
        <v>Melting_Curves/meltCurve_P63167_DYNLL1.pdf</v>
      </c>
    </row>
    <row r="3014" spans="1:28" x14ac:dyDescent="0.25">
      <c r="A3014" t="s">
        <v>3018</v>
      </c>
      <c r="B3014">
        <v>0.99193492352474899</v>
      </c>
      <c r="C3014">
        <v>0.74748650013827</v>
      </c>
      <c r="D3014">
        <v>0.89461376425927297</v>
      </c>
      <c r="E3014">
        <v>0.59272828984542703</v>
      </c>
      <c r="F3014">
        <v>0.31430433654691198</v>
      </c>
      <c r="G3014">
        <v>0.126023091694973</v>
      </c>
      <c r="H3014">
        <v>8.1868159285203607E-2</v>
      </c>
      <c r="I3014">
        <v>0.14741244504189299</v>
      </c>
      <c r="J3014">
        <v>0.113773574631428</v>
      </c>
      <c r="K3014">
        <v>0.181580088134112</v>
      </c>
      <c r="L3014">
        <v>898.99561921857696</v>
      </c>
      <c r="M3014">
        <v>18.0809060088352</v>
      </c>
      <c r="N3014">
        <v>50.380833724032101</v>
      </c>
      <c r="O3014">
        <v>49.124484076892102</v>
      </c>
      <c r="P3014">
        <v>-8.2315137369800395E-2</v>
      </c>
      <c r="Q3014">
        <v>0.105466807560832</v>
      </c>
      <c r="R3014">
        <v>0.94688606216903104</v>
      </c>
      <c r="S3014" t="s">
        <v>9684</v>
      </c>
      <c r="T3014" t="s">
        <v>13338</v>
      </c>
      <c r="U3014" t="s">
        <v>13338</v>
      </c>
      <c r="V3014" t="s">
        <v>13338</v>
      </c>
      <c r="W3014" t="s">
        <v>16308</v>
      </c>
      <c r="X3014">
        <v>1</v>
      </c>
      <c r="Y3014" t="s">
        <v>22855</v>
      </c>
      <c r="Z3014" t="s">
        <v>29429</v>
      </c>
      <c r="AA3014">
        <v>0.41049826005154177</v>
      </c>
      <c r="AB3014" t="str">
        <f>HYPERLINK("Melting_Curves/meltCurve_P63172_DYNLT1.pdf", "Melting_Curves/meltCurve_P63172_DYNLT1.pdf")</f>
        <v>Melting_Curves/meltCurve_P63172_DYNLT1.pdf</v>
      </c>
    </row>
    <row r="3015" spans="1:28" x14ac:dyDescent="0.25">
      <c r="A3015" t="s">
        <v>3019</v>
      </c>
      <c r="B3015">
        <v>0.99193492352474899</v>
      </c>
      <c r="C3015">
        <v>0.47846839704232302</v>
      </c>
      <c r="D3015">
        <v>1.1226589356849901</v>
      </c>
      <c r="E3015">
        <v>0.46619990966014901</v>
      </c>
      <c r="F3015">
        <v>0.63607227701007396</v>
      </c>
      <c r="G3015">
        <v>0.193913173638322</v>
      </c>
      <c r="H3015">
        <v>9.9875205719987606E-2</v>
      </c>
      <c r="I3015">
        <v>7.0672801991150405E-2</v>
      </c>
      <c r="J3015">
        <v>0.100976645790109</v>
      </c>
      <c r="K3015">
        <v>6.2595142133672205E-2</v>
      </c>
      <c r="L3015">
        <v>555.17931180705102</v>
      </c>
      <c r="M3015">
        <v>10.7069196247978</v>
      </c>
      <c r="N3015">
        <v>51.852373404741499</v>
      </c>
      <c r="O3015">
        <v>50.141785349345</v>
      </c>
      <c r="P3015">
        <v>-5.3403221849578603E-2</v>
      </c>
      <c r="Q3015">
        <v>0</v>
      </c>
      <c r="R3015">
        <v>0.732715666573312</v>
      </c>
      <c r="S3015" t="s">
        <v>9685</v>
      </c>
      <c r="T3015" t="s">
        <v>13338</v>
      </c>
      <c r="U3015" t="s">
        <v>13338</v>
      </c>
      <c r="V3015" t="s">
        <v>13338</v>
      </c>
      <c r="W3015" t="s">
        <v>16309</v>
      </c>
      <c r="X3015">
        <v>3</v>
      </c>
      <c r="Y3015" t="s">
        <v>22856</v>
      </c>
      <c r="Z3015" t="s">
        <v>29430</v>
      </c>
      <c r="AA3015">
        <v>0.43069270392877662</v>
      </c>
      <c r="AB3015" t="str">
        <f>HYPERLINK("Melting_Curves/meltCurve_P63173_RPL38.pdf", "Melting_Curves/meltCurve_P63173_RPL38.pdf")</f>
        <v>Melting_Curves/meltCurve_P63173_RPL38.pdf</v>
      </c>
    </row>
    <row r="3016" spans="1:28" x14ac:dyDescent="0.25">
      <c r="A3016" t="s">
        <v>3020</v>
      </c>
      <c r="B3016">
        <v>0.99193492352474899</v>
      </c>
      <c r="C3016">
        <v>0.73066419634839397</v>
      </c>
      <c r="D3016">
        <v>0.62864861923349302</v>
      </c>
      <c r="E3016">
        <v>0.360004811168746</v>
      </c>
      <c r="F3016">
        <v>0.25008362361590097</v>
      </c>
      <c r="G3016">
        <v>8.0787517999206804E-2</v>
      </c>
      <c r="H3016">
        <v>5.3854220743651399E-2</v>
      </c>
      <c r="I3016">
        <v>3.85842328009042E-2</v>
      </c>
      <c r="J3016">
        <v>4.13474220368997E-2</v>
      </c>
      <c r="K3016">
        <v>2.9192725559103599E-2</v>
      </c>
      <c r="L3016">
        <v>610.43174968324104</v>
      </c>
      <c r="M3016">
        <v>12.8500392388571</v>
      </c>
      <c r="N3016">
        <v>47.559724825310397</v>
      </c>
      <c r="O3016">
        <v>46.397917169544797</v>
      </c>
      <c r="P3016">
        <v>-6.8736135280782304E-2</v>
      </c>
      <c r="Q3016">
        <v>7.4352256838798201E-3</v>
      </c>
      <c r="R3016">
        <v>0.98698732553149404</v>
      </c>
      <c r="S3016" t="s">
        <v>9686</v>
      </c>
      <c r="T3016" t="s">
        <v>13338</v>
      </c>
      <c r="U3016" t="s">
        <v>13338</v>
      </c>
      <c r="V3016" t="s">
        <v>13338</v>
      </c>
      <c r="W3016" t="s">
        <v>16310</v>
      </c>
      <c r="X3016">
        <v>3</v>
      </c>
      <c r="Y3016" t="s">
        <v>22857</v>
      </c>
      <c r="Z3016" t="s">
        <v>29431</v>
      </c>
      <c r="AA3016">
        <v>0.2911400167969645</v>
      </c>
      <c r="AB3016" t="str">
        <f>HYPERLINK("Melting_Curves/meltCurve_P63218_GNG5.pdf", "Melting_Curves/meltCurve_P63218_GNG5.pdf")</f>
        <v>Melting_Curves/meltCurve_P63218_GNG5.pdf</v>
      </c>
    </row>
    <row r="3017" spans="1:28" x14ac:dyDescent="0.25">
      <c r="A3017" t="s">
        <v>3021</v>
      </c>
      <c r="B3017">
        <v>0.99193492352474899</v>
      </c>
      <c r="C3017">
        <v>1.0405714575739999</v>
      </c>
      <c r="D3017">
        <v>0.84366087579516502</v>
      </c>
      <c r="E3017">
        <v>0.71942912266084502</v>
      </c>
      <c r="F3017">
        <v>0.532100097794175</v>
      </c>
      <c r="G3017">
        <v>0.256939440701972</v>
      </c>
      <c r="H3017">
        <v>0.14623513728814899</v>
      </c>
      <c r="I3017">
        <v>0.21411439187654499</v>
      </c>
      <c r="J3017">
        <v>0.220673026350275</v>
      </c>
      <c r="K3017">
        <v>0.26349558592815098</v>
      </c>
      <c r="L3017">
        <v>960.57465643908097</v>
      </c>
      <c r="M3017">
        <v>18.7272435094653</v>
      </c>
      <c r="N3017">
        <v>52.657465206795202</v>
      </c>
      <c r="O3017">
        <v>50.718765548758299</v>
      </c>
      <c r="P3017">
        <v>-7.4566594399882405E-2</v>
      </c>
      <c r="Q3017">
        <v>0.192242889044827</v>
      </c>
      <c r="R3017">
        <v>0.97444797543268802</v>
      </c>
      <c r="S3017" t="s">
        <v>9687</v>
      </c>
      <c r="T3017" t="s">
        <v>13338</v>
      </c>
      <c r="U3017" t="s">
        <v>13338</v>
      </c>
      <c r="V3017" t="s">
        <v>13338</v>
      </c>
      <c r="W3017" t="s">
        <v>16311</v>
      </c>
      <c r="X3017">
        <v>8</v>
      </c>
      <c r="Y3017" t="s">
        <v>22858</v>
      </c>
      <c r="Z3017" t="s">
        <v>29432</v>
      </c>
      <c r="AA3017">
        <v>0.5089418547006479</v>
      </c>
      <c r="AB3017" t="str">
        <f>HYPERLINK("Melting_Curves/meltCurve_P63220_RPS21.pdf", "Melting_Curves/meltCurve_P63220_RPS21.pdf")</f>
        <v>Melting_Curves/meltCurve_P63220_RPS21.pdf</v>
      </c>
    </row>
    <row r="3018" spans="1:28" x14ac:dyDescent="0.25">
      <c r="A3018" t="s">
        <v>3022</v>
      </c>
      <c r="B3018">
        <v>0.99193492352474899</v>
      </c>
      <c r="C3018">
        <v>0.77448730097333096</v>
      </c>
      <c r="D3018">
        <v>0.63015799551483398</v>
      </c>
      <c r="E3018">
        <v>0.33174149374647899</v>
      </c>
      <c r="F3018">
        <v>0.13684434383670899</v>
      </c>
      <c r="G3018">
        <v>7.6873303326388906E-2</v>
      </c>
      <c r="H3018">
        <v>4.8594633932531002E-2</v>
      </c>
      <c r="I3018">
        <v>6.8479175139346607E-2</v>
      </c>
      <c r="J3018">
        <v>8.0222444372718402E-2</v>
      </c>
      <c r="K3018">
        <v>0.107985526312048</v>
      </c>
      <c r="L3018">
        <v>811.05540321367096</v>
      </c>
      <c r="M3018">
        <v>17.339986772708201</v>
      </c>
      <c r="N3018">
        <v>47.122698634469998</v>
      </c>
      <c r="O3018">
        <v>46.164922814853597</v>
      </c>
      <c r="P3018">
        <v>-8.8249028192386794E-2</v>
      </c>
      <c r="Q3018">
        <v>6.0258702133951597E-2</v>
      </c>
      <c r="R3018">
        <v>0.98967590527226001</v>
      </c>
      <c r="S3018" t="s">
        <v>9688</v>
      </c>
      <c r="T3018" t="s">
        <v>13338</v>
      </c>
      <c r="U3018" t="s">
        <v>13338</v>
      </c>
      <c r="V3018" t="s">
        <v>13338</v>
      </c>
      <c r="W3018" t="s">
        <v>16312</v>
      </c>
      <c r="X3018">
        <v>13</v>
      </c>
      <c r="Y3018" t="s">
        <v>22859</v>
      </c>
      <c r="Z3018" t="s">
        <v>29433</v>
      </c>
      <c r="AA3018">
        <v>0.29147692085735372</v>
      </c>
      <c r="AB3018" t="str">
        <f>HYPERLINK("Melting_Curves/meltCurve_P63241_EIF5A.pdf", "Melting_Curves/meltCurve_P63241_EIF5A.pdf")</f>
        <v>Melting_Curves/meltCurve_P63241_EIF5A.pdf</v>
      </c>
    </row>
    <row r="3019" spans="1:28" x14ac:dyDescent="0.25">
      <c r="A3019" t="s">
        <v>3023</v>
      </c>
      <c r="B3019">
        <v>0.99193492352474899</v>
      </c>
      <c r="C3019">
        <v>0.92042866287949099</v>
      </c>
      <c r="D3019">
        <v>1.12066400389162</v>
      </c>
      <c r="E3019">
        <v>0.85241207768184701</v>
      </c>
      <c r="F3019">
        <v>0.75469102320557002</v>
      </c>
      <c r="G3019">
        <v>0.26413748404385001</v>
      </c>
      <c r="H3019">
        <v>0.106454921205098</v>
      </c>
      <c r="I3019">
        <v>9.8128993898144098E-2</v>
      </c>
      <c r="J3019">
        <v>0.113674906299273</v>
      </c>
      <c r="K3019">
        <v>0.12035132768060799</v>
      </c>
      <c r="L3019">
        <v>1822.29726993799</v>
      </c>
      <c r="M3019">
        <v>33.451612788371399</v>
      </c>
      <c r="N3019">
        <v>54.837672469247103</v>
      </c>
      <c r="O3019">
        <v>54.282042608324602</v>
      </c>
      <c r="P3019">
        <v>-0.138798962381942</v>
      </c>
      <c r="Q3019">
        <v>9.9085673569393407E-2</v>
      </c>
      <c r="R3019">
        <v>0.97744845217458898</v>
      </c>
      <c r="S3019" t="s">
        <v>9689</v>
      </c>
      <c r="T3019" t="s">
        <v>13338</v>
      </c>
      <c r="U3019" t="s">
        <v>13338</v>
      </c>
      <c r="V3019" t="s">
        <v>13338</v>
      </c>
      <c r="W3019" t="s">
        <v>16313</v>
      </c>
      <c r="X3019">
        <v>22</v>
      </c>
      <c r="Y3019" t="s">
        <v>22860</v>
      </c>
      <c r="Z3019" t="s">
        <v>29434</v>
      </c>
      <c r="AA3019">
        <v>0.53861360369862998</v>
      </c>
      <c r="AB3019" t="str">
        <f>HYPERLINK("Melting_Curves/meltCurve_P63244_GNB2L1.pdf", "Melting_Curves/meltCurve_P63244_GNB2L1.pdf")</f>
        <v>Melting_Curves/meltCurve_P63244_GNB2L1.pdf</v>
      </c>
    </row>
    <row r="3020" spans="1:28" x14ac:dyDescent="0.25">
      <c r="A3020" t="s">
        <v>3024</v>
      </c>
      <c r="B3020">
        <v>0.99193492352474899</v>
      </c>
      <c r="C3020">
        <v>1.0171965845051301</v>
      </c>
      <c r="D3020">
        <v>0.80135497948644996</v>
      </c>
      <c r="E3020">
        <v>1.0788805146215601</v>
      </c>
      <c r="F3020">
        <v>0.72462150362939004</v>
      </c>
      <c r="G3020">
        <v>0.53272992371506001</v>
      </c>
      <c r="H3020">
        <v>0.46969636510532398</v>
      </c>
      <c r="I3020">
        <v>0.53768326115484599</v>
      </c>
      <c r="J3020">
        <v>0.49892159682208398</v>
      </c>
      <c r="K3020">
        <v>0.19973445790227101</v>
      </c>
      <c r="S3020" t="s">
        <v>9690</v>
      </c>
      <c r="T3020" t="s">
        <v>13338</v>
      </c>
      <c r="U3020" t="s">
        <v>13339</v>
      </c>
      <c r="V3020" t="s">
        <v>13338</v>
      </c>
      <c r="W3020" t="s">
        <v>16314</v>
      </c>
      <c r="X3020">
        <v>36</v>
      </c>
      <c r="Y3020" t="s">
        <v>22861</v>
      </c>
      <c r="Z3020" t="s">
        <v>29435</v>
      </c>
      <c r="AB3020" t="str">
        <f>HYPERLINK("Melting_Curves/meltCurve_P63261_ACTG1.pdf", "Melting_Curves/meltCurve_P63261_ACTG1.pdf")</f>
        <v>Melting_Curves/meltCurve_P63261_ACTG1.pdf</v>
      </c>
    </row>
    <row r="3021" spans="1:28" x14ac:dyDescent="0.25">
      <c r="A3021" t="s">
        <v>3025</v>
      </c>
      <c r="B3021">
        <v>0.99193492352474899</v>
      </c>
      <c r="C3021">
        <v>0.98662702808416602</v>
      </c>
      <c r="D3021">
        <v>0.81212800190608203</v>
      </c>
      <c r="E3021">
        <v>0.50354811501927998</v>
      </c>
      <c r="F3021">
        <v>0.18536018582935099</v>
      </c>
      <c r="G3021">
        <v>8.9320309628530103E-2</v>
      </c>
      <c r="H3021">
        <v>7.4688745095289596E-2</v>
      </c>
      <c r="I3021">
        <v>0.108387687847773</v>
      </c>
      <c r="J3021">
        <v>0.14289233326028</v>
      </c>
      <c r="K3021">
        <v>0.164183399057199</v>
      </c>
      <c r="L3021">
        <v>1239.25636239402</v>
      </c>
      <c r="M3021">
        <v>25.369116699424801</v>
      </c>
      <c r="N3021">
        <v>49.323373158324998</v>
      </c>
      <c r="O3021">
        <v>48.548520565672398</v>
      </c>
      <c r="P3021">
        <v>-0.11649801198277</v>
      </c>
      <c r="Q3021">
        <v>0.108248909525005</v>
      </c>
      <c r="R3021">
        <v>0.99192997324591103</v>
      </c>
      <c r="S3021" t="s">
        <v>9691</v>
      </c>
      <c r="T3021" t="s">
        <v>13338</v>
      </c>
      <c r="U3021" t="s">
        <v>13338</v>
      </c>
      <c r="V3021" t="s">
        <v>13338</v>
      </c>
      <c r="W3021" t="s">
        <v>16315</v>
      </c>
      <c r="X3021">
        <v>2</v>
      </c>
      <c r="Y3021" t="s">
        <v>22862</v>
      </c>
      <c r="Z3021" t="s">
        <v>29436</v>
      </c>
      <c r="AA3021">
        <v>0.37894547878436641</v>
      </c>
      <c r="AB3021" t="str">
        <f>HYPERLINK("Melting_Curves/meltCurve_P63272_SUPT4H1.pdf", "Melting_Curves/meltCurve_P63272_SUPT4H1.pdf")</f>
        <v>Melting_Curves/meltCurve_P63272_SUPT4H1.pdf</v>
      </c>
    </row>
    <row r="3022" spans="1:28" x14ac:dyDescent="0.25">
      <c r="A3022" t="s">
        <v>3026</v>
      </c>
      <c r="B3022">
        <v>0.99193492352474899</v>
      </c>
      <c r="C3022">
        <v>0.93892279516534605</v>
      </c>
      <c r="D3022">
        <v>0.98625208710034395</v>
      </c>
      <c r="E3022">
        <v>0.81977074315116205</v>
      </c>
      <c r="F3022">
        <v>0.61499719909999795</v>
      </c>
      <c r="G3022">
        <v>0.443750438338048</v>
      </c>
      <c r="H3022">
        <v>0.19302704255251199</v>
      </c>
      <c r="I3022">
        <v>0.13437834345356001</v>
      </c>
      <c r="J3022">
        <v>0.156007654953292</v>
      </c>
      <c r="K3022">
        <v>0.160190385367212</v>
      </c>
      <c r="L3022">
        <v>887.71104551215603</v>
      </c>
      <c r="M3022">
        <v>16.369582124341399</v>
      </c>
      <c r="N3022">
        <v>55.025270260880099</v>
      </c>
      <c r="O3022">
        <v>53.439379680005302</v>
      </c>
      <c r="P3022">
        <v>-6.8511753895392602E-2</v>
      </c>
      <c r="Q3022">
        <v>0.10542294388841</v>
      </c>
      <c r="R3022">
        <v>0.99105347208775396</v>
      </c>
      <c r="S3022" t="s">
        <v>9692</v>
      </c>
      <c r="T3022" t="s">
        <v>13338</v>
      </c>
      <c r="U3022" t="s">
        <v>13338</v>
      </c>
      <c r="V3022" t="s">
        <v>13338</v>
      </c>
      <c r="W3022" t="s">
        <v>16316</v>
      </c>
      <c r="X3022">
        <v>20</v>
      </c>
      <c r="Y3022" t="s">
        <v>22863</v>
      </c>
      <c r="Z3022" t="s">
        <v>29437</v>
      </c>
      <c r="AA3022">
        <v>0.54595648725966939</v>
      </c>
      <c r="AB3022" t="str">
        <f>HYPERLINK("Melting_Curves/meltCurve_P67775_PPP2CA.pdf", "Melting_Curves/meltCurve_P67775_PPP2CA.pdf")</f>
        <v>Melting_Curves/meltCurve_P67775_PPP2CA.pdf</v>
      </c>
    </row>
    <row r="3023" spans="1:28" x14ac:dyDescent="0.25">
      <c r="A3023" t="s">
        <v>3027</v>
      </c>
      <c r="B3023">
        <v>0.99193492352474899</v>
      </c>
      <c r="C3023">
        <v>0.82673603365760695</v>
      </c>
      <c r="D3023">
        <v>0.80091318078333296</v>
      </c>
      <c r="E3023">
        <v>0.63544317721272903</v>
      </c>
      <c r="F3023">
        <v>0.821149009806449</v>
      </c>
      <c r="G3023">
        <v>0.58726823394128103</v>
      </c>
      <c r="H3023">
        <v>0.35282135680154902</v>
      </c>
      <c r="I3023">
        <v>0.36604661295237001</v>
      </c>
      <c r="J3023">
        <v>0.46538195427769502</v>
      </c>
      <c r="K3023">
        <v>0.53420251138993702</v>
      </c>
      <c r="L3023">
        <v>410.01085738691</v>
      </c>
      <c r="M3023">
        <v>8.0465947117102594</v>
      </c>
      <c r="N3023">
        <v>60.829261806932401</v>
      </c>
      <c r="O3023">
        <v>48.096676942686699</v>
      </c>
      <c r="P3023">
        <v>-2.6605852696449901E-2</v>
      </c>
      <c r="Q3023">
        <v>0.36458165397033698</v>
      </c>
      <c r="R3023">
        <v>0.77402679318078005</v>
      </c>
      <c r="S3023" t="s">
        <v>9693</v>
      </c>
      <c r="T3023" t="s">
        <v>13338</v>
      </c>
      <c r="U3023" t="s">
        <v>13338</v>
      </c>
      <c r="V3023" t="s">
        <v>13338</v>
      </c>
      <c r="W3023" t="s">
        <v>16317</v>
      </c>
      <c r="X3023">
        <v>9</v>
      </c>
      <c r="Y3023" t="s">
        <v>22864</v>
      </c>
      <c r="Z3023" t="s">
        <v>29438</v>
      </c>
      <c r="AA3023">
        <v>0.63050605403907989</v>
      </c>
      <c r="AB3023" t="str">
        <f>HYPERLINK("Melting_Curves/meltCurve_P67809_YBX1.pdf", "Melting_Curves/meltCurve_P67809_YBX1.pdf")</f>
        <v>Melting_Curves/meltCurve_P67809_YBX1.pdf</v>
      </c>
    </row>
    <row r="3024" spans="1:28" x14ac:dyDescent="0.25">
      <c r="A3024" t="s">
        <v>3028</v>
      </c>
      <c r="B3024">
        <v>0.99193492352474899</v>
      </c>
      <c r="C3024">
        <v>0.81187312841104198</v>
      </c>
      <c r="D3024">
        <v>0.84897541458652503</v>
      </c>
      <c r="E3024">
        <v>0.70798810304884896</v>
      </c>
      <c r="F3024">
        <v>0.63253869910221805</v>
      </c>
      <c r="G3024">
        <v>0.47605874373978202</v>
      </c>
      <c r="H3024">
        <v>0.44814155287255902</v>
      </c>
      <c r="I3024">
        <v>0.53834459137173996</v>
      </c>
      <c r="J3024">
        <v>0.673886115377759</v>
      </c>
      <c r="K3024">
        <v>0.84211293004704701</v>
      </c>
      <c r="L3024">
        <v>773.90715531889805</v>
      </c>
      <c r="M3024">
        <v>16.974171602370799</v>
      </c>
      <c r="O3024">
        <v>44.974530332264898</v>
      </c>
      <c r="P3024">
        <v>-3.7797362826645302E-2</v>
      </c>
      <c r="Q3024">
        <v>0.59943554074996097</v>
      </c>
      <c r="R3024">
        <v>0.56488374064483704</v>
      </c>
      <c r="S3024" t="s">
        <v>9694</v>
      </c>
      <c r="T3024" t="s">
        <v>13338</v>
      </c>
      <c r="U3024" t="s">
        <v>13338</v>
      </c>
      <c r="V3024" t="s">
        <v>13338</v>
      </c>
      <c r="W3024" t="s">
        <v>16318</v>
      </c>
      <c r="X3024">
        <v>46</v>
      </c>
      <c r="Y3024" t="s">
        <v>21089</v>
      </c>
      <c r="Z3024" t="s">
        <v>29439</v>
      </c>
      <c r="AA3024">
        <v>0.68339377418164871</v>
      </c>
      <c r="AB3024" t="str">
        <f>HYPERLINK("Melting_Curves/meltCurve_P67936_TPM4.pdf", "Melting_Curves/meltCurve_P67936_TPM4.pdf")</f>
        <v>Melting_Curves/meltCurve_P67936_TPM4.pdf</v>
      </c>
    </row>
    <row r="3025" spans="1:28" x14ac:dyDescent="0.25">
      <c r="A3025" t="s">
        <v>3029</v>
      </c>
      <c r="B3025">
        <v>0.99193492352474899</v>
      </c>
      <c r="C3025">
        <v>1.86668575874041</v>
      </c>
      <c r="D3025">
        <v>0.84969149565436297</v>
      </c>
      <c r="E3025">
        <v>1.18573025545973</v>
      </c>
      <c r="F3025">
        <v>0.51959782900037399</v>
      </c>
      <c r="G3025">
        <v>0.290996676470896</v>
      </c>
      <c r="H3025">
        <v>0.147913934965344</v>
      </c>
      <c r="I3025">
        <v>0.18391974230615599</v>
      </c>
      <c r="J3025">
        <v>0.20671666655895099</v>
      </c>
      <c r="K3025">
        <v>0.26807090398181599</v>
      </c>
      <c r="L3025">
        <v>11785.377912358401</v>
      </c>
      <c r="M3025">
        <v>222.0002517897</v>
      </c>
      <c r="N3025">
        <v>53.225827503252198</v>
      </c>
      <c r="O3025">
        <v>53.082913386461797</v>
      </c>
      <c r="P3025">
        <v>-0.816015716021252</v>
      </c>
      <c r="Q3025">
        <v>0.21952346979498</v>
      </c>
      <c r="R3025">
        <v>0.714639211325234</v>
      </c>
      <c r="S3025" t="s">
        <v>9695</v>
      </c>
      <c r="T3025" t="s">
        <v>13338</v>
      </c>
      <c r="U3025" t="s">
        <v>13338</v>
      </c>
      <c r="V3025" t="s">
        <v>13338</v>
      </c>
      <c r="W3025" t="s">
        <v>16319</v>
      </c>
      <c r="X3025">
        <v>15</v>
      </c>
      <c r="Y3025" t="s">
        <v>22865</v>
      </c>
      <c r="Z3025" t="s">
        <v>29440</v>
      </c>
      <c r="AA3025">
        <v>0.56009149086081311</v>
      </c>
      <c r="AB3025" t="str">
        <f>HYPERLINK("Melting_Curves/meltCurve_P68036_UBE2L3.pdf", "Melting_Curves/meltCurve_P68036_UBE2L3.pdf")</f>
        <v>Melting_Curves/meltCurve_P68036_UBE2L3.pdf</v>
      </c>
    </row>
    <row r="3026" spans="1:28" x14ac:dyDescent="0.25">
      <c r="A3026" t="s">
        <v>3030</v>
      </c>
      <c r="B3026">
        <v>0.99193492352474899</v>
      </c>
      <c r="C3026">
        <v>0.88714661541023998</v>
      </c>
      <c r="D3026">
        <v>0.89409024913687096</v>
      </c>
      <c r="E3026">
        <v>0.71543681359410105</v>
      </c>
      <c r="F3026">
        <v>0.45311861996892899</v>
      </c>
      <c r="G3026">
        <v>0.17149077945999899</v>
      </c>
      <c r="H3026">
        <v>6.6639494767964699E-2</v>
      </c>
      <c r="I3026">
        <v>7.1832352942073296E-2</v>
      </c>
      <c r="J3026">
        <v>7.6460672875360403E-2</v>
      </c>
      <c r="K3026">
        <v>7.4726924868256897E-2</v>
      </c>
      <c r="L3026">
        <v>913.87143192663098</v>
      </c>
      <c r="M3026">
        <v>17.611955375564701</v>
      </c>
      <c r="N3026">
        <v>52.1255863836464</v>
      </c>
      <c r="O3026">
        <v>51.234141523545702</v>
      </c>
      <c r="P3026">
        <v>-8.2645433199281707E-2</v>
      </c>
      <c r="Q3026">
        <v>3.8371156110724301E-2</v>
      </c>
      <c r="R3026">
        <v>0.99007873479708797</v>
      </c>
      <c r="S3026" t="s">
        <v>9696</v>
      </c>
      <c r="T3026" t="s">
        <v>13338</v>
      </c>
      <c r="U3026" t="s">
        <v>13338</v>
      </c>
      <c r="V3026" t="s">
        <v>13338</v>
      </c>
      <c r="W3026" t="s">
        <v>16320</v>
      </c>
      <c r="X3026">
        <v>33</v>
      </c>
      <c r="Y3026" t="s">
        <v>22866</v>
      </c>
      <c r="Z3026" t="s">
        <v>29441</v>
      </c>
      <c r="AA3026">
        <v>0.43610717720705128</v>
      </c>
      <c r="AB3026" t="str">
        <f>HYPERLINK("Melting_Curves/meltCurve_P68104_EEF1A1.pdf", "Melting_Curves/meltCurve_P68104_EEF1A1.pdf")</f>
        <v>Melting_Curves/meltCurve_P68104_EEF1A1.pdf</v>
      </c>
    </row>
    <row r="3027" spans="1:28" x14ac:dyDescent="0.25">
      <c r="A3027" t="s">
        <v>3031</v>
      </c>
      <c r="B3027">
        <v>0.99193492352474899</v>
      </c>
      <c r="C3027">
        <v>0.93233568665309696</v>
      </c>
      <c r="D3027">
        <v>0.866670120038606</v>
      </c>
      <c r="E3027">
        <v>0.74118915532339602</v>
      </c>
      <c r="F3027">
        <v>0.561176167877939</v>
      </c>
      <c r="G3027">
        <v>0.33048543141001402</v>
      </c>
      <c r="H3027">
        <v>0.226914901115642</v>
      </c>
      <c r="I3027">
        <v>0.22730353873748099</v>
      </c>
      <c r="J3027">
        <v>0.33213283913518399</v>
      </c>
      <c r="K3027">
        <v>0.16946804914438099</v>
      </c>
      <c r="L3027">
        <v>773.57516933193199</v>
      </c>
      <c r="M3027">
        <v>14.936910299232199</v>
      </c>
      <c r="N3027">
        <v>53.591801779249103</v>
      </c>
      <c r="O3027">
        <v>50.887830635165002</v>
      </c>
      <c r="P3027">
        <v>-5.8899109372946103E-2</v>
      </c>
      <c r="Q3027">
        <v>0.197440438270225</v>
      </c>
      <c r="R3027">
        <v>0.97676085186012196</v>
      </c>
      <c r="S3027" t="s">
        <v>9697</v>
      </c>
      <c r="T3027" t="s">
        <v>13338</v>
      </c>
      <c r="U3027" t="s">
        <v>13338</v>
      </c>
      <c r="V3027" t="s">
        <v>13338</v>
      </c>
      <c r="W3027" t="s">
        <v>16321</v>
      </c>
      <c r="X3027">
        <v>25</v>
      </c>
      <c r="Y3027" t="s">
        <v>22867</v>
      </c>
      <c r="Z3027" t="s">
        <v>29442</v>
      </c>
      <c r="AA3027">
        <v>0.53102455099708823</v>
      </c>
      <c r="AB3027" t="str">
        <f>HYPERLINK("Melting_Curves/meltCurve_P68133_ACTA1.pdf", "Melting_Curves/meltCurve_P68133_ACTA1.pdf")</f>
        <v>Melting_Curves/meltCurve_P68133_ACTA1.pdf</v>
      </c>
    </row>
    <row r="3028" spans="1:28" x14ac:dyDescent="0.25">
      <c r="A3028" t="s">
        <v>3032</v>
      </c>
      <c r="B3028">
        <v>0.99193492352474899</v>
      </c>
      <c r="C3028">
        <v>1.0649105528507099</v>
      </c>
      <c r="D3028">
        <v>0.96993095902943005</v>
      </c>
      <c r="E3028">
        <v>0.939411515722957</v>
      </c>
      <c r="F3028">
        <v>0.93641535159031397</v>
      </c>
      <c r="G3028">
        <v>0.46347050348666802</v>
      </c>
      <c r="H3028">
        <v>0.246183024074456</v>
      </c>
      <c r="I3028">
        <v>7.8512473206481206E-2</v>
      </c>
      <c r="J3028">
        <v>7.9078004806104704E-2</v>
      </c>
      <c r="K3028">
        <v>8.08142967661023E-2</v>
      </c>
      <c r="L3028">
        <v>1729.5463181136199</v>
      </c>
      <c r="M3028">
        <v>30.598271252086501</v>
      </c>
      <c r="N3028">
        <v>56.8602478067981</v>
      </c>
      <c r="O3028">
        <v>56.284529480228699</v>
      </c>
      <c r="P3028">
        <v>-0.124671484878037</v>
      </c>
      <c r="Q3028">
        <v>8.2688887678022294E-2</v>
      </c>
      <c r="R3028">
        <v>0.98937740566853205</v>
      </c>
      <c r="S3028" t="s">
        <v>9698</v>
      </c>
      <c r="T3028" t="s">
        <v>13338</v>
      </c>
      <c r="U3028" t="s">
        <v>13338</v>
      </c>
      <c r="V3028" t="s">
        <v>13338</v>
      </c>
      <c r="W3028" t="s">
        <v>16322</v>
      </c>
      <c r="X3028">
        <v>33</v>
      </c>
      <c r="Y3028" t="s">
        <v>22868</v>
      </c>
      <c r="Z3028" t="s">
        <v>29443</v>
      </c>
      <c r="AA3028">
        <v>0.59385807709967686</v>
      </c>
      <c r="AB3028" t="str">
        <f>HYPERLINK("Melting_Curves/meltCurve_P68363_TUBA1B.pdf", "Melting_Curves/meltCurve_P68363_TUBA1B.pdf")</f>
        <v>Melting_Curves/meltCurve_P68363_TUBA1B.pdf</v>
      </c>
    </row>
    <row r="3029" spans="1:28" x14ac:dyDescent="0.25">
      <c r="A3029" t="s">
        <v>3033</v>
      </c>
      <c r="B3029">
        <v>0.99193492352474899</v>
      </c>
      <c r="C3029">
        <v>1.2709313684774399</v>
      </c>
      <c r="D3029">
        <v>1.0539467336544599</v>
      </c>
      <c r="E3029">
        <v>1.0266631081098601</v>
      </c>
      <c r="F3029">
        <v>0.86400274076069805</v>
      </c>
      <c r="G3029">
        <v>0.56132097232369904</v>
      </c>
      <c r="H3029">
        <v>0.21757344682683799</v>
      </c>
      <c r="I3029">
        <v>0.10468679499908901</v>
      </c>
      <c r="J3029">
        <v>0.11155969939261</v>
      </c>
      <c r="K3029">
        <v>0.102390465027585</v>
      </c>
      <c r="L3029">
        <v>1612.3280953741701</v>
      </c>
      <c r="M3029">
        <v>28.353723233664098</v>
      </c>
      <c r="N3029">
        <v>57.266047593301899</v>
      </c>
      <c r="O3029">
        <v>56.584166827408502</v>
      </c>
      <c r="P3029">
        <v>-0.113987011950825</v>
      </c>
      <c r="Q3029">
        <v>9.0093754249185601E-2</v>
      </c>
      <c r="R3029">
        <v>0.95885236493780801</v>
      </c>
      <c r="S3029" t="s">
        <v>9699</v>
      </c>
      <c r="T3029" t="s">
        <v>13338</v>
      </c>
      <c r="U3029" t="s">
        <v>13338</v>
      </c>
      <c r="V3029" t="s">
        <v>13338</v>
      </c>
      <c r="W3029" t="s">
        <v>16323</v>
      </c>
      <c r="X3029">
        <v>34</v>
      </c>
      <c r="Y3029" t="s">
        <v>22869</v>
      </c>
      <c r="Z3029" t="s">
        <v>29444</v>
      </c>
      <c r="AA3029">
        <v>0.6082953709479888</v>
      </c>
      <c r="AB3029" t="str">
        <f>HYPERLINK("Melting_Curves/meltCurve_P68371_TUBB4B.pdf", "Melting_Curves/meltCurve_P68371_TUBB4B.pdf")</f>
        <v>Melting_Curves/meltCurve_P68371_TUBB4B.pdf</v>
      </c>
    </row>
    <row r="3030" spans="1:28" x14ac:dyDescent="0.25">
      <c r="A3030" t="s">
        <v>3034</v>
      </c>
      <c r="B3030">
        <v>0.99193492352474899</v>
      </c>
      <c r="C3030">
        <v>0.95276023930710596</v>
      </c>
      <c r="D3030">
        <v>0.836715971157307</v>
      </c>
      <c r="E3030">
        <v>0.64379743157377001</v>
      </c>
      <c r="F3030">
        <v>0.32219414482596098</v>
      </c>
      <c r="G3030">
        <v>0.161302218121013</v>
      </c>
      <c r="H3030">
        <v>9.3631620686353195E-2</v>
      </c>
      <c r="I3030">
        <v>8.3768883543696104E-2</v>
      </c>
      <c r="J3030">
        <v>0.11870459495480699</v>
      </c>
      <c r="K3030">
        <v>0.11190350082758101</v>
      </c>
      <c r="L3030">
        <v>960.52049092067102</v>
      </c>
      <c r="M3030">
        <v>19.067352526641201</v>
      </c>
      <c r="N3030">
        <v>50.866273650756703</v>
      </c>
      <c r="O3030">
        <v>49.830853473636502</v>
      </c>
      <c r="P3030">
        <v>-8.7621155332631095E-2</v>
      </c>
      <c r="Q3030">
        <v>8.4075197202620106E-2</v>
      </c>
      <c r="R3030">
        <v>0.99615313662335303</v>
      </c>
      <c r="S3030" t="s">
        <v>9700</v>
      </c>
      <c r="T3030" t="s">
        <v>13338</v>
      </c>
      <c r="U3030" t="s">
        <v>13338</v>
      </c>
      <c r="V3030" t="s">
        <v>13338</v>
      </c>
      <c r="W3030" t="s">
        <v>16324</v>
      </c>
      <c r="X3030">
        <v>4</v>
      </c>
      <c r="Y3030" t="s">
        <v>22870</v>
      </c>
      <c r="Z3030" t="s">
        <v>29445</v>
      </c>
      <c r="AA3030">
        <v>0.41478723645011162</v>
      </c>
      <c r="AB3030" t="str">
        <f>HYPERLINK("Melting_Curves/meltCurve_P68402_PAFAH1B2.pdf", "Melting_Curves/meltCurve_P68402_PAFAH1B2.pdf")</f>
        <v>Melting_Curves/meltCurve_P68402_PAFAH1B2.pdf</v>
      </c>
    </row>
    <row r="3031" spans="1:28" x14ac:dyDescent="0.25">
      <c r="A3031" t="s">
        <v>3035</v>
      </c>
      <c r="B3031">
        <v>0.99193492352474899</v>
      </c>
      <c r="C3031">
        <v>1.56999678679246</v>
      </c>
      <c r="D3031">
        <v>0.91998040808227399</v>
      </c>
      <c r="E3031">
        <v>1.3632008084495499</v>
      </c>
      <c r="F3031">
        <v>0.87489233659169097</v>
      </c>
      <c r="G3031">
        <v>0.44216378074970097</v>
      </c>
      <c r="H3031">
        <v>0.24206686208876499</v>
      </c>
      <c r="I3031">
        <v>0.40673591285577598</v>
      </c>
      <c r="J3031">
        <v>0.58610427218793004</v>
      </c>
      <c r="K3031">
        <v>0.74915110513600203</v>
      </c>
      <c r="L3031">
        <v>13360.4388309471</v>
      </c>
      <c r="M3031">
        <v>250</v>
      </c>
      <c r="N3031">
        <v>54.205634655448797</v>
      </c>
      <c r="O3031">
        <v>53.438335572928402</v>
      </c>
      <c r="P3031">
        <v>-0.60204397415961897</v>
      </c>
      <c r="Q3031">
        <v>0.48524435547922901</v>
      </c>
      <c r="R3031">
        <v>0.62028237139140896</v>
      </c>
      <c r="S3031" t="s">
        <v>9701</v>
      </c>
      <c r="T3031" t="s">
        <v>13338</v>
      </c>
      <c r="U3031" t="s">
        <v>13338</v>
      </c>
      <c r="V3031" t="s">
        <v>13338</v>
      </c>
      <c r="W3031" t="s">
        <v>16325</v>
      </c>
      <c r="X3031">
        <v>3</v>
      </c>
      <c r="Y3031" t="s">
        <v>22871</v>
      </c>
      <c r="Z3031" t="s">
        <v>29446</v>
      </c>
      <c r="AA3031">
        <v>0.71593328163366399</v>
      </c>
      <c r="AB3031" t="str">
        <f>HYPERLINK("Melting_Curves/meltCurve_P68871_HBB.pdf", "Melting_Curves/meltCurve_P68871_HBB.pdf")</f>
        <v>Melting_Curves/meltCurve_P68871_HBB.pdf</v>
      </c>
    </row>
    <row r="3032" spans="1:28" x14ac:dyDescent="0.25">
      <c r="A3032" t="s">
        <v>3036</v>
      </c>
      <c r="B3032">
        <v>0.99193492352474899</v>
      </c>
      <c r="C3032">
        <v>1.1722744345520999</v>
      </c>
      <c r="D3032">
        <v>0.85116135610768895</v>
      </c>
      <c r="E3032">
        <v>0.98637727944280895</v>
      </c>
      <c r="F3032">
        <v>0.75793360190671899</v>
      </c>
      <c r="G3032">
        <v>0.48874935343697101</v>
      </c>
      <c r="H3032">
        <v>0.39429573241258398</v>
      </c>
      <c r="I3032">
        <v>0.42775166772140499</v>
      </c>
      <c r="J3032">
        <v>0.70980946399824596</v>
      </c>
      <c r="K3032">
        <v>0.80353774557722701</v>
      </c>
      <c r="L3032">
        <v>13287.977904466899</v>
      </c>
      <c r="M3032">
        <v>250</v>
      </c>
      <c r="O3032">
        <v>53.148509580740203</v>
      </c>
      <c r="P3032">
        <v>-0.51173966359020295</v>
      </c>
      <c r="Q3032">
        <v>0.56482878843426498</v>
      </c>
      <c r="R3032">
        <v>0.69650264244959903</v>
      </c>
      <c r="S3032" t="s">
        <v>9702</v>
      </c>
      <c r="T3032" t="s">
        <v>13338</v>
      </c>
      <c r="U3032" t="s">
        <v>13338</v>
      </c>
      <c r="V3032" t="s">
        <v>13338</v>
      </c>
      <c r="W3032" t="s">
        <v>16326</v>
      </c>
      <c r="X3032">
        <v>5</v>
      </c>
      <c r="Y3032" t="s">
        <v>22872</v>
      </c>
      <c r="Z3032" t="s">
        <v>29447</v>
      </c>
      <c r="AA3032">
        <v>0.75564715864839327</v>
      </c>
      <c r="AB3032" t="str">
        <f>HYPERLINK("Melting_Curves/meltCurve_P69905_HBA1.pdf", "Melting_Curves/meltCurve_P69905_HBA1.pdf")</f>
        <v>Melting_Curves/meltCurve_P69905_HBA1.pdf</v>
      </c>
    </row>
    <row r="3033" spans="1:28" x14ac:dyDescent="0.25">
      <c r="A3033" t="s">
        <v>3037</v>
      </c>
      <c r="B3033">
        <v>0.99193492352474899</v>
      </c>
      <c r="C3033">
        <v>0.354843564024106</v>
      </c>
      <c r="D3033">
        <v>0.53638062624180805</v>
      </c>
      <c r="E3033">
        <v>0.186923948811201</v>
      </c>
      <c r="F3033">
        <v>0.13667256521742799</v>
      </c>
      <c r="G3033">
        <v>7.9134981764047693E-2</v>
      </c>
      <c r="H3033">
        <v>6.7322095116126301E-2</v>
      </c>
      <c r="I3033">
        <v>0.100371254790128</v>
      </c>
      <c r="J3033">
        <v>0.14804801839739601</v>
      </c>
      <c r="K3033">
        <v>0.124021355274316</v>
      </c>
      <c r="L3033">
        <v>720.39224952734696</v>
      </c>
      <c r="M3033">
        <v>16.594807356828401</v>
      </c>
      <c r="N3033">
        <v>44.0259953587667</v>
      </c>
      <c r="O3033">
        <v>42.795017920028599</v>
      </c>
      <c r="P3033">
        <v>-8.6916157472136796E-2</v>
      </c>
      <c r="Q3033">
        <v>0.103496565588152</v>
      </c>
      <c r="R3033">
        <v>0.83737950653470306</v>
      </c>
      <c r="S3033" t="s">
        <v>9703</v>
      </c>
      <c r="T3033" t="s">
        <v>13338</v>
      </c>
      <c r="U3033" t="s">
        <v>13338</v>
      </c>
      <c r="V3033" t="s">
        <v>13338</v>
      </c>
      <c r="W3033" t="s">
        <v>16327</v>
      </c>
      <c r="X3033">
        <v>11</v>
      </c>
      <c r="Y3033" t="s">
        <v>22873</v>
      </c>
      <c r="Z3033" t="s">
        <v>29448</v>
      </c>
      <c r="AA3033">
        <v>0.23430941631207389</v>
      </c>
      <c r="AB3033" t="str">
        <f>HYPERLINK("Melting_Curves/meltCurve_P78316_NOP14.pdf", "Melting_Curves/meltCurve_P78316_NOP14.pdf")</f>
        <v>Melting_Curves/meltCurve_P78316_NOP14.pdf</v>
      </c>
    </row>
    <row r="3034" spans="1:28" x14ac:dyDescent="0.25">
      <c r="A3034" t="s">
        <v>3038</v>
      </c>
      <c r="B3034">
        <v>0.99193492352474899</v>
      </c>
      <c r="C3034">
        <v>0.99442708119579604</v>
      </c>
      <c r="D3034">
        <v>0.88064596157317798</v>
      </c>
      <c r="E3034">
        <v>0.61963052427600995</v>
      </c>
      <c r="F3034">
        <v>0.24376433859704899</v>
      </c>
      <c r="G3034">
        <v>0.15420188821244599</v>
      </c>
      <c r="H3034">
        <v>0.110093955819606</v>
      </c>
      <c r="I3034">
        <v>0.13526060452782701</v>
      </c>
      <c r="J3034">
        <v>0.16158715730300499</v>
      </c>
      <c r="K3034">
        <v>0.230433109379101</v>
      </c>
      <c r="L3034">
        <v>1425.96053749814</v>
      </c>
      <c r="M3034">
        <v>28.667722734438499</v>
      </c>
      <c r="N3034">
        <v>50.370882626081404</v>
      </c>
      <c r="O3034">
        <v>49.500826603360103</v>
      </c>
      <c r="P3034">
        <v>-0.122975018275603</v>
      </c>
      <c r="Q3034">
        <v>0.15063814565042599</v>
      </c>
      <c r="R3034">
        <v>0.990366045178938</v>
      </c>
      <c r="S3034" t="s">
        <v>9704</v>
      </c>
      <c r="T3034" t="s">
        <v>13338</v>
      </c>
      <c r="U3034" t="s">
        <v>13338</v>
      </c>
      <c r="V3034" t="s">
        <v>13338</v>
      </c>
      <c r="W3034" t="s">
        <v>16328</v>
      </c>
      <c r="X3034">
        <v>12</v>
      </c>
      <c r="Y3034" t="s">
        <v>22874</v>
      </c>
      <c r="Z3034" t="s">
        <v>29449</v>
      </c>
      <c r="AA3034">
        <v>0.43216223423704148</v>
      </c>
      <c r="AB3034" t="str">
        <f>HYPERLINK("Melting_Curves/meltCurve_P78318_IGBP1.pdf", "Melting_Curves/meltCurve_P78318_IGBP1.pdf")</f>
        <v>Melting_Curves/meltCurve_P78318_IGBP1.pdf</v>
      </c>
    </row>
    <row r="3035" spans="1:28" x14ac:dyDescent="0.25">
      <c r="A3035" t="s">
        <v>3039</v>
      </c>
      <c r="B3035">
        <v>0.99193492352474899</v>
      </c>
      <c r="C3035">
        <v>0.89598711506147399</v>
      </c>
      <c r="D3035">
        <v>0.92130154749285698</v>
      </c>
      <c r="E3035">
        <v>0.81903230480720801</v>
      </c>
      <c r="F3035">
        <v>0.80521364387052696</v>
      </c>
      <c r="G3035">
        <v>0.63181075109969098</v>
      </c>
      <c r="H3035">
        <v>0.58068673110600999</v>
      </c>
      <c r="I3035">
        <v>0.52368085062181502</v>
      </c>
      <c r="J3035">
        <v>0.29801784646187202</v>
      </c>
      <c r="K3035">
        <v>0.20955919647843099</v>
      </c>
      <c r="L3035">
        <v>474.72944356569201</v>
      </c>
      <c r="M3035">
        <v>7.6977210441104997</v>
      </c>
      <c r="N3035">
        <v>61.671426728904699</v>
      </c>
      <c r="O3035">
        <v>57.923332664792397</v>
      </c>
      <c r="P3035">
        <v>-3.3267120921870799E-2</v>
      </c>
      <c r="Q3035">
        <v>0</v>
      </c>
      <c r="R3035">
        <v>0.95435293416502498</v>
      </c>
      <c r="S3035" t="s">
        <v>9705</v>
      </c>
      <c r="T3035" t="s">
        <v>13338</v>
      </c>
      <c r="U3035" t="s">
        <v>13338</v>
      </c>
      <c r="V3035" t="s">
        <v>13338</v>
      </c>
      <c r="W3035" t="s">
        <v>16329</v>
      </c>
      <c r="X3035">
        <v>8</v>
      </c>
      <c r="Y3035" t="s">
        <v>22875</v>
      </c>
      <c r="Z3035" t="s">
        <v>29450</v>
      </c>
      <c r="AA3035">
        <v>0.68647151737924472</v>
      </c>
      <c r="AB3035" t="str">
        <f>HYPERLINK("Melting_Curves/meltCurve_P78330_PSPH.pdf", "Melting_Curves/meltCurve_P78330_PSPH.pdf")</f>
        <v>Melting_Curves/meltCurve_P78330_PSPH.pdf</v>
      </c>
    </row>
    <row r="3036" spans="1:28" x14ac:dyDescent="0.25">
      <c r="A3036" t="s">
        <v>3040</v>
      </c>
      <c r="B3036">
        <v>0.99193492352474899</v>
      </c>
      <c r="C3036">
        <v>0.52670714939135099</v>
      </c>
      <c r="D3036">
        <v>0.55413149668842299</v>
      </c>
      <c r="E3036">
        <v>0.25887919297754203</v>
      </c>
      <c r="F3036">
        <v>0.207000227798217</v>
      </c>
      <c r="G3036">
        <v>0.13415635998228601</v>
      </c>
      <c r="H3036">
        <v>0.13279876568039001</v>
      </c>
      <c r="I3036">
        <v>0.18763216401427199</v>
      </c>
      <c r="J3036">
        <v>0.25549239068061902</v>
      </c>
      <c r="K3036">
        <v>0.25788719217025102</v>
      </c>
      <c r="L3036">
        <v>797.21302966854603</v>
      </c>
      <c r="M3036">
        <v>18.182631245241701</v>
      </c>
      <c r="N3036">
        <v>45.037812290949901</v>
      </c>
      <c r="O3036">
        <v>43.324736380551997</v>
      </c>
      <c r="P3036">
        <v>-8.4872061403373805E-2</v>
      </c>
      <c r="Q3036">
        <v>0.19112139698397801</v>
      </c>
      <c r="R3036">
        <v>0.89688721940439997</v>
      </c>
      <c r="S3036" t="s">
        <v>9706</v>
      </c>
      <c r="T3036" t="s">
        <v>13338</v>
      </c>
      <c r="U3036" t="s">
        <v>13338</v>
      </c>
      <c r="V3036" t="s">
        <v>13338</v>
      </c>
      <c r="W3036" t="s">
        <v>16330</v>
      </c>
      <c r="X3036">
        <v>18</v>
      </c>
      <c r="Y3036" t="s">
        <v>22876</v>
      </c>
      <c r="Z3036" t="s">
        <v>29451</v>
      </c>
      <c r="AA3036">
        <v>0.31476467554515891</v>
      </c>
      <c r="AB3036" t="str">
        <f>HYPERLINK("Melting_Curves/meltCurve_P78332_RBM6.pdf", "Melting_Curves/meltCurve_P78332_RBM6.pdf")</f>
        <v>Melting_Curves/meltCurve_P78332_RBM6.pdf</v>
      </c>
    </row>
    <row r="3037" spans="1:28" x14ac:dyDescent="0.25">
      <c r="A3037" t="s">
        <v>3041</v>
      </c>
      <c r="B3037">
        <v>0.99193492352474899</v>
      </c>
      <c r="C3037">
        <v>0.576841889421425</v>
      </c>
      <c r="D3037">
        <v>0.87317093490821496</v>
      </c>
      <c r="E3037">
        <v>0.43473390372996701</v>
      </c>
      <c r="F3037">
        <v>0.307964874398649</v>
      </c>
      <c r="G3037">
        <v>0.11022600758225699</v>
      </c>
      <c r="H3037">
        <v>8.2185921986819496E-2</v>
      </c>
      <c r="I3037">
        <v>8.8554260237816596E-2</v>
      </c>
      <c r="J3037">
        <v>0.102215152077493</v>
      </c>
      <c r="K3037">
        <v>0.106316727046085</v>
      </c>
      <c r="L3037">
        <v>563.38756862833498</v>
      </c>
      <c r="M3037">
        <v>11.5983980717031</v>
      </c>
      <c r="N3037">
        <v>48.876602986421702</v>
      </c>
      <c r="O3037">
        <v>47.197994058705703</v>
      </c>
      <c r="P3037">
        <v>-5.93268175510622E-2</v>
      </c>
      <c r="Q3037">
        <v>3.4578441724924497E-2</v>
      </c>
      <c r="R3037">
        <v>0.88637056101115796</v>
      </c>
      <c r="S3037" t="s">
        <v>9707</v>
      </c>
      <c r="T3037" t="s">
        <v>13338</v>
      </c>
      <c r="U3037" t="s">
        <v>13338</v>
      </c>
      <c r="V3037" t="s">
        <v>13338</v>
      </c>
      <c r="W3037" t="s">
        <v>16331</v>
      </c>
      <c r="X3037">
        <v>6</v>
      </c>
      <c r="Y3037" t="s">
        <v>22877</v>
      </c>
      <c r="Z3037" t="s">
        <v>29452</v>
      </c>
      <c r="AA3037">
        <v>0.34909022634127918</v>
      </c>
      <c r="AB3037" t="str">
        <f>HYPERLINK("Melting_Curves/meltCurve_P78345_RPP38.pdf", "Melting_Curves/meltCurve_P78345_RPP38.pdf")</f>
        <v>Melting_Curves/meltCurve_P78345_RPP38.pdf</v>
      </c>
    </row>
    <row r="3038" spans="1:28" x14ac:dyDescent="0.25">
      <c r="A3038" t="s">
        <v>3042</v>
      </c>
      <c r="B3038">
        <v>0.99193492352474899</v>
      </c>
      <c r="C3038">
        <v>0.79117906684013495</v>
      </c>
      <c r="D3038">
        <v>0.85825022779543103</v>
      </c>
      <c r="E3038">
        <v>0.66547187833645904</v>
      </c>
      <c r="F3038">
        <v>0.67116140382060996</v>
      </c>
      <c r="G3038">
        <v>0.34710096904073801</v>
      </c>
      <c r="H3038">
        <v>0.24690182171299299</v>
      </c>
      <c r="I3038">
        <v>0.147518395071498</v>
      </c>
      <c r="J3038">
        <v>0.12644969611654899</v>
      </c>
      <c r="K3038">
        <v>0.11880399238576</v>
      </c>
      <c r="L3038">
        <v>508.02475614401101</v>
      </c>
      <c r="M3038">
        <v>9.3933372769711596</v>
      </c>
      <c r="N3038">
        <v>54.083521060710403</v>
      </c>
      <c r="O3038">
        <v>51.8022094747041</v>
      </c>
      <c r="P3038">
        <v>-4.53606929001443E-2</v>
      </c>
      <c r="Q3038">
        <v>0</v>
      </c>
      <c r="R3038">
        <v>0.95970876422247897</v>
      </c>
      <c r="S3038" t="s">
        <v>9708</v>
      </c>
      <c r="T3038" t="s">
        <v>13338</v>
      </c>
      <c r="U3038" t="s">
        <v>13338</v>
      </c>
      <c r="V3038" t="s">
        <v>13338</v>
      </c>
      <c r="W3038" t="s">
        <v>16332</v>
      </c>
      <c r="X3038">
        <v>7</v>
      </c>
      <c r="Y3038" t="s">
        <v>22878</v>
      </c>
      <c r="Z3038" t="s">
        <v>29453</v>
      </c>
      <c r="AA3038">
        <v>0.50048801533880283</v>
      </c>
      <c r="AB3038" t="str">
        <f>HYPERLINK("Melting_Curves/meltCurve_P78346_RPP30.pdf", "Melting_Curves/meltCurve_P78346_RPP30.pdf")</f>
        <v>Melting_Curves/meltCurve_P78346_RPP30.pdf</v>
      </c>
    </row>
    <row r="3039" spans="1:28" x14ac:dyDescent="0.25">
      <c r="A3039" t="s">
        <v>3043</v>
      </c>
      <c r="B3039">
        <v>0.99193492352474899</v>
      </c>
      <c r="C3039">
        <v>0.34445925091270801</v>
      </c>
      <c r="D3039">
        <v>0.21637625163065999</v>
      </c>
      <c r="E3039">
        <v>0.123284369424791</v>
      </c>
      <c r="F3039">
        <v>9.5824246719884196E-2</v>
      </c>
      <c r="G3039">
        <v>5.7369944587401099E-2</v>
      </c>
      <c r="H3039">
        <v>3.4570626677721497E-2</v>
      </c>
      <c r="I3039">
        <v>3.8288484101984099E-2</v>
      </c>
      <c r="J3039">
        <v>4.5123206688767903E-2</v>
      </c>
      <c r="K3039">
        <v>4.78944320374428E-2</v>
      </c>
      <c r="L3039">
        <v>2336.2012632057699</v>
      </c>
      <c r="M3039">
        <v>55.298459465660699</v>
      </c>
      <c r="N3039">
        <v>42.380649547262102</v>
      </c>
      <c r="O3039">
        <v>42.191988737073103</v>
      </c>
      <c r="P3039">
        <v>-0.30146296656372501</v>
      </c>
      <c r="Q3039">
        <v>7.9951597162512697E-2</v>
      </c>
      <c r="R3039">
        <v>0.96720197839337796</v>
      </c>
      <c r="S3039" t="s">
        <v>9709</v>
      </c>
      <c r="T3039" t="s">
        <v>13338</v>
      </c>
      <c r="U3039" t="s">
        <v>13338</v>
      </c>
      <c r="V3039" t="s">
        <v>13338</v>
      </c>
      <c r="W3039" t="s">
        <v>16333</v>
      </c>
      <c r="X3039">
        <v>33</v>
      </c>
      <c r="Y3039" t="s">
        <v>22879</v>
      </c>
      <c r="Z3039" t="s">
        <v>29454</v>
      </c>
      <c r="AA3039">
        <v>0.15115681484615309</v>
      </c>
      <c r="AB3039" t="str">
        <f>HYPERLINK("Melting_Curves/meltCurve_P78347_2_GTF2I.pdf", "Melting_Curves/meltCurve_P78347_2_GTF2I.pdf")</f>
        <v>Melting_Curves/meltCurve_P78347_2_GTF2I.pdf</v>
      </c>
    </row>
    <row r="3040" spans="1:28" x14ac:dyDescent="0.25">
      <c r="A3040" t="s">
        <v>3044</v>
      </c>
      <c r="B3040">
        <v>0.99193492352474899</v>
      </c>
      <c r="C3040">
        <v>0.78114467511872598</v>
      </c>
      <c r="D3040">
        <v>0.91803748061956203</v>
      </c>
      <c r="E3040">
        <v>0.60258176552602005</v>
      </c>
      <c r="F3040">
        <v>0.30361490680204201</v>
      </c>
      <c r="G3040">
        <v>0.14327785232380799</v>
      </c>
      <c r="H3040">
        <v>0.11752487940987499</v>
      </c>
      <c r="I3040">
        <v>0.16351103776390699</v>
      </c>
      <c r="J3040">
        <v>0.16578240781617301</v>
      </c>
      <c r="K3040">
        <v>0.26292655002521398</v>
      </c>
      <c r="L3040">
        <v>1168.84981536536</v>
      </c>
      <c r="M3040">
        <v>23.547816475664199</v>
      </c>
      <c r="N3040">
        <v>50.470392933710997</v>
      </c>
      <c r="O3040">
        <v>49.283468311340201</v>
      </c>
      <c r="P3040">
        <v>-0.100217294939135</v>
      </c>
      <c r="Q3040">
        <v>0.16103106234047099</v>
      </c>
      <c r="R3040">
        <v>0.946341403994721</v>
      </c>
      <c r="S3040" t="s">
        <v>9710</v>
      </c>
      <c r="T3040" t="s">
        <v>13338</v>
      </c>
      <c r="U3040" t="s">
        <v>13338</v>
      </c>
      <c r="V3040" t="s">
        <v>13338</v>
      </c>
      <c r="W3040" t="s">
        <v>16334</v>
      </c>
      <c r="X3040">
        <v>11</v>
      </c>
      <c r="Y3040" t="s">
        <v>22880</v>
      </c>
      <c r="Z3040" t="s">
        <v>29455</v>
      </c>
      <c r="AA3040">
        <v>0.43897856671287261</v>
      </c>
      <c r="AB3040" t="str">
        <f>HYPERLINK("Melting_Curves/meltCurve_P78356_PIP4K2B.pdf", "Melting_Curves/meltCurve_P78356_PIP4K2B.pdf")</f>
        <v>Melting_Curves/meltCurve_P78356_PIP4K2B.pdf</v>
      </c>
    </row>
    <row r="3041" spans="1:28" x14ac:dyDescent="0.25">
      <c r="A3041" t="s">
        <v>3045</v>
      </c>
      <c r="B3041">
        <v>0.99193492352474899</v>
      </c>
      <c r="C3041">
        <v>0.50719677555391596</v>
      </c>
      <c r="D3041">
        <v>0.79341398655970197</v>
      </c>
      <c r="E3041">
        <v>0.47748580617759501</v>
      </c>
      <c r="F3041">
        <v>0.485800815354829</v>
      </c>
      <c r="G3041">
        <v>0.29718564747727899</v>
      </c>
      <c r="H3041">
        <v>9.80109702733305E-2</v>
      </c>
      <c r="I3041">
        <v>0.10250516566822</v>
      </c>
      <c r="J3041">
        <v>0.117317261141859</v>
      </c>
      <c r="K3041">
        <v>0.139317581940544</v>
      </c>
      <c r="L3041">
        <v>382.732786820488</v>
      </c>
      <c r="M3041">
        <v>7.68356774068031</v>
      </c>
      <c r="N3041">
        <v>49.811858297945697</v>
      </c>
      <c r="O3041">
        <v>46.774462693669101</v>
      </c>
      <c r="P3041">
        <v>-4.1121082491919099E-2</v>
      </c>
      <c r="Q3041">
        <v>0</v>
      </c>
      <c r="R3041">
        <v>0.84600596535785</v>
      </c>
      <c r="S3041" t="s">
        <v>9711</v>
      </c>
      <c r="T3041" t="s">
        <v>13338</v>
      </c>
      <c r="U3041" t="s">
        <v>13338</v>
      </c>
      <c r="V3041" t="s">
        <v>13338</v>
      </c>
      <c r="W3041" t="s">
        <v>16335</v>
      </c>
      <c r="X3041">
        <v>10</v>
      </c>
      <c r="Y3041" t="s">
        <v>22881</v>
      </c>
      <c r="Z3041" t="s">
        <v>29456</v>
      </c>
      <c r="AA3041">
        <v>0.39069442496434847</v>
      </c>
      <c r="AB3041" t="str">
        <f>HYPERLINK("Melting_Curves/meltCurve_P78362_SRPK2.pdf", "Melting_Curves/meltCurve_P78362_SRPK2.pdf")</f>
        <v>Melting_Curves/meltCurve_P78362_SRPK2.pdf</v>
      </c>
    </row>
    <row r="3042" spans="1:28" x14ac:dyDescent="0.25">
      <c r="A3042" t="s">
        <v>3046</v>
      </c>
      <c r="B3042">
        <v>0.99193492352474899</v>
      </c>
      <c r="C3042">
        <v>0.759773875627345</v>
      </c>
      <c r="D3042">
        <v>0.86784492041148198</v>
      </c>
      <c r="E3042">
        <v>0.66587742174428999</v>
      </c>
      <c r="F3042">
        <v>0.65002514272605605</v>
      </c>
      <c r="G3042">
        <v>0.33628334736412602</v>
      </c>
      <c r="H3042">
        <v>0.13253109375545299</v>
      </c>
      <c r="I3042">
        <v>9.3707690421355905E-2</v>
      </c>
      <c r="J3042">
        <v>8.4207576849084698E-2</v>
      </c>
      <c r="K3042">
        <v>7.5349402539623606E-2</v>
      </c>
      <c r="L3042">
        <v>587.43730134481495</v>
      </c>
      <c r="M3042">
        <v>11.000566199514299</v>
      </c>
      <c r="N3042">
        <v>53.400641343200299</v>
      </c>
      <c r="O3042">
        <v>51.726975610728999</v>
      </c>
      <c r="P3042">
        <v>-5.3184420469369498E-2</v>
      </c>
      <c r="Q3042">
        <v>0</v>
      </c>
      <c r="R3042">
        <v>0.94820993141780996</v>
      </c>
      <c r="S3042" t="s">
        <v>9712</v>
      </c>
      <c r="T3042" t="s">
        <v>13338</v>
      </c>
      <c r="U3042" t="s">
        <v>13338</v>
      </c>
      <c r="V3042" t="s">
        <v>13338</v>
      </c>
      <c r="W3042" t="s">
        <v>16336</v>
      </c>
      <c r="X3042">
        <v>45</v>
      </c>
      <c r="Y3042" t="s">
        <v>22882</v>
      </c>
      <c r="Z3042" t="s">
        <v>29457</v>
      </c>
      <c r="AA3042">
        <v>0.47671932624227981</v>
      </c>
      <c r="AB3042" t="str">
        <f>HYPERLINK("Melting_Curves/meltCurve_P78371_CCT2.pdf", "Melting_Curves/meltCurve_P78371_CCT2.pdf")</f>
        <v>Melting_Curves/meltCurve_P78371_CCT2.pdf</v>
      </c>
    </row>
    <row r="3043" spans="1:28" x14ac:dyDescent="0.25">
      <c r="A3043" t="s">
        <v>3047</v>
      </c>
      <c r="B3043">
        <v>0.99193492352474899</v>
      </c>
      <c r="C3043">
        <v>0.976194471531588</v>
      </c>
      <c r="D3043">
        <v>0.730515255795959</v>
      </c>
      <c r="E3043">
        <v>0.50155842401402895</v>
      </c>
      <c r="F3043">
        <v>0.16153790831290399</v>
      </c>
      <c r="G3043">
        <v>8.2068580305391603E-2</v>
      </c>
      <c r="H3043">
        <v>4.8925519076363701E-2</v>
      </c>
      <c r="I3043">
        <v>6.1881890654671999E-2</v>
      </c>
      <c r="J3043">
        <v>8.2680793596579205E-2</v>
      </c>
      <c r="K3043">
        <v>7.3221037385036006E-2</v>
      </c>
      <c r="L3043">
        <v>995.837690148099</v>
      </c>
      <c r="M3043">
        <v>20.424632274351801</v>
      </c>
      <c r="N3043">
        <v>49.0234436751918</v>
      </c>
      <c r="O3043">
        <v>48.296544766730499</v>
      </c>
      <c r="P3043">
        <v>-0.100168053946741</v>
      </c>
      <c r="Q3043">
        <v>5.2590084563307798E-2</v>
      </c>
      <c r="R3043">
        <v>0.99259591265565295</v>
      </c>
      <c r="S3043" t="s">
        <v>9713</v>
      </c>
      <c r="T3043" t="s">
        <v>13338</v>
      </c>
      <c r="U3043" t="s">
        <v>13338</v>
      </c>
      <c r="V3043" t="s">
        <v>13338</v>
      </c>
      <c r="W3043" t="s">
        <v>16337</v>
      </c>
      <c r="X3043">
        <v>19</v>
      </c>
      <c r="Y3043" t="s">
        <v>22883</v>
      </c>
      <c r="Z3043" t="s">
        <v>29458</v>
      </c>
      <c r="AA3043">
        <v>0.34187168122483802</v>
      </c>
      <c r="AB3043" t="str">
        <f>HYPERLINK("Melting_Curves/meltCurve_P78406_RAE1.pdf", "Melting_Curves/meltCurve_P78406_RAE1.pdf")</f>
        <v>Melting_Curves/meltCurve_P78406_RAE1.pdf</v>
      </c>
    </row>
    <row r="3044" spans="1:28" x14ac:dyDescent="0.25">
      <c r="A3044" t="s">
        <v>3048</v>
      </c>
      <c r="B3044">
        <v>0.99193492352474899</v>
      </c>
      <c r="C3044">
        <v>0.94832992706347596</v>
      </c>
      <c r="D3044">
        <v>0.93497887510898103</v>
      </c>
      <c r="E3044">
        <v>0.78904885471986796</v>
      </c>
      <c r="F3044">
        <v>0.65100429750120103</v>
      </c>
      <c r="G3044">
        <v>0.51799976608462595</v>
      </c>
      <c r="H3044">
        <v>0.33161642860020202</v>
      </c>
      <c r="I3044">
        <v>0.364534199488665</v>
      </c>
      <c r="J3044">
        <v>0.32980653153274903</v>
      </c>
      <c r="K3044">
        <v>0.26299316294077302</v>
      </c>
      <c r="L3044">
        <v>675.03002804688299</v>
      </c>
      <c r="M3044">
        <v>12.577011521897299</v>
      </c>
      <c r="N3044">
        <v>56.740258779400101</v>
      </c>
      <c r="O3044">
        <v>52.369074687911798</v>
      </c>
      <c r="P3044">
        <v>-4.5235383408790797E-2</v>
      </c>
      <c r="Q3044">
        <v>0.246733842034601</v>
      </c>
      <c r="R3044">
        <v>0.99120624253602796</v>
      </c>
      <c r="S3044" t="s">
        <v>9714</v>
      </c>
      <c r="T3044" t="s">
        <v>13338</v>
      </c>
      <c r="U3044" t="s">
        <v>13338</v>
      </c>
      <c r="V3044" t="s">
        <v>13338</v>
      </c>
      <c r="W3044" t="s">
        <v>16338</v>
      </c>
      <c r="X3044">
        <v>20</v>
      </c>
      <c r="Y3044" t="s">
        <v>22884</v>
      </c>
      <c r="Z3044" t="s">
        <v>29459</v>
      </c>
      <c r="AA3044">
        <v>0.60934349945865329</v>
      </c>
      <c r="AB3044" t="str">
        <f>HYPERLINK("Melting_Curves/meltCurve_P78417_GSTO1.pdf", "Melting_Curves/meltCurve_P78417_GSTO1.pdf")</f>
        <v>Melting_Curves/meltCurve_P78417_GSTO1.pdf</v>
      </c>
    </row>
    <row r="3045" spans="1:28" x14ac:dyDescent="0.25">
      <c r="A3045" t="s">
        <v>3049</v>
      </c>
      <c r="B3045">
        <v>0.99193492352474899</v>
      </c>
      <c r="C3045">
        <v>0.88164659406521195</v>
      </c>
      <c r="D3045">
        <v>1.3301344427630799</v>
      </c>
      <c r="E3045">
        <v>0.92500398322937205</v>
      </c>
      <c r="F3045">
        <v>0.22251798930351999</v>
      </c>
      <c r="G3045">
        <v>0.13627447288590699</v>
      </c>
      <c r="H3045">
        <v>8.1916824198781199E-2</v>
      </c>
      <c r="I3045">
        <v>8.6319201439323298E-2</v>
      </c>
      <c r="J3045">
        <v>0.110229958198896</v>
      </c>
      <c r="K3045">
        <v>0.141943062999252</v>
      </c>
      <c r="L3045">
        <v>3224.1073409339201</v>
      </c>
      <c r="M3045">
        <v>62.551596633517597</v>
      </c>
      <c r="N3045">
        <v>51.750558054336501</v>
      </c>
      <c r="O3045">
        <v>51.4905778971277</v>
      </c>
      <c r="P3045">
        <v>-0.27003589800935701</v>
      </c>
      <c r="Q3045">
        <v>0.110859115527004</v>
      </c>
      <c r="R3045">
        <v>0.93961516047756799</v>
      </c>
      <c r="S3045" t="s">
        <v>9715</v>
      </c>
      <c r="T3045" t="s">
        <v>13338</v>
      </c>
      <c r="U3045" t="s">
        <v>13338</v>
      </c>
      <c r="V3045" t="s">
        <v>13338</v>
      </c>
      <c r="W3045" t="s">
        <v>16339</v>
      </c>
      <c r="X3045">
        <v>97</v>
      </c>
      <c r="Y3045" t="s">
        <v>22885</v>
      </c>
      <c r="Z3045" t="s">
        <v>29460</v>
      </c>
      <c r="AA3045">
        <v>0.45426484969335901</v>
      </c>
      <c r="AB3045" t="str">
        <f>HYPERLINK("Melting_Curves/meltCurve_P78527_PRKDC.pdf", "Melting_Curves/meltCurve_P78527_PRKDC.pdf")</f>
        <v>Melting_Curves/meltCurve_P78527_PRKDC.pdf</v>
      </c>
    </row>
    <row r="3046" spans="1:28" x14ac:dyDescent="0.25">
      <c r="A3046" t="s">
        <v>3050</v>
      </c>
      <c r="B3046">
        <v>0.99193492352474899</v>
      </c>
      <c r="C3046">
        <v>0.97793551845280202</v>
      </c>
      <c r="D3046">
        <v>0.941019445590209</v>
      </c>
      <c r="E3046">
        <v>0.68416517773400498</v>
      </c>
      <c r="F3046">
        <v>0.47775289667762899</v>
      </c>
      <c r="G3046">
        <v>0.24689019828279099</v>
      </c>
      <c r="H3046">
        <v>0.17884055752078201</v>
      </c>
      <c r="I3046">
        <v>0.16557088805648601</v>
      </c>
      <c r="J3046">
        <v>0.24577679445725001</v>
      </c>
      <c r="K3046">
        <v>0.22556840953321899</v>
      </c>
      <c r="L3046">
        <v>1075.65627302337</v>
      </c>
      <c r="M3046">
        <v>21.088365359210901</v>
      </c>
      <c r="N3046">
        <v>52.2095165279203</v>
      </c>
      <c r="O3046">
        <v>50.555075886361998</v>
      </c>
      <c r="P3046">
        <v>-8.4226196692107805E-2</v>
      </c>
      <c r="Q3046">
        <v>0.19236046200192899</v>
      </c>
      <c r="R3046">
        <v>0.99058397024632705</v>
      </c>
      <c r="S3046" t="s">
        <v>9716</v>
      </c>
      <c r="T3046" t="s">
        <v>13338</v>
      </c>
      <c r="U3046" t="s">
        <v>13338</v>
      </c>
      <c r="V3046" t="s">
        <v>13338</v>
      </c>
      <c r="W3046" t="s">
        <v>16340</v>
      </c>
      <c r="X3046">
        <v>6</v>
      </c>
      <c r="Y3046" t="s">
        <v>22886</v>
      </c>
      <c r="Z3046" t="s">
        <v>29461</v>
      </c>
      <c r="AA3046">
        <v>0.4988308646369074</v>
      </c>
      <c r="AB3046" t="str">
        <f>HYPERLINK("Melting_Curves/meltCurve_P78536_ADAM17.pdf", "Melting_Curves/meltCurve_P78536_ADAM17.pdf")</f>
        <v>Melting_Curves/meltCurve_P78536_ADAM17.pdf</v>
      </c>
    </row>
    <row r="3047" spans="1:28" x14ac:dyDescent="0.25">
      <c r="A3047" t="s">
        <v>3051</v>
      </c>
      <c r="B3047">
        <v>0.99193492352474899</v>
      </c>
      <c r="C3047">
        <v>1.06541535766402</v>
      </c>
      <c r="D3047">
        <v>0.96198657329221604</v>
      </c>
      <c r="E3047">
        <v>0.72651020736910898</v>
      </c>
      <c r="F3047">
        <v>0.583983826525731</v>
      </c>
      <c r="G3047">
        <v>0.39313731924252199</v>
      </c>
      <c r="H3047">
        <v>0.203196686123984</v>
      </c>
      <c r="I3047">
        <v>0.137444849567391</v>
      </c>
      <c r="J3047">
        <v>0.18533451584159</v>
      </c>
      <c r="K3047">
        <v>0.16074296892210399</v>
      </c>
      <c r="L3047">
        <v>849.45704385877298</v>
      </c>
      <c r="M3047">
        <v>15.9743448000148</v>
      </c>
      <c r="N3047">
        <v>54.1720133684749</v>
      </c>
      <c r="O3047">
        <v>52.363921539369201</v>
      </c>
      <c r="P3047">
        <v>-6.6569005629267097E-2</v>
      </c>
      <c r="Q3047">
        <v>0.12721576445066601</v>
      </c>
      <c r="R3047">
        <v>0.98621271125820498</v>
      </c>
      <c r="S3047" t="s">
        <v>9717</v>
      </c>
      <c r="T3047" t="s">
        <v>13338</v>
      </c>
      <c r="U3047" t="s">
        <v>13338</v>
      </c>
      <c r="V3047" t="s">
        <v>13338</v>
      </c>
      <c r="W3047" t="s">
        <v>16341</v>
      </c>
      <c r="X3047">
        <v>5</v>
      </c>
      <c r="Y3047" t="s">
        <v>22887</v>
      </c>
      <c r="Z3047" t="s">
        <v>29462</v>
      </c>
      <c r="AA3047">
        <v>0.52761403325220146</v>
      </c>
      <c r="AB3047" t="str">
        <f>HYPERLINK("Melting_Curves/meltCurve_P78537_2_BLOC1S1.pdf", "Melting_Curves/meltCurve_P78537_2_BLOC1S1.pdf")</f>
        <v>Melting_Curves/meltCurve_P78537_2_BLOC1S1.pdf</v>
      </c>
    </row>
    <row r="3048" spans="1:28" x14ac:dyDescent="0.25">
      <c r="A3048" t="s">
        <v>3052</v>
      </c>
      <c r="B3048">
        <v>0.99193492352474899</v>
      </c>
      <c r="C3048">
        <v>0.81084817712532098</v>
      </c>
      <c r="D3048">
        <v>0.79260024755237402</v>
      </c>
      <c r="E3048">
        <v>0.65045395079130397</v>
      </c>
      <c r="F3048">
        <v>0.524988793461027</v>
      </c>
      <c r="G3048">
        <v>0.39248251265941603</v>
      </c>
      <c r="H3048">
        <v>0.29402249678354597</v>
      </c>
      <c r="I3048">
        <v>0.17786176656549499</v>
      </c>
      <c r="J3048">
        <v>0.105294879807923</v>
      </c>
      <c r="K3048">
        <v>0.126207844872366</v>
      </c>
      <c r="L3048">
        <v>443.75714364342599</v>
      </c>
      <c r="M3048">
        <v>8.3178544474929694</v>
      </c>
      <c r="N3048">
        <v>53.349952520124802</v>
      </c>
      <c r="O3048">
        <v>50.533251413769001</v>
      </c>
      <c r="P3048">
        <v>-4.1190626843985501E-2</v>
      </c>
      <c r="Q3048">
        <v>0</v>
      </c>
      <c r="R3048">
        <v>0.986438684584794</v>
      </c>
      <c r="S3048" t="s">
        <v>9718</v>
      </c>
      <c r="T3048" t="s">
        <v>13338</v>
      </c>
      <c r="U3048" t="s">
        <v>13338</v>
      </c>
      <c r="V3048" t="s">
        <v>13338</v>
      </c>
      <c r="W3048" t="s">
        <v>16342</v>
      </c>
      <c r="X3048">
        <v>9</v>
      </c>
      <c r="Y3048" t="s">
        <v>22888</v>
      </c>
      <c r="Z3048" t="s">
        <v>29463</v>
      </c>
      <c r="AA3048">
        <v>0.48253346597858698</v>
      </c>
      <c r="AB3048" t="str">
        <f>HYPERLINK("Melting_Curves/meltCurve_P78540_ARG2.pdf", "Melting_Curves/meltCurve_P78540_ARG2.pdf")</f>
        <v>Melting_Curves/meltCurve_P78540_ARG2.pdf</v>
      </c>
    </row>
    <row r="3049" spans="1:28" x14ac:dyDescent="0.25">
      <c r="A3049" t="s">
        <v>3053</v>
      </c>
      <c r="B3049">
        <v>0.99193492352474899</v>
      </c>
      <c r="C3049">
        <v>0.41287268526572202</v>
      </c>
      <c r="D3049">
        <v>0.62355629779884603</v>
      </c>
      <c r="E3049">
        <v>0.22364738001380699</v>
      </c>
      <c r="F3049">
        <v>0.15430465059062301</v>
      </c>
      <c r="G3049">
        <v>0.10154760505672999</v>
      </c>
      <c r="H3049">
        <v>5.9111467756810601E-2</v>
      </c>
      <c r="I3049">
        <v>6.8590743712904301E-2</v>
      </c>
      <c r="J3049">
        <v>8.3011872812055895E-2</v>
      </c>
      <c r="K3049">
        <v>9.4152448463046295E-2</v>
      </c>
      <c r="L3049">
        <v>590.450082389729</v>
      </c>
      <c r="M3049">
        <v>13.196996333407499</v>
      </c>
      <c r="N3049">
        <v>45.171011652708799</v>
      </c>
      <c r="O3049">
        <v>43.751340571949903</v>
      </c>
      <c r="P3049">
        <v>-7.0971948880901803E-2</v>
      </c>
      <c r="Q3049">
        <v>5.8997807068127399E-2</v>
      </c>
      <c r="R3049">
        <v>0.86077214056349205</v>
      </c>
      <c r="S3049" t="s">
        <v>9719</v>
      </c>
      <c r="T3049" t="s">
        <v>13338</v>
      </c>
      <c r="U3049" t="s">
        <v>13338</v>
      </c>
      <c r="V3049" t="s">
        <v>13338</v>
      </c>
      <c r="W3049" t="s">
        <v>16343</v>
      </c>
      <c r="X3049">
        <v>5</v>
      </c>
      <c r="Y3049" t="s">
        <v>22889</v>
      </c>
      <c r="Z3049" t="s">
        <v>29464</v>
      </c>
      <c r="AA3049">
        <v>0.24801523478213339</v>
      </c>
      <c r="AB3049" t="str">
        <f>HYPERLINK("Melting_Curves/meltCurve_P78549_NTHL1.pdf", "Melting_Curves/meltCurve_P78549_NTHL1.pdf")</f>
        <v>Melting_Curves/meltCurve_P78549_NTHL1.pdf</v>
      </c>
    </row>
    <row r="3050" spans="1:28" x14ac:dyDescent="0.25">
      <c r="A3050" t="s">
        <v>3054</v>
      </c>
      <c r="B3050">
        <v>0.99193492352474899</v>
      </c>
      <c r="C3050">
        <v>0.311585453891841</v>
      </c>
      <c r="D3050">
        <v>1.01020669989151</v>
      </c>
      <c r="E3050">
        <v>0.28659123935854203</v>
      </c>
      <c r="F3050">
        <v>0.41148494595775398</v>
      </c>
      <c r="G3050">
        <v>0.19893412761676299</v>
      </c>
      <c r="H3050">
        <v>0.60847490246021996</v>
      </c>
      <c r="I3050">
        <v>0.94630132352725405</v>
      </c>
      <c r="J3050">
        <v>1.2181481261825</v>
      </c>
      <c r="K3050">
        <v>2.1337994202370698</v>
      </c>
      <c r="L3050">
        <v>1.0000000000000001E-5</v>
      </c>
      <c r="M3050">
        <v>16.3304741001492</v>
      </c>
      <c r="Q3050">
        <v>0.811745966384402</v>
      </c>
      <c r="R3050">
        <v>-5.9285909514983397E-14</v>
      </c>
      <c r="S3050" t="s">
        <v>9720</v>
      </c>
      <c r="T3050" t="s">
        <v>13338</v>
      </c>
      <c r="U3050" t="s">
        <v>13338</v>
      </c>
      <c r="V3050" t="s">
        <v>13338</v>
      </c>
      <c r="W3050" t="s">
        <v>16344</v>
      </c>
      <c r="X3050">
        <v>2</v>
      </c>
      <c r="Y3050" t="s">
        <v>22890</v>
      </c>
      <c r="Z3050" t="s">
        <v>29465</v>
      </c>
      <c r="AA3050">
        <v>0.81174598160772804</v>
      </c>
      <c r="AB3050" t="str">
        <f>HYPERLINK("Melting_Curves/meltCurve_P79522_2_PRR3.pdf", "Melting_Curves/meltCurve_P79522_2_PRR3.pdf")</f>
        <v>Melting_Curves/meltCurve_P79522_2_PRR3.pdf</v>
      </c>
    </row>
    <row r="3051" spans="1:28" x14ac:dyDescent="0.25">
      <c r="A3051" t="s">
        <v>3055</v>
      </c>
      <c r="B3051">
        <v>0.99193492352474899</v>
      </c>
      <c r="C3051">
        <v>0.95234190626984705</v>
      </c>
      <c r="D3051">
        <v>0.85871529057053397</v>
      </c>
      <c r="E3051">
        <v>0.68047775312804004</v>
      </c>
      <c r="F3051">
        <v>0.62484523738014497</v>
      </c>
      <c r="G3051">
        <v>0.31177734212396402</v>
      </c>
      <c r="H3051">
        <v>9.6645561054179402E-2</v>
      </c>
      <c r="I3051">
        <v>6.7975558928477897E-2</v>
      </c>
      <c r="J3051">
        <v>8.5501260810818894E-2</v>
      </c>
      <c r="K3051">
        <v>5.4261695847123002E-2</v>
      </c>
      <c r="L3051">
        <v>708.63404809484905</v>
      </c>
      <c r="M3051">
        <v>13.2522857001475</v>
      </c>
      <c r="N3051">
        <v>53.472592891501698</v>
      </c>
      <c r="O3051">
        <v>52.298997283050603</v>
      </c>
      <c r="P3051">
        <v>-6.3359046620132198E-2</v>
      </c>
      <c r="Q3051">
        <v>0</v>
      </c>
      <c r="R3051">
        <v>0.98295988952686397</v>
      </c>
      <c r="S3051" t="s">
        <v>9721</v>
      </c>
      <c r="T3051" t="s">
        <v>13338</v>
      </c>
      <c r="U3051" t="s">
        <v>13338</v>
      </c>
      <c r="V3051" t="s">
        <v>13338</v>
      </c>
      <c r="W3051" t="s">
        <v>16345</v>
      </c>
      <c r="X3051">
        <v>8</v>
      </c>
      <c r="Y3051" t="s">
        <v>22891</v>
      </c>
      <c r="Z3051" t="s">
        <v>29466</v>
      </c>
      <c r="AA3051">
        <v>0.47365881725882358</v>
      </c>
      <c r="AB3051" t="str">
        <f>HYPERLINK("Melting_Curves/meltCurve_P80217_IFI35.pdf", "Melting_Curves/meltCurve_P80217_IFI35.pdf")</f>
        <v>Melting_Curves/meltCurve_P80217_IFI35.pdf</v>
      </c>
    </row>
    <row r="3052" spans="1:28" x14ac:dyDescent="0.25">
      <c r="A3052" t="s">
        <v>3056</v>
      </c>
      <c r="B3052">
        <v>0.99193492352474899</v>
      </c>
      <c r="C3052">
        <v>1.9476678342128899</v>
      </c>
      <c r="D3052">
        <v>0.64676377862212397</v>
      </c>
      <c r="E3052">
        <v>1.34908313959035</v>
      </c>
      <c r="F3052">
        <v>0.462470524857306</v>
      </c>
      <c r="G3052">
        <v>0.65476107418237195</v>
      </c>
      <c r="H3052">
        <v>0.53350868547372499</v>
      </c>
      <c r="I3052">
        <v>1.1128360215541599</v>
      </c>
      <c r="J3052">
        <v>0.50155316806851302</v>
      </c>
      <c r="K3052">
        <v>0.82311794930480398</v>
      </c>
      <c r="L3052">
        <v>5202.64512638012</v>
      </c>
      <c r="M3052">
        <v>101.039482238921</v>
      </c>
      <c r="O3052">
        <v>51.471039076820603</v>
      </c>
      <c r="P3052">
        <v>-0.157276150071715</v>
      </c>
      <c r="Q3052">
        <v>0.67952457354056095</v>
      </c>
      <c r="R3052">
        <v>0.256008965951038</v>
      </c>
      <c r="S3052" t="s">
        <v>9722</v>
      </c>
      <c r="T3052" t="s">
        <v>13338</v>
      </c>
      <c r="U3052" t="s">
        <v>13338</v>
      </c>
      <c r="V3052" t="s">
        <v>13338</v>
      </c>
      <c r="W3052" t="s">
        <v>16346</v>
      </c>
      <c r="X3052">
        <v>5</v>
      </c>
      <c r="Y3052" t="s">
        <v>22892</v>
      </c>
      <c r="Z3052" t="s">
        <v>29467</v>
      </c>
      <c r="AA3052">
        <v>0.80245707753790463</v>
      </c>
      <c r="AB3052" t="str">
        <f>HYPERLINK("Melting_Curves/meltCurve_P80297_MT1X.pdf", "Melting_Curves/meltCurve_P80297_MT1X.pdf")</f>
        <v>Melting_Curves/meltCurve_P80297_MT1X.pdf</v>
      </c>
    </row>
    <row r="3053" spans="1:28" x14ac:dyDescent="0.25">
      <c r="A3053" t="s">
        <v>3057</v>
      </c>
      <c r="B3053">
        <v>0.99193492352474899</v>
      </c>
      <c r="C3053">
        <v>0.89750586305161195</v>
      </c>
      <c r="D3053">
        <v>0.86996897205336998</v>
      </c>
      <c r="E3053">
        <v>0.78460269555149198</v>
      </c>
      <c r="F3053">
        <v>0.643338992473941</v>
      </c>
      <c r="G3053">
        <v>0.46488497253974598</v>
      </c>
      <c r="H3053">
        <v>0.404891439358608</v>
      </c>
      <c r="I3053">
        <v>0.461493112791453</v>
      </c>
      <c r="J3053">
        <v>0.587862805070683</v>
      </c>
      <c r="K3053">
        <v>0.76256580182682199</v>
      </c>
      <c r="L3053">
        <v>934.96429845780801</v>
      </c>
      <c r="M3053">
        <v>19.175923406889599</v>
      </c>
      <c r="O3053">
        <v>48.236240618168502</v>
      </c>
      <c r="P3053">
        <v>-4.5947962261983902E-2</v>
      </c>
      <c r="Q3053">
        <v>0.53769700926046204</v>
      </c>
      <c r="R3053">
        <v>0.73900198222603797</v>
      </c>
      <c r="S3053" t="s">
        <v>9723</v>
      </c>
      <c r="T3053" t="s">
        <v>13338</v>
      </c>
      <c r="U3053" t="s">
        <v>13338</v>
      </c>
      <c r="V3053" t="s">
        <v>13338</v>
      </c>
      <c r="W3053" t="s">
        <v>16347</v>
      </c>
      <c r="X3053">
        <v>33</v>
      </c>
      <c r="Y3053" t="s">
        <v>22893</v>
      </c>
      <c r="Z3053" t="s">
        <v>29468</v>
      </c>
      <c r="AA3053">
        <v>0.67972264848743891</v>
      </c>
      <c r="AB3053" t="str">
        <f>HYPERLINK("Melting_Curves/meltCurve_P80303_NUCB2.pdf", "Melting_Curves/meltCurve_P80303_NUCB2.pdf")</f>
        <v>Melting_Curves/meltCurve_P80303_NUCB2.pdf</v>
      </c>
    </row>
    <row r="3054" spans="1:28" x14ac:dyDescent="0.25">
      <c r="A3054" t="s">
        <v>3058</v>
      </c>
      <c r="B3054">
        <v>0.99193492352474899</v>
      </c>
      <c r="C3054">
        <v>1.1230442504126801</v>
      </c>
      <c r="D3054">
        <v>1.0400176293632399</v>
      </c>
      <c r="E3054">
        <v>0.86672770092747198</v>
      </c>
      <c r="F3054">
        <v>1.0465181571591899</v>
      </c>
      <c r="G3054">
        <v>0.89832210152159198</v>
      </c>
      <c r="H3054">
        <v>0.72380139095582396</v>
      </c>
      <c r="I3054">
        <v>0.73582562937748797</v>
      </c>
      <c r="J3054">
        <v>1.06256786794439</v>
      </c>
      <c r="K3054">
        <v>1.56100918480647</v>
      </c>
      <c r="L3054">
        <v>15000</v>
      </c>
      <c r="M3054">
        <v>221.608848144711</v>
      </c>
      <c r="O3054">
        <v>67.681316413519696</v>
      </c>
      <c r="P3054">
        <v>0.40928734556153901</v>
      </c>
      <c r="Q3054">
        <v>1.5</v>
      </c>
      <c r="R3054">
        <v>0.615071303151011</v>
      </c>
      <c r="S3054" t="s">
        <v>9724</v>
      </c>
      <c r="T3054" t="s">
        <v>13338</v>
      </c>
      <c r="U3054" t="s">
        <v>13338</v>
      </c>
      <c r="V3054" t="s">
        <v>13338</v>
      </c>
      <c r="W3054" t="s">
        <v>16348</v>
      </c>
      <c r="X3054">
        <v>2</v>
      </c>
      <c r="Y3054" t="s">
        <v>22894</v>
      </c>
      <c r="Z3054" t="s">
        <v>29469</v>
      </c>
      <c r="AA3054">
        <v>1.0384808997617061</v>
      </c>
      <c r="AB3054" t="str">
        <f>HYPERLINK("Melting_Curves/meltCurve_P81605_DCD.pdf", "Melting_Curves/meltCurve_P81605_DCD.pdf")</f>
        <v>Melting_Curves/meltCurve_P81605_DCD.pdf</v>
      </c>
    </row>
    <row r="3055" spans="1:28" x14ac:dyDescent="0.25">
      <c r="A3055" t="s">
        <v>3059</v>
      </c>
      <c r="B3055">
        <v>0.99193492352474899</v>
      </c>
      <c r="C3055">
        <v>0.87942514955787399</v>
      </c>
      <c r="D3055">
        <v>0.82147732032174303</v>
      </c>
      <c r="E3055">
        <v>0.52904055180106202</v>
      </c>
      <c r="F3055">
        <v>0.37959751168658401</v>
      </c>
      <c r="G3055">
        <v>0.29281264628925502</v>
      </c>
      <c r="H3055">
        <v>0.287685658606606</v>
      </c>
      <c r="I3055">
        <v>0.445036443738345</v>
      </c>
      <c r="J3055">
        <v>0.61575945453593395</v>
      </c>
      <c r="K3055">
        <v>0.81251529674179701</v>
      </c>
      <c r="L3055">
        <v>1550.9095199095</v>
      </c>
      <c r="M3055">
        <v>33.289390738783801</v>
      </c>
      <c r="N3055">
        <v>50.973029123779298</v>
      </c>
      <c r="O3055">
        <v>46.421547772624599</v>
      </c>
      <c r="P3055">
        <v>-9.4755801752565996E-2</v>
      </c>
      <c r="Q3055">
        <v>0.47146022769248702</v>
      </c>
      <c r="R3055">
        <v>0.62453110048749305</v>
      </c>
      <c r="S3055" t="s">
        <v>9725</v>
      </c>
      <c r="T3055" t="s">
        <v>13338</v>
      </c>
      <c r="U3055" t="s">
        <v>13338</v>
      </c>
      <c r="V3055" t="s">
        <v>13338</v>
      </c>
      <c r="W3055" t="s">
        <v>16349</v>
      </c>
      <c r="X3055">
        <v>30</v>
      </c>
      <c r="Y3055" t="s">
        <v>22895</v>
      </c>
      <c r="Z3055" t="s">
        <v>29470</v>
      </c>
      <c r="AA3055">
        <v>0.59007878657756452</v>
      </c>
      <c r="AB3055" t="str">
        <f>HYPERLINK("Melting_Curves/meltCurve_P82094_TMF1.pdf", "Melting_Curves/meltCurve_P82094_TMF1.pdf")</f>
        <v>Melting_Curves/meltCurve_P82094_TMF1.pdf</v>
      </c>
    </row>
    <row r="3056" spans="1:28" x14ac:dyDescent="0.25">
      <c r="A3056" t="s">
        <v>3060</v>
      </c>
      <c r="B3056">
        <v>0.99193492352474899</v>
      </c>
      <c r="C3056">
        <v>0.59748187073951298</v>
      </c>
      <c r="D3056">
        <v>0.61690126089407205</v>
      </c>
      <c r="E3056">
        <v>0.47401599797930299</v>
      </c>
      <c r="F3056">
        <v>0.18332500338136501</v>
      </c>
      <c r="G3056">
        <v>0.16380522104576201</v>
      </c>
      <c r="H3056">
        <v>0.116695359081887</v>
      </c>
      <c r="I3056">
        <v>0.165989506573791</v>
      </c>
      <c r="J3056">
        <v>0.136241241737314</v>
      </c>
      <c r="K3056">
        <v>0.173100065880499</v>
      </c>
      <c r="L3056">
        <v>572.22553760003302</v>
      </c>
      <c r="M3056">
        <v>12.3988825267334</v>
      </c>
      <c r="N3056">
        <v>47.153018735799698</v>
      </c>
      <c r="O3056">
        <v>45.000179781404</v>
      </c>
      <c r="P3056">
        <v>-6.0920638497202598E-2</v>
      </c>
      <c r="Q3056">
        <v>0.11577308354793001</v>
      </c>
      <c r="R3056">
        <v>0.92667987250456996</v>
      </c>
      <c r="S3056" t="s">
        <v>9726</v>
      </c>
      <c r="T3056" t="s">
        <v>13338</v>
      </c>
      <c r="U3056" t="s">
        <v>13338</v>
      </c>
      <c r="V3056" t="s">
        <v>13338</v>
      </c>
      <c r="W3056" t="s">
        <v>16350</v>
      </c>
      <c r="X3056">
        <v>3</v>
      </c>
      <c r="Y3056" t="s">
        <v>22896</v>
      </c>
      <c r="Z3056" t="s">
        <v>29471</v>
      </c>
      <c r="AA3056">
        <v>0.33443140983354153</v>
      </c>
      <c r="AB3056" t="str">
        <f>HYPERLINK("Melting_Curves/meltCurve_P82664_MRPS10.pdf", "Melting_Curves/meltCurve_P82664_MRPS10.pdf")</f>
        <v>Melting_Curves/meltCurve_P82664_MRPS10.pdf</v>
      </c>
    </row>
    <row r="3057" spans="1:28" x14ac:dyDescent="0.25">
      <c r="A3057" t="s">
        <v>3061</v>
      </c>
      <c r="B3057">
        <v>0.99193492352474899</v>
      </c>
      <c r="C3057">
        <v>0.446019556190412</v>
      </c>
      <c r="D3057">
        <v>0.59202697072447596</v>
      </c>
      <c r="E3057">
        <v>0.28893338784337103</v>
      </c>
      <c r="F3057">
        <v>0.123949533442272</v>
      </c>
      <c r="G3057">
        <v>6.1925436335571203E-2</v>
      </c>
      <c r="H3057">
        <v>3.28117017153624E-2</v>
      </c>
      <c r="I3057">
        <v>3.3158225615237E-2</v>
      </c>
      <c r="J3057">
        <v>4.4947760341822303E-2</v>
      </c>
      <c r="K3057">
        <v>4.5058347374567001E-2</v>
      </c>
      <c r="L3057">
        <v>555.39864376490402</v>
      </c>
      <c r="M3057">
        <v>12.2354551985371</v>
      </c>
      <c r="N3057">
        <v>45.4675113825419</v>
      </c>
      <c r="O3057">
        <v>44.231087241833301</v>
      </c>
      <c r="P3057">
        <v>-6.8481490011485693E-2</v>
      </c>
      <c r="Q3057">
        <v>9.9805544172461205E-3</v>
      </c>
      <c r="R3057">
        <v>0.89943124651376105</v>
      </c>
      <c r="S3057" t="s">
        <v>9727</v>
      </c>
      <c r="T3057" t="s">
        <v>13338</v>
      </c>
      <c r="U3057" t="s">
        <v>13338</v>
      </c>
      <c r="V3057" t="s">
        <v>13338</v>
      </c>
      <c r="W3057" t="s">
        <v>16351</v>
      </c>
      <c r="X3057">
        <v>5</v>
      </c>
      <c r="Y3057" t="s">
        <v>22897</v>
      </c>
      <c r="Z3057" t="s">
        <v>29472</v>
      </c>
      <c r="AA3057">
        <v>0.23383451946504979</v>
      </c>
      <c r="AB3057" t="str">
        <f>HYPERLINK("Melting_Curves/meltCurve_P82673_MRPS35.pdf", "Melting_Curves/meltCurve_P82673_MRPS35.pdf")</f>
        <v>Melting_Curves/meltCurve_P82673_MRPS35.pdf</v>
      </c>
    </row>
    <row r="3058" spans="1:28" x14ac:dyDescent="0.25">
      <c r="A3058" t="s">
        <v>3062</v>
      </c>
      <c r="B3058">
        <v>0.99193492352474899</v>
      </c>
      <c r="C3058">
        <v>0.69087741551581805</v>
      </c>
      <c r="D3058">
        <v>0.786263969627499</v>
      </c>
      <c r="E3058">
        <v>0.61237546494723605</v>
      </c>
      <c r="F3058">
        <v>0.58838654971848403</v>
      </c>
      <c r="G3058">
        <v>0.40283401736823798</v>
      </c>
      <c r="H3058">
        <v>0.41348305045595102</v>
      </c>
      <c r="I3058">
        <v>0.47883598052195597</v>
      </c>
      <c r="J3058">
        <v>0.61781124092297102</v>
      </c>
      <c r="K3058">
        <v>0.80927434395492304</v>
      </c>
      <c r="L3058">
        <v>746.415037104872</v>
      </c>
      <c r="M3058">
        <v>17.106700913335398</v>
      </c>
      <c r="O3058">
        <v>43.049738963452803</v>
      </c>
      <c r="P3058">
        <v>-4.4378569207771702E-2</v>
      </c>
      <c r="Q3058">
        <v>0.553304726844001</v>
      </c>
      <c r="R3058">
        <v>0.52109629203464003</v>
      </c>
      <c r="S3058" t="s">
        <v>9728</v>
      </c>
      <c r="T3058" t="s">
        <v>13338</v>
      </c>
      <c r="U3058" t="s">
        <v>13338</v>
      </c>
      <c r="V3058" t="s">
        <v>13338</v>
      </c>
      <c r="W3058" t="s">
        <v>13682</v>
      </c>
      <c r="X3058">
        <v>5</v>
      </c>
      <c r="Y3058" t="s">
        <v>20286</v>
      </c>
      <c r="Z3058" t="s">
        <v>29473</v>
      </c>
      <c r="AA3058">
        <v>0.62042373840115017</v>
      </c>
      <c r="AB3058" t="str">
        <f>HYPERLINK("Melting_Curves/meltCurve_P82909_MRPS36.pdf", "Melting_Curves/meltCurve_P82909_MRPS36.pdf")</f>
        <v>Melting_Curves/meltCurve_P82909_MRPS36.pdf</v>
      </c>
    </row>
    <row r="3059" spans="1:28" x14ac:dyDescent="0.25">
      <c r="A3059" t="s">
        <v>3063</v>
      </c>
      <c r="B3059">
        <v>0.99193492352474899</v>
      </c>
      <c r="C3059">
        <v>0.394658457359857</v>
      </c>
      <c r="D3059">
        <v>0.72698415902131597</v>
      </c>
      <c r="E3059">
        <v>0.28710603522532901</v>
      </c>
      <c r="F3059">
        <v>0.13851099647596701</v>
      </c>
      <c r="G3059">
        <v>8.0284357730236997E-2</v>
      </c>
      <c r="H3059">
        <v>6.6816267981204103E-2</v>
      </c>
      <c r="I3059">
        <v>3.28372901202185E-2</v>
      </c>
      <c r="J3059">
        <v>4.1209585854694003E-2</v>
      </c>
      <c r="K3059">
        <v>4.9379542195494598E-2</v>
      </c>
      <c r="L3059">
        <v>509.48917448585001</v>
      </c>
      <c r="M3059">
        <v>11.072950423136801</v>
      </c>
      <c r="N3059">
        <v>46.012058194088297</v>
      </c>
      <c r="O3059">
        <v>44.587818385829102</v>
      </c>
      <c r="P3059">
        <v>-6.2105517951545702E-2</v>
      </c>
      <c r="Q3059">
        <v>0</v>
      </c>
      <c r="R3059">
        <v>0.83346592603133896</v>
      </c>
      <c r="S3059" t="s">
        <v>9729</v>
      </c>
      <c r="T3059" t="s">
        <v>13338</v>
      </c>
      <c r="U3059" t="s">
        <v>13338</v>
      </c>
      <c r="V3059" t="s">
        <v>13338</v>
      </c>
      <c r="W3059" t="s">
        <v>16352</v>
      </c>
      <c r="X3059">
        <v>1</v>
      </c>
      <c r="Y3059" t="s">
        <v>22898</v>
      </c>
      <c r="Z3059" t="s">
        <v>29474</v>
      </c>
      <c r="AA3059">
        <v>0.25298315840376989</v>
      </c>
      <c r="AB3059" t="str">
        <f>HYPERLINK("Melting_Curves/meltCurve_P82912_2_MRPS11.pdf", "Melting_Curves/meltCurve_P82912_2_MRPS11.pdf")</f>
        <v>Melting_Curves/meltCurve_P82912_2_MRPS11.pdf</v>
      </c>
    </row>
    <row r="3060" spans="1:28" x14ac:dyDescent="0.25">
      <c r="A3060" t="s">
        <v>3064</v>
      </c>
      <c r="B3060">
        <v>0.99193492352474899</v>
      </c>
      <c r="C3060">
        <v>0.67585338590789401</v>
      </c>
      <c r="D3060">
        <v>0.76609835325667996</v>
      </c>
      <c r="E3060">
        <v>0.30582086625612598</v>
      </c>
      <c r="F3060">
        <v>0.13636049334730899</v>
      </c>
      <c r="G3060">
        <v>6.27942760148716E-2</v>
      </c>
      <c r="H3060">
        <v>2.4845599448766201E-2</v>
      </c>
      <c r="I3060">
        <v>2.39580770601662E-2</v>
      </c>
      <c r="J3060">
        <v>5.4084886056966999E-2</v>
      </c>
      <c r="K3060">
        <v>2.5228613015858499E-2</v>
      </c>
      <c r="L3060">
        <v>737.51394802122695</v>
      </c>
      <c r="M3060">
        <v>15.535594535774599</v>
      </c>
      <c r="N3060">
        <v>47.5151795630034</v>
      </c>
      <c r="O3060">
        <v>46.706840299887197</v>
      </c>
      <c r="P3060">
        <v>-8.2586380221313996E-2</v>
      </c>
      <c r="Q3060">
        <v>6.9236480757456104E-3</v>
      </c>
      <c r="R3060">
        <v>0.95585691947695905</v>
      </c>
      <c r="S3060" t="s">
        <v>9730</v>
      </c>
      <c r="T3060" t="s">
        <v>13338</v>
      </c>
      <c r="U3060" t="s">
        <v>13338</v>
      </c>
      <c r="V3060" t="s">
        <v>13338</v>
      </c>
      <c r="W3060" t="s">
        <v>16353</v>
      </c>
      <c r="X3060">
        <v>1</v>
      </c>
      <c r="Y3060" t="s">
        <v>22899</v>
      </c>
      <c r="Z3060" t="s">
        <v>29475</v>
      </c>
      <c r="AA3060">
        <v>0.27872041374312412</v>
      </c>
      <c r="AB3060" t="str">
        <f>HYPERLINK("Melting_Curves/meltCurve_P82921_MRPS21.pdf", "Melting_Curves/meltCurve_P82921_MRPS21.pdf")</f>
        <v>Melting_Curves/meltCurve_P82921_MRPS21.pdf</v>
      </c>
    </row>
    <row r="3061" spans="1:28" x14ac:dyDescent="0.25">
      <c r="A3061" t="s">
        <v>3065</v>
      </c>
      <c r="B3061">
        <v>0.99193492352474899</v>
      </c>
      <c r="C3061">
        <v>0.84833683235465296</v>
      </c>
      <c r="D3061">
        <v>0.91936324089698396</v>
      </c>
      <c r="E3061">
        <v>0.67022594180922601</v>
      </c>
      <c r="F3061">
        <v>0.45849041765772802</v>
      </c>
      <c r="G3061">
        <v>0.28891065695013202</v>
      </c>
      <c r="H3061">
        <v>0.21871869285481299</v>
      </c>
      <c r="I3061">
        <v>0.2067771013194</v>
      </c>
      <c r="J3061">
        <v>0.19187487173244899</v>
      </c>
      <c r="K3061">
        <v>0.178412357289012</v>
      </c>
      <c r="L3061">
        <v>777.78852071197798</v>
      </c>
      <c r="M3061">
        <v>15.2489961196521</v>
      </c>
      <c r="N3061">
        <v>52.353560300484801</v>
      </c>
      <c r="O3061">
        <v>50.152835788019601</v>
      </c>
      <c r="P3061">
        <v>-6.3679664287219398E-2</v>
      </c>
      <c r="Q3061">
        <v>0.16232825997741401</v>
      </c>
      <c r="R3061">
        <v>0.98467153564584897</v>
      </c>
      <c r="S3061" t="s">
        <v>9731</v>
      </c>
      <c r="T3061" t="s">
        <v>13338</v>
      </c>
      <c r="U3061" t="s">
        <v>13338</v>
      </c>
      <c r="V3061" t="s">
        <v>13338</v>
      </c>
      <c r="W3061" t="s">
        <v>16354</v>
      </c>
      <c r="X3061">
        <v>1</v>
      </c>
      <c r="Y3061" t="s">
        <v>22900</v>
      </c>
      <c r="Z3061" t="s">
        <v>29476</v>
      </c>
      <c r="AA3061">
        <v>0.48846769211064411</v>
      </c>
      <c r="AB3061" t="str">
        <f>HYPERLINK("Melting_Curves/meltCurve_P82932_MRPS6.pdf", "Melting_Curves/meltCurve_P82932_MRPS6.pdf")</f>
        <v>Melting_Curves/meltCurve_P82932_MRPS6.pdf</v>
      </c>
    </row>
    <row r="3062" spans="1:28" x14ac:dyDescent="0.25">
      <c r="A3062" t="s">
        <v>3066</v>
      </c>
      <c r="B3062">
        <v>0.99193492352474899</v>
      </c>
      <c r="C3062">
        <v>0.40505993147161901</v>
      </c>
      <c r="D3062">
        <v>0.72540064406036697</v>
      </c>
      <c r="E3062">
        <v>0.25360372573017198</v>
      </c>
      <c r="F3062">
        <v>0.15981574636562401</v>
      </c>
      <c r="G3062">
        <v>6.8484318893502996E-2</v>
      </c>
      <c r="H3062">
        <v>4.4460961931604301E-2</v>
      </c>
      <c r="I3062">
        <v>5.4193514033730898E-2</v>
      </c>
      <c r="J3062">
        <v>5.7381166498213697E-2</v>
      </c>
      <c r="K3062">
        <v>6.2890137938984694E-2</v>
      </c>
      <c r="L3062">
        <v>534.20333145242103</v>
      </c>
      <c r="M3062">
        <v>11.6675209545309</v>
      </c>
      <c r="N3062">
        <v>45.905841705640597</v>
      </c>
      <c r="O3062">
        <v>44.502569872611701</v>
      </c>
      <c r="P3062">
        <v>-6.4574446267027699E-2</v>
      </c>
      <c r="Q3062">
        <v>1.505892681892E-2</v>
      </c>
      <c r="R3062">
        <v>0.83475188988474602</v>
      </c>
      <c r="S3062" t="s">
        <v>9732</v>
      </c>
      <c r="T3062" t="s">
        <v>13338</v>
      </c>
      <c r="U3062" t="s">
        <v>13338</v>
      </c>
      <c r="V3062" t="s">
        <v>13338</v>
      </c>
      <c r="W3062" t="s">
        <v>16355</v>
      </c>
      <c r="X3062">
        <v>6</v>
      </c>
      <c r="Y3062" t="s">
        <v>22901</v>
      </c>
      <c r="Z3062" t="s">
        <v>29477</v>
      </c>
      <c r="AA3062">
        <v>0.25310574528824997</v>
      </c>
      <c r="AB3062" t="str">
        <f>HYPERLINK("Melting_Curves/meltCurve_P82933_MRPS9.pdf", "Melting_Curves/meltCurve_P82933_MRPS9.pdf")</f>
        <v>Melting_Curves/meltCurve_P82933_MRPS9.pdf</v>
      </c>
    </row>
    <row r="3063" spans="1:28" x14ac:dyDescent="0.25">
      <c r="A3063" t="s">
        <v>3067</v>
      </c>
      <c r="B3063">
        <v>0.99193492352474899</v>
      </c>
      <c r="C3063">
        <v>0.618933022258771</v>
      </c>
      <c r="D3063">
        <v>0.74819039386104402</v>
      </c>
      <c r="E3063">
        <v>0.68213421752120595</v>
      </c>
      <c r="F3063">
        <v>0.53931741286807</v>
      </c>
      <c r="G3063">
        <v>0.29486714405354197</v>
      </c>
      <c r="H3063">
        <v>0.37230385201096799</v>
      </c>
      <c r="I3063">
        <v>0.39454791299790998</v>
      </c>
      <c r="J3063">
        <v>0.44301305428769999</v>
      </c>
      <c r="K3063">
        <v>0.81827864575027698</v>
      </c>
      <c r="L3063">
        <v>606.67060691193797</v>
      </c>
      <c r="M3063">
        <v>13.767274328159701</v>
      </c>
      <c r="N3063">
        <v>57.1811175112393</v>
      </c>
      <c r="O3063">
        <v>43.167607125147299</v>
      </c>
      <c r="P3063">
        <v>-4.1566954117078697E-2</v>
      </c>
      <c r="Q3063">
        <v>0.478737060197586</v>
      </c>
      <c r="R3063">
        <v>0.46829918540791698</v>
      </c>
      <c r="S3063" t="s">
        <v>9733</v>
      </c>
      <c r="T3063" t="s">
        <v>13338</v>
      </c>
      <c r="U3063" t="s">
        <v>13338</v>
      </c>
      <c r="V3063" t="s">
        <v>13338</v>
      </c>
      <c r="W3063" t="s">
        <v>16356</v>
      </c>
      <c r="X3063">
        <v>14</v>
      </c>
      <c r="Y3063" t="s">
        <v>22902</v>
      </c>
      <c r="Z3063" t="s">
        <v>29478</v>
      </c>
      <c r="AA3063">
        <v>0.57162420789630752</v>
      </c>
      <c r="AB3063" t="str">
        <f>HYPERLINK("Melting_Curves/meltCurve_P82979_SARNP.pdf", "Melting_Curves/meltCurve_P82979_SARNP.pdf")</f>
        <v>Melting_Curves/meltCurve_P82979_SARNP.pdf</v>
      </c>
    </row>
    <row r="3064" spans="1:28" x14ac:dyDescent="0.25">
      <c r="A3064" t="s">
        <v>3068</v>
      </c>
      <c r="B3064">
        <v>0.99193492352474899</v>
      </c>
      <c r="C3064">
        <v>0.51684199675348996</v>
      </c>
      <c r="D3064">
        <v>0.89638192864588095</v>
      </c>
      <c r="E3064">
        <v>0.50511217888802196</v>
      </c>
      <c r="F3064">
        <v>0.206895853720648</v>
      </c>
      <c r="G3064">
        <v>9.1743759172177197E-2</v>
      </c>
      <c r="H3064">
        <v>5.4434036849400201E-2</v>
      </c>
      <c r="I3064">
        <v>6.8516395141317105E-2</v>
      </c>
      <c r="J3064">
        <v>6.5415388142936098E-2</v>
      </c>
      <c r="K3064">
        <v>6.8850861568174701E-2</v>
      </c>
      <c r="L3064">
        <v>570.14103115570697</v>
      </c>
      <c r="M3064">
        <v>11.6861859468583</v>
      </c>
      <c r="N3064">
        <v>48.787610845250299</v>
      </c>
      <c r="O3064">
        <v>47.424688976023901</v>
      </c>
      <c r="P3064">
        <v>-6.1620369464158498E-2</v>
      </c>
      <c r="Q3064">
        <v>0</v>
      </c>
      <c r="R3064">
        <v>0.85469762746484201</v>
      </c>
      <c r="S3064" t="s">
        <v>9734</v>
      </c>
      <c r="T3064" t="s">
        <v>13338</v>
      </c>
      <c r="U3064" t="s">
        <v>13338</v>
      </c>
      <c r="V3064" t="s">
        <v>13338</v>
      </c>
      <c r="W3064" t="s">
        <v>16357</v>
      </c>
      <c r="X3064">
        <v>8</v>
      </c>
      <c r="Y3064" t="s">
        <v>22903</v>
      </c>
      <c r="Z3064" t="s">
        <v>29479</v>
      </c>
      <c r="AA3064">
        <v>0.33183374568780061</v>
      </c>
      <c r="AB3064" t="str">
        <f>HYPERLINK("Melting_Curves/meltCurve_P83111_LACTB.pdf", "Melting_Curves/meltCurve_P83111_LACTB.pdf")</f>
        <v>Melting_Curves/meltCurve_P83111_LACTB.pdf</v>
      </c>
    </row>
    <row r="3065" spans="1:28" x14ac:dyDescent="0.25">
      <c r="A3065" t="s">
        <v>3069</v>
      </c>
      <c r="B3065">
        <v>0.99193492352474899</v>
      </c>
      <c r="C3065">
        <v>0.66395465190898695</v>
      </c>
      <c r="D3065">
        <v>0.425564277927928</v>
      </c>
      <c r="E3065">
        <v>0.168774057535026</v>
      </c>
      <c r="F3065">
        <v>0.170276813831443</v>
      </c>
      <c r="G3065">
        <v>8.9978141259915101E-2</v>
      </c>
      <c r="H3065">
        <v>5.9813706046040797E-2</v>
      </c>
      <c r="I3065">
        <v>4.9794366717829899E-2</v>
      </c>
      <c r="J3065">
        <v>4.8042521456007001E-2</v>
      </c>
      <c r="K3065">
        <v>6.1007737532457397E-2</v>
      </c>
      <c r="L3065">
        <v>867.63218901295704</v>
      </c>
      <c r="M3065">
        <v>19.402169490577499</v>
      </c>
      <c r="N3065">
        <v>45.047359992513201</v>
      </c>
      <c r="O3065">
        <v>44.251389539278598</v>
      </c>
      <c r="P3065">
        <v>-0.10237468598848699</v>
      </c>
      <c r="Q3065">
        <v>6.6072304621510106E-2</v>
      </c>
      <c r="R3065">
        <v>0.98478438772912202</v>
      </c>
      <c r="S3065" t="s">
        <v>9735</v>
      </c>
      <c r="T3065" t="s">
        <v>13338</v>
      </c>
      <c r="U3065" t="s">
        <v>13338</v>
      </c>
      <c r="V3065" t="s">
        <v>13338</v>
      </c>
      <c r="W3065" t="s">
        <v>16358</v>
      </c>
      <c r="X3065">
        <v>6</v>
      </c>
      <c r="Y3065" t="s">
        <v>22904</v>
      </c>
      <c r="Z3065" t="s">
        <v>29480</v>
      </c>
      <c r="AA3065">
        <v>0.23050378400633259</v>
      </c>
      <c r="AB3065" t="str">
        <f>HYPERLINK("Melting_Curves/meltCurve_P83436_COG7.pdf", "Melting_Curves/meltCurve_P83436_COG7.pdf")</f>
        <v>Melting_Curves/meltCurve_P83436_COG7.pdf</v>
      </c>
    </row>
    <row r="3066" spans="1:28" x14ac:dyDescent="0.25">
      <c r="A3066" t="s">
        <v>3070</v>
      </c>
      <c r="B3066">
        <v>0.99193492352474899</v>
      </c>
      <c r="C3066">
        <v>0.44350244096709002</v>
      </c>
      <c r="D3066">
        <v>1.0441131825621</v>
      </c>
      <c r="E3066">
        <v>0.52522079180010195</v>
      </c>
      <c r="F3066">
        <v>0.52992713268291303</v>
      </c>
      <c r="G3066">
        <v>0.124935306437519</v>
      </c>
      <c r="H3066">
        <v>8.5517790584366302E-2</v>
      </c>
      <c r="I3066">
        <v>7.2441660213153097E-2</v>
      </c>
      <c r="J3066">
        <v>7.4352841665800001E-2</v>
      </c>
      <c r="K3066">
        <v>0.150649710118654</v>
      </c>
      <c r="L3066">
        <v>511.81053385875498</v>
      </c>
      <c r="M3066">
        <v>10.0642470753788</v>
      </c>
      <c r="N3066">
        <v>50.854329190160797</v>
      </c>
      <c r="O3066">
        <v>48.968953163442997</v>
      </c>
      <c r="P3066">
        <v>-5.14051409628608E-2</v>
      </c>
      <c r="Q3066">
        <v>0</v>
      </c>
      <c r="R3066">
        <v>0.73893114615344901</v>
      </c>
      <c r="S3066" t="s">
        <v>9736</v>
      </c>
      <c r="T3066" t="s">
        <v>13338</v>
      </c>
      <c r="U3066" t="s">
        <v>13338</v>
      </c>
      <c r="V3066" t="s">
        <v>13338</v>
      </c>
      <c r="W3066" t="s">
        <v>16359</v>
      </c>
      <c r="X3066">
        <v>3</v>
      </c>
      <c r="Y3066" t="s">
        <v>22905</v>
      </c>
      <c r="Z3066" t="s">
        <v>29481</v>
      </c>
      <c r="AA3066">
        <v>0.40358818514539568</v>
      </c>
      <c r="AB3066" t="str">
        <f>HYPERLINK("Melting_Curves/meltCurve_P83876_TXNL4A.pdf", "Melting_Curves/meltCurve_P83876_TXNL4A.pdf")</f>
        <v>Melting_Curves/meltCurve_P83876_TXNL4A.pdf</v>
      </c>
    </row>
    <row r="3067" spans="1:28" x14ac:dyDescent="0.25">
      <c r="A3067" t="s">
        <v>3071</v>
      </c>
      <c r="B3067">
        <v>0.99193492352474899</v>
      </c>
      <c r="C3067">
        <v>0.81932906600189404</v>
      </c>
      <c r="D3067">
        <v>1.00835910640134</v>
      </c>
      <c r="E3067">
        <v>0.732723069444153</v>
      </c>
      <c r="F3067">
        <v>0.74260890693158299</v>
      </c>
      <c r="G3067">
        <v>0.41129933836974503</v>
      </c>
      <c r="H3067">
        <v>0.19793913241542899</v>
      </c>
      <c r="I3067">
        <v>0.121177041941296</v>
      </c>
      <c r="J3067">
        <v>0.13381431476452901</v>
      </c>
      <c r="K3067">
        <v>0.12441291658407801</v>
      </c>
      <c r="L3067">
        <v>764.51270601959698</v>
      </c>
      <c r="M3067">
        <v>13.8754552770672</v>
      </c>
      <c r="N3067">
        <v>55.4270430184378</v>
      </c>
      <c r="O3067">
        <v>53.991605477679002</v>
      </c>
      <c r="P3067">
        <v>-6.1718135646936199E-2</v>
      </c>
      <c r="Q3067">
        <v>3.9511365148593998E-2</v>
      </c>
      <c r="R3067">
        <v>0.953203970073912</v>
      </c>
      <c r="S3067" t="s">
        <v>9737</v>
      </c>
      <c r="T3067" t="s">
        <v>13338</v>
      </c>
      <c r="U3067" t="s">
        <v>13338</v>
      </c>
      <c r="V3067" t="s">
        <v>13338</v>
      </c>
      <c r="W3067" t="s">
        <v>16360</v>
      </c>
      <c r="X3067">
        <v>9</v>
      </c>
      <c r="Y3067" t="s">
        <v>22906</v>
      </c>
      <c r="Z3067" t="s">
        <v>29482</v>
      </c>
      <c r="AA3067">
        <v>0.54274642347843982</v>
      </c>
      <c r="AB3067" t="str">
        <f>HYPERLINK("Melting_Curves/meltCurve_P84085_ARF5.pdf", "Melting_Curves/meltCurve_P84085_ARF5.pdf")</f>
        <v>Melting_Curves/meltCurve_P84085_ARF5.pdf</v>
      </c>
    </row>
    <row r="3068" spans="1:28" x14ac:dyDescent="0.25">
      <c r="A3068" t="s">
        <v>3072</v>
      </c>
      <c r="B3068">
        <v>0.99193492352474899</v>
      </c>
      <c r="C3068">
        <v>0.70444693239192002</v>
      </c>
      <c r="D3068">
        <v>0.85746178180563004</v>
      </c>
      <c r="E3068">
        <v>0.76730453446225</v>
      </c>
      <c r="F3068">
        <v>0.54713732840611595</v>
      </c>
      <c r="G3068">
        <v>0.38837938848771197</v>
      </c>
      <c r="H3068">
        <v>0.28932788696627199</v>
      </c>
      <c r="I3068">
        <v>0.46996194937882502</v>
      </c>
      <c r="J3068">
        <v>0.52481596044553802</v>
      </c>
      <c r="K3068">
        <v>0.61674055150902296</v>
      </c>
      <c r="L3068">
        <v>599.96774910850399</v>
      </c>
      <c r="M3068">
        <v>12.647817140586101</v>
      </c>
      <c r="N3068">
        <v>57.702586475421697</v>
      </c>
      <c r="O3068">
        <v>46.297487756657397</v>
      </c>
      <c r="P3068">
        <v>-3.7754021674450501E-2</v>
      </c>
      <c r="Q3068">
        <v>0.44731243779750202</v>
      </c>
      <c r="R3068">
        <v>0.680800989531817</v>
      </c>
      <c r="S3068" t="s">
        <v>9738</v>
      </c>
      <c r="T3068" t="s">
        <v>13338</v>
      </c>
      <c r="U3068" t="s">
        <v>13338</v>
      </c>
      <c r="V3068" t="s">
        <v>13338</v>
      </c>
      <c r="W3068" t="s">
        <v>16361</v>
      </c>
      <c r="X3068">
        <v>8</v>
      </c>
      <c r="Y3068" t="s">
        <v>22907</v>
      </c>
      <c r="Z3068" t="s">
        <v>29483</v>
      </c>
      <c r="AA3068">
        <v>0.60472361560874677</v>
      </c>
      <c r="AB3068" t="str">
        <f>HYPERLINK("Melting_Curves/meltCurve_P84090_ERH.pdf", "Melting_Curves/meltCurve_P84090_ERH.pdf")</f>
        <v>Melting_Curves/meltCurve_P84090_ERH.pdf</v>
      </c>
    </row>
    <row r="3069" spans="1:28" x14ac:dyDescent="0.25">
      <c r="A3069" t="s">
        <v>3073</v>
      </c>
      <c r="B3069">
        <v>0.99193492352474899</v>
      </c>
      <c r="C3069">
        <v>0.93369490308472702</v>
      </c>
      <c r="D3069">
        <v>0.95265264034687402</v>
      </c>
      <c r="E3069">
        <v>0.94656159183986299</v>
      </c>
      <c r="F3069">
        <v>0.65488127422343201</v>
      </c>
      <c r="G3069">
        <v>0.52727843929001705</v>
      </c>
      <c r="H3069">
        <v>0.26290281851800501</v>
      </c>
      <c r="I3069">
        <v>0.140405941325037</v>
      </c>
      <c r="J3069">
        <v>0.149580874573362</v>
      </c>
      <c r="K3069">
        <v>0.13180658694084901</v>
      </c>
      <c r="L3069">
        <v>906.30254406208803</v>
      </c>
      <c r="M3069">
        <v>16.2409903023106</v>
      </c>
      <c r="N3069">
        <v>56.4168906841984</v>
      </c>
      <c r="O3069">
        <v>54.977945024409799</v>
      </c>
      <c r="P3069">
        <v>-6.7879137667558598E-2</v>
      </c>
      <c r="Q3069">
        <v>8.0947798571253296E-2</v>
      </c>
      <c r="R3069">
        <v>0.98777316020527794</v>
      </c>
      <c r="S3069" t="s">
        <v>9739</v>
      </c>
      <c r="T3069" t="s">
        <v>13338</v>
      </c>
      <c r="U3069" t="s">
        <v>13338</v>
      </c>
      <c r="V3069" t="s">
        <v>13338</v>
      </c>
      <c r="W3069" t="s">
        <v>16362</v>
      </c>
      <c r="X3069">
        <v>15</v>
      </c>
      <c r="Y3069" t="s">
        <v>22908</v>
      </c>
      <c r="Z3069" t="s">
        <v>29484</v>
      </c>
      <c r="AA3069">
        <v>0.58046572363892035</v>
      </c>
      <c r="AB3069" t="str">
        <f>HYPERLINK("Melting_Curves/meltCurve_P84095_RHOG.pdf", "Melting_Curves/meltCurve_P84095_RHOG.pdf")</f>
        <v>Melting_Curves/meltCurve_P84095_RHOG.pdf</v>
      </c>
    </row>
    <row r="3070" spans="1:28" x14ac:dyDescent="0.25">
      <c r="A3070" t="s">
        <v>3074</v>
      </c>
      <c r="B3070">
        <v>0.99193492352474899</v>
      </c>
      <c r="C3070">
        <v>0.82198112531891598</v>
      </c>
      <c r="D3070">
        <v>0.885513743177608</v>
      </c>
      <c r="E3070">
        <v>0.49907466100220799</v>
      </c>
      <c r="F3070">
        <v>0.41081760365408598</v>
      </c>
      <c r="G3070">
        <v>0.28521195912002001</v>
      </c>
      <c r="H3070">
        <v>0.24808588164862999</v>
      </c>
      <c r="I3070">
        <v>0.372271734734483</v>
      </c>
      <c r="J3070">
        <v>0.39170666545178801</v>
      </c>
      <c r="K3070">
        <v>0.57642531233357297</v>
      </c>
      <c r="L3070">
        <v>1395.4238906343301</v>
      </c>
      <c r="M3070">
        <v>29.319488523550302</v>
      </c>
      <c r="N3070">
        <v>49.937891317925803</v>
      </c>
      <c r="O3070">
        <v>47.373974013744601</v>
      </c>
      <c r="P3070">
        <v>-9.6897230105557799E-2</v>
      </c>
      <c r="Q3070">
        <v>0.37374431689428</v>
      </c>
      <c r="R3070">
        <v>0.85032838571764202</v>
      </c>
      <c r="S3070" t="s">
        <v>9740</v>
      </c>
      <c r="T3070" t="s">
        <v>13338</v>
      </c>
      <c r="U3070" t="s">
        <v>13338</v>
      </c>
      <c r="V3070" t="s">
        <v>13338</v>
      </c>
      <c r="W3070" t="s">
        <v>16363</v>
      </c>
      <c r="X3070">
        <v>4</v>
      </c>
      <c r="Y3070" t="s">
        <v>22909</v>
      </c>
      <c r="Z3070" t="s">
        <v>29485</v>
      </c>
      <c r="AA3070">
        <v>0.53621037220876788</v>
      </c>
      <c r="AB3070" t="str">
        <f>HYPERLINK("Melting_Curves/meltCurve_P84101_4_SERF2.pdf", "Melting_Curves/meltCurve_P84101_4_SERF2.pdf")</f>
        <v>Melting_Curves/meltCurve_P84101_4_SERF2.pdf</v>
      </c>
    </row>
    <row r="3071" spans="1:28" x14ac:dyDescent="0.25">
      <c r="A3071" t="s">
        <v>3075</v>
      </c>
      <c r="B3071">
        <v>0.99193492352474899</v>
      </c>
      <c r="C3071">
        <v>1.05128777656246</v>
      </c>
      <c r="D3071">
        <v>0.89488943371274698</v>
      </c>
      <c r="E3071">
        <v>0.87235942833020697</v>
      </c>
      <c r="F3071">
        <v>0.65927505607168102</v>
      </c>
      <c r="G3071">
        <v>0.50533690070954995</v>
      </c>
      <c r="H3071">
        <v>0.45549547568075699</v>
      </c>
      <c r="I3071">
        <v>0.68049272936962002</v>
      </c>
      <c r="J3071">
        <v>0.58246258512884896</v>
      </c>
      <c r="K3071">
        <v>0.89933779164845196</v>
      </c>
      <c r="L3071">
        <v>2016.3736369701101</v>
      </c>
      <c r="M3071">
        <v>40.166653936021397</v>
      </c>
      <c r="O3071">
        <v>50.0762402242337</v>
      </c>
      <c r="P3071">
        <v>-7.5264149700342398E-2</v>
      </c>
      <c r="Q3071">
        <v>0.62466996034526401</v>
      </c>
      <c r="R3071">
        <v>0.65445280485186696</v>
      </c>
      <c r="S3071" t="s">
        <v>9741</v>
      </c>
      <c r="T3071" t="s">
        <v>13338</v>
      </c>
      <c r="U3071" t="s">
        <v>13338</v>
      </c>
      <c r="V3071" t="s">
        <v>13338</v>
      </c>
      <c r="W3071" t="s">
        <v>16364</v>
      </c>
      <c r="X3071">
        <v>1</v>
      </c>
      <c r="Y3071" t="s">
        <v>22910</v>
      </c>
      <c r="Z3071" t="s">
        <v>29486</v>
      </c>
      <c r="AA3071">
        <v>0.75357638318179521</v>
      </c>
      <c r="AB3071" t="str">
        <f>HYPERLINK("Melting_Curves/meltCurve_P84157_2_MXRA7.pdf", "Melting_Curves/meltCurve_P84157_2_MXRA7.pdf")</f>
        <v>Melting_Curves/meltCurve_P84157_2_MXRA7.pdf</v>
      </c>
    </row>
    <row r="3072" spans="1:28" x14ac:dyDescent="0.25">
      <c r="A3072" t="s">
        <v>3076</v>
      </c>
      <c r="B3072">
        <v>0.99193492352474899</v>
      </c>
      <c r="C3072">
        <v>0.78127201886551001</v>
      </c>
      <c r="D3072">
        <v>0.44892885860266701</v>
      </c>
      <c r="E3072">
        <v>0.21304780087793199</v>
      </c>
      <c r="F3072">
        <v>0.117057940362243</v>
      </c>
      <c r="G3072">
        <v>8.4268056306867095E-2</v>
      </c>
      <c r="H3072">
        <v>4.7680415991081297E-2</v>
      </c>
      <c r="I3072">
        <v>7.05714309648178E-2</v>
      </c>
      <c r="J3072">
        <v>7.2335173642461004E-2</v>
      </c>
      <c r="K3072">
        <v>6.5093704130674807E-2</v>
      </c>
      <c r="L3072">
        <v>980.61629580738497</v>
      </c>
      <c r="M3072">
        <v>21.6285977887656</v>
      </c>
      <c r="N3072">
        <v>45.649412829829899</v>
      </c>
      <c r="O3072">
        <v>44.956606090576798</v>
      </c>
      <c r="P3072">
        <v>-0.112049468448887</v>
      </c>
      <c r="Q3072">
        <v>6.8410019347745807E-2</v>
      </c>
      <c r="R3072">
        <v>0.99704304087150097</v>
      </c>
      <c r="S3072" t="s">
        <v>9742</v>
      </c>
      <c r="T3072" t="s">
        <v>13338</v>
      </c>
      <c r="U3072" t="s">
        <v>13338</v>
      </c>
      <c r="V3072" t="s">
        <v>13338</v>
      </c>
      <c r="W3072" t="s">
        <v>16365</v>
      </c>
      <c r="X3072">
        <v>9</v>
      </c>
      <c r="Y3072" t="s">
        <v>22911</v>
      </c>
      <c r="Z3072" t="s">
        <v>29487</v>
      </c>
      <c r="AA3072">
        <v>0.24686986834099431</v>
      </c>
      <c r="AB3072" t="str">
        <f>HYPERLINK("Melting_Curves/meltCurve_P85037_FOXK1.pdf", "Melting_Curves/meltCurve_P85037_FOXK1.pdf")</f>
        <v>Melting_Curves/meltCurve_P85037_FOXK1.pdf</v>
      </c>
    </row>
    <row r="3073" spans="1:28" x14ac:dyDescent="0.25">
      <c r="A3073" t="s">
        <v>3077</v>
      </c>
      <c r="B3073">
        <v>0.99193492352474899</v>
      </c>
      <c r="C3073">
        <v>0.90084981332333702</v>
      </c>
      <c r="D3073">
        <v>0.82613711838466497</v>
      </c>
      <c r="E3073">
        <v>0.58191104080172995</v>
      </c>
      <c r="F3073">
        <v>0.420216413400677</v>
      </c>
      <c r="G3073">
        <v>0.21818522327708001</v>
      </c>
      <c r="H3073">
        <v>0.11165437692036</v>
      </c>
      <c r="I3073">
        <v>0.110966235255944</v>
      </c>
      <c r="J3073">
        <v>0.12642450518574899</v>
      </c>
      <c r="K3073">
        <v>0.15208625900130099</v>
      </c>
      <c r="L3073">
        <v>737.84526542234698</v>
      </c>
      <c r="M3073">
        <v>14.6591011159462</v>
      </c>
      <c r="N3073">
        <v>51.047190071403598</v>
      </c>
      <c r="O3073">
        <v>49.424729816134203</v>
      </c>
      <c r="P3073">
        <v>-6.72865992511293E-2</v>
      </c>
      <c r="Q3073">
        <v>9.2644206554751196E-2</v>
      </c>
      <c r="R3073">
        <v>0.992378803403694</v>
      </c>
      <c r="S3073" t="s">
        <v>9743</v>
      </c>
      <c r="T3073" t="s">
        <v>13338</v>
      </c>
      <c r="U3073" t="s">
        <v>13338</v>
      </c>
      <c r="V3073" t="s">
        <v>13338</v>
      </c>
      <c r="W3073" t="s">
        <v>16366</v>
      </c>
      <c r="X3073">
        <v>10</v>
      </c>
      <c r="Y3073" t="s">
        <v>22912</v>
      </c>
      <c r="Z3073" t="s">
        <v>29488</v>
      </c>
      <c r="AA3073">
        <v>0.42745890119008823</v>
      </c>
      <c r="AB3073" t="str">
        <f>HYPERLINK("Melting_Curves/meltCurve_P86791_CCZ1.pdf", "Melting_Curves/meltCurve_P86791_CCZ1.pdf")</f>
        <v>Melting_Curves/meltCurve_P86791_CCZ1.pdf</v>
      </c>
    </row>
    <row r="3074" spans="1:28" x14ac:dyDescent="0.25">
      <c r="A3074" t="s">
        <v>3078</v>
      </c>
      <c r="B3074">
        <v>0.99193492352474899</v>
      </c>
      <c r="C3074">
        <v>1.07307241085975</v>
      </c>
      <c r="D3074">
        <v>0.93482068341037206</v>
      </c>
      <c r="E3074">
        <v>0.83272366373919005</v>
      </c>
      <c r="F3074">
        <v>0.725381497520589</v>
      </c>
      <c r="G3074">
        <v>0.53438492178085595</v>
      </c>
      <c r="H3074">
        <v>0.30619854233568999</v>
      </c>
      <c r="I3074">
        <v>0.28559062407512298</v>
      </c>
      <c r="J3074">
        <v>0.28135746616009699</v>
      </c>
      <c r="K3074">
        <v>0.29692854699258497</v>
      </c>
      <c r="L3074">
        <v>892.96598859682001</v>
      </c>
      <c r="M3074">
        <v>16.373140251890501</v>
      </c>
      <c r="N3074">
        <v>56.841632088916</v>
      </c>
      <c r="O3074">
        <v>53.744377550203097</v>
      </c>
      <c r="P3074">
        <v>-5.7700180430378001E-2</v>
      </c>
      <c r="Q3074">
        <v>0.24245731944248999</v>
      </c>
      <c r="R3074">
        <v>0.98300453243670605</v>
      </c>
      <c r="S3074" t="s">
        <v>9744</v>
      </c>
      <c r="T3074" t="s">
        <v>13338</v>
      </c>
      <c r="U3074" t="s">
        <v>13338</v>
      </c>
      <c r="V3074" t="s">
        <v>13338</v>
      </c>
      <c r="W3074" t="s">
        <v>16367</v>
      </c>
      <c r="X3074">
        <v>12</v>
      </c>
      <c r="Y3074" t="s">
        <v>22913</v>
      </c>
      <c r="Z3074" t="s">
        <v>29489</v>
      </c>
      <c r="AA3074">
        <v>0.62311901798449298</v>
      </c>
      <c r="AB3074" t="str">
        <f>HYPERLINK("Melting_Curves/meltCurve_P98155_2_VLDLR.pdf", "Melting_Curves/meltCurve_P98155_2_VLDLR.pdf")</f>
        <v>Melting_Curves/meltCurve_P98155_2_VLDLR.pdf</v>
      </c>
    </row>
    <row r="3075" spans="1:28" x14ac:dyDescent="0.25">
      <c r="A3075" t="s">
        <v>3079</v>
      </c>
      <c r="B3075">
        <v>0.99193492352474899</v>
      </c>
      <c r="C3075">
        <v>1.36071881314982</v>
      </c>
      <c r="D3075">
        <v>0.77568312995537003</v>
      </c>
      <c r="E3075">
        <v>0.66418987996254297</v>
      </c>
      <c r="F3075">
        <v>0.49711223559079698</v>
      </c>
      <c r="G3075">
        <v>0.31245208128267099</v>
      </c>
      <c r="H3075">
        <v>0</v>
      </c>
      <c r="I3075">
        <v>0.472165124945224</v>
      </c>
      <c r="J3075">
        <v>0</v>
      </c>
      <c r="K3075">
        <v>0.53158584522665797</v>
      </c>
      <c r="L3075">
        <v>1114.4371550148301</v>
      </c>
      <c r="M3075">
        <v>22.209107411625201</v>
      </c>
      <c r="N3075">
        <v>51.8720982596951</v>
      </c>
      <c r="O3075">
        <v>49.7777690028325</v>
      </c>
      <c r="P3075">
        <v>-8.2789493842141404E-2</v>
      </c>
      <c r="Q3075">
        <v>0.25778417703017498</v>
      </c>
      <c r="R3075">
        <v>0.73071574837981901</v>
      </c>
      <c r="S3075" t="s">
        <v>9745</v>
      </c>
      <c r="T3075" t="s">
        <v>13338</v>
      </c>
      <c r="U3075" t="s">
        <v>13338</v>
      </c>
      <c r="V3075" t="s">
        <v>13338</v>
      </c>
      <c r="W3075" t="s">
        <v>16368</v>
      </c>
      <c r="X3075">
        <v>2</v>
      </c>
      <c r="Y3075" t="s">
        <v>22914</v>
      </c>
      <c r="Z3075" t="s">
        <v>29490</v>
      </c>
      <c r="AA3075">
        <v>0.5180367511845787</v>
      </c>
      <c r="AB3075" t="str">
        <f>HYPERLINK("Melting_Curves/meltCurve_P98160_HSPG2.pdf", "Melting_Curves/meltCurve_P98160_HSPG2.pdf")</f>
        <v>Melting_Curves/meltCurve_P98160_HSPG2.pdf</v>
      </c>
    </row>
    <row r="3076" spans="1:28" x14ac:dyDescent="0.25">
      <c r="A3076" t="s">
        <v>3080</v>
      </c>
      <c r="B3076">
        <v>0.99193492352474899</v>
      </c>
      <c r="C3076">
        <v>0.93254906459365805</v>
      </c>
      <c r="D3076">
        <v>0.72598577035421796</v>
      </c>
      <c r="E3076">
        <v>0.45596330908656602</v>
      </c>
      <c r="F3076">
        <v>0.28540596687294201</v>
      </c>
      <c r="G3076">
        <v>0.19562564821428399</v>
      </c>
      <c r="H3076">
        <v>0.120453532677177</v>
      </c>
      <c r="I3076">
        <v>0.15753118173267799</v>
      </c>
      <c r="J3076">
        <v>0.16295766918849799</v>
      </c>
      <c r="K3076">
        <v>0.238318314858223</v>
      </c>
      <c r="L3076">
        <v>934.99089147288601</v>
      </c>
      <c r="M3076">
        <v>19.5235821175946</v>
      </c>
      <c r="N3076">
        <v>48.901061680446197</v>
      </c>
      <c r="O3076">
        <v>47.396393287151596</v>
      </c>
      <c r="P3076">
        <v>-8.5886814168500303E-2</v>
      </c>
      <c r="Q3076">
        <v>0.16601795456348301</v>
      </c>
      <c r="R3076">
        <v>0.99062772614234895</v>
      </c>
      <c r="S3076" t="s">
        <v>9746</v>
      </c>
      <c r="T3076" t="s">
        <v>13338</v>
      </c>
      <c r="U3076" t="s">
        <v>13338</v>
      </c>
      <c r="V3076" t="s">
        <v>13338</v>
      </c>
      <c r="W3076" t="s">
        <v>16369</v>
      </c>
      <c r="X3076">
        <v>6</v>
      </c>
      <c r="Y3076" t="s">
        <v>22915</v>
      </c>
      <c r="Z3076" t="s">
        <v>29491</v>
      </c>
      <c r="AA3076">
        <v>0.39786992326387699</v>
      </c>
      <c r="AB3076" t="str">
        <f>HYPERLINK("Melting_Curves/meltCurve_P98170_XIAP.pdf", "Melting_Curves/meltCurve_P98170_XIAP.pdf")</f>
        <v>Melting_Curves/meltCurve_P98170_XIAP.pdf</v>
      </c>
    </row>
    <row r="3077" spans="1:28" x14ac:dyDescent="0.25">
      <c r="A3077" t="s">
        <v>3081</v>
      </c>
      <c r="B3077">
        <v>0.99193492352474899</v>
      </c>
      <c r="C3077">
        <v>1.1672369413219701</v>
      </c>
      <c r="D3077">
        <v>0.939988054350408</v>
      </c>
      <c r="E3077">
        <v>0.95439762640175596</v>
      </c>
      <c r="F3077">
        <v>0.58524044367561501</v>
      </c>
      <c r="G3077">
        <v>0.54230482250678802</v>
      </c>
      <c r="H3077">
        <v>0.361153285405585</v>
      </c>
      <c r="I3077">
        <v>0.50609842652343495</v>
      </c>
      <c r="J3077">
        <v>0.44754683781363802</v>
      </c>
      <c r="K3077">
        <v>0.53893139078513297</v>
      </c>
      <c r="L3077">
        <v>2485.6605454743199</v>
      </c>
      <c r="M3077">
        <v>47.964161999098401</v>
      </c>
      <c r="N3077">
        <v>55.339316474337501</v>
      </c>
      <c r="O3077">
        <v>51.733444168910601</v>
      </c>
      <c r="P3077">
        <v>-0.12139526663844399</v>
      </c>
      <c r="Q3077">
        <v>0.47625990539662699</v>
      </c>
      <c r="R3077">
        <v>0.92343311852471399</v>
      </c>
      <c r="S3077" t="s">
        <v>9747</v>
      </c>
      <c r="T3077" t="s">
        <v>13338</v>
      </c>
      <c r="U3077" t="s">
        <v>13338</v>
      </c>
      <c r="V3077" t="s">
        <v>13338</v>
      </c>
      <c r="W3077" t="s">
        <v>16370</v>
      </c>
      <c r="X3077">
        <v>6</v>
      </c>
      <c r="Y3077" t="s">
        <v>22916</v>
      </c>
      <c r="Z3077" t="s">
        <v>29492</v>
      </c>
      <c r="AA3077">
        <v>0.68397242710556883</v>
      </c>
      <c r="AB3077" t="str">
        <f>HYPERLINK("Melting_Curves/meltCurve_P98172_EFNB1.pdf", "Melting_Curves/meltCurve_P98172_EFNB1.pdf")</f>
        <v>Melting_Curves/meltCurve_P98172_EFNB1.pdf</v>
      </c>
    </row>
    <row r="3078" spans="1:28" x14ac:dyDescent="0.25">
      <c r="A3078" t="s">
        <v>3082</v>
      </c>
      <c r="B3078">
        <v>0.99193492352474899</v>
      </c>
      <c r="C3078">
        <v>0.58539810233843104</v>
      </c>
      <c r="D3078">
        <v>0.628885128906705</v>
      </c>
      <c r="E3078">
        <v>0.295790976439614</v>
      </c>
      <c r="F3078">
        <v>0.163627661343548</v>
      </c>
      <c r="G3078">
        <v>0.107432695423652</v>
      </c>
      <c r="H3078">
        <v>8.7326201766433006E-2</v>
      </c>
      <c r="I3078">
        <v>0.14543097544286199</v>
      </c>
      <c r="J3078">
        <v>0.19195524560277699</v>
      </c>
      <c r="K3078">
        <v>0.22093547807902</v>
      </c>
      <c r="L3078">
        <v>721.73790975880001</v>
      </c>
      <c r="M3078">
        <v>15.986850646303701</v>
      </c>
      <c r="N3078">
        <v>46.067500695922199</v>
      </c>
      <c r="O3078">
        <v>44.457052666948698</v>
      </c>
      <c r="P3078">
        <v>-7.7600518558306103E-2</v>
      </c>
      <c r="Q3078">
        <v>0.13688593769500601</v>
      </c>
      <c r="R3078">
        <v>0.91696849556367899</v>
      </c>
      <c r="S3078" t="s">
        <v>9748</v>
      </c>
      <c r="T3078" t="s">
        <v>13338</v>
      </c>
      <c r="U3078" t="s">
        <v>13338</v>
      </c>
      <c r="V3078" t="s">
        <v>13338</v>
      </c>
      <c r="W3078" t="s">
        <v>16371</v>
      </c>
      <c r="X3078">
        <v>23</v>
      </c>
      <c r="Y3078" t="s">
        <v>22917</v>
      </c>
      <c r="Z3078" t="s">
        <v>29493</v>
      </c>
      <c r="AA3078">
        <v>0.30875793403036672</v>
      </c>
      <c r="AB3078" t="str">
        <f>HYPERLINK("Melting_Curves/meltCurve_P98175_2_RBM10.pdf", "Melting_Curves/meltCurve_P98175_2_RBM10.pdf")</f>
        <v>Melting_Curves/meltCurve_P98175_2_RBM10.pdf</v>
      </c>
    </row>
    <row r="3079" spans="1:28" x14ac:dyDescent="0.25">
      <c r="A3079" t="s">
        <v>3083</v>
      </c>
      <c r="B3079">
        <v>0.99193492352474899</v>
      </c>
      <c r="C3079">
        <v>0.74000821962833097</v>
      </c>
      <c r="D3079">
        <v>0.83760916889855697</v>
      </c>
      <c r="E3079">
        <v>0.67390494527117595</v>
      </c>
      <c r="F3079">
        <v>0.46630006811307301</v>
      </c>
      <c r="G3079">
        <v>0.35814261333370401</v>
      </c>
      <c r="H3079">
        <v>0.36472132360825399</v>
      </c>
      <c r="I3079">
        <v>0.45667425863338201</v>
      </c>
      <c r="J3079">
        <v>0.44424544894937401</v>
      </c>
      <c r="K3079">
        <v>0.84056367998578596</v>
      </c>
      <c r="L3079">
        <v>751.13848702572795</v>
      </c>
      <c r="M3079">
        <v>16.357145306364501</v>
      </c>
      <c r="N3079">
        <v>59.477427510508299</v>
      </c>
      <c r="O3079">
        <v>45.251226280597599</v>
      </c>
      <c r="P3079">
        <v>-4.6273662931734703E-2</v>
      </c>
      <c r="Q3079">
        <v>0.48798170478094799</v>
      </c>
      <c r="R3079">
        <v>0.55832504117169002</v>
      </c>
      <c r="S3079" t="s">
        <v>9749</v>
      </c>
      <c r="T3079" t="s">
        <v>13338</v>
      </c>
      <c r="U3079" t="s">
        <v>13338</v>
      </c>
      <c r="V3079" t="s">
        <v>13338</v>
      </c>
      <c r="W3079" t="s">
        <v>16372</v>
      </c>
      <c r="X3079">
        <v>5</v>
      </c>
      <c r="Y3079" t="s">
        <v>22918</v>
      </c>
      <c r="Z3079" t="s">
        <v>29494</v>
      </c>
      <c r="AA3079">
        <v>0.6015411305568269</v>
      </c>
      <c r="AB3079" t="str">
        <f>HYPERLINK("Melting_Curves/meltCurve_P98179_RBM3.pdf", "Melting_Curves/meltCurve_P98179_RBM3.pdf")</f>
        <v>Melting_Curves/meltCurve_P98179_RBM3.pdf</v>
      </c>
    </row>
    <row r="3080" spans="1:28" x14ac:dyDescent="0.25">
      <c r="A3080" t="s">
        <v>3084</v>
      </c>
      <c r="B3080">
        <v>0.99193492352474899</v>
      </c>
      <c r="C3080">
        <v>0.76141407682073303</v>
      </c>
      <c r="D3080">
        <v>0.57625945444892801</v>
      </c>
      <c r="E3080">
        <v>0.23392106046929401</v>
      </c>
      <c r="F3080">
        <v>0.117396283731626</v>
      </c>
      <c r="G3080">
        <v>7.1204323376647796E-2</v>
      </c>
      <c r="H3080">
        <v>4.6012795711847299E-2</v>
      </c>
      <c r="I3080">
        <v>5.3926505498429901E-2</v>
      </c>
      <c r="J3080">
        <v>5.5102781087039102E-2</v>
      </c>
      <c r="K3080">
        <v>7.0084259152434505E-2</v>
      </c>
      <c r="L3080">
        <v>866.78972992843796</v>
      </c>
      <c r="M3080">
        <v>18.785810173843601</v>
      </c>
      <c r="N3080">
        <v>46.3936823710306</v>
      </c>
      <c r="O3080">
        <v>45.627353472179898</v>
      </c>
      <c r="P3080">
        <v>-9.7923026945640104E-2</v>
      </c>
      <c r="Q3080">
        <v>4.8689993302926601E-2</v>
      </c>
      <c r="R3080">
        <v>0.99362657818514599</v>
      </c>
      <c r="S3080" t="s">
        <v>9750</v>
      </c>
      <c r="T3080" t="s">
        <v>13338</v>
      </c>
      <c r="U3080" t="s">
        <v>13338</v>
      </c>
      <c r="V3080" t="s">
        <v>13338</v>
      </c>
      <c r="W3080" t="s">
        <v>16373</v>
      </c>
      <c r="X3080">
        <v>10</v>
      </c>
      <c r="Y3080" t="s">
        <v>22919</v>
      </c>
      <c r="Z3080" t="s">
        <v>29495</v>
      </c>
      <c r="AA3080">
        <v>0.26020289023673948</v>
      </c>
      <c r="AB3080" t="str">
        <f>HYPERLINK("Melting_Curves/meltCurve_Q00013_2_MPP1.pdf", "Melting_Curves/meltCurve_Q00013_2_MPP1.pdf")</f>
        <v>Melting_Curves/meltCurve_Q00013_2_MPP1.pdf</v>
      </c>
    </row>
    <row r="3081" spans="1:28" x14ac:dyDescent="0.25">
      <c r="A3081" t="s">
        <v>3085</v>
      </c>
      <c r="B3081">
        <v>0.99193492352474899</v>
      </c>
      <c r="C3081">
        <v>0.62772663927427297</v>
      </c>
      <c r="D3081">
        <v>0.86963593022685404</v>
      </c>
      <c r="E3081">
        <v>0.47086743380477603</v>
      </c>
      <c r="F3081">
        <v>0.29894021945131399</v>
      </c>
      <c r="G3081">
        <v>0.187191587006722</v>
      </c>
      <c r="H3081">
        <v>0.18556161182383801</v>
      </c>
      <c r="I3081">
        <v>0.27234872651810499</v>
      </c>
      <c r="J3081">
        <v>0.32021607760453202</v>
      </c>
      <c r="K3081">
        <v>0.34494471968582602</v>
      </c>
      <c r="L3081">
        <v>717.82588919688601</v>
      </c>
      <c r="M3081">
        <v>15.2982688484721</v>
      </c>
      <c r="N3081">
        <v>49.057209679896502</v>
      </c>
      <c r="O3081">
        <v>46.142195869759298</v>
      </c>
      <c r="P3081">
        <v>-6.2744319425897199E-2</v>
      </c>
      <c r="Q3081">
        <v>0.243080407245191</v>
      </c>
      <c r="R3081">
        <v>0.82833389450415196</v>
      </c>
      <c r="S3081" t="s">
        <v>9751</v>
      </c>
      <c r="T3081" t="s">
        <v>13338</v>
      </c>
      <c r="U3081" t="s">
        <v>13338</v>
      </c>
      <c r="V3081" t="s">
        <v>13338</v>
      </c>
      <c r="W3081" t="s">
        <v>16374</v>
      </c>
      <c r="X3081">
        <v>14</v>
      </c>
      <c r="Y3081" t="s">
        <v>22920</v>
      </c>
      <c r="Z3081" t="s">
        <v>29496</v>
      </c>
      <c r="AA3081">
        <v>0.4375686916222547</v>
      </c>
      <c r="AB3081" t="str">
        <f>HYPERLINK("Melting_Curves/meltCurve_Q00059_TFAM.pdf", "Melting_Curves/meltCurve_Q00059_TFAM.pdf")</f>
        <v>Melting_Curves/meltCurve_Q00059_TFAM.pdf</v>
      </c>
    </row>
    <row r="3082" spans="1:28" x14ac:dyDescent="0.25">
      <c r="A3082" t="s">
        <v>3086</v>
      </c>
      <c r="B3082">
        <v>0.99193492352474899</v>
      </c>
      <c r="C3082">
        <v>1.0155192719100501</v>
      </c>
      <c r="D3082">
        <v>0.96082413873252503</v>
      </c>
      <c r="E3082">
        <v>0.92612433167527997</v>
      </c>
      <c r="F3082">
        <v>0.65241217204095203</v>
      </c>
      <c r="G3082">
        <v>0.36488088967267102</v>
      </c>
      <c r="H3082">
        <v>0.123591603463718</v>
      </c>
      <c r="I3082">
        <v>0.10086469821170201</v>
      </c>
      <c r="J3082">
        <v>0.10809474787682</v>
      </c>
      <c r="K3082">
        <v>0.112856066136165</v>
      </c>
      <c r="L3082">
        <v>1280.1637559190101</v>
      </c>
      <c r="M3082">
        <v>23.513135009662602</v>
      </c>
      <c r="N3082">
        <v>54.893510782702997</v>
      </c>
      <c r="O3082">
        <v>54.055399756420897</v>
      </c>
      <c r="P3082">
        <v>-9.9236262842884199E-2</v>
      </c>
      <c r="Q3082">
        <v>8.74608792717603E-2</v>
      </c>
      <c r="R3082">
        <v>0.99732600078356903</v>
      </c>
      <c r="S3082" t="s">
        <v>9752</v>
      </c>
      <c r="T3082" t="s">
        <v>13338</v>
      </c>
      <c r="U3082" t="s">
        <v>13338</v>
      </c>
      <c r="V3082" t="s">
        <v>13338</v>
      </c>
      <c r="W3082" t="s">
        <v>16375</v>
      </c>
      <c r="X3082">
        <v>23</v>
      </c>
      <c r="Y3082" t="s">
        <v>22921</v>
      </c>
      <c r="Z3082" t="s">
        <v>29497</v>
      </c>
      <c r="AA3082">
        <v>0.53625310968066608</v>
      </c>
      <c r="AB3082" t="str">
        <f>HYPERLINK("Melting_Curves/meltCurve_Q00169_PITPNA.pdf", "Melting_Curves/meltCurve_Q00169_PITPNA.pdf")</f>
        <v>Melting_Curves/meltCurve_Q00169_PITPNA.pdf</v>
      </c>
    </row>
    <row r="3083" spans="1:28" x14ac:dyDescent="0.25">
      <c r="A3083" t="s">
        <v>3087</v>
      </c>
      <c r="B3083">
        <v>0.99193492352474899</v>
      </c>
      <c r="C3083">
        <v>1.1484015511228001</v>
      </c>
      <c r="D3083">
        <v>0.91570432924747203</v>
      </c>
      <c r="E3083">
        <v>0.955418008350993</v>
      </c>
      <c r="F3083">
        <v>0.66575483182749995</v>
      </c>
      <c r="G3083">
        <v>0.55549069323325995</v>
      </c>
      <c r="H3083">
        <v>0.30710943586468498</v>
      </c>
      <c r="I3083">
        <v>0.278374550583048</v>
      </c>
      <c r="J3083">
        <v>0.28895955876208701</v>
      </c>
      <c r="K3083">
        <v>0.28576881454762798</v>
      </c>
      <c r="L3083">
        <v>1072.4533401659401</v>
      </c>
      <c r="M3083">
        <v>19.656199668937798</v>
      </c>
      <c r="N3083">
        <v>56.672393922744597</v>
      </c>
      <c r="O3083">
        <v>54.005262258181901</v>
      </c>
      <c r="P3083">
        <v>-6.7369341323878298E-2</v>
      </c>
      <c r="Q3083">
        <v>0.25963875431669697</v>
      </c>
      <c r="R3083">
        <v>0.96317682389321901</v>
      </c>
      <c r="S3083" t="s">
        <v>9753</v>
      </c>
      <c r="T3083" t="s">
        <v>13338</v>
      </c>
      <c r="U3083" t="s">
        <v>13338</v>
      </c>
      <c r="V3083" t="s">
        <v>13338</v>
      </c>
      <c r="W3083" t="s">
        <v>16376</v>
      </c>
      <c r="X3083">
        <v>7</v>
      </c>
      <c r="Y3083" t="s">
        <v>22922</v>
      </c>
      <c r="Z3083" t="s">
        <v>29498</v>
      </c>
      <c r="AA3083">
        <v>0.62920390276747473</v>
      </c>
      <c r="AB3083" t="str">
        <f>HYPERLINK("Melting_Curves/meltCurve_Q00266_MAT1A.pdf", "Melting_Curves/meltCurve_Q00266_MAT1A.pdf")</f>
        <v>Melting_Curves/meltCurve_Q00266_MAT1A.pdf</v>
      </c>
    </row>
    <row r="3084" spans="1:28" x14ac:dyDescent="0.25">
      <c r="A3084" t="s">
        <v>3088</v>
      </c>
      <c r="B3084">
        <v>0.99193492352474899</v>
      </c>
      <c r="C3084">
        <v>1.1736714605516501</v>
      </c>
      <c r="D3084">
        <v>1.15123634871099</v>
      </c>
      <c r="E3084">
        <v>1.05844150109793</v>
      </c>
      <c r="F3084">
        <v>0.73623015763593902</v>
      </c>
      <c r="G3084">
        <v>0.63667470366621204</v>
      </c>
      <c r="H3084">
        <v>0.52465602248031895</v>
      </c>
      <c r="I3084">
        <v>0.65733325555244504</v>
      </c>
      <c r="J3084">
        <v>0.73569464397059603</v>
      </c>
      <c r="K3084">
        <v>0.779750032821939</v>
      </c>
      <c r="L3084">
        <v>13228.9743652858</v>
      </c>
      <c r="M3084">
        <v>250</v>
      </c>
      <c r="O3084">
        <v>52.912532362961699</v>
      </c>
      <c r="P3084">
        <v>-0.39354854861386102</v>
      </c>
      <c r="Q3084">
        <v>0.66682172781107296</v>
      </c>
      <c r="R3084">
        <v>0.80088699224078597</v>
      </c>
      <c r="S3084" t="s">
        <v>9754</v>
      </c>
      <c r="T3084" t="s">
        <v>13338</v>
      </c>
      <c r="U3084" t="s">
        <v>13338</v>
      </c>
      <c r="V3084" t="s">
        <v>13338</v>
      </c>
      <c r="W3084" t="s">
        <v>16377</v>
      </c>
      <c r="X3084">
        <v>11</v>
      </c>
      <c r="Y3084" t="s">
        <v>22923</v>
      </c>
      <c r="Z3084" t="s">
        <v>29499</v>
      </c>
      <c r="AA3084">
        <v>0.81029588226567428</v>
      </c>
      <c r="AB3084" t="str">
        <f>HYPERLINK("Melting_Curves/meltCurve_Q00325_2_SLC25A3.pdf", "Melting_Curves/meltCurve_Q00325_2_SLC25A3.pdf")</f>
        <v>Melting_Curves/meltCurve_Q00325_2_SLC25A3.pdf</v>
      </c>
    </row>
    <row r="3085" spans="1:28" x14ac:dyDescent="0.25">
      <c r="A3085" t="s">
        <v>3089</v>
      </c>
      <c r="B3085">
        <v>0.99193492352474899</v>
      </c>
      <c r="C3085">
        <v>0.68309808983715303</v>
      </c>
      <c r="D3085">
        <v>0.27288395849906399</v>
      </c>
      <c r="E3085">
        <v>0.137939401106629</v>
      </c>
      <c r="F3085">
        <v>0.107465664329983</v>
      </c>
      <c r="G3085">
        <v>6.4062151827997793E-2</v>
      </c>
      <c r="H3085">
        <v>3.9724433521591697E-2</v>
      </c>
      <c r="I3085">
        <v>4.5720352398969002E-2</v>
      </c>
      <c r="J3085">
        <v>5.8467906673694697E-2</v>
      </c>
      <c r="K3085">
        <v>5.5940785724539699E-2</v>
      </c>
      <c r="L3085">
        <v>1242.87313112894</v>
      </c>
      <c r="M3085">
        <v>28.2380457431995</v>
      </c>
      <c r="N3085">
        <v>44.232220948295698</v>
      </c>
      <c r="O3085">
        <v>43.795171509910702</v>
      </c>
      <c r="P3085">
        <v>-0.150719559195898</v>
      </c>
      <c r="Q3085">
        <v>6.4987121448336196E-2</v>
      </c>
      <c r="R3085">
        <v>0.993972108371171</v>
      </c>
      <c r="S3085" t="s">
        <v>9755</v>
      </c>
      <c r="T3085" t="s">
        <v>13338</v>
      </c>
      <c r="U3085" t="s">
        <v>13338</v>
      </c>
      <c r="V3085" t="s">
        <v>13338</v>
      </c>
      <c r="W3085" t="s">
        <v>16378</v>
      </c>
      <c r="X3085">
        <v>35</v>
      </c>
      <c r="Y3085" t="s">
        <v>22924</v>
      </c>
      <c r="Z3085" t="s">
        <v>29500</v>
      </c>
      <c r="AA3085">
        <v>0.19800943843745691</v>
      </c>
      <c r="AB3085" t="str">
        <f>HYPERLINK("Melting_Curves/meltCurve_Q00341_HDLBP.pdf", "Melting_Curves/meltCurve_Q00341_HDLBP.pdf")</f>
        <v>Melting_Curves/meltCurve_Q00341_HDLBP.pdf</v>
      </c>
    </row>
    <row r="3086" spans="1:28" x14ac:dyDescent="0.25">
      <c r="A3086" t="s">
        <v>3090</v>
      </c>
      <c r="B3086">
        <v>0.99193492352474899</v>
      </c>
      <c r="C3086">
        <v>0.58756024209353896</v>
      </c>
      <c r="D3086">
        <v>0.683310497824553</v>
      </c>
      <c r="E3086">
        <v>0.15461148676440201</v>
      </c>
      <c r="F3086">
        <v>0.110432802227189</v>
      </c>
      <c r="G3086">
        <v>6.5929920396781194E-2</v>
      </c>
      <c r="H3086">
        <v>3.9776758523575997E-2</v>
      </c>
      <c r="I3086">
        <v>3.5598202254564199E-2</v>
      </c>
      <c r="J3086">
        <v>4.8358405061684803E-2</v>
      </c>
      <c r="K3086">
        <v>4.2426213548983703E-2</v>
      </c>
      <c r="L3086">
        <v>730.09405574609195</v>
      </c>
      <c r="M3086">
        <v>15.898340926413001</v>
      </c>
      <c r="N3086">
        <v>46.059261362017303</v>
      </c>
      <c r="O3086">
        <v>45.214510104189202</v>
      </c>
      <c r="P3086">
        <v>-8.5887633780860007E-2</v>
      </c>
      <c r="Q3086">
        <v>2.30287888492684E-2</v>
      </c>
      <c r="R3086">
        <v>0.92815354458826704</v>
      </c>
      <c r="S3086" t="s">
        <v>9756</v>
      </c>
      <c r="T3086" t="s">
        <v>13338</v>
      </c>
      <c r="U3086" t="s">
        <v>13338</v>
      </c>
      <c r="V3086" t="s">
        <v>13338</v>
      </c>
      <c r="W3086" t="s">
        <v>16379</v>
      </c>
      <c r="X3086">
        <v>15</v>
      </c>
      <c r="Y3086" t="s">
        <v>22925</v>
      </c>
      <c r="Z3086" t="s">
        <v>29501</v>
      </c>
      <c r="AA3086">
        <v>0.24127403230027519</v>
      </c>
      <c r="AB3086" t="str">
        <f>HYPERLINK("Melting_Curves/meltCurve_Q00403_GTF2B.pdf", "Melting_Curves/meltCurve_Q00403_GTF2B.pdf")</f>
        <v>Melting_Curves/meltCurve_Q00403_GTF2B.pdf</v>
      </c>
    </row>
    <row r="3087" spans="1:28" x14ac:dyDescent="0.25">
      <c r="A3087" t="s">
        <v>3091</v>
      </c>
      <c r="B3087">
        <v>0.99193492352474899</v>
      </c>
      <c r="C3087">
        <v>0.62695141916088803</v>
      </c>
      <c r="D3087">
        <v>0.80451649328298502</v>
      </c>
      <c r="E3087">
        <v>0.27555460347359101</v>
      </c>
      <c r="F3087">
        <v>0.32961530028670399</v>
      </c>
      <c r="G3087">
        <v>0.107417061224791</v>
      </c>
      <c r="H3087">
        <v>3.8460014109768903E-2</v>
      </c>
      <c r="I3087">
        <v>4.4429524005047599E-2</v>
      </c>
      <c r="J3087">
        <v>4.2582066847182298E-2</v>
      </c>
      <c r="K3087">
        <v>7.6527958988651307E-2</v>
      </c>
      <c r="L3087">
        <v>581.11462823231602</v>
      </c>
      <c r="M3087">
        <v>12.141882934387001</v>
      </c>
      <c r="N3087">
        <v>47.954598295344503</v>
      </c>
      <c r="O3087">
        <v>46.617597751021599</v>
      </c>
      <c r="P3087">
        <v>-6.4361286097202902E-2</v>
      </c>
      <c r="Q3087">
        <v>1.1791623218221E-2</v>
      </c>
      <c r="R3087">
        <v>0.91124726595050298</v>
      </c>
      <c r="S3087" t="s">
        <v>9757</v>
      </c>
      <c r="T3087" t="s">
        <v>13338</v>
      </c>
      <c r="U3087" t="s">
        <v>13338</v>
      </c>
      <c r="V3087" t="s">
        <v>13338</v>
      </c>
      <c r="W3087" t="s">
        <v>16380</v>
      </c>
      <c r="X3087">
        <v>5</v>
      </c>
      <c r="Y3087" t="s">
        <v>22926</v>
      </c>
      <c r="Z3087" t="s">
        <v>29502</v>
      </c>
      <c r="AA3087">
        <v>0.30893660400353651</v>
      </c>
      <c r="AB3087" t="str">
        <f>HYPERLINK("Melting_Curves/meltCurve_Q00526_CDK3.pdf", "Melting_Curves/meltCurve_Q00526_CDK3.pdf")</f>
        <v>Melting_Curves/meltCurve_Q00526_CDK3.pdf</v>
      </c>
    </row>
    <row r="3088" spans="1:28" x14ac:dyDescent="0.25">
      <c r="A3088" t="s">
        <v>3092</v>
      </c>
      <c r="B3088">
        <v>0.99193492352474899</v>
      </c>
      <c r="C3088">
        <v>1.2209174988310301</v>
      </c>
      <c r="D3088">
        <v>0.548210612681031</v>
      </c>
      <c r="E3088">
        <v>0.40041224559451499</v>
      </c>
      <c r="F3088">
        <v>0.25285219631436801</v>
      </c>
      <c r="G3088">
        <v>0.14747606628498899</v>
      </c>
      <c r="H3088">
        <v>8.0010431157725104E-2</v>
      </c>
      <c r="I3088">
        <v>0.102028633447517</v>
      </c>
      <c r="J3088">
        <v>0.111599250305181</v>
      </c>
      <c r="K3088">
        <v>0.104079305660695</v>
      </c>
      <c r="L3088">
        <v>1160.1544445427701</v>
      </c>
      <c r="M3088">
        <v>24.517419957731601</v>
      </c>
      <c r="N3088">
        <v>47.867153633296802</v>
      </c>
      <c r="O3088">
        <v>47.008161173366197</v>
      </c>
      <c r="P3088">
        <v>-0.114446766986685</v>
      </c>
      <c r="Q3088">
        <v>0.12228058036705</v>
      </c>
      <c r="R3088">
        <v>0.91918690912061196</v>
      </c>
      <c r="S3088" t="s">
        <v>9758</v>
      </c>
      <c r="T3088" t="s">
        <v>13338</v>
      </c>
      <c r="U3088" t="s">
        <v>13338</v>
      </c>
      <c r="V3088" t="s">
        <v>13338</v>
      </c>
      <c r="W3088" t="s">
        <v>16381</v>
      </c>
      <c r="X3088">
        <v>14</v>
      </c>
      <c r="Y3088" t="s">
        <v>22927</v>
      </c>
      <c r="Z3088" t="s">
        <v>29503</v>
      </c>
      <c r="AA3088">
        <v>0.34456670349320029</v>
      </c>
      <c r="AB3088" t="str">
        <f>HYPERLINK("Melting_Curves/meltCurve_Q00534_CDK6.pdf", "Melting_Curves/meltCurve_Q00534_CDK6.pdf")</f>
        <v>Melting_Curves/meltCurve_Q00534_CDK6.pdf</v>
      </c>
    </row>
    <row r="3089" spans="1:28" x14ac:dyDescent="0.25">
      <c r="A3089" t="s">
        <v>3093</v>
      </c>
      <c r="B3089">
        <v>0.99193492352474899</v>
      </c>
      <c r="C3089">
        <v>1.00500760898908</v>
      </c>
      <c r="D3089">
        <v>0.929053945817649</v>
      </c>
      <c r="E3089">
        <v>0.73205941723141599</v>
      </c>
      <c r="F3089">
        <v>0.25757255119688599</v>
      </c>
      <c r="G3089">
        <v>0.13803031515636699</v>
      </c>
      <c r="H3089">
        <v>7.3581690905370006E-2</v>
      </c>
      <c r="I3089">
        <v>8.9118756686141096E-2</v>
      </c>
      <c r="J3089">
        <v>7.0768153864382996E-2</v>
      </c>
      <c r="K3089">
        <v>6.2866477891311195E-2</v>
      </c>
      <c r="L3089">
        <v>1532.11415964819</v>
      </c>
      <c r="M3089">
        <v>30.077161078677399</v>
      </c>
      <c r="N3089">
        <v>51.214504412476899</v>
      </c>
      <c r="O3089">
        <v>50.7158646984848</v>
      </c>
      <c r="P3089">
        <v>-0.13720676120751199</v>
      </c>
      <c r="Q3089">
        <v>7.4578305610213405E-2</v>
      </c>
      <c r="R3089">
        <v>0.99815185097695502</v>
      </c>
      <c r="S3089" t="s">
        <v>9759</v>
      </c>
      <c r="T3089" t="s">
        <v>13338</v>
      </c>
      <c r="U3089" t="s">
        <v>13338</v>
      </c>
      <c r="V3089" t="s">
        <v>13338</v>
      </c>
      <c r="W3089" t="s">
        <v>16382</v>
      </c>
      <c r="X3089">
        <v>14</v>
      </c>
      <c r="Y3089" t="s">
        <v>22928</v>
      </c>
      <c r="Z3089" t="s">
        <v>29504</v>
      </c>
      <c r="AA3089">
        <v>0.41781480797789461</v>
      </c>
      <c r="AB3089" t="str">
        <f>HYPERLINK("Melting_Curves/meltCurve_Q00535_CDK5.pdf", "Melting_Curves/meltCurve_Q00535_CDK5.pdf")</f>
        <v>Melting_Curves/meltCurve_Q00535_CDK5.pdf</v>
      </c>
    </row>
    <row r="3090" spans="1:28" x14ac:dyDescent="0.25">
      <c r="A3090" t="s">
        <v>3094</v>
      </c>
      <c r="B3090">
        <v>0.99193492352474899</v>
      </c>
      <c r="C3090">
        <v>0.80151263026988495</v>
      </c>
      <c r="D3090">
        <v>1.0038688399975599</v>
      </c>
      <c r="E3090">
        <v>0.54447807254759695</v>
      </c>
      <c r="F3090">
        <v>0.32797083293813301</v>
      </c>
      <c r="G3090">
        <v>0.15586744833100499</v>
      </c>
      <c r="H3090">
        <v>0.10718288471234901</v>
      </c>
      <c r="I3090">
        <v>0.113311622108607</v>
      </c>
      <c r="J3090">
        <v>0.12791668683765101</v>
      </c>
      <c r="K3090">
        <v>0.12103274280185</v>
      </c>
      <c r="L3090">
        <v>1159.52006194461</v>
      </c>
      <c r="M3090">
        <v>23.196902879497902</v>
      </c>
      <c r="N3090">
        <v>50.5477591600146</v>
      </c>
      <c r="O3090">
        <v>49.618923491084203</v>
      </c>
      <c r="P3090">
        <v>-0.10359724328787701</v>
      </c>
      <c r="Q3090">
        <v>0.11362421621968199</v>
      </c>
      <c r="R3090">
        <v>0.96143261861808405</v>
      </c>
      <c r="S3090" t="s">
        <v>9760</v>
      </c>
      <c r="T3090" t="s">
        <v>13338</v>
      </c>
      <c r="U3090" t="s">
        <v>13338</v>
      </c>
      <c r="V3090" t="s">
        <v>13338</v>
      </c>
      <c r="W3090" t="s">
        <v>16383</v>
      </c>
      <c r="X3090">
        <v>4</v>
      </c>
      <c r="Y3090" t="s">
        <v>22929</v>
      </c>
      <c r="Z3090" t="s">
        <v>29505</v>
      </c>
      <c r="AA3090">
        <v>0.41787275723732947</v>
      </c>
      <c r="AB3090" t="str">
        <f>HYPERLINK("Melting_Curves/meltCurve_Q00536_CDK16.pdf", "Melting_Curves/meltCurve_Q00536_CDK16.pdf")</f>
        <v>Melting_Curves/meltCurve_Q00536_CDK16.pdf</v>
      </c>
    </row>
    <row r="3091" spans="1:28" x14ac:dyDescent="0.25">
      <c r="A3091" t="s">
        <v>3095</v>
      </c>
      <c r="B3091">
        <v>0.99193492352474899</v>
      </c>
      <c r="C3091">
        <v>0.583806049087779</v>
      </c>
      <c r="D3091">
        <v>0.42950102546608498</v>
      </c>
      <c r="E3091">
        <v>0.33470690942656101</v>
      </c>
      <c r="F3091">
        <v>0.27823105716427998</v>
      </c>
      <c r="G3091">
        <v>0.205164112379427</v>
      </c>
      <c r="H3091">
        <v>0.13830191809485501</v>
      </c>
      <c r="I3091">
        <v>0.171356296655236</v>
      </c>
      <c r="J3091">
        <v>0.18347524205225699</v>
      </c>
      <c r="K3091">
        <v>0.25004407045816601</v>
      </c>
      <c r="L3091">
        <v>855.84839561828198</v>
      </c>
      <c r="M3091">
        <v>19.607723316553798</v>
      </c>
      <c r="N3091">
        <v>44.856863727673897</v>
      </c>
      <c r="O3091">
        <v>43.202130613422099</v>
      </c>
      <c r="P3091">
        <v>-9.0189732939127895E-2</v>
      </c>
      <c r="Q3091">
        <v>0.205159843590834</v>
      </c>
      <c r="R3091">
        <v>0.94521080776214705</v>
      </c>
      <c r="S3091" t="s">
        <v>9761</v>
      </c>
      <c r="T3091" t="s">
        <v>13338</v>
      </c>
      <c r="U3091" t="s">
        <v>13338</v>
      </c>
      <c r="V3091" t="s">
        <v>13338</v>
      </c>
      <c r="W3091" t="s">
        <v>16384</v>
      </c>
      <c r="X3091">
        <v>3</v>
      </c>
      <c r="Y3091" t="s">
        <v>22930</v>
      </c>
      <c r="Z3091" t="s">
        <v>29506</v>
      </c>
      <c r="AA3091">
        <v>0.31900128455106669</v>
      </c>
      <c r="AB3091" t="str">
        <f>HYPERLINK("Melting_Curves/meltCurve_Q00577_PURA.pdf", "Melting_Curves/meltCurve_Q00577_PURA.pdf")</f>
        <v>Melting_Curves/meltCurve_Q00577_PURA.pdf</v>
      </c>
    </row>
    <row r="3092" spans="1:28" x14ac:dyDescent="0.25">
      <c r="A3092" t="s">
        <v>3096</v>
      </c>
      <c r="B3092">
        <v>0.99193492352474899</v>
      </c>
      <c r="C3092">
        <v>0.85724006487146098</v>
      </c>
      <c r="D3092">
        <v>0.840548231980209</v>
      </c>
      <c r="E3092">
        <v>0.57135209142969701</v>
      </c>
      <c r="F3092">
        <v>0.17771864904701901</v>
      </c>
      <c r="G3092">
        <v>0.103403069719714</v>
      </c>
      <c r="H3092">
        <v>6.3548384529512197E-2</v>
      </c>
      <c r="I3092">
        <v>7.7172049184788302E-2</v>
      </c>
      <c r="J3092">
        <v>9.2611699746775702E-2</v>
      </c>
      <c r="K3092">
        <v>8.0470671355949305E-2</v>
      </c>
      <c r="L3092">
        <v>1065.9959732432401</v>
      </c>
      <c r="M3092">
        <v>21.549510663055798</v>
      </c>
      <c r="N3092">
        <v>49.776573516720099</v>
      </c>
      <c r="O3092">
        <v>49.047197500390297</v>
      </c>
      <c r="P3092">
        <v>-0.102960639369176</v>
      </c>
      <c r="Q3092">
        <v>6.2658862995753295E-2</v>
      </c>
      <c r="R3092">
        <v>0.98553012445788701</v>
      </c>
      <c r="S3092" t="s">
        <v>9762</v>
      </c>
      <c r="T3092" t="s">
        <v>13338</v>
      </c>
      <c r="U3092" t="s">
        <v>13338</v>
      </c>
      <c r="V3092" t="s">
        <v>13338</v>
      </c>
      <c r="W3092" t="s">
        <v>16385</v>
      </c>
      <c r="X3092">
        <v>77</v>
      </c>
      <c r="Y3092" t="s">
        <v>22931</v>
      </c>
      <c r="Z3092" t="s">
        <v>29507</v>
      </c>
      <c r="AA3092">
        <v>0.36972662815176149</v>
      </c>
      <c r="AB3092" t="str">
        <f>HYPERLINK("Melting_Curves/meltCurve_Q00610_2_CLTC.pdf", "Melting_Curves/meltCurve_Q00610_2_CLTC.pdf")</f>
        <v>Melting_Curves/meltCurve_Q00610_2_CLTC.pdf</v>
      </c>
    </row>
    <row r="3093" spans="1:28" x14ac:dyDescent="0.25">
      <c r="A3093" t="s">
        <v>3097</v>
      </c>
      <c r="B3093">
        <v>0.99193492352474899</v>
      </c>
      <c r="C3093">
        <v>0.83780765704892401</v>
      </c>
      <c r="D3093">
        <v>0.33895972224305299</v>
      </c>
      <c r="E3093">
        <v>0.21144946268371601</v>
      </c>
      <c r="F3093">
        <v>0.150018900332443</v>
      </c>
      <c r="G3093">
        <v>0.11695662841419301</v>
      </c>
      <c r="H3093">
        <v>7.0484319572967705E-2</v>
      </c>
      <c r="I3093">
        <v>7.0695834987897693E-2</v>
      </c>
      <c r="J3093">
        <v>7.9345128055330796E-2</v>
      </c>
      <c r="K3093">
        <v>7.1760016850729899E-2</v>
      </c>
      <c r="L3093">
        <v>1417.4771676386199</v>
      </c>
      <c r="M3093">
        <v>31.662119237521299</v>
      </c>
      <c r="N3093">
        <v>45.088006592148503</v>
      </c>
      <c r="O3093">
        <v>44.591414001612499</v>
      </c>
      <c r="P3093">
        <v>-0.15969343566791</v>
      </c>
      <c r="Q3093">
        <v>0.100386349055428</v>
      </c>
      <c r="R3093">
        <v>0.98862204427985101</v>
      </c>
      <c r="S3093" t="s">
        <v>9763</v>
      </c>
      <c r="T3093" t="s">
        <v>13338</v>
      </c>
      <c r="U3093" t="s">
        <v>13338</v>
      </c>
      <c r="V3093" t="s">
        <v>13338</v>
      </c>
      <c r="W3093" t="s">
        <v>16386</v>
      </c>
      <c r="X3093">
        <v>7</v>
      </c>
      <c r="Y3093" t="s">
        <v>22932</v>
      </c>
      <c r="Z3093" t="s">
        <v>29508</v>
      </c>
      <c r="AA3093">
        <v>0.24858551835696141</v>
      </c>
      <c r="AB3093" t="str">
        <f>HYPERLINK("Melting_Curves/meltCurve_Q00653_4_NFKB2.pdf", "Melting_Curves/meltCurve_Q00653_4_NFKB2.pdf")</f>
        <v>Melting_Curves/meltCurve_Q00653_4_NFKB2.pdf</v>
      </c>
    </row>
    <row r="3094" spans="1:28" x14ac:dyDescent="0.25">
      <c r="A3094" t="s">
        <v>3098</v>
      </c>
      <c r="B3094">
        <v>0.99193492352474899</v>
      </c>
      <c r="C3094">
        <v>0.92702233990040595</v>
      </c>
      <c r="D3094">
        <v>0.820379235723105</v>
      </c>
      <c r="E3094">
        <v>0.81276967151495305</v>
      </c>
      <c r="F3094">
        <v>0.46532692506858803</v>
      </c>
      <c r="G3094">
        <v>0.236620840563428</v>
      </c>
      <c r="H3094">
        <v>0.14090967777201899</v>
      </c>
      <c r="I3094">
        <v>0.17278883539064099</v>
      </c>
      <c r="J3094">
        <v>0.18920350342679301</v>
      </c>
      <c r="K3094">
        <v>0.27131115148375001</v>
      </c>
      <c r="L3094">
        <v>1107.53101085037</v>
      </c>
      <c r="M3094">
        <v>21.4888979212569</v>
      </c>
      <c r="N3094">
        <v>52.607328955080803</v>
      </c>
      <c r="O3094">
        <v>51.099575744172597</v>
      </c>
      <c r="P3094">
        <v>-8.6554915066806098E-2</v>
      </c>
      <c r="Q3094">
        <v>0.176726344375187</v>
      </c>
      <c r="R3094">
        <v>0.96553563792033703</v>
      </c>
      <c r="S3094" t="s">
        <v>9764</v>
      </c>
      <c r="T3094" t="s">
        <v>13338</v>
      </c>
      <c r="U3094" t="s">
        <v>13338</v>
      </c>
      <c r="V3094" t="s">
        <v>13338</v>
      </c>
      <c r="W3094" t="s">
        <v>16387</v>
      </c>
      <c r="X3094">
        <v>24</v>
      </c>
      <c r="Y3094" t="s">
        <v>22933</v>
      </c>
      <c r="Z3094" t="s">
        <v>29509</v>
      </c>
      <c r="AA3094">
        <v>0.50339434604469002</v>
      </c>
      <c r="AB3094" t="str">
        <f>HYPERLINK("Melting_Curves/meltCurve_Q00688_FKBP3.pdf", "Melting_Curves/meltCurve_Q00688_FKBP3.pdf")</f>
        <v>Melting_Curves/meltCurve_Q00688_FKBP3.pdf</v>
      </c>
    </row>
    <row r="3095" spans="1:28" x14ac:dyDescent="0.25">
      <c r="A3095" t="s">
        <v>3099</v>
      </c>
      <c r="B3095">
        <v>0.99193492352474899</v>
      </c>
      <c r="C3095">
        <v>0.87543903722290795</v>
      </c>
      <c r="D3095">
        <v>0.90812056393610696</v>
      </c>
      <c r="E3095">
        <v>0.76556321661485105</v>
      </c>
      <c r="F3095">
        <v>0.70038802131892297</v>
      </c>
      <c r="G3095">
        <v>0.52263174119117495</v>
      </c>
      <c r="H3095">
        <v>0.43046588365238098</v>
      </c>
      <c r="I3095">
        <v>0.52381647059689296</v>
      </c>
      <c r="J3095">
        <v>0.63959899912806895</v>
      </c>
      <c r="K3095">
        <v>0.69461828522718705</v>
      </c>
      <c r="L3095">
        <v>847.639432763939</v>
      </c>
      <c r="M3095">
        <v>17.366058833527301</v>
      </c>
      <c r="O3095">
        <v>48.176683659395202</v>
      </c>
      <c r="P3095">
        <v>-3.9487385101036901E-2</v>
      </c>
      <c r="Q3095">
        <v>0.56184342294402501</v>
      </c>
      <c r="R3095">
        <v>0.79342129451357402</v>
      </c>
      <c r="S3095" t="s">
        <v>9765</v>
      </c>
      <c r="T3095" t="s">
        <v>13338</v>
      </c>
      <c r="U3095" t="s">
        <v>13338</v>
      </c>
      <c r="V3095" t="s">
        <v>13338</v>
      </c>
      <c r="W3095" t="s">
        <v>16388</v>
      </c>
      <c r="X3095">
        <v>7</v>
      </c>
      <c r="Y3095" t="s">
        <v>22934</v>
      </c>
      <c r="Z3095" t="s">
        <v>29510</v>
      </c>
      <c r="AA3095">
        <v>0.69870218688020247</v>
      </c>
      <c r="AB3095" t="str">
        <f>HYPERLINK("Melting_Curves/meltCurve_Q00765_REEP5.pdf", "Melting_Curves/meltCurve_Q00765_REEP5.pdf")</f>
        <v>Melting_Curves/meltCurve_Q00765_REEP5.pdf</v>
      </c>
    </row>
    <row r="3096" spans="1:28" x14ac:dyDescent="0.25">
      <c r="A3096" t="s">
        <v>3100</v>
      </c>
      <c r="B3096">
        <v>0.99193492352474899</v>
      </c>
      <c r="C3096">
        <v>1.10313900070077</v>
      </c>
      <c r="D3096">
        <v>0.91052194379163398</v>
      </c>
      <c r="E3096">
        <v>0.90743741776629405</v>
      </c>
      <c r="F3096">
        <v>0.74828389800329498</v>
      </c>
      <c r="G3096">
        <v>0.61997016784806203</v>
      </c>
      <c r="H3096">
        <v>0.42800435010297899</v>
      </c>
      <c r="I3096">
        <v>0.37521206359071801</v>
      </c>
      <c r="J3096">
        <v>0.21723881654112301</v>
      </c>
      <c r="K3096">
        <v>0.161773549254874</v>
      </c>
      <c r="L3096">
        <v>618.72470518337298</v>
      </c>
      <c r="M3096">
        <v>10.401866230094599</v>
      </c>
      <c r="N3096">
        <v>59.482064155329397</v>
      </c>
      <c r="O3096">
        <v>57.409668882517401</v>
      </c>
      <c r="P3096">
        <v>-4.5315630739654403E-2</v>
      </c>
      <c r="Q3096">
        <v>0</v>
      </c>
      <c r="R3096">
        <v>0.97951411236539698</v>
      </c>
      <c r="S3096" t="s">
        <v>9766</v>
      </c>
      <c r="T3096" t="s">
        <v>13338</v>
      </c>
      <c r="U3096" t="s">
        <v>13338</v>
      </c>
      <c r="V3096" t="s">
        <v>13338</v>
      </c>
      <c r="W3096" t="s">
        <v>14209</v>
      </c>
      <c r="X3096">
        <v>25</v>
      </c>
      <c r="Y3096" t="s">
        <v>20813</v>
      </c>
      <c r="Z3096" t="s">
        <v>29511</v>
      </c>
      <c r="AA3096">
        <v>0.65068856410343912</v>
      </c>
      <c r="AB3096" t="str">
        <f>HYPERLINK("Melting_Curves/meltCurve_Q00796_SORD.pdf", "Melting_Curves/meltCurve_Q00796_SORD.pdf")</f>
        <v>Melting_Curves/meltCurve_Q00796_SORD.pdf</v>
      </c>
    </row>
    <row r="3097" spans="1:28" x14ac:dyDescent="0.25">
      <c r="A3097" t="s">
        <v>3101</v>
      </c>
      <c r="B3097">
        <v>0.99193492352474899</v>
      </c>
      <c r="C3097">
        <v>0.40633084986260498</v>
      </c>
      <c r="D3097">
        <v>0.552147049391012</v>
      </c>
      <c r="E3097">
        <v>0.19938917088953301</v>
      </c>
      <c r="F3097">
        <v>0.128391002896489</v>
      </c>
      <c r="G3097">
        <v>6.8461371662760201E-2</v>
      </c>
      <c r="H3097">
        <v>4.2172212359423603E-2</v>
      </c>
      <c r="I3097">
        <v>4.9967451264019899E-2</v>
      </c>
      <c r="J3097">
        <v>6.7622949711372199E-2</v>
      </c>
      <c r="K3097">
        <v>9.0045640798549403E-2</v>
      </c>
      <c r="L3097">
        <v>639.22560258105295</v>
      </c>
      <c r="M3097">
        <v>14.4351038113277</v>
      </c>
      <c r="N3097">
        <v>44.621542570816402</v>
      </c>
      <c r="O3097">
        <v>43.458897228936401</v>
      </c>
      <c r="P3097">
        <v>-7.8737690208928707E-2</v>
      </c>
      <c r="Q3097">
        <v>5.1908431190649099E-2</v>
      </c>
      <c r="R3097">
        <v>0.88008864614806004</v>
      </c>
      <c r="S3097" t="s">
        <v>9767</v>
      </c>
      <c r="T3097" t="s">
        <v>13338</v>
      </c>
      <c r="U3097" t="s">
        <v>13338</v>
      </c>
      <c r="V3097" t="s">
        <v>13338</v>
      </c>
      <c r="W3097" t="s">
        <v>16389</v>
      </c>
      <c r="X3097">
        <v>25</v>
      </c>
      <c r="Y3097" t="s">
        <v>22935</v>
      </c>
      <c r="Z3097" t="s">
        <v>29512</v>
      </c>
      <c r="AA3097">
        <v>0.2230895767991582</v>
      </c>
      <c r="AB3097" t="str">
        <f>HYPERLINK("Melting_Curves/meltCurve_Q00839_2_HNRNPU.pdf", "Melting_Curves/meltCurve_Q00839_2_HNRNPU.pdf")</f>
        <v>Melting_Curves/meltCurve_Q00839_2_HNRNPU.pdf</v>
      </c>
    </row>
    <row r="3098" spans="1:28" x14ac:dyDescent="0.25">
      <c r="A3098" t="s">
        <v>3102</v>
      </c>
      <c r="B3098">
        <v>0.99193492352474899</v>
      </c>
      <c r="C3098">
        <v>0.53286598463850698</v>
      </c>
      <c r="D3098">
        <v>0.72188761632940701</v>
      </c>
      <c r="E3098">
        <v>0.25308794303566701</v>
      </c>
      <c r="F3098">
        <v>0.106829692717303</v>
      </c>
      <c r="G3098">
        <v>5.9768884019833497E-2</v>
      </c>
      <c r="H3098">
        <v>3.65958849211582E-2</v>
      </c>
      <c r="I3098">
        <v>4.6392965461745199E-2</v>
      </c>
      <c r="J3098">
        <v>6.4413577504909503E-2</v>
      </c>
      <c r="K3098">
        <v>6.7896697987664803E-2</v>
      </c>
      <c r="L3098">
        <v>642.369619536389</v>
      </c>
      <c r="M3098">
        <v>13.9016216382804</v>
      </c>
      <c r="N3098">
        <v>46.357289179324198</v>
      </c>
      <c r="O3098">
        <v>45.283574058199797</v>
      </c>
      <c r="P3098">
        <v>-7.5080517069785094E-2</v>
      </c>
      <c r="Q3098">
        <v>2.1854784961872001E-2</v>
      </c>
      <c r="R3098">
        <v>0.90265914711865702</v>
      </c>
      <c r="S3098" t="s">
        <v>9768</v>
      </c>
      <c r="T3098" t="s">
        <v>13338</v>
      </c>
      <c r="U3098" t="s">
        <v>13338</v>
      </c>
      <c r="V3098" t="s">
        <v>13338</v>
      </c>
      <c r="W3098" t="s">
        <v>16390</v>
      </c>
      <c r="X3098">
        <v>8</v>
      </c>
      <c r="Y3098" t="s">
        <v>22936</v>
      </c>
      <c r="Z3098" t="s">
        <v>29513</v>
      </c>
      <c r="AA3098">
        <v>0.25713195083037732</v>
      </c>
      <c r="AB3098" t="str">
        <f>HYPERLINK("Melting_Curves/meltCurve_Q01081_U2AF1.pdf", "Melting_Curves/meltCurve_Q01081_U2AF1.pdf")</f>
        <v>Melting_Curves/meltCurve_Q01081_U2AF1.pdf</v>
      </c>
    </row>
    <row r="3099" spans="1:28" x14ac:dyDescent="0.25">
      <c r="A3099" t="s">
        <v>3103</v>
      </c>
      <c r="B3099">
        <v>0.99193492352474899</v>
      </c>
      <c r="C3099">
        <v>0.78344211152945997</v>
      </c>
      <c r="D3099">
        <v>0.72574811682877105</v>
      </c>
      <c r="E3099">
        <v>0.51741328343827597</v>
      </c>
      <c r="F3099">
        <v>0.171353776410092</v>
      </c>
      <c r="G3099">
        <v>9.9598289424926295E-2</v>
      </c>
      <c r="H3099">
        <v>6.3337165745223495E-2</v>
      </c>
      <c r="I3099">
        <v>7.3354044706765806E-2</v>
      </c>
      <c r="J3099">
        <v>8.1202373250581994E-2</v>
      </c>
      <c r="K3099">
        <v>8.2945297493209502E-2</v>
      </c>
      <c r="L3099">
        <v>737.53869665904006</v>
      </c>
      <c r="M3099">
        <v>15.222358873973301</v>
      </c>
      <c r="N3099">
        <v>48.736227320830402</v>
      </c>
      <c r="O3099">
        <v>47.637954827486197</v>
      </c>
      <c r="P3099">
        <v>-7.6488649862114497E-2</v>
      </c>
      <c r="Q3099">
        <v>4.2615194832263698E-2</v>
      </c>
      <c r="R3099">
        <v>0.97828602482876703</v>
      </c>
      <c r="S3099" t="s">
        <v>9769</v>
      </c>
      <c r="T3099" t="s">
        <v>13338</v>
      </c>
      <c r="U3099" t="s">
        <v>13338</v>
      </c>
      <c r="V3099" t="s">
        <v>13338</v>
      </c>
      <c r="W3099" t="s">
        <v>16391</v>
      </c>
      <c r="X3099">
        <v>147</v>
      </c>
      <c r="Y3099" t="s">
        <v>22937</v>
      </c>
      <c r="Z3099" t="s">
        <v>29514</v>
      </c>
      <c r="AA3099">
        <v>0.33577766329159181</v>
      </c>
      <c r="AB3099" t="str">
        <f>HYPERLINK("Melting_Curves/meltCurve_Q01082_SPTBN1.pdf", "Melting_Curves/meltCurve_Q01082_SPTBN1.pdf")</f>
        <v>Melting_Curves/meltCurve_Q01082_SPTBN1.pdf</v>
      </c>
    </row>
    <row r="3100" spans="1:28" x14ac:dyDescent="0.25">
      <c r="A3100" t="s">
        <v>3104</v>
      </c>
      <c r="B3100">
        <v>0.99193492352474899</v>
      </c>
      <c r="C3100">
        <v>1.0641094949419601</v>
      </c>
      <c r="D3100">
        <v>0.69621302964508003</v>
      </c>
      <c r="E3100">
        <v>0.69989506355237496</v>
      </c>
      <c r="F3100">
        <v>0.19294743565965899</v>
      </c>
      <c r="G3100">
        <v>0.123388187541283</v>
      </c>
      <c r="H3100">
        <v>7.7420174790410995E-2</v>
      </c>
      <c r="I3100">
        <v>8.3563406894019199E-2</v>
      </c>
      <c r="J3100">
        <v>0.121250945169578</v>
      </c>
      <c r="K3100">
        <v>0.104602004992051</v>
      </c>
      <c r="L3100">
        <v>1028.67232137051</v>
      </c>
      <c r="M3100">
        <v>20.625558448502002</v>
      </c>
      <c r="N3100">
        <v>50.277407455192403</v>
      </c>
      <c r="O3100">
        <v>49.411931880754899</v>
      </c>
      <c r="P3100">
        <v>-9.6393660948940502E-2</v>
      </c>
      <c r="Q3100">
        <v>7.6318592482095299E-2</v>
      </c>
      <c r="R3100">
        <v>0.95538427197109799</v>
      </c>
      <c r="S3100" t="s">
        <v>9770</v>
      </c>
      <c r="T3100" t="s">
        <v>13338</v>
      </c>
      <c r="U3100" t="s">
        <v>13338</v>
      </c>
      <c r="V3100" t="s">
        <v>13338</v>
      </c>
      <c r="W3100" t="s">
        <v>16392</v>
      </c>
      <c r="X3100">
        <v>144</v>
      </c>
      <c r="Y3100" t="s">
        <v>22937</v>
      </c>
      <c r="Z3100" t="s">
        <v>29515</v>
      </c>
      <c r="AA3100">
        <v>0.39243210682298668</v>
      </c>
      <c r="AB3100" t="str">
        <f>HYPERLINK("Melting_Curves/meltCurve_Q01082_3_SPTBN1.pdf", "Melting_Curves/meltCurve_Q01082_3_SPTBN1.pdf")</f>
        <v>Melting_Curves/meltCurve_Q01082_3_SPTBN1.pdf</v>
      </c>
    </row>
    <row r="3101" spans="1:28" x14ac:dyDescent="0.25">
      <c r="A3101" t="s">
        <v>3105</v>
      </c>
      <c r="B3101">
        <v>0.99193492352474899</v>
      </c>
      <c r="C3101">
        <v>0.73821022167136596</v>
      </c>
      <c r="D3101">
        <v>0.95010376833436805</v>
      </c>
      <c r="E3101">
        <v>0.63333685772057802</v>
      </c>
      <c r="F3101">
        <v>0.28202883055326</v>
      </c>
      <c r="G3101">
        <v>0.134124864819055</v>
      </c>
      <c r="H3101">
        <v>8.6068155128820295E-2</v>
      </c>
      <c r="I3101">
        <v>8.3036295057811196E-2</v>
      </c>
      <c r="J3101">
        <v>9.1755621709276702E-2</v>
      </c>
      <c r="K3101">
        <v>0.108552991389533</v>
      </c>
      <c r="L3101">
        <v>1091.4595250847301</v>
      </c>
      <c r="M3101">
        <v>21.671366526614101</v>
      </c>
      <c r="N3101">
        <v>50.7620926174122</v>
      </c>
      <c r="O3101">
        <v>49.9411697516814</v>
      </c>
      <c r="P3101">
        <v>-0.10001154679261</v>
      </c>
      <c r="Q3101">
        <v>7.8124540889581998E-2</v>
      </c>
      <c r="R3101">
        <v>0.95086872683763402</v>
      </c>
      <c r="S3101" t="s">
        <v>9771</v>
      </c>
      <c r="T3101" t="s">
        <v>13338</v>
      </c>
      <c r="U3101" t="s">
        <v>13338</v>
      </c>
      <c r="V3101" t="s">
        <v>13338</v>
      </c>
      <c r="W3101" t="s">
        <v>16393</v>
      </c>
      <c r="X3101">
        <v>18</v>
      </c>
      <c r="Y3101" t="s">
        <v>22938</v>
      </c>
      <c r="Z3101" t="s">
        <v>29516</v>
      </c>
      <c r="AA3101">
        <v>0.40757633414706129</v>
      </c>
      <c r="AB3101" t="str">
        <f>HYPERLINK("Melting_Curves/meltCurve_Q01085_2_TIAL1.pdf", "Melting_Curves/meltCurve_Q01085_2_TIAL1.pdf")</f>
        <v>Melting_Curves/meltCurve_Q01085_2_TIAL1.pdf</v>
      </c>
    </row>
    <row r="3102" spans="1:28" x14ac:dyDescent="0.25">
      <c r="A3102" t="s">
        <v>3106</v>
      </c>
      <c r="B3102">
        <v>0.99193492352474899</v>
      </c>
      <c r="C3102">
        <v>0.94650112678472498</v>
      </c>
      <c r="D3102">
        <v>0.77328530057715705</v>
      </c>
      <c r="E3102">
        <v>0.84937996265385096</v>
      </c>
      <c r="F3102">
        <v>0.68376290623087099</v>
      </c>
      <c r="G3102">
        <v>0.56833913522490298</v>
      </c>
      <c r="H3102">
        <v>0.41355344618707801</v>
      </c>
      <c r="I3102">
        <v>0.239603975211644</v>
      </c>
      <c r="J3102">
        <v>0.237728606261909</v>
      </c>
      <c r="K3102">
        <v>0.308956767517577</v>
      </c>
      <c r="L3102">
        <v>484.38904803594698</v>
      </c>
      <c r="M3102">
        <v>8.5509275223331809</v>
      </c>
      <c r="N3102">
        <v>57.822162109757102</v>
      </c>
      <c r="O3102">
        <v>53.804465131247497</v>
      </c>
      <c r="P3102">
        <v>-3.6596001298537198E-2</v>
      </c>
      <c r="Q3102">
        <v>7.9728103079091006E-2</v>
      </c>
      <c r="R3102">
        <v>0.95458537647159503</v>
      </c>
      <c r="S3102" t="s">
        <v>9772</v>
      </c>
      <c r="T3102" t="s">
        <v>13338</v>
      </c>
      <c r="U3102" t="s">
        <v>13338</v>
      </c>
      <c r="V3102" t="s">
        <v>13338</v>
      </c>
      <c r="W3102" t="s">
        <v>16394</v>
      </c>
      <c r="X3102">
        <v>14</v>
      </c>
      <c r="Y3102" t="s">
        <v>22939</v>
      </c>
      <c r="Z3102" t="s">
        <v>29517</v>
      </c>
      <c r="AA3102">
        <v>0.60508761154407997</v>
      </c>
      <c r="AB3102" t="str">
        <f>HYPERLINK("Melting_Curves/meltCurve_Q01105_2_SET.pdf", "Melting_Curves/meltCurve_Q01105_2_SET.pdf")</f>
        <v>Melting_Curves/meltCurve_Q01105_2_SET.pdf</v>
      </c>
    </row>
    <row r="3103" spans="1:28" x14ac:dyDescent="0.25">
      <c r="A3103" t="s">
        <v>3107</v>
      </c>
      <c r="B3103">
        <v>0.99193492352474899</v>
      </c>
      <c r="C3103">
        <v>0.60887648068203104</v>
      </c>
      <c r="D3103">
        <v>0.76393220917605897</v>
      </c>
      <c r="E3103">
        <v>0.579123120633255</v>
      </c>
      <c r="F3103">
        <v>0.27144288743814299</v>
      </c>
      <c r="G3103">
        <v>0.37344978186612798</v>
      </c>
      <c r="H3103">
        <v>0.25557352887509699</v>
      </c>
      <c r="I3103">
        <v>0.24892604938090401</v>
      </c>
      <c r="J3103">
        <v>0.34952560680399702</v>
      </c>
      <c r="K3103">
        <v>0.48318587615389902</v>
      </c>
      <c r="L3103">
        <v>600.34218817984504</v>
      </c>
      <c r="M3103">
        <v>13.1436599885372</v>
      </c>
      <c r="N3103">
        <v>49.401160520040797</v>
      </c>
      <c r="O3103">
        <v>44.656934007708003</v>
      </c>
      <c r="P3103">
        <v>-5.0452413896256397E-2</v>
      </c>
      <c r="Q3103">
        <v>0.31444711950890403</v>
      </c>
      <c r="R3103">
        <v>0.77392991928299104</v>
      </c>
      <c r="S3103" t="s">
        <v>9773</v>
      </c>
      <c r="T3103" t="s">
        <v>13338</v>
      </c>
      <c r="U3103" t="s">
        <v>13338</v>
      </c>
      <c r="V3103" t="s">
        <v>13338</v>
      </c>
      <c r="W3103" t="s">
        <v>16395</v>
      </c>
      <c r="X3103">
        <v>1</v>
      </c>
      <c r="Y3103" t="s">
        <v>22940</v>
      </c>
      <c r="Z3103" t="s">
        <v>29518</v>
      </c>
      <c r="AA3103">
        <v>0.47110678544535067</v>
      </c>
      <c r="AB3103" t="str">
        <f>HYPERLINK("Melting_Curves/meltCurve_Q01151_CD83.pdf", "Melting_Curves/meltCurve_Q01151_CD83.pdf")</f>
        <v>Melting_Curves/meltCurve_Q01151_CD83.pdf</v>
      </c>
    </row>
    <row r="3104" spans="1:28" x14ac:dyDescent="0.25">
      <c r="A3104" t="s">
        <v>3108</v>
      </c>
      <c r="B3104">
        <v>0.99193492352474899</v>
      </c>
      <c r="C3104">
        <v>0.62370304723088599</v>
      </c>
      <c r="D3104">
        <v>0.31171049807991602</v>
      </c>
      <c r="E3104">
        <v>0.139383805594646</v>
      </c>
      <c r="F3104">
        <v>8.43762121248708E-2</v>
      </c>
      <c r="G3104">
        <v>5.9302214589636998E-2</v>
      </c>
      <c r="H3104">
        <v>3.6681395862424998E-2</v>
      </c>
      <c r="I3104">
        <v>5.7215536228127299E-2</v>
      </c>
      <c r="J3104">
        <v>6.7125327374324403E-2</v>
      </c>
      <c r="K3104">
        <v>7.4351073560435896E-2</v>
      </c>
      <c r="L3104">
        <v>1083.7620014086799</v>
      </c>
      <c r="M3104">
        <v>24.6781302523679</v>
      </c>
      <c r="N3104">
        <v>44.162635423883501</v>
      </c>
      <c r="O3104">
        <v>43.630561178749701</v>
      </c>
      <c r="P3104">
        <v>-0.13229944232808499</v>
      </c>
      <c r="Q3104">
        <v>6.4399508026594707E-2</v>
      </c>
      <c r="R3104">
        <v>0.990900998348485</v>
      </c>
      <c r="S3104" t="s">
        <v>9774</v>
      </c>
      <c r="T3104" t="s">
        <v>13338</v>
      </c>
      <c r="U3104" t="s">
        <v>13338</v>
      </c>
      <c r="V3104" t="s">
        <v>13338</v>
      </c>
      <c r="W3104" t="s">
        <v>16396</v>
      </c>
      <c r="X3104">
        <v>5</v>
      </c>
      <c r="Y3104" t="s">
        <v>22941</v>
      </c>
      <c r="Z3104" t="s">
        <v>29519</v>
      </c>
      <c r="AA3104">
        <v>0.1977520633455761</v>
      </c>
      <c r="AB3104" t="str">
        <f>HYPERLINK("Melting_Curves/meltCurve_Q01167_FOXK2.pdf", "Melting_Curves/meltCurve_Q01167_FOXK2.pdf")</f>
        <v>Melting_Curves/meltCurve_Q01167_FOXK2.pdf</v>
      </c>
    </row>
    <row r="3105" spans="1:28" x14ac:dyDescent="0.25">
      <c r="A3105" t="s">
        <v>3109</v>
      </c>
      <c r="B3105">
        <v>0.99193492352474899</v>
      </c>
      <c r="C3105">
        <v>0.67863429586151902</v>
      </c>
      <c r="D3105">
        <v>0.75449032378223402</v>
      </c>
      <c r="E3105">
        <v>0.452961791999415</v>
      </c>
      <c r="F3105">
        <v>0.39011122643438101</v>
      </c>
      <c r="G3105">
        <v>0.148534743684134</v>
      </c>
      <c r="H3105">
        <v>8.1336894239171204E-2</v>
      </c>
      <c r="I3105">
        <v>0.10176137922228901</v>
      </c>
      <c r="J3105">
        <v>0.12942615928103801</v>
      </c>
      <c r="K3105">
        <v>0.15314164477888301</v>
      </c>
      <c r="L3105">
        <v>548.25140838522805</v>
      </c>
      <c r="M3105">
        <v>11.316256848035501</v>
      </c>
      <c r="N3105">
        <v>49.054013657740597</v>
      </c>
      <c r="O3105">
        <v>47.0091440462393</v>
      </c>
      <c r="P3105">
        <v>-5.6273102789111899E-2</v>
      </c>
      <c r="Q3105">
        <v>6.5220748405717302E-2</v>
      </c>
      <c r="R3105">
        <v>0.94357085382528705</v>
      </c>
      <c r="S3105" t="s">
        <v>9775</v>
      </c>
      <c r="T3105" t="s">
        <v>13338</v>
      </c>
      <c r="U3105" t="s">
        <v>13338</v>
      </c>
      <c r="V3105" t="s">
        <v>13338</v>
      </c>
      <c r="W3105" t="s">
        <v>16397</v>
      </c>
      <c r="X3105">
        <v>8</v>
      </c>
      <c r="Y3105" t="s">
        <v>22942</v>
      </c>
      <c r="Z3105" t="s">
        <v>29520</v>
      </c>
      <c r="AA3105">
        <v>0.36770984166127879</v>
      </c>
      <c r="AB3105" t="str">
        <f>HYPERLINK("Melting_Curves/meltCurve_Q01196_RUNX1.pdf", "Melting_Curves/meltCurve_Q01196_RUNX1.pdf")</f>
        <v>Melting_Curves/meltCurve_Q01196_RUNX1.pdf</v>
      </c>
    </row>
    <row r="3106" spans="1:28" x14ac:dyDescent="0.25">
      <c r="A3106" t="s">
        <v>3110</v>
      </c>
      <c r="B3106">
        <v>0.99193492352474899</v>
      </c>
      <c r="C3106">
        <v>0.96558613917554503</v>
      </c>
      <c r="D3106">
        <v>0.98734273355572499</v>
      </c>
      <c r="E3106">
        <v>0.85994112375439002</v>
      </c>
      <c r="F3106">
        <v>0.75800424504908204</v>
      </c>
      <c r="G3106">
        <v>0.49727728793617199</v>
      </c>
      <c r="H3106">
        <v>0.121728184142669</v>
      </c>
      <c r="I3106">
        <v>4.8408817337654599E-2</v>
      </c>
      <c r="J3106">
        <v>3.6902414363809803E-2</v>
      </c>
      <c r="K3106">
        <v>2.9954758172403999E-2</v>
      </c>
      <c r="L3106">
        <v>1144.2599564106499</v>
      </c>
      <c r="M3106">
        <v>20.3763840488505</v>
      </c>
      <c r="N3106">
        <v>56.156183200211601</v>
      </c>
      <c r="O3106">
        <v>55.623708423450203</v>
      </c>
      <c r="P3106">
        <v>-9.1584155687146396E-2</v>
      </c>
      <c r="Q3106">
        <v>0</v>
      </c>
      <c r="R3106">
        <v>0.99178664137521799</v>
      </c>
      <c r="S3106" t="s">
        <v>9776</v>
      </c>
      <c r="T3106" t="s">
        <v>13338</v>
      </c>
      <c r="U3106" t="s">
        <v>13338</v>
      </c>
      <c r="V3106" t="s">
        <v>13338</v>
      </c>
      <c r="W3106" t="s">
        <v>16398</v>
      </c>
      <c r="X3106">
        <v>4</v>
      </c>
      <c r="Y3106" t="s">
        <v>22943</v>
      </c>
      <c r="Z3106" t="s">
        <v>29521</v>
      </c>
      <c r="AA3106">
        <v>0.55101808663148988</v>
      </c>
      <c r="AB3106" t="str">
        <f>HYPERLINK("Melting_Curves/meltCurve_Q01415_GALK2.pdf", "Melting_Curves/meltCurve_Q01415_GALK2.pdf")</f>
        <v>Melting_Curves/meltCurve_Q01415_GALK2.pdf</v>
      </c>
    </row>
    <row r="3107" spans="1:28" x14ac:dyDescent="0.25">
      <c r="A3107" t="s">
        <v>3111</v>
      </c>
      <c r="B3107">
        <v>0.99193492352474899</v>
      </c>
      <c r="C3107">
        <v>0.90013400222751105</v>
      </c>
      <c r="D3107">
        <v>0.836860108559904</v>
      </c>
      <c r="E3107">
        <v>0.72271174588877696</v>
      </c>
      <c r="F3107">
        <v>0.45501741433943999</v>
      </c>
      <c r="G3107">
        <v>0.18400864812133799</v>
      </c>
      <c r="H3107">
        <v>0.12765638189461301</v>
      </c>
      <c r="I3107">
        <v>0.17348421728024599</v>
      </c>
      <c r="J3107">
        <v>0.21527159880041</v>
      </c>
      <c r="K3107">
        <v>0.22669815116831901</v>
      </c>
      <c r="L3107">
        <v>952.636036765825</v>
      </c>
      <c r="M3107">
        <v>18.741498733062901</v>
      </c>
      <c r="N3107">
        <v>51.905850781658899</v>
      </c>
      <c r="O3107">
        <v>50.262215653392701</v>
      </c>
      <c r="P3107">
        <v>-7.8221818325669601E-2</v>
      </c>
      <c r="Q3107">
        <v>0.160913483074615</v>
      </c>
      <c r="R3107">
        <v>0.97180128441576097</v>
      </c>
      <c r="S3107" t="s">
        <v>9777</v>
      </c>
      <c r="T3107" t="s">
        <v>13338</v>
      </c>
      <c r="U3107" t="s">
        <v>13338</v>
      </c>
      <c r="V3107" t="s">
        <v>13338</v>
      </c>
      <c r="W3107" t="s">
        <v>16399</v>
      </c>
      <c r="X3107">
        <v>10</v>
      </c>
      <c r="Y3107" t="s">
        <v>22944</v>
      </c>
      <c r="Z3107" t="s">
        <v>29522</v>
      </c>
      <c r="AA3107">
        <v>0.47698758046099599</v>
      </c>
      <c r="AB3107" t="str">
        <f>HYPERLINK("Melting_Curves/meltCurve_Q01432_AMPD3.pdf", "Melting_Curves/meltCurve_Q01432_AMPD3.pdf")</f>
        <v>Melting_Curves/meltCurve_Q01432_AMPD3.pdf</v>
      </c>
    </row>
    <row r="3108" spans="1:28" x14ac:dyDescent="0.25">
      <c r="A3108" t="s">
        <v>3112</v>
      </c>
      <c r="B3108">
        <v>0.99193492352474899</v>
      </c>
      <c r="C3108">
        <v>0.96857472727494698</v>
      </c>
      <c r="D3108">
        <v>0.92514596450784903</v>
      </c>
      <c r="E3108">
        <v>0.84537480297136203</v>
      </c>
      <c r="F3108">
        <v>0.68424521071693001</v>
      </c>
      <c r="G3108">
        <v>0.33031253628080898</v>
      </c>
      <c r="H3108">
        <v>0.115377408783884</v>
      </c>
      <c r="I3108">
        <v>0.12268959466170901</v>
      </c>
      <c r="J3108">
        <v>0.137465250368523</v>
      </c>
      <c r="K3108">
        <v>0.16095638928766501</v>
      </c>
      <c r="L3108">
        <v>1216.4399123379801</v>
      </c>
      <c r="M3108">
        <v>22.497373840948899</v>
      </c>
      <c r="N3108">
        <v>54.672919167063498</v>
      </c>
      <c r="O3108">
        <v>53.648535387182498</v>
      </c>
      <c r="P3108">
        <v>-9.33268488084288E-2</v>
      </c>
      <c r="Q3108">
        <v>0.10980793377199501</v>
      </c>
      <c r="R3108">
        <v>0.98839685845068204</v>
      </c>
      <c r="S3108" t="s">
        <v>9778</v>
      </c>
      <c r="T3108" t="s">
        <v>13338</v>
      </c>
      <c r="U3108" t="s">
        <v>13338</v>
      </c>
      <c r="V3108" t="s">
        <v>13338</v>
      </c>
      <c r="W3108" t="s">
        <v>16400</v>
      </c>
      <c r="X3108">
        <v>27</v>
      </c>
      <c r="Y3108" t="s">
        <v>22945</v>
      </c>
      <c r="Z3108" t="s">
        <v>29523</v>
      </c>
      <c r="AA3108">
        <v>0.53725060305429084</v>
      </c>
      <c r="AB3108" t="str">
        <f>HYPERLINK("Melting_Curves/meltCurve_Q01433_AMPD2.pdf", "Melting_Curves/meltCurve_Q01433_AMPD2.pdf")</f>
        <v>Melting_Curves/meltCurve_Q01433_AMPD2.pdf</v>
      </c>
    </row>
    <row r="3109" spans="1:28" x14ac:dyDescent="0.25">
      <c r="A3109" t="s">
        <v>3113</v>
      </c>
      <c r="B3109">
        <v>0.99193492352474899</v>
      </c>
      <c r="C3109">
        <v>0.80573815124826298</v>
      </c>
      <c r="D3109">
        <v>0.83876590949238305</v>
      </c>
      <c r="E3109">
        <v>0.71923653935023202</v>
      </c>
      <c r="F3109">
        <v>0.59941536234482795</v>
      </c>
      <c r="G3109">
        <v>0.37242654857760799</v>
      </c>
      <c r="H3109">
        <v>0.12250744041616</v>
      </c>
      <c r="I3109">
        <v>0.12496157617484401</v>
      </c>
      <c r="J3109">
        <v>0.141200729903356</v>
      </c>
      <c r="K3109">
        <v>0.16239511802730799</v>
      </c>
      <c r="L3109">
        <v>555.85434075081605</v>
      </c>
      <c r="M3109">
        <v>10.395299026395699</v>
      </c>
      <c r="N3109">
        <v>53.637261984145603</v>
      </c>
      <c r="O3109">
        <v>51.606447525920302</v>
      </c>
      <c r="P3109">
        <v>-4.9584207382243999E-2</v>
      </c>
      <c r="Q3109">
        <v>1.5788756826967901E-2</v>
      </c>
      <c r="R3109">
        <v>0.96005584697397295</v>
      </c>
      <c r="S3109" t="s">
        <v>9779</v>
      </c>
      <c r="T3109" t="s">
        <v>13338</v>
      </c>
      <c r="U3109" t="s">
        <v>13338</v>
      </c>
      <c r="V3109" t="s">
        <v>13338</v>
      </c>
      <c r="W3109" t="s">
        <v>16401</v>
      </c>
      <c r="X3109">
        <v>7</v>
      </c>
      <c r="Y3109" t="s">
        <v>22946</v>
      </c>
      <c r="Z3109" t="s">
        <v>29524</v>
      </c>
      <c r="AA3109">
        <v>0.48860225222580378</v>
      </c>
      <c r="AB3109" t="str">
        <f>HYPERLINK("Melting_Curves/meltCurve_Q01459_CTBS.pdf", "Melting_Curves/meltCurve_Q01459_CTBS.pdf")</f>
        <v>Melting_Curves/meltCurve_Q01459_CTBS.pdf</v>
      </c>
    </row>
    <row r="3110" spans="1:28" x14ac:dyDescent="0.25">
      <c r="A3110" t="s">
        <v>3114</v>
      </c>
      <c r="B3110">
        <v>0.99193492352474899</v>
      </c>
      <c r="C3110">
        <v>0.90271479316215097</v>
      </c>
      <c r="D3110">
        <v>0.96369020275401396</v>
      </c>
      <c r="E3110">
        <v>0.88010247880115899</v>
      </c>
      <c r="F3110">
        <v>0.49909249707516201</v>
      </c>
      <c r="G3110">
        <v>0.17345252552423199</v>
      </c>
      <c r="H3110">
        <v>8.2497531010157193E-2</v>
      </c>
      <c r="I3110">
        <v>0.101519275324075</v>
      </c>
      <c r="J3110">
        <v>0.104332759678243</v>
      </c>
      <c r="K3110">
        <v>0.12120089074218</v>
      </c>
      <c r="L3110">
        <v>1624.2273457051999</v>
      </c>
      <c r="M3110">
        <v>30.796682929724199</v>
      </c>
      <c r="N3110">
        <v>53.106987863928197</v>
      </c>
      <c r="O3110">
        <v>52.519465665020498</v>
      </c>
      <c r="P3110">
        <v>-0.13255792781421</v>
      </c>
      <c r="Q3110">
        <v>9.5768960844400203E-2</v>
      </c>
      <c r="R3110">
        <v>0.99207517384842403</v>
      </c>
      <c r="S3110" t="s">
        <v>9780</v>
      </c>
      <c r="T3110" t="s">
        <v>13338</v>
      </c>
      <c r="U3110" t="s">
        <v>13338</v>
      </c>
      <c r="V3110" t="s">
        <v>13338</v>
      </c>
      <c r="W3110" t="s">
        <v>16402</v>
      </c>
      <c r="X3110">
        <v>22</v>
      </c>
      <c r="Y3110" t="s">
        <v>22947</v>
      </c>
      <c r="Z3110" t="s">
        <v>29525</v>
      </c>
      <c r="AA3110">
        <v>0.48532421546042931</v>
      </c>
      <c r="AB3110" t="str">
        <f>HYPERLINK("Melting_Curves/meltCurve_Q01469_FABP5.pdf", "Melting_Curves/meltCurve_Q01469_FABP5.pdf")</f>
        <v>Melting_Curves/meltCurve_Q01469_FABP5.pdf</v>
      </c>
    </row>
    <row r="3111" spans="1:28" x14ac:dyDescent="0.25">
      <c r="A3111" t="s">
        <v>3115</v>
      </c>
      <c r="B3111">
        <v>0.99193492352474899</v>
      </c>
      <c r="C3111">
        <v>0.94692234445270196</v>
      </c>
      <c r="D3111">
        <v>1.0372915213057901</v>
      </c>
      <c r="E3111">
        <v>0.85531092035917</v>
      </c>
      <c r="F3111">
        <v>0.58178144215710803</v>
      </c>
      <c r="G3111">
        <v>0.138276328824738</v>
      </c>
      <c r="H3111">
        <v>8.7699050642056797E-2</v>
      </c>
      <c r="I3111">
        <v>8.9883940835170095E-2</v>
      </c>
      <c r="J3111">
        <v>9.1896140624694103E-2</v>
      </c>
      <c r="K3111">
        <v>9.6615150704296895E-2</v>
      </c>
      <c r="L3111">
        <v>1698.03277526906</v>
      </c>
      <c r="M3111">
        <v>31.907412869812902</v>
      </c>
      <c r="N3111">
        <v>53.504574702522802</v>
      </c>
      <c r="O3111">
        <v>53.009770987166398</v>
      </c>
      <c r="P3111">
        <v>-0.138641141434514</v>
      </c>
      <c r="Q3111">
        <v>7.8672068588904701E-2</v>
      </c>
      <c r="R3111">
        <v>0.99203536017511895</v>
      </c>
      <c r="S3111" t="s">
        <v>9781</v>
      </c>
      <c r="T3111" t="s">
        <v>13338</v>
      </c>
      <c r="U3111" t="s">
        <v>13338</v>
      </c>
      <c r="V3111" t="s">
        <v>13338</v>
      </c>
      <c r="W3111" t="s">
        <v>16403</v>
      </c>
      <c r="X3111">
        <v>30</v>
      </c>
      <c r="Y3111" t="s">
        <v>22948</v>
      </c>
      <c r="Z3111" t="s">
        <v>29526</v>
      </c>
      <c r="AA3111">
        <v>0.48990370723176629</v>
      </c>
      <c r="AB3111" t="str">
        <f>HYPERLINK("Melting_Curves/meltCurve_Q01518_2_CAP1.pdf", "Melting_Curves/meltCurve_Q01518_2_CAP1.pdf")</f>
        <v>Melting_Curves/meltCurve_Q01518_2_CAP1.pdf</v>
      </c>
    </row>
    <row r="3112" spans="1:28" x14ac:dyDescent="0.25">
      <c r="A3112" t="s">
        <v>3116</v>
      </c>
      <c r="B3112">
        <v>0.99193492352474899</v>
      </c>
      <c r="C3112">
        <v>0.67380185078051302</v>
      </c>
      <c r="D3112">
        <v>0.47276030778237499</v>
      </c>
      <c r="E3112">
        <v>0.19523815719488499</v>
      </c>
      <c r="F3112">
        <v>0.13926837820198101</v>
      </c>
      <c r="G3112">
        <v>9.3497634911708094E-2</v>
      </c>
      <c r="H3112">
        <v>6.4293974845916299E-2</v>
      </c>
      <c r="I3112">
        <v>8.2708264845495497E-2</v>
      </c>
      <c r="J3112">
        <v>7.4508941533395004E-2</v>
      </c>
      <c r="K3112">
        <v>8.7223585374324702E-2</v>
      </c>
      <c r="L3112">
        <v>856.33928957837395</v>
      </c>
      <c r="M3112">
        <v>19.052260367680798</v>
      </c>
      <c r="N3112">
        <v>45.345444915212497</v>
      </c>
      <c r="O3112">
        <v>44.460471313136502</v>
      </c>
      <c r="P3112">
        <v>-9.8874294635400303E-2</v>
      </c>
      <c r="Q3112">
        <v>7.7101759209864604E-2</v>
      </c>
      <c r="R3112">
        <v>0.98815688124591505</v>
      </c>
      <c r="S3112" t="s">
        <v>9782</v>
      </c>
      <c r="T3112" t="s">
        <v>13338</v>
      </c>
      <c r="U3112" t="s">
        <v>13338</v>
      </c>
      <c r="V3112" t="s">
        <v>13338</v>
      </c>
      <c r="W3112" t="s">
        <v>16404</v>
      </c>
      <c r="X3112">
        <v>10</v>
      </c>
      <c r="Y3112" t="s">
        <v>22949</v>
      </c>
      <c r="Z3112" t="s">
        <v>29527</v>
      </c>
      <c r="AA3112">
        <v>0.24687328972411959</v>
      </c>
      <c r="AB3112" t="str">
        <f>HYPERLINK("Melting_Curves/meltCurve_Q01543_FLI1.pdf", "Melting_Curves/meltCurve_Q01543_FLI1.pdf")</f>
        <v>Melting_Curves/meltCurve_Q01543_FLI1.pdf</v>
      </c>
    </row>
    <row r="3113" spans="1:28" x14ac:dyDescent="0.25">
      <c r="A3113" t="s">
        <v>3117</v>
      </c>
      <c r="B3113">
        <v>0.99193492352474899</v>
      </c>
      <c r="C3113">
        <v>1.0030031683928</v>
      </c>
      <c r="D3113">
        <v>0.95738353309776503</v>
      </c>
      <c r="E3113">
        <v>0.88454946632448905</v>
      </c>
      <c r="F3113">
        <v>0.73273121950647502</v>
      </c>
      <c r="G3113">
        <v>0.43681727618247301</v>
      </c>
      <c r="H3113">
        <v>0.13974013484184</v>
      </c>
      <c r="I3113">
        <v>7.4253360837485904E-2</v>
      </c>
      <c r="J3113">
        <v>7.8330156553346006E-2</v>
      </c>
      <c r="K3113">
        <v>6.8858414554727604E-2</v>
      </c>
      <c r="L3113">
        <v>1124.4666068506299</v>
      </c>
      <c r="M3113">
        <v>20.236453714065501</v>
      </c>
      <c r="N3113">
        <v>55.754493880123</v>
      </c>
      <c r="O3113">
        <v>55.032305967387202</v>
      </c>
      <c r="P3113">
        <v>-8.8899186600857202E-2</v>
      </c>
      <c r="Q3113">
        <v>3.2997532846393597E-2</v>
      </c>
      <c r="R3113">
        <v>0.99640080413683096</v>
      </c>
      <c r="S3113" t="s">
        <v>9783</v>
      </c>
      <c r="T3113" t="s">
        <v>13338</v>
      </c>
      <c r="U3113" t="s">
        <v>13338</v>
      </c>
      <c r="V3113" t="s">
        <v>13338</v>
      </c>
      <c r="W3113" t="s">
        <v>16405</v>
      </c>
      <c r="X3113">
        <v>30</v>
      </c>
      <c r="Y3113" t="s">
        <v>22950</v>
      </c>
      <c r="Z3113" t="s">
        <v>29528</v>
      </c>
      <c r="AA3113">
        <v>0.54720374140382644</v>
      </c>
      <c r="AB3113" t="str">
        <f>HYPERLINK("Melting_Curves/meltCurve_Q01581_HMGCS1.pdf", "Melting_Curves/meltCurve_Q01581_HMGCS1.pdf")</f>
        <v>Melting_Curves/meltCurve_Q01581_HMGCS1.pdf</v>
      </c>
    </row>
    <row r="3114" spans="1:28" x14ac:dyDescent="0.25">
      <c r="A3114" t="s">
        <v>3118</v>
      </c>
      <c r="B3114">
        <v>0.99193492352474899</v>
      </c>
      <c r="C3114">
        <v>0.88867587070219201</v>
      </c>
      <c r="D3114">
        <v>0.94186794405157803</v>
      </c>
      <c r="E3114">
        <v>0.74132953745561003</v>
      </c>
      <c r="F3114">
        <v>0.80806156754200797</v>
      </c>
      <c r="G3114">
        <v>0.62303446276272101</v>
      </c>
      <c r="H3114">
        <v>0.41957511255706598</v>
      </c>
      <c r="I3114">
        <v>0.43390025514054598</v>
      </c>
      <c r="J3114">
        <v>0.487114263737844</v>
      </c>
      <c r="K3114">
        <v>0.38191746805235899</v>
      </c>
      <c r="L3114">
        <v>498.50981931008198</v>
      </c>
      <c r="M3114">
        <v>9.0278060627705905</v>
      </c>
      <c r="N3114">
        <v>61.455623463356602</v>
      </c>
      <c r="O3114">
        <v>52.711963744194598</v>
      </c>
      <c r="P3114">
        <v>-2.999481766332E-2</v>
      </c>
      <c r="Q3114">
        <v>0.29996207158842197</v>
      </c>
      <c r="R3114">
        <v>0.92749943550013203</v>
      </c>
      <c r="S3114" t="s">
        <v>9784</v>
      </c>
      <c r="T3114" t="s">
        <v>13338</v>
      </c>
      <c r="U3114" t="s">
        <v>13338</v>
      </c>
      <c r="V3114" t="s">
        <v>13338</v>
      </c>
      <c r="W3114" t="s">
        <v>16406</v>
      </c>
      <c r="X3114">
        <v>6</v>
      </c>
      <c r="Y3114" t="s">
        <v>22951</v>
      </c>
      <c r="Z3114" t="s">
        <v>29529</v>
      </c>
      <c r="AA3114">
        <v>0.67291627248790042</v>
      </c>
      <c r="AB3114" t="str">
        <f>HYPERLINK("Melting_Curves/meltCurve_Q01650_SLC7A5.pdf", "Melting_Curves/meltCurve_Q01650_SLC7A5.pdf")</f>
        <v>Melting_Curves/meltCurve_Q01650_SLC7A5.pdf</v>
      </c>
    </row>
    <row r="3115" spans="1:28" x14ac:dyDescent="0.25">
      <c r="A3115" t="s">
        <v>3119</v>
      </c>
      <c r="B3115">
        <v>0.99193492352474899</v>
      </c>
      <c r="C3115">
        <v>0.89193278674537002</v>
      </c>
      <c r="D3115">
        <v>0.87188979571844605</v>
      </c>
      <c r="E3115">
        <v>0.85306467064839797</v>
      </c>
      <c r="F3115">
        <v>0.71879720835570005</v>
      </c>
      <c r="G3115">
        <v>0.47370617998937298</v>
      </c>
      <c r="H3115">
        <v>0.27063855667584602</v>
      </c>
      <c r="I3115">
        <v>0.228359010457066</v>
      </c>
      <c r="J3115">
        <v>0.26688146458594603</v>
      </c>
      <c r="K3115">
        <v>0.31161728286684298</v>
      </c>
      <c r="L3115">
        <v>862.26269766350094</v>
      </c>
      <c r="M3115">
        <v>15.9427174054139</v>
      </c>
      <c r="N3115">
        <v>56.132495076306498</v>
      </c>
      <c r="O3115">
        <v>53.255560420994598</v>
      </c>
      <c r="P3115">
        <v>-5.8344791092152799E-2</v>
      </c>
      <c r="Q3115">
        <v>0.22047481361580401</v>
      </c>
      <c r="R3115">
        <v>0.96261479426476004</v>
      </c>
      <c r="S3115" t="s">
        <v>9785</v>
      </c>
      <c r="T3115" t="s">
        <v>13338</v>
      </c>
      <c r="U3115" t="s">
        <v>13338</v>
      </c>
      <c r="V3115" t="s">
        <v>13338</v>
      </c>
      <c r="W3115" t="s">
        <v>16407</v>
      </c>
      <c r="X3115">
        <v>8</v>
      </c>
      <c r="Y3115" t="s">
        <v>22952</v>
      </c>
      <c r="Z3115" t="s">
        <v>29530</v>
      </c>
      <c r="AA3115">
        <v>0.60119853645138677</v>
      </c>
      <c r="AB3115" t="str">
        <f>HYPERLINK("Melting_Curves/meltCurve_Q01658_DR1.pdf", "Melting_Curves/meltCurve_Q01658_DR1.pdf")</f>
        <v>Melting_Curves/meltCurve_Q01658_DR1.pdf</v>
      </c>
    </row>
    <row r="3116" spans="1:28" x14ac:dyDescent="0.25">
      <c r="A3116" t="s">
        <v>3120</v>
      </c>
      <c r="B3116">
        <v>0.99193492352474899</v>
      </c>
      <c r="C3116">
        <v>1.0287603559662899</v>
      </c>
      <c r="D3116">
        <v>0.444466992333374</v>
      </c>
      <c r="E3116">
        <v>0.37711424670279797</v>
      </c>
      <c r="F3116">
        <v>0.21135780471808299</v>
      </c>
      <c r="G3116">
        <v>0.15500743856157301</v>
      </c>
      <c r="H3116">
        <v>0.119398616232622</v>
      </c>
      <c r="I3116">
        <v>0.18883351611610599</v>
      </c>
      <c r="J3116">
        <v>0.12969696379263199</v>
      </c>
      <c r="K3116">
        <v>0.28888547498232803</v>
      </c>
      <c r="L3116">
        <v>11460.311553118499</v>
      </c>
      <c r="M3116">
        <v>250</v>
      </c>
      <c r="N3116">
        <v>45.941381432171298</v>
      </c>
      <c r="O3116">
        <v>45.838294266789603</v>
      </c>
      <c r="P3116">
        <v>-1.0770984273062101</v>
      </c>
      <c r="Q3116">
        <v>0.21004200702037501</v>
      </c>
      <c r="R3116">
        <v>0.94946236863905298</v>
      </c>
      <c r="S3116" t="s">
        <v>9786</v>
      </c>
      <c r="T3116" t="s">
        <v>13338</v>
      </c>
      <c r="U3116" t="s">
        <v>13338</v>
      </c>
      <c r="V3116" t="s">
        <v>13338</v>
      </c>
      <c r="W3116" t="s">
        <v>16408</v>
      </c>
      <c r="X3116">
        <v>5</v>
      </c>
      <c r="Y3116" t="s">
        <v>22953</v>
      </c>
      <c r="Z3116" t="s">
        <v>29531</v>
      </c>
      <c r="AA3116">
        <v>0.3639168641565963</v>
      </c>
      <c r="AB3116" t="str">
        <f>HYPERLINK("Melting_Curves/meltCurve_Q01664_TFAP4.pdf", "Melting_Curves/meltCurve_Q01664_TFAP4.pdf")</f>
        <v>Melting_Curves/meltCurve_Q01664_TFAP4.pdf</v>
      </c>
    </row>
    <row r="3117" spans="1:28" x14ac:dyDescent="0.25">
      <c r="A3117" t="s">
        <v>3121</v>
      </c>
      <c r="B3117">
        <v>0.99193492352474899</v>
      </c>
      <c r="C3117">
        <v>0.239971330415791</v>
      </c>
      <c r="D3117">
        <v>0.15637291486197299</v>
      </c>
      <c r="E3117">
        <v>0.121849045075236</v>
      </c>
      <c r="F3117">
        <v>8.8055819034250096E-2</v>
      </c>
      <c r="G3117">
        <v>5.7092705162834802E-2</v>
      </c>
      <c r="H3117">
        <v>3.8310240559781703E-2</v>
      </c>
      <c r="I3117">
        <v>3.8658127783293798E-2</v>
      </c>
      <c r="J3117">
        <v>4.2782192504535001E-2</v>
      </c>
      <c r="K3117">
        <v>2.7685858535746899E-2</v>
      </c>
      <c r="L3117">
        <v>3352.0255125285198</v>
      </c>
      <c r="M3117">
        <v>79.630832980222905</v>
      </c>
      <c r="N3117">
        <v>42.1757700877586</v>
      </c>
      <c r="O3117">
        <v>42.068044176415299</v>
      </c>
      <c r="P3117">
        <v>-0.439586487955757</v>
      </c>
      <c r="Q3117">
        <v>7.1086421622300403E-2</v>
      </c>
      <c r="R3117">
        <v>0.98057941472076404</v>
      </c>
      <c r="S3117" t="s">
        <v>9787</v>
      </c>
      <c r="T3117" t="s">
        <v>13338</v>
      </c>
      <c r="U3117" t="s">
        <v>13338</v>
      </c>
      <c r="V3117" t="s">
        <v>13338</v>
      </c>
      <c r="W3117" t="s">
        <v>16409</v>
      </c>
      <c r="X3117">
        <v>15</v>
      </c>
      <c r="Y3117" t="s">
        <v>22954</v>
      </c>
      <c r="Z3117" t="s">
        <v>29532</v>
      </c>
      <c r="AA3117">
        <v>0.13684132278311281</v>
      </c>
      <c r="AB3117" t="str">
        <f>HYPERLINK("Melting_Curves/meltCurve_Q01780_2_EXOSC10.pdf", "Melting_Curves/meltCurve_Q01780_2_EXOSC10.pdf")</f>
        <v>Melting_Curves/meltCurve_Q01780_2_EXOSC10.pdf</v>
      </c>
    </row>
    <row r="3118" spans="1:28" x14ac:dyDescent="0.25">
      <c r="A3118" t="s">
        <v>3122</v>
      </c>
      <c r="B3118">
        <v>0.99193492352474899</v>
      </c>
      <c r="C3118">
        <v>0.98572603643812795</v>
      </c>
      <c r="D3118">
        <v>0.952582621206289</v>
      </c>
      <c r="E3118">
        <v>0.82360542744610399</v>
      </c>
      <c r="F3118">
        <v>0.74336016636694102</v>
      </c>
      <c r="G3118">
        <v>0.64385260775737996</v>
      </c>
      <c r="H3118">
        <v>0.473802994278824</v>
      </c>
      <c r="I3118">
        <v>0.48803946183691799</v>
      </c>
      <c r="J3118">
        <v>0.50967736672962205</v>
      </c>
      <c r="K3118">
        <v>0.326479613042431</v>
      </c>
      <c r="L3118">
        <v>569.73259380217996</v>
      </c>
      <c r="M3118">
        <v>10.226305467928601</v>
      </c>
      <c r="N3118">
        <v>61.979186389358603</v>
      </c>
      <c r="O3118">
        <v>53.708093016830802</v>
      </c>
      <c r="P3118">
        <v>-3.2278254621408001E-2</v>
      </c>
      <c r="Q3118">
        <v>0.32220689694598698</v>
      </c>
      <c r="R3118">
        <v>0.96705590334228397</v>
      </c>
      <c r="S3118" t="s">
        <v>9788</v>
      </c>
      <c r="T3118" t="s">
        <v>13338</v>
      </c>
      <c r="U3118" t="s">
        <v>13338</v>
      </c>
      <c r="V3118" t="s">
        <v>13338</v>
      </c>
      <c r="W3118" t="s">
        <v>16410</v>
      </c>
      <c r="X3118">
        <v>51</v>
      </c>
      <c r="Y3118" t="s">
        <v>22955</v>
      </c>
      <c r="Z3118" t="s">
        <v>29533</v>
      </c>
      <c r="AA3118">
        <v>0.6924162711830727</v>
      </c>
      <c r="AB3118" t="str">
        <f>HYPERLINK("Melting_Curves/meltCurve_Q01813_PFKP.pdf", "Melting_Curves/meltCurve_Q01813_PFKP.pdf")</f>
        <v>Melting_Curves/meltCurve_Q01813_PFKP.pdf</v>
      </c>
    </row>
    <row r="3119" spans="1:28" x14ac:dyDescent="0.25">
      <c r="A3119" t="s">
        <v>3123</v>
      </c>
      <c r="B3119">
        <v>0.99193492352474899</v>
      </c>
      <c r="C3119">
        <v>0.50921330869978398</v>
      </c>
      <c r="D3119">
        <v>0.53107847867035596</v>
      </c>
      <c r="E3119">
        <v>0.194335344138482</v>
      </c>
      <c r="F3119">
        <v>0.13520635477939999</v>
      </c>
      <c r="G3119">
        <v>8.1128108227122797E-2</v>
      </c>
      <c r="H3119">
        <v>4.4186894963681E-2</v>
      </c>
      <c r="I3119">
        <v>4.4090878544925598E-2</v>
      </c>
      <c r="J3119">
        <v>4.9506888061969602E-2</v>
      </c>
      <c r="K3119">
        <v>5.84406888958637E-2</v>
      </c>
      <c r="L3119">
        <v>670.08722480076494</v>
      </c>
      <c r="M3119">
        <v>14.9628691041918</v>
      </c>
      <c r="N3119">
        <v>45.047608889653198</v>
      </c>
      <c r="O3119">
        <v>44.0062646989903</v>
      </c>
      <c r="P3119">
        <v>-8.1440778657110996E-2</v>
      </c>
      <c r="Q3119">
        <v>4.2018137609116699E-2</v>
      </c>
      <c r="R3119">
        <v>0.93824450632466705</v>
      </c>
      <c r="S3119" t="s">
        <v>9789</v>
      </c>
      <c r="T3119" t="s">
        <v>13338</v>
      </c>
      <c r="U3119" t="s">
        <v>13338</v>
      </c>
      <c r="V3119" t="s">
        <v>13338</v>
      </c>
      <c r="W3119" t="s">
        <v>16411</v>
      </c>
      <c r="X3119">
        <v>9</v>
      </c>
      <c r="Y3119" t="s">
        <v>22956</v>
      </c>
      <c r="Z3119" t="s">
        <v>29534</v>
      </c>
      <c r="AA3119">
        <v>0.22644753591759731</v>
      </c>
      <c r="AB3119" t="str">
        <f>HYPERLINK("Melting_Curves/meltCurve_Q01826_SATB1.pdf", "Melting_Curves/meltCurve_Q01826_SATB1.pdf")</f>
        <v>Melting_Curves/meltCurve_Q01826_SATB1.pdf</v>
      </c>
    </row>
    <row r="3120" spans="1:28" x14ac:dyDescent="0.25">
      <c r="A3120" t="s">
        <v>3124</v>
      </c>
      <c r="B3120">
        <v>0.99193492352474899</v>
      </c>
      <c r="C3120">
        <v>0.90137189687703501</v>
      </c>
      <c r="D3120">
        <v>0.90023335344024602</v>
      </c>
      <c r="E3120">
        <v>0.54421883629329504</v>
      </c>
      <c r="F3120">
        <v>0.23156133711402399</v>
      </c>
      <c r="G3120">
        <v>0.12345051416446901</v>
      </c>
      <c r="H3120">
        <v>7.3888804655524207E-2</v>
      </c>
      <c r="I3120">
        <v>0.111855249109093</v>
      </c>
      <c r="J3120">
        <v>0.114763997118855</v>
      </c>
      <c r="K3120">
        <v>8.8564664946240504E-2</v>
      </c>
      <c r="L3120">
        <v>1211.8397757257601</v>
      </c>
      <c r="M3120">
        <v>24.448370817940301</v>
      </c>
      <c r="N3120">
        <v>49.980157447980297</v>
      </c>
      <c r="O3120">
        <v>49.239247249285199</v>
      </c>
      <c r="P3120">
        <v>-0.112782645406273</v>
      </c>
      <c r="Q3120">
        <v>9.1432146261402197E-2</v>
      </c>
      <c r="R3120">
        <v>0.99392581456785101</v>
      </c>
      <c r="S3120" t="s">
        <v>9790</v>
      </c>
      <c r="T3120" t="s">
        <v>13338</v>
      </c>
      <c r="U3120" t="s">
        <v>13338</v>
      </c>
      <c r="V3120" t="s">
        <v>13338</v>
      </c>
      <c r="W3120" t="s">
        <v>16412</v>
      </c>
      <c r="X3120">
        <v>3</v>
      </c>
      <c r="Y3120" t="s">
        <v>22957</v>
      </c>
      <c r="Z3120" t="s">
        <v>29535</v>
      </c>
      <c r="AA3120">
        <v>0.3896452203459429</v>
      </c>
      <c r="AB3120" t="str">
        <f>HYPERLINK("Melting_Curves/meltCurve_Q01968_OCRL.pdf", "Melting_Curves/meltCurve_Q01968_OCRL.pdf")</f>
        <v>Melting_Curves/meltCurve_Q01968_OCRL.pdf</v>
      </c>
    </row>
    <row r="3121" spans="1:28" x14ac:dyDescent="0.25">
      <c r="A3121" t="s">
        <v>3125</v>
      </c>
      <c r="B3121">
        <v>0.99193492352474899</v>
      </c>
      <c r="C3121">
        <v>0.77834491970512598</v>
      </c>
      <c r="D3121">
        <v>0.924644483839281</v>
      </c>
      <c r="E3121">
        <v>0.55011759353398204</v>
      </c>
      <c r="F3121">
        <v>0.18478083163321199</v>
      </c>
      <c r="G3121">
        <v>0.11713689210417701</v>
      </c>
      <c r="H3121">
        <v>7.3530252397746104E-2</v>
      </c>
      <c r="I3121">
        <v>9.3472522798527094E-2</v>
      </c>
      <c r="J3121">
        <v>0.120669975131784</v>
      </c>
      <c r="K3121">
        <v>0.102767901221234</v>
      </c>
      <c r="L3121">
        <v>1308.25139342443</v>
      </c>
      <c r="M3121">
        <v>26.423861990443999</v>
      </c>
      <c r="N3121">
        <v>49.884751015772103</v>
      </c>
      <c r="O3121">
        <v>49.229269559808202</v>
      </c>
      <c r="P3121">
        <v>-0.122116088819145</v>
      </c>
      <c r="Q3121">
        <v>8.9970894880653005E-2</v>
      </c>
      <c r="R3121">
        <v>0.96385183113542106</v>
      </c>
      <c r="S3121" t="s">
        <v>9791</v>
      </c>
      <c r="T3121" t="s">
        <v>13338</v>
      </c>
      <c r="U3121" t="s">
        <v>13338</v>
      </c>
      <c r="V3121" t="s">
        <v>13338</v>
      </c>
      <c r="W3121" t="s">
        <v>16413</v>
      </c>
      <c r="X3121">
        <v>13</v>
      </c>
      <c r="Y3121" t="s">
        <v>22958</v>
      </c>
      <c r="Z3121" t="s">
        <v>29536</v>
      </c>
      <c r="AA3121">
        <v>0.38568958350574761</v>
      </c>
      <c r="AB3121" t="str">
        <f>HYPERLINK("Melting_Curves/meltCurve_Q01970_PLCB3.pdf", "Melting_Curves/meltCurve_Q01970_PLCB3.pdf")</f>
        <v>Melting_Curves/meltCurve_Q01970_PLCB3.pdf</v>
      </c>
    </row>
    <row r="3122" spans="1:28" x14ac:dyDescent="0.25">
      <c r="A3122" t="s">
        <v>3126</v>
      </c>
      <c r="B3122">
        <v>0.99193492352474899</v>
      </c>
      <c r="C3122">
        <v>0.22814364268301701</v>
      </c>
      <c r="D3122">
        <v>0.27904747241474498</v>
      </c>
      <c r="E3122">
        <v>6.5853765516719606E-2</v>
      </c>
      <c r="F3122">
        <v>6.12967504363695E-2</v>
      </c>
      <c r="G3122">
        <v>4.0743808949513398E-2</v>
      </c>
      <c r="H3122">
        <v>2.10544507940656E-2</v>
      </c>
      <c r="I3122">
        <v>2.25872807172731E-2</v>
      </c>
      <c r="J3122">
        <v>2.9056106192414399E-2</v>
      </c>
      <c r="K3122">
        <v>3.74014192076908E-2</v>
      </c>
      <c r="L3122">
        <v>3134.0998899750198</v>
      </c>
      <c r="M3122">
        <v>74.602754465904098</v>
      </c>
      <c r="N3122">
        <v>42.094304633970602</v>
      </c>
      <c r="O3122">
        <v>41.980347989322702</v>
      </c>
      <c r="P3122">
        <v>-0.41361523513378301</v>
      </c>
      <c r="Q3122">
        <v>6.9004279223467205E-2</v>
      </c>
      <c r="R3122">
        <v>0.93633943223993599</v>
      </c>
      <c r="S3122" t="s">
        <v>9792</v>
      </c>
      <c r="T3122" t="s">
        <v>13338</v>
      </c>
      <c r="U3122" t="s">
        <v>13338</v>
      </c>
      <c r="V3122" t="s">
        <v>13338</v>
      </c>
      <c r="W3122" t="s">
        <v>16414</v>
      </c>
      <c r="X3122">
        <v>2</v>
      </c>
      <c r="Y3122" t="s">
        <v>22959</v>
      </c>
      <c r="Z3122" t="s">
        <v>29537</v>
      </c>
      <c r="AA3122">
        <v>0.13252869577017451</v>
      </c>
      <c r="AB3122" t="str">
        <f>HYPERLINK("Melting_Curves/meltCurve_Q02040_AKAP17A.pdf", "Melting_Curves/meltCurve_Q02040_AKAP17A.pdf")</f>
        <v>Melting_Curves/meltCurve_Q02040_AKAP17A.pdf</v>
      </c>
    </row>
    <row r="3123" spans="1:28" x14ac:dyDescent="0.25">
      <c r="A3123" t="s">
        <v>3127</v>
      </c>
      <c r="B3123">
        <v>0.99193492352474899</v>
      </c>
      <c r="C3123">
        <v>0.98349946399126098</v>
      </c>
      <c r="D3123">
        <v>0.97855886460015296</v>
      </c>
      <c r="E3123">
        <v>0.69269589579587498</v>
      </c>
      <c r="F3123">
        <v>0.36145722454465101</v>
      </c>
      <c r="G3123">
        <v>0.121096590434099</v>
      </c>
      <c r="H3123">
        <v>7.1229375143128604E-2</v>
      </c>
      <c r="I3123">
        <v>0.100664048859857</v>
      </c>
      <c r="J3123">
        <v>0.118595029610022</v>
      </c>
      <c r="K3123">
        <v>6.1801139803630001E-2</v>
      </c>
      <c r="L3123">
        <v>1297.98254758913</v>
      </c>
      <c r="M3123">
        <v>25.3634432086989</v>
      </c>
      <c r="N3123">
        <v>51.525877649002702</v>
      </c>
      <c r="O3123">
        <v>50.860384739540599</v>
      </c>
      <c r="P3123">
        <v>-0.11479378047908401</v>
      </c>
      <c r="Q3123">
        <v>7.9244620492069207E-2</v>
      </c>
      <c r="R3123">
        <v>0.99640926910194605</v>
      </c>
      <c r="S3123" t="s">
        <v>9793</v>
      </c>
      <c r="T3123" t="s">
        <v>13338</v>
      </c>
      <c r="U3123" t="s">
        <v>13338</v>
      </c>
      <c r="V3123" t="s">
        <v>13338</v>
      </c>
      <c r="W3123" t="s">
        <v>16415</v>
      </c>
      <c r="X3123">
        <v>2</v>
      </c>
      <c r="Y3123" t="s">
        <v>20677</v>
      </c>
      <c r="Z3123" t="s">
        <v>29538</v>
      </c>
      <c r="AA3123">
        <v>0.43033729538675869</v>
      </c>
      <c r="AB3123" t="str">
        <f>HYPERLINK("Melting_Curves/meltCurve_Q02078_3_MEF2A.pdf", "Melting_Curves/meltCurve_Q02078_3_MEF2A.pdf")</f>
        <v>Melting_Curves/meltCurve_Q02078_3_MEF2A.pdf</v>
      </c>
    </row>
    <row r="3124" spans="1:28" x14ac:dyDescent="0.25">
      <c r="A3124" t="s">
        <v>3128</v>
      </c>
      <c r="B3124">
        <v>0.99193492352474899</v>
      </c>
      <c r="C3124">
        <v>0.86962835020751394</v>
      </c>
      <c r="D3124">
        <v>0.94317755090839706</v>
      </c>
      <c r="E3124">
        <v>0.66517409086022505</v>
      </c>
      <c r="F3124">
        <v>0.53883592403627001</v>
      </c>
      <c r="G3124">
        <v>0.32947286462592901</v>
      </c>
      <c r="H3124">
        <v>0.23888983615529799</v>
      </c>
      <c r="I3124">
        <v>0.27504735776952799</v>
      </c>
      <c r="J3124">
        <v>0.23649456390723</v>
      </c>
      <c r="K3124">
        <v>0.32704961092326501</v>
      </c>
      <c r="L3124">
        <v>856.66947636261</v>
      </c>
      <c r="M3124">
        <v>16.871952167486899</v>
      </c>
      <c r="N3124">
        <v>52.940919416570402</v>
      </c>
      <c r="O3124">
        <v>50.077568152796097</v>
      </c>
      <c r="P3124">
        <v>-6.3235061958796204E-2</v>
      </c>
      <c r="Q3124">
        <v>0.24929694833898899</v>
      </c>
      <c r="R3124">
        <v>0.96927155205894</v>
      </c>
      <c r="S3124" t="s">
        <v>9794</v>
      </c>
      <c r="T3124" t="s">
        <v>13338</v>
      </c>
      <c r="U3124" t="s">
        <v>13338</v>
      </c>
      <c r="V3124" t="s">
        <v>13338</v>
      </c>
      <c r="W3124" t="s">
        <v>16416</v>
      </c>
      <c r="X3124">
        <v>5</v>
      </c>
      <c r="Y3124" t="s">
        <v>22960</v>
      </c>
      <c r="Z3124" t="s">
        <v>29539</v>
      </c>
      <c r="AA3124">
        <v>0.5331697198405756</v>
      </c>
      <c r="AB3124" t="str">
        <f>HYPERLINK("Melting_Curves/meltCurve_Q02083_2_NAAA.pdf", "Melting_Curves/meltCurve_Q02083_2_NAAA.pdf")</f>
        <v>Melting_Curves/meltCurve_Q02083_2_NAAA.pdf</v>
      </c>
    </row>
    <row r="3125" spans="1:28" x14ac:dyDescent="0.25">
      <c r="A3125" t="s">
        <v>3129</v>
      </c>
      <c r="B3125">
        <v>0.99193492352474899</v>
      </c>
      <c r="C3125">
        <v>1.7646107643412801</v>
      </c>
      <c r="D3125">
        <v>0.71582664256979001</v>
      </c>
      <c r="E3125">
        <v>0.82880274475171301</v>
      </c>
      <c r="F3125">
        <v>0.48127288856191203</v>
      </c>
      <c r="G3125">
        <v>0.24447975672268099</v>
      </c>
      <c r="H3125">
        <v>0.101563132254623</v>
      </c>
      <c r="I3125">
        <v>8.7348490393481498E-2</v>
      </c>
      <c r="J3125">
        <v>0.134918179160114</v>
      </c>
      <c r="K3125">
        <v>0.13827216533212899</v>
      </c>
      <c r="L3125">
        <v>1211.87009032335</v>
      </c>
      <c r="M3125">
        <v>23.130448185392499</v>
      </c>
      <c r="N3125">
        <v>52.932861676079</v>
      </c>
      <c r="O3125">
        <v>52.005952126875599</v>
      </c>
      <c r="P3125">
        <v>-9.9507307087045194E-2</v>
      </c>
      <c r="Q3125">
        <v>0.10509688577458701</v>
      </c>
      <c r="R3125">
        <v>0.749233524949804</v>
      </c>
      <c r="S3125" t="s">
        <v>9795</v>
      </c>
      <c r="T3125" t="s">
        <v>13338</v>
      </c>
      <c r="U3125" t="s">
        <v>13338</v>
      </c>
      <c r="V3125" t="s">
        <v>13338</v>
      </c>
      <c r="W3125" t="s">
        <v>16417</v>
      </c>
      <c r="X3125">
        <v>1</v>
      </c>
      <c r="Y3125" t="s">
        <v>22961</v>
      </c>
      <c r="Z3125" t="s">
        <v>29540</v>
      </c>
      <c r="AA3125">
        <v>0.48427118933355179</v>
      </c>
      <c r="AB3125" t="str">
        <f>HYPERLINK("Melting_Curves/meltCurve_Q02108_2_GUCY1A3.pdf", "Melting_Curves/meltCurve_Q02108_2_GUCY1A3.pdf")</f>
        <v>Melting_Curves/meltCurve_Q02108_2_GUCY1A3.pdf</v>
      </c>
    </row>
    <row r="3126" spans="1:28" x14ac:dyDescent="0.25">
      <c r="A3126" t="s">
        <v>3130</v>
      </c>
      <c r="B3126">
        <v>0.99193492352474899</v>
      </c>
      <c r="C3126">
        <v>0.94024599723868096</v>
      </c>
      <c r="D3126">
        <v>0.88093162432940697</v>
      </c>
      <c r="E3126">
        <v>0.75222898432964602</v>
      </c>
      <c r="F3126">
        <v>0.59453578807663199</v>
      </c>
      <c r="G3126">
        <v>0.52602813220192901</v>
      </c>
      <c r="H3126">
        <v>0.37223317439038001</v>
      </c>
      <c r="I3126">
        <v>0.32957916651605701</v>
      </c>
      <c r="J3126">
        <v>0.24740112373591799</v>
      </c>
      <c r="K3126">
        <v>0.19440792575723501</v>
      </c>
      <c r="L3126">
        <v>474.05040931355097</v>
      </c>
      <c r="M3126">
        <v>8.4967509652734705</v>
      </c>
      <c r="N3126">
        <v>56.801184123502502</v>
      </c>
      <c r="O3126">
        <v>52.958954641830701</v>
      </c>
      <c r="P3126">
        <v>-3.73335506509892E-2</v>
      </c>
      <c r="Q3126">
        <v>7.0061982611118401E-2</v>
      </c>
      <c r="R3126">
        <v>0.99530175243103802</v>
      </c>
      <c r="S3126" t="s">
        <v>9796</v>
      </c>
      <c r="T3126" t="s">
        <v>13338</v>
      </c>
      <c r="U3126" t="s">
        <v>13338</v>
      </c>
      <c r="V3126" t="s">
        <v>13338</v>
      </c>
      <c r="W3126" t="s">
        <v>16418</v>
      </c>
      <c r="X3126">
        <v>13</v>
      </c>
      <c r="Y3126" t="s">
        <v>22962</v>
      </c>
      <c r="Z3126" t="s">
        <v>29541</v>
      </c>
      <c r="AA3126">
        <v>0.57986272672368566</v>
      </c>
      <c r="AB3126" t="str">
        <f>HYPERLINK("Melting_Curves/meltCurve_Q02127_DHODH.pdf", "Melting_Curves/meltCurve_Q02127_DHODH.pdf")</f>
        <v>Melting_Curves/meltCurve_Q02127_DHODH.pdf</v>
      </c>
    </row>
    <row r="3127" spans="1:28" x14ac:dyDescent="0.25">
      <c r="A3127" t="s">
        <v>3131</v>
      </c>
      <c r="B3127">
        <v>0.99193492352474899</v>
      </c>
      <c r="C3127">
        <v>0.75781843474197597</v>
      </c>
      <c r="D3127">
        <v>0.71609752573946595</v>
      </c>
      <c r="E3127">
        <v>0.75296147508787903</v>
      </c>
      <c r="F3127">
        <v>0.239451389350505</v>
      </c>
      <c r="G3127">
        <v>0.116480372026202</v>
      </c>
      <c r="H3127">
        <v>2.8507918528518E-2</v>
      </c>
      <c r="I3127">
        <v>2.4951938599341798E-2</v>
      </c>
      <c r="J3127">
        <v>1.50202385867201E-2</v>
      </c>
      <c r="K3127">
        <v>2.5499939847386899E-2</v>
      </c>
      <c r="L3127">
        <v>720.38331476793996</v>
      </c>
      <c r="M3127">
        <v>14.3260995807812</v>
      </c>
      <c r="N3127">
        <v>50.284677240769902</v>
      </c>
      <c r="O3127">
        <v>49.335336298023002</v>
      </c>
      <c r="P3127">
        <v>-7.2604309806728204E-2</v>
      </c>
      <c r="Q3127">
        <v>0</v>
      </c>
      <c r="R3127">
        <v>0.93787657050057305</v>
      </c>
      <c r="S3127" t="s">
        <v>9797</v>
      </c>
      <c r="T3127" t="s">
        <v>13338</v>
      </c>
      <c r="U3127" t="s">
        <v>13338</v>
      </c>
      <c r="V3127" t="s">
        <v>13338</v>
      </c>
      <c r="W3127" t="s">
        <v>16419</v>
      </c>
      <c r="X3127">
        <v>1</v>
      </c>
      <c r="Y3127" t="s">
        <v>22963</v>
      </c>
      <c r="Z3127" t="s">
        <v>29542</v>
      </c>
      <c r="AA3127">
        <v>0.36839572104029999</v>
      </c>
      <c r="AB3127" t="str">
        <f>HYPERLINK("Melting_Curves/meltCurve_Q02224_3_CENPE.pdf", "Melting_Curves/meltCurve_Q02224_3_CENPE.pdf")</f>
        <v>Melting_Curves/meltCurve_Q02224_3_CENPE.pdf</v>
      </c>
    </row>
    <row r="3128" spans="1:28" x14ac:dyDescent="0.25">
      <c r="A3128" t="s">
        <v>3132</v>
      </c>
      <c r="B3128">
        <v>0.99193492352474899</v>
      </c>
      <c r="C3128">
        <v>0.365572540653405</v>
      </c>
      <c r="D3128">
        <v>0.65474357450030696</v>
      </c>
      <c r="E3128">
        <v>0.19112259220865099</v>
      </c>
      <c r="F3128">
        <v>0.13673268116383699</v>
      </c>
      <c r="G3128">
        <v>6.2213095782041899E-2</v>
      </c>
      <c r="H3128">
        <v>3.0481161514919999E-2</v>
      </c>
      <c r="I3128">
        <v>3.7415805841419202E-2</v>
      </c>
      <c r="J3128">
        <v>4.4958932965491201E-2</v>
      </c>
      <c r="K3128">
        <v>2.1745937273929501E-2</v>
      </c>
      <c r="L3128">
        <v>551.33073413227999</v>
      </c>
      <c r="M3128">
        <v>12.244204565202001</v>
      </c>
      <c r="N3128">
        <v>45.080140292084103</v>
      </c>
      <c r="O3128">
        <v>43.877340359060497</v>
      </c>
      <c r="P3128">
        <v>-6.9287764103877506E-2</v>
      </c>
      <c r="Q3128">
        <v>7.0452822589370202E-3</v>
      </c>
      <c r="R3128">
        <v>0.83495141637125303</v>
      </c>
      <c r="S3128" t="s">
        <v>9798</v>
      </c>
      <c r="T3128" t="s">
        <v>13338</v>
      </c>
      <c r="U3128" t="s">
        <v>13338</v>
      </c>
      <c r="V3128" t="s">
        <v>13338</v>
      </c>
      <c r="W3128" t="s">
        <v>16420</v>
      </c>
      <c r="X3128">
        <v>10</v>
      </c>
      <c r="Y3128" t="s">
        <v>22964</v>
      </c>
      <c r="Z3128" t="s">
        <v>29543</v>
      </c>
      <c r="AA3128">
        <v>0.22109724730615271</v>
      </c>
      <c r="AB3128" t="str">
        <f>HYPERLINK("Melting_Curves/meltCurve_Q02241_KIF23.pdf", "Melting_Curves/meltCurve_Q02241_KIF23.pdf")</f>
        <v>Melting_Curves/meltCurve_Q02241_KIF23.pdf</v>
      </c>
    </row>
    <row r="3129" spans="1:28" x14ac:dyDescent="0.25">
      <c r="A3129" t="s">
        <v>3133</v>
      </c>
      <c r="B3129">
        <v>0.99193492352474899</v>
      </c>
      <c r="C3129">
        <v>0.95156068879689404</v>
      </c>
      <c r="D3129">
        <v>0.92063777664159296</v>
      </c>
      <c r="E3129">
        <v>0.55773375193938202</v>
      </c>
      <c r="F3129">
        <v>0.14591949337202501</v>
      </c>
      <c r="G3129">
        <v>9.4789675085211494E-2</v>
      </c>
      <c r="H3129">
        <v>6.3812352669611605E-2</v>
      </c>
      <c r="I3129">
        <v>7.69992877339752E-2</v>
      </c>
      <c r="J3129">
        <v>9.5959230989898503E-2</v>
      </c>
      <c r="K3129">
        <v>8.5248899745105994E-2</v>
      </c>
      <c r="L3129">
        <v>1654.0274182850401</v>
      </c>
      <c r="M3129">
        <v>33.319244767912899</v>
      </c>
      <c r="N3129">
        <v>49.8930475011189</v>
      </c>
      <c r="O3129">
        <v>49.464010532461103</v>
      </c>
      <c r="P3129">
        <v>-0.15539516091816899</v>
      </c>
      <c r="Q3129">
        <v>7.7237827820666793E-2</v>
      </c>
      <c r="R3129">
        <v>0.99766789926747601</v>
      </c>
      <c r="S3129" t="s">
        <v>9799</v>
      </c>
      <c r="T3129" t="s">
        <v>13338</v>
      </c>
      <c r="U3129" t="s">
        <v>13338</v>
      </c>
      <c r="V3129" t="s">
        <v>13338</v>
      </c>
      <c r="W3129" t="s">
        <v>16421</v>
      </c>
      <c r="X3129">
        <v>22</v>
      </c>
      <c r="Y3129" t="s">
        <v>22965</v>
      </c>
      <c r="Z3129" t="s">
        <v>29544</v>
      </c>
      <c r="AA3129">
        <v>0.37839344592285268</v>
      </c>
      <c r="AB3129" t="str">
        <f>HYPERLINK("Melting_Curves/meltCurve_Q02252_ALDH6A1.pdf", "Melting_Curves/meltCurve_Q02252_ALDH6A1.pdf")</f>
        <v>Melting_Curves/meltCurve_Q02252_ALDH6A1.pdf</v>
      </c>
    </row>
    <row r="3130" spans="1:28" x14ac:dyDescent="0.25">
      <c r="A3130" t="s">
        <v>3134</v>
      </c>
      <c r="B3130">
        <v>0.99193492352474899</v>
      </c>
      <c r="C3130">
        <v>0.91859702768946105</v>
      </c>
      <c r="D3130">
        <v>0.89587025241963003</v>
      </c>
      <c r="E3130">
        <v>0.294666169104147</v>
      </c>
      <c r="F3130">
        <v>0.15053378131314701</v>
      </c>
      <c r="G3130">
        <v>9.8660630218469506E-2</v>
      </c>
      <c r="H3130">
        <v>8.0298889093128503E-2</v>
      </c>
      <c r="I3130">
        <v>8.1253534468481103E-2</v>
      </c>
      <c r="J3130">
        <v>8.9185434498060198E-2</v>
      </c>
      <c r="K3130">
        <v>0.10995656036734899</v>
      </c>
      <c r="L3130">
        <v>1964.7100369156101</v>
      </c>
      <c r="M3130">
        <v>40.819298260203801</v>
      </c>
      <c r="N3130">
        <v>48.387860882647999</v>
      </c>
      <c r="O3130">
        <v>48.016804028632698</v>
      </c>
      <c r="P3130">
        <v>-0.19188964683505599</v>
      </c>
      <c r="Q3130">
        <v>9.7102563144645604E-2</v>
      </c>
      <c r="R3130">
        <v>0.99427940678937898</v>
      </c>
      <c r="S3130" t="s">
        <v>9800</v>
      </c>
      <c r="T3130" t="s">
        <v>13338</v>
      </c>
      <c r="U3130" t="s">
        <v>13338</v>
      </c>
      <c r="V3130" t="s">
        <v>13338</v>
      </c>
      <c r="W3130" t="s">
        <v>16422</v>
      </c>
      <c r="X3130">
        <v>4</v>
      </c>
      <c r="Y3130" t="s">
        <v>22966</v>
      </c>
      <c r="Z3130" t="s">
        <v>29545</v>
      </c>
      <c r="AA3130">
        <v>0.34473471485542029</v>
      </c>
      <c r="AB3130" t="str">
        <f>HYPERLINK("Melting_Curves/meltCurve_Q02338_BDH1.pdf", "Melting_Curves/meltCurve_Q02338_BDH1.pdf")</f>
        <v>Melting_Curves/meltCurve_Q02338_BDH1.pdf</v>
      </c>
    </row>
    <row r="3131" spans="1:28" x14ac:dyDescent="0.25">
      <c r="A3131" t="s">
        <v>3135</v>
      </c>
      <c r="B3131">
        <v>0.99193492352474899</v>
      </c>
      <c r="C3131">
        <v>1.0525150275867901</v>
      </c>
      <c r="D3131">
        <v>0.95755560064494805</v>
      </c>
      <c r="E3131">
        <v>1.42352874036122</v>
      </c>
      <c r="F3131">
        <v>1.06776090374277</v>
      </c>
      <c r="G3131">
        <v>0.55675631967096895</v>
      </c>
      <c r="H3131">
        <v>0.62893458232331301</v>
      </c>
      <c r="I3131">
        <v>0.80436676854273603</v>
      </c>
      <c r="J3131">
        <v>0.337509886338065</v>
      </c>
      <c r="K3131">
        <v>0.81999115210190199</v>
      </c>
      <c r="L3131">
        <v>5380.1845720189403</v>
      </c>
      <c r="M3131">
        <v>97.922701172728196</v>
      </c>
      <c r="O3131">
        <v>54.920276122043497</v>
      </c>
      <c r="P3131">
        <v>-0.16585313461114001</v>
      </c>
      <c r="Q3131">
        <v>0.62792286963662602</v>
      </c>
      <c r="R3131">
        <v>0.58649710476032901</v>
      </c>
      <c r="S3131" t="s">
        <v>9801</v>
      </c>
      <c r="T3131" t="s">
        <v>13338</v>
      </c>
      <c r="U3131" t="s">
        <v>13338</v>
      </c>
      <c r="V3131" t="s">
        <v>13338</v>
      </c>
      <c r="W3131" t="s">
        <v>16423</v>
      </c>
      <c r="X3131">
        <v>3</v>
      </c>
      <c r="Y3131" t="s">
        <v>22967</v>
      </c>
      <c r="Z3131" t="s">
        <v>29546</v>
      </c>
      <c r="AA3131">
        <v>0.81349085169488733</v>
      </c>
      <c r="AB3131" t="str">
        <f>HYPERLINK("Melting_Curves/meltCurve_Q02383_SEMG2.pdf", "Melting_Curves/meltCurve_Q02383_SEMG2.pdf")</f>
        <v>Melting_Curves/meltCurve_Q02383_SEMG2.pdf</v>
      </c>
    </row>
    <row r="3132" spans="1:28" x14ac:dyDescent="0.25">
      <c r="A3132" t="s">
        <v>3136</v>
      </c>
      <c r="B3132">
        <v>0.99193492352474899</v>
      </c>
      <c r="C3132">
        <v>0.66971785677397799</v>
      </c>
      <c r="D3132">
        <v>1.00951627125201</v>
      </c>
      <c r="E3132">
        <v>0.22062981244607799</v>
      </c>
      <c r="F3132">
        <v>0.119975002472856</v>
      </c>
      <c r="G3132">
        <v>4.6908498376887597E-2</v>
      </c>
      <c r="H3132">
        <v>3.4881909657231203E-2</v>
      </c>
      <c r="I3132">
        <v>5.1370943761973799E-2</v>
      </c>
      <c r="J3132">
        <v>7.8555417272611699E-2</v>
      </c>
      <c r="K3132">
        <v>5.0380406092483697E-2</v>
      </c>
      <c r="L3132">
        <v>7382.6392086791802</v>
      </c>
      <c r="M3132">
        <v>150.446021007366</v>
      </c>
      <c r="N3132">
        <v>49.116153574946502</v>
      </c>
      <c r="O3132">
        <v>49.063013403195001</v>
      </c>
      <c r="P3132">
        <v>-0.71778181752866999</v>
      </c>
      <c r="Q3132">
        <v>6.3676469886942005E-2</v>
      </c>
      <c r="R3132">
        <v>0.92174006187950597</v>
      </c>
      <c r="S3132" t="s">
        <v>9802</v>
      </c>
      <c r="T3132" t="s">
        <v>13338</v>
      </c>
      <c r="U3132" t="s">
        <v>13338</v>
      </c>
      <c r="V3132" t="s">
        <v>13338</v>
      </c>
      <c r="W3132" t="s">
        <v>16424</v>
      </c>
      <c r="X3132">
        <v>2</v>
      </c>
      <c r="Y3132" t="s">
        <v>22968</v>
      </c>
      <c r="Z3132" t="s">
        <v>29547</v>
      </c>
      <c r="AA3132">
        <v>0.3470335114073998</v>
      </c>
      <c r="AB3132" t="str">
        <f>HYPERLINK("Melting_Curves/meltCurve_Q02410_APBA1.pdf", "Melting_Curves/meltCurve_Q02410_APBA1.pdf")</f>
        <v>Melting_Curves/meltCurve_Q02410_APBA1.pdf</v>
      </c>
    </row>
    <row r="3133" spans="1:28" x14ac:dyDescent="0.25">
      <c r="A3133" t="s">
        <v>3137</v>
      </c>
      <c r="B3133">
        <v>0.99193492352474899</v>
      </c>
      <c r="C3133">
        <v>1.0143338579207699</v>
      </c>
      <c r="D3133">
        <v>0.97796532752535403</v>
      </c>
      <c r="E3133">
        <v>0.86240480152310695</v>
      </c>
      <c r="F3133">
        <v>0.60240650199374102</v>
      </c>
      <c r="G3133">
        <v>0.51687229997810502</v>
      </c>
      <c r="H3133">
        <v>0.35302824722659198</v>
      </c>
      <c r="I3133">
        <v>0.50933615440508695</v>
      </c>
      <c r="J3133">
        <v>0.65878622958738398</v>
      </c>
      <c r="K3133">
        <v>0.75887052640646901</v>
      </c>
      <c r="L3133">
        <v>2342.5425136153199</v>
      </c>
      <c r="M3133">
        <v>46.443579158066903</v>
      </c>
      <c r="O3133">
        <v>50.3452121623503</v>
      </c>
      <c r="P3133">
        <v>-0.10146890911978899</v>
      </c>
      <c r="Q3133">
        <v>0.56002806131332195</v>
      </c>
      <c r="R3133">
        <v>0.79971091836011399</v>
      </c>
      <c r="S3133" t="s">
        <v>9803</v>
      </c>
      <c r="T3133" t="s">
        <v>13338</v>
      </c>
      <c r="U3133" t="s">
        <v>13338</v>
      </c>
      <c r="V3133" t="s">
        <v>13338</v>
      </c>
      <c r="W3133" t="s">
        <v>16425</v>
      </c>
      <c r="X3133">
        <v>4</v>
      </c>
      <c r="Y3133" t="s">
        <v>22969</v>
      </c>
      <c r="Z3133" t="s">
        <v>29548</v>
      </c>
      <c r="AA3133">
        <v>0.71425120943590936</v>
      </c>
      <c r="AB3133" t="str">
        <f>HYPERLINK("Melting_Curves/meltCurve_Q02446_SP4.pdf", "Melting_Curves/meltCurve_Q02446_SP4.pdf")</f>
        <v>Melting_Curves/meltCurve_Q02446_SP4.pdf</v>
      </c>
    </row>
    <row r="3134" spans="1:28" x14ac:dyDescent="0.25">
      <c r="A3134" t="s">
        <v>3138</v>
      </c>
      <c r="B3134">
        <v>0.99193492352474899</v>
      </c>
      <c r="C3134">
        <v>0.90994270623226903</v>
      </c>
      <c r="D3134">
        <v>0.76954829317805096</v>
      </c>
      <c r="E3134">
        <v>0.54871370066468195</v>
      </c>
      <c r="F3134">
        <v>0.303013238653213</v>
      </c>
      <c r="G3134">
        <v>0.20189778163345001</v>
      </c>
      <c r="H3134">
        <v>0.125880647976746</v>
      </c>
      <c r="I3134">
        <v>0.17153954389582701</v>
      </c>
      <c r="J3134">
        <v>0.18926998391123101</v>
      </c>
      <c r="K3134">
        <v>0.24200838220995299</v>
      </c>
      <c r="L3134">
        <v>891.67959613956498</v>
      </c>
      <c r="M3134">
        <v>18.3286879690714</v>
      </c>
      <c r="N3134">
        <v>49.770910973987903</v>
      </c>
      <c r="O3134">
        <v>48.081371791152598</v>
      </c>
      <c r="P3134">
        <v>-7.9181821898844096E-2</v>
      </c>
      <c r="Q3134">
        <v>0.16917221294443099</v>
      </c>
      <c r="R3134">
        <v>0.98782309722639705</v>
      </c>
      <c r="S3134" t="s">
        <v>9804</v>
      </c>
      <c r="T3134" t="s">
        <v>13338</v>
      </c>
      <c r="U3134" t="s">
        <v>13338</v>
      </c>
      <c r="V3134" t="s">
        <v>13338</v>
      </c>
      <c r="W3134" t="s">
        <v>16426</v>
      </c>
      <c r="X3134">
        <v>6</v>
      </c>
      <c r="Y3134" t="s">
        <v>22970</v>
      </c>
      <c r="Z3134" t="s">
        <v>29549</v>
      </c>
      <c r="AA3134">
        <v>0.42268188458871853</v>
      </c>
      <c r="AB3134" t="str">
        <f>HYPERLINK("Melting_Curves/meltCurve_Q02447_3_SP3.pdf", "Melting_Curves/meltCurve_Q02447_3_SP3.pdf")</f>
        <v>Melting_Curves/meltCurve_Q02447_3_SP3.pdf</v>
      </c>
    </row>
    <row r="3135" spans="1:28" x14ac:dyDescent="0.25">
      <c r="A3135" t="s">
        <v>3139</v>
      </c>
      <c r="B3135">
        <v>0.99193492352474899</v>
      </c>
      <c r="C3135">
        <v>0.55911669866833902</v>
      </c>
      <c r="D3135">
        <v>0.57311665371803</v>
      </c>
      <c r="E3135">
        <v>0.220362923182542</v>
      </c>
      <c r="F3135">
        <v>0.185327201329507</v>
      </c>
      <c r="G3135">
        <v>0.101583202196603</v>
      </c>
      <c r="H3135">
        <v>7.0323677588754199E-2</v>
      </c>
      <c r="I3135">
        <v>9.3965930971670594E-2</v>
      </c>
      <c r="J3135">
        <v>0.12026932329918701</v>
      </c>
      <c r="K3135">
        <v>0.11553477535996</v>
      </c>
      <c r="L3135">
        <v>696.57559641061005</v>
      </c>
      <c r="M3135">
        <v>15.496983198313499</v>
      </c>
      <c r="N3135">
        <v>45.530819818975701</v>
      </c>
      <c r="O3135">
        <v>44.220606065438901</v>
      </c>
      <c r="P3135">
        <v>-7.9750251416128903E-2</v>
      </c>
      <c r="Q3135">
        <v>8.9812699854826095E-2</v>
      </c>
      <c r="R3135">
        <v>0.94042565058350802</v>
      </c>
      <c r="S3135" t="s">
        <v>9805</v>
      </c>
      <c r="T3135" t="s">
        <v>13338</v>
      </c>
      <c r="U3135" t="s">
        <v>13338</v>
      </c>
      <c r="V3135" t="s">
        <v>13338</v>
      </c>
      <c r="W3135" t="s">
        <v>16427</v>
      </c>
      <c r="X3135">
        <v>2</v>
      </c>
      <c r="Y3135" t="s">
        <v>22971</v>
      </c>
      <c r="Z3135" t="s">
        <v>29550</v>
      </c>
      <c r="AA3135">
        <v>0.26740785752797919</v>
      </c>
      <c r="AB3135" t="str">
        <f>HYPERLINK("Melting_Curves/meltCurve_Q02535_ID3.pdf", "Melting_Curves/meltCurve_Q02535_ID3.pdf")</f>
        <v>Melting_Curves/meltCurve_Q02535_ID3.pdf</v>
      </c>
    </row>
    <row r="3136" spans="1:28" x14ac:dyDescent="0.25">
      <c r="A3136" t="s">
        <v>3140</v>
      </c>
      <c r="B3136">
        <v>0.99193492352474899</v>
      </c>
      <c r="C3136">
        <v>0.74080193893125301</v>
      </c>
      <c r="D3136">
        <v>1.08023173941699</v>
      </c>
      <c r="E3136">
        <v>1.4734102472308901</v>
      </c>
      <c r="F3136">
        <v>1.58843714536457</v>
      </c>
      <c r="G3136">
        <v>0.56539042119042004</v>
      </c>
      <c r="H3136">
        <v>0.13040526567827301</v>
      </c>
      <c r="I3136">
        <v>0.12563161375349199</v>
      </c>
      <c r="J3136">
        <v>0.228610771612098</v>
      </c>
      <c r="K3136">
        <v>0.111163142427981</v>
      </c>
      <c r="L3136">
        <v>14197.5740370814</v>
      </c>
      <c r="M3136">
        <v>250</v>
      </c>
      <c r="N3136">
        <v>56.870755218983</v>
      </c>
      <c r="O3136">
        <v>56.786685132985099</v>
      </c>
      <c r="P3136">
        <v>-0.93667166438300498</v>
      </c>
      <c r="Q3136">
        <v>0.148952684226104</v>
      </c>
      <c r="R3136">
        <v>0.77179240730058896</v>
      </c>
      <c r="S3136" t="s">
        <v>9806</v>
      </c>
      <c r="T3136" t="s">
        <v>13338</v>
      </c>
      <c r="U3136" t="s">
        <v>13338</v>
      </c>
      <c r="V3136" t="s">
        <v>13338</v>
      </c>
      <c r="W3136" t="s">
        <v>16428</v>
      </c>
      <c r="X3136">
        <v>6</v>
      </c>
      <c r="Y3136" t="s">
        <v>22972</v>
      </c>
      <c r="Z3136" t="s">
        <v>29551</v>
      </c>
      <c r="AA3136">
        <v>0.62534872038368217</v>
      </c>
      <c r="AB3136" t="str">
        <f>HYPERLINK("Melting_Curves/meltCurve_Q02543_RPL18A.pdf", "Melting_Curves/meltCurve_Q02543_RPL18A.pdf")</f>
        <v>Melting_Curves/meltCurve_Q02543_RPL18A.pdf</v>
      </c>
    </row>
    <row r="3137" spans="1:28" x14ac:dyDescent="0.25">
      <c r="A3137" t="s">
        <v>3141</v>
      </c>
      <c r="B3137">
        <v>0.99193492352474899</v>
      </c>
      <c r="C3137">
        <v>0.87190618434867595</v>
      </c>
      <c r="D3137">
        <v>0.95579362271263801</v>
      </c>
      <c r="E3137">
        <v>0.82160825293732898</v>
      </c>
      <c r="F3137">
        <v>0.65209195577319201</v>
      </c>
      <c r="G3137">
        <v>0.212925999476542</v>
      </c>
      <c r="H3137">
        <v>9.2447056816567702E-2</v>
      </c>
      <c r="I3137">
        <v>0.101263805394281</v>
      </c>
      <c r="J3137">
        <v>9.2346981186546204E-2</v>
      </c>
      <c r="K3137">
        <v>9.6771430264299796E-2</v>
      </c>
      <c r="L3137">
        <v>1294.68688865944</v>
      </c>
      <c r="M3137">
        <v>24.1354079407649</v>
      </c>
      <c r="N3137">
        <v>53.988185240264201</v>
      </c>
      <c r="O3137">
        <v>53.278455018311497</v>
      </c>
      <c r="P3137">
        <v>-0.105147639814739</v>
      </c>
      <c r="Q3137">
        <v>7.1568833024621206E-2</v>
      </c>
      <c r="R3137">
        <v>0.97928436564267796</v>
      </c>
      <c r="S3137" t="s">
        <v>9807</v>
      </c>
      <c r="T3137" t="s">
        <v>13338</v>
      </c>
      <c r="U3137" t="s">
        <v>13338</v>
      </c>
      <c r="V3137" t="s">
        <v>13338</v>
      </c>
      <c r="W3137" t="s">
        <v>16429</v>
      </c>
      <c r="X3137">
        <v>16</v>
      </c>
      <c r="Y3137" t="s">
        <v>22973</v>
      </c>
      <c r="Z3137" t="s">
        <v>29552</v>
      </c>
      <c r="AA3137">
        <v>0.5029282407085659</v>
      </c>
      <c r="AB3137" t="str">
        <f>HYPERLINK("Melting_Curves/meltCurve_Q02750_MAP2K1.pdf", "Melting_Curves/meltCurve_Q02750_MAP2K1.pdf")</f>
        <v>Melting_Curves/meltCurve_Q02750_MAP2K1.pdf</v>
      </c>
    </row>
    <row r="3138" spans="1:28" x14ac:dyDescent="0.25">
      <c r="A3138" t="s">
        <v>3142</v>
      </c>
      <c r="B3138">
        <v>0.99193492352474899</v>
      </c>
      <c r="C3138">
        <v>0.82582377686965902</v>
      </c>
      <c r="D3138">
        <v>0.925781493800374</v>
      </c>
      <c r="E3138">
        <v>0.378408685193523</v>
      </c>
      <c r="F3138">
        <v>0.164934572928677</v>
      </c>
      <c r="G3138">
        <v>0.105931927588618</v>
      </c>
      <c r="H3138">
        <v>7.1199649158235595E-2</v>
      </c>
      <c r="I3138">
        <v>8.96956252655043E-2</v>
      </c>
      <c r="J3138">
        <v>9.7072734142437E-2</v>
      </c>
      <c r="K3138">
        <v>9.3114701274021799E-2</v>
      </c>
      <c r="L3138">
        <v>1652.9618345489801</v>
      </c>
      <c r="M3138">
        <v>34.011101759189003</v>
      </c>
      <c r="N3138">
        <v>48.896683533154402</v>
      </c>
      <c r="O3138">
        <v>48.433558858880602</v>
      </c>
      <c r="P3138">
        <v>-0.15922125613365001</v>
      </c>
      <c r="Q3138">
        <v>9.3046539533692504E-2</v>
      </c>
      <c r="R3138">
        <v>0.97719100571008199</v>
      </c>
      <c r="S3138" t="s">
        <v>9808</v>
      </c>
      <c r="T3138" t="s">
        <v>13338</v>
      </c>
      <c r="U3138" t="s">
        <v>13338</v>
      </c>
      <c r="V3138" t="s">
        <v>13338</v>
      </c>
      <c r="W3138" t="s">
        <v>16430</v>
      </c>
      <c r="X3138">
        <v>45</v>
      </c>
      <c r="Y3138" t="s">
        <v>22974</v>
      </c>
      <c r="Z3138" t="s">
        <v>29553</v>
      </c>
      <c r="AA3138">
        <v>0.3573053519768698</v>
      </c>
      <c r="AB3138" t="str">
        <f>HYPERLINK("Melting_Curves/meltCurve_Q02790_FKBP4.pdf", "Melting_Curves/meltCurve_Q02790_FKBP4.pdf")</f>
        <v>Melting_Curves/meltCurve_Q02790_FKBP4.pdf</v>
      </c>
    </row>
    <row r="3139" spans="1:28" x14ac:dyDescent="0.25">
      <c r="A3139" t="s">
        <v>3143</v>
      </c>
      <c r="B3139">
        <v>0.99193492352474899</v>
      </c>
      <c r="C3139">
        <v>0.955522556404381</v>
      </c>
      <c r="D3139">
        <v>0.84984914192991001</v>
      </c>
      <c r="E3139">
        <v>0.64585658440396898</v>
      </c>
      <c r="F3139">
        <v>0.362015913289158</v>
      </c>
      <c r="G3139">
        <v>0.21481194597296999</v>
      </c>
      <c r="H3139">
        <v>0.12192516129172901</v>
      </c>
      <c r="I3139">
        <v>0.114287422921881</v>
      </c>
      <c r="J3139">
        <v>0.150423995701852</v>
      </c>
      <c r="K3139">
        <v>0.152330475990999</v>
      </c>
      <c r="L3139">
        <v>927.19576673036295</v>
      </c>
      <c r="M3139">
        <v>18.388257324982501</v>
      </c>
      <c r="N3139">
        <v>51.175964836059201</v>
      </c>
      <c r="O3139">
        <v>49.838254866306798</v>
      </c>
      <c r="P3139">
        <v>-8.1314332913975496E-2</v>
      </c>
      <c r="Q3139">
        <v>0.11848511448469</v>
      </c>
      <c r="R3139">
        <v>0.996765512039822</v>
      </c>
      <c r="S3139" t="s">
        <v>9809</v>
      </c>
      <c r="T3139" t="s">
        <v>13338</v>
      </c>
      <c r="U3139" t="s">
        <v>13338</v>
      </c>
      <c r="V3139" t="s">
        <v>13338</v>
      </c>
      <c r="W3139" t="s">
        <v>16431</v>
      </c>
      <c r="X3139">
        <v>8</v>
      </c>
      <c r="Y3139" t="s">
        <v>22975</v>
      </c>
      <c r="Z3139" t="s">
        <v>29554</v>
      </c>
      <c r="AA3139">
        <v>0.43913047017547568</v>
      </c>
      <c r="AB3139" t="str">
        <f>HYPERLINK("Melting_Curves/meltCurve_Q02809_PLOD1.pdf", "Melting_Curves/meltCurve_Q02809_PLOD1.pdf")</f>
        <v>Melting_Curves/meltCurve_Q02809_PLOD1.pdf</v>
      </c>
    </row>
    <row r="3140" spans="1:28" x14ac:dyDescent="0.25">
      <c r="A3140" t="s">
        <v>3144</v>
      </c>
      <c r="B3140">
        <v>0.99193492352474899</v>
      </c>
      <c r="C3140">
        <v>1.0528762229755699</v>
      </c>
      <c r="D3140">
        <v>0.81176148026464301</v>
      </c>
      <c r="E3140">
        <v>0.81178504452823497</v>
      </c>
      <c r="F3140">
        <v>0.55792257789123101</v>
      </c>
      <c r="G3140">
        <v>0.44972251495714699</v>
      </c>
      <c r="H3140">
        <v>0.333786956457022</v>
      </c>
      <c r="I3140">
        <v>0.40931576370328598</v>
      </c>
      <c r="J3140">
        <v>0.46371202020457902</v>
      </c>
      <c r="K3140">
        <v>0.57406438979538899</v>
      </c>
      <c r="L3140">
        <v>1060.5913637856499</v>
      </c>
      <c r="M3140">
        <v>21.190290134955902</v>
      </c>
      <c r="N3140">
        <v>55.470275606012102</v>
      </c>
      <c r="O3140">
        <v>49.611467999304203</v>
      </c>
      <c r="P3140">
        <v>-6.0127297250783203E-2</v>
      </c>
      <c r="Q3140">
        <v>0.43692583426630799</v>
      </c>
      <c r="R3140">
        <v>0.90254229331402203</v>
      </c>
      <c r="S3140" t="s">
        <v>9810</v>
      </c>
      <c r="T3140" t="s">
        <v>13338</v>
      </c>
      <c r="U3140" t="s">
        <v>13338</v>
      </c>
      <c r="V3140" t="s">
        <v>13338</v>
      </c>
      <c r="W3140" t="s">
        <v>16432</v>
      </c>
      <c r="X3140">
        <v>21</v>
      </c>
      <c r="Y3140" t="s">
        <v>22976</v>
      </c>
      <c r="Z3140" t="s">
        <v>29555</v>
      </c>
      <c r="AA3140">
        <v>0.63256948225185639</v>
      </c>
      <c r="AB3140" t="str">
        <f>HYPERLINK("Melting_Curves/meltCurve_Q02818_NUCB1.pdf", "Melting_Curves/meltCurve_Q02818_NUCB1.pdf")</f>
        <v>Melting_Curves/meltCurve_Q02818_NUCB1.pdf</v>
      </c>
    </row>
    <row r="3141" spans="1:28" x14ac:dyDescent="0.25">
      <c r="A3141" t="s">
        <v>3145</v>
      </c>
      <c r="B3141">
        <v>0.99193492352474899</v>
      </c>
      <c r="C3141">
        <v>0.337831891577143</v>
      </c>
      <c r="D3141">
        <v>0.74414511568673702</v>
      </c>
      <c r="E3141">
        <v>0.240059936262384</v>
      </c>
      <c r="F3141">
        <v>0.18921569725585799</v>
      </c>
      <c r="G3141">
        <v>8.9291212650531304E-2</v>
      </c>
      <c r="H3141">
        <v>6.34903346473953E-2</v>
      </c>
      <c r="I3141">
        <v>6.8349264649420094E-2</v>
      </c>
      <c r="J3141">
        <v>9.0997065289325399E-2</v>
      </c>
      <c r="K3141">
        <v>8.6927870462887302E-2</v>
      </c>
      <c r="L3141">
        <v>509.93701256051099</v>
      </c>
      <c r="M3141">
        <v>11.2566732922855</v>
      </c>
      <c r="N3141">
        <v>45.637358287949702</v>
      </c>
      <c r="O3141">
        <v>43.941781550659201</v>
      </c>
      <c r="P3141">
        <v>-6.1511578764974699E-2</v>
      </c>
      <c r="Q3141">
        <v>3.9824890734793103E-2</v>
      </c>
      <c r="R3141">
        <v>0.77073913989963105</v>
      </c>
      <c r="S3141" t="s">
        <v>9811</v>
      </c>
      <c r="T3141" t="s">
        <v>13338</v>
      </c>
      <c r="U3141" t="s">
        <v>13338</v>
      </c>
      <c r="V3141" t="s">
        <v>13338</v>
      </c>
      <c r="W3141" t="s">
        <v>16433</v>
      </c>
      <c r="X3141">
        <v>23</v>
      </c>
      <c r="Y3141" t="s">
        <v>22977</v>
      </c>
      <c r="Z3141" t="s">
        <v>29556</v>
      </c>
      <c r="AA3141">
        <v>0.26179084017481907</v>
      </c>
      <c r="AB3141" t="str">
        <f>HYPERLINK("Melting_Curves/meltCurve_Q02880_2_TOP2B.pdf", "Melting_Curves/meltCurve_Q02880_2_TOP2B.pdf")</f>
        <v>Melting_Curves/meltCurve_Q02880_2_TOP2B.pdf</v>
      </c>
    </row>
    <row r="3142" spans="1:28" x14ac:dyDescent="0.25">
      <c r="A3142" t="s">
        <v>3146</v>
      </c>
      <c r="B3142">
        <v>0.99193492352474899</v>
      </c>
      <c r="C3142">
        <v>2.2713704331747002</v>
      </c>
      <c r="D3142">
        <v>2.04850364271921</v>
      </c>
      <c r="E3142">
        <v>1.4331341171454099</v>
      </c>
      <c r="F3142">
        <v>0.685402898152915</v>
      </c>
      <c r="G3142">
        <v>1.1267278572553601</v>
      </c>
      <c r="H3142">
        <v>1.0449942428444701</v>
      </c>
      <c r="I3142">
        <v>0.77018701456132899</v>
      </c>
      <c r="J3142">
        <v>0.46673890917606198</v>
      </c>
      <c r="K3142">
        <v>0.49622412514866099</v>
      </c>
      <c r="L3142">
        <v>15000</v>
      </c>
      <c r="M3142">
        <v>234.14684458179099</v>
      </c>
      <c r="N3142">
        <v>64.976887154204903</v>
      </c>
      <c r="O3142">
        <v>64.057688944826793</v>
      </c>
      <c r="P3142">
        <v>-0.473834117400313</v>
      </c>
      <c r="Q3142">
        <v>0.48147550734847</v>
      </c>
      <c r="R3142">
        <v>0.12008051277343899</v>
      </c>
      <c r="S3142" t="s">
        <v>9812</v>
      </c>
      <c r="T3142" t="s">
        <v>13338</v>
      </c>
      <c r="U3142" t="s">
        <v>13338</v>
      </c>
      <c r="V3142" t="s">
        <v>13338</v>
      </c>
      <c r="W3142" t="s">
        <v>16434</v>
      </c>
      <c r="X3142">
        <v>14</v>
      </c>
      <c r="Y3142" t="s">
        <v>22978</v>
      </c>
      <c r="Z3142" t="s">
        <v>29557</v>
      </c>
      <c r="AA3142">
        <v>0.89743944190775982</v>
      </c>
      <c r="AB3142" t="str">
        <f>HYPERLINK("Melting_Curves/meltCurve_Q03013_GSTM4.pdf", "Melting_Curves/meltCurve_Q03013_GSTM4.pdf")</f>
        <v>Melting_Curves/meltCurve_Q03013_GSTM4.pdf</v>
      </c>
    </row>
    <row r="3143" spans="1:28" x14ac:dyDescent="0.25">
      <c r="A3143" t="s">
        <v>3147</v>
      </c>
      <c r="B3143">
        <v>0.99193492352474899</v>
      </c>
      <c r="C3143">
        <v>1.1178047914221001</v>
      </c>
      <c r="D3143">
        <v>0.71034996208039103</v>
      </c>
      <c r="E3143">
        <v>0.59731320081053096</v>
      </c>
      <c r="F3143">
        <v>0.271059021642447</v>
      </c>
      <c r="G3143">
        <v>0.118939486519673</v>
      </c>
      <c r="H3143">
        <v>5.6865894971462799E-2</v>
      </c>
      <c r="I3143">
        <v>4.3520343265241603E-2</v>
      </c>
      <c r="J3143">
        <v>6.5882876744094807E-2</v>
      </c>
      <c r="K3143">
        <v>5.0081155732663203E-2</v>
      </c>
      <c r="L3143">
        <v>916.98432997953296</v>
      </c>
      <c r="M3143">
        <v>18.364204060576999</v>
      </c>
      <c r="N3143">
        <v>50.143966241745197</v>
      </c>
      <c r="O3143">
        <v>49.352438279958399</v>
      </c>
      <c r="P3143">
        <v>-8.9575419666610395E-2</v>
      </c>
      <c r="Q3143">
        <v>3.7134578499730897E-2</v>
      </c>
      <c r="R3143">
        <v>0.97125359637374198</v>
      </c>
      <c r="S3143" t="s">
        <v>9813</v>
      </c>
      <c r="T3143" t="s">
        <v>13338</v>
      </c>
      <c r="U3143" t="s">
        <v>13338</v>
      </c>
      <c r="V3143" t="s">
        <v>13338</v>
      </c>
      <c r="W3143" t="s">
        <v>16435</v>
      </c>
      <c r="X3143">
        <v>4</v>
      </c>
      <c r="Y3143" t="s">
        <v>22979</v>
      </c>
      <c r="Z3143" t="s">
        <v>29558</v>
      </c>
      <c r="AA3143">
        <v>0.37176482968537028</v>
      </c>
      <c r="AB3143" t="str">
        <f>HYPERLINK("Melting_Curves/meltCurve_Q03111_MLLT1.pdf", "Melting_Curves/meltCurve_Q03111_MLLT1.pdf")</f>
        <v>Melting_Curves/meltCurve_Q03111_MLLT1.pdf</v>
      </c>
    </row>
    <row r="3144" spans="1:28" x14ac:dyDescent="0.25">
      <c r="A3144" t="s">
        <v>3148</v>
      </c>
      <c r="B3144">
        <v>0.99193492352474899</v>
      </c>
      <c r="C3144">
        <v>0.99634274402775802</v>
      </c>
      <c r="D3144">
        <v>0.93850361887293798</v>
      </c>
      <c r="E3144">
        <v>0.81203024620044495</v>
      </c>
      <c r="F3144">
        <v>0.66379713494338999</v>
      </c>
      <c r="G3144">
        <v>0.49180791289893699</v>
      </c>
      <c r="H3144">
        <v>0.42975116102060101</v>
      </c>
      <c r="I3144">
        <v>0.47288702519214898</v>
      </c>
      <c r="J3144">
        <v>0.51984473670227405</v>
      </c>
      <c r="K3144">
        <v>0.59061435692513298</v>
      </c>
      <c r="L3144">
        <v>1207.65266980618</v>
      </c>
      <c r="M3144">
        <v>23.774129884615199</v>
      </c>
      <c r="N3144">
        <v>63.9404902149439</v>
      </c>
      <c r="O3144">
        <v>50.4416015535136</v>
      </c>
      <c r="P3144">
        <v>-5.93604008593299E-2</v>
      </c>
      <c r="Q3144">
        <v>0.49622797048467499</v>
      </c>
      <c r="R3144">
        <v>0.95662331470385398</v>
      </c>
      <c r="S3144" t="s">
        <v>9814</v>
      </c>
      <c r="T3144" t="s">
        <v>13338</v>
      </c>
      <c r="U3144" t="s">
        <v>13338</v>
      </c>
      <c r="V3144" t="s">
        <v>13338</v>
      </c>
      <c r="W3144" t="s">
        <v>16436</v>
      </c>
      <c r="X3144">
        <v>5</v>
      </c>
      <c r="Y3144" t="s">
        <v>22980</v>
      </c>
      <c r="Z3144" t="s">
        <v>29559</v>
      </c>
      <c r="AA3144">
        <v>0.68254780047035724</v>
      </c>
      <c r="AB3144" t="str">
        <f>HYPERLINK("Melting_Curves/meltCurve_Q03405_PLAUR.pdf", "Melting_Curves/meltCurve_Q03405_PLAUR.pdf")</f>
        <v>Melting_Curves/meltCurve_Q03405_PLAUR.pdf</v>
      </c>
    </row>
    <row r="3145" spans="1:28" x14ac:dyDescent="0.25">
      <c r="A3145" t="s">
        <v>3149</v>
      </c>
      <c r="B3145">
        <v>0.99193492352474899</v>
      </c>
      <c r="C3145">
        <v>1.09201690352008</v>
      </c>
      <c r="D3145">
        <v>0.99411395217942</v>
      </c>
      <c r="E3145">
        <v>0.29340970538565703</v>
      </c>
      <c r="F3145">
        <v>0.18220011009408599</v>
      </c>
      <c r="G3145">
        <v>0.116244786872782</v>
      </c>
      <c r="H3145">
        <v>7.9240885738316794E-2</v>
      </c>
      <c r="I3145">
        <v>9.1021998470140295E-2</v>
      </c>
      <c r="J3145">
        <v>0.105447239215804</v>
      </c>
      <c r="K3145">
        <v>9.4759221635549507E-2</v>
      </c>
      <c r="L3145">
        <v>3474.5524560434701</v>
      </c>
      <c r="M3145">
        <v>71.393108967863498</v>
      </c>
      <c r="N3145">
        <v>48.839459699816302</v>
      </c>
      <c r="O3145">
        <v>48.629755838241401</v>
      </c>
      <c r="P3145">
        <v>-0.32631844174733898</v>
      </c>
      <c r="Q3145">
        <v>0.110906796038929</v>
      </c>
      <c r="R3145">
        <v>0.99110080235979403</v>
      </c>
      <c r="S3145" t="s">
        <v>9815</v>
      </c>
      <c r="T3145" t="s">
        <v>13338</v>
      </c>
      <c r="U3145" t="s">
        <v>13338</v>
      </c>
      <c r="V3145" t="s">
        <v>13338</v>
      </c>
      <c r="W3145" t="s">
        <v>16437</v>
      </c>
      <c r="X3145">
        <v>6</v>
      </c>
      <c r="Y3145" t="s">
        <v>22981</v>
      </c>
      <c r="Z3145" t="s">
        <v>29560</v>
      </c>
      <c r="AA3145">
        <v>0.36872590862322141</v>
      </c>
      <c r="AB3145" t="str">
        <f>HYPERLINK("Melting_Curves/meltCurve_Q03519_TAP2.pdf", "Melting_Curves/meltCurve_Q03519_TAP2.pdf")</f>
        <v>Melting_Curves/meltCurve_Q03519_TAP2.pdf</v>
      </c>
    </row>
    <row r="3146" spans="1:28" x14ac:dyDescent="0.25">
      <c r="A3146" t="s">
        <v>3150</v>
      </c>
      <c r="B3146">
        <v>0.99193492352474899</v>
      </c>
      <c r="C3146">
        <v>1.0074481158041499</v>
      </c>
      <c r="D3146">
        <v>0.85048037459606096</v>
      </c>
      <c r="E3146">
        <v>0.309109134796486</v>
      </c>
      <c r="F3146">
        <v>0.24193025209705199</v>
      </c>
      <c r="G3146">
        <v>0.119839898478331</v>
      </c>
      <c r="H3146">
        <v>8.0172896736025095E-2</v>
      </c>
      <c r="I3146">
        <v>8.4588197458348793E-2</v>
      </c>
      <c r="J3146">
        <v>0.100900826841914</v>
      </c>
      <c r="K3146">
        <v>0.10001128873066201</v>
      </c>
      <c r="L3146">
        <v>1606.15218602757</v>
      </c>
      <c r="M3146">
        <v>33.431751873914699</v>
      </c>
      <c r="N3146">
        <v>48.404586409017099</v>
      </c>
      <c r="O3146">
        <v>47.8717983861889</v>
      </c>
      <c r="P3146">
        <v>-0.15528558561004799</v>
      </c>
      <c r="Q3146">
        <v>0.110573827973038</v>
      </c>
      <c r="R3146">
        <v>0.99059194200216505</v>
      </c>
      <c r="S3146" t="s">
        <v>9816</v>
      </c>
      <c r="T3146" t="s">
        <v>13338</v>
      </c>
      <c r="U3146" t="s">
        <v>13338</v>
      </c>
      <c r="V3146" t="s">
        <v>13338</v>
      </c>
      <c r="W3146" t="s">
        <v>16438</v>
      </c>
      <c r="X3146">
        <v>10</v>
      </c>
      <c r="Y3146" t="s">
        <v>22982</v>
      </c>
      <c r="Z3146" t="s">
        <v>29561</v>
      </c>
      <c r="AA3146">
        <v>0.35329758825862989</v>
      </c>
      <c r="AB3146" t="str">
        <f>HYPERLINK("Melting_Curves/meltCurve_Q04446_GBE1.pdf", "Melting_Curves/meltCurve_Q04446_GBE1.pdf")</f>
        <v>Melting_Curves/meltCurve_Q04446_GBE1.pdf</v>
      </c>
    </row>
    <row r="3147" spans="1:28" x14ac:dyDescent="0.25">
      <c r="A3147" t="s">
        <v>3151</v>
      </c>
      <c r="B3147">
        <v>0.99193492352474899</v>
      </c>
      <c r="C3147">
        <v>0.78346693703176196</v>
      </c>
      <c r="D3147">
        <v>0.83962274636116296</v>
      </c>
      <c r="E3147">
        <v>0.54973276493481604</v>
      </c>
      <c r="F3147">
        <v>0.24637831734049501</v>
      </c>
      <c r="G3147">
        <v>0.164081761157853</v>
      </c>
      <c r="H3147">
        <v>0.109560907687992</v>
      </c>
      <c r="I3147">
        <v>5.8039991460892802E-2</v>
      </c>
      <c r="J3147">
        <v>8.2181136009943506E-2</v>
      </c>
      <c r="K3147">
        <v>4.1738533318367702E-2</v>
      </c>
      <c r="L3147">
        <v>729.98991438096004</v>
      </c>
      <c r="M3147">
        <v>14.7050297716826</v>
      </c>
      <c r="N3147">
        <v>49.891964479520702</v>
      </c>
      <c r="O3147">
        <v>48.751247654527702</v>
      </c>
      <c r="P3147">
        <v>-7.2740449773088203E-2</v>
      </c>
      <c r="Q3147">
        <v>3.5486383525926597E-2</v>
      </c>
      <c r="R3147">
        <v>0.97832917752569504</v>
      </c>
      <c r="S3147" t="s">
        <v>9817</v>
      </c>
      <c r="T3147" t="s">
        <v>13338</v>
      </c>
      <c r="U3147" t="s">
        <v>13338</v>
      </c>
      <c r="V3147" t="s">
        <v>13338</v>
      </c>
      <c r="W3147" t="s">
        <v>16439</v>
      </c>
      <c r="X3147">
        <v>3</v>
      </c>
      <c r="Y3147" t="s">
        <v>22983</v>
      </c>
      <c r="Z3147" t="s">
        <v>29562</v>
      </c>
      <c r="AA3147">
        <v>0.36960790621479023</v>
      </c>
      <c r="AB3147" t="str">
        <f>HYPERLINK("Melting_Curves/meltCurve_Q04656_5_ATP7A.pdf", "Melting_Curves/meltCurve_Q04656_5_ATP7A.pdf")</f>
        <v>Melting_Curves/meltCurve_Q04656_5_ATP7A.pdf</v>
      </c>
    </row>
    <row r="3148" spans="1:28" x14ac:dyDescent="0.25">
      <c r="A3148" t="s">
        <v>3152</v>
      </c>
      <c r="B3148">
        <v>0.99193492352474899</v>
      </c>
      <c r="C3148">
        <v>0.97065903359476002</v>
      </c>
      <c r="D3148">
        <v>0.88096692257099396</v>
      </c>
      <c r="E3148">
        <v>0.75053823567981404</v>
      </c>
      <c r="F3148">
        <v>0.54741261496834703</v>
      </c>
      <c r="G3148">
        <v>0.47020595072863203</v>
      </c>
      <c r="H3148">
        <v>0.37994366954580699</v>
      </c>
      <c r="I3148">
        <v>0.44568862644575702</v>
      </c>
      <c r="J3148">
        <v>0.42488118305010902</v>
      </c>
      <c r="K3148">
        <v>0.51287141477352205</v>
      </c>
      <c r="L3148">
        <v>1013.18750301459</v>
      </c>
      <c r="M3148">
        <v>20.382337423319399</v>
      </c>
      <c r="N3148">
        <v>55.237485687771901</v>
      </c>
      <c r="O3148">
        <v>49.238016330856397</v>
      </c>
      <c r="P3148">
        <v>-5.84747822434801E-2</v>
      </c>
      <c r="Q3148">
        <v>0.43498229334220101</v>
      </c>
      <c r="R3148">
        <v>0.97578853777069297</v>
      </c>
      <c r="S3148" t="s">
        <v>9818</v>
      </c>
      <c r="T3148" t="s">
        <v>13338</v>
      </c>
      <c r="U3148" t="s">
        <v>13338</v>
      </c>
      <c r="V3148" t="s">
        <v>13338</v>
      </c>
      <c r="W3148" t="s">
        <v>16440</v>
      </c>
      <c r="X3148">
        <v>3</v>
      </c>
      <c r="Y3148" t="s">
        <v>22984</v>
      </c>
      <c r="Z3148" t="s">
        <v>29563</v>
      </c>
      <c r="AA3148">
        <v>0.62542891828901637</v>
      </c>
      <c r="AB3148" t="str">
        <f>HYPERLINK("Melting_Curves/meltCurve_Q04721_NOTCH2.pdf", "Melting_Curves/meltCurve_Q04721_NOTCH2.pdf")</f>
        <v>Melting_Curves/meltCurve_Q04721_NOTCH2.pdf</v>
      </c>
    </row>
    <row r="3149" spans="1:28" x14ac:dyDescent="0.25">
      <c r="A3149" t="s">
        <v>3153</v>
      </c>
      <c r="B3149">
        <v>0.99193492352474899</v>
      </c>
      <c r="C3149">
        <v>0.98748957808770299</v>
      </c>
      <c r="D3149">
        <v>0.88153244235297201</v>
      </c>
      <c r="E3149">
        <v>0.60424646061170295</v>
      </c>
      <c r="F3149">
        <v>0.25053663106301299</v>
      </c>
      <c r="G3149">
        <v>0.126542925650038</v>
      </c>
      <c r="H3149">
        <v>6.8221343828764297E-2</v>
      </c>
      <c r="I3149">
        <v>8.5062653812081501E-2</v>
      </c>
      <c r="J3149">
        <v>9.6404564031115095E-2</v>
      </c>
      <c r="K3149">
        <v>9.8302923002398096E-2</v>
      </c>
      <c r="L3149">
        <v>1210.6050695250699</v>
      </c>
      <c r="M3149">
        <v>24.190209641908702</v>
      </c>
      <c r="N3149">
        <v>50.412821007705197</v>
      </c>
      <c r="O3149">
        <v>49.707003422933902</v>
      </c>
      <c r="P3149">
        <v>-0.111829369816126</v>
      </c>
      <c r="Q3149">
        <v>8.0848361065436095E-2</v>
      </c>
      <c r="R3149">
        <v>0.99874448460354703</v>
      </c>
      <c r="S3149" t="s">
        <v>9819</v>
      </c>
      <c r="T3149" t="s">
        <v>13338</v>
      </c>
      <c r="U3149" t="s">
        <v>13338</v>
      </c>
      <c r="V3149" t="s">
        <v>13338</v>
      </c>
      <c r="W3149" t="s">
        <v>16441</v>
      </c>
      <c r="X3149">
        <v>15</v>
      </c>
      <c r="Y3149" t="s">
        <v>22985</v>
      </c>
      <c r="Z3149" t="s">
        <v>29564</v>
      </c>
      <c r="AA3149">
        <v>0.39739879032117797</v>
      </c>
      <c r="AB3149" t="str">
        <f>HYPERLINK("Melting_Curves/meltCurve_Q04759_PRKCQ.pdf", "Melting_Curves/meltCurve_Q04759_PRKCQ.pdf")</f>
        <v>Melting_Curves/meltCurve_Q04759_PRKCQ.pdf</v>
      </c>
    </row>
    <row r="3150" spans="1:28" x14ac:dyDescent="0.25">
      <c r="A3150" t="s">
        <v>3154</v>
      </c>
      <c r="B3150">
        <v>0.99193492352474899</v>
      </c>
      <c r="C3150">
        <v>0.91608454360680003</v>
      </c>
      <c r="D3150">
        <v>0.87963727977971795</v>
      </c>
      <c r="E3150">
        <v>0.80189028934425</v>
      </c>
      <c r="F3150">
        <v>0.650984154210972</v>
      </c>
      <c r="G3150">
        <v>0.53180310449301704</v>
      </c>
      <c r="H3150">
        <v>0.364110111205734</v>
      </c>
      <c r="I3150">
        <v>0.241861673111643</v>
      </c>
      <c r="J3150">
        <v>0.19708466800360999</v>
      </c>
      <c r="K3150">
        <v>0.18704634921722399</v>
      </c>
      <c r="L3150">
        <v>504.897792439216</v>
      </c>
      <c r="M3150">
        <v>8.8586633517189206</v>
      </c>
      <c r="N3150">
        <v>56.994816109385802</v>
      </c>
      <c r="O3150">
        <v>54.314641281552497</v>
      </c>
      <c r="P3150">
        <v>-4.0806188327053197E-2</v>
      </c>
      <c r="Q3150">
        <v>0</v>
      </c>
      <c r="R3150">
        <v>0.99546473171683003</v>
      </c>
      <c r="S3150" t="s">
        <v>9820</v>
      </c>
      <c r="T3150" t="s">
        <v>13338</v>
      </c>
      <c r="U3150" t="s">
        <v>13338</v>
      </c>
      <c r="V3150" t="s">
        <v>13338</v>
      </c>
      <c r="W3150" t="s">
        <v>16442</v>
      </c>
      <c r="X3150">
        <v>14</v>
      </c>
      <c r="Y3150" t="s">
        <v>22986</v>
      </c>
      <c r="Z3150" t="s">
        <v>29565</v>
      </c>
      <c r="AA3150">
        <v>0.5806062016977751</v>
      </c>
      <c r="AB3150" t="str">
        <f>HYPERLINK("Melting_Curves/meltCurve_Q04760_2_GLO1.pdf", "Melting_Curves/meltCurve_Q04760_2_GLO1.pdf")</f>
        <v>Melting_Curves/meltCurve_Q04760_2_GLO1.pdf</v>
      </c>
    </row>
    <row r="3151" spans="1:28" x14ac:dyDescent="0.25">
      <c r="A3151" t="s">
        <v>3155</v>
      </c>
      <c r="B3151">
        <v>0.99193492352474899</v>
      </c>
      <c r="C3151">
        <v>0.94949415307276896</v>
      </c>
      <c r="D3151">
        <v>0.897032614715218</v>
      </c>
      <c r="E3151">
        <v>0.77376817904097395</v>
      </c>
      <c r="F3151">
        <v>0.62373942351642397</v>
      </c>
      <c r="G3151">
        <v>0.45150039384085</v>
      </c>
      <c r="H3151">
        <v>0.45878866353570202</v>
      </c>
      <c r="I3151">
        <v>0.53139823612972503</v>
      </c>
      <c r="J3151">
        <v>0.64565987629605504</v>
      </c>
      <c r="K3151">
        <v>0.58068780202500203</v>
      </c>
      <c r="L3151">
        <v>1145.79365640746</v>
      </c>
      <c r="M3151">
        <v>23.288875374255301</v>
      </c>
      <c r="O3151">
        <v>48.840722086552702</v>
      </c>
      <c r="P3151">
        <v>-5.5506594139455703E-2</v>
      </c>
      <c r="Q3151">
        <v>0.53438118263520695</v>
      </c>
      <c r="R3151">
        <v>0.90441552593254304</v>
      </c>
      <c r="S3151" t="s">
        <v>9821</v>
      </c>
      <c r="T3151" t="s">
        <v>13338</v>
      </c>
      <c r="U3151" t="s">
        <v>13338</v>
      </c>
      <c r="V3151" t="s">
        <v>13338</v>
      </c>
      <c r="W3151" t="s">
        <v>16443</v>
      </c>
      <c r="X3151">
        <v>13</v>
      </c>
      <c r="Y3151" t="s">
        <v>22987</v>
      </c>
      <c r="Z3151" t="s">
        <v>29566</v>
      </c>
      <c r="AA3151">
        <v>0.68193578637959795</v>
      </c>
      <c r="AB3151" t="str">
        <f>HYPERLINK("Melting_Curves/meltCurve_Q04837_SSBP1.pdf", "Melting_Curves/meltCurve_Q04837_SSBP1.pdf")</f>
        <v>Melting_Curves/meltCurve_Q04837_SSBP1.pdf</v>
      </c>
    </row>
    <row r="3152" spans="1:28" x14ac:dyDescent="0.25">
      <c r="A3152" t="s">
        <v>3156</v>
      </c>
      <c r="B3152">
        <v>0.99193492352474899</v>
      </c>
      <c r="C3152">
        <v>0.88605599253825096</v>
      </c>
      <c r="D3152">
        <v>0.91389152107872995</v>
      </c>
      <c r="E3152">
        <v>0.75352454483204001</v>
      </c>
      <c r="F3152">
        <v>0.47190292875201501</v>
      </c>
      <c r="G3152">
        <v>0.22033873624188699</v>
      </c>
      <c r="H3152">
        <v>0.101419876913413</v>
      </c>
      <c r="I3152">
        <v>0.111694972942199</v>
      </c>
      <c r="J3152">
        <v>0.12563327955165099</v>
      </c>
      <c r="K3152">
        <v>0.121553711641052</v>
      </c>
      <c r="L3152">
        <v>988.82066285620897</v>
      </c>
      <c r="M3152">
        <v>19.013068636982101</v>
      </c>
      <c r="N3152">
        <v>52.554918380695902</v>
      </c>
      <c r="O3152">
        <v>51.4423448590817</v>
      </c>
      <c r="P3152">
        <v>-8.4101707177255194E-2</v>
      </c>
      <c r="Q3152">
        <v>8.9843481354211302E-2</v>
      </c>
      <c r="R3152">
        <v>0.98907656613274997</v>
      </c>
      <c r="S3152" t="s">
        <v>9822</v>
      </c>
      <c r="T3152" t="s">
        <v>13338</v>
      </c>
      <c r="U3152" t="s">
        <v>13338</v>
      </c>
      <c r="V3152" t="s">
        <v>13338</v>
      </c>
      <c r="W3152" t="s">
        <v>16444</v>
      </c>
      <c r="X3152">
        <v>20</v>
      </c>
      <c r="Y3152" t="s">
        <v>22988</v>
      </c>
      <c r="Z3152" t="s">
        <v>29567</v>
      </c>
      <c r="AA3152">
        <v>0.46790779784852188</v>
      </c>
      <c r="AB3152" t="str">
        <f>HYPERLINK("Melting_Curves/meltCurve_Q04917_YWHAH.pdf", "Melting_Curves/meltCurve_Q04917_YWHAH.pdf")</f>
        <v>Melting_Curves/meltCurve_Q04917_YWHAH.pdf</v>
      </c>
    </row>
    <row r="3153" spans="1:28" x14ac:dyDescent="0.25">
      <c r="A3153" t="s">
        <v>3157</v>
      </c>
      <c r="B3153">
        <v>0.99193492352474899</v>
      </c>
      <c r="C3153">
        <v>0.87264969338550802</v>
      </c>
      <c r="D3153">
        <v>0.83849193744572303</v>
      </c>
      <c r="E3153">
        <v>0.66767725023074898</v>
      </c>
      <c r="F3153">
        <v>0.43240162647533698</v>
      </c>
      <c r="G3153">
        <v>0.300062755370539</v>
      </c>
      <c r="H3153">
        <v>0.24385460547781301</v>
      </c>
      <c r="I3153">
        <v>0.43151066495099899</v>
      </c>
      <c r="J3153">
        <v>0.24322775842524599</v>
      </c>
      <c r="K3153">
        <v>0.49096447098079199</v>
      </c>
      <c r="L3153">
        <v>940.75457291377404</v>
      </c>
      <c r="M3153">
        <v>19.280535533368798</v>
      </c>
      <c r="N3153">
        <v>51.724626294939398</v>
      </c>
      <c r="O3153">
        <v>48.277175055357603</v>
      </c>
      <c r="P3153">
        <v>-6.6661691110843996E-2</v>
      </c>
      <c r="Q3153">
        <v>0.33235946698731</v>
      </c>
      <c r="R3153">
        <v>0.90026355257309998</v>
      </c>
      <c r="S3153" t="s">
        <v>9823</v>
      </c>
      <c r="T3153" t="s">
        <v>13338</v>
      </c>
      <c r="U3153" t="s">
        <v>13338</v>
      </c>
      <c r="V3153" t="s">
        <v>13338</v>
      </c>
      <c r="W3153" t="s">
        <v>16445</v>
      </c>
      <c r="X3153">
        <v>1</v>
      </c>
      <c r="Y3153" t="s">
        <v>22989</v>
      </c>
      <c r="Z3153" t="s">
        <v>29568</v>
      </c>
      <c r="AA3153">
        <v>0.53814543219143873</v>
      </c>
      <c r="AB3153" t="str">
        <f>HYPERLINK("Melting_Curves/meltCurve_Q04941_PLP2.pdf", "Melting_Curves/meltCurve_Q04941_PLP2.pdf")</f>
        <v>Melting_Curves/meltCurve_Q04941_PLP2.pdf</v>
      </c>
    </row>
    <row r="3154" spans="1:28" x14ac:dyDescent="0.25">
      <c r="A3154" t="s">
        <v>3158</v>
      </c>
      <c r="B3154">
        <v>0.99193492352474899</v>
      </c>
      <c r="C3154">
        <v>1.1321363909434501</v>
      </c>
      <c r="D3154">
        <v>1.31138409861034</v>
      </c>
      <c r="E3154">
        <v>1.1355170759434401</v>
      </c>
      <c r="F3154">
        <v>0.83444608680120902</v>
      </c>
      <c r="G3154">
        <v>0.47013564783023398</v>
      </c>
      <c r="H3154">
        <v>0.26562061894728001</v>
      </c>
      <c r="I3154">
        <v>0.24484804811980099</v>
      </c>
      <c r="J3154">
        <v>0.21177266897456001</v>
      </c>
      <c r="K3154">
        <v>0.25778413423834601</v>
      </c>
      <c r="L3154">
        <v>2053.0933569479498</v>
      </c>
      <c r="M3154">
        <v>37.048713169507799</v>
      </c>
      <c r="N3154">
        <v>56.398387363620998</v>
      </c>
      <c r="O3154">
        <v>55.255339990932299</v>
      </c>
      <c r="P3154">
        <v>-0.12777263365313901</v>
      </c>
      <c r="Q3154">
        <v>0.23774946631972599</v>
      </c>
      <c r="R3154">
        <v>0.92035489790001301</v>
      </c>
      <c r="S3154" t="s">
        <v>9824</v>
      </c>
      <c r="T3154" t="s">
        <v>13338</v>
      </c>
      <c r="U3154" t="s">
        <v>13338</v>
      </c>
      <c r="V3154" t="s">
        <v>13338</v>
      </c>
      <c r="W3154" t="s">
        <v>16446</v>
      </c>
      <c r="X3154">
        <v>12</v>
      </c>
      <c r="Y3154" t="s">
        <v>22990</v>
      </c>
      <c r="Z3154" t="s">
        <v>29569</v>
      </c>
      <c r="AA3154">
        <v>0.63282645175139607</v>
      </c>
      <c r="AB3154" t="str">
        <f>HYPERLINK("Melting_Curves/meltCurve_Q05048_CSTF1.pdf", "Melting_Curves/meltCurve_Q05048_CSTF1.pdf")</f>
        <v>Melting_Curves/meltCurve_Q05048_CSTF1.pdf</v>
      </c>
    </row>
    <row r="3155" spans="1:28" x14ac:dyDescent="0.25">
      <c r="A3155" t="s">
        <v>3159</v>
      </c>
      <c r="B3155">
        <v>0.99193492352474899</v>
      </c>
      <c r="C3155">
        <v>0.97092385360410105</v>
      </c>
      <c r="D3155">
        <v>1.0058921452399801</v>
      </c>
      <c r="E3155">
        <v>0.81832627374232703</v>
      </c>
      <c r="F3155">
        <v>0.27858523648427502</v>
      </c>
      <c r="G3155">
        <v>0.13577774874554899</v>
      </c>
      <c r="H3155">
        <v>8.4223740595616395E-2</v>
      </c>
      <c r="I3155">
        <v>8.6080725308051304E-2</v>
      </c>
      <c r="J3155">
        <v>9.9931411243816007E-2</v>
      </c>
      <c r="K3155">
        <v>8.5625097625313798E-2</v>
      </c>
      <c r="L3155">
        <v>1986.1381726212301</v>
      </c>
      <c r="M3155">
        <v>38.661146702094499</v>
      </c>
      <c r="N3155">
        <v>51.646742458224203</v>
      </c>
      <c r="O3155">
        <v>51.236105545733203</v>
      </c>
      <c r="P3155">
        <v>-0.17116543794671599</v>
      </c>
      <c r="Q3155">
        <v>9.2646730072212996E-2</v>
      </c>
      <c r="R3155">
        <v>0.99887926808126803</v>
      </c>
      <c r="S3155" t="s">
        <v>9825</v>
      </c>
      <c r="T3155" t="s">
        <v>13338</v>
      </c>
      <c r="U3155" t="s">
        <v>13338</v>
      </c>
      <c r="V3155" t="s">
        <v>13338</v>
      </c>
      <c r="W3155" t="s">
        <v>16447</v>
      </c>
      <c r="X3155">
        <v>28</v>
      </c>
      <c r="Y3155" t="s">
        <v>22991</v>
      </c>
      <c r="Z3155" t="s">
        <v>29570</v>
      </c>
      <c r="AA3155">
        <v>0.44007353572067948</v>
      </c>
      <c r="AB3155" t="str">
        <f>HYPERLINK("Melting_Curves/meltCurve_Q05086_3_UBE3A.pdf", "Melting_Curves/meltCurve_Q05086_3_UBE3A.pdf")</f>
        <v>Melting_Curves/meltCurve_Q05086_3_UBE3A.pdf</v>
      </c>
    </row>
    <row r="3156" spans="1:28" x14ac:dyDescent="0.25">
      <c r="A3156" t="s">
        <v>3160</v>
      </c>
      <c r="B3156">
        <v>0.99193492352474899</v>
      </c>
      <c r="C3156">
        <v>0.99561059724678802</v>
      </c>
      <c r="D3156">
        <v>0.87787588104111403</v>
      </c>
      <c r="E3156">
        <v>0.51382061704601401</v>
      </c>
      <c r="F3156">
        <v>0.243863684166746</v>
      </c>
      <c r="G3156">
        <v>0.13608626037037799</v>
      </c>
      <c r="H3156">
        <v>7.5112797985957797E-2</v>
      </c>
      <c r="I3156">
        <v>9.1485780196737906E-2</v>
      </c>
      <c r="J3156">
        <v>8.99583192853214E-2</v>
      </c>
      <c r="K3156">
        <v>0.101397082844701</v>
      </c>
      <c r="L3156">
        <v>1193.7266829091</v>
      </c>
      <c r="M3156">
        <v>24.1462497364417</v>
      </c>
      <c r="N3156">
        <v>49.843988420319</v>
      </c>
      <c r="O3156">
        <v>49.102012498268202</v>
      </c>
      <c r="P3156">
        <v>-0.111950271500919</v>
      </c>
      <c r="Q3156">
        <v>8.9399166164349897E-2</v>
      </c>
      <c r="R3156">
        <v>0.99890343093407596</v>
      </c>
      <c r="S3156" t="s">
        <v>9826</v>
      </c>
      <c r="T3156" t="s">
        <v>13338</v>
      </c>
      <c r="U3156" t="s">
        <v>13338</v>
      </c>
      <c r="V3156" t="s">
        <v>13338</v>
      </c>
      <c r="W3156" t="s">
        <v>16448</v>
      </c>
      <c r="X3156">
        <v>22</v>
      </c>
      <c r="Y3156" t="s">
        <v>22992</v>
      </c>
      <c r="Z3156" t="s">
        <v>29571</v>
      </c>
      <c r="AA3156">
        <v>0.38454394820824978</v>
      </c>
      <c r="AB3156" t="str">
        <f>HYPERLINK("Melting_Curves/meltCurve_Q05193_3_DNM1.pdf", "Melting_Curves/meltCurve_Q05193_3_DNM1.pdf")</f>
        <v>Melting_Curves/meltCurve_Q05193_3_DNM1.pdf</v>
      </c>
    </row>
    <row r="3157" spans="1:28" x14ac:dyDescent="0.25">
      <c r="A3157" t="s">
        <v>3161</v>
      </c>
      <c r="B3157">
        <v>0.99193492352474899</v>
      </c>
      <c r="C3157">
        <v>0.80301614865703497</v>
      </c>
      <c r="D3157">
        <v>0.74253994826457104</v>
      </c>
      <c r="E3157">
        <v>0.45190895623063199</v>
      </c>
      <c r="F3157">
        <v>0.16778181442145901</v>
      </c>
      <c r="G3157">
        <v>0.105154841015984</v>
      </c>
      <c r="H3157">
        <v>7.9298753186990006E-2</v>
      </c>
      <c r="I3157">
        <v>0.15679710759371199</v>
      </c>
      <c r="J3157">
        <v>0.200040553368771</v>
      </c>
      <c r="K3157">
        <v>0.33964365190992302</v>
      </c>
      <c r="L3157">
        <v>974.51345044227401</v>
      </c>
      <c r="M3157">
        <v>20.5836376754519</v>
      </c>
      <c r="N3157">
        <v>48.270412071247101</v>
      </c>
      <c r="O3157">
        <v>46.904017850208902</v>
      </c>
      <c r="P3157">
        <v>-9.18133175307905E-2</v>
      </c>
      <c r="Q3157">
        <v>0.16316280935746</v>
      </c>
      <c r="R3157">
        <v>0.92910759952658095</v>
      </c>
      <c r="S3157" t="s">
        <v>9827</v>
      </c>
      <c r="T3157" t="s">
        <v>13338</v>
      </c>
      <c r="U3157" t="s">
        <v>13338</v>
      </c>
      <c r="V3157" t="s">
        <v>13338</v>
      </c>
      <c r="W3157" t="s">
        <v>16449</v>
      </c>
      <c r="X3157">
        <v>10</v>
      </c>
      <c r="Y3157" t="s">
        <v>22993</v>
      </c>
      <c r="Z3157" t="s">
        <v>29572</v>
      </c>
      <c r="AA3157">
        <v>0.37938572780411473</v>
      </c>
      <c r="AB3157" t="str">
        <f>HYPERLINK("Melting_Curves/meltCurve_Q05519_2_SRSF11.pdf", "Melting_Curves/meltCurve_Q05519_2_SRSF11.pdf")</f>
        <v>Melting_Curves/meltCurve_Q05519_2_SRSF11.pdf</v>
      </c>
    </row>
    <row r="3158" spans="1:28" x14ac:dyDescent="0.25">
      <c r="A3158" t="s">
        <v>3162</v>
      </c>
      <c r="B3158">
        <v>0.99193492352474899</v>
      </c>
      <c r="C3158">
        <v>0.79428064180966895</v>
      </c>
      <c r="D3158">
        <v>0.93977138932187898</v>
      </c>
      <c r="E3158">
        <v>0.69398761758568395</v>
      </c>
      <c r="F3158">
        <v>0.59397848800135999</v>
      </c>
      <c r="G3158">
        <v>0.44845826607051997</v>
      </c>
      <c r="H3158">
        <v>0.24613951293825501</v>
      </c>
      <c r="I3158">
        <v>0.13791471900379701</v>
      </c>
      <c r="J3158">
        <v>0.15478912214875001</v>
      </c>
      <c r="K3158">
        <v>0.157516851118814</v>
      </c>
      <c r="L3158">
        <v>517.17581963602504</v>
      </c>
      <c r="M3158">
        <v>9.4570044159549695</v>
      </c>
      <c r="N3158">
        <v>54.6870654221647</v>
      </c>
      <c r="O3158">
        <v>52.409150720562799</v>
      </c>
      <c r="P3158">
        <v>-4.5138565620969899E-2</v>
      </c>
      <c r="Q3158">
        <v>0</v>
      </c>
      <c r="R3158">
        <v>0.96371381515093901</v>
      </c>
      <c r="S3158" t="s">
        <v>9828</v>
      </c>
      <c r="T3158" t="s">
        <v>13338</v>
      </c>
      <c r="U3158" t="s">
        <v>13338</v>
      </c>
      <c r="V3158" t="s">
        <v>13338</v>
      </c>
      <c r="W3158" t="s">
        <v>16450</v>
      </c>
      <c r="X3158">
        <v>20</v>
      </c>
      <c r="Y3158" t="s">
        <v>22994</v>
      </c>
      <c r="Z3158" t="s">
        <v>29573</v>
      </c>
      <c r="AA3158">
        <v>0.51753217598358892</v>
      </c>
      <c r="AB3158" t="str">
        <f>HYPERLINK("Melting_Curves/meltCurve_Q05639_EEF1A2.pdf", "Melting_Curves/meltCurve_Q05639_EEF1A2.pdf")</f>
        <v>Melting_Curves/meltCurve_Q05639_EEF1A2.pdf</v>
      </c>
    </row>
    <row r="3159" spans="1:28" x14ac:dyDescent="0.25">
      <c r="A3159" t="s">
        <v>3163</v>
      </c>
      <c r="B3159">
        <v>0.99193492352474899</v>
      </c>
      <c r="C3159">
        <v>1.01042857060137</v>
      </c>
      <c r="D3159">
        <v>0.92450520754114696</v>
      </c>
      <c r="E3159">
        <v>0.76168682456287695</v>
      </c>
      <c r="F3159">
        <v>0.37342522599265798</v>
      </c>
      <c r="G3159">
        <v>0.153480051289584</v>
      </c>
      <c r="H3159">
        <v>8.82026840898468E-2</v>
      </c>
      <c r="I3159">
        <v>0.100280874864701</v>
      </c>
      <c r="J3159">
        <v>9.6290970050382299E-2</v>
      </c>
      <c r="K3159">
        <v>9.3631534931443494E-2</v>
      </c>
      <c r="L3159">
        <v>1310.4388113689899</v>
      </c>
      <c r="M3159">
        <v>25.428289377176601</v>
      </c>
      <c r="N3159">
        <v>51.918840409214802</v>
      </c>
      <c r="O3159">
        <v>51.2191361349959</v>
      </c>
      <c r="P3159">
        <v>-0.113473202387476</v>
      </c>
      <c r="Q3159">
        <v>8.5754444098233407E-2</v>
      </c>
      <c r="R3159">
        <v>0.99858741481103797</v>
      </c>
      <c r="S3159" t="s">
        <v>9829</v>
      </c>
      <c r="T3159" t="s">
        <v>13338</v>
      </c>
      <c r="U3159" t="s">
        <v>13338</v>
      </c>
      <c r="V3159" t="s">
        <v>13338</v>
      </c>
      <c r="W3159" t="s">
        <v>16451</v>
      </c>
      <c r="X3159">
        <v>18</v>
      </c>
      <c r="Y3159" t="s">
        <v>22995</v>
      </c>
      <c r="Z3159" t="s">
        <v>29574</v>
      </c>
      <c r="AA3159">
        <v>0.44530863028869039</v>
      </c>
      <c r="AB3159" t="str">
        <f>HYPERLINK("Melting_Curves/meltCurve_Q05655_PRKCD.pdf", "Melting_Curves/meltCurve_Q05655_PRKCD.pdf")</f>
        <v>Melting_Curves/meltCurve_Q05655_PRKCD.pdf</v>
      </c>
    </row>
    <row r="3160" spans="1:28" x14ac:dyDescent="0.25">
      <c r="A3160" t="s">
        <v>3164</v>
      </c>
      <c r="B3160">
        <v>0.99193492352474899</v>
      </c>
      <c r="C3160">
        <v>0.94401704127616903</v>
      </c>
      <c r="D3160">
        <v>0.48475194038602099</v>
      </c>
      <c r="E3160">
        <v>0.21941387807128401</v>
      </c>
      <c r="F3160">
        <v>0.188682935825012</v>
      </c>
      <c r="G3160">
        <v>9.2232142934412203E-2</v>
      </c>
      <c r="H3160">
        <v>3.9700029365940998E-2</v>
      </c>
      <c r="I3160">
        <v>6.43127888263752E-2</v>
      </c>
      <c r="J3160">
        <v>9.7500821153121101E-2</v>
      </c>
      <c r="K3160">
        <v>0.101807121691024</v>
      </c>
      <c r="L3160">
        <v>1360.6805907668099</v>
      </c>
      <c r="M3160">
        <v>29.695225307188601</v>
      </c>
      <c r="N3160">
        <v>46.158093535927897</v>
      </c>
      <c r="O3160">
        <v>45.6152338901706</v>
      </c>
      <c r="P3160">
        <v>-0.14690685770117101</v>
      </c>
      <c r="Q3160">
        <v>9.7343771547620098E-2</v>
      </c>
      <c r="R3160">
        <v>0.98673391137739097</v>
      </c>
      <c r="S3160" t="s">
        <v>9830</v>
      </c>
      <c r="T3160" t="s">
        <v>13338</v>
      </c>
      <c r="U3160" t="s">
        <v>13338</v>
      </c>
      <c r="V3160" t="s">
        <v>13338</v>
      </c>
      <c r="W3160" t="s">
        <v>16452</v>
      </c>
      <c r="X3160">
        <v>2</v>
      </c>
      <c r="Y3160" t="s">
        <v>22996</v>
      </c>
      <c r="Z3160" t="s">
        <v>29575</v>
      </c>
      <c r="AA3160">
        <v>0.27816941759455621</v>
      </c>
      <c r="AB3160" t="str">
        <f>HYPERLINK("Melting_Curves/meltCurve_Q05932_3_FPGS.pdf", "Melting_Curves/meltCurve_Q05932_3_FPGS.pdf")</f>
        <v>Melting_Curves/meltCurve_Q05932_3_FPGS.pdf</v>
      </c>
    </row>
    <row r="3161" spans="1:28" x14ac:dyDescent="0.25">
      <c r="A3161" t="s">
        <v>3165</v>
      </c>
      <c r="B3161">
        <v>0.99193492352474899</v>
      </c>
      <c r="C3161">
        <v>0.96608582076399596</v>
      </c>
      <c r="D3161">
        <v>0.86968589492971604</v>
      </c>
      <c r="E3161">
        <v>0.781295422030586</v>
      </c>
      <c r="F3161">
        <v>0.21732589378776501</v>
      </c>
      <c r="G3161">
        <v>0.132156716855971</v>
      </c>
      <c r="H3161">
        <v>8.5473071023184702E-2</v>
      </c>
      <c r="I3161">
        <v>9.64836776677932E-2</v>
      </c>
      <c r="J3161">
        <v>0.104498849543077</v>
      </c>
      <c r="K3161">
        <v>0.122195331018213</v>
      </c>
      <c r="L3161">
        <v>2022.8426293083701</v>
      </c>
      <c r="M3161">
        <v>39.767248144491099</v>
      </c>
      <c r="N3161">
        <v>51.1622646693028</v>
      </c>
      <c r="O3161">
        <v>50.738947545261603</v>
      </c>
      <c r="P3161">
        <v>-0.175852677000645</v>
      </c>
      <c r="Q3161">
        <v>0.102521983717721</v>
      </c>
      <c r="R3161">
        <v>0.98876967616934197</v>
      </c>
      <c r="S3161" t="s">
        <v>9831</v>
      </c>
      <c r="T3161" t="s">
        <v>13338</v>
      </c>
      <c r="U3161" t="s">
        <v>13338</v>
      </c>
      <c r="V3161" t="s">
        <v>13338</v>
      </c>
      <c r="W3161" t="s">
        <v>16453</v>
      </c>
      <c r="X3161">
        <v>40</v>
      </c>
      <c r="Y3161" t="s">
        <v>22997</v>
      </c>
      <c r="Z3161" t="s">
        <v>29576</v>
      </c>
      <c r="AA3161">
        <v>0.43081283480318522</v>
      </c>
      <c r="AB3161" t="str">
        <f>HYPERLINK("Melting_Curves/meltCurve_Q06124_PTPN11.pdf", "Melting_Curves/meltCurve_Q06124_PTPN11.pdf")</f>
        <v>Melting_Curves/meltCurve_Q06124_PTPN11.pdf</v>
      </c>
    </row>
    <row r="3162" spans="1:28" x14ac:dyDescent="0.25">
      <c r="A3162" t="s">
        <v>3166</v>
      </c>
      <c r="B3162">
        <v>0.99193492352474899</v>
      </c>
      <c r="C3162">
        <v>0.947903668680671</v>
      </c>
      <c r="D3162">
        <v>0.90908594996657199</v>
      </c>
      <c r="E3162">
        <v>0.81822343438051703</v>
      </c>
      <c r="F3162">
        <v>0.73442210985096301</v>
      </c>
      <c r="G3162">
        <v>0.65121080914081997</v>
      </c>
      <c r="H3162">
        <v>0.45191291509676901</v>
      </c>
      <c r="I3162">
        <v>0.439587573326849</v>
      </c>
      <c r="J3162">
        <v>0.35535815833365503</v>
      </c>
      <c r="K3162">
        <v>0.31396115139635999</v>
      </c>
      <c r="L3162">
        <v>465.225014634209</v>
      </c>
      <c r="M3162">
        <v>7.9353013713419696</v>
      </c>
      <c r="N3162">
        <v>60.766638580850497</v>
      </c>
      <c r="O3162">
        <v>55.254792899686599</v>
      </c>
      <c r="P3162">
        <v>-3.15644512264905E-2</v>
      </c>
      <c r="Q3162">
        <v>0.121870133907877</v>
      </c>
      <c r="R3162">
        <v>0.99277316711598196</v>
      </c>
      <c r="S3162" t="s">
        <v>9832</v>
      </c>
      <c r="T3162" t="s">
        <v>13338</v>
      </c>
      <c r="U3162" t="s">
        <v>13338</v>
      </c>
      <c r="V3162" t="s">
        <v>13338</v>
      </c>
      <c r="W3162" t="s">
        <v>16454</v>
      </c>
      <c r="X3162">
        <v>7</v>
      </c>
      <c r="Y3162" t="s">
        <v>22998</v>
      </c>
      <c r="Z3162" t="s">
        <v>29577</v>
      </c>
      <c r="AA3162">
        <v>0.66506050669562311</v>
      </c>
      <c r="AB3162" t="str">
        <f>HYPERLINK("Melting_Curves/meltCurve_Q06136_KDSR.pdf", "Melting_Curves/meltCurve_Q06136_KDSR.pdf")</f>
        <v>Melting_Curves/meltCurve_Q06136_KDSR.pdf</v>
      </c>
    </row>
    <row r="3163" spans="1:28" x14ac:dyDescent="0.25">
      <c r="A3163" t="s">
        <v>3167</v>
      </c>
      <c r="B3163">
        <v>0.99193492352474899</v>
      </c>
      <c r="C3163">
        <v>1.05164851002967</v>
      </c>
      <c r="D3163">
        <v>0.901614841001939</v>
      </c>
      <c r="E3163">
        <v>0.81326587928830896</v>
      </c>
      <c r="F3163">
        <v>0.66694597907272402</v>
      </c>
      <c r="G3163">
        <v>0.56374562707331799</v>
      </c>
      <c r="H3163">
        <v>0.37731114834974</v>
      </c>
      <c r="I3163">
        <v>0.430092919971024</v>
      </c>
      <c r="J3163">
        <v>0.323245801976834</v>
      </c>
      <c r="K3163">
        <v>0.18895886712238599</v>
      </c>
      <c r="L3163">
        <v>555.26080995282905</v>
      </c>
      <c r="M3163">
        <v>9.8622578539597896</v>
      </c>
      <c r="N3163">
        <v>58.3415696894645</v>
      </c>
      <c r="O3163">
        <v>54.133324931565099</v>
      </c>
      <c r="P3163">
        <v>-3.8923882151636002E-2</v>
      </c>
      <c r="Q3163">
        <v>0.14583490874240801</v>
      </c>
      <c r="R3163">
        <v>0.97105768718211705</v>
      </c>
      <c r="S3163" t="s">
        <v>9833</v>
      </c>
      <c r="T3163" t="s">
        <v>13338</v>
      </c>
      <c r="U3163" t="s">
        <v>13338</v>
      </c>
      <c r="V3163" t="s">
        <v>13338</v>
      </c>
      <c r="W3163" t="s">
        <v>16455</v>
      </c>
      <c r="X3163">
        <v>24</v>
      </c>
      <c r="Y3163" t="s">
        <v>22999</v>
      </c>
      <c r="Z3163" t="s">
        <v>29578</v>
      </c>
      <c r="AA3163">
        <v>0.626639776041788</v>
      </c>
      <c r="AB3163" t="str">
        <f>HYPERLINK("Melting_Curves/meltCurve_Q06203_PPAT.pdf", "Melting_Curves/meltCurve_Q06203_PPAT.pdf")</f>
        <v>Melting_Curves/meltCurve_Q06203_PPAT.pdf</v>
      </c>
    </row>
    <row r="3164" spans="1:28" x14ac:dyDescent="0.25">
      <c r="A3164" t="s">
        <v>3168</v>
      </c>
      <c r="B3164">
        <v>0.99193492352474899</v>
      </c>
      <c r="C3164">
        <v>0.98654533652536802</v>
      </c>
      <c r="D3164">
        <v>1.00546403382195</v>
      </c>
      <c r="E3164">
        <v>0.88197727782149304</v>
      </c>
      <c r="F3164">
        <v>0.93820630054407905</v>
      </c>
      <c r="G3164">
        <v>0.71717674016205901</v>
      </c>
      <c r="H3164">
        <v>0.32092824728887698</v>
      </c>
      <c r="I3164">
        <v>0.148995476774471</v>
      </c>
      <c r="J3164">
        <v>0.16365556777736301</v>
      </c>
      <c r="K3164">
        <v>0.13009596103389401</v>
      </c>
      <c r="L3164">
        <v>1657.83513446859</v>
      </c>
      <c r="M3164">
        <v>28.494854480608399</v>
      </c>
      <c r="N3164">
        <v>58.746207890489799</v>
      </c>
      <c r="O3164">
        <v>57.895872263012798</v>
      </c>
      <c r="P3164">
        <v>-0.10827331109510201</v>
      </c>
      <c r="Q3164">
        <v>0.120047773326881</v>
      </c>
      <c r="R3164">
        <v>0.989307647069538</v>
      </c>
      <c r="S3164" t="s">
        <v>9834</v>
      </c>
      <c r="T3164" t="s">
        <v>13338</v>
      </c>
      <c r="U3164" t="s">
        <v>13338</v>
      </c>
      <c r="V3164" t="s">
        <v>13338</v>
      </c>
      <c r="W3164" t="s">
        <v>16456</v>
      </c>
      <c r="X3164">
        <v>34</v>
      </c>
      <c r="Y3164" t="s">
        <v>23000</v>
      </c>
      <c r="Z3164" t="s">
        <v>29579</v>
      </c>
      <c r="AA3164">
        <v>0.65956944135166518</v>
      </c>
      <c r="AB3164" t="str">
        <f>HYPERLINK("Melting_Curves/meltCurve_Q06210_2_GFPT1.pdf", "Melting_Curves/meltCurve_Q06210_2_GFPT1.pdf")</f>
        <v>Melting_Curves/meltCurve_Q06210_2_GFPT1.pdf</v>
      </c>
    </row>
    <row r="3165" spans="1:28" x14ac:dyDescent="0.25">
      <c r="A3165" t="s">
        <v>3169</v>
      </c>
      <c r="B3165">
        <v>0.99193492352474899</v>
      </c>
      <c r="C3165">
        <v>0.70452772810736597</v>
      </c>
      <c r="D3165">
        <v>0.94250552457932402</v>
      </c>
      <c r="E3165">
        <v>0.778359319424342</v>
      </c>
      <c r="F3165">
        <v>0.84765854855159095</v>
      </c>
      <c r="G3165">
        <v>0.53461599757524003</v>
      </c>
      <c r="H3165">
        <v>0.36317150426312</v>
      </c>
      <c r="I3165">
        <v>0.16859818515793301</v>
      </c>
      <c r="J3165">
        <v>0.130658856986929</v>
      </c>
      <c r="K3165">
        <v>0.1220716705016</v>
      </c>
      <c r="L3165">
        <v>670.18784557313495</v>
      </c>
      <c r="M3165">
        <v>11.6583586311122</v>
      </c>
      <c r="N3165">
        <v>57.485603569999498</v>
      </c>
      <c r="O3165">
        <v>55.8724082247872</v>
      </c>
      <c r="P3165">
        <v>-5.2179181753384603E-2</v>
      </c>
      <c r="Q3165">
        <v>0</v>
      </c>
      <c r="R3165">
        <v>0.89921185810073601</v>
      </c>
      <c r="S3165" t="s">
        <v>9835</v>
      </c>
      <c r="T3165" t="s">
        <v>13338</v>
      </c>
      <c r="U3165" t="s">
        <v>13338</v>
      </c>
      <c r="V3165" t="s">
        <v>13338</v>
      </c>
      <c r="W3165" t="s">
        <v>16457</v>
      </c>
      <c r="X3165">
        <v>14</v>
      </c>
      <c r="Y3165" t="s">
        <v>23001</v>
      </c>
      <c r="Z3165" t="s">
        <v>29580</v>
      </c>
      <c r="AA3165">
        <v>0.59759128996146982</v>
      </c>
      <c r="AB3165" t="str">
        <f>HYPERLINK("Melting_Curves/meltCurve_Q06265_EXOSC9.pdf", "Melting_Curves/meltCurve_Q06265_EXOSC9.pdf")</f>
        <v>Melting_Curves/meltCurve_Q06265_EXOSC9.pdf</v>
      </c>
    </row>
    <row r="3166" spans="1:28" x14ac:dyDescent="0.25">
      <c r="A3166" t="s">
        <v>3170</v>
      </c>
      <c r="B3166">
        <v>0.99193492352474899</v>
      </c>
      <c r="C3166">
        <v>0.94272925983386502</v>
      </c>
      <c r="D3166">
        <v>0.98221723067562206</v>
      </c>
      <c r="E3166">
        <v>0.83289628151109496</v>
      </c>
      <c r="F3166">
        <v>0.63632805122792901</v>
      </c>
      <c r="G3166">
        <v>0.26303173654696599</v>
      </c>
      <c r="H3166">
        <v>0.13856320698327401</v>
      </c>
      <c r="I3166">
        <v>0.14682525099256</v>
      </c>
      <c r="J3166">
        <v>0.150072592477839</v>
      </c>
      <c r="K3166">
        <v>0.16719964222007999</v>
      </c>
      <c r="L3166">
        <v>1310.8521507988</v>
      </c>
      <c r="M3166">
        <v>24.547821093540801</v>
      </c>
      <c r="N3166">
        <v>54.079051630318297</v>
      </c>
      <c r="O3166">
        <v>53.049325609000697</v>
      </c>
      <c r="P3166">
        <v>-0.100341073879752</v>
      </c>
      <c r="Q3166">
        <v>0.132639710591274</v>
      </c>
      <c r="R3166">
        <v>0.99118816300115098</v>
      </c>
      <c r="S3166" t="s">
        <v>9836</v>
      </c>
      <c r="T3166" t="s">
        <v>13338</v>
      </c>
      <c r="U3166" t="s">
        <v>13338</v>
      </c>
      <c r="V3166" t="s">
        <v>13338</v>
      </c>
      <c r="W3166" t="s">
        <v>16458</v>
      </c>
      <c r="X3166">
        <v>24</v>
      </c>
      <c r="Y3166" t="s">
        <v>23002</v>
      </c>
      <c r="Z3166" t="s">
        <v>29581</v>
      </c>
      <c r="AA3166">
        <v>0.52834002001499081</v>
      </c>
      <c r="AB3166" t="str">
        <f>HYPERLINK("Melting_Curves/meltCurve_Q06323_PSME1.pdf", "Melting_Curves/meltCurve_Q06323_PSME1.pdf")</f>
        <v>Melting_Curves/meltCurve_Q06323_PSME1.pdf</v>
      </c>
    </row>
    <row r="3167" spans="1:28" x14ac:dyDescent="0.25">
      <c r="A3167" t="s">
        <v>3171</v>
      </c>
      <c r="B3167">
        <v>0.99193492352474899</v>
      </c>
      <c r="C3167">
        <v>0.80752323710448204</v>
      </c>
      <c r="D3167">
        <v>0.94253478512661104</v>
      </c>
      <c r="E3167">
        <v>0.76419245729493201</v>
      </c>
      <c r="F3167">
        <v>0.62587949873710402</v>
      </c>
      <c r="G3167">
        <v>0.38725997820076102</v>
      </c>
      <c r="H3167">
        <v>0.16694421341120699</v>
      </c>
      <c r="I3167">
        <v>0.13732153419704601</v>
      </c>
      <c r="J3167">
        <v>0.111228828909525</v>
      </c>
      <c r="K3167">
        <v>0.13455445185109999</v>
      </c>
      <c r="L3167">
        <v>690.06475592545303</v>
      </c>
      <c r="M3167">
        <v>12.729603502124901</v>
      </c>
      <c r="N3167">
        <v>54.521783532082303</v>
      </c>
      <c r="O3167">
        <v>52.923866065598197</v>
      </c>
      <c r="P3167">
        <v>-5.8028319679086199E-2</v>
      </c>
      <c r="Q3167">
        <v>3.5164207116011301E-2</v>
      </c>
      <c r="R3167">
        <v>0.96907127493909095</v>
      </c>
      <c r="S3167" t="s">
        <v>9837</v>
      </c>
      <c r="T3167" t="s">
        <v>13338</v>
      </c>
      <c r="U3167" t="s">
        <v>13338</v>
      </c>
      <c r="V3167" t="s">
        <v>13338</v>
      </c>
      <c r="W3167" t="s">
        <v>16459</v>
      </c>
      <c r="X3167">
        <v>10</v>
      </c>
      <c r="Y3167" t="s">
        <v>23003</v>
      </c>
      <c r="Z3167" t="s">
        <v>29582</v>
      </c>
      <c r="AA3167">
        <v>0.51553832909559272</v>
      </c>
      <c r="AB3167" t="str">
        <f>HYPERLINK("Melting_Curves/meltCurve_Q06330_4_RBPJ.pdf", "Melting_Curves/meltCurve_Q06330_4_RBPJ.pdf")</f>
        <v>Melting_Curves/meltCurve_Q06330_4_RBPJ.pdf</v>
      </c>
    </row>
    <row r="3168" spans="1:28" x14ac:dyDescent="0.25">
      <c r="A3168" t="s">
        <v>3172</v>
      </c>
      <c r="B3168">
        <v>0.99193492352474899</v>
      </c>
      <c r="C3168">
        <v>0.99102289964232104</v>
      </c>
      <c r="D3168">
        <v>0.89557161517970996</v>
      </c>
      <c r="E3168">
        <v>0.66137824481926999</v>
      </c>
      <c r="F3168">
        <v>0.53998059079069805</v>
      </c>
      <c r="G3168">
        <v>0.41182528070647401</v>
      </c>
      <c r="H3168">
        <v>0.24617293477619301</v>
      </c>
      <c r="I3168">
        <v>0.27672152910704301</v>
      </c>
      <c r="J3168">
        <v>0.28068210726575199</v>
      </c>
      <c r="K3168">
        <v>0.29639338553180899</v>
      </c>
      <c r="L3168">
        <v>803.41730950714202</v>
      </c>
      <c r="M3168">
        <v>15.781349856229699</v>
      </c>
      <c r="N3168">
        <v>53.363569862368699</v>
      </c>
      <c r="O3168">
        <v>50.112870866248201</v>
      </c>
      <c r="P3168">
        <v>-5.8419099110636898E-2</v>
      </c>
      <c r="Q3168">
        <v>0.258033956784397</v>
      </c>
      <c r="R3168">
        <v>0.988012237340267</v>
      </c>
      <c r="S3168" t="s">
        <v>9838</v>
      </c>
      <c r="T3168" t="s">
        <v>13338</v>
      </c>
      <c r="U3168" t="s">
        <v>13338</v>
      </c>
      <c r="V3168" t="s">
        <v>13338</v>
      </c>
      <c r="W3168" t="s">
        <v>16460</v>
      </c>
      <c r="X3168">
        <v>7</v>
      </c>
      <c r="Y3168" t="s">
        <v>23004</v>
      </c>
      <c r="Z3168" t="s">
        <v>29583</v>
      </c>
      <c r="AA3168">
        <v>0.54362519114746921</v>
      </c>
      <c r="AB3168" t="str">
        <f>HYPERLINK("Melting_Curves/meltCurve_Q06481_APLP2.pdf", "Melting_Curves/meltCurve_Q06481_APLP2.pdf")</f>
        <v>Melting_Curves/meltCurve_Q06481_APLP2.pdf</v>
      </c>
    </row>
    <row r="3169" spans="1:28" x14ac:dyDescent="0.25">
      <c r="A3169" t="s">
        <v>3173</v>
      </c>
      <c r="B3169">
        <v>0.99193492352474899</v>
      </c>
      <c r="C3169">
        <v>0.67150350083985899</v>
      </c>
      <c r="D3169">
        <v>0.59836703369667499</v>
      </c>
      <c r="E3169">
        <v>0.23852743335597801</v>
      </c>
      <c r="F3169">
        <v>0.14601329770408</v>
      </c>
      <c r="G3169">
        <v>7.4021302778183598E-2</v>
      </c>
      <c r="H3169">
        <v>5.0430123539443102E-2</v>
      </c>
      <c r="I3169">
        <v>5.7721797377595099E-2</v>
      </c>
      <c r="J3169">
        <v>6.6548131733120602E-2</v>
      </c>
      <c r="K3169">
        <v>7.2810020586999494E-2</v>
      </c>
      <c r="L3169">
        <v>744.37535280942802</v>
      </c>
      <c r="M3169">
        <v>16.1958906722334</v>
      </c>
      <c r="N3169">
        <v>46.252097912508802</v>
      </c>
      <c r="O3169">
        <v>45.277191629063502</v>
      </c>
      <c r="P3169">
        <v>-8.5096079160891E-2</v>
      </c>
      <c r="Q3169">
        <v>4.8493598039265499E-2</v>
      </c>
      <c r="R3169">
        <v>0.97709696128837897</v>
      </c>
      <c r="S3169" t="s">
        <v>9839</v>
      </c>
      <c r="T3169" t="s">
        <v>13338</v>
      </c>
      <c r="U3169" t="s">
        <v>13338</v>
      </c>
      <c r="V3169" t="s">
        <v>13338</v>
      </c>
      <c r="W3169" t="s">
        <v>16461</v>
      </c>
      <c r="X3169">
        <v>12</v>
      </c>
      <c r="Y3169" t="s">
        <v>23005</v>
      </c>
      <c r="Z3169" t="s">
        <v>29584</v>
      </c>
      <c r="AA3169">
        <v>0.26121205098750022</v>
      </c>
      <c r="AB3169" t="str">
        <f>HYPERLINK("Melting_Curves/meltCurve_Q06546_GABPA.pdf", "Melting_Curves/meltCurve_Q06546_GABPA.pdf")</f>
        <v>Melting_Curves/meltCurve_Q06546_GABPA.pdf</v>
      </c>
    </row>
    <row r="3170" spans="1:28" x14ac:dyDescent="0.25">
      <c r="A3170" t="s">
        <v>3174</v>
      </c>
      <c r="B3170">
        <v>0.99193492352474899</v>
      </c>
      <c r="C3170">
        <v>1.06242707885129</v>
      </c>
      <c r="D3170">
        <v>0.62798840930780297</v>
      </c>
      <c r="E3170">
        <v>0.43270420772155899</v>
      </c>
      <c r="F3170">
        <v>0.24135044464894101</v>
      </c>
      <c r="G3170">
        <v>0.17106117636718901</v>
      </c>
      <c r="H3170">
        <v>0.11837867014969</v>
      </c>
      <c r="I3170">
        <v>0.13070701187247999</v>
      </c>
      <c r="J3170">
        <v>0.13309774979210701</v>
      </c>
      <c r="K3170">
        <v>0.161611685446377</v>
      </c>
      <c r="L3170">
        <v>1030.0149725746001</v>
      </c>
      <c r="M3170">
        <v>21.6491434929024</v>
      </c>
      <c r="N3170">
        <v>48.3178235585099</v>
      </c>
      <c r="O3170">
        <v>47.177277669518297</v>
      </c>
      <c r="P3170">
        <v>-9.8533646998330698E-2</v>
      </c>
      <c r="Q3170">
        <v>0.14113236970643001</v>
      </c>
      <c r="R3170">
        <v>0.973828304733661</v>
      </c>
      <c r="S3170" t="s">
        <v>9840</v>
      </c>
      <c r="T3170" t="s">
        <v>13338</v>
      </c>
      <c r="U3170" t="s">
        <v>13338</v>
      </c>
      <c r="V3170" t="s">
        <v>13338</v>
      </c>
      <c r="W3170" t="s">
        <v>16462</v>
      </c>
      <c r="X3170">
        <v>6</v>
      </c>
      <c r="Y3170" t="s">
        <v>20909</v>
      </c>
      <c r="Z3170" t="s">
        <v>29585</v>
      </c>
      <c r="AA3170">
        <v>0.36845946083174519</v>
      </c>
      <c r="AB3170" t="str">
        <f>HYPERLINK("Melting_Curves/meltCurve_Q06547_2_GABPB1.pdf", "Melting_Curves/meltCurve_Q06547_2_GABPB1.pdf")</f>
        <v>Melting_Curves/meltCurve_Q06547_2_GABPB1.pdf</v>
      </c>
    </row>
    <row r="3171" spans="1:28" x14ac:dyDescent="0.25">
      <c r="A3171" t="s">
        <v>3175</v>
      </c>
      <c r="B3171">
        <v>0.99193492352474899</v>
      </c>
      <c r="C3171">
        <v>0.79124566438475497</v>
      </c>
      <c r="D3171">
        <v>0.566067996293799</v>
      </c>
      <c r="E3171">
        <v>0.272222981049553</v>
      </c>
      <c r="F3171">
        <v>0.152411410668577</v>
      </c>
      <c r="G3171">
        <v>0.103040188547233</v>
      </c>
      <c r="H3171">
        <v>9.0646133271592294E-2</v>
      </c>
      <c r="I3171">
        <v>0.12143169334128601</v>
      </c>
      <c r="J3171">
        <v>0.15762995992673601</v>
      </c>
      <c r="K3171">
        <v>0.159440144637533</v>
      </c>
      <c r="L3171">
        <v>953.60586757356998</v>
      </c>
      <c r="M3171">
        <v>20.8069522616073</v>
      </c>
      <c r="N3171">
        <v>46.445515118169098</v>
      </c>
      <c r="O3171">
        <v>45.414073024500603</v>
      </c>
      <c r="P3171">
        <v>-0.10076317975527201</v>
      </c>
      <c r="Q3171">
        <v>0.120305757779504</v>
      </c>
      <c r="R3171">
        <v>0.99129740760210705</v>
      </c>
      <c r="S3171" t="s">
        <v>9841</v>
      </c>
      <c r="T3171" t="s">
        <v>13338</v>
      </c>
      <c r="U3171" t="s">
        <v>13338</v>
      </c>
      <c r="V3171" t="s">
        <v>13338</v>
      </c>
      <c r="W3171" t="s">
        <v>16463</v>
      </c>
      <c r="X3171">
        <v>5</v>
      </c>
      <c r="Y3171" t="s">
        <v>23006</v>
      </c>
      <c r="Z3171" t="s">
        <v>29586</v>
      </c>
      <c r="AA3171">
        <v>0.30386101835839752</v>
      </c>
      <c r="AB3171" t="str">
        <f>HYPERLINK("Melting_Curves/meltCurve_Q06587_RING1.pdf", "Melting_Curves/meltCurve_Q06587_RING1.pdf")</f>
        <v>Melting_Curves/meltCurve_Q06587_RING1.pdf</v>
      </c>
    </row>
    <row r="3172" spans="1:28" x14ac:dyDescent="0.25">
      <c r="A3172" t="s">
        <v>3176</v>
      </c>
      <c r="B3172">
        <v>0.99193492352474899</v>
      </c>
      <c r="C3172">
        <v>0.96933716745854703</v>
      </c>
      <c r="D3172">
        <v>0.89473115674843096</v>
      </c>
      <c r="E3172">
        <v>0.75001053087788006</v>
      </c>
      <c r="F3172">
        <v>0.41518621681064699</v>
      </c>
      <c r="G3172">
        <v>0.12954295010731101</v>
      </c>
      <c r="H3172">
        <v>5.21668724402264E-2</v>
      </c>
      <c r="I3172">
        <v>5.0792306274150198E-2</v>
      </c>
      <c r="J3172">
        <v>6.5810256027398498E-2</v>
      </c>
      <c r="K3172">
        <v>7.80518614279785E-2</v>
      </c>
      <c r="L3172">
        <v>1138.9804724819501</v>
      </c>
      <c r="M3172">
        <v>21.974916003309101</v>
      </c>
      <c r="N3172">
        <v>52.044318665136103</v>
      </c>
      <c r="O3172">
        <v>51.407415190192701</v>
      </c>
      <c r="P3172">
        <v>-0.102265036473126</v>
      </c>
      <c r="Q3172">
        <v>4.30788299305956E-2</v>
      </c>
      <c r="R3172">
        <v>0.99550461791591105</v>
      </c>
      <c r="S3172" t="s">
        <v>9842</v>
      </c>
      <c r="T3172" t="s">
        <v>13338</v>
      </c>
      <c r="U3172" t="s">
        <v>13338</v>
      </c>
      <c r="V3172" t="s">
        <v>13338</v>
      </c>
      <c r="W3172" t="s">
        <v>16464</v>
      </c>
      <c r="X3172">
        <v>7</v>
      </c>
      <c r="Y3172" t="s">
        <v>23007</v>
      </c>
      <c r="Z3172" t="s">
        <v>29587</v>
      </c>
      <c r="AA3172">
        <v>0.43160015539098651</v>
      </c>
      <c r="AB3172" t="str">
        <f>HYPERLINK("Melting_Curves/meltCurve_Q06609_RAD51.pdf", "Melting_Curves/meltCurve_Q06609_RAD51.pdf")</f>
        <v>Melting_Curves/meltCurve_Q06609_RAD51.pdf</v>
      </c>
    </row>
    <row r="3173" spans="1:28" x14ac:dyDescent="0.25">
      <c r="A3173" t="s">
        <v>3177</v>
      </c>
      <c r="B3173">
        <v>0.99193492352474899</v>
      </c>
      <c r="C3173">
        <v>0.49712760255266297</v>
      </c>
      <c r="D3173">
        <v>0.78590852858077598</v>
      </c>
      <c r="E3173">
        <v>0.44846802841932198</v>
      </c>
      <c r="F3173">
        <v>0.272884617136393</v>
      </c>
      <c r="G3173">
        <v>0.187310810879912</v>
      </c>
      <c r="H3173">
        <v>0.13832496575977901</v>
      </c>
      <c r="I3173">
        <v>0.158319324251846</v>
      </c>
      <c r="J3173">
        <v>0.18751812335013299</v>
      </c>
      <c r="K3173">
        <v>0.21339753174315401</v>
      </c>
      <c r="L3173">
        <v>507.85984461536202</v>
      </c>
      <c r="M3173">
        <v>10.8853085867896</v>
      </c>
      <c r="N3173">
        <v>47.9554909227504</v>
      </c>
      <c r="O3173">
        <v>45.163749624082399</v>
      </c>
      <c r="P3173">
        <v>-5.2574847317795E-2</v>
      </c>
      <c r="Q3173">
        <v>0.12776217491914801</v>
      </c>
      <c r="R3173">
        <v>0.83508540402992104</v>
      </c>
      <c r="S3173" t="s">
        <v>9843</v>
      </c>
      <c r="T3173" t="s">
        <v>13338</v>
      </c>
      <c r="U3173" t="s">
        <v>13338</v>
      </c>
      <c r="V3173" t="s">
        <v>13338</v>
      </c>
      <c r="W3173" t="s">
        <v>16465</v>
      </c>
      <c r="X3173">
        <v>8</v>
      </c>
      <c r="Y3173" t="s">
        <v>23008</v>
      </c>
      <c r="Z3173" t="s">
        <v>29588</v>
      </c>
      <c r="AA3173">
        <v>0.36602086664708872</v>
      </c>
      <c r="AB3173" t="str">
        <f>HYPERLINK("Melting_Curves/meltCurve_Q06787_6_FMR1.pdf", "Melting_Curves/meltCurve_Q06787_6_FMR1.pdf")</f>
        <v>Melting_Curves/meltCurve_Q06787_6_FMR1.pdf</v>
      </c>
    </row>
    <row r="3174" spans="1:28" x14ac:dyDescent="0.25">
      <c r="A3174" t="s">
        <v>3178</v>
      </c>
      <c r="B3174">
        <v>0.99193492352474899</v>
      </c>
      <c r="C3174">
        <v>1.0000035781005301</v>
      </c>
      <c r="D3174">
        <v>0.74254890247538097</v>
      </c>
      <c r="E3174">
        <v>0.82259099275036596</v>
      </c>
      <c r="F3174">
        <v>0.42220221453286</v>
      </c>
      <c r="G3174">
        <v>0.17961569928332799</v>
      </c>
      <c r="H3174">
        <v>9.0503390683604398E-2</v>
      </c>
      <c r="I3174">
        <v>9.7127168602684305E-2</v>
      </c>
      <c r="J3174">
        <v>0.102218313895033</v>
      </c>
      <c r="K3174">
        <v>0.116945818446889</v>
      </c>
      <c r="L3174">
        <v>963.00563007542803</v>
      </c>
      <c r="M3174">
        <v>18.582387134181399</v>
      </c>
      <c r="N3174">
        <v>52.252737754291701</v>
      </c>
      <c r="O3174">
        <v>51.234585739871399</v>
      </c>
      <c r="P3174">
        <v>-8.4259521152096895E-2</v>
      </c>
      <c r="Q3174">
        <v>7.0773033875055E-2</v>
      </c>
      <c r="R3174">
        <v>0.96554219865853597</v>
      </c>
      <c r="S3174" t="s">
        <v>9844</v>
      </c>
      <c r="T3174" t="s">
        <v>13338</v>
      </c>
      <c r="U3174" t="s">
        <v>13338</v>
      </c>
      <c r="V3174" t="s">
        <v>13338</v>
      </c>
      <c r="W3174" t="s">
        <v>16466</v>
      </c>
      <c r="X3174">
        <v>22</v>
      </c>
      <c r="Y3174" t="s">
        <v>23009</v>
      </c>
      <c r="Z3174" t="s">
        <v>29589</v>
      </c>
      <c r="AA3174">
        <v>0.45166504725147572</v>
      </c>
      <c r="AB3174" t="str">
        <f>HYPERLINK("Melting_Curves/meltCurve_Q06830_PRDX1.pdf", "Melting_Curves/meltCurve_Q06830_PRDX1.pdf")</f>
        <v>Melting_Curves/meltCurve_Q06830_PRDX1.pdf</v>
      </c>
    </row>
    <row r="3175" spans="1:28" x14ac:dyDescent="0.25">
      <c r="A3175" t="s">
        <v>3179</v>
      </c>
      <c r="B3175">
        <v>0.99193492352474899</v>
      </c>
      <c r="C3175">
        <v>0.71081983550177497</v>
      </c>
      <c r="D3175">
        <v>0.77013491321856198</v>
      </c>
      <c r="E3175">
        <v>0.48411445313422902</v>
      </c>
      <c r="F3175">
        <v>0.35451406924483703</v>
      </c>
      <c r="G3175">
        <v>0.23233310456589701</v>
      </c>
      <c r="H3175">
        <v>0.20812977575341901</v>
      </c>
      <c r="I3175">
        <v>0.30133152521679202</v>
      </c>
      <c r="J3175">
        <v>0.38465841051939298</v>
      </c>
      <c r="K3175">
        <v>0.70998390595176497</v>
      </c>
      <c r="L3175">
        <v>826.86590294211101</v>
      </c>
      <c r="M3175">
        <v>18.152562905358899</v>
      </c>
      <c r="N3175">
        <v>49.001514591521499</v>
      </c>
      <c r="O3175">
        <v>45.0089064474626</v>
      </c>
      <c r="P3175">
        <v>-6.4457992143677104E-2</v>
      </c>
      <c r="Q3175">
        <v>0.36074144518682599</v>
      </c>
      <c r="R3175">
        <v>0.671654651876055</v>
      </c>
      <c r="S3175" t="s">
        <v>9845</v>
      </c>
      <c r="T3175" t="s">
        <v>13338</v>
      </c>
      <c r="U3175" t="s">
        <v>13338</v>
      </c>
      <c r="V3175" t="s">
        <v>13338</v>
      </c>
      <c r="W3175" t="s">
        <v>16467</v>
      </c>
      <c r="X3175">
        <v>2</v>
      </c>
      <c r="Y3175" t="s">
        <v>23010</v>
      </c>
      <c r="Z3175" t="s">
        <v>29590</v>
      </c>
      <c r="AA3175">
        <v>0.4918104978498769</v>
      </c>
      <c r="AB3175" t="str">
        <f>HYPERLINK("Melting_Curves/meltCurve_Q06945_SOX4.pdf", "Melting_Curves/meltCurve_Q06945_SOX4.pdf")</f>
        <v>Melting_Curves/meltCurve_Q06945_SOX4.pdf</v>
      </c>
    </row>
    <row r="3176" spans="1:28" x14ac:dyDescent="0.25">
      <c r="A3176" t="s">
        <v>3180</v>
      </c>
      <c r="B3176">
        <v>0.99193492352474899</v>
      </c>
      <c r="C3176">
        <v>0.84154012588589799</v>
      </c>
      <c r="D3176">
        <v>0.88224149228448401</v>
      </c>
      <c r="E3176">
        <v>0.63741665476959097</v>
      </c>
      <c r="F3176">
        <v>0.233481207848767</v>
      </c>
      <c r="G3176">
        <v>0.126668351805552</v>
      </c>
      <c r="H3176">
        <v>8.6800856914277899E-2</v>
      </c>
      <c r="I3176">
        <v>8.0420196908702904E-2</v>
      </c>
      <c r="J3176">
        <v>9.5342493772420697E-2</v>
      </c>
      <c r="K3176">
        <v>8.5587197791009401E-2</v>
      </c>
      <c r="L3176">
        <v>1114.27034604494</v>
      </c>
      <c r="M3176">
        <v>22.228195352728498</v>
      </c>
      <c r="N3176">
        <v>50.487901633148901</v>
      </c>
      <c r="O3176">
        <v>49.728258860616201</v>
      </c>
      <c r="P3176">
        <v>-0.103577433162459</v>
      </c>
      <c r="Q3176">
        <v>7.3138419937603699E-2</v>
      </c>
      <c r="R3176">
        <v>0.98249815724260003</v>
      </c>
      <c r="S3176" t="s">
        <v>9846</v>
      </c>
      <c r="T3176" t="s">
        <v>13338</v>
      </c>
      <c r="U3176" t="s">
        <v>13338</v>
      </c>
      <c r="V3176" t="s">
        <v>13338</v>
      </c>
      <c r="W3176" t="s">
        <v>16468</v>
      </c>
      <c r="X3176">
        <v>8</v>
      </c>
      <c r="Y3176" t="s">
        <v>23011</v>
      </c>
      <c r="Z3176" t="s">
        <v>29591</v>
      </c>
      <c r="AA3176">
        <v>0.39655254649737182</v>
      </c>
      <c r="AB3176" t="str">
        <f>HYPERLINK("Melting_Curves/meltCurve_Q07021_C1QBP.pdf", "Melting_Curves/meltCurve_Q07021_C1QBP.pdf")</f>
        <v>Melting_Curves/meltCurve_Q07021_C1QBP.pdf</v>
      </c>
    </row>
    <row r="3177" spans="1:28" x14ac:dyDescent="0.25">
      <c r="A3177" t="s">
        <v>3181</v>
      </c>
      <c r="B3177">
        <v>0.99193492352474899</v>
      </c>
      <c r="C3177">
        <v>0.75123024912727698</v>
      </c>
      <c r="D3177">
        <v>0.97465514336800196</v>
      </c>
      <c r="E3177">
        <v>0.48027728200252201</v>
      </c>
      <c r="F3177">
        <v>0.30084204855633101</v>
      </c>
      <c r="G3177">
        <v>0.157669667275498</v>
      </c>
      <c r="H3177">
        <v>0.100461171014604</v>
      </c>
      <c r="I3177">
        <v>0.140019717904145</v>
      </c>
      <c r="J3177">
        <v>0.187919692411772</v>
      </c>
      <c r="K3177">
        <v>0.26290172933542399</v>
      </c>
      <c r="L3177">
        <v>1394.4735013442901</v>
      </c>
      <c r="M3177">
        <v>28.442405001040001</v>
      </c>
      <c r="N3177">
        <v>49.763138887126999</v>
      </c>
      <c r="O3177">
        <v>48.787538444408703</v>
      </c>
      <c r="P3177">
        <v>-0.120746061909934</v>
      </c>
      <c r="Q3177">
        <v>0.171539132660253</v>
      </c>
      <c r="R3177">
        <v>0.92431403063172501</v>
      </c>
      <c r="S3177" t="s">
        <v>9847</v>
      </c>
      <c r="T3177" t="s">
        <v>13338</v>
      </c>
      <c r="U3177" t="s">
        <v>13338</v>
      </c>
      <c r="V3177" t="s">
        <v>13338</v>
      </c>
      <c r="W3177" t="s">
        <v>16469</v>
      </c>
      <c r="X3177">
        <v>26</v>
      </c>
      <c r="Y3177" t="s">
        <v>23012</v>
      </c>
      <c r="Z3177" t="s">
        <v>29592</v>
      </c>
      <c r="AA3177">
        <v>0.42648115354827709</v>
      </c>
      <c r="AB3177" t="str">
        <f>HYPERLINK("Melting_Curves/meltCurve_Q07065_CKAP4.pdf", "Melting_Curves/meltCurve_Q07065_CKAP4.pdf")</f>
        <v>Melting_Curves/meltCurve_Q07065_CKAP4.pdf</v>
      </c>
    </row>
    <row r="3178" spans="1:28" x14ac:dyDescent="0.25">
      <c r="A3178" t="s">
        <v>3182</v>
      </c>
      <c r="B3178">
        <v>0.99193492352474899</v>
      </c>
      <c r="C3178">
        <v>0.85486648701696899</v>
      </c>
      <c r="D3178">
        <v>1.10041325358909</v>
      </c>
      <c r="E3178">
        <v>0.87151610148241199</v>
      </c>
      <c r="F3178">
        <v>0.83329512309730203</v>
      </c>
      <c r="G3178">
        <v>0.54037027546440997</v>
      </c>
      <c r="H3178">
        <v>0.388212433171436</v>
      </c>
      <c r="I3178">
        <v>0.66055160365864396</v>
      </c>
      <c r="J3178">
        <v>0.51606731799071304</v>
      </c>
      <c r="K3178">
        <v>0.41226524333620701</v>
      </c>
      <c r="L3178">
        <v>1834.7280717466699</v>
      </c>
      <c r="M3178">
        <v>34.077458552474504</v>
      </c>
      <c r="N3178">
        <v>60.623908253536499</v>
      </c>
      <c r="O3178">
        <v>53.655538948642402</v>
      </c>
      <c r="P3178">
        <v>-8.1142179424647395E-2</v>
      </c>
      <c r="Q3178">
        <v>0.488963030774128</v>
      </c>
      <c r="R3178">
        <v>0.83523283793252301</v>
      </c>
      <c r="S3178" t="s">
        <v>9848</v>
      </c>
      <c r="T3178" t="s">
        <v>13338</v>
      </c>
      <c r="U3178" t="s">
        <v>13338</v>
      </c>
      <c r="V3178" t="s">
        <v>13338</v>
      </c>
      <c r="W3178" t="s">
        <v>16470</v>
      </c>
      <c r="X3178">
        <v>2</v>
      </c>
      <c r="Y3178" t="s">
        <v>23013</v>
      </c>
      <c r="Z3178" t="s">
        <v>29593</v>
      </c>
      <c r="AA3178">
        <v>0.72733147246100605</v>
      </c>
      <c r="AB3178" t="str">
        <f>HYPERLINK("Melting_Curves/meltCurve_Q07108_CD69.pdf", "Melting_Curves/meltCurve_Q07108_CD69.pdf")</f>
        <v>Melting_Curves/meltCurve_Q07108_CD69.pdf</v>
      </c>
    </row>
    <row r="3179" spans="1:28" x14ac:dyDescent="0.25">
      <c r="A3179" t="s">
        <v>3183</v>
      </c>
      <c r="B3179">
        <v>0.99193492352474899</v>
      </c>
      <c r="C3179">
        <v>0.843344532396063</v>
      </c>
      <c r="D3179">
        <v>0.64054342807394005</v>
      </c>
      <c r="E3179">
        <v>0.15885184971472599</v>
      </c>
      <c r="F3179">
        <v>0.123196605811456</v>
      </c>
      <c r="G3179">
        <v>2.98060154818309E-2</v>
      </c>
      <c r="H3179">
        <v>4.8528783294129602E-2</v>
      </c>
      <c r="I3179">
        <v>5.8284551197802799E-2</v>
      </c>
      <c r="J3179">
        <v>6.6828178417017603E-2</v>
      </c>
      <c r="K3179">
        <v>2.0665630273846301E-2</v>
      </c>
      <c r="L3179">
        <v>1177.93032097944</v>
      </c>
      <c r="M3179">
        <v>25.3033357592684</v>
      </c>
      <c r="N3179">
        <v>46.722555010178603</v>
      </c>
      <c r="O3179">
        <v>46.264532974423403</v>
      </c>
      <c r="P3179">
        <v>-0.130714259409866</v>
      </c>
      <c r="Q3179">
        <v>4.4022275259313598E-2</v>
      </c>
      <c r="R3179">
        <v>0.990833244892941</v>
      </c>
      <c r="S3179" t="s">
        <v>9849</v>
      </c>
      <c r="T3179" t="s">
        <v>13338</v>
      </c>
      <c r="U3179" t="s">
        <v>13338</v>
      </c>
      <c r="V3179" t="s">
        <v>13338</v>
      </c>
      <c r="W3179" t="s">
        <v>16471</v>
      </c>
      <c r="X3179">
        <v>1</v>
      </c>
      <c r="Y3179" t="s">
        <v>23014</v>
      </c>
      <c r="Z3179" t="s">
        <v>29594</v>
      </c>
      <c r="AA3179">
        <v>0.26122196766988831</v>
      </c>
      <c r="AB3179" t="str">
        <f>HYPERLINK("Melting_Curves/meltCurve_Q07617_SPAG1.pdf", "Melting_Curves/meltCurve_Q07617_SPAG1.pdf")</f>
        <v>Melting_Curves/meltCurve_Q07617_SPAG1.pdf</v>
      </c>
    </row>
    <row r="3180" spans="1:28" x14ac:dyDescent="0.25">
      <c r="A3180" t="s">
        <v>3184</v>
      </c>
      <c r="B3180">
        <v>0.99193492352474899</v>
      </c>
      <c r="C3180">
        <v>0.50745419614203902</v>
      </c>
      <c r="D3180">
        <v>0.77034878928391703</v>
      </c>
      <c r="E3180">
        <v>0.50329977190029096</v>
      </c>
      <c r="F3180">
        <v>0.19421066692708</v>
      </c>
      <c r="G3180">
        <v>0.102296906537211</v>
      </c>
      <c r="H3180">
        <v>8.1683755808745998E-2</v>
      </c>
      <c r="I3180">
        <v>8.3103032374399699E-2</v>
      </c>
      <c r="J3180">
        <v>0.12051666650008</v>
      </c>
      <c r="K3180">
        <v>0.12805176327909701</v>
      </c>
      <c r="L3180">
        <v>517.18445014482404</v>
      </c>
      <c r="M3180">
        <v>10.880112556411101</v>
      </c>
      <c r="N3180">
        <v>47.8994351821081</v>
      </c>
      <c r="O3180">
        <v>46.013595238494098</v>
      </c>
      <c r="P3180">
        <v>-5.6784474409522501E-2</v>
      </c>
      <c r="Q3180">
        <v>3.9738453750885097E-2</v>
      </c>
      <c r="R3180">
        <v>0.860691703270278</v>
      </c>
      <c r="S3180" t="s">
        <v>9850</v>
      </c>
      <c r="T3180" t="s">
        <v>13338</v>
      </c>
      <c r="U3180" t="s">
        <v>13338</v>
      </c>
      <c r="V3180" t="s">
        <v>13338</v>
      </c>
      <c r="W3180" t="s">
        <v>16472</v>
      </c>
      <c r="X3180">
        <v>11</v>
      </c>
      <c r="Y3180" t="s">
        <v>23015</v>
      </c>
      <c r="Z3180" t="s">
        <v>29595</v>
      </c>
      <c r="AA3180">
        <v>0.32692363799299778</v>
      </c>
      <c r="AB3180" t="str">
        <f>HYPERLINK("Melting_Curves/meltCurve_Q07666_KHDRBS1.pdf", "Melting_Curves/meltCurve_Q07666_KHDRBS1.pdf")</f>
        <v>Melting_Curves/meltCurve_Q07666_KHDRBS1.pdf</v>
      </c>
    </row>
    <row r="3181" spans="1:28" x14ac:dyDescent="0.25">
      <c r="A3181" t="s">
        <v>3185</v>
      </c>
      <c r="B3181">
        <v>0.99193492352474899</v>
      </c>
      <c r="C3181">
        <v>0.73022900113245004</v>
      </c>
      <c r="D3181">
        <v>0.75652482615475802</v>
      </c>
      <c r="E3181">
        <v>0.56232668243125095</v>
      </c>
      <c r="F3181">
        <v>0.59885754719505602</v>
      </c>
      <c r="G3181">
        <v>0.36971366513846698</v>
      </c>
      <c r="H3181">
        <v>0.282493929365979</v>
      </c>
      <c r="I3181">
        <v>0.40021633557431302</v>
      </c>
      <c r="J3181">
        <v>0.381599853936962</v>
      </c>
      <c r="K3181">
        <v>0.69135747405163295</v>
      </c>
      <c r="L3181">
        <v>641.79166754598498</v>
      </c>
      <c r="M3181">
        <v>14.0821821437364</v>
      </c>
      <c r="N3181">
        <v>53.075637563544099</v>
      </c>
      <c r="O3181">
        <v>44.685213541617898</v>
      </c>
      <c r="P3181">
        <v>-4.4782459873089403E-2</v>
      </c>
      <c r="Q3181">
        <v>0.43166336827817098</v>
      </c>
      <c r="R3181">
        <v>0.69455753346473603</v>
      </c>
      <c r="S3181" t="s">
        <v>9851</v>
      </c>
      <c r="T3181" t="s">
        <v>13338</v>
      </c>
      <c r="U3181" t="s">
        <v>13338</v>
      </c>
      <c r="V3181" t="s">
        <v>13338</v>
      </c>
      <c r="W3181" t="s">
        <v>16473</v>
      </c>
      <c r="X3181">
        <v>1</v>
      </c>
      <c r="Y3181" t="s">
        <v>23016</v>
      </c>
      <c r="Z3181" t="s">
        <v>29596</v>
      </c>
      <c r="AA3181">
        <v>0.55692060184573511</v>
      </c>
      <c r="AB3181" t="str">
        <f>HYPERLINK("Melting_Curves/meltCurve_Q07812_5_BAX.pdf", "Melting_Curves/meltCurve_Q07812_5_BAX.pdf")</f>
        <v>Melting_Curves/meltCurve_Q07812_5_BAX.pdf</v>
      </c>
    </row>
    <row r="3182" spans="1:28" x14ac:dyDescent="0.25">
      <c r="A3182" t="s">
        <v>3186</v>
      </c>
      <c r="B3182">
        <v>0.99193492352474899</v>
      </c>
      <c r="C3182">
        <v>0.79637978303118795</v>
      </c>
      <c r="D3182">
        <v>0.83033570605533202</v>
      </c>
      <c r="E3182">
        <v>0.52254292212266396</v>
      </c>
      <c r="F3182">
        <v>0.426475967665079</v>
      </c>
      <c r="G3182">
        <v>0.28978943265435497</v>
      </c>
      <c r="H3182">
        <v>0.19128406344032001</v>
      </c>
      <c r="I3182">
        <v>0.25419268311311199</v>
      </c>
      <c r="J3182">
        <v>0.24635966990549199</v>
      </c>
      <c r="K3182">
        <v>0.21423782341308401</v>
      </c>
      <c r="L3182">
        <v>654.89916974923699</v>
      </c>
      <c r="M3182">
        <v>13.4188829872641</v>
      </c>
      <c r="N3182">
        <v>50.713286199957899</v>
      </c>
      <c r="O3182">
        <v>47.7586592101406</v>
      </c>
      <c r="P3182">
        <v>-5.6323856796731298E-2</v>
      </c>
      <c r="Q3182">
        <v>0.19828439682594001</v>
      </c>
      <c r="R3182">
        <v>0.97095371972285505</v>
      </c>
      <c r="S3182" t="s">
        <v>9852</v>
      </c>
      <c r="T3182" t="s">
        <v>13338</v>
      </c>
      <c r="U3182" t="s">
        <v>13338</v>
      </c>
      <c r="V3182" t="s">
        <v>13338</v>
      </c>
      <c r="W3182" t="s">
        <v>16474</v>
      </c>
      <c r="X3182">
        <v>6</v>
      </c>
      <c r="Y3182" t="s">
        <v>23017</v>
      </c>
      <c r="Z3182" t="s">
        <v>29597</v>
      </c>
      <c r="AA3182">
        <v>0.45807925906228969</v>
      </c>
      <c r="AB3182" t="str">
        <f>HYPERLINK("Melting_Curves/meltCurve_Q07820_2_MCL1.pdf", "Melting_Curves/meltCurve_Q07820_2_MCL1.pdf")</f>
        <v>Melting_Curves/meltCurve_Q07820_2_MCL1.pdf</v>
      </c>
    </row>
    <row r="3183" spans="1:28" x14ac:dyDescent="0.25">
      <c r="A3183" t="s">
        <v>3187</v>
      </c>
      <c r="B3183">
        <v>0.99193492352474899</v>
      </c>
      <c r="C3183">
        <v>0.97584234144274595</v>
      </c>
      <c r="D3183">
        <v>0.84811283857744901</v>
      </c>
      <c r="E3183">
        <v>0.76686488775855899</v>
      </c>
      <c r="F3183">
        <v>0.19801047658412399</v>
      </c>
      <c r="G3183">
        <v>0.106526669878991</v>
      </c>
      <c r="H3183">
        <v>6.0831847315890697E-2</v>
      </c>
      <c r="I3183">
        <v>6.3718693140556004E-2</v>
      </c>
      <c r="J3183">
        <v>0.14161585607042601</v>
      </c>
      <c r="K3183">
        <v>8.9311287823141905E-2</v>
      </c>
      <c r="L3183">
        <v>1978.91813205933</v>
      </c>
      <c r="M3183">
        <v>38.963189400540699</v>
      </c>
      <c r="N3183">
        <v>51.037612695864397</v>
      </c>
      <c r="O3183">
        <v>50.656199501701501</v>
      </c>
      <c r="P3183">
        <v>-0.17569754752626601</v>
      </c>
      <c r="Q3183">
        <v>8.6301871162285604E-2</v>
      </c>
      <c r="R3183">
        <v>0.983902706801004</v>
      </c>
      <c r="S3183" t="s">
        <v>9853</v>
      </c>
      <c r="T3183" t="s">
        <v>13338</v>
      </c>
      <c r="U3183" t="s">
        <v>13338</v>
      </c>
      <c r="V3183" t="s">
        <v>13338</v>
      </c>
      <c r="W3183" t="s">
        <v>16475</v>
      </c>
      <c r="X3183">
        <v>38</v>
      </c>
      <c r="Y3183" t="s">
        <v>23018</v>
      </c>
      <c r="Z3183" t="s">
        <v>29598</v>
      </c>
      <c r="AA3183">
        <v>0.41829334970181659</v>
      </c>
      <c r="AB3183" t="str">
        <f>HYPERLINK("Melting_Curves/meltCurve_Q07866_3_KLC1.pdf", "Melting_Curves/meltCurve_Q07866_3_KLC1.pdf")</f>
        <v>Melting_Curves/meltCurve_Q07866_3_KLC1.pdf</v>
      </c>
    </row>
    <row r="3184" spans="1:28" x14ac:dyDescent="0.25">
      <c r="A3184" t="s">
        <v>3188</v>
      </c>
      <c r="B3184">
        <v>0.99193492352474899</v>
      </c>
      <c r="C3184">
        <v>0.85787542102056102</v>
      </c>
      <c r="D3184">
        <v>0.899726284388085</v>
      </c>
      <c r="E3184">
        <v>0.74150308109398</v>
      </c>
      <c r="F3184">
        <v>0.22063227544455999</v>
      </c>
      <c r="G3184">
        <v>0.116987321248015</v>
      </c>
      <c r="H3184">
        <v>7.1521563415824094E-2</v>
      </c>
      <c r="I3184">
        <v>9.0412991178352595E-2</v>
      </c>
      <c r="J3184">
        <v>0.104749205150538</v>
      </c>
      <c r="K3184">
        <v>0.11787417687038799</v>
      </c>
      <c r="L3184">
        <v>1785.6707076571399</v>
      </c>
      <c r="M3184">
        <v>35.202985349274897</v>
      </c>
      <c r="N3184">
        <v>51.023680912242597</v>
      </c>
      <c r="O3184">
        <v>50.562126002584598</v>
      </c>
      <c r="P3184">
        <v>-0.15785072460560201</v>
      </c>
      <c r="Q3184">
        <v>9.31177258355185E-2</v>
      </c>
      <c r="R3184">
        <v>0.98007611012644902</v>
      </c>
      <c r="S3184" t="s">
        <v>9854</v>
      </c>
      <c r="T3184" t="s">
        <v>13338</v>
      </c>
      <c r="U3184" t="s">
        <v>13338</v>
      </c>
      <c r="V3184" t="s">
        <v>13338</v>
      </c>
      <c r="W3184" t="s">
        <v>16476</v>
      </c>
      <c r="X3184">
        <v>38</v>
      </c>
      <c r="Y3184" t="s">
        <v>23018</v>
      </c>
      <c r="Z3184" t="s">
        <v>29599</v>
      </c>
      <c r="AA3184">
        <v>0.42144131302933291</v>
      </c>
      <c r="AB3184" t="str">
        <f>HYPERLINK("Melting_Curves/meltCurve_Q07866_6_KLC1.pdf", "Melting_Curves/meltCurve_Q07866_6_KLC1.pdf")</f>
        <v>Melting_Curves/meltCurve_Q07866_6_KLC1.pdf</v>
      </c>
    </row>
    <row r="3185" spans="1:28" x14ac:dyDescent="0.25">
      <c r="A3185" t="s">
        <v>3189</v>
      </c>
      <c r="B3185">
        <v>0.99193492352474899</v>
      </c>
      <c r="C3185">
        <v>1.0677653650171399</v>
      </c>
      <c r="D3185">
        <v>0.95571502612696901</v>
      </c>
      <c r="E3185">
        <v>0.90367966122020804</v>
      </c>
      <c r="F3185">
        <v>0.90400496838019495</v>
      </c>
      <c r="G3185">
        <v>0.53985005481108805</v>
      </c>
      <c r="H3185">
        <v>0.27329595200613499</v>
      </c>
      <c r="I3185">
        <v>0.30730660772104901</v>
      </c>
      <c r="J3185">
        <v>0.48964151565370301</v>
      </c>
      <c r="K3185">
        <v>0.23079819951924299</v>
      </c>
      <c r="L3185">
        <v>2257.6918411112702</v>
      </c>
      <c r="M3185">
        <v>40.594813927251899</v>
      </c>
      <c r="N3185">
        <v>57.065883706784497</v>
      </c>
      <c r="O3185">
        <v>55.480829245349099</v>
      </c>
      <c r="P3185">
        <v>-0.124051118969629</v>
      </c>
      <c r="Q3185">
        <v>0.32183994634692098</v>
      </c>
      <c r="R3185">
        <v>0.94253561884048798</v>
      </c>
      <c r="S3185" t="s">
        <v>9855</v>
      </c>
      <c r="T3185" t="s">
        <v>13338</v>
      </c>
      <c r="U3185" t="s">
        <v>13338</v>
      </c>
      <c r="V3185" t="s">
        <v>13338</v>
      </c>
      <c r="W3185" t="s">
        <v>16477</v>
      </c>
      <c r="X3185">
        <v>5</v>
      </c>
      <c r="Y3185" t="s">
        <v>23019</v>
      </c>
      <c r="Z3185" t="s">
        <v>29600</v>
      </c>
      <c r="AA3185">
        <v>0.67734731424825456</v>
      </c>
      <c r="AB3185" t="str">
        <f>HYPERLINK("Melting_Curves/meltCurve_Q07954_LRP1.pdf", "Melting_Curves/meltCurve_Q07954_LRP1.pdf")</f>
        <v>Melting_Curves/meltCurve_Q07954_LRP1.pdf</v>
      </c>
    </row>
    <row r="3186" spans="1:28" x14ac:dyDescent="0.25">
      <c r="A3186" t="s">
        <v>3190</v>
      </c>
      <c r="B3186">
        <v>0.99193492352474899</v>
      </c>
      <c r="C3186">
        <v>0.99218018876824399</v>
      </c>
      <c r="D3186">
        <v>0.87338973354050997</v>
      </c>
      <c r="E3186">
        <v>0.73916238290412595</v>
      </c>
      <c r="F3186">
        <v>0.28584187219171697</v>
      </c>
      <c r="G3186">
        <v>0.157153722184248</v>
      </c>
      <c r="H3186">
        <v>8.8508274324811495E-2</v>
      </c>
      <c r="I3186">
        <v>0.12959198349169199</v>
      </c>
      <c r="J3186">
        <v>0.117688737695858</v>
      </c>
      <c r="K3186">
        <v>0.15482679108924199</v>
      </c>
      <c r="L3186">
        <v>1445.94378312292</v>
      </c>
      <c r="M3186">
        <v>28.470007448607099</v>
      </c>
      <c r="N3186">
        <v>51.269133704071997</v>
      </c>
      <c r="O3186">
        <v>50.5397099624102</v>
      </c>
      <c r="P3186">
        <v>-0.124331315286437</v>
      </c>
      <c r="Q3186">
        <v>0.117159408410776</v>
      </c>
      <c r="R3186">
        <v>0.99168959011209001</v>
      </c>
      <c r="S3186" t="s">
        <v>9856</v>
      </c>
      <c r="T3186" t="s">
        <v>13338</v>
      </c>
      <c r="U3186" t="s">
        <v>13338</v>
      </c>
      <c r="V3186" t="s">
        <v>13338</v>
      </c>
      <c r="W3186" t="s">
        <v>16478</v>
      </c>
      <c r="X3186">
        <v>20</v>
      </c>
      <c r="Y3186" t="s">
        <v>23020</v>
      </c>
      <c r="Z3186" t="s">
        <v>29601</v>
      </c>
      <c r="AA3186">
        <v>0.44078168269161799</v>
      </c>
      <c r="AB3186" t="str">
        <f>HYPERLINK("Melting_Curves/meltCurve_Q07960_ARHGAP1.pdf", "Melting_Curves/meltCurve_Q07960_ARHGAP1.pdf")</f>
        <v>Melting_Curves/meltCurve_Q07960_ARHGAP1.pdf</v>
      </c>
    </row>
    <row r="3187" spans="1:28" x14ac:dyDescent="0.25">
      <c r="A3187" t="s">
        <v>3191</v>
      </c>
      <c r="B3187">
        <v>0.99193492352474899</v>
      </c>
      <c r="C3187">
        <v>0.61352744439280504</v>
      </c>
      <c r="D3187">
        <v>0.61356596471009694</v>
      </c>
      <c r="E3187">
        <v>0.39621207657542201</v>
      </c>
      <c r="F3187">
        <v>0.208592927125404</v>
      </c>
      <c r="G3187">
        <v>0.17502659233243301</v>
      </c>
      <c r="H3187">
        <v>0.136656844719692</v>
      </c>
      <c r="I3187">
        <v>0.21940905900714899</v>
      </c>
      <c r="J3187">
        <v>0.29304393023874697</v>
      </c>
      <c r="K3187">
        <v>0.56270073944110799</v>
      </c>
      <c r="L3187">
        <v>809.37064856007498</v>
      </c>
      <c r="M3187">
        <v>18.278884821297002</v>
      </c>
      <c r="N3187">
        <v>46.226986481894301</v>
      </c>
      <c r="O3187">
        <v>43.759251838643202</v>
      </c>
      <c r="P3187">
        <v>-7.6387433408918695E-2</v>
      </c>
      <c r="Q3187">
        <v>0.26855486139383</v>
      </c>
      <c r="R3187">
        <v>0.75661850971006905</v>
      </c>
      <c r="S3187" t="s">
        <v>9857</v>
      </c>
      <c r="T3187" t="s">
        <v>13338</v>
      </c>
      <c r="U3187" t="s">
        <v>13338</v>
      </c>
      <c r="V3187" t="s">
        <v>13338</v>
      </c>
      <c r="W3187" t="s">
        <v>16479</v>
      </c>
      <c r="X3187">
        <v>9</v>
      </c>
      <c r="Y3187" t="s">
        <v>23021</v>
      </c>
      <c r="Z3187" t="s">
        <v>29602</v>
      </c>
      <c r="AA3187">
        <v>0.38959104276871709</v>
      </c>
      <c r="AB3187" t="str">
        <f>HYPERLINK("Melting_Curves/meltCurve_Q08170_SRSF4.pdf", "Melting_Curves/meltCurve_Q08170_SRSF4.pdf")</f>
        <v>Melting_Curves/meltCurve_Q08170_SRSF4.pdf</v>
      </c>
    </row>
    <row r="3188" spans="1:28" x14ac:dyDescent="0.25">
      <c r="A3188" t="s">
        <v>3192</v>
      </c>
      <c r="B3188">
        <v>0.99193492352474899</v>
      </c>
      <c r="C3188">
        <v>1.1140628986513299</v>
      </c>
      <c r="D3188">
        <v>0.917260482865766</v>
      </c>
      <c r="E3188">
        <v>0.89049643816239299</v>
      </c>
      <c r="F3188">
        <v>0.44377831122049899</v>
      </c>
      <c r="G3188">
        <v>0.23150809776313699</v>
      </c>
      <c r="H3188">
        <v>7.3200343511192104E-2</v>
      </c>
      <c r="I3188">
        <v>9.3795668754224598E-2</v>
      </c>
      <c r="J3188">
        <v>0.100665897475298</v>
      </c>
      <c r="K3188">
        <v>0.102007832639345</v>
      </c>
      <c r="L3188">
        <v>1496.65280749577</v>
      </c>
      <c r="M3188">
        <v>28.473076998329802</v>
      </c>
      <c r="N3188">
        <v>52.9438358511347</v>
      </c>
      <c r="O3188">
        <v>52.3065573045766</v>
      </c>
      <c r="P3188">
        <v>-0.12351041529786801</v>
      </c>
      <c r="Q3188">
        <v>9.2426475693865001E-2</v>
      </c>
      <c r="R3188">
        <v>0.98640721324796998</v>
      </c>
      <c r="S3188" t="s">
        <v>9858</v>
      </c>
      <c r="T3188" t="s">
        <v>13338</v>
      </c>
      <c r="U3188" t="s">
        <v>13338</v>
      </c>
      <c r="V3188" t="s">
        <v>13338</v>
      </c>
      <c r="W3188" t="s">
        <v>16480</v>
      </c>
      <c r="X3188">
        <v>11</v>
      </c>
      <c r="Y3188" t="s">
        <v>23022</v>
      </c>
      <c r="Z3188" t="s">
        <v>29603</v>
      </c>
      <c r="AA3188">
        <v>0.47899200429647543</v>
      </c>
      <c r="AB3188" t="str">
        <f>HYPERLINK("Melting_Curves/meltCurve_Q08209_2_PPP3CA.pdf", "Melting_Curves/meltCurve_Q08209_2_PPP3CA.pdf")</f>
        <v>Melting_Curves/meltCurve_Q08209_2_PPP3CA.pdf</v>
      </c>
    </row>
    <row r="3189" spans="1:28" x14ac:dyDescent="0.25">
      <c r="A3189" t="s">
        <v>3193</v>
      </c>
      <c r="B3189">
        <v>0.99193492352474899</v>
      </c>
      <c r="C3189">
        <v>0.43711660077994802</v>
      </c>
      <c r="D3189">
        <v>0.769638704528535</v>
      </c>
      <c r="E3189">
        <v>0.39457004593596001</v>
      </c>
      <c r="F3189">
        <v>0.17530813888741001</v>
      </c>
      <c r="G3189">
        <v>8.5227057973704307E-2</v>
      </c>
      <c r="H3189">
        <v>5.4278409586425998E-2</v>
      </c>
      <c r="I3189">
        <v>5.9867175774987499E-2</v>
      </c>
      <c r="J3189">
        <v>8.4131595888007102E-2</v>
      </c>
      <c r="K3189">
        <v>6.6571279369800701E-2</v>
      </c>
      <c r="L3189">
        <v>494.11929093858703</v>
      </c>
      <c r="M3189">
        <v>10.5171433956158</v>
      </c>
      <c r="N3189">
        <v>47.010595366855298</v>
      </c>
      <c r="O3189">
        <v>45.379034883526103</v>
      </c>
      <c r="P3189">
        <v>-5.7780726435042798E-2</v>
      </c>
      <c r="Q3189">
        <v>3.1579398560934902E-3</v>
      </c>
      <c r="R3189">
        <v>0.84163513065875095</v>
      </c>
      <c r="S3189" t="s">
        <v>9859</v>
      </c>
      <c r="T3189" t="s">
        <v>13338</v>
      </c>
      <c r="U3189" t="s">
        <v>13338</v>
      </c>
      <c r="V3189" t="s">
        <v>13338</v>
      </c>
      <c r="W3189" t="s">
        <v>16481</v>
      </c>
      <c r="X3189">
        <v>28</v>
      </c>
      <c r="Y3189" t="s">
        <v>23023</v>
      </c>
      <c r="Z3189" t="s">
        <v>29604</v>
      </c>
      <c r="AA3189">
        <v>0.28796504681929241</v>
      </c>
      <c r="AB3189" t="str">
        <f>HYPERLINK("Melting_Curves/meltCurve_Q08211_DHX9.pdf", "Melting_Curves/meltCurve_Q08211_DHX9.pdf")</f>
        <v>Melting_Curves/meltCurve_Q08211_DHX9.pdf</v>
      </c>
    </row>
    <row r="3190" spans="1:28" x14ac:dyDescent="0.25">
      <c r="A3190" t="s">
        <v>3194</v>
      </c>
      <c r="B3190">
        <v>0.99193492352474899</v>
      </c>
      <c r="C3190">
        <v>0.74394497260956904</v>
      </c>
      <c r="D3190">
        <v>0.84401810977168901</v>
      </c>
      <c r="E3190">
        <v>0.60469204893366701</v>
      </c>
      <c r="F3190">
        <v>0.62261594066794201</v>
      </c>
      <c r="G3190">
        <v>0.36466937788062398</v>
      </c>
      <c r="H3190">
        <v>6.5597479619904198E-2</v>
      </c>
      <c r="I3190">
        <v>7.05683529519254E-2</v>
      </c>
      <c r="J3190">
        <v>5.6562892365734203E-2</v>
      </c>
      <c r="K3190">
        <v>0.108114312308895</v>
      </c>
      <c r="L3190">
        <v>553.59733008959097</v>
      </c>
      <c r="M3190">
        <v>10.521063131269701</v>
      </c>
      <c r="N3190">
        <v>52.617999278989501</v>
      </c>
      <c r="O3190">
        <v>50.823736278757899</v>
      </c>
      <c r="P3190">
        <v>-5.1773447852702E-2</v>
      </c>
      <c r="Q3190">
        <v>0</v>
      </c>
      <c r="R3190">
        <v>0.92900534143160796</v>
      </c>
      <c r="S3190" t="s">
        <v>9860</v>
      </c>
      <c r="T3190" t="s">
        <v>13338</v>
      </c>
      <c r="U3190" t="s">
        <v>13338</v>
      </c>
      <c r="V3190" t="s">
        <v>13338</v>
      </c>
      <c r="W3190" t="s">
        <v>16482</v>
      </c>
      <c r="X3190">
        <v>15</v>
      </c>
      <c r="Y3190" t="s">
        <v>23024</v>
      </c>
      <c r="Z3190" t="s">
        <v>29605</v>
      </c>
      <c r="AA3190">
        <v>0.45449721641868801</v>
      </c>
      <c r="AB3190" t="str">
        <f>HYPERLINK("Melting_Curves/meltCurve_Q08257_CRYZ.pdf", "Melting_Curves/meltCurve_Q08257_CRYZ.pdf")</f>
        <v>Melting_Curves/meltCurve_Q08257_CRYZ.pdf</v>
      </c>
    </row>
    <row r="3191" spans="1:28" x14ac:dyDescent="0.25">
      <c r="A3191" t="s">
        <v>3195</v>
      </c>
      <c r="B3191">
        <v>0.99193492352474899</v>
      </c>
      <c r="C3191">
        <v>1.11011363306629</v>
      </c>
      <c r="D3191">
        <v>0.97273908239710305</v>
      </c>
      <c r="E3191">
        <v>0.89155487983252601</v>
      </c>
      <c r="F3191">
        <v>0.60901658903590195</v>
      </c>
      <c r="G3191">
        <v>0.60467539022080996</v>
      </c>
      <c r="H3191">
        <v>0.37370124823638201</v>
      </c>
      <c r="I3191">
        <v>0.45649343195011099</v>
      </c>
      <c r="J3191">
        <v>0.39650984658005101</v>
      </c>
      <c r="K3191">
        <v>0.51252747354213501</v>
      </c>
      <c r="L3191">
        <v>1271.91733926448</v>
      </c>
      <c r="M3191">
        <v>24.405781282970199</v>
      </c>
      <c r="N3191">
        <v>57.2492389169402</v>
      </c>
      <c r="O3191">
        <v>51.769296083573003</v>
      </c>
      <c r="P3191">
        <v>-6.5534629656569005E-2</v>
      </c>
      <c r="Q3191">
        <v>0.44396260244876801</v>
      </c>
      <c r="R3191">
        <v>0.94235624768661597</v>
      </c>
      <c r="S3191" t="s">
        <v>9861</v>
      </c>
      <c r="T3191" t="s">
        <v>13338</v>
      </c>
      <c r="U3191" t="s">
        <v>13338</v>
      </c>
      <c r="V3191" t="s">
        <v>13338</v>
      </c>
      <c r="W3191" t="s">
        <v>16483</v>
      </c>
      <c r="X3191">
        <v>3</v>
      </c>
      <c r="Y3191" t="s">
        <v>23025</v>
      </c>
      <c r="Z3191" t="s">
        <v>29606</v>
      </c>
      <c r="AA3191">
        <v>0.67383784070337649</v>
      </c>
      <c r="AB3191" t="str">
        <f>HYPERLINK("Melting_Curves/meltCurve_Q08357_SLC20A2.pdf", "Melting_Curves/meltCurve_Q08357_SLC20A2.pdf")</f>
        <v>Melting_Curves/meltCurve_Q08357_SLC20A2.pdf</v>
      </c>
    </row>
    <row r="3192" spans="1:28" x14ac:dyDescent="0.25">
      <c r="A3192" t="s">
        <v>3196</v>
      </c>
      <c r="B3192">
        <v>0.99193492352474899</v>
      </c>
      <c r="C3192">
        <v>0.86432758453940195</v>
      </c>
      <c r="D3192">
        <v>0.79558068575672303</v>
      </c>
      <c r="E3192">
        <v>0.55353309688317898</v>
      </c>
      <c r="F3192">
        <v>0.24844451896643099</v>
      </c>
      <c r="G3192">
        <v>0.15332650125010799</v>
      </c>
      <c r="H3192">
        <v>9.4491210190926295E-2</v>
      </c>
      <c r="I3192">
        <v>0.135465271738865</v>
      </c>
      <c r="J3192">
        <v>0.13651209180065399</v>
      </c>
      <c r="K3192">
        <v>0.16707936975165</v>
      </c>
      <c r="L3192">
        <v>898.67158280858996</v>
      </c>
      <c r="M3192">
        <v>18.353168319281199</v>
      </c>
      <c r="N3192">
        <v>49.671877762932901</v>
      </c>
      <c r="O3192">
        <v>48.395266506947998</v>
      </c>
      <c r="P3192">
        <v>-8.3922590966318295E-2</v>
      </c>
      <c r="Q3192">
        <v>0.114862449843719</v>
      </c>
      <c r="R3192">
        <v>0.98715268814332202</v>
      </c>
      <c r="S3192" t="s">
        <v>9862</v>
      </c>
      <c r="T3192" t="s">
        <v>13338</v>
      </c>
      <c r="U3192" t="s">
        <v>13338</v>
      </c>
      <c r="V3192" t="s">
        <v>13338</v>
      </c>
      <c r="W3192" t="s">
        <v>16484</v>
      </c>
      <c r="X3192">
        <v>34</v>
      </c>
      <c r="Y3192" t="s">
        <v>23026</v>
      </c>
      <c r="Z3192" t="s">
        <v>29607</v>
      </c>
      <c r="AA3192">
        <v>0.39414119659663149</v>
      </c>
      <c r="AB3192" t="str">
        <f>HYPERLINK("Melting_Curves/meltCurve_Q08378_GOLGA3.pdf", "Melting_Curves/meltCurve_Q08378_GOLGA3.pdf")</f>
        <v>Melting_Curves/meltCurve_Q08378_GOLGA3.pdf</v>
      </c>
    </row>
    <row r="3193" spans="1:28" x14ac:dyDescent="0.25">
      <c r="A3193" t="s">
        <v>3197</v>
      </c>
      <c r="B3193">
        <v>0.99193492352474899</v>
      </c>
      <c r="C3193">
        <v>0.683091258387029</v>
      </c>
      <c r="D3193">
        <v>0.59240347959386197</v>
      </c>
      <c r="E3193">
        <v>0.29270567444668499</v>
      </c>
      <c r="F3193">
        <v>0.25411305816913099</v>
      </c>
      <c r="G3193">
        <v>0.14334371865793699</v>
      </c>
      <c r="H3193">
        <v>0.105968391099551</v>
      </c>
      <c r="I3193">
        <v>0.100971870211066</v>
      </c>
      <c r="J3193">
        <v>0.12616396073834399</v>
      </c>
      <c r="K3193">
        <v>0.13020320449686401</v>
      </c>
      <c r="L3193">
        <v>688.63477795188305</v>
      </c>
      <c r="M3193">
        <v>15.0108321601932</v>
      </c>
      <c r="N3193">
        <v>46.631023196656599</v>
      </c>
      <c r="O3193">
        <v>45.084762516429997</v>
      </c>
      <c r="P3193">
        <v>-7.4262893216842901E-2</v>
      </c>
      <c r="Q3193">
        <v>0.107900804248899</v>
      </c>
      <c r="R3193">
        <v>0.97600835438765599</v>
      </c>
      <c r="S3193" t="s">
        <v>9863</v>
      </c>
      <c r="T3193" t="s">
        <v>13338</v>
      </c>
      <c r="U3193" t="s">
        <v>13338</v>
      </c>
      <c r="V3193" t="s">
        <v>13338</v>
      </c>
      <c r="W3193" t="s">
        <v>16485</v>
      </c>
      <c r="X3193">
        <v>6</v>
      </c>
      <c r="Y3193" t="s">
        <v>23027</v>
      </c>
      <c r="Z3193" t="s">
        <v>29608</v>
      </c>
      <c r="AA3193">
        <v>0.30891753784920412</v>
      </c>
      <c r="AB3193" t="str">
        <f>HYPERLINK("Melting_Curves/meltCurve_Q08379_GOLGA2.pdf", "Melting_Curves/meltCurve_Q08379_GOLGA2.pdf")</f>
        <v>Melting_Curves/meltCurve_Q08379_GOLGA2.pdf</v>
      </c>
    </row>
    <row r="3194" spans="1:28" x14ac:dyDescent="0.25">
      <c r="A3194" t="s">
        <v>3198</v>
      </c>
      <c r="B3194">
        <v>0.99193492352474899</v>
      </c>
      <c r="C3194">
        <v>0.94966941476701505</v>
      </c>
      <c r="D3194">
        <v>0.83384000601020503</v>
      </c>
      <c r="E3194">
        <v>0.82181021502959395</v>
      </c>
      <c r="F3194">
        <v>0.75517207015738097</v>
      </c>
      <c r="G3194">
        <v>0.55400851399668205</v>
      </c>
      <c r="H3194">
        <v>0.48169577538835801</v>
      </c>
      <c r="I3194">
        <v>0.45960571893258301</v>
      </c>
      <c r="J3194">
        <v>0.48144110530571599</v>
      </c>
      <c r="K3194">
        <v>0.62624872063744697</v>
      </c>
      <c r="L3194">
        <v>661.53660376356299</v>
      </c>
      <c r="M3194">
        <v>12.9527827790003</v>
      </c>
      <c r="O3194">
        <v>49.901534414855</v>
      </c>
      <c r="P3194">
        <v>-3.3386326197225202E-2</v>
      </c>
      <c r="Q3194">
        <v>0.48559905103303402</v>
      </c>
      <c r="R3194">
        <v>0.89761411122903201</v>
      </c>
      <c r="S3194" t="s">
        <v>9864</v>
      </c>
      <c r="T3194" t="s">
        <v>13338</v>
      </c>
      <c r="U3194" t="s">
        <v>13338</v>
      </c>
      <c r="V3194" t="s">
        <v>13338</v>
      </c>
      <c r="W3194" t="s">
        <v>16486</v>
      </c>
      <c r="X3194">
        <v>11</v>
      </c>
      <c r="Y3194" t="s">
        <v>23028</v>
      </c>
      <c r="Z3194" t="s">
        <v>29609</v>
      </c>
      <c r="AA3194">
        <v>0.69040175346579702</v>
      </c>
      <c r="AB3194" t="str">
        <f>HYPERLINK("Melting_Curves/meltCurve_Q08380_LGALS3BP.pdf", "Melting_Curves/meltCurve_Q08380_LGALS3BP.pdf")</f>
        <v>Melting_Curves/meltCurve_Q08380_LGALS3BP.pdf</v>
      </c>
    </row>
    <row r="3195" spans="1:28" x14ac:dyDescent="0.25">
      <c r="A3195" t="s">
        <v>3199</v>
      </c>
      <c r="B3195">
        <v>0.99193492352474899</v>
      </c>
      <c r="C3195">
        <v>0.66567692123276501</v>
      </c>
      <c r="D3195">
        <v>0.81856851887687798</v>
      </c>
      <c r="E3195">
        <v>0.63588112669857799</v>
      </c>
      <c r="F3195">
        <v>0.425079509716979</v>
      </c>
      <c r="G3195">
        <v>0.32279442728232099</v>
      </c>
      <c r="H3195">
        <v>0.30890187929448998</v>
      </c>
      <c r="I3195">
        <v>0.35652911341885102</v>
      </c>
      <c r="J3195">
        <v>0.36908394247342402</v>
      </c>
      <c r="K3195">
        <v>1.01681640425371</v>
      </c>
      <c r="L3195">
        <v>713.81107761870101</v>
      </c>
      <c r="M3195">
        <v>15.9235692708006</v>
      </c>
      <c r="N3195">
        <v>54.756646978837701</v>
      </c>
      <c r="O3195">
        <v>44.138188454156897</v>
      </c>
      <c r="P3195">
        <v>-4.7612068548622599E-2</v>
      </c>
      <c r="Q3195">
        <v>0.47214258973130102</v>
      </c>
      <c r="R3195">
        <v>0.36058728308212201</v>
      </c>
      <c r="S3195" t="s">
        <v>9865</v>
      </c>
      <c r="T3195" t="s">
        <v>13338</v>
      </c>
      <c r="U3195" t="s">
        <v>13338</v>
      </c>
      <c r="V3195" t="s">
        <v>13338</v>
      </c>
      <c r="W3195" t="s">
        <v>16487</v>
      </c>
      <c r="X3195">
        <v>1</v>
      </c>
      <c r="Y3195" t="s">
        <v>23029</v>
      </c>
      <c r="Z3195" t="s">
        <v>29610</v>
      </c>
      <c r="AA3195">
        <v>0.57230373469268181</v>
      </c>
      <c r="AB3195" t="str">
        <f>HYPERLINK("Melting_Curves/meltCurve_Q08554_2_DSC1.pdf", "Melting_Curves/meltCurve_Q08554_2_DSC1.pdf")</f>
        <v>Melting_Curves/meltCurve_Q08554_2_DSC1.pdf</v>
      </c>
    </row>
    <row r="3196" spans="1:28" x14ac:dyDescent="0.25">
      <c r="A3196" t="s">
        <v>3200</v>
      </c>
      <c r="B3196">
        <v>0.99193492352474899</v>
      </c>
      <c r="C3196">
        <v>0.93047314435615402</v>
      </c>
      <c r="D3196">
        <v>0.99332638158872799</v>
      </c>
      <c r="E3196">
        <v>0.79814463338788999</v>
      </c>
      <c r="F3196">
        <v>0.76198255698588102</v>
      </c>
      <c r="G3196">
        <v>0.59795998996213795</v>
      </c>
      <c r="H3196">
        <v>0.53057173875077102</v>
      </c>
      <c r="I3196">
        <v>0.67186576668348397</v>
      </c>
      <c r="J3196">
        <v>0.88023686759541897</v>
      </c>
      <c r="K3196">
        <v>1.2241934993127199</v>
      </c>
      <c r="L3196">
        <v>3657.90354840789</v>
      </c>
      <c r="M3196">
        <v>76.054777764813593</v>
      </c>
      <c r="O3196">
        <v>48.062426253787699</v>
      </c>
      <c r="P3196">
        <v>-8.7899433338804595E-2</v>
      </c>
      <c r="Q3196">
        <v>0.77780966629862003</v>
      </c>
      <c r="R3196">
        <v>0.189662974502875</v>
      </c>
      <c r="S3196" t="s">
        <v>9866</v>
      </c>
      <c r="T3196" t="s">
        <v>13338</v>
      </c>
      <c r="U3196" t="s">
        <v>13338</v>
      </c>
      <c r="V3196" t="s">
        <v>13338</v>
      </c>
      <c r="W3196" t="s">
        <v>16488</v>
      </c>
      <c r="X3196">
        <v>7</v>
      </c>
      <c r="Y3196" t="s">
        <v>20793</v>
      </c>
      <c r="Z3196" t="s">
        <v>29611</v>
      </c>
      <c r="AA3196">
        <v>0.83797188277712853</v>
      </c>
      <c r="AB3196" t="str">
        <f>HYPERLINK("Melting_Curves/meltCurve_Q08722_CD47.pdf", "Melting_Curves/meltCurve_Q08722_CD47.pdf")</f>
        <v>Melting_Curves/meltCurve_Q08722_CD47.pdf</v>
      </c>
    </row>
    <row r="3197" spans="1:28" x14ac:dyDescent="0.25">
      <c r="A3197" t="s">
        <v>3201</v>
      </c>
      <c r="B3197">
        <v>0.99193492352474899</v>
      </c>
      <c r="C3197">
        <v>0.73324990730814299</v>
      </c>
      <c r="D3197">
        <v>0.64235518396420199</v>
      </c>
      <c r="E3197">
        <v>0.156156308363403</v>
      </c>
      <c r="F3197">
        <v>8.4688803406428106E-2</v>
      </c>
      <c r="G3197">
        <v>4.2692233596532202E-2</v>
      </c>
      <c r="H3197">
        <v>2.5975806987211501E-2</v>
      </c>
      <c r="I3197">
        <v>3.6335131822479001E-2</v>
      </c>
      <c r="J3197">
        <v>3.8341114778131201E-2</v>
      </c>
      <c r="K3197">
        <v>4.3735366690399402E-2</v>
      </c>
      <c r="L3197">
        <v>937.657870287734</v>
      </c>
      <c r="M3197">
        <v>20.257788444025302</v>
      </c>
      <c r="N3197">
        <v>46.400819449504198</v>
      </c>
      <c r="O3197">
        <v>45.842324569949703</v>
      </c>
      <c r="P3197">
        <v>-0.107784624091795</v>
      </c>
      <c r="Q3197">
        <v>2.4386080956706701E-2</v>
      </c>
      <c r="R3197">
        <v>0.97757296665320004</v>
      </c>
      <c r="S3197" t="s">
        <v>9867</v>
      </c>
      <c r="T3197" t="s">
        <v>13338</v>
      </c>
      <c r="U3197" t="s">
        <v>13338</v>
      </c>
      <c r="V3197" t="s">
        <v>13338</v>
      </c>
      <c r="W3197" t="s">
        <v>16489</v>
      </c>
      <c r="X3197">
        <v>21</v>
      </c>
      <c r="Y3197" t="s">
        <v>23030</v>
      </c>
      <c r="Z3197" t="s">
        <v>29612</v>
      </c>
      <c r="AA3197">
        <v>0.24319608367449061</v>
      </c>
      <c r="AB3197" t="str">
        <f>HYPERLINK("Melting_Curves/meltCurve_Q08752_PPID.pdf", "Melting_Curves/meltCurve_Q08752_PPID.pdf")</f>
        <v>Melting_Curves/meltCurve_Q08752_PPID.pdf</v>
      </c>
    </row>
    <row r="3198" spans="1:28" x14ac:dyDescent="0.25">
      <c r="A3198" t="s">
        <v>3202</v>
      </c>
      <c r="B3198">
        <v>0.99193492352474899</v>
      </c>
      <c r="C3198">
        <v>0.60025136709520799</v>
      </c>
      <c r="D3198">
        <v>0.25903069358603498</v>
      </c>
      <c r="E3198">
        <v>0.120008874344727</v>
      </c>
      <c r="F3198">
        <v>7.6191329656214002E-2</v>
      </c>
      <c r="G3198">
        <v>5.0986605204422102E-2</v>
      </c>
      <c r="H3198">
        <v>3.0766739806361399E-2</v>
      </c>
      <c r="I3198">
        <v>4.4755092838481801E-2</v>
      </c>
      <c r="J3198">
        <v>5.2205147176018298E-2</v>
      </c>
      <c r="K3198">
        <v>4.9783489303859702E-2</v>
      </c>
      <c r="L3198">
        <v>1187.51262616074</v>
      </c>
      <c r="M3198">
        <v>27.212544244204</v>
      </c>
      <c r="N3198">
        <v>43.825653539801003</v>
      </c>
      <c r="O3198">
        <v>43.404814655172999</v>
      </c>
      <c r="P3198">
        <v>-0.148137411395239</v>
      </c>
      <c r="Q3198">
        <v>5.4874918920331701E-2</v>
      </c>
      <c r="R3198">
        <v>0.99162531789850406</v>
      </c>
      <c r="S3198" t="s">
        <v>9868</v>
      </c>
      <c r="T3198" t="s">
        <v>13338</v>
      </c>
      <c r="U3198" t="s">
        <v>13338</v>
      </c>
      <c r="V3198" t="s">
        <v>13338</v>
      </c>
      <c r="W3198" t="s">
        <v>16490</v>
      </c>
      <c r="X3198">
        <v>10</v>
      </c>
      <c r="Y3198" t="s">
        <v>23031</v>
      </c>
      <c r="Z3198" t="s">
        <v>29613</v>
      </c>
      <c r="AA3198">
        <v>0.17893688428362201</v>
      </c>
      <c r="AB3198" t="str">
        <f>HYPERLINK("Melting_Curves/meltCurve_Q08881_ITK.pdf", "Melting_Curves/meltCurve_Q08881_ITK.pdf")</f>
        <v>Melting_Curves/meltCurve_Q08881_ITK.pdf</v>
      </c>
    </row>
    <row r="3199" spans="1:28" x14ac:dyDescent="0.25">
      <c r="A3199" t="s">
        <v>3203</v>
      </c>
      <c r="B3199">
        <v>0.99193492352474899</v>
      </c>
      <c r="C3199">
        <v>0.83872390002581498</v>
      </c>
      <c r="D3199">
        <v>0.86642220114172497</v>
      </c>
      <c r="E3199">
        <v>0.51550871707047197</v>
      </c>
      <c r="F3199">
        <v>0.49054785290698999</v>
      </c>
      <c r="G3199">
        <v>0.267621235190034</v>
      </c>
      <c r="H3199">
        <v>0.15151133457333099</v>
      </c>
      <c r="I3199">
        <v>0.14435200828390099</v>
      </c>
      <c r="J3199">
        <v>0.143010563047241</v>
      </c>
      <c r="K3199">
        <v>0.146521396491015</v>
      </c>
      <c r="L3199">
        <v>615.77815183278506</v>
      </c>
      <c r="M3199">
        <v>12.1834796587436</v>
      </c>
      <c r="N3199">
        <v>51.394451948304003</v>
      </c>
      <c r="O3199">
        <v>49.2382728247185</v>
      </c>
      <c r="P3199">
        <v>-5.6213683224758802E-2</v>
      </c>
      <c r="Q3199">
        <v>9.1479759436080402E-2</v>
      </c>
      <c r="R3199">
        <v>0.97357087110774798</v>
      </c>
      <c r="S3199" t="s">
        <v>9869</v>
      </c>
      <c r="T3199" t="s">
        <v>13338</v>
      </c>
      <c r="U3199" t="s">
        <v>13338</v>
      </c>
      <c r="V3199" t="s">
        <v>13338</v>
      </c>
      <c r="W3199" t="s">
        <v>16491</v>
      </c>
      <c r="X3199">
        <v>23</v>
      </c>
      <c r="Y3199" t="s">
        <v>23032</v>
      </c>
      <c r="Z3199" t="s">
        <v>29614</v>
      </c>
      <c r="AA3199">
        <v>0.44050811690541969</v>
      </c>
      <c r="AB3199" t="str">
        <f>HYPERLINK("Melting_Curves/meltCurve_Q08945_SSRP1.pdf", "Melting_Curves/meltCurve_Q08945_SSRP1.pdf")</f>
        <v>Melting_Curves/meltCurve_Q08945_SSRP1.pdf</v>
      </c>
    </row>
    <row r="3200" spans="1:28" x14ac:dyDescent="0.25">
      <c r="A3200" t="s">
        <v>3204</v>
      </c>
      <c r="B3200">
        <v>0.99193492352474899</v>
      </c>
      <c r="C3200">
        <v>0.572636969337599</v>
      </c>
      <c r="D3200">
        <v>0.91221877235104798</v>
      </c>
      <c r="E3200">
        <v>0.50515834528569503</v>
      </c>
      <c r="F3200">
        <v>0.16792088009529099</v>
      </c>
      <c r="G3200">
        <v>0.126782985282093</v>
      </c>
      <c r="H3200">
        <v>0.113088734307943</v>
      </c>
      <c r="I3200">
        <v>0.12047275986478399</v>
      </c>
      <c r="J3200">
        <v>0.13714551830223501</v>
      </c>
      <c r="K3200">
        <v>0.20238239735222899</v>
      </c>
      <c r="L3200">
        <v>721.62029908572299</v>
      </c>
      <c r="M3200">
        <v>14.969459844591301</v>
      </c>
      <c r="N3200">
        <v>48.9468191040691</v>
      </c>
      <c r="O3200">
        <v>47.370434316308099</v>
      </c>
      <c r="P3200">
        <v>-7.1002899009779394E-2</v>
      </c>
      <c r="Q3200">
        <v>0.101345026835167</v>
      </c>
      <c r="R3200">
        <v>0.84275721571379403</v>
      </c>
      <c r="S3200" t="s">
        <v>9870</v>
      </c>
      <c r="T3200" t="s">
        <v>13338</v>
      </c>
      <c r="U3200" t="s">
        <v>13338</v>
      </c>
      <c r="V3200" t="s">
        <v>13338</v>
      </c>
      <c r="W3200" t="s">
        <v>16492</v>
      </c>
      <c r="X3200">
        <v>1</v>
      </c>
      <c r="Y3200" t="s">
        <v>23033</v>
      </c>
      <c r="Z3200" t="s">
        <v>29615</v>
      </c>
      <c r="AA3200">
        <v>0.37016149397789549</v>
      </c>
      <c r="AB3200" t="str">
        <f>HYPERLINK("Melting_Curves/meltCurve_Q08AD1_2_CAMSAP2.pdf", "Melting_Curves/meltCurve_Q08AD1_2_CAMSAP2.pdf")</f>
        <v>Melting_Curves/meltCurve_Q08AD1_2_CAMSAP2.pdf</v>
      </c>
    </row>
    <row r="3201" spans="1:28" x14ac:dyDescent="0.25">
      <c r="A3201" t="s">
        <v>3205</v>
      </c>
      <c r="B3201">
        <v>0.99193492352474899</v>
      </c>
      <c r="C3201">
        <v>0.81556816719203995</v>
      </c>
      <c r="D3201">
        <v>1.02021470054074</v>
      </c>
      <c r="E3201">
        <v>0.66843470452765597</v>
      </c>
      <c r="F3201">
        <v>0.27656971655788698</v>
      </c>
      <c r="G3201">
        <v>0.110629929240685</v>
      </c>
      <c r="H3201">
        <v>4.9984939752607697E-2</v>
      </c>
      <c r="I3201">
        <v>5.2226638212908398E-2</v>
      </c>
      <c r="J3201">
        <v>5.8557567956542399E-2</v>
      </c>
      <c r="K3201">
        <v>4.6324403110975201E-2</v>
      </c>
      <c r="L3201">
        <v>1388.5636287288501</v>
      </c>
      <c r="M3201">
        <v>27.294113080424498</v>
      </c>
      <c r="N3201">
        <v>51.071539687530901</v>
      </c>
      <c r="O3201">
        <v>50.603365814325699</v>
      </c>
      <c r="P3201">
        <v>-0.128093213384434</v>
      </c>
      <c r="Q3201">
        <v>5.0068243725392203E-2</v>
      </c>
      <c r="R3201">
        <v>0.97606338829121098</v>
      </c>
      <c r="S3201" t="s">
        <v>9871</v>
      </c>
      <c r="T3201" t="s">
        <v>13338</v>
      </c>
      <c r="U3201" t="s">
        <v>13338</v>
      </c>
      <c r="V3201" t="s">
        <v>13338</v>
      </c>
      <c r="W3201" t="s">
        <v>16493</v>
      </c>
      <c r="X3201">
        <v>14</v>
      </c>
      <c r="Y3201" t="s">
        <v>23034</v>
      </c>
      <c r="Z3201" t="s">
        <v>29616</v>
      </c>
      <c r="AA3201">
        <v>0.40159057019845579</v>
      </c>
      <c r="AB3201" t="str">
        <f>HYPERLINK("Melting_Curves/meltCurve_Q08AF3_SLFN5.pdf", "Melting_Curves/meltCurve_Q08AF3_SLFN5.pdf")</f>
        <v>Melting_Curves/meltCurve_Q08AF3_SLFN5.pdf</v>
      </c>
    </row>
    <row r="3202" spans="1:28" x14ac:dyDescent="0.25">
      <c r="A3202" t="s">
        <v>3206</v>
      </c>
      <c r="B3202">
        <v>0.99193492352474899</v>
      </c>
      <c r="C3202">
        <v>0.77041023826505395</v>
      </c>
      <c r="D3202">
        <v>0.78087917858626699</v>
      </c>
      <c r="E3202">
        <v>0.60375189600612</v>
      </c>
      <c r="F3202">
        <v>0.51670520021843303</v>
      </c>
      <c r="G3202">
        <v>0.41918386066230701</v>
      </c>
      <c r="H3202">
        <v>0.32454071594909001</v>
      </c>
      <c r="I3202">
        <v>0.26910764322805902</v>
      </c>
      <c r="J3202">
        <v>0.27910915428183602</v>
      </c>
      <c r="K3202">
        <v>0.29449502762936702</v>
      </c>
      <c r="L3202">
        <v>455.424365682705</v>
      </c>
      <c r="M3202">
        <v>9.1331118964545404</v>
      </c>
      <c r="N3202">
        <v>53.066908124267499</v>
      </c>
      <c r="O3202">
        <v>47.649057658294304</v>
      </c>
      <c r="P3202">
        <v>-3.77943217497929E-2</v>
      </c>
      <c r="Q3202">
        <v>0.21182282759516999</v>
      </c>
      <c r="R3202">
        <v>0.97327248037987402</v>
      </c>
      <c r="S3202" t="s">
        <v>9872</v>
      </c>
      <c r="T3202" t="s">
        <v>13338</v>
      </c>
      <c r="U3202" t="s">
        <v>13338</v>
      </c>
      <c r="V3202" t="s">
        <v>13338</v>
      </c>
      <c r="W3202" t="s">
        <v>16494</v>
      </c>
      <c r="X3202">
        <v>3</v>
      </c>
      <c r="Y3202" t="s">
        <v>23035</v>
      </c>
      <c r="Z3202" t="s">
        <v>29617</v>
      </c>
      <c r="AA3202">
        <v>0.51164209428975427</v>
      </c>
      <c r="AB3202" t="str">
        <f>HYPERLINK("Melting_Curves/meltCurve_Q08AG7_MZT1.pdf", "Melting_Curves/meltCurve_Q08AG7_MZT1.pdf")</f>
        <v>Melting_Curves/meltCurve_Q08AG7_MZT1.pdf</v>
      </c>
    </row>
    <row r="3203" spans="1:28" x14ac:dyDescent="0.25">
      <c r="A3203" t="s">
        <v>3207</v>
      </c>
      <c r="B3203">
        <v>0.99193492352474899</v>
      </c>
      <c r="C3203">
        <v>0.84262450882373896</v>
      </c>
      <c r="D3203">
        <v>0.95561122327625303</v>
      </c>
      <c r="E3203">
        <v>0.78908604229916102</v>
      </c>
      <c r="F3203">
        <v>0.71813576977160898</v>
      </c>
      <c r="G3203">
        <v>0.162728865119457</v>
      </c>
      <c r="H3203">
        <v>5.58928460181468E-2</v>
      </c>
      <c r="I3203">
        <v>6.1567208837207898E-2</v>
      </c>
      <c r="J3203">
        <v>6.9819193736443894E-2</v>
      </c>
      <c r="K3203">
        <v>6.1560688222857603E-2</v>
      </c>
      <c r="L3203">
        <v>1583.8858256978599</v>
      </c>
      <c r="M3203">
        <v>29.302843912462698</v>
      </c>
      <c r="N3203">
        <v>54.215796451014299</v>
      </c>
      <c r="O3203">
        <v>53.802429213533003</v>
      </c>
      <c r="P3203">
        <v>-0.13040220816527401</v>
      </c>
      <c r="Q3203">
        <v>4.2290184294217603E-2</v>
      </c>
      <c r="R3203">
        <v>0.961112880182598</v>
      </c>
      <c r="S3203" t="s">
        <v>9873</v>
      </c>
      <c r="T3203" t="s">
        <v>13338</v>
      </c>
      <c r="U3203" t="s">
        <v>13338</v>
      </c>
      <c r="V3203" t="s">
        <v>13338</v>
      </c>
      <c r="W3203" t="s">
        <v>16495</v>
      </c>
      <c r="X3203">
        <v>11</v>
      </c>
      <c r="Y3203" t="s">
        <v>23036</v>
      </c>
      <c r="Z3203" t="s">
        <v>29618</v>
      </c>
      <c r="AA3203">
        <v>0.49747634223852399</v>
      </c>
      <c r="AB3203" t="str">
        <f>HYPERLINK("Melting_Curves/meltCurve_Q08AM6_VAC14.pdf", "Melting_Curves/meltCurve_Q08AM6_VAC14.pdf")</f>
        <v>Melting_Curves/meltCurve_Q08AM6_VAC14.pdf</v>
      </c>
    </row>
    <row r="3204" spans="1:28" x14ac:dyDescent="0.25">
      <c r="A3204" t="s">
        <v>3208</v>
      </c>
      <c r="B3204">
        <v>0.99193492352474899</v>
      </c>
      <c r="C3204">
        <v>0.92760811096599705</v>
      </c>
      <c r="D3204">
        <v>0.448621677267379</v>
      </c>
      <c r="E3204">
        <v>0.20218199331511499</v>
      </c>
      <c r="F3204">
        <v>0.131023667777521</v>
      </c>
      <c r="G3204">
        <v>8.3614942543094595E-2</v>
      </c>
      <c r="H3204">
        <v>5.6129232911379501E-2</v>
      </c>
      <c r="I3204">
        <v>5.9508154516565999E-2</v>
      </c>
      <c r="J3204">
        <v>7.1581351101846297E-2</v>
      </c>
      <c r="K3204">
        <v>7.5223911783886502E-2</v>
      </c>
      <c r="L3204">
        <v>1424.6148864665099</v>
      </c>
      <c r="M3204">
        <v>31.231121393948801</v>
      </c>
      <c r="N3204">
        <v>45.8809238752578</v>
      </c>
      <c r="O3204">
        <v>45.429437087440199</v>
      </c>
      <c r="P3204">
        <v>-0.15764991548423399</v>
      </c>
      <c r="Q3204">
        <v>8.2721765958515395E-2</v>
      </c>
      <c r="R3204">
        <v>0.99326945028943503</v>
      </c>
      <c r="S3204" t="s">
        <v>9874</v>
      </c>
      <c r="T3204" t="s">
        <v>13338</v>
      </c>
      <c r="U3204" t="s">
        <v>13338</v>
      </c>
      <c r="V3204" t="s">
        <v>13338</v>
      </c>
      <c r="W3204" t="s">
        <v>16496</v>
      </c>
      <c r="X3204">
        <v>35</v>
      </c>
      <c r="Y3204" t="s">
        <v>23037</v>
      </c>
      <c r="Z3204" t="s">
        <v>29619</v>
      </c>
      <c r="AA3204">
        <v>0.25958728060532948</v>
      </c>
      <c r="AB3204" t="str">
        <f>HYPERLINK("Melting_Curves/meltCurve_Q08J23_NSUN2.pdf", "Melting_Curves/meltCurve_Q08J23_NSUN2.pdf")</f>
        <v>Melting_Curves/meltCurve_Q08J23_NSUN2.pdf</v>
      </c>
    </row>
    <row r="3205" spans="1:28" x14ac:dyDescent="0.25">
      <c r="A3205" t="s">
        <v>3209</v>
      </c>
      <c r="B3205">
        <v>0.99193492352474899</v>
      </c>
      <c r="C3205">
        <v>0.98421006596994998</v>
      </c>
      <c r="D3205">
        <v>0.93598667539705604</v>
      </c>
      <c r="E3205">
        <v>0.81965888621440297</v>
      </c>
      <c r="F3205">
        <v>0.792695183612103</v>
      </c>
      <c r="G3205">
        <v>0.58590550841533695</v>
      </c>
      <c r="H3205">
        <v>0.36861051957553198</v>
      </c>
      <c r="I3205">
        <v>0.18228319956120601</v>
      </c>
      <c r="J3205">
        <v>0.17091693318805301</v>
      </c>
      <c r="K3205">
        <v>0.164819425442333</v>
      </c>
      <c r="L3205">
        <v>709.87625554723297</v>
      </c>
      <c r="M3205">
        <v>12.2989721960047</v>
      </c>
      <c r="N3205">
        <v>57.953150252074401</v>
      </c>
      <c r="O3205">
        <v>56.256081482088298</v>
      </c>
      <c r="P3205">
        <v>-5.33393475527515E-2</v>
      </c>
      <c r="Q3205">
        <v>2.4307006812086598E-2</v>
      </c>
      <c r="R3205">
        <v>0.98759029983230495</v>
      </c>
      <c r="S3205" t="s">
        <v>9875</v>
      </c>
      <c r="T3205" t="s">
        <v>13338</v>
      </c>
      <c r="U3205" t="s">
        <v>13338</v>
      </c>
      <c r="V3205" t="s">
        <v>13338</v>
      </c>
      <c r="W3205" t="s">
        <v>16497</v>
      </c>
      <c r="X3205">
        <v>17</v>
      </c>
      <c r="Y3205" t="s">
        <v>23038</v>
      </c>
      <c r="Z3205" t="s">
        <v>29620</v>
      </c>
      <c r="AA3205">
        <v>0.6143036314141439</v>
      </c>
      <c r="AB3205" t="str">
        <f>HYPERLINK("Melting_Curves/meltCurve_Q09028_3_RBBP4.pdf", "Melting_Curves/meltCurve_Q09028_3_RBBP4.pdf")</f>
        <v>Melting_Curves/meltCurve_Q09028_3_RBBP4.pdf</v>
      </c>
    </row>
    <row r="3206" spans="1:28" x14ac:dyDescent="0.25">
      <c r="A3206" t="s">
        <v>3210</v>
      </c>
      <c r="B3206">
        <v>0.99193492352474899</v>
      </c>
      <c r="C3206">
        <v>0.79233590723968705</v>
      </c>
      <c r="D3206">
        <v>0.90030624465295805</v>
      </c>
      <c r="E3206">
        <v>0.59318044958599503</v>
      </c>
      <c r="F3206">
        <v>0.28932795650044502</v>
      </c>
      <c r="G3206">
        <v>9.5791145975805E-2</v>
      </c>
      <c r="H3206">
        <v>4.92037908364472E-2</v>
      </c>
      <c r="I3206">
        <v>6.0442649913968798E-2</v>
      </c>
      <c r="J3206">
        <v>6.3457075394221199E-2</v>
      </c>
      <c r="K3206">
        <v>5.9621118247684499E-2</v>
      </c>
      <c r="L3206">
        <v>927.40285964440295</v>
      </c>
      <c r="M3206">
        <v>18.4552876961897</v>
      </c>
      <c r="N3206">
        <v>50.442344452181402</v>
      </c>
      <c r="O3206">
        <v>49.672492423246801</v>
      </c>
      <c r="P3206">
        <v>-8.9754278778069893E-2</v>
      </c>
      <c r="Q3206">
        <v>3.3747253213577903E-2</v>
      </c>
      <c r="R3206">
        <v>0.97493936472054599</v>
      </c>
      <c r="S3206" t="s">
        <v>9876</v>
      </c>
      <c r="T3206" t="s">
        <v>13338</v>
      </c>
      <c r="U3206" t="s">
        <v>13338</v>
      </c>
      <c r="V3206" t="s">
        <v>13338</v>
      </c>
      <c r="W3206" t="s">
        <v>16498</v>
      </c>
      <c r="X3206">
        <v>22</v>
      </c>
      <c r="Y3206" t="s">
        <v>23039</v>
      </c>
      <c r="Z3206" t="s">
        <v>29621</v>
      </c>
      <c r="AA3206">
        <v>0.37959775575562871</v>
      </c>
      <c r="AB3206" t="str">
        <f>HYPERLINK("Melting_Curves/meltCurve_Q09161_NCBP1.pdf", "Melting_Curves/meltCurve_Q09161_NCBP1.pdf")</f>
        <v>Melting_Curves/meltCurve_Q09161_NCBP1.pdf</v>
      </c>
    </row>
    <row r="3207" spans="1:28" x14ac:dyDescent="0.25">
      <c r="A3207" t="s">
        <v>3211</v>
      </c>
      <c r="B3207">
        <v>0.99193492352474899</v>
      </c>
      <c r="C3207">
        <v>0.93781023055933599</v>
      </c>
      <c r="D3207">
        <v>0.91453367488514903</v>
      </c>
      <c r="E3207">
        <v>0.74814269179445902</v>
      </c>
      <c r="F3207">
        <v>0.63416974572982199</v>
      </c>
      <c r="G3207">
        <v>0.28812817636855798</v>
      </c>
      <c r="H3207">
        <v>0.12697936727172399</v>
      </c>
      <c r="I3207">
        <v>0.114651036149199</v>
      </c>
      <c r="J3207">
        <v>0.13146708924553999</v>
      </c>
      <c r="K3207">
        <v>8.6204294760902703E-2</v>
      </c>
      <c r="L3207">
        <v>845.10935151343699</v>
      </c>
      <c r="M3207">
        <v>15.792776564145001</v>
      </c>
      <c r="N3207">
        <v>53.906647682745202</v>
      </c>
      <c r="O3207">
        <v>52.676453563518102</v>
      </c>
      <c r="P3207">
        <v>-7.0869543764039603E-2</v>
      </c>
      <c r="Q3207">
        <v>5.4543229580048203E-2</v>
      </c>
      <c r="R3207">
        <v>0.987282092892248</v>
      </c>
      <c r="S3207" t="s">
        <v>9877</v>
      </c>
      <c r="T3207" t="s">
        <v>13338</v>
      </c>
      <c r="U3207" t="s">
        <v>13338</v>
      </c>
      <c r="V3207" t="s">
        <v>13338</v>
      </c>
      <c r="W3207" t="s">
        <v>16499</v>
      </c>
      <c r="X3207">
        <v>4</v>
      </c>
      <c r="Y3207" t="s">
        <v>23040</v>
      </c>
      <c r="Z3207" t="s">
        <v>29622</v>
      </c>
      <c r="AA3207">
        <v>0.4989378706365733</v>
      </c>
      <c r="AB3207" t="str">
        <f>HYPERLINK("Melting_Curves/meltCurve_Q09328_MGAT5.pdf", "Melting_Curves/meltCurve_Q09328_MGAT5.pdf")</f>
        <v>Melting_Curves/meltCurve_Q09328_MGAT5.pdf</v>
      </c>
    </row>
    <row r="3208" spans="1:28" x14ac:dyDescent="0.25">
      <c r="A3208" t="s">
        <v>3212</v>
      </c>
      <c r="B3208">
        <v>0.99193492352474899</v>
      </c>
      <c r="C3208">
        <v>0.84371784684850704</v>
      </c>
      <c r="D3208">
        <v>0.82726522889790599</v>
      </c>
      <c r="E3208">
        <v>0.70852629825526803</v>
      </c>
      <c r="F3208">
        <v>0.315360468237321</v>
      </c>
      <c r="G3208">
        <v>0.129647812842867</v>
      </c>
      <c r="H3208">
        <v>8.6670955546304898E-2</v>
      </c>
      <c r="I3208">
        <v>0.12121996664173</v>
      </c>
      <c r="J3208">
        <v>0.15454263254393399</v>
      </c>
      <c r="K3208">
        <v>0.18967201091642599</v>
      </c>
      <c r="L3208">
        <v>1030.0376658615501</v>
      </c>
      <c r="M3208">
        <v>20.460385743524899</v>
      </c>
      <c r="N3208">
        <v>50.992826339356498</v>
      </c>
      <c r="O3208">
        <v>49.869515658290403</v>
      </c>
      <c r="P3208">
        <v>-9.08020753352623E-2</v>
      </c>
      <c r="Q3208">
        <v>0.11475357486273099</v>
      </c>
      <c r="R3208">
        <v>0.964318358395442</v>
      </c>
      <c r="S3208" t="s">
        <v>9878</v>
      </c>
      <c r="T3208" t="s">
        <v>13338</v>
      </c>
      <c r="U3208" t="s">
        <v>13338</v>
      </c>
      <c r="V3208" t="s">
        <v>13338</v>
      </c>
      <c r="W3208" t="s">
        <v>16500</v>
      </c>
      <c r="X3208">
        <v>12</v>
      </c>
      <c r="Y3208" t="s">
        <v>23041</v>
      </c>
      <c r="Z3208" t="s">
        <v>29623</v>
      </c>
      <c r="AA3208">
        <v>0.43173865369626679</v>
      </c>
      <c r="AB3208" t="str">
        <f>HYPERLINK("Melting_Curves/meltCurve_Q09472_EP300.pdf", "Melting_Curves/meltCurve_Q09472_EP300.pdf")</f>
        <v>Melting_Curves/meltCurve_Q09472_EP300.pdf</v>
      </c>
    </row>
    <row r="3209" spans="1:28" x14ac:dyDescent="0.25">
      <c r="A3209" t="s">
        <v>3213</v>
      </c>
      <c r="B3209">
        <v>0.99193492352474899</v>
      </c>
      <c r="C3209">
        <v>0.80188369041852703</v>
      </c>
      <c r="D3209">
        <v>0.71730959238733705</v>
      </c>
      <c r="E3209">
        <v>0.47949203999359302</v>
      </c>
      <c r="F3209">
        <v>0.385904340193159</v>
      </c>
      <c r="G3209">
        <v>0.35329171808954302</v>
      </c>
      <c r="H3209">
        <v>0.37079766608298997</v>
      </c>
      <c r="I3209">
        <v>0.37915069553943398</v>
      </c>
      <c r="J3209">
        <v>0.510672121528156</v>
      </c>
      <c r="K3209">
        <v>0.732012931212772</v>
      </c>
      <c r="L3209">
        <v>1044.5954315756801</v>
      </c>
      <c r="M3209">
        <v>23.2778593054786</v>
      </c>
      <c r="N3209">
        <v>49.955312717596797</v>
      </c>
      <c r="O3209">
        <v>44.547815457768003</v>
      </c>
      <c r="P3209">
        <v>-7.1440967023817706E-2</v>
      </c>
      <c r="Q3209">
        <v>0.45313146406139698</v>
      </c>
      <c r="R3209">
        <v>0.73232801207768194</v>
      </c>
      <c r="S3209" t="s">
        <v>9879</v>
      </c>
      <c r="T3209" t="s">
        <v>13338</v>
      </c>
      <c r="U3209" t="s">
        <v>13338</v>
      </c>
      <c r="V3209" t="s">
        <v>13338</v>
      </c>
      <c r="W3209" t="s">
        <v>16501</v>
      </c>
      <c r="X3209">
        <v>138</v>
      </c>
      <c r="Y3209" t="s">
        <v>23042</v>
      </c>
      <c r="Z3209" t="s">
        <v>29624</v>
      </c>
      <c r="AA3209">
        <v>0.54855562321905915</v>
      </c>
      <c r="AB3209" t="str">
        <f>HYPERLINK("Melting_Curves/meltCurve_Q09666_AHNAK.pdf", "Melting_Curves/meltCurve_Q09666_AHNAK.pdf")</f>
        <v>Melting_Curves/meltCurve_Q09666_AHNAK.pdf</v>
      </c>
    </row>
    <row r="3210" spans="1:28" x14ac:dyDescent="0.25">
      <c r="A3210" t="s">
        <v>3214</v>
      </c>
      <c r="B3210">
        <v>0.99193492352474899</v>
      </c>
      <c r="C3210">
        <v>0.77976097645966402</v>
      </c>
      <c r="D3210">
        <v>1.01546783564915</v>
      </c>
      <c r="E3210">
        <v>0.74009283139915105</v>
      </c>
      <c r="F3210">
        <v>0.92988242357830597</v>
      </c>
      <c r="G3210">
        <v>0.68718719676950701</v>
      </c>
      <c r="H3210">
        <v>0.41156745763545999</v>
      </c>
      <c r="I3210">
        <v>0.38434118895356401</v>
      </c>
      <c r="J3210">
        <v>0.39431803275100202</v>
      </c>
      <c r="K3210">
        <v>0.34736146660015499</v>
      </c>
      <c r="L3210">
        <v>541.467862388458</v>
      </c>
      <c r="M3210">
        <v>9.2198643779223097</v>
      </c>
      <c r="N3210">
        <v>61.325652308509497</v>
      </c>
      <c r="O3210">
        <v>56.163769449466898</v>
      </c>
      <c r="P3210">
        <v>-3.4429467173046201E-2</v>
      </c>
      <c r="Q3210">
        <v>0.16163281759869499</v>
      </c>
      <c r="R3210">
        <v>0.83840570361725397</v>
      </c>
      <c r="S3210" t="s">
        <v>9880</v>
      </c>
      <c r="T3210" t="s">
        <v>13338</v>
      </c>
      <c r="U3210" t="s">
        <v>13338</v>
      </c>
      <c r="V3210" t="s">
        <v>13338</v>
      </c>
      <c r="W3210" t="s">
        <v>16502</v>
      </c>
      <c r="X3210">
        <v>4</v>
      </c>
      <c r="Y3210" t="s">
        <v>23043</v>
      </c>
      <c r="Z3210" t="s">
        <v>29625</v>
      </c>
      <c r="AA3210">
        <v>0.68721420787437704</v>
      </c>
      <c r="AB3210" t="str">
        <f>HYPERLINK("Melting_Curves/meltCurve_Q0PNE2_ELP6.pdf", "Melting_Curves/meltCurve_Q0PNE2_ELP6.pdf")</f>
        <v>Melting_Curves/meltCurve_Q0PNE2_ELP6.pdf</v>
      </c>
    </row>
    <row r="3211" spans="1:28" x14ac:dyDescent="0.25">
      <c r="A3211" t="s">
        <v>3215</v>
      </c>
      <c r="B3211">
        <v>0.99193492352474899</v>
      </c>
      <c r="C3211">
        <v>0.86884697410923795</v>
      </c>
      <c r="D3211">
        <v>0.89283831299326499</v>
      </c>
      <c r="E3211">
        <v>0.69741657384923195</v>
      </c>
      <c r="F3211">
        <v>0.64723279700910996</v>
      </c>
      <c r="G3211">
        <v>0.48355056986626799</v>
      </c>
      <c r="H3211">
        <v>0.36725437576362702</v>
      </c>
      <c r="I3211">
        <v>0.45651029076965199</v>
      </c>
      <c r="J3211">
        <v>0.53611224346800201</v>
      </c>
      <c r="K3211">
        <v>0.681521400767921</v>
      </c>
      <c r="L3211">
        <v>840.48819799667501</v>
      </c>
      <c r="M3211">
        <v>17.362118883375</v>
      </c>
      <c r="O3211">
        <v>47.780796985010603</v>
      </c>
      <c r="P3211">
        <v>-4.5098316839342997E-2</v>
      </c>
      <c r="Q3211">
        <v>0.50358340972230997</v>
      </c>
      <c r="R3211">
        <v>0.81289375223197102</v>
      </c>
      <c r="S3211" t="s">
        <v>9881</v>
      </c>
      <c r="T3211" t="s">
        <v>13338</v>
      </c>
      <c r="U3211" t="s">
        <v>13338</v>
      </c>
      <c r="V3211" t="s">
        <v>13338</v>
      </c>
      <c r="W3211" t="s">
        <v>16503</v>
      </c>
      <c r="X3211">
        <v>17</v>
      </c>
      <c r="Y3211" t="s">
        <v>23044</v>
      </c>
      <c r="Z3211" t="s">
        <v>29626</v>
      </c>
      <c r="AA3211">
        <v>0.65210912388219933</v>
      </c>
      <c r="AB3211" t="str">
        <f>HYPERLINK("Melting_Curves/meltCurve_Q0VD83_APOBR.pdf", "Melting_Curves/meltCurve_Q0VD83_APOBR.pdf")</f>
        <v>Melting_Curves/meltCurve_Q0VD83_APOBR.pdf</v>
      </c>
    </row>
    <row r="3212" spans="1:28" x14ac:dyDescent="0.25">
      <c r="A3212" t="s">
        <v>3216</v>
      </c>
      <c r="B3212">
        <v>0.99193492352474899</v>
      </c>
      <c r="C3212">
        <v>0.71847875958291496</v>
      </c>
      <c r="D3212">
        <v>0.47964375839704598</v>
      </c>
      <c r="E3212">
        <v>0.19865623295535301</v>
      </c>
      <c r="F3212">
        <v>0.115600165840618</v>
      </c>
      <c r="G3212">
        <v>6.2961412738506597E-2</v>
      </c>
      <c r="H3212">
        <v>4.62783683736488E-2</v>
      </c>
      <c r="I3212">
        <v>5.2622917882194899E-2</v>
      </c>
      <c r="J3212">
        <v>6.2282019413935998E-2</v>
      </c>
      <c r="K3212">
        <v>6.0415038519645303E-2</v>
      </c>
      <c r="L3212">
        <v>876.40457355448495</v>
      </c>
      <c r="M3212">
        <v>19.333447668541801</v>
      </c>
      <c r="N3212">
        <v>45.594069030146301</v>
      </c>
      <c r="O3212">
        <v>44.854375244551598</v>
      </c>
      <c r="P3212">
        <v>-0.10207309369659499</v>
      </c>
      <c r="Q3212">
        <v>5.2780542761879302E-2</v>
      </c>
      <c r="R3212">
        <v>0.99381763015726299</v>
      </c>
      <c r="S3212" t="s">
        <v>9882</v>
      </c>
      <c r="T3212" t="s">
        <v>13338</v>
      </c>
      <c r="U3212" t="s">
        <v>13338</v>
      </c>
      <c r="V3212" t="s">
        <v>13338</v>
      </c>
      <c r="W3212" t="s">
        <v>16504</v>
      </c>
      <c r="X3212">
        <v>13</v>
      </c>
      <c r="Y3212" t="s">
        <v>23045</v>
      </c>
      <c r="Z3212" t="s">
        <v>29627</v>
      </c>
      <c r="AA3212">
        <v>0.237852377463946</v>
      </c>
      <c r="AB3212" t="str">
        <f>HYPERLINK("Melting_Curves/meltCurve_Q0VDF9_HSPA14.pdf", "Melting_Curves/meltCurve_Q0VDF9_HSPA14.pdf")</f>
        <v>Melting_Curves/meltCurve_Q0VDF9_HSPA14.pdf</v>
      </c>
    </row>
    <row r="3213" spans="1:28" x14ac:dyDescent="0.25">
      <c r="A3213" t="s">
        <v>3217</v>
      </c>
      <c r="B3213">
        <v>0.99193492352474899</v>
      </c>
      <c r="C3213">
        <v>0.88212014047036102</v>
      </c>
      <c r="D3213">
        <v>0.81059599077550204</v>
      </c>
      <c r="E3213">
        <v>0.54940077668774501</v>
      </c>
      <c r="F3213">
        <v>0.22557877849638999</v>
      </c>
      <c r="G3213">
        <v>0.107835221735194</v>
      </c>
      <c r="H3213">
        <v>7.7700844372512401E-2</v>
      </c>
      <c r="I3213">
        <v>7.4720794252186501E-2</v>
      </c>
      <c r="J3213">
        <v>9.6409965404833403E-2</v>
      </c>
      <c r="K3213">
        <v>8.4691637913621998E-2</v>
      </c>
      <c r="L3213">
        <v>936.48959072612104</v>
      </c>
      <c r="M3213">
        <v>18.979138517006</v>
      </c>
      <c r="N3213">
        <v>49.702476858837002</v>
      </c>
      <c r="O3213">
        <v>48.805073604386003</v>
      </c>
      <c r="P3213">
        <v>-9.0989541531925996E-2</v>
      </c>
      <c r="Q3213">
        <v>6.4114486104399501E-2</v>
      </c>
      <c r="R3213">
        <v>0.99323348498734199</v>
      </c>
      <c r="S3213" t="s">
        <v>9883</v>
      </c>
      <c r="T3213" t="s">
        <v>13338</v>
      </c>
      <c r="U3213" t="s">
        <v>13338</v>
      </c>
      <c r="V3213" t="s">
        <v>13338</v>
      </c>
      <c r="W3213" t="s">
        <v>16505</v>
      </c>
      <c r="X3213">
        <v>7</v>
      </c>
      <c r="Y3213" t="s">
        <v>23046</v>
      </c>
      <c r="Z3213" t="s">
        <v>29628</v>
      </c>
      <c r="AA3213">
        <v>0.37009741306492921</v>
      </c>
      <c r="AB3213" t="str">
        <f>HYPERLINK("Melting_Curves/meltCurve_Q0VDG4_SCRN3.pdf", "Melting_Curves/meltCurve_Q0VDG4_SCRN3.pdf")</f>
        <v>Melting_Curves/meltCurve_Q0VDG4_SCRN3.pdf</v>
      </c>
    </row>
    <row r="3214" spans="1:28" x14ac:dyDescent="0.25">
      <c r="A3214" t="s">
        <v>3218</v>
      </c>
      <c r="B3214">
        <v>0.99193492352474899</v>
      </c>
      <c r="C3214">
        <v>1.2675258010425701</v>
      </c>
      <c r="D3214">
        <v>0.99211740260293302</v>
      </c>
      <c r="E3214">
        <v>0.92918828469537096</v>
      </c>
      <c r="F3214">
        <v>0.81175275724858797</v>
      </c>
      <c r="G3214">
        <v>0.66231836627740504</v>
      </c>
      <c r="H3214">
        <v>0.39006545575720197</v>
      </c>
      <c r="I3214">
        <v>0.321747417999317</v>
      </c>
      <c r="J3214">
        <v>0.233361535444091</v>
      </c>
      <c r="K3214">
        <v>0.206416507982013</v>
      </c>
      <c r="L3214">
        <v>959.84002577597596</v>
      </c>
      <c r="M3214">
        <v>16.646392802288702</v>
      </c>
      <c r="N3214">
        <v>59.096806520700099</v>
      </c>
      <c r="O3214">
        <v>56.847691828976501</v>
      </c>
      <c r="P3214">
        <v>-6.1031155705891897E-2</v>
      </c>
      <c r="Q3214">
        <v>0.16636655334592901</v>
      </c>
      <c r="R3214">
        <v>0.93968021837643201</v>
      </c>
      <c r="S3214" t="s">
        <v>9884</v>
      </c>
      <c r="T3214" t="s">
        <v>13338</v>
      </c>
      <c r="U3214" t="s">
        <v>13338</v>
      </c>
      <c r="V3214" t="s">
        <v>13338</v>
      </c>
      <c r="W3214" t="s">
        <v>16506</v>
      </c>
      <c r="X3214">
        <v>3</v>
      </c>
      <c r="Y3214" t="s">
        <v>23047</v>
      </c>
      <c r="Z3214" t="s">
        <v>29629</v>
      </c>
      <c r="AA3214">
        <v>0.66845969695178598</v>
      </c>
      <c r="AB3214" t="str">
        <f>HYPERLINK("Melting_Curves/meltCurve_Q0VGL1_LAMTOR4.pdf", "Melting_Curves/meltCurve_Q0VGL1_LAMTOR4.pdf")</f>
        <v>Melting_Curves/meltCurve_Q0VGL1_LAMTOR4.pdf</v>
      </c>
    </row>
    <row r="3215" spans="1:28" x14ac:dyDescent="0.25">
      <c r="A3215" t="s">
        <v>3219</v>
      </c>
      <c r="B3215">
        <v>0.99193492352474899</v>
      </c>
      <c r="C3215">
        <v>0.98601550715727504</v>
      </c>
      <c r="D3215">
        <v>0.90690206607122803</v>
      </c>
      <c r="E3215">
        <v>0.78298062247557199</v>
      </c>
      <c r="F3215">
        <v>0.42989119760290201</v>
      </c>
      <c r="G3215">
        <v>0.17919959307826</v>
      </c>
      <c r="H3215">
        <v>0.102619157781349</v>
      </c>
      <c r="I3215">
        <v>9.1551608212434493E-2</v>
      </c>
      <c r="J3215">
        <v>0.109664321438423</v>
      </c>
      <c r="K3215">
        <v>0.14106371832095199</v>
      </c>
      <c r="L3215">
        <v>1232.6724734100001</v>
      </c>
      <c r="M3215">
        <v>23.772831818609301</v>
      </c>
      <c r="N3215">
        <v>52.335148398636697</v>
      </c>
      <c r="O3215">
        <v>51.4894236114433</v>
      </c>
      <c r="P3215">
        <v>-0.104058052787735</v>
      </c>
      <c r="Q3215">
        <v>9.8500132581554697E-2</v>
      </c>
      <c r="R3215">
        <v>0.99585330413645601</v>
      </c>
      <c r="S3215" t="s">
        <v>9885</v>
      </c>
      <c r="T3215" t="s">
        <v>13338</v>
      </c>
      <c r="U3215" t="s">
        <v>13338</v>
      </c>
      <c r="V3215" t="s">
        <v>13338</v>
      </c>
      <c r="W3215" t="s">
        <v>16507</v>
      </c>
      <c r="X3215">
        <v>6</v>
      </c>
      <c r="Y3215" t="s">
        <v>23048</v>
      </c>
      <c r="Z3215" t="s">
        <v>29630</v>
      </c>
      <c r="AA3215">
        <v>0.4637089116172648</v>
      </c>
      <c r="AB3215" t="str">
        <f>HYPERLINK("Melting_Curves/meltCurve_Q10469_MGAT2.pdf", "Melting_Curves/meltCurve_Q10469_MGAT2.pdf")</f>
        <v>Melting_Curves/meltCurve_Q10469_MGAT2.pdf</v>
      </c>
    </row>
    <row r="3216" spans="1:28" x14ac:dyDescent="0.25">
      <c r="A3216" t="s">
        <v>3220</v>
      </c>
      <c r="B3216">
        <v>0.99193492352474899</v>
      </c>
      <c r="C3216">
        <v>1.01165833434013</v>
      </c>
      <c r="D3216">
        <v>0.98243396258399096</v>
      </c>
      <c r="E3216">
        <v>0.66302618129642799</v>
      </c>
      <c r="F3216">
        <v>0.21102000250522099</v>
      </c>
      <c r="G3216">
        <v>0.13125202308497899</v>
      </c>
      <c r="H3216">
        <v>7.6981083271017894E-2</v>
      </c>
      <c r="I3216">
        <v>8.0367369490106394E-2</v>
      </c>
      <c r="J3216">
        <v>9.3694860384485698E-2</v>
      </c>
      <c r="K3216">
        <v>7.5045627327388495E-2</v>
      </c>
      <c r="L3216">
        <v>1747.4106811530601</v>
      </c>
      <c r="M3216">
        <v>34.677330597667201</v>
      </c>
      <c r="N3216">
        <v>50.668850419069599</v>
      </c>
      <c r="O3216">
        <v>50.223869726605599</v>
      </c>
      <c r="P3216">
        <v>-0.15764798481975101</v>
      </c>
      <c r="Q3216">
        <v>8.6704215844689903E-2</v>
      </c>
      <c r="R3216">
        <v>0.99903995214170505</v>
      </c>
      <c r="S3216" t="s">
        <v>9886</v>
      </c>
      <c r="T3216" t="s">
        <v>13338</v>
      </c>
      <c r="U3216" t="s">
        <v>13338</v>
      </c>
      <c r="V3216" t="s">
        <v>13338</v>
      </c>
      <c r="W3216" t="s">
        <v>16508</v>
      </c>
      <c r="X3216">
        <v>18</v>
      </c>
      <c r="Y3216" t="s">
        <v>23049</v>
      </c>
      <c r="Z3216" t="s">
        <v>29631</v>
      </c>
      <c r="AA3216">
        <v>0.40727059795596182</v>
      </c>
      <c r="AB3216" t="str">
        <f>HYPERLINK("Melting_Curves/meltCurve_Q10471_GALNT2.pdf", "Melting_Curves/meltCurve_Q10471_GALNT2.pdf")</f>
        <v>Melting_Curves/meltCurve_Q10471_GALNT2.pdf</v>
      </c>
    </row>
    <row r="3217" spans="1:28" x14ac:dyDescent="0.25">
      <c r="A3217" t="s">
        <v>3221</v>
      </c>
      <c r="B3217">
        <v>0.99193492352474899</v>
      </c>
      <c r="C3217">
        <v>0.76743368180293703</v>
      </c>
      <c r="D3217">
        <v>0.912067475884492</v>
      </c>
      <c r="E3217">
        <v>0.51885236778570998</v>
      </c>
      <c r="F3217">
        <v>0.35888183780102401</v>
      </c>
      <c r="G3217">
        <v>0.1367772706315</v>
      </c>
      <c r="H3217">
        <v>5.6261096005816101E-2</v>
      </c>
      <c r="I3217">
        <v>5.52497101810542E-2</v>
      </c>
      <c r="J3217">
        <v>5.8312460028584402E-2</v>
      </c>
      <c r="K3217">
        <v>5.6317491304516E-2</v>
      </c>
      <c r="L3217">
        <v>738.14426410495696</v>
      </c>
      <c r="M3217">
        <v>14.6798528419933</v>
      </c>
      <c r="N3217">
        <v>50.400079739251701</v>
      </c>
      <c r="O3217">
        <v>49.377356968880001</v>
      </c>
      <c r="P3217">
        <v>-7.3085000614231801E-2</v>
      </c>
      <c r="Q3217">
        <v>1.6789110071874499E-2</v>
      </c>
      <c r="R3217">
        <v>0.96602224847210105</v>
      </c>
      <c r="S3217" t="s">
        <v>9887</v>
      </c>
      <c r="T3217" t="s">
        <v>13338</v>
      </c>
      <c r="U3217" t="s">
        <v>13338</v>
      </c>
      <c r="V3217" t="s">
        <v>13338</v>
      </c>
      <c r="W3217" t="s">
        <v>16509</v>
      </c>
      <c r="X3217">
        <v>39</v>
      </c>
      <c r="Y3217" t="s">
        <v>23050</v>
      </c>
      <c r="Z3217" t="s">
        <v>29632</v>
      </c>
      <c r="AA3217">
        <v>0.37791332111868042</v>
      </c>
      <c r="AB3217" t="str">
        <f>HYPERLINK("Melting_Curves/meltCurve_Q10567_2_AP1B1.pdf", "Melting_Curves/meltCurve_Q10567_2_AP1B1.pdf")</f>
        <v>Melting_Curves/meltCurve_Q10567_2_AP1B1.pdf</v>
      </c>
    </row>
    <row r="3218" spans="1:28" x14ac:dyDescent="0.25">
      <c r="A3218" t="s">
        <v>3222</v>
      </c>
      <c r="B3218">
        <v>0.99193492352474899</v>
      </c>
      <c r="C3218">
        <v>0.76503469678799196</v>
      </c>
      <c r="D3218">
        <v>0.70187760655486897</v>
      </c>
      <c r="E3218">
        <v>0.40253819678011699</v>
      </c>
      <c r="F3218">
        <v>0.18601077292797899</v>
      </c>
      <c r="G3218">
        <v>0.107292974586104</v>
      </c>
      <c r="H3218">
        <v>7.0246395946121407E-2</v>
      </c>
      <c r="I3218">
        <v>7.8416302816659497E-2</v>
      </c>
      <c r="J3218">
        <v>9.25264621641083E-2</v>
      </c>
      <c r="K3218">
        <v>0.11092230054991201</v>
      </c>
      <c r="L3218">
        <v>746.27667985725304</v>
      </c>
      <c r="M3218">
        <v>15.702746275456599</v>
      </c>
      <c r="N3218">
        <v>47.956519780380603</v>
      </c>
      <c r="O3218">
        <v>46.774503152501197</v>
      </c>
      <c r="P3218">
        <v>-7.8407859221884604E-2</v>
      </c>
      <c r="Q3218">
        <v>6.5850584483232E-2</v>
      </c>
      <c r="R3218">
        <v>0.98490515150288005</v>
      </c>
      <c r="S3218" t="s">
        <v>9888</v>
      </c>
      <c r="T3218" t="s">
        <v>13338</v>
      </c>
      <c r="U3218" t="s">
        <v>13338</v>
      </c>
      <c r="V3218" t="s">
        <v>13338</v>
      </c>
      <c r="W3218" t="s">
        <v>16510</v>
      </c>
      <c r="X3218">
        <v>30</v>
      </c>
      <c r="Y3218" t="s">
        <v>23051</v>
      </c>
      <c r="Z3218" t="s">
        <v>29633</v>
      </c>
      <c r="AA3218">
        <v>0.3226010737313757</v>
      </c>
      <c r="AB3218" t="str">
        <f>HYPERLINK("Melting_Curves/meltCurve_Q10570_CPSF1.pdf", "Melting_Curves/meltCurve_Q10570_CPSF1.pdf")</f>
        <v>Melting_Curves/meltCurve_Q10570_CPSF1.pdf</v>
      </c>
    </row>
    <row r="3219" spans="1:28" x14ac:dyDescent="0.25">
      <c r="A3219" t="s">
        <v>3223</v>
      </c>
      <c r="B3219">
        <v>0.99193492352474899</v>
      </c>
      <c r="C3219">
        <v>0.865755373096327</v>
      </c>
      <c r="D3219">
        <v>1.0454620941939201</v>
      </c>
      <c r="E3219">
        <v>0.62967379746227203</v>
      </c>
      <c r="F3219">
        <v>0.55796762287939305</v>
      </c>
      <c r="G3219">
        <v>0.36448904988282199</v>
      </c>
      <c r="H3219">
        <v>0.34032513857709801</v>
      </c>
      <c r="I3219">
        <v>0.56916762178768399</v>
      </c>
      <c r="J3219">
        <v>0.47410744395072602</v>
      </c>
      <c r="K3219">
        <v>0.783788018100953</v>
      </c>
      <c r="L3219">
        <v>11948.3175376371</v>
      </c>
      <c r="M3219">
        <v>242.06556601518301</v>
      </c>
      <c r="O3219">
        <v>49.356469824519102</v>
      </c>
      <c r="P3219">
        <v>-0.59469435708408003</v>
      </c>
      <c r="Q3219">
        <v>0.51497414565254296</v>
      </c>
      <c r="R3219">
        <v>0.72855152787704602</v>
      </c>
      <c r="S3219" t="s">
        <v>9889</v>
      </c>
      <c r="T3219" t="s">
        <v>13338</v>
      </c>
      <c r="U3219" t="s">
        <v>13338</v>
      </c>
      <c r="V3219" t="s">
        <v>13338</v>
      </c>
      <c r="W3219" t="s">
        <v>16511</v>
      </c>
      <c r="X3219">
        <v>3</v>
      </c>
      <c r="Y3219" t="s">
        <v>23052</v>
      </c>
      <c r="Z3219" t="s">
        <v>29634</v>
      </c>
      <c r="AA3219">
        <v>0.66634443662079967</v>
      </c>
      <c r="AB3219" t="str">
        <f>HYPERLINK("Melting_Curves/meltCurve_Q10589_BST2.pdf", "Melting_Curves/meltCurve_Q10589_BST2.pdf")</f>
        <v>Melting_Curves/meltCurve_Q10589_BST2.pdf</v>
      </c>
    </row>
    <row r="3220" spans="1:28" x14ac:dyDescent="0.25">
      <c r="A3220" t="s">
        <v>3224</v>
      </c>
      <c r="B3220">
        <v>0.99193492352474899</v>
      </c>
      <c r="C3220">
        <v>1.1515002156171401</v>
      </c>
      <c r="D3220">
        <v>0.98596436881621496</v>
      </c>
      <c r="E3220">
        <v>0.92078566584635002</v>
      </c>
      <c r="F3220">
        <v>0.31465078788978801</v>
      </c>
      <c r="G3220">
        <v>0.13169976409667999</v>
      </c>
      <c r="H3220">
        <v>7.6367492189445496E-2</v>
      </c>
      <c r="I3220">
        <v>8.6537834318000204E-2</v>
      </c>
      <c r="J3220">
        <v>8.4449619004998505E-2</v>
      </c>
      <c r="K3220">
        <v>8.8593684836090397E-2</v>
      </c>
      <c r="L3220">
        <v>2473.1788028154801</v>
      </c>
      <c r="M3220">
        <v>47.576031917354896</v>
      </c>
      <c r="N3220">
        <v>52.2001069858498</v>
      </c>
      <c r="O3220">
        <v>51.892121094530197</v>
      </c>
      <c r="P3220">
        <v>-0.20869344543922</v>
      </c>
      <c r="Q3220">
        <v>8.9496690687948299E-2</v>
      </c>
      <c r="R3220">
        <v>0.98754793246516204</v>
      </c>
      <c r="S3220" t="s">
        <v>9890</v>
      </c>
      <c r="T3220" t="s">
        <v>13338</v>
      </c>
      <c r="U3220" t="s">
        <v>13338</v>
      </c>
      <c r="V3220" t="s">
        <v>13338</v>
      </c>
      <c r="W3220" t="s">
        <v>16512</v>
      </c>
      <c r="X3220">
        <v>20</v>
      </c>
      <c r="Y3220" t="s">
        <v>23053</v>
      </c>
      <c r="Z3220" t="s">
        <v>29635</v>
      </c>
      <c r="AA3220">
        <v>0.45551074782537898</v>
      </c>
      <c r="AB3220" t="str">
        <f>HYPERLINK("Melting_Curves/meltCurve_Q10713_PMPCA.pdf", "Melting_Curves/meltCurve_Q10713_PMPCA.pdf")</f>
        <v>Melting_Curves/meltCurve_Q10713_PMPCA.pdf</v>
      </c>
    </row>
    <row r="3221" spans="1:28" x14ac:dyDescent="0.25">
      <c r="A3221" t="s">
        <v>3225</v>
      </c>
      <c r="B3221">
        <v>0.99193492352474899</v>
      </c>
      <c r="C3221">
        <v>1.01676769163795</v>
      </c>
      <c r="D3221">
        <v>0.85840126955824103</v>
      </c>
      <c r="E3221">
        <v>0.72076709977908404</v>
      </c>
      <c r="F3221">
        <v>0.28237323310769702</v>
      </c>
      <c r="G3221">
        <v>0.15897783289992601</v>
      </c>
      <c r="H3221">
        <v>0.100622301794658</v>
      </c>
      <c r="I3221">
        <v>0.12580883958560701</v>
      </c>
      <c r="J3221">
        <v>0.139950486839516</v>
      </c>
      <c r="K3221">
        <v>0.14708340683712101</v>
      </c>
      <c r="L3221">
        <v>1365.6182865646799</v>
      </c>
      <c r="M3221">
        <v>26.979991574271001</v>
      </c>
      <c r="N3221">
        <v>51.140810604968699</v>
      </c>
      <c r="O3221">
        <v>50.340360434425101</v>
      </c>
      <c r="P3221">
        <v>-0.117785279939704</v>
      </c>
      <c r="Q3221">
        <v>0.120934835264266</v>
      </c>
      <c r="R3221">
        <v>0.99102483335637903</v>
      </c>
      <c r="S3221" t="s">
        <v>9891</v>
      </c>
      <c r="T3221" t="s">
        <v>13338</v>
      </c>
      <c r="U3221" t="s">
        <v>13338</v>
      </c>
      <c r="V3221" t="s">
        <v>13338</v>
      </c>
      <c r="W3221" t="s">
        <v>16513</v>
      </c>
      <c r="X3221">
        <v>15</v>
      </c>
      <c r="Y3221" t="s">
        <v>23054</v>
      </c>
      <c r="Z3221" t="s">
        <v>29636</v>
      </c>
      <c r="AA3221">
        <v>0.43880006688200301</v>
      </c>
      <c r="AB3221" t="str">
        <f>HYPERLINK("Melting_Curves/meltCurve_Q12765_SCRN1.pdf", "Melting_Curves/meltCurve_Q12765_SCRN1.pdf")</f>
        <v>Melting_Curves/meltCurve_Q12765_SCRN1.pdf</v>
      </c>
    </row>
    <row r="3222" spans="1:28" x14ac:dyDescent="0.25">
      <c r="A3222" t="s">
        <v>3226</v>
      </c>
      <c r="B3222">
        <v>0.99193492352474899</v>
      </c>
      <c r="C3222">
        <v>0.98740968506645599</v>
      </c>
      <c r="D3222">
        <v>0.98602717963067599</v>
      </c>
      <c r="E3222">
        <v>0.559300053546121</v>
      </c>
      <c r="F3222">
        <v>0.215658654456506</v>
      </c>
      <c r="G3222">
        <v>0.12955533691729801</v>
      </c>
      <c r="H3222">
        <v>7.0239334010929799E-2</v>
      </c>
      <c r="I3222">
        <v>8.55926707677655E-2</v>
      </c>
      <c r="J3222">
        <v>8.4463139136787699E-2</v>
      </c>
      <c r="K3222">
        <v>0.10257305604595</v>
      </c>
      <c r="L3222">
        <v>1638.87147026613</v>
      </c>
      <c r="M3222">
        <v>32.899812855814503</v>
      </c>
      <c r="N3222">
        <v>50.129122609614903</v>
      </c>
      <c r="O3222">
        <v>49.631044164268197</v>
      </c>
      <c r="P3222">
        <v>-0.15024194741800301</v>
      </c>
      <c r="Q3222">
        <v>9.3413558280685594E-2</v>
      </c>
      <c r="R3222">
        <v>0.99739216922606899</v>
      </c>
      <c r="S3222" t="s">
        <v>9892</v>
      </c>
      <c r="T3222" t="s">
        <v>13338</v>
      </c>
      <c r="U3222" t="s">
        <v>13338</v>
      </c>
      <c r="V3222" t="s">
        <v>13338</v>
      </c>
      <c r="W3222" t="s">
        <v>16514</v>
      </c>
      <c r="X3222">
        <v>13</v>
      </c>
      <c r="Y3222" t="s">
        <v>23055</v>
      </c>
      <c r="Z3222" t="s">
        <v>29637</v>
      </c>
      <c r="AA3222">
        <v>0.39462525361928752</v>
      </c>
      <c r="AB3222" t="str">
        <f>HYPERLINK("Melting_Curves/meltCurve_Q12768_KIAA0196.pdf", "Melting_Curves/meltCurve_Q12768_KIAA0196.pdf")</f>
        <v>Melting_Curves/meltCurve_Q12768_KIAA0196.pdf</v>
      </c>
    </row>
    <row r="3223" spans="1:28" x14ac:dyDescent="0.25">
      <c r="A3223" t="s">
        <v>3227</v>
      </c>
      <c r="B3223">
        <v>0.99193492352474899</v>
      </c>
      <c r="C3223">
        <v>0.89448431610735901</v>
      </c>
      <c r="D3223">
        <v>0.92213384787233998</v>
      </c>
      <c r="E3223">
        <v>0.70000794827566903</v>
      </c>
      <c r="F3223">
        <v>0.39447878066284198</v>
      </c>
      <c r="G3223">
        <v>0.15531769458390099</v>
      </c>
      <c r="H3223">
        <v>9.80749242625861E-2</v>
      </c>
      <c r="I3223">
        <v>0.14709260258913201</v>
      </c>
      <c r="J3223">
        <v>0.17088574879954899</v>
      </c>
      <c r="K3223">
        <v>0.15055018283721899</v>
      </c>
      <c r="L3223">
        <v>1164.6120461417299</v>
      </c>
      <c r="M3223">
        <v>22.859270012896999</v>
      </c>
      <c r="N3223">
        <v>51.610173516943803</v>
      </c>
      <c r="O3223">
        <v>50.561942211875603</v>
      </c>
      <c r="P3223">
        <v>-9.8644835876416204E-2</v>
      </c>
      <c r="Q3223">
        <v>0.12725481438026301</v>
      </c>
      <c r="R3223">
        <v>0.98666992696169997</v>
      </c>
      <c r="S3223" t="s">
        <v>9893</v>
      </c>
      <c r="T3223" t="s">
        <v>13338</v>
      </c>
      <c r="U3223" t="s">
        <v>13338</v>
      </c>
      <c r="V3223" t="s">
        <v>13338</v>
      </c>
      <c r="W3223" t="s">
        <v>16515</v>
      </c>
      <c r="X3223">
        <v>12</v>
      </c>
      <c r="Y3223" t="s">
        <v>23056</v>
      </c>
      <c r="Z3223" t="s">
        <v>29638</v>
      </c>
      <c r="AA3223">
        <v>0.45510796334877812</v>
      </c>
      <c r="AB3223" t="str">
        <f>HYPERLINK("Melting_Curves/meltCurve_Q12769_NUP160.pdf", "Melting_Curves/meltCurve_Q12769_NUP160.pdf")</f>
        <v>Melting_Curves/meltCurve_Q12769_NUP160.pdf</v>
      </c>
    </row>
    <row r="3224" spans="1:28" x14ac:dyDescent="0.25">
      <c r="A3224" t="s">
        <v>3228</v>
      </c>
      <c r="B3224">
        <v>0.99193492352474899</v>
      </c>
      <c r="C3224">
        <v>0.91798826219724405</v>
      </c>
      <c r="D3224">
        <v>0.92496207347965098</v>
      </c>
      <c r="E3224">
        <v>0.51253686942206</v>
      </c>
      <c r="F3224">
        <v>0.28621175919905301</v>
      </c>
      <c r="G3224">
        <v>0.169101475292704</v>
      </c>
      <c r="H3224">
        <v>9.6907301005566701E-2</v>
      </c>
      <c r="I3224">
        <v>0.104339880845499</v>
      </c>
      <c r="J3224">
        <v>9.2498714827181805E-2</v>
      </c>
      <c r="K3224">
        <v>0.117902302283089</v>
      </c>
      <c r="L3224">
        <v>1126.0107847537399</v>
      </c>
      <c r="M3224">
        <v>22.708286784291602</v>
      </c>
      <c r="N3224">
        <v>50.098326086989303</v>
      </c>
      <c r="O3224">
        <v>49.206161891957798</v>
      </c>
      <c r="P3224">
        <v>-0.103418740707179</v>
      </c>
      <c r="Q3224">
        <v>0.103633110041519</v>
      </c>
      <c r="R3224">
        <v>0.99285295676759999</v>
      </c>
      <c r="S3224" t="s">
        <v>9894</v>
      </c>
      <c r="T3224" t="s">
        <v>13338</v>
      </c>
      <c r="U3224" t="s">
        <v>13338</v>
      </c>
      <c r="V3224" t="s">
        <v>13338</v>
      </c>
      <c r="W3224" t="s">
        <v>16516</v>
      </c>
      <c r="X3224">
        <v>25</v>
      </c>
      <c r="Y3224" t="s">
        <v>23057</v>
      </c>
      <c r="Z3224" t="s">
        <v>29639</v>
      </c>
      <c r="AA3224">
        <v>0.39974381994823982</v>
      </c>
      <c r="AB3224" t="str">
        <f>HYPERLINK("Melting_Curves/meltCurve_Q12788_TBL3.pdf", "Melting_Curves/meltCurve_Q12788_TBL3.pdf")</f>
        <v>Melting_Curves/meltCurve_Q12788_TBL3.pdf</v>
      </c>
    </row>
    <row r="3225" spans="1:28" x14ac:dyDescent="0.25">
      <c r="A3225" t="s">
        <v>3229</v>
      </c>
      <c r="B3225">
        <v>0.99193492352474899</v>
      </c>
      <c r="C3225">
        <v>1.0854197759906501</v>
      </c>
      <c r="D3225">
        <v>0.86397403112358195</v>
      </c>
      <c r="E3225">
        <v>0.83819907535464799</v>
      </c>
      <c r="F3225">
        <v>0.22900985248446201</v>
      </c>
      <c r="G3225">
        <v>0.124485644794322</v>
      </c>
      <c r="H3225">
        <v>6.3046667530776798E-2</v>
      </c>
      <c r="I3225">
        <v>6.2352312916897898E-2</v>
      </c>
      <c r="J3225">
        <v>6.9448582692320696E-2</v>
      </c>
      <c r="K3225">
        <v>8.6109637025378299E-2</v>
      </c>
      <c r="L3225">
        <v>2157.0981506285202</v>
      </c>
      <c r="M3225">
        <v>42.056987012432202</v>
      </c>
      <c r="N3225">
        <v>51.490994293110397</v>
      </c>
      <c r="O3225">
        <v>51.174336423215998</v>
      </c>
      <c r="P3225">
        <v>-0.189898585461312</v>
      </c>
      <c r="Q3225">
        <v>7.5738138947750902E-2</v>
      </c>
      <c r="R3225">
        <v>0.98510335246592096</v>
      </c>
      <c r="S3225" t="s">
        <v>9895</v>
      </c>
      <c r="T3225" t="s">
        <v>13338</v>
      </c>
      <c r="U3225" t="s">
        <v>13338</v>
      </c>
      <c r="V3225" t="s">
        <v>13338</v>
      </c>
      <c r="W3225" t="s">
        <v>16517</v>
      </c>
      <c r="X3225">
        <v>2</v>
      </c>
      <c r="Y3225" t="s">
        <v>23058</v>
      </c>
      <c r="Z3225" t="s">
        <v>29640</v>
      </c>
      <c r="AA3225">
        <v>0.42652683617569681</v>
      </c>
      <c r="AB3225" t="str">
        <f>HYPERLINK("Melting_Curves/meltCurve_Q12789_3_GTF3C1.pdf", "Melting_Curves/meltCurve_Q12789_3_GTF3C1.pdf")</f>
        <v>Melting_Curves/meltCurve_Q12789_3_GTF3C1.pdf</v>
      </c>
    </row>
    <row r="3226" spans="1:28" x14ac:dyDescent="0.25">
      <c r="A3226" t="s">
        <v>3230</v>
      </c>
      <c r="B3226">
        <v>0.99193492352474899</v>
      </c>
      <c r="C3226">
        <v>0.60029739336984</v>
      </c>
      <c r="D3226">
        <v>0.87537717279874705</v>
      </c>
      <c r="E3226">
        <v>0.57203501297191195</v>
      </c>
      <c r="F3226">
        <v>0.49666028938411</v>
      </c>
      <c r="G3226">
        <v>0.15414673131631301</v>
      </c>
      <c r="H3226">
        <v>9.7032327122441295E-2</v>
      </c>
      <c r="I3226">
        <v>9.1377200281796203E-2</v>
      </c>
      <c r="J3226">
        <v>9.4472164327742802E-2</v>
      </c>
      <c r="K3226">
        <v>0.11928689075813</v>
      </c>
      <c r="L3226">
        <v>501.13765859658798</v>
      </c>
      <c r="M3226">
        <v>9.8677988612290601</v>
      </c>
      <c r="N3226">
        <v>50.785151342179098</v>
      </c>
      <c r="O3226">
        <v>48.831390321366698</v>
      </c>
      <c r="P3226">
        <v>-5.0545605703988299E-2</v>
      </c>
      <c r="Q3226">
        <v>0</v>
      </c>
      <c r="R3226">
        <v>0.88708293891102197</v>
      </c>
      <c r="S3226" t="s">
        <v>9896</v>
      </c>
      <c r="T3226" t="s">
        <v>13338</v>
      </c>
      <c r="U3226" t="s">
        <v>13338</v>
      </c>
      <c r="V3226" t="s">
        <v>13338</v>
      </c>
      <c r="W3226" t="s">
        <v>16518</v>
      </c>
      <c r="X3226">
        <v>9</v>
      </c>
      <c r="Y3226" t="s">
        <v>23059</v>
      </c>
      <c r="Z3226" t="s">
        <v>29641</v>
      </c>
      <c r="AA3226">
        <v>0.40258487484502969</v>
      </c>
      <c r="AB3226" t="str">
        <f>HYPERLINK("Melting_Curves/meltCurve_Q12792_TWF1.pdf", "Melting_Curves/meltCurve_Q12792_TWF1.pdf")</f>
        <v>Melting_Curves/meltCurve_Q12792_TWF1.pdf</v>
      </c>
    </row>
    <row r="3227" spans="1:28" x14ac:dyDescent="0.25">
      <c r="A3227" t="s">
        <v>3231</v>
      </c>
      <c r="B3227">
        <v>0.99193492352474899</v>
      </c>
      <c r="C3227">
        <v>0.55544763474951697</v>
      </c>
      <c r="D3227">
        <v>0.89627211227534798</v>
      </c>
      <c r="E3227">
        <v>0.61039500324187901</v>
      </c>
      <c r="F3227">
        <v>0.35175993899076102</v>
      </c>
      <c r="G3227">
        <v>0.14730976890529701</v>
      </c>
      <c r="H3227">
        <v>9.7801441096092206E-2</v>
      </c>
      <c r="I3227">
        <v>0.14096288163193699</v>
      </c>
      <c r="J3227">
        <v>0.168535927193733</v>
      </c>
      <c r="K3227">
        <v>0.207472681753016</v>
      </c>
      <c r="L3227">
        <v>557.77527406547904</v>
      </c>
      <c r="M3227">
        <v>11.315085504184101</v>
      </c>
      <c r="N3227">
        <v>50.1333512638491</v>
      </c>
      <c r="O3227">
        <v>47.830419490901598</v>
      </c>
      <c r="P3227">
        <v>-5.4059346482202598E-2</v>
      </c>
      <c r="Q3227">
        <v>8.6211396970521395E-2</v>
      </c>
      <c r="R3227">
        <v>0.83562298985655303</v>
      </c>
      <c r="S3227" t="s">
        <v>9897</v>
      </c>
      <c r="T3227" t="s">
        <v>13338</v>
      </c>
      <c r="U3227" t="s">
        <v>13338</v>
      </c>
      <c r="V3227" t="s">
        <v>13338</v>
      </c>
      <c r="W3227" t="s">
        <v>16519</v>
      </c>
      <c r="X3227">
        <v>4</v>
      </c>
      <c r="Y3227" t="s">
        <v>23060</v>
      </c>
      <c r="Z3227" t="s">
        <v>29642</v>
      </c>
      <c r="AA3227">
        <v>0.40558460319250789</v>
      </c>
      <c r="AB3227" t="str">
        <f>HYPERLINK("Melting_Curves/meltCurve_Q12797_10_ASPH.pdf", "Melting_Curves/meltCurve_Q12797_10_ASPH.pdf")</f>
        <v>Melting_Curves/meltCurve_Q12797_10_ASPH.pdf</v>
      </c>
    </row>
    <row r="3228" spans="1:28" x14ac:dyDescent="0.25">
      <c r="A3228" t="s">
        <v>3232</v>
      </c>
      <c r="B3228">
        <v>0.99193492352474899</v>
      </c>
      <c r="C3228">
        <v>0.79617744391220402</v>
      </c>
      <c r="D3228">
        <v>0.59687790689820996</v>
      </c>
      <c r="E3228">
        <v>0.29040928738774002</v>
      </c>
      <c r="F3228">
        <v>0.13456601857039599</v>
      </c>
      <c r="G3228">
        <v>6.0416975185419899E-2</v>
      </c>
      <c r="H3228">
        <v>4.65388177199028E-2</v>
      </c>
      <c r="I3228">
        <v>9.1209373439184296E-2</v>
      </c>
      <c r="J3228">
        <v>9.1131868180245199E-2</v>
      </c>
      <c r="K3228">
        <v>8.6394295086978004E-2</v>
      </c>
      <c r="L3228">
        <v>876.53344739178897</v>
      </c>
      <c r="M3228">
        <v>18.867471911630101</v>
      </c>
      <c r="N3228">
        <v>46.806385731854199</v>
      </c>
      <c r="O3228">
        <v>45.944939152222297</v>
      </c>
      <c r="P3228">
        <v>-9.5931024142981505E-2</v>
      </c>
      <c r="Q3228">
        <v>6.5616366391585496E-2</v>
      </c>
      <c r="R3228">
        <v>0.99368922035965701</v>
      </c>
      <c r="S3228" t="s">
        <v>9898</v>
      </c>
      <c r="T3228" t="s">
        <v>13338</v>
      </c>
      <c r="U3228" t="s">
        <v>13338</v>
      </c>
      <c r="V3228" t="s">
        <v>13338</v>
      </c>
      <c r="W3228" t="s">
        <v>16520</v>
      </c>
      <c r="X3228">
        <v>7</v>
      </c>
      <c r="Y3228" t="s">
        <v>23061</v>
      </c>
      <c r="Z3228" t="s">
        <v>29643</v>
      </c>
      <c r="AA3228">
        <v>0.28273962015855469</v>
      </c>
      <c r="AB3228" t="str">
        <f>HYPERLINK("Melting_Curves/meltCurve_Q12802_4_AKAP13.pdf", "Melting_Curves/meltCurve_Q12802_4_AKAP13.pdf")</f>
        <v>Melting_Curves/meltCurve_Q12802_4_AKAP13.pdf</v>
      </c>
    </row>
    <row r="3229" spans="1:28" x14ac:dyDescent="0.25">
      <c r="A3229" t="s">
        <v>3233</v>
      </c>
      <c r="B3229">
        <v>0.99193492352474899</v>
      </c>
      <c r="C3229">
        <v>0.78740708504505197</v>
      </c>
      <c r="D3229">
        <v>0.540582583362193</v>
      </c>
      <c r="E3229">
        <v>0.26004533087395099</v>
      </c>
      <c r="F3229">
        <v>0.17203691555607201</v>
      </c>
      <c r="G3229">
        <v>0.12915547538483901</v>
      </c>
      <c r="H3229">
        <v>9.0861805241679805E-2</v>
      </c>
      <c r="I3229">
        <v>0.12215443850735</v>
      </c>
      <c r="J3229">
        <v>0.112259663717899</v>
      </c>
      <c r="K3229">
        <v>0.43986455015091802</v>
      </c>
      <c r="L3229">
        <v>1067.4015095901</v>
      </c>
      <c r="M3229">
        <v>23.5723730195235</v>
      </c>
      <c r="N3229">
        <v>46.112355775527</v>
      </c>
      <c r="O3229">
        <v>44.959780845931199</v>
      </c>
      <c r="P3229">
        <v>-0.108405717244351</v>
      </c>
      <c r="Q3229">
        <v>0.17296171470635799</v>
      </c>
      <c r="R3229">
        <v>0.90020556155763198</v>
      </c>
      <c r="S3229" t="s">
        <v>9899</v>
      </c>
      <c r="T3229" t="s">
        <v>13338</v>
      </c>
      <c r="U3229" t="s">
        <v>13338</v>
      </c>
      <c r="V3229" t="s">
        <v>13338</v>
      </c>
      <c r="W3229" t="s">
        <v>16521</v>
      </c>
      <c r="X3229">
        <v>7</v>
      </c>
      <c r="Y3229" t="s">
        <v>23062</v>
      </c>
      <c r="Z3229" t="s">
        <v>29644</v>
      </c>
      <c r="AA3229">
        <v>0.32779858156452102</v>
      </c>
      <c r="AB3229" t="str">
        <f>HYPERLINK("Melting_Curves/meltCurve_Q12824_2_SMARCB1.pdf", "Melting_Curves/meltCurve_Q12824_2_SMARCB1.pdf")</f>
        <v>Melting_Curves/meltCurve_Q12824_2_SMARCB1.pdf</v>
      </c>
    </row>
    <row r="3230" spans="1:28" x14ac:dyDescent="0.25">
      <c r="A3230" t="s">
        <v>3234</v>
      </c>
      <c r="B3230">
        <v>0.99193492352474899</v>
      </c>
      <c r="C3230">
        <v>0.97341418711517802</v>
      </c>
      <c r="D3230">
        <v>1.14691575298896</v>
      </c>
      <c r="E3230">
        <v>0.66787848081812695</v>
      </c>
      <c r="F3230">
        <v>0.283854469866482</v>
      </c>
      <c r="G3230">
        <v>9.2825135204626999E-2</v>
      </c>
      <c r="H3230">
        <v>4.9101784567666E-2</v>
      </c>
      <c r="I3230">
        <v>3.6650002609240603E-2</v>
      </c>
      <c r="J3230">
        <v>5.7127375530913203E-2</v>
      </c>
      <c r="K3230">
        <v>5.0394802685436099E-2</v>
      </c>
      <c r="L3230">
        <v>1626.73152521311</v>
      </c>
      <c r="M3230">
        <v>31.919827352780601</v>
      </c>
      <c r="N3230">
        <v>51.140212918500801</v>
      </c>
      <c r="O3230">
        <v>50.7642702283839</v>
      </c>
      <c r="P3230">
        <v>-0.14896934193214501</v>
      </c>
      <c r="Q3230">
        <v>5.2340629958717202E-2</v>
      </c>
      <c r="R3230">
        <v>0.98090519894829298</v>
      </c>
      <c r="S3230" t="s">
        <v>9900</v>
      </c>
      <c r="T3230" t="s">
        <v>13338</v>
      </c>
      <c r="U3230" t="s">
        <v>13338</v>
      </c>
      <c r="V3230" t="s">
        <v>13338</v>
      </c>
      <c r="W3230" t="s">
        <v>16522</v>
      </c>
      <c r="X3230">
        <v>7</v>
      </c>
      <c r="Y3230" t="s">
        <v>23063</v>
      </c>
      <c r="Z3230" t="s">
        <v>29645</v>
      </c>
      <c r="AA3230">
        <v>0.40390611573502438</v>
      </c>
      <c r="AB3230" t="str">
        <f>HYPERLINK("Melting_Curves/meltCurve_Q12834_CDC20.pdf", "Melting_Curves/meltCurve_Q12834_CDC20.pdf")</f>
        <v>Melting_Curves/meltCurve_Q12834_CDC20.pdf</v>
      </c>
    </row>
    <row r="3231" spans="1:28" x14ac:dyDescent="0.25">
      <c r="A3231" t="s">
        <v>3235</v>
      </c>
      <c r="B3231">
        <v>0.99193492352474899</v>
      </c>
      <c r="C3231">
        <v>0.89090005056551203</v>
      </c>
      <c r="D3231">
        <v>0.96734354194046801</v>
      </c>
      <c r="E3231">
        <v>0.58148750202935695</v>
      </c>
      <c r="F3231">
        <v>0.38125136219407701</v>
      </c>
      <c r="G3231">
        <v>0.17175433063019199</v>
      </c>
      <c r="H3231">
        <v>8.2743945837803298E-2</v>
      </c>
      <c r="I3231">
        <v>7.5908881197267894E-2</v>
      </c>
      <c r="J3231">
        <v>8.5299980045163801E-2</v>
      </c>
      <c r="K3231">
        <v>8.26622364837718E-2</v>
      </c>
      <c r="L3231">
        <v>963.06584293536503</v>
      </c>
      <c r="M3231">
        <v>18.967732017248899</v>
      </c>
      <c r="N3231">
        <v>51.1574706279469</v>
      </c>
      <c r="O3231">
        <v>50.219629708542698</v>
      </c>
      <c r="P3231">
        <v>-8.8168756996073697E-2</v>
      </c>
      <c r="Q3231">
        <v>6.6282549134773494E-2</v>
      </c>
      <c r="R3231">
        <v>0.986668346409451</v>
      </c>
      <c r="S3231" t="s">
        <v>9901</v>
      </c>
      <c r="T3231" t="s">
        <v>13338</v>
      </c>
      <c r="U3231" t="s">
        <v>13338</v>
      </c>
      <c r="V3231" t="s">
        <v>13338</v>
      </c>
      <c r="W3231" t="s">
        <v>16523</v>
      </c>
      <c r="X3231">
        <v>6</v>
      </c>
      <c r="Y3231" t="s">
        <v>23064</v>
      </c>
      <c r="Z3231" t="s">
        <v>29646</v>
      </c>
      <c r="AA3231">
        <v>0.41593184339606659</v>
      </c>
      <c r="AB3231" t="str">
        <f>HYPERLINK("Melting_Curves/meltCurve_Q12846_STX4.pdf", "Melting_Curves/meltCurve_Q12846_STX4.pdf")</f>
        <v>Melting_Curves/meltCurve_Q12846_STX4.pdf</v>
      </c>
    </row>
    <row r="3232" spans="1:28" x14ac:dyDescent="0.25">
      <c r="A3232" t="s">
        <v>3236</v>
      </c>
      <c r="B3232">
        <v>0.99193492352474899</v>
      </c>
      <c r="C3232">
        <v>0.46286001752040001</v>
      </c>
      <c r="D3232">
        <v>0.63513119899409498</v>
      </c>
      <c r="E3232">
        <v>0.23115604352580599</v>
      </c>
      <c r="F3232">
        <v>0.13108595359094999</v>
      </c>
      <c r="G3232">
        <v>7.40439598466935E-2</v>
      </c>
      <c r="H3232">
        <v>4.8075616492520103E-2</v>
      </c>
      <c r="I3232">
        <v>6.6710562311833102E-2</v>
      </c>
      <c r="J3232">
        <v>7.5532676439342E-2</v>
      </c>
      <c r="K3232">
        <v>8.8841347724946104E-2</v>
      </c>
      <c r="L3232">
        <v>613.59381440642596</v>
      </c>
      <c r="M3232">
        <v>13.592031198869501</v>
      </c>
      <c r="N3232">
        <v>45.4712629252478</v>
      </c>
      <c r="O3232">
        <v>44.200060336463103</v>
      </c>
      <c r="P3232">
        <v>-7.3302872497079299E-2</v>
      </c>
      <c r="Q3232">
        <v>4.6643908475602E-2</v>
      </c>
      <c r="R3232">
        <v>0.88838627786900504</v>
      </c>
      <c r="S3232" t="s">
        <v>9902</v>
      </c>
      <c r="T3232" t="s">
        <v>13338</v>
      </c>
      <c r="U3232" t="s">
        <v>13338</v>
      </c>
      <c r="V3232" t="s">
        <v>13338</v>
      </c>
      <c r="W3232" t="s">
        <v>16524</v>
      </c>
      <c r="X3232">
        <v>11</v>
      </c>
      <c r="Y3232" t="s">
        <v>23065</v>
      </c>
      <c r="Z3232" t="s">
        <v>29647</v>
      </c>
      <c r="AA3232">
        <v>0.24702487677510601</v>
      </c>
      <c r="AB3232" t="str">
        <f>HYPERLINK("Melting_Curves/meltCurve_Q12872_SFSWAP.pdf", "Melting_Curves/meltCurve_Q12872_SFSWAP.pdf")</f>
        <v>Melting_Curves/meltCurve_Q12872_SFSWAP.pdf</v>
      </c>
    </row>
    <row r="3233" spans="1:28" x14ac:dyDescent="0.25">
      <c r="A3233" t="s">
        <v>3237</v>
      </c>
      <c r="B3233">
        <v>0.99193492352474899</v>
      </c>
      <c r="C3233">
        <v>0.79014425973701596</v>
      </c>
      <c r="D3233">
        <v>0.63187437302633598</v>
      </c>
      <c r="E3233">
        <v>0.247902069745634</v>
      </c>
      <c r="F3233">
        <v>0.14998696487259</v>
      </c>
      <c r="G3233">
        <v>9.6663414359627803E-2</v>
      </c>
      <c r="H3233">
        <v>6.42587962617443E-2</v>
      </c>
      <c r="I3233">
        <v>7.3835398075285802E-2</v>
      </c>
      <c r="J3233">
        <v>8.5445922281798994E-2</v>
      </c>
      <c r="K3233">
        <v>7.2708578375683605E-2</v>
      </c>
      <c r="L3233">
        <v>900.74636370337498</v>
      </c>
      <c r="M3233">
        <v>19.372227212808902</v>
      </c>
      <c r="N3233">
        <v>46.852528839594598</v>
      </c>
      <c r="O3233">
        <v>46.009819379169002</v>
      </c>
      <c r="P3233">
        <v>-9.8066024538218402E-2</v>
      </c>
      <c r="Q3233">
        <v>6.8391257915989101E-2</v>
      </c>
      <c r="R3233">
        <v>0.99255839315750205</v>
      </c>
      <c r="S3233" t="s">
        <v>9903</v>
      </c>
      <c r="T3233" t="s">
        <v>13338</v>
      </c>
      <c r="U3233" t="s">
        <v>13338</v>
      </c>
      <c r="V3233" t="s">
        <v>13338</v>
      </c>
      <c r="W3233" t="s">
        <v>16525</v>
      </c>
      <c r="X3233">
        <v>22</v>
      </c>
      <c r="Y3233" t="s">
        <v>23066</v>
      </c>
      <c r="Z3233" t="s">
        <v>29648</v>
      </c>
      <c r="AA3233">
        <v>0.2851424508140003</v>
      </c>
      <c r="AB3233" t="str">
        <f>HYPERLINK("Melting_Curves/meltCurve_Q12874_SF3A3.pdf", "Melting_Curves/meltCurve_Q12874_SF3A3.pdf")</f>
        <v>Melting_Curves/meltCurve_Q12874_SF3A3.pdf</v>
      </c>
    </row>
    <row r="3234" spans="1:28" x14ac:dyDescent="0.25">
      <c r="A3234" t="s">
        <v>3238</v>
      </c>
      <c r="B3234">
        <v>0.99193492352474899</v>
      </c>
      <c r="C3234">
        <v>1.0326904221682001</v>
      </c>
      <c r="D3234">
        <v>1.0402189323597699</v>
      </c>
      <c r="E3234">
        <v>0.90501875904656004</v>
      </c>
      <c r="F3234">
        <v>0.71354084154188901</v>
      </c>
      <c r="G3234">
        <v>0.21061192407891999</v>
      </c>
      <c r="H3234">
        <v>0.106189308540566</v>
      </c>
      <c r="I3234">
        <v>0.101937599395294</v>
      </c>
      <c r="J3234">
        <v>0.12509026511722299</v>
      </c>
      <c r="K3234">
        <v>0.130757729311684</v>
      </c>
      <c r="L3234">
        <v>2160.5020773882702</v>
      </c>
      <c r="M3234">
        <v>39.948454553169</v>
      </c>
      <c r="N3234">
        <v>54.422682056095702</v>
      </c>
      <c r="O3234">
        <v>53.947254956595899</v>
      </c>
      <c r="P3234">
        <v>-0.164661366748896</v>
      </c>
      <c r="Q3234">
        <v>0.11055283278568399</v>
      </c>
      <c r="R3234">
        <v>0.99446484883620501</v>
      </c>
      <c r="S3234" t="s">
        <v>9904</v>
      </c>
      <c r="T3234" t="s">
        <v>13338</v>
      </c>
      <c r="U3234" t="s">
        <v>13338</v>
      </c>
      <c r="V3234" t="s">
        <v>13338</v>
      </c>
      <c r="W3234" t="s">
        <v>16526</v>
      </c>
      <c r="X3234">
        <v>23</v>
      </c>
      <c r="Y3234" t="s">
        <v>23067</v>
      </c>
      <c r="Z3234" t="s">
        <v>29649</v>
      </c>
      <c r="AA3234">
        <v>0.53139307574948924</v>
      </c>
      <c r="AB3234" t="str">
        <f>HYPERLINK("Melting_Curves/meltCurve_Q12882_DPYD.pdf", "Melting_Curves/meltCurve_Q12882_DPYD.pdf")</f>
        <v>Melting_Curves/meltCurve_Q12882_DPYD.pdf</v>
      </c>
    </row>
    <row r="3235" spans="1:28" x14ac:dyDescent="0.25">
      <c r="A3235" t="s">
        <v>3239</v>
      </c>
      <c r="B3235">
        <v>0.99193492352474899</v>
      </c>
      <c r="C3235">
        <v>0.89568225511139399</v>
      </c>
      <c r="D3235">
        <v>0.69688392339223804</v>
      </c>
      <c r="E3235">
        <v>0.30819720399037298</v>
      </c>
      <c r="F3235">
        <v>0.19783278340657501</v>
      </c>
      <c r="G3235">
        <v>0.134134146089844</v>
      </c>
      <c r="H3235">
        <v>0.101209645432628</v>
      </c>
      <c r="I3235">
        <v>0.128349442777377</v>
      </c>
      <c r="J3235">
        <v>0.135713652993877</v>
      </c>
      <c r="K3235">
        <v>0.200318419272311</v>
      </c>
      <c r="L3235">
        <v>1153.34228669105</v>
      </c>
      <c r="M3235">
        <v>24.552412069816501</v>
      </c>
      <c r="N3235">
        <v>47.599726415275498</v>
      </c>
      <c r="O3235">
        <v>46.666423309826797</v>
      </c>
      <c r="P3235">
        <v>-0.113409336390162</v>
      </c>
      <c r="Q3235">
        <v>0.137790625872487</v>
      </c>
      <c r="R3235">
        <v>0.993133937804349</v>
      </c>
      <c r="S3235" t="s">
        <v>9905</v>
      </c>
      <c r="T3235" t="s">
        <v>13338</v>
      </c>
      <c r="U3235" t="s">
        <v>13338</v>
      </c>
      <c r="V3235" t="s">
        <v>13338</v>
      </c>
      <c r="W3235" t="s">
        <v>16527</v>
      </c>
      <c r="X3235">
        <v>34</v>
      </c>
      <c r="Y3235" t="s">
        <v>23068</v>
      </c>
      <c r="Z3235" t="s">
        <v>29650</v>
      </c>
      <c r="AA3235">
        <v>0.34626153367216322</v>
      </c>
      <c r="AB3235" t="str">
        <f>HYPERLINK("Melting_Curves/meltCurve_Q12888_TP53BP1.pdf", "Melting_Curves/meltCurve_Q12888_TP53BP1.pdf")</f>
        <v>Melting_Curves/meltCurve_Q12888_TP53BP1.pdf</v>
      </c>
    </row>
    <row r="3236" spans="1:28" x14ac:dyDescent="0.25">
      <c r="A3236" t="s">
        <v>3240</v>
      </c>
      <c r="B3236">
        <v>0.99193492352474899</v>
      </c>
      <c r="C3236">
        <v>0.881171224592325</v>
      </c>
      <c r="D3236">
        <v>0.80068047818957799</v>
      </c>
      <c r="E3236">
        <v>0.74438294435959895</v>
      </c>
      <c r="F3236">
        <v>0.55137074245781303</v>
      </c>
      <c r="G3236">
        <v>0.34272507213784698</v>
      </c>
      <c r="H3236">
        <v>0.19186947437695501</v>
      </c>
      <c r="I3236">
        <v>0.17711419570450099</v>
      </c>
      <c r="J3236">
        <v>0.19472822143110999</v>
      </c>
      <c r="K3236">
        <v>0.120499496890571</v>
      </c>
      <c r="L3236">
        <v>566.87566454372495</v>
      </c>
      <c r="M3236">
        <v>10.698263243936101</v>
      </c>
      <c r="N3236">
        <v>53.585081274367901</v>
      </c>
      <c r="O3236">
        <v>51.236887759998297</v>
      </c>
      <c r="P3236">
        <v>-4.9283740435492399E-2</v>
      </c>
      <c r="Q3236">
        <v>5.6221515071920497E-2</v>
      </c>
      <c r="R3236">
        <v>0.98564554442721597</v>
      </c>
      <c r="S3236" t="s">
        <v>9906</v>
      </c>
      <c r="T3236" t="s">
        <v>13338</v>
      </c>
      <c r="U3236" t="s">
        <v>13338</v>
      </c>
      <c r="V3236" t="s">
        <v>13338</v>
      </c>
      <c r="W3236" t="s">
        <v>16528</v>
      </c>
      <c r="X3236">
        <v>2</v>
      </c>
      <c r="Y3236" t="s">
        <v>23069</v>
      </c>
      <c r="Z3236" t="s">
        <v>29651</v>
      </c>
      <c r="AA3236">
        <v>0.49514362062524669</v>
      </c>
      <c r="AB3236" t="str">
        <f>HYPERLINK("Melting_Curves/meltCurve_Q12893_TMEM115.pdf", "Melting_Curves/meltCurve_Q12893_TMEM115.pdf")</f>
        <v>Melting_Curves/meltCurve_Q12893_TMEM115.pdf</v>
      </c>
    </row>
    <row r="3237" spans="1:28" x14ac:dyDescent="0.25">
      <c r="A3237" t="s">
        <v>3241</v>
      </c>
      <c r="B3237">
        <v>0.99193492352474899</v>
      </c>
      <c r="C3237">
        <v>1.6867131744706501</v>
      </c>
      <c r="D3237">
        <v>1.01652159497633</v>
      </c>
      <c r="E3237">
        <v>1.11601942245746</v>
      </c>
      <c r="F3237">
        <v>0.55795426657412395</v>
      </c>
      <c r="G3237">
        <v>0.36339987073512597</v>
      </c>
      <c r="H3237">
        <v>0.22772922371895399</v>
      </c>
      <c r="I3237">
        <v>0.33665901213272298</v>
      </c>
      <c r="J3237">
        <v>0.200758671526161</v>
      </c>
      <c r="K3237">
        <v>0.17895133525530299</v>
      </c>
      <c r="L3237">
        <v>6160.3217985696701</v>
      </c>
      <c r="M3237">
        <v>116.19270135651</v>
      </c>
      <c r="N3237">
        <v>53.357851104084098</v>
      </c>
      <c r="O3237">
        <v>53.002447238463503</v>
      </c>
      <c r="P3237">
        <v>-0.40479630850342402</v>
      </c>
      <c r="Q3237">
        <v>0.26139270047811602</v>
      </c>
      <c r="R3237">
        <v>0.77989514357665302</v>
      </c>
      <c r="S3237" t="s">
        <v>9907</v>
      </c>
      <c r="T3237" t="s">
        <v>13338</v>
      </c>
      <c r="U3237" t="s">
        <v>13338</v>
      </c>
      <c r="V3237" t="s">
        <v>13338</v>
      </c>
      <c r="W3237" t="s">
        <v>16529</v>
      </c>
      <c r="X3237">
        <v>2</v>
      </c>
      <c r="Y3237" t="s">
        <v>23070</v>
      </c>
      <c r="Z3237" t="s">
        <v>29652</v>
      </c>
      <c r="AA3237">
        <v>0.58222107089511566</v>
      </c>
      <c r="AB3237" t="str">
        <f>HYPERLINK("Melting_Curves/meltCurve_Q12899_TRIM26.pdf", "Melting_Curves/meltCurve_Q12899_TRIM26.pdf")</f>
        <v>Melting_Curves/meltCurve_Q12899_TRIM26.pdf</v>
      </c>
    </row>
    <row r="3238" spans="1:28" x14ac:dyDescent="0.25">
      <c r="A3238" t="s">
        <v>3242</v>
      </c>
      <c r="B3238">
        <v>0.99193492352474899</v>
      </c>
      <c r="C3238">
        <v>0.65436948100385595</v>
      </c>
      <c r="D3238">
        <v>0.68354957439599695</v>
      </c>
      <c r="E3238">
        <v>0.21913889493753699</v>
      </c>
      <c r="F3238">
        <v>0.15324459153756301</v>
      </c>
      <c r="G3238">
        <v>8.7658708509734298E-2</v>
      </c>
      <c r="H3238">
        <v>6.5512136658859299E-2</v>
      </c>
      <c r="I3238">
        <v>8.5200251001388505E-2</v>
      </c>
      <c r="J3238">
        <v>0.14151359831195501</v>
      </c>
      <c r="K3238">
        <v>0.16445152350627501</v>
      </c>
      <c r="L3238">
        <v>807.04846793460399</v>
      </c>
      <c r="M3238">
        <v>17.5685647944408</v>
      </c>
      <c r="N3238">
        <v>46.483752348596603</v>
      </c>
      <c r="O3238">
        <v>45.354300799493501</v>
      </c>
      <c r="P3238">
        <v>-8.780684237493E-2</v>
      </c>
      <c r="Q3238">
        <v>9.3334763518199207E-2</v>
      </c>
      <c r="R3238">
        <v>0.93936544261854005</v>
      </c>
      <c r="S3238" t="s">
        <v>9908</v>
      </c>
      <c r="T3238" t="s">
        <v>13338</v>
      </c>
      <c r="U3238" t="s">
        <v>13338</v>
      </c>
      <c r="V3238" t="s">
        <v>13338</v>
      </c>
      <c r="W3238" t="s">
        <v>16530</v>
      </c>
      <c r="X3238">
        <v>8</v>
      </c>
      <c r="Y3238" t="s">
        <v>23071</v>
      </c>
      <c r="Z3238" t="s">
        <v>29653</v>
      </c>
      <c r="AA3238">
        <v>0.29165116877501351</v>
      </c>
      <c r="AB3238" t="str">
        <f>HYPERLINK("Melting_Curves/meltCurve_Q12904_AIMP1.pdf", "Melting_Curves/meltCurve_Q12904_AIMP1.pdf")</f>
        <v>Melting_Curves/meltCurve_Q12904_AIMP1.pdf</v>
      </c>
    </row>
    <row r="3239" spans="1:28" x14ac:dyDescent="0.25">
      <c r="A3239" t="s">
        <v>3243</v>
      </c>
      <c r="B3239">
        <v>0.99193492352474899</v>
      </c>
      <c r="C3239">
        <v>0.57120285897437695</v>
      </c>
      <c r="D3239">
        <v>0.62531982169692202</v>
      </c>
      <c r="E3239">
        <v>0.476503481226071</v>
      </c>
      <c r="F3239">
        <v>0.49194849801781199</v>
      </c>
      <c r="G3239">
        <v>0.24316729379443799</v>
      </c>
      <c r="H3239">
        <v>5.7467262997865198E-2</v>
      </c>
      <c r="I3239">
        <v>3.8540760019672701E-2</v>
      </c>
      <c r="J3239">
        <v>4.2954475240970701E-2</v>
      </c>
      <c r="K3239">
        <v>3.5325341009976398E-2</v>
      </c>
      <c r="L3239">
        <v>425.57248521906899</v>
      </c>
      <c r="M3239">
        <v>8.7401604899260192</v>
      </c>
      <c r="N3239">
        <v>48.691610156848597</v>
      </c>
      <c r="O3239">
        <v>46.344285813831597</v>
      </c>
      <c r="P3239">
        <v>-4.7186237370824599E-2</v>
      </c>
      <c r="Q3239">
        <v>0</v>
      </c>
      <c r="R3239">
        <v>0.89811626570970204</v>
      </c>
      <c r="S3239" t="s">
        <v>9909</v>
      </c>
      <c r="T3239" t="s">
        <v>13338</v>
      </c>
      <c r="U3239" t="s">
        <v>13338</v>
      </c>
      <c r="V3239" t="s">
        <v>13338</v>
      </c>
      <c r="W3239" t="s">
        <v>16531</v>
      </c>
      <c r="X3239">
        <v>10</v>
      </c>
      <c r="Y3239" t="s">
        <v>23072</v>
      </c>
      <c r="Z3239" t="s">
        <v>29654</v>
      </c>
      <c r="AA3239">
        <v>0.35042362945464078</v>
      </c>
      <c r="AB3239" t="str">
        <f>HYPERLINK("Melting_Curves/meltCurve_Q12905_ILF2.pdf", "Melting_Curves/meltCurve_Q12905_ILF2.pdf")</f>
        <v>Melting_Curves/meltCurve_Q12905_ILF2.pdf</v>
      </c>
    </row>
    <row r="3240" spans="1:28" x14ac:dyDescent="0.25">
      <c r="A3240" t="s">
        <v>3244</v>
      </c>
      <c r="B3240">
        <v>0.99193492352474899</v>
      </c>
      <c r="C3240">
        <v>0.64482452957863301</v>
      </c>
      <c r="D3240">
        <v>0.749459505718301</v>
      </c>
      <c r="E3240">
        <v>0.61620330259902401</v>
      </c>
      <c r="F3240">
        <v>0.68447632892750498</v>
      </c>
      <c r="G3240">
        <v>0.43280870491407503</v>
      </c>
      <c r="H3240">
        <v>0.15525892278744699</v>
      </c>
      <c r="I3240">
        <v>0.15868477707353901</v>
      </c>
      <c r="J3240">
        <v>0.202857645680037</v>
      </c>
      <c r="K3240">
        <v>0.180002900438926</v>
      </c>
      <c r="L3240">
        <v>371.05994588087998</v>
      </c>
      <c r="M3240">
        <v>6.9836182969254503</v>
      </c>
      <c r="N3240">
        <v>53.132907349635701</v>
      </c>
      <c r="O3240">
        <v>49.290476601901403</v>
      </c>
      <c r="P3240">
        <v>-3.5486963090092499E-2</v>
      </c>
      <c r="Q3240">
        <v>0</v>
      </c>
      <c r="R3240">
        <v>0.86541215534711702</v>
      </c>
      <c r="S3240" t="s">
        <v>9910</v>
      </c>
      <c r="T3240" t="s">
        <v>13338</v>
      </c>
      <c r="U3240" t="s">
        <v>13338</v>
      </c>
      <c r="V3240" t="s">
        <v>13338</v>
      </c>
      <c r="W3240" t="s">
        <v>16532</v>
      </c>
      <c r="X3240">
        <v>22</v>
      </c>
      <c r="Y3240" t="s">
        <v>23073</v>
      </c>
      <c r="Z3240" t="s">
        <v>29655</v>
      </c>
      <c r="AA3240">
        <v>0.48088216196189221</v>
      </c>
      <c r="AB3240" t="str">
        <f>HYPERLINK("Melting_Curves/meltCurve_Q12906_7_ILF3.pdf", "Melting_Curves/meltCurve_Q12906_7_ILF3.pdf")</f>
        <v>Melting_Curves/meltCurve_Q12906_7_ILF3.pdf</v>
      </c>
    </row>
    <row r="3241" spans="1:28" x14ac:dyDescent="0.25">
      <c r="A3241" t="s">
        <v>3245</v>
      </c>
      <c r="B3241">
        <v>0.99193492352474899</v>
      </c>
      <c r="C3241">
        <v>0.88474800900703199</v>
      </c>
      <c r="D3241">
        <v>0.88374892096864299</v>
      </c>
      <c r="E3241">
        <v>0.76965575310318202</v>
      </c>
      <c r="F3241">
        <v>0.28831625772847003</v>
      </c>
      <c r="G3241">
        <v>0.15746592559290601</v>
      </c>
      <c r="H3241">
        <v>9.5208454864384506E-2</v>
      </c>
      <c r="I3241">
        <v>0.104004325867116</v>
      </c>
      <c r="J3241">
        <v>0.103413457215736</v>
      </c>
      <c r="K3241">
        <v>9.86648951302945E-2</v>
      </c>
      <c r="L3241">
        <v>1429.23028138573</v>
      </c>
      <c r="M3241">
        <v>27.977432119458999</v>
      </c>
      <c r="N3241">
        <v>51.475342231203904</v>
      </c>
      <c r="O3241">
        <v>50.826255908697398</v>
      </c>
      <c r="P3241">
        <v>-0.12446444207334199</v>
      </c>
      <c r="Q3241">
        <v>9.5555709879466294E-2</v>
      </c>
      <c r="R3241">
        <v>0.98440856076067396</v>
      </c>
      <c r="S3241" t="s">
        <v>9911</v>
      </c>
      <c r="T3241" t="s">
        <v>13338</v>
      </c>
      <c r="U3241" t="s">
        <v>13338</v>
      </c>
      <c r="V3241" t="s">
        <v>13338</v>
      </c>
      <c r="W3241" t="s">
        <v>16533</v>
      </c>
      <c r="X3241">
        <v>16</v>
      </c>
      <c r="Y3241" t="s">
        <v>23074</v>
      </c>
      <c r="Z3241" t="s">
        <v>29656</v>
      </c>
      <c r="AA3241">
        <v>0.43629731576043063</v>
      </c>
      <c r="AB3241" t="str">
        <f>HYPERLINK("Melting_Curves/meltCurve_Q12907_LMAN2.pdf", "Melting_Curves/meltCurve_Q12907_LMAN2.pdf")</f>
        <v>Melting_Curves/meltCurve_Q12907_LMAN2.pdf</v>
      </c>
    </row>
    <row r="3242" spans="1:28" x14ac:dyDescent="0.25">
      <c r="A3242" t="s">
        <v>3246</v>
      </c>
      <c r="B3242">
        <v>0.99193492352474899</v>
      </c>
      <c r="C3242">
        <v>0.76882893356398196</v>
      </c>
      <c r="D3242">
        <v>0.86446318657926802</v>
      </c>
      <c r="E3242">
        <v>0.62627934638728699</v>
      </c>
      <c r="F3242">
        <v>0.32226661795834199</v>
      </c>
      <c r="G3242">
        <v>0.117919838878704</v>
      </c>
      <c r="H3242">
        <v>6.3860187866701501E-2</v>
      </c>
      <c r="I3242">
        <v>8.5122715708640898E-2</v>
      </c>
      <c r="J3242">
        <v>0.11648710646081099</v>
      </c>
      <c r="K3242">
        <v>8.1683426671869702E-2</v>
      </c>
      <c r="L3242">
        <v>811.64332162533003</v>
      </c>
      <c r="M3242">
        <v>16.153620573101101</v>
      </c>
      <c r="N3242">
        <v>50.582735620342099</v>
      </c>
      <c r="O3242">
        <v>49.494183642210501</v>
      </c>
      <c r="P3242">
        <v>-7.7431560998037496E-2</v>
      </c>
      <c r="Q3242">
        <v>5.1080250805241603E-2</v>
      </c>
      <c r="R3242">
        <v>0.96505966756410599</v>
      </c>
      <c r="S3242" t="s">
        <v>9912</v>
      </c>
      <c r="T3242" t="s">
        <v>13338</v>
      </c>
      <c r="U3242" t="s">
        <v>13338</v>
      </c>
      <c r="V3242" t="s">
        <v>13338</v>
      </c>
      <c r="W3242" t="s">
        <v>16534</v>
      </c>
      <c r="X3242">
        <v>2</v>
      </c>
      <c r="Y3242" t="s">
        <v>23075</v>
      </c>
      <c r="Z3242" t="s">
        <v>29657</v>
      </c>
      <c r="AA3242">
        <v>0.39483274962088533</v>
      </c>
      <c r="AB3242" t="str">
        <f>HYPERLINK("Melting_Curves/meltCurve_Q12912_2_LRMP.pdf", "Melting_Curves/meltCurve_Q12912_2_LRMP.pdf")</f>
        <v>Melting_Curves/meltCurve_Q12912_2_LRMP.pdf</v>
      </c>
    </row>
    <row r="3243" spans="1:28" x14ac:dyDescent="0.25">
      <c r="A3243" t="s">
        <v>3247</v>
      </c>
      <c r="B3243">
        <v>0.99193492352474899</v>
      </c>
      <c r="C3243">
        <v>0.96501434248217799</v>
      </c>
      <c r="D3243">
        <v>0.89722432962522303</v>
      </c>
      <c r="E3243">
        <v>0.64882199419592401</v>
      </c>
      <c r="F3243">
        <v>0.314153784831188</v>
      </c>
      <c r="G3243">
        <v>0.136280587886978</v>
      </c>
      <c r="H3243">
        <v>7.2668755476069699E-2</v>
      </c>
      <c r="I3243">
        <v>7.0905094359288406E-2</v>
      </c>
      <c r="J3243">
        <v>5.653304169903E-2</v>
      </c>
      <c r="K3243">
        <v>7.0753722964339003E-2</v>
      </c>
      <c r="L3243">
        <v>1076.2747412462099</v>
      </c>
      <c r="M3243">
        <v>21.206879352273099</v>
      </c>
      <c r="N3243">
        <v>51.030135212690702</v>
      </c>
      <c r="O3243">
        <v>50.306417174606999</v>
      </c>
      <c r="P3243">
        <v>-9.9623795677149601E-2</v>
      </c>
      <c r="Q3243">
        <v>5.4724716323981397E-2</v>
      </c>
      <c r="R3243">
        <v>0.99949364918820705</v>
      </c>
      <c r="S3243" t="s">
        <v>9913</v>
      </c>
      <c r="T3243" t="s">
        <v>13338</v>
      </c>
      <c r="U3243" t="s">
        <v>13338</v>
      </c>
      <c r="V3243" t="s">
        <v>13338</v>
      </c>
      <c r="W3243" t="s">
        <v>16535</v>
      </c>
      <c r="X3243">
        <v>6</v>
      </c>
      <c r="Y3243" t="s">
        <v>23076</v>
      </c>
      <c r="Z3243" t="s">
        <v>29658</v>
      </c>
      <c r="AA3243">
        <v>0.40522873825990741</v>
      </c>
      <c r="AB3243" t="str">
        <f>HYPERLINK("Melting_Curves/meltCurve_Q12933_3_TRAF2.pdf", "Melting_Curves/meltCurve_Q12933_3_TRAF2.pdf")</f>
        <v>Melting_Curves/meltCurve_Q12933_3_TRAF2.pdf</v>
      </c>
    </row>
    <row r="3244" spans="1:28" x14ac:dyDescent="0.25">
      <c r="A3244" t="s">
        <v>3248</v>
      </c>
      <c r="B3244">
        <v>0.99193492352474899</v>
      </c>
      <c r="C3244">
        <v>0.76472417888586997</v>
      </c>
      <c r="D3244">
        <v>1.0030590986672401</v>
      </c>
      <c r="E3244">
        <v>0.81129148340850399</v>
      </c>
      <c r="F3244">
        <v>0.15526517083675301</v>
      </c>
      <c r="G3244">
        <v>6.5553440245532196E-2</v>
      </c>
      <c r="H3244">
        <v>1.6909086285119699E-2</v>
      </c>
      <c r="I3244">
        <v>4.4301514675074399E-2</v>
      </c>
      <c r="J3244">
        <v>2.5472225633391101E-2</v>
      </c>
      <c r="K3244">
        <v>0</v>
      </c>
      <c r="L3244">
        <v>2396.4210446325701</v>
      </c>
      <c r="M3244">
        <v>46.900485436735799</v>
      </c>
      <c r="N3244">
        <v>51.158447380669003</v>
      </c>
      <c r="O3244">
        <v>51.003233182591998</v>
      </c>
      <c r="P3244">
        <v>-0.22348147031762999</v>
      </c>
      <c r="Q3244">
        <v>2.7876583761453799E-2</v>
      </c>
      <c r="R3244">
        <v>0.96734529986752105</v>
      </c>
      <c r="S3244" t="s">
        <v>9914</v>
      </c>
      <c r="T3244" t="s">
        <v>13338</v>
      </c>
      <c r="U3244" t="s">
        <v>13338</v>
      </c>
      <c r="V3244" t="s">
        <v>13338</v>
      </c>
      <c r="W3244" t="s">
        <v>16536</v>
      </c>
      <c r="X3244">
        <v>1</v>
      </c>
      <c r="Y3244" t="s">
        <v>23077</v>
      </c>
      <c r="Z3244" t="s">
        <v>29659</v>
      </c>
      <c r="AA3244">
        <v>0.38992031928260851</v>
      </c>
      <c r="AB3244" t="str">
        <f>HYPERLINK("Melting_Curves/meltCurve_Q12955_ANK3.pdf", "Melting_Curves/meltCurve_Q12955_ANK3.pdf")</f>
        <v>Melting_Curves/meltCurve_Q12955_ANK3.pdf</v>
      </c>
    </row>
    <row r="3245" spans="1:28" x14ac:dyDescent="0.25">
      <c r="A3245" t="s">
        <v>3249</v>
      </c>
      <c r="B3245">
        <v>0.99193492352474899</v>
      </c>
      <c r="C3245">
        <v>0.66926390187836404</v>
      </c>
      <c r="D3245">
        <v>0.721507899207944</v>
      </c>
      <c r="E3245">
        <v>0.32005211939803602</v>
      </c>
      <c r="F3245">
        <v>0.16250130557849701</v>
      </c>
      <c r="G3245">
        <v>0.10431990963323</v>
      </c>
      <c r="H3245">
        <v>6.1339918242917103E-2</v>
      </c>
      <c r="I3245">
        <v>8.1415193636450001E-2</v>
      </c>
      <c r="J3245">
        <v>8.5636280316840396E-2</v>
      </c>
      <c r="K3245">
        <v>9.5946088359327095E-2</v>
      </c>
      <c r="L3245">
        <v>708.59690750126595</v>
      </c>
      <c r="M3245">
        <v>15.104628089096501</v>
      </c>
      <c r="N3245">
        <v>47.295981839060502</v>
      </c>
      <c r="O3245">
        <v>46.113334636736099</v>
      </c>
      <c r="P3245">
        <v>-7.71774395546167E-2</v>
      </c>
      <c r="Q3245">
        <v>5.7624139581222797E-2</v>
      </c>
      <c r="R3245">
        <v>0.95790209204209897</v>
      </c>
      <c r="S3245" t="s">
        <v>9915</v>
      </c>
      <c r="T3245" t="s">
        <v>13338</v>
      </c>
      <c r="U3245" t="s">
        <v>13338</v>
      </c>
      <c r="V3245" t="s">
        <v>13338</v>
      </c>
      <c r="W3245" t="s">
        <v>16537</v>
      </c>
      <c r="X3245">
        <v>17</v>
      </c>
      <c r="Y3245" t="s">
        <v>23078</v>
      </c>
      <c r="Z3245" t="s">
        <v>29660</v>
      </c>
      <c r="AA3245">
        <v>0.30014403003820639</v>
      </c>
      <c r="AB3245" t="str">
        <f>HYPERLINK("Melting_Curves/meltCurve_Q12959_5_DLG1.pdf", "Melting_Curves/meltCurve_Q12959_5_DLG1.pdf")</f>
        <v>Melting_Curves/meltCurve_Q12959_5_DLG1.pdf</v>
      </c>
    </row>
    <row r="3246" spans="1:28" x14ac:dyDescent="0.25">
      <c r="A3246" t="s">
        <v>3250</v>
      </c>
      <c r="B3246">
        <v>0.99193492352474899</v>
      </c>
      <c r="C3246">
        <v>0.70561658171866404</v>
      </c>
      <c r="D3246">
        <v>0.69784753603126204</v>
      </c>
      <c r="E3246">
        <v>0.61170308075859203</v>
      </c>
      <c r="F3246">
        <v>0.48899623269526998</v>
      </c>
      <c r="G3246">
        <v>0.35002761275087402</v>
      </c>
      <c r="H3246">
        <v>0.211570150214028</v>
      </c>
      <c r="I3246">
        <v>0.21678798892127901</v>
      </c>
      <c r="J3246">
        <v>0.21775847134874399</v>
      </c>
      <c r="K3246">
        <v>0.34133296637590699</v>
      </c>
      <c r="L3246">
        <v>454.270791355928</v>
      </c>
      <c r="M3246">
        <v>9.3262491191836094</v>
      </c>
      <c r="N3246">
        <v>51.274942382972299</v>
      </c>
      <c r="O3246">
        <v>46.626650371336602</v>
      </c>
      <c r="P3246">
        <v>-4.0705894083449802E-2</v>
      </c>
      <c r="Q3246">
        <v>0.18647857999006201</v>
      </c>
      <c r="R3246">
        <v>0.92272191439142703</v>
      </c>
      <c r="S3246" t="s">
        <v>9916</v>
      </c>
      <c r="T3246" t="s">
        <v>13338</v>
      </c>
      <c r="U3246" t="s">
        <v>13338</v>
      </c>
      <c r="V3246" t="s">
        <v>13338</v>
      </c>
      <c r="W3246" t="s">
        <v>16538</v>
      </c>
      <c r="X3246">
        <v>4</v>
      </c>
      <c r="Y3246" t="s">
        <v>23079</v>
      </c>
      <c r="Z3246" t="s">
        <v>29661</v>
      </c>
      <c r="AA3246">
        <v>0.46773521082183611</v>
      </c>
      <c r="AB3246" t="str">
        <f>HYPERLINK("Melting_Curves/meltCurve_Q12962_TAF10.pdf", "Melting_Curves/meltCurve_Q12962_TAF10.pdf")</f>
        <v>Melting_Curves/meltCurve_Q12962_TAF10.pdf</v>
      </c>
    </row>
    <row r="3247" spans="1:28" x14ac:dyDescent="0.25">
      <c r="A3247" t="s">
        <v>3251</v>
      </c>
      <c r="B3247">
        <v>0.99193492352474899</v>
      </c>
      <c r="C3247">
        <v>0.83556013948743102</v>
      </c>
      <c r="D3247">
        <v>0.67032132944468203</v>
      </c>
      <c r="E3247">
        <v>0.59275756701813498</v>
      </c>
      <c r="F3247">
        <v>0.26145031240637101</v>
      </c>
      <c r="G3247">
        <v>0.115080596802262</v>
      </c>
      <c r="H3247">
        <v>7.7904362253553794E-2</v>
      </c>
      <c r="I3247">
        <v>8.6120122218953293E-2</v>
      </c>
      <c r="J3247">
        <v>9.9689208205989102E-2</v>
      </c>
      <c r="K3247">
        <v>0.11793384849545301</v>
      </c>
      <c r="L3247">
        <v>675.42172988057405</v>
      </c>
      <c r="M3247">
        <v>13.8067772463043</v>
      </c>
      <c r="N3247">
        <v>49.333117341666899</v>
      </c>
      <c r="O3247">
        <v>47.927610303763501</v>
      </c>
      <c r="P3247">
        <v>-6.8092977079801706E-2</v>
      </c>
      <c r="Q3247">
        <v>5.4644955416756798E-2</v>
      </c>
      <c r="R3247">
        <v>0.97618170534333504</v>
      </c>
      <c r="S3247" t="s">
        <v>9917</v>
      </c>
      <c r="T3247" t="s">
        <v>13338</v>
      </c>
      <c r="U3247" t="s">
        <v>13338</v>
      </c>
      <c r="V3247" t="s">
        <v>13338</v>
      </c>
      <c r="W3247" t="s">
        <v>16539</v>
      </c>
      <c r="X3247">
        <v>12</v>
      </c>
      <c r="Y3247" t="s">
        <v>23080</v>
      </c>
      <c r="Z3247" t="s">
        <v>29662</v>
      </c>
      <c r="AA3247">
        <v>0.36301069625470012</v>
      </c>
      <c r="AB3247" t="str">
        <f>HYPERLINK("Melting_Curves/meltCurve_Q12972_PPP1R8.pdf", "Melting_Curves/meltCurve_Q12972_PPP1R8.pdf")</f>
        <v>Melting_Curves/meltCurve_Q12972_PPP1R8.pdf</v>
      </c>
    </row>
    <row r="3248" spans="1:28" x14ac:dyDescent="0.25">
      <c r="A3248" t="s">
        <v>3252</v>
      </c>
      <c r="B3248">
        <v>0.99193492352474899</v>
      </c>
      <c r="C3248">
        <v>0.73107835132227905</v>
      </c>
      <c r="D3248">
        <v>1.1059749783398101</v>
      </c>
      <c r="E3248">
        <v>0.71386789196349598</v>
      </c>
      <c r="F3248">
        <v>0.78692451867745705</v>
      </c>
      <c r="G3248">
        <v>0.36376938696477301</v>
      </c>
      <c r="H3248">
        <v>0.25352075066411101</v>
      </c>
      <c r="I3248">
        <v>0.214551469615199</v>
      </c>
      <c r="J3248">
        <v>0.23944772647760701</v>
      </c>
      <c r="K3248">
        <v>0.29123909624511901</v>
      </c>
      <c r="L3248">
        <v>1008.47167255205</v>
      </c>
      <c r="M3248">
        <v>18.752964295016501</v>
      </c>
      <c r="N3248">
        <v>55.418067602167497</v>
      </c>
      <c r="O3248">
        <v>53.176338961486998</v>
      </c>
      <c r="P3248">
        <v>-6.9380089643214501E-2</v>
      </c>
      <c r="Q3248">
        <v>0.213089925680644</v>
      </c>
      <c r="R3248">
        <v>0.86021973606109103</v>
      </c>
      <c r="S3248" t="s">
        <v>9918</v>
      </c>
      <c r="T3248" t="s">
        <v>13338</v>
      </c>
      <c r="U3248" t="s">
        <v>13338</v>
      </c>
      <c r="V3248" t="s">
        <v>13338</v>
      </c>
      <c r="W3248" t="s">
        <v>16540</v>
      </c>
      <c r="X3248">
        <v>3</v>
      </c>
      <c r="Y3248" t="s">
        <v>23081</v>
      </c>
      <c r="Z3248" t="s">
        <v>29663</v>
      </c>
      <c r="AA3248">
        <v>0.58634884287470768</v>
      </c>
      <c r="AB3248" t="str">
        <f>HYPERLINK("Melting_Curves/meltCurve_Q12974_PTP4A2.pdf", "Melting_Curves/meltCurve_Q12974_PTP4A2.pdf")</f>
        <v>Melting_Curves/meltCurve_Q12974_PTP4A2.pdf</v>
      </c>
    </row>
    <row r="3249" spans="1:28" x14ac:dyDescent="0.25">
      <c r="A3249" t="s">
        <v>3253</v>
      </c>
      <c r="B3249">
        <v>0.99193492352474899</v>
      </c>
      <c r="C3249">
        <v>0.84536156322999101</v>
      </c>
      <c r="D3249">
        <v>0.46646468145552</v>
      </c>
      <c r="E3249">
        <v>0.17745857739986601</v>
      </c>
      <c r="F3249">
        <v>0.15159596949329901</v>
      </c>
      <c r="G3249">
        <v>0.12624874212450701</v>
      </c>
      <c r="H3249">
        <v>0.11817857009417</v>
      </c>
      <c r="I3249">
        <v>0.20849264456196701</v>
      </c>
      <c r="J3249">
        <v>0.238744538627192</v>
      </c>
      <c r="K3249">
        <v>0.33764799601596601</v>
      </c>
      <c r="L3249">
        <v>1511.36232584966</v>
      </c>
      <c r="M3249">
        <v>33.634023988614103</v>
      </c>
      <c r="N3249">
        <v>45.585920771999199</v>
      </c>
      <c r="O3249">
        <v>44.777536597510398</v>
      </c>
      <c r="P3249">
        <v>-0.151999027348065</v>
      </c>
      <c r="Q3249">
        <v>0.190567556682704</v>
      </c>
      <c r="R3249">
        <v>0.955890810001781</v>
      </c>
      <c r="S3249" t="s">
        <v>9919</v>
      </c>
      <c r="T3249" t="s">
        <v>13338</v>
      </c>
      <c r="U3249" t="s">
        <v>13338</v>
      </c>
      <c r="V3249" t="s">
        <v>13338</v>
      </c>
      <c r="W3249" t="s">
        <v>16541</v>
      </c>
      <c r="X3249">
        <v>8</v>
      </c>
      <c r="Y3249" t="s">
        <v>23082</v>
      </c>
      <c r="Z3249" t="s">
        <v>29664</v>
      </c>
      <c r="AA3249">
        <v>0.32772757670963398</v>
      </c>
      <c r="AB3249" t="str">
        <f>HYPERLINK("Melting_Curves/meltCurve_Q12979_4_ABR.pdf", "Melting_Curves/meltCurve_Q12979_4_ABR.pdf")</f>
        <v>Melting_Curves/meltCurve_Q12979_4_ABR.pdf</v>
      </c>
    </row>
    <row r="3250" spans="1:28" x14ac:dyDescent="0.25">
      <c r="A3250" t="s">
        <v>3254</v>
      </c>
      <c r="B3250">
        <v>0.99193492352474899</v>
      </c>
      <c r="C3250">
        <v>0.87880653958134403</v>
      </c>
      <c r="D3250">
        <v>0.927823813215506</v>
      </c>
      <c r="E3250">
        <v>0.86992670953513995</v>
      </c>
      <c r="F3250">
        <v>0.425673583827339</v>
      </c>
      <c r="G3250">
        <v>0.18862142057627301</v>
      </c>
      <c r="H3250">
        <v>0.104068594393432</v>
      </c>
      <c r="I3250">
        <v>0.11660011214853599</v>
      </c>
      <c r="J3250">
        <v>0.12887559758150199</v>
      </c>
      <c r="K3250">
        <v>0.12516554686675399</v>
      </c>
      <c r="L3250">
        <v>1611.5009017872501</v>
      </c>
      <c r="M3250">
        <v>30.876997876339999</v>
      </c>
      <c r="N3250">
        <v>52.639971518790297</v>
      </c>
      <c r="O3250">
        <v>51.973530266785602</v>
      </c>
      <c r="P3250">
        <v>-0.131329241582961</v>
      </c>
      <c r="Q3250">
        <v>0.115768315095498</v>
      </c>
      <c r="R3250">
        <v>0.98625324419016502</v>
      </c>
      <c r="S3250" t="s">
        <v>9920</v>
      </c>
      <c r="T3250" t="s">
        <v>13338</v>
      </c>
      <c r="U3250" t="s">
        <v>13338</v>
      </c>
      <c r="V3250" t="s">
        <v>13338</v>
      </c>
      <c r="W3250" t="s">
        <v>16542</v>
      </c>
      <c r="X3250">
        <v>7</v>
      </c>
      <c r="Y3250" t="s">
        <v>23083</v>
      </c>
      <c r="Z3250" t="s">
        <v>29665</v>
      </c>
      <c r="AA3250">
        <v>0.48044201495960021</v>
      </c>
      <c r="AB3250" t="str">
        <f>HYPERLINK("Melting_Curves/meltCurve_Q12981_BNIP1.pdf", "Melting_Curves/meltCurve_Q12981_BNIP1.pdf")</f>
        <v>Melting_Curves/meltCurve_Q12981_BNIP1.pdf</v>
      </c>
    </row>
    <row r="3251" spans="1:28" x14ac:dyDescent="0.25">
      <c r="A3251" t="s">
        <v>3255</v>
      </c>
      <c r="B3251">
        <v>0.99193492352474899</v>
      </c>
      <c r="C3251">
        <v>0.84301639152105901</v>
      </c>
      <c r="D3251">
        <v>0.834751846247617</v>
      </c>
      <c r="E3251">
        <v>0.66470721103722397</v>
      </c>
      <c r="F3251">
        <v>0.24319316507396699</v>
      </c>
      <c r="G3251">
        <v>0.113936450276842</v>
      </c>
      <c r="H3251">
        <v>7.8842722877706495E-2</v>
      </c>
      <c r="I3251">
        <v>8.2228316515564004E-2</v>
      </c>
      <c r="J3251">
        <v>0.10331194601455</v>
      </c>
      <c r="K3251">
        <v>0.119022021483911</v>
      </c>
      <c r="L3251">
        <v>1024.3573974994699</v>
      </c>
      <c r="M3251">
        <v>20.445353066562902</v>
      </c>
      <c r="N3251">
        <v>50.499777910628303</v>
      </c>
      <c r="O3251">
        <v>49.630298129637303</v>
      </c>
      <c r="P3251">
        <v>-9.53353568452351E-2</v>
      </c>
      <c r="Q3251">
        <v>7.4336366980859298E-2</v>
      </c>
      <c r="R3251">
        <v>0.97631010593748302</v>
      </c>
      <c r="S3251" t="s">
        <v>9921</v>
      </c>
      <c r="T3251" t="s">
        <v>13338</v>
      </c>
      <c r="U3251" t="s">
        <v>13338</v>
      </c>
      <c r="V3251" t="s">
        <v>13338</v>
      </c>
      <c r="W3251" t="s">
        <v>16543</v>
      </c>
      <c r="X3251">
        <v>21</v>
      </c>
      <c r="Y3251" t="s">
        <v>23084</v>
      </c>
      <c r="Z3251" t="s">
        <v>29666</v>
      </c>
      <c r="AA3251">
        <v>0.39838555969260642</v>
      </c>
      <c r="AB3251" t="str">
        <f>HYPERLINK("Melting_Curves/meltCurve_Q12996_CSTF3.pdf", "Melting_Curves/meltCurve_Q12996_CSTF3.pdf")</f>
        <v>Melting_Curves/meltCurve_Q12996_CSTF3.pdf</v>
      </c>
    </row>
    <row r="3252" spans="1:28" x14ac:dyDescent="0.25">
      <c r="A3252" t="s">
        <v>3256</v>
      </c>
      <c r="B3252">
        <v>0.99193492352474899</v>
      </c>
      <c r="C3252">
        <v>1.03387480679094</v>
      </c>
      <c r="D3252">
        <v>0.96481523548187398</v>
      </c>
      <c r="E3252">
        <v>0.81942238746603702</v>
      </c>
      <c r="F3252">
        <v>0.68414586439385605</v>
      </c>
      <c r="G3252">
        <v>0.32500273432933502</v>
      </c>
      <c r="H3252">
        <v>8.2135362592161504E-2</v>
      </c>
      <c r="I3252">
        <v>8.5858941660688401E-2</v>
      </c>
      <c r="J3252">
        <v>9.3701163191044698E-2</v>
      </c>
      <c r="K3252">
        <v>8.7303980016675095E-2</v>
      </c>
      <c r="L3252">
        <v>1152.73905634127</v>
      </c>
      <c r="M3252">
        <v>21.2110850379207</v>
      </c>
      <c r="N3252">
        <v>54.638533941639999</v>
      </c>
      <c r="O3252">
        <v>53.869934556077197</v>
      </c>
      <c r="P3252">
        <v>-9.3156432260542599E-2</v>
      </c>
      <c r="Q3252">
        <v>5.36643615664067E-2</v>
      </c>
      <c r="R3252">
        <v>0.99099348111951302</v>
      </c>
      <c r="S3252" t="s">
        <v>9922</v>
      </c>
      <c r="T3252" t="s">
        <v>13338</v>
      </c>
      <c r="U3252" t="s">
        <v>13338</v>
      </c>
      <c r="V3252" t="s">
        <v>13338</v>
      </c>
      <c r="W3252" t="s">
        <v>16544</v>
      </c>
      <c r="X3252">
        <v>14</v>
      </c>
      <c r="Y3252" t="s">
        <v>23085</v>
      </c>
      <c r="Z3252" t="s">
        <v>29667</v>
      </c>
      <c r="AA3252">
        <v>0.51783665757513186</v>
      </c>
      <c r="AB3252" t="str">
        <f>HYPERLINK("Melting_Curves/meltCurve_Q13011_ECH1.pdf", "Melting_Curves/meltCurve_Q13011_ECH1.pdf")</f>
        <v>Melting_Curves/meltCurve_Q13011_ECH1.pdf</v>
      </c>
    </row>
    <row r="3253" spans="1:28" x14ac:dyDescent="0.25">
      <c r="A3253" t="s">
        <v>3257</v>
      </c>
      <c r="B3253">
        <v>0.99193492352474899</v>
      </c>
      <c r="C3253">
        <v>0.61973376309956496</v>
      </c>
      <c r="D3253">
        <v>1.1076138846299399</v>
      </c>
      <c r="E3253">
        <v>0.44633080352027799</v>
      </c>
      <c r="F3253">
        <v>0.213489452750555</v>
      </c>
      <c r="G3253">
        <v>0.112628012184417</v>
      </c>
      <c r="H3253">
        <v>0.21518463750609401</v>
      </c>
      <c r="I3253">
        <v>0.33999067807574201</v>
      </c>
      <c r="J3253">
        <v>0.55940294469986895</v>
      </c>
      <c r="K3253">
        <v>0.58725353770000199</v>
      </c>
      <c r="L3253">
        <v>12319.087535115101</v>
      </c>
      <c r="M3253">
        <v>250</v>
      </c>
      <c r="N3253">
        <v>49.499484696397197</v>
      </c>
      <c r="O3253">
        <v>49.2731967963702</v>
      </c>
      <c r="P3253">
        <v>-0.83971675028066795</v>
      </c>
      <c r="Q3253">
        <v>0.33799154194728698</v>
      </c>
      <c r="R3253">
        <v>0.64215974110816898</v>
      </c>
      <c r="S3253" t="s">
        <v>9923</v>
      </c>
      <c r="T3253" t="s">
        <v>13338</v>
      </c>
      <c r="U3253" t="s">
        <v>13338</v>
      </c>
      <c r="V3253" t="s">
        <v>13338</v>
      </c>
      <c r="W3253" t="s">
        <v>16545</v>
      </c>
      <c r="X3253">
        <v>2</v>
      </c>
      <c r="Y3253" t="s">
        <v>23086</v>
      </c>
      <c r="Z3253" t="s">
        <v>29668</v>
      </c>
      <c r="AA3253">
        <v>0.54274953368883616</v>
      </c>
      <c r="AB3253" t="str">
        <f>HYPERLINK("Melting_Curves/meltCurve_Q13015_MLLT11.pdf", "Melting_Curves/meltCurve_Q13015_MLLT11.pdf")</f>
        <v>Melting_Curves/meltCurve_Q13015_MLLT11.pdf</v>
      </c>
    </row>
    <row r="3254" spans="1:28" x14ac:dyDescent="0.25">
      <c r="A3254" t="s">
        <v>3258</v>
      </c>
      <c r="B3254">
        <v>0.99193492352474899</v>
      </c>
      <c r="C3254">
        <v>0.914723529572394</v>
      </c>
      <c r="D3254">
        <v>0.82322934046049501</v>
      </c>
      <c r="E3254">
        <v>0.28710981500559302</v>
      </c>
      <c r="F3254">
        <v>0.13478047629186801</v>
      </c>
      <c r="G3254">
        <v>6.0626889997252E-2</v>
      </c>
      <c r="H3254">
        <v>5.41664739133038E-2</v>
      </c>
      <c r="I3254">
        <v>5.1296599590595002E-2</v>
      </c>
      <c r="J3254">
        <v>7.2321059574135996E-2</v>
      </c>
      <c r="K3254">
        <v>9.6836477678635194E-2</v>
      </c>
      <c r="L3254">
        <v>1513.0131473536301</v>
      </c>
      <c r="M3254">
        <v>31.589195816174499</v>
      </c>
      <c r="N3254">
        <v>48.1222445087895</v>
      </c>
      <c r="O3254">
        <v>47.705818048338202</v>
      </c>
      <c r="P3254">
        <v>-0.15414433082159101</v>
      </c>
      <c r="Q3254">
        <v>6.8853484818862803E-2</v>
      </c>
      <c r="R3254">
        <v>0.99498665926716501</v>
      </c>
      <c r="S3254" t="s">
        <v>9924</v>
      </c>
      <c r="T3254" t="s">
        <v>13338</v>
      </c>
      <c r="U3254" t="s">
        <v>13338</v>
      </c>
      <c r="V3254" t="s">
        <v>13338</v>
      </c>
      <c r="W3254" t="s">
        <v>16546</v>
      </c>
      <c r="X3254">
        <v>3</v>
      </c>
      <c r="Y3254" t="s">
        <v>23087</v>
      </c>
      <c r="Z3254" t="s">
        <v>29669</v>
      </c>
      <c r="AA3254">
        <v>0.3189751409017309</v>
      </c>
      <c r="AB3254" t="str">
        <f>HYPERLINK("Melting_Curves/meltCurve_Q13017_2_ARHGAP5.pdf", "Melting_Curves/meltCurve_Q13017_2_ARHGAP5.pdf")</f>
        <v>Melting_Curves/meltCurve_Q13017_2_ARHGAP5.pdf</v>
      </c>
    </row>
    <row r="3255" spans="1:28" x14ac:dyDescent="0.25">
      <c r="A3255" t="s">
        <v>3259</v>
      </c>
      <c r="B3255">
        <v>0.99193492352474899</v>
      </c>
      <c r="C3255">
        <v>1.0755311379644701</v>
      </c>
      <c r="D3255">
        <v>1.1151675129777801</v>
      </c>
      <c r="E3255">
        <v>0.88143540983545399</v>
      </c>
      <c r="F3255">
        <v>0.77269432836612895</v>
      </c>
      <c r="G3255">
        <v>0.31491561349654701</v>
      </c>
      <c r="H3255">
        <v>0.131255143447573</v>
      </c>
      <c r="I3255">
        <v>0.13713615648205099</v>
      </c>
      <c r="J3255">
        <v>0.14237369288701399</v>
      </c>
      <c r="K3255">
        <v>0.15557958325054799</v>
      </c>
      <c r="L3255">
        <v>1842.16004412347</v>
      </c>
      <c r="M3255">
        <v>33.716765285241003</v>
      </c>
      <c r="N3255">
        <v>55.140239122811202</v>
      </c>
      <c r="O3255">
        <v>54.445198980509197</v>
      </c>
      <c r="P3255">
        <v>-0.13429239320049499</v>
      </c>
      <c r="Q3255">
        <v>0.132592214733217</v>
      </c>
      <c r="R3255">
        <v>0.98224410084374503</v>
      </c>
      <c r="S3255" t="s">
        <v>9925</v>
      </c>
      <c r="T3255" t="s">
        <v>13338</v>
      </c>
      <c r="U3255" t="s">
        <v>13338</v>
      </c>
      <c r="V3255" t="s">
        <v>13338</v>
      </c>
      <c r="W3255" t="s">
        <v>16547</v>
      </c>
      <c r="X3255">
        <v>11</v>
      </c>
      <c r="Y3255" t="s">
        <v>20807</v>
      </c>
      <c r="Z3255" t="s">
        <v>29670</v>
      </c>
      <c r="AA3255">
        <v>0.56035872730339409</v>
      </c>
      <c r="AB3255" t="str">
        <f>HYPERLINK("Melting_Curves/meltCurve_Q13033_2_STRN3.pdf", "Melting_Curves/meltCurve_Q13033_2_STRN3.pdf")</f>
        <v>Melting_Curves/meltCurve_Q13033_2_STRN3.pdf</v>
      </c>
    </row>
    <row r="3256" spans="1:28" x14ac:dyDescent="0.25">
      <c r="A3256" t="s">
        <v>3260</v>
      </c>
      <c r="B3256">
        <v>0.99193492352474899</v>
      </c>
      <c r="C3256">
        <v>0.80276147248344498</v>
      </c>
      <c r="D3256">
        <v>0.81095046182795705</v>
      </c>
      <c r="E3256">
        <v>0.62371134306134102</v>
      </c>
      <c r="F3256">
        <v>0.57318089897469005</v>
      </c>
      <c r="G3256">
        <v>0.15530846617966701</v>
      </c>
      <c r="H3256">
        <v>9.4125004740218607E-2</v>
      </c>
      <c r="I3256">
        <v>0.12820335350133599</v>
      </c>
      <c r="J3256">
        <v>0.11777416251301</v>
      </c>
      <c r="K3256">
        <v>0.21573590568731901</v>
      </c>
      <c r="L3256">
        <v>634.48386677041105</v>
      </c>
      <c r="M3256">
        <v>12.440575226646599</v>
      </c>
      <c r="N3256">
        <v>51.6835637212452</v>
      </c>
      <c r="O3256">
        <v>49.737136700761702</v>
      </c>
      <c r="P3256">
        <v>-5.7807708544539101E-2</v>
      </c>
      <c r="Q3256">
        <v>7.5738092830625894E-2</v>
      </c>
      <c r="R3256">
        <v>0.93234615227344597</v>
      </c>
      <c r="S3256" t="s">
        <v>9926</v>
      </c>
      <c r="T3256" t="s">
        <v>13338</v>
      </c>
      <c r="U3256" t="s">
        <v>13338</v>
      </c>
      <c r="V3256" t="s">
        <v>13338</v>
      </c>
      <c r="W3256" t="s">
        <v>16548</v>
      </c>
      <c r="X3256">
        <v>10</v>
      </c>
      <c r="Y3256" t="s">
        <v>23088</v>
      </c>
      <c r="Z3256" t="s">
        <v>29671</v>
      </c>
      <c r="AA3256">
        <v>0.44327729155296153</v>
      </c>
      <c r="AB3256" t="str">
        <f>HYPERLINK("Melting_Curves/meltCurve_Q13042_3_CDC16.pdf", "Melting_Curves/meltCurve_Q13042_3_CDC16.pdf")</f>
        <v>Melting_Curves/meltCurve_Q13042_3_CDC16.pdf</v>
      </c>
    </row>
    <row r="3257" spans="1:28" x14ac:dyDescent="0.25">
      <c r="A3257" t="s">
        <v>3261</v>
      </c>
      <c r="B3257">
        <v>0.99193492352474899</v>
      </c>
      <c r="C3257">
        <v>0.90122187929638498</v>
      </c>
      <c r="D3257">
        <v>0.750458261033772</v>
      </c>
      <c r="E3257">
        <v>0.54641836576533998</v>
      </c>
      <c r="F3257">
        <v>0.32917791760959803</v>
      </c>
      <c r="G3257">
        <v>0.140855989055961</v>
      </c>
      <c r="H3257">
        <v>5.9405920786564599E-2</v>
      </c>
      <c r="I3257">
        <v>7.6074112277648195E-2</v>
      </c>
      <c r="J3257">
        <v>7.7250477469306203E-2</v>
      </c>
      <c r="K3257">
        <v>9.6391296372188795E-2</v>
      </c>
      <c r="L3257">
        <v>737.88845030646803</v>
      </c>
      <c r="M3257">
        <v>14.869492084695199</v>
      </c>
      <c r="N3257">
        <v>49.9496195673727</v>
      </c>
      <c r="O3257">
        <v>48.752721112650299</v>
      </c>
      <c r="P3257">
        <v>-7.2738354584038295E-2</v>
      </c>
      <c r="Q3257">
        <v>4.6148480208357601E-2</v>
      </c>
      <c r="R3257">
        <v>0.994446744878413</v>
      </c>
      <c r="S3257" t="s">
        <v>9927</v>
      </c>
      <c r="T3257" t="s">
        <v>13338</v>
      </c>
      <c r="U3257" t="s">
        <v>13338</v>
      </c>
      <c r="V3257" t="s">
        <v>13338</v>
      </c>
      <c r="W3257" t="s">
        <v>16549</v>
      </c>
      <c r="X3257">
        <v>12</v>
      </c>
      <c r="Y3257" t="s">
        <v>23089</v>
      </c>
      <c r="Z3257" t="s">
        <v>29672</v>
      </c>
      <c r="AA3257">
        <v>0.3755499479276741</v>
      </c>
      <c r="AB3257" t="str">
        <f>HYPERLINK("Melting_Curves/meltCurve_Q13043_STK4.pdf", "Melting_Curves/meltCurve_Q13043_STK4.pdf")</f>
        <v>Melting_Curves/meltCurve_Q13043_STK4.pdf</v>
      </c>
    </row>
    <row r="3258" spans="1:28" x14ac:dyDescent="0.25">
      <c r="A3258" t="s">
        <v>3262</v>
      </c>
      <c r="B3258">
        <v>0.99193492352474899</v>
      </c>
      <c r="C3258">
        <v>0.72095445186524298</v>
      </c>
      <c r="D3258">
        <v>0.81601152934364996</v>
      </c>
      <c r="E3258">
        <v>0.28723078303797001</v>
      </c>
      <c r="F3258">
        <v>0.153973130058222</v>
      </c>
      <c r="G3258">
        <v>8.7163576336183199E-2</v>
      </c>
      <c r="H3258">
        <v>6.1142099937924903E-2</v>
      </c>
      <c r="I3258">
        <v>6.2261043034976697E-2</v>
      </c>
      <c r="J3258">
        <v>6.6038288928783107E-2</v>
      </c>
      <c r="K3258">
        <v>7.5102944963582996E-2</v>
      </c>
      <c r="L3258">
        <v>903.63904060888501</v>
      </c>
      <c r="M3258">
        <v>18.993628506601301</v>
      </c>
      <c r="N3258">
        <v>47.851814938233701</v>
      </c>
      <c r="O3258">
        <v>47.057956694875102</v>
      </c>
      <c r="P3258">
        <v>-9.5675775636217694E-2</v>
      </c>
      <c r="Q3258">
        <v>5.1866250756287403E-2</v>
      </c>
      <c r="R3258">
        <v>0.95419534677939399</v>
      </c>
      <c r="S3258" t="s">
        <v>9928</v>
      </c>
      <c r="T3258" t="s">
        <v>13338</v>
      </c>
      <c r="U3258" t="s">
        <v>13338</v>
      </c>
      <c r="V3258" t="s">
        <v>13338</v>
      </c>
      <c r="W3258" t="s">
        <v>16550</v>
      </c>
      <c r="X3258">
        <v>26</v>
      </c>
      <c r="Y3258" t="s">
        <v>23090</v>
      </c>
      <c r="Z3258" t="s">
        <v>29673</v>
      </c>
      <c r="AA3258">
        <v>0.30651188356227899</v>
      </c>
      <c r="AB3258" t="str">
        <f>HYPERLINK("Melting_Curves/meltCurve_Q13045_2_FLII.pdf", "Melting_Curves/meltCurve_Q13045_2_FLII.pdf")</f>
        <v>Melting_Curves/meltCurve_Q13045_2_FLII.pdf</v>
      </c>
    </row>
    <row r="3259" spans="1:28" x14ac:dyDescent="0.25">
      <c r="A3259" t="s">
        <v>3263</v>
      </c>
      <c r="B3259">
        <v>0.99193492352474899</v>
      </c>
      <c r="C3259">
        <v>0.90308558854888199</v>
      </c>
      <c r="D3259">
        <v>1.1463871922129401</v>
      </c>
      <c r="E3259">
        <v>0.84255869026716601</v>
      </c>
      <c r="F3259">
        <v>0.69785257603179696</v>
      </c>
      <c r="G3259">
        <v>0.25671635071137699</v>
      </c>
      <c r="H3259">
        <v>0.14350248213749001</v>
      </c>
      <c r="I3259">
        <v>0.106560163943533</v>
      </c>
      <c r="J3259">
        <v>0.120845306950513</v>
      </c>
      <c r="K3259">
        <v>5.5175709661372002E-2</v>
      </c>
      <c r="L3259">
        <v>1458.89188921764</v>
      </c>
      <c r="M3259">
        <v>26.923627091634799</v>
      </c>
      <c r="N3259">
        <v>54.565869201096199</v>
      </c>
      <c r="O3259">
        <v>53.890022828819902</v>
      </c>
      <c r="P3259">
        <v>-0.114236008203482</v>
      </c>
      <c r="Q3259">
        <v>8.5395295009987798E-2</v>
      </c>
      <c r="R3259">
        <v>0.97230420004233797</v>
      </c>
      <c r="S3259" t="s">
        <v>9929</v>
      </c>
      <c r="T3259" t="s">
        <v>13338</v>
      </c>
      <c r="U3259" t="s">
        <v>13338</v>
      </c>
      <c r="V3259" t="s">
        <v>13338</v>
      </c>
      <c r="W3259" t="s">
        <v>16551</v>
      </c>
      <c r="X3259">
        <v>4</v>
      </c>
      <c r="Y3259" t="s">
        <v>23091</v>
      </c>
      <c r="Z3259" t="s">
        <v>29674</v>
      </c>
      <c r="AA3259">
        <v>0.52528004594864575</v>
      </c>
      <c r="AB3259" t="str">
        <f>HYPERLINK("Melting_Curves/meltCurve_Q13049_TRIM32.pdf", "Melting_Curves/meltCurve_Q13049_TRIM32.pdf")</f>
        <v>Melting_Curves/meltCurve_Q13049_TRIM32.pdf</v>
      </c>
    </row>
    <row r="3260" spans="1:28" x14ac:dyDescent="0.25">
      <c r="A3260" t="s">
        <v>3264</v>
      </c>
      <c r="B3260">
        <v>0.99193492352474899</v>
      </c>
      <c r="C3260">
        <v>1.0953901600599301</v>
      </c>
      <c r="D3260">
        <v>0.80604906076790195</v>
      </c>
      <c r="E3260">
        <v>0.58152696338473198</v>
      </c>
      <c r="F3260">
        <v>0.30397586943656102</v>
      </c>
      <c r="G3260">
        <v>0.191039744667481</v>
      </c>
      <c r="H3260">
        <v>0.15847888204701299</v>
      </c>
      <c r="I3260">
        <v>0.14734044722541501</v>
      </c>
      <c r="J3260">
        <v>0.15137495754139599</v>
      </c>
      <c r="K3260">
        <v>0.13033823102661701</v>
      </c>
      <c r="L3260">
        <v>1068.83461271645</v>
      </c>
      <c r="M3260">
        <v>21.560125767751298</v>
      </c>
      <c r="N3260">
        <v>50.3462164446982</v>
      </c>
      <c r="O3260">
        <v>49.154019334662401</v>
      </c>
      <c r="P3260">
        <v>-9.4230497151477702E-2</v>
      </c>
      <c r="Q3260">
        <v>0.14069220646154501</v>
      </c>
      <c r="R3260">
        <v>0.98527386555962904</v>
      </c>
      <c r="S3260" t="s">
        <v>9930</v>
      </c>
      <c r="T3260" t="s">
        <v>13338</v>
      </c>
      <c r="U3260" t="s">
        <v>13338</v>
      </c>
      <c r="V3260" t="s">
        <v>13338</v>
      </c>
      <c r="W3260" t="s">
        <v>16552</v>
      </c>
      <c r="X3260">
        <v>6</v>
      </c>
      <c r="Y3260" t="s">
        <v>23092</v>
      </c>
      <c r="Z3260" t="s">
        <v>29675</v>
      </c>
      <c r="AA3260">
        <v>0.42525995030878649</v>
      </c>
      <c r="AB3260" t="str">
        <f>HYPERLINK("Melting_Curves/meltCurve_Q13057_COASY.pdf", "Melting_Curves/meltCurve_Q13057_COASY.pdf")</f>
        <v>Melting_Curves/meltCurve_Q13057_COASY.pdf</v>
      </c>
    </row>
    <row r="3261" spans="1:28" x14ac:dyDescent="0.25">
      <c r="A3261" t="s">
        <v>3265</v>
      </c>
      <c r="B3261">
        <v>0.99193492352474899</v>
      </c>
      <c r="C3261">
        <v>1.0001111782041801</v>
      </c>
      <c r="D3261">
        <v>0.88026204545291897</v>
      </c>
      <c r="E3261">
        <v>0.33719094604196198</v>
      </c>
      <c r="F3261">
        <v>0.187317831216784</v>
      </c>
      <c r="G3261">
        <v>0.10826222059804599</v>
      </c>
      <c r="H3261">
        <v>6.8996784704629097E-2</v>
      </c>
      <c r="I3261">
        <v>9.1705931412177602E-2</v>
      </c>
      <c r="J3261">
        <v>0.11286397473026601</v>
      </c>
      <c r="K3261">
        <v>9.3330532177008096E-2</v>
      </c>
      <c r="L3261">
        <v>1723.04971974866</v>
      </c>
      <c r="M3261">
        <v>35.685317018380402</v>
      </c>
      <c r="N3261">
        <v>48.596189069120101</v>
      </c>
      <c r="O3261">
        <v>48.1336619780066</v>
      </c>
      <c r="P3261">
        <v>-0.16638986658673399</v>
      </c>
      <c r="Q3261">
        <v>0.102271624279033</v>
      </c>
      <c r="R3261">
        <v>0.99670102155450202</v>
      </c>
      <c r="S3261" t="s">
        <v>9931</v>
      </c>
      <c r="T3261" t="s">
        <v>13338</v>
      </c>
      <c r="U3261" t="s">
        <v>13338</v>
      </c>
      <c r="V3261" t="s">
        <v>13338</v>
      </c>
      <c r="W3261" t="s">
        <v>16553</v>
      </c>
      <c r="X3261">
        <v>26</v>
      </c>
      <c r="Y3261" t="s">
        <v>23093</v>
      </c>
      <c r="Z3261" t="s">
        <v>29676</v>
      </c>
      <c r="AA3261">
        <v>0.35397027284570898</v>
      </c>
      <c r="AB3261" t="str">
        <f>HYPERLINK("Melting_Curves/meltCurve_Q13085_ACACA.pdf", "Melting_Curves/meltCurve_Q13085_ACACA.pdf")</f>
        <v>Melting_Curves/meltCurve_Q13085_ACACA.pdf</v>
      </c>
    </row>
    <row r="3262" spans="1:28" x14ac:dyDescent="0.25">
      <c r="A3262" t="s">
        <v>3266</v>
      </c>
      <c r="B3262">
        <v>0.99193492352474899</v>
      </c>
      <c r="C3262">
        <v>0.78098911832262996</v>
      </c>
      <c r="D3262">
        <v>0.62903190203862902</v>
      </c>
      <c r="E3262">
        <v>0.26512152653436299</v>
      </c>
      <c r="F3262">
        <v>0.18053717757679</v>
      </c>
      <c r="G3262">
        <v>0.104687365559159</v>
      </c>
      <c r="H3262">
        <v>7.5327997866593999E-2</v>
      </c>
      <c r="I3262">
        <v>9.1132754070624197E-2</v>
      </c>
      <c r="J3262">
        <v>0.108251781653716</v>
      </c>
      <c r="K3262">
        <v>0.117432213157772</v>
      </c>
      <c r="L3262">
        <v>875.61831034334398</v>
      </c>
      <c r="M3262">
        <v>18.878196358416801</v>
      </c>
      <c r="N3262">
        <v>46.8794597316666</v>
      </c>
      <c r="O3262">
        <v>45.871466092874201</v>
      </c>
      <c r="P3262">
        <v>-9.3560238341787005E-2</v>
      </c>
      <c r="Q3262">
        <v>9.0682245596145794E-2</v>
      </c>
      <c r="R3262">
        <v>0.99043289299347004</v>
      </c>
      <c r="S3262" t="s">
        <v>9932</v>
      </c>
      <c r="T3262" t="s">
        <v>13338</v>
      </c>
      <c r="U3262" t="s">
        <v>13338</v>
      </c>
      <c r="V3262" t="s">
        <v>13338</v>
      </c>
      <c r="W3262" t="s">
        <v>16554</v>
      </c>
      <c r="X3262">
        <v>14</v>
      </c>
      <c r="Y3262" t="s">
        <v>23094</v>
      </c>
      <c r="Z3262" t="s">
        <v>29677</v>
      </c>
      <c r="AA3262">
        <v>0.29976276488713949</v>
      </c>
      <c r="AB3262" t="str">
        <f>HYPERLINK("Melting_Curves/meltCurve_Q13094_LCP2.pdf", "Melting_Curves/meltCurve_Q13094_LCP2.pdf")</f>
        <v>Melting_Curves/meltCurve_Q13094_LCP2.pdf</v>
      </c>
    </row>
    <row r="3263" spans="1:28" x14ac:dyDescent="0.25">
      <c r="A3263" t="s">
        <v>3267</v>
      </c>
      <c r="B3263">
        <v>0.99193492352474899</v>
      </c>
      <c r="C3263">
        <v>0.61549860442190196</v>
      </c>
      <c r="D3263">
        <v>0.429097326362613</v>
      </c>
      <c r="E3263">
        <v>0.27197137325319798</v>
      </c>
      <c r="F3263">
        <v>0.20470948681635201</v>
      </c>
      <c r="G3263">
        <v>0.13606046662523999</v>
      </c>
      <c r="H3263">
        <v>9.4671537380403195E-2</v>
      </c>
      <c r="I3263">
        <v>0.15308002421088099</v>
      </c>
      <c r="J3263">
        <v>0.202234381537299</v>
      </c>
      <c r="K3263">
        <v>0.175207299883887</v>
      </c>
      <c r="L3263">
        <v>889.30375711578301</v>
      </c>
      <c r="M3263">
        <v>20.206381472405798</v>
      </c>
      <c r="N3263">
        <v>44.863802363549503</v>
      </c>
      <c r="O3263">
        <v>43.586774180093997</v>
      </c>
      <c r="P3263">
        <v>-9.74193500731418E-2</v>
      </c>
      <c r="Q3263">
        <v>0.15946099037263101</v>
      </c>
      <c r="R3263">
        <v>0.96772967035484703</v>
      </c>
      <c r="S3263" t="s">
        <v>9933</v>
      </c>
      <c r="T3263" t="s">
        <v>13338</v>
      </c>
      <c r="U3263" t="s">
        <v>13338</v>
      </c>
      <c r="V3263" t="s">
        <v>13338</v>
      </c>
      <c r="W3263" t="s">
        <v>16555</v>
      </c>
      <c r="X3263">
        <v>6</v>
      </c>
      <c r="Y3263" t="s">
        <v>23095</v>
      </c>
      <c r="Z3263" t="s">
        <v>29678</v>
      </c>
      <c r="AA3263">
        <v>0.2877718837803116</v>
      </c>
      <c r="AB3263" t="str">
        <f>HYPERLINK("Melting_Curves/meltCurve_Q13107_2_USP4.pdf", "Melting_Curves/meltCurve_Q13107_2_USP4.pdf")</f>
        <v>Melting_Curves/meltCurve_Q13107_2_USP4.pdf</v>
      </c>
    </row>
    <row r="3264" spans="1:28" x14ac:dyDescent="0.25">
      <c r="A3264" t="s">
        <v>3268</v>
      </c>
      <c r="B3264">
        <v>0.99193492352474899</v>
      </c>
      <c r="C3264">
        <v>0.424768160893706</v>
      </c>
      <c r="D3264">
        <v>0.60387106324195305</v>
      </c>
      <c r="E3264">
        <v>0.215920832106861</v>
      </c>
      <c r="F3264">
        <v>0.18530896340355499</v>
      </c>
      <c r="G3264">
        <v>0.107167342013904</v>
      </c>
      <c r="H3264">
        <v>0.105454715786722</v>
      </c>
      <c r="I3264">
        <v>0.17311581513749799</v>
      </c>
      <c r="J3264">
        <v>0.25447384878249402</v>
      </c>
      <c r="K3264">
        <v>0.27975621302327902</v>
      </c>
      <c r="L3264">
        <v>764.27331532592495</v>
      </c>
      <c r="M3264">
        <v>17.579980578900098</v>
      </c>
      <c r="N3264">
        <v>44.609466861528901</v>
      </c>
      <c r="O3264">
        <v>42.923246289696401</v>
      </c>
      <c r="P3264">
        <v>-8.3927857017838697E-2</v>
      </c>
      <c r="Q3264">
        <v>0.18037205265994499</v>
      </c>
      <c r="R3264">
        <v>0.80316379713488695</v>
      </c>
      <c r="S3264" t="s">
        <v>9934</v>
      </c>
      <c r="T3264" t="s">
        <v>13338</v>
      </c>
      <c r="U3264" t="s">
        <v>13338</v>
      </c>
      <c r="V3264" t="s">
        <v>13338</v>
      </c>
      <c r="W3264" t="s">
        <v>16556</v>
      </c>
      <c r="X3264">
        <v>12</v>
      </c>
      <c r="Y3264" t="s">
        <v>23096</v>
      </c>
      <c r="Z3264" t="s">
        <v>29679</v>
      </c>
      <c r="AA3264">
        <v>0.29845620253890109</v>
      </c>
      <c r="AB3264" t="str">
        <f>HYPERLINK("Melting_Curves/meltCurve_Q13111_CHAF1A.pdf", "Melting_Curves/meltCurve_Q13111_CHAF1A.pdf")</f>
        <v>Melting_Curves/meltCurve_Q13111_CHAF1A.pdf</v>
      </c>
    </row>
    <row r="3265" spans="1:28" x14ac:dyDescent="0.25">
      <c r="A3265" t="s">
        <v>3269</v>
      </c>
      <c r="B3265">
        <v>0.99193492352474899</v>
      </c>
      <c r="C3265">
        <v>0.70989579811262504</v>
      </c>
      <c r="D3265">
        <v>0.93553820215105199</v>
      </c>
      <c r="E3265">
        <v>0.92914298741198498</v>
      </c>
      <c r="F3265">
        <v>0.93332045062125102</v>
      </c>
      <c r="G3265">
        <v>0.698338010831277</v>
      </c>
      <c r="H3265">
        <v>0.34907033820809902</v>
      </c>
      <c r="I3265">
        <v>0.23497050845669001</v>
      </c>
      <c r="J3265">
        <v>0.21482086963138899</v>
      </c>
      <c r="K3265">
        <v>0.28879036047529599</v>
      </c>
      <c r="L3265">
        <v>1831.89549800491</v>
      </c>
      <c r="M3265">
        <v>31.8732015849641</v>
      </c>
      <c r="N3265">
        <v>58.639717761137597</v>
      </c>
      <c r="O3265">
        <v>57.249648000602399</v>
      </c>
      <c r="P3265">
        <v>-0.10653322784891101</v>
      </c>
      <c r="Q3265">
        <v>0.23459730191497</v>
      </c>
      <c r="R3265">
        <v>0.89671753269035803</v>
      </c>
      <c r="S3265" t="s">
        <v>9935</v>
      </c>
      <c r="T3265" t="s">
        <v>13338</v>
      </c>
      <c r="U3265" t="s">
        <v>13338</v>
      </c>
      <c r="V3265" t="s">
        <v>13338</v>
      </c>
      <c r="W3265" t="s">
        <v>16557</v>
      </c>
      <c r="X3265">
        <v>10</v>
      </c>
      <c r="Y3265" t="s">
        <v>23097</v>
      </c>
      <c r="Z3265" t="s">
        <v>29680</v>
      </c>
      <c r="AA3265">
        <v>0.68499935349024343</v>
      </c>
      <c r="AB3265" t="str">
        <f>HYPERLINK("Melting_Curves/meltCurve_Q13112_CHAF1B.pdf", "Melting_Curves/meltCurve_Q13112_CHAF1B.pdf")</f>
        <v>Melting_Curves/meltCurve_Q13112_CHAF1B.pdf</v>
      </c>
    </row>
    <row r="3266" spans="1:28" x14ac:dyDescent="0.25">
      <c r="A3266" t="s">
        <v>3270</v>
      </c>
      <c r="B3266">
        <v>0.99193492352474899</v>
      </c>
      <c r="C3266">
        <v>0.59830407090550097</v>
      </c>
      <c r="D3266">
        <v>0.76386799063384203</v>
      </c>
      <c r="E3266">
        <v>0.29462392756271499</v>
      </c>
      <c r="F3266">
        <v>0.15593324601879899</v>
      </c>
      <c r="G3266">
        <v>9.75755180020869E-2</v>
      </c>
      <c r="H3266">
        <v>8.5515252407142403E-2</v>
      </c>
      <c r="I3266">
        <v>0.13545543804742999</v>
      </c>
      <c r="J3266">
        <v>0.14697518094787901</v>
      </c>
      <c r="K3266">
        <v>0.18955675930059099</v>
      </c>
      <c r="L3266">
        <v>725.62920139334597</v>
      </c>
      <c r="M3266">
        <v>15.6826215093249</v>
      </c>
      <c r="N3266">
        <v>46.996506856507203</v>
      </c>
      <c r="O3266">
        <v>45.536897439212602</v>
      </c>
      <c r="P3266">
        <v>-7.6833041194002305E-2</v>
      </c>
      <c r="Q3266">
        <v>0.107689628150011</v>
      </c>
      <c r="R3266">
        <v>0.89589926086204497</v>
      </c>
      <c r="S3266" t="s">
        <v>9936</v>
      </c>
      <c r="T3266" t="s">
        <v>13338</v>
      </c>
      <c r="U3266" t="s">
        <v>13338</v>
      </c>
      <c r="V3266" t="s">
        <v>13338</v>
      </c>
      <c r="W3266" t="s">
        <v>16558</v>
      </c>
      <c r="X3266">
        <v>24</v>
      </c>
      <c r="Y3266" t="s">
        <v>23098</v>
      </c>
      <c r="Z3266" t="s">
        <v>29681</v>
      </c>
      <c r="AA3266">
        <v>0.31738534700897802</v>
      </c>
      <c r="AB3266" t="str">
        <f>HYPERLINK("Melting_Curves/meltCurve_Q13123_IK.pdf", "Melting_Curves/meltCurve_Q13123_IK.pdf")</f>
        <v>Melting_Curves/meltCurve_Q13123_IK.pdf</v>
      </c>
    </row>
    <row r="3267" spans="1:28" x14ac:dyDescent="0.25">
      <c r="A3267" t="s">
        <v>3271</v>
      </c>
      <c r="B3267">
        <v>0.99193492352474899</v>
      </c>
      <c r="C3267">
        <v>0.94350453281985402</v>
      </c>
      <c r="D3267">
        <v>0.88964661246725396</v>
      </c>
      <c r="E3267">
        <v>0.63071168350120599</v>
      </c>
      <c r="F3267">
        <v>0.33988320119135101</v>
      </c>
      <c r="G3267">
        <v>0.14108550795173599</v>
      </c>
      <c r="H3267">
        <v>7.95258111955017E-2</v>
      </c>
      <c r="I3267">
        <v>9.5037693441961904E-2</v>
      </c>
      <c r="J3267">
        <v>0.105257612632302</v>
      </c>
      <c r="K3267">
        <v>0.105086456179888</v>
      </c>
      <c r="L3267">
        <v>1040.04246167099</v>
      </c>
      <c r="M3267">
        <v>20.584589783829301</v>
      </c>
      <c r="N3267">
        <v>50.966737357007098</v>
      </c>
      <c r="O3267">
        <v>50.055703503767703</v>
      </c>
      <c r="P3267">
        <v>-9.4416796189835395E-2</v>
      </c>
      <c r="Q3267">
        <v>8.1650524547011494E-2</v>
      </c>
      <c r="R3267">
        <v>0.99724748570549104</v>
      </c>
      <c r="S3267" t="s">
        <v>9937</v>
      </c>
      <c r="T3267" t="s">
        <v>13338</v>
      </c>
      <c r="U3267" t="s">
        <v>13338</v>
      </c>
      <c r="V3267" t="s">
        <v>13338</v>
      </c>
      <c r="W3267" t="s">
        <v>16559</v>
      </c>
      <c r="X3267">
        <v>16</v>
      </c>
      <c r="Y3267" t="s">
        <v>23099</v>
      </c>
      <c r="Z3267" t="s">
        <v>29682</v>
      </c>
      <c r="AA3267">
        <v>0.41592499055154691</v>
      </c>
      <c r="AB3267" t="str">
        <f>HYPERLINK("Melting_Curves/meltCurve_Q13131_PRKAA1.pdf", "Melting_Curves/meltCurve_Q13131_PRKAA1.pdf")</f>
        <v>Melting_Curves/meltCurve_Q13131_PRKAA1.pdf</v>
      </c>
    </row>
    <row r="3268" spans="1:28" x14ac:dyDescent="0.25">
      <c r="A3268" t="s">
        <v>3272</v>
      </c>
      <c r="B3268">
        <v>0.99193492352474899</v>
      </c>
      <c r="C3268">
        <v>0.98352697596166405</v>
      </c>
      <c r="D3268">
        <v>0.850265900220598</v>
      </c>
      <c r="E3268">
        <v>0.52449724804696796</v>
      </c>
      <c r="F3268">
        <v>0.28789683851617898</v>
      </c>
      <c r="G3268">
        <v>0.28161122526881099</v>
      </c>
      <c r="H3268">
        <v>0.174719296457929</v>
      </c>
      <c r="I3268">
        <v>0.27761676350440001</v>
      </c>
      <c r="J3268">
        <v>0.31609350481932202</v>
      </c>
      <c r="K3268">
        <v>0.43482084616024402</v>
      </c>
      <c r="L3268">
        <v>1470.2874935677501</v>
      </c>
      <c r="M3268">
        <v>30.503764271006901</v>
      </c>
      <c r="N3268">
        <v>49.613353085249202</v>
      </c>
      <c r="O3268">
        <v>47.9944759965759</v>
      </c>
      <c r="P3268">
        <v>-0.112769140811734</v>
      </c>
      <c r="Q3268">
        <v>0.29028279260648199</v>
      </c>
      <c r="R3268">
        <v>0.956894339105964</v>
      </c>
      <c r="S3268" t="s">
        <v>9938</v>
      </c>
      <c r="T3268" t="s">
        <v>13338</v>
      </c>
      <c r="U3268" t="s">
        <v>13338</v>
      </c>
      <c r="V3268" t="s">
        <v>13338</v>
      </c>
      <c r="W3268" t="s">
        <v>16560</v>
      </c>
      <c r="X3268">
        <v>10</v>
      </c>
      <c r="Y3268" t="s">
        <v>23100</v>
      </c>
      <c r="Z3268" t="s">
        <v>29683</v>
      </c>
      <c r="AA3268">
        <v>0.48841095919905081</v>
      </c>
      <c r="AB3268" t="str">
        <f>HYPERLINK("Melting_Curves/meltCurve_Q13136_PPFIA1.pdf", "Melting_Curves/meltCurve_Q13136_PPFIA1.pdf")</f>
        <v>Melting_Curves/meltCurve_Q13136_PPFIA1.pdf</v>
      </c>
    </row>
    <row r="3269" spans="1:28" x14ac:dyDescent="0.25">
      <c r="A3269" t="s">
        <v>3273</v>
      </c>
      <c r="B3269">
        <v>0.99193492352474899</v>
      </c>
      <c r="C3269">
        <v>0.381782067833631</v>
      </c>
      <c r="D3269">
        <v>0.169205489366901</v>
      </c>
      <c r="E3269">
        <v>8.2001069963198406E-2</v>
      </c>
      <c r="F3269">
        <v>5.5796582473386397E-2</v>
      </c>
      <c r="G3269">
        <v>4.4893172725099198E-2</v>
      </c>
      <c r="H3269">
        <v>3.2437173340049703E-2</v>
      </c>
      <c r="I3269">
        <v>3.89701257869422E-2</v>
      </c>
      <c r="J3269">
        <v>5.1031568597372803E-2</v>
      </c>
      <c r="K3269">
        <v>3.2819341339664201E-2</v>
      </c>
      <c r="L3269">
        <v>2119.7816304275202</v>
      </c>
      <c r="M3269">
        <v>49.995109782782599</v>
      </c>
      <c r="N3269">
        <v>42.508091152459698</v>
      </c>
      <c r="O3269">
        <v>42.332120055360903</v>
      </c>
      <c r="P3269">
        <v>-0.27759779413400498</v>
      </c>
      <c r="Q3269">
        <v>5.9804882428052999E-2</v>
      </c>
      <c r="R3269">
        <v>0.98477528427282401</v>
      </c>
      <c r="S3269" t="s">
        <v>9939</v>
      </c>
      <c r="T3269" t="s">
        <v>13338</v>
      </c>
      <c r="U3269" t="s">
        <v>13338</v>
      </c>
      <c r="V3269" t="s">
        <v>13338</v>
      </c>
      <c r="W3269" t="s">
        <v>16561</v>
      </c>
      <c r="X3269">
        <v>5</v>
      </c>
      <c r="Y3269" t="s">
        <v>23101</v>
      </c>
      <c r="Z3269" t="s">
        <v>29684</v>
      </c>
      <c r="AA3269">
        <v>0.13788072651743391</v>
      </c>
      <c r="AB3269" t="str">
        <f>HYPERLINK("Melting_Curves/meltCurve_Q13148_TARDBP.pdf", "Melting_Curves/meltCurve_Q13148_TARDBP.pdf")</f>
        <v>Melting_Curves/meltCurve_Q13148_TARDBP.pdf</v>
      </c>
    </row>
    <row r="3270" spans="1:28" x14ac:dyDescent="0.25">
      <c r="A3270" t="s">
        <v>3274</v>
      </c>
      <c r="B3270">
        <v>0.99193492352474899</v>
      </c>
      <c r="C3270">
        <v>0.32934758006077702</v>
      </c>
      <c r="D3270">
        <v>0.41641086031389801</v>
      </c>
      <c r="E3270">
        <v>0.176418499847699</v>
      </c>
      <c r="F3270">
        <v>0.124670359181121</v>
      </c>
      <c r="G3270">
        <v>8.0390888816946601E-2</v>
      </c>
      <c r="H3270">
        <v>6.7242045550876595E-2</v>
      </c>
      <c r="I3270">
        <v>0.10049415942215301</v>
      </c>
      <c r="J3270">
        <v>0.16115843933544499</v>
      </c>
      <c r="K3270">
        <v>0.21625284614517501</v>
      </c>
      <c r="L3270">
        <v>2702.5121725580698</v>
      </c>
      <c r="M3270">
        <v>64.329918563852203</v>
      </c>
      <c r="N3270">
        <v>42.276140132050401</v>
      </c>
      <c r="O3270">
        <v>41.9696351419256</v>
      </c>
      <c r="P3270">
        <v>-0.31942705276758099</v>
      </c>
      <c r="Q3270">
        <v>0.16640730070815801</v>
      </c>
      <c r="R3270">
        <v>0.87429053332655304</v>
      </c>
      <c r="S3270" t="s">
        <v>9940</v>
      </c>
      <c r="T3270" t="s">
        <v>13338</v>
      </c>
      <c r="U3270" t="s">
        <v>13338</v>
      </c>
      <c r="V3270" t="s">
        <v>13338</v>
      </c>
      <c r="W3270" t="s">
        <v>16562</v>
      </c>
      <c r="X3270">
        <v>9</v>
      </c>
      <c r="Y3270" t="s">
        <v>23102</v>
      </c>
      <c r="Z3270" t="s">
        <v>29685</v>
      </c>
      <c r="AA3270">
        <v>0.22381261037190289</v>
      </c>
      <c r="AB3270" t="str">
        <f>HYPERLINK("Melting_Curves/meltCurve_Q13151_HNRNPA0.pdf", "Melting_Curves/meltCurve_Q13151_HNRNPA0.pdf")</f>
        <v>Melting_Curves/meltCurve_Q13151_HNRNPA0.pdf</v>
      </c>
    </row>
    <row r="3271" spans="1:28" x14ac:dyDescent="0.25">
      <c r="A3271" t="s">
        <v>3275</v>
      </c>
      <c r="B3271">
        <v>0.99193492352474899</v>
      </c>
      <c r="C3271">
        <v>0.85979091199098201</v>
      </c>
      <c r="D3271">
        <v>0.94467937194188001</v>
      </c>
      <c r="E3271">
        <v>0.89196084934298803</v>
      </c>
      <c r="F3271">
        <v>0.68777659666256297</v>
      </c>
      <c r="G3271">
        <v>0.39416801521732298</v>
      </c>
      <c r="H3271">
        <v>0.11133341382411201</v>
      </c>
      <c r="I3271">
        <v>8.6502165849317997E-2</v>
      </c>
      <c r="J3271">
        <v>9.6230305129892807E-2</v>
      </c>
      <c r="K3271">
        <v>0.101049748149868</v>
      </c>
      <c r="L3271">
        <v>1153.20797456481</v>
      </c>
      <c r="M3271">
        <v>21.025624716721001</v>
      </c>
      <c r="N3271">
        <v>55.183379833618602</v>
      </c>
      <c r="O3271">
        <v>54.358820859187503</v>
      </c>
      <c r="P3271">
        <v>-9.0896703608579807E-2</v>
      </c>
      <c r="Q3271">
        <v>6.0022078084442501E-2</v>
      </c>
      <c r="R3271">
        <v>0.98143438348306999</v>
      </c>
      <c r="S3271" t="s">
        <v>9941</v>
      </c>
      <c r="T3271" t="s">
        <v>13338</v>
      </c>
      <c r="U3271" t="s">
        <v>13338</v>
      </c>
      <c r="V3271" t="s">
        <v>13338</v>
      </c>
      <c r="W3271" t="s">
        <v>16563</v>
      </c>
      <c r="X3271">
        <v>25</v>
      </c>
      <c r="Y3271" t="s">
        <v>23103</v>
      </c>
      <c r="Z3271" t="s">
        <v>29686</v>
      </c>
      <c r="AA3271">
        <v>0.53686824032743385</v>
      </c>
      <c r="AB3271" t="str">
        <f>HYPERLINK("Melting_Curves/meltCurve_Q13153_PAK1.pdf", "Melting_Curves/meltCurve_Q13153_PAK1.pdf")</f>
        <v>Melting_Curves/meltCurve_Q13153_PAK1.pdf</v>
      </c>
    </row>
    <row r="3272" spans="1:28" x14ac:dyDescent="0.25">
      <c r="A3272" t="s">
        <v>3276</v>
      </c>
      <c r="B3272">
        <v>0.99193492352474899</v>
      </c>
      <c r="C3272">
        <v>0.74707473569446103</v>
      </c>
      <c r="D3272">
        <v>0.73137026237753799</v>
      </c>
      <c r="E3272">
        <v>0.21145240310942401</v>
      </c>
      <c r="F3272">
        <v>0.144059730127929</v>
      </c>
      <c r="G3272">
        <v>8.8310037426097193E-2</v>
      </c>
      <c r="H3272">
        <v>6.4785010163223605E-2</v>
      </c>
      <c r="I3272">
        <v>8.0130055570985098E-2</v>
      </c>
      <c r="J3272">
        <v>9.8121961937882599E-2</v>
      </c>
      <c r="K3272">
        <v>9.170866657922E-2</v>
      </c>
      <c r="L3272">
        <v>975.54294776032896</v>
      </c>
      <c r="M3272">
        <v>20.862363127119099</v>
      </c>
      <c r="N3272">
        <v>47.114540817175097</v>
      </c>
      <c r="O3272">
        <v>46.337621792536702</v>
      </c>
      <c r="P3272">
        <v>-0.104401855565406</v>
      </c>
      <c r="Q3272">
        <v>7.2473154100678699E-2</v>
      </c>
      <c r="R3272">
        <v>0.96640920355481297</v>
      </c>
      <c r="S3272" t="s">
        <v>9942</v>
      </c>
      <c r="T3272" t="s">
        <v>13338</v>
      </c>
      <c r="U3272" t="s">
        <v>13338</v>
      </c>
      <c r="V3272" t="s">
        <v>13338</v>
      </c>
      <c r="W3272" t="s">
        <v>16564</v>
      </c>
      <c r="X3272">
        <v>5</v>
      </c>
      <c r="Y3272" t="s">
        <v>23104</v>
      </c>
      <c r="Z3272" t="s">
        <v>29687</v>
      </c>
      <c r="AA3272">
        <v>0.29398818544410132</v>
      </c>
      <c r="AB3272" t="str">
        <f>HYPERLINK("Melting_Curves/meltCurve_Q13155_AIMP2.pdf", "Melting_Curves/meltCurve_Q13155_AIMP2.pdf")</f>
        <v>Melting_Curves/meltCurve_Q13155_AIMP2.pdf</v>
      </c>
    </row>
    <row r="3273" spans="1:28" x14ac:dyDescent="0.25">
      <c r="A3273" t="s">
        <v>3277</v>
      </c>
      <c r="B3273">
        <v>0.99193492352474899</v>
      </c>
      <c r="C3273">
        <v>0.91565831610258996</v>
      </c>
      <c r="D3273">
        <v>0.52489359854289197</v>
      </c>
      <c r="E3273">
        <v>0.34055070851319402</v>
      </c>
      <c r="F3273">
        <v>0.161226856923922</v>
      </c>
      <c r="G3273">
        <v>0.10595220685902899</v>
      </c>
      <c r="H3273">
        <v>7.2770721804748695E-2</v>
      </c>
      <c r="I3273">
        <v>0.118701431454575</v>
      </c>
      <c r="J3273">
        <v>6.3056300483637195E-2</v>
      </c>
      <c r="K3273">
        <v>9.8317400960540299E-2</v>
      </c>
      <c r="L3273">
        <v>947.52234826649305</v>
      </c>
      <c r="M3273">
        <v>20.380884783298502</v>
      </c>
      <c r="N3273">
        <v>46.946931930019097</v>
      </c>
      <c r="O3273">
        <v>46.0500985318942</v>
      </c>
      <c r="P3273">
        <v>-0.100708547953549</v>
      </c>
      <c r="Q3273">
        <v>8.9833731551841503E-2</v>
      </c>
      <c r="R3273">
        <v>0.98816661067473199</v>
      </c>
      <c r="S3273" t="s">
        <v>9943</v>
      </c>
      <c r="T3273" t="s">
        <v>13338</v>
      </c>
      <c r="U3273" t="s">
        <v>13338</v>
      </c>
      <c r="V3273" t="s">
        <v>13338</v>
      </c>
      <c r="W3273" t="s">
        <v>16565</v>
      </c>
      <c r="X3273">
        <v>5</v>
      </c>
      <c r="Y3273" t="s">
        <v>23105</v>
      </c>
      <c r="Z3273" t="s">
        <v>29688</v>
      </c>
      <c r="AA3273">
        <v>0.29983392413734899</v>
      </c>
      <c r="AB3273" t="str">
        <f>HYPERLINK("Melting_Curves/meltCurve_Q13158_FADD.pdf", "Melting_Curves/meltCurve_Q13158_FADD.pdf")</f>
        <v>Melting_Curves/meltCurve_Q13158_FADD.pdf</v>
      </c>
    </row>
    <row r="3274" spans="1:28" x14ac:dyDescent="0.25">
      <c r="A3274" t="s">
        <v>3278</v>
      </c>
      <c r="B3274">
        <v>0.99193492352474899</v>
      </c>
      <c r="C3274">
        <v>0.95927389164043897</v>
      </c>
      <c r="D3274">
        <v>1.0388496277783199</v>
      </c>
      <c r="E3274">
        <v>0.83837984104429297</v>
      </c>
      <c r="F3274">
        <v>0.84449772744435203</v>
      </c>
      <c r="G3274">
        <v>0.640710651745241</v>
      </c>
      <c r="H3274">
        <v>0.42386924138114801</v>
      </c>
      <c r="I3274">
        <v>0.49867206188268998</v>
      </c>
      <c r="J3274">
        <v>0.81367306395762196</v>
      </c>
      <c r="K3274">
        <v>0.68727570842298102</v>
      </c>
      <c r="L3274">
        <v>1322.46881487839</v>
      </c>
      <c r="M3274">
        <v>25.269468639384801</v>
      </c>
      <c r="O3274">
        <v>52.0101987150274</v>
      </c>
      <c r="P3274">
        <v>-4.7611351518769301E-2</v>
      </c>
      <c r="Q3274">
        <v>0.60802597445787099</v>
      </c>
      <c r="R3274">
        <v>0.69800485191654904</v>
      </c>
      <c r="S3274" t="s">
        <v>9944</v>
      </c>
      <c r="T3274" t="s">
        <v>13338</v>
      </c>
      <c r="U3274" t="s">
        <v>13338</v>
      </c>
      <c r="V3274" t="s">
        <v>13338</v>
      </c>
      <c r="W3274" t="s">
        <v>16566</v>
      </c>
      <c r="X3274">
        <v>14</v>
      </c>
      <c r="Y3274" t="s">
        <v>23106</v>
      </c>
      <c r="Z3274" t="s">
        <v>29689</v>
      </c>
      <c r="AA3274">
        <v>0.77270483168543225</v>
      </c>
      <c r="AB3274" t="str">
        <f>HYPERLINK("Melting_Curves/meltCurve_Q13162_PRDX4.pdf", "Melting_Curves/meltCurve_Q13162_PRDX4.pdf")</f>
        <v>Melting_Curves/meltCurve_Q13162_PRDX4.pdf</v>
      </c>
    </row>
    <row r="3275" spans="1:28" x14ac:dyDescent="0.25">
      <c r="A3275" t="s">
        <v>3279</v>
      </c>
      <c r="B3275">
        <v>0.99193492352474899</v>
      </c>
      <c r="C3275">
        <v>1.09911375342861</v>
      </c>
      <c r="D3275">
        <v>0.57649187554338299</v>
      </c>
      <c r="E3275">
        <v>0.439355696918379</v>
      </c>
      <c r="F3275">
        <v>0.12847767607889099</v>
      </c>
      <c r="G3275">
        <v>6.2536754277515705E-2</v>
      </c>
      <c r="H3275">
        <v>3.58226677071279E-2</v>
      </c>
      <c r="I3275">
        <v>2.6297501527535901E-2</v>
      </c>
      <c r="J3275">
        <v>2.7101897187057199E-2</v>
      </c>
      <c r="K3275">
        <v>4.0609613384128197E-2</v>
      </c>
      <c r="L3275">
        <v>978.16839040984405</v>
      </c>
      <c r="M3275">
        <v>20.3740356918535</v>
      </c>
      <c r="N3275">
        <v>48.146571131237302</v>
      </c>
      <c r="O3275">
        <v>47.555192957182797</v>
      </c>
      <c r="P3275">
        <v>-0.10411435554755299</v>
      </c>
      <c r="Q3275">
        <v>2.7972942747165899E-2</v>
      </c>
      <c r="R3275">
        <v>0.96284472718298098</v>
      </c>
      <c r="S3275" t="s">
        <v>9945</v>
      </c>
      <c r="T3275" t="s">
        <v>13338</v>
      </c>
      <c r="U3275" t="s">
        <v>13338</v>
      </c>
      <c r="V3275" t="s">
        <v>13338</v>
      </c>
      <c r="W3275" t="s">
        <v>16567</v>
      </c>
      <c r="X3275">
        <v>1</v>
      </c>
      <c r="Y3275" t="s">
        <v>23107</v>
      </c>
      <c r="Z3275" t="s">
        <v>29690</v>
      </c>
      <c r="AA3275">
        <v>0.30080008092279242</v>
      </c>
      <c r="AB3275" t="str">
        <f>HYPERLINK("Melting_Curves/meltCurve_Q13163_4_MAP2K5.pdf", "Melting_Curves/meltCurve_Q13163_4_MAP2K5.pdf")</f>
        <v>Melting_Curves/meltCurve_Q13163_4_MAP2K5.pdf</v>
      </c>
    </row>
    <row r="3276" spans="1:28" x14ac:dyDescent="0.25">
      <c r="A3276" t="s">
        <v>3280</v>
      </c>
      <c r="B3276">
        <v>0.99193492352474899</v>
      </c>
      <c r="C3276">
        <v>0.97689892029597802</v>
      </c>
      <c r="D3276">
        <v>0.96139028979272501</v>
      </c>
      <c r="E3276">
        <v>0.87267788209154296</v>
      </c>
      <c r="F3276">
        <v>0.58165468460101699</v>
      </c>
      <c r="G3276">
        <v>0.26529295822759602</v>
      </c>
      <c r="H3276">
        <v>8.5603704253586599E-2</v>
      </c>
      <c r="I3276">
        <v>8.8286168520494507E-2</v>
      </c>
      <c r="J3276">
        <v>9.65593119161854E-2</v>
      </c>
      <c r="K3276">
        <v>0.108953017669594</v>
      </c>
      <c r="L3276">
        <v>1310.90470825841</v>
      </c>
      <c r="M3276">
        <v>24.500923164746101</v>
      </c>
      <c r="N3276">
        <v>53.885043932320301</v>
      </c>
      <c r="O3276">
        <v>53.151703068827899</v>
      </c>
      <c r="P3276">
        <v>-0.10608257172234099</v>
      </c>
      <c r="Q3276">
        <v>7.9481929542251695E-2</v>
      </c>
      <c r="R3276">
        <v>0.99758238335613802</v>
      </c>
      <c r="S3276" t="s">
        <v>9946</v>
      </c>
      <c r="T3276" t="s">
        <v>13338</v>
      </c>
      <c r="U3276" t="s">
        <v>13338</v>
      </c>
      <c r="V3276" t="s">
        <v>13338</v>
      </c>
      <c r="W3276" t="s">
        <v>16568</v>
      </c>
      <c r="X3276">
        <v>35</v>
      </c>
      <c r="Y3276" t="s">
        <v>23108</v>
      </c>
      <c r="Z3276" t="s">
        <v>29691</v>
      </c>
      <c r="AA3276">
        <v>0.50267049232035643</v>
      </c>
      <c r="AB3276" t="str">
        <f>HYPERLINK("Melting_Curves/meltCurve_Q13177_PAK2.pdf", "Melting_Curves/meltCurve_Q13177_PAK2.pdf")</f>
        <v>Melting_Curves/meltCurve_Q13177_PAK2.pdf</v>
      </c>
    </row>
    <row r="3277" spans="1:28" x14ac:dyDescent="0.25">
      <c r="A3277" t="s">
        <v>3281</v>
      </c>
      <c r="B3277">
        <v>0.99193492352474899</v>
      </c>
      <c r="C3277">
        <v>0.81266152153654703</v>
      </c>
      <c r="D3277">
        <v>0.98071592696662802</v>
      </c>
      <c r="E3277">
        <v>0.508307070279574</v>
      </c>
      <c r="F3277">
        <v>0.24431237600723299</v>
      </c>
      <c r="G3277">
        <v>0.122978470406688</v>
      </c>
      <c r="H3277">
        <v>8.7453579544832405E-2</v>
      </c>
      <c r="I3277">
        <v>0.105046963116846</v>
      </c>
      <c r="J3277">
        <v>0.14095165912143401</v>
      </c>
      <c r="K3277">
        <v>0.128077497751</v>
      </c>
      <c r="L3277">
        <v>1481.3513520506301</v>
      </c>
      <c r="M3277">
        <v>29.968785259110302</v>
      </c>
      <c r="N3277">
        <v>49.871294639994296</v>
      </c>
      <c r="O3277">
        <v>49.211283931274401</v>
      </c>
      <c r="P3277">
        <v>-0.134508037137585</v>
      </c>
      <c r="Q3277">
        <v>0.116511415433382</v>
      </c>
      <c r="R3277">
        <v>0.96904406921314401</v>
      </c>
      <c r="S3277" t="s">
        <v>9947</v>
      </c>
      <c r="T3277" t="s">
        <v>13338</v>
      </c>
      <c r="U3277" t="s">
        <v>13338</v>
      </c>
      <c r="V3277" t="s">
        <v>13338</v>
      </c>
      <c r="W3277" t="s">
        <v>16569</v>
      </c>
      <c r="X3277">
        <v>9</v>
      </c>
      <c r="Y3277" t="s">
        <v>23109</v>
      </c>
      <c r="Z3277" t="s">
        <v>29692</v>
      </c>
      <c r="AA3277">
        <v>0.39964263964966462</v>
      </c>
      <c r="AB3277" t="str">
        <f>HYPERLINK("Melting_Curves/meltCurve_Q13185_CBX3.pdf", "Melting_Curves/meltCurve_Q13185_CBX3.pdf")</f>
        <v>Melting_Curves/meltCurve_Q13185_CBX3.pdf</v>
      </c>
    </row>
    <row r="3278" spans="1:28" x14ac:dyDescent="0.25">
      <c r="A3278" t="s">
        <v>3282</v>
      </c>
      <c r="B3278">
        <v>0.99193492352474899</v>
      </c>
      <c r="C3278">
        <v>0.93012180292754698</v>
      </c>
      <c r="D3278">
        <v>0.86171829216778995</v>
      </c>
      <c r="E3278">
        <v>0.68410122335843304</v>
      </c>
      <c r="F3278">
        <v>0.519263819297066</v>
      </c>
      <c r="G3278">
        <v>0.28052405542227399</v>
      </c>
      <c r="H3278">
        <v>0.10208943667102</v>
      </c>
      <c r="I3278">
        <v>9.3524914429558806E-2</v>
      </c>
      <c r="J3278">
        <v>0.10177700014891999</v>
      </c>
      <c r="K3278">
        <v>0.105474953273186</v>
      </c>
      <c r="L3278">
        <v>722.73354642899301</v>
      </c>
      <c r="M3278">
        <v>13.7987143345236</v>
      </c>
      <c r="N3278">
        <v>52.693439976157201</v>
      </c>
      <c r="O3278">
        <v>51.313603512428003</v>
      </c>
      <c r="P3278">
        <v>-6.4562299598896006E-2</v>
      </c>
      <c r="Q3278">
        <v>3.9777466708163497E-2</v>
      </c>
      <c r="R3278">
        <v>0.99255314012221896</v>
      </c>
      <c r="S3278" t="s">
        <v>9948</v>
      </c>
      <c r="T3278" t="s">
        <v>13338</v>
      </c>
      <c r="U3278" t="s">
        <v>13338</v>
      </c>
      <c r="V3278" t="s">
        <v>13338</v>
      </c>
      <c r="W3278" t="s">
        <v>16570</v>
      </c>
      <c r="X3278">
        <v>15</v>
      </c>
      <c r="Y3278" t="s">
        <v>23110</v>
      </c>
      <c r="Z3278" t="s">
        <v>29693</v>
      </c>
      <c r="AA3278">
        <v>0.45979547251936331</v>
      </c>
      <c r="AB3278" t="str">
        <f>HYPERLINK("Melting_Curves/meltCurve_Q13188_STK3.pdf", "Melting_Curves/meltCurve_Q13188_STK3.pdf")</f>
        <v>Melting_Curves/meltCurve_Q13188_STK3.pdf</v>
      </c>
    </row>
    <row r="3279" spans="1:28" x14ac:dyDescent="0.25">
      <c r="A3279" t="s">
        <v>3283</v>
      </c>
      <c r="B3279">
        <v>0.99193492352474899</v>
      </c>
      <c r="C3279">
        <v>0.81885562534700096</v>
      </c>
      <c r="D3279">
        <v>0.76605728653961502</v>
      </c>
      <c r="E3279">
        <v>0.303155909696538</v>
      </c>
      <c r="F3279">
        <v>0.116474145600363</v>
      </c>
      <c r="G3279">
        <v>5.5655543319382599E-2</v>
      </c>
      <c r="H3279">
        <v>2.9743432962076401E-2</v>
      </c>
      <c r="I3279">
        <v>4.3072983031162401E-2</v>
      </c>
      <c r="J3279">
        <v>5.6061936091693902E-2</v>
      </c>
      <c r="K3279">
        <v>7.0333055065058506E-2</v>
      </c>
      <c r="L3279">
        <v>1053.1320500633799</v>
      </c>
      <c r="M3279">
        <v>22.0930424887488</v>
      </c>
      <c r="N3279">
        <v>47.8488276664715</v>
      </c>
      <c r="O3279">
        <v>47.282673261285701</v>
      </c>
      <c r="P3279">
        <v>-0.112138622440679</v>
      </c>
      <c r="Q3279">
        <v>4.0042529212407203E-2</v>
      </c>
      <c r="R3279">
        <v>0.98673270867371499</v>
      </c>
      <c r="S3279" t="s">
        <v>9949</v>
      </c>
      <c r="T3279" t="s">
        <v>13338</v>
      </c>
      <c r="U3279" t="s">
        <v>13338</v>
      </c>
      <c r="V3279" t="s">
        <v>13338</v>
      </c>
      <c r="W3279" t="s">
        <v>16571</v>
      </c>
      <c r="X3279">
        <v>5</v>
      </c>
      <c r="Y3279" t="s">
        <v>23111</v>
      </c>
      <c r="Z3279" t="s">
        <v>29694</v>
      </c>
      <c r="AA3279">
        <v>0.29650145926786398</v>
      </c>
      <c r="AB3279" t="str">
        <f>HYPERLINK("Melting_Curves/meltCurve_Q13190_2_STX5.pdf", "Melting_Curves/meltCurve_Q13190_2_STX5.pdf")</f>
        <v>Melting_Curves/meltCurve_Q13190_2_STX5.pdf</v>
      </c>
    </row>
    <row r="3280" spans="1:28" x14ac:dyDescent="0.25">
      <c r="A3280" t="s">
        <v>3284</v>
      </c>
      <c r="B3280">
        <v>0.99193492352474899</v>
      </c>
      <c r="C3280">
        <v>0.83090618251219395</v>
      </c>
      <c r="D3280">
        <v>0.96007711157847597</v>
      </c>
      <c r="E3280">
        <v>0.74909137598164299</v>
      </c>
      <c r="F3280">
        <v>0.81666046924720603</v>
      </c>
      <c r="G3280">
        <v>0.32447689175037803</v>
      </c>
      <c r="H3280">
        <v>0.101892657977825</v>
      </c>
      <c r="I3280">
        <v>0.110946885702234</v>
      </c>
      <c r="J3280">
        <v>0.108433832666369</v>
      </c>
      <c r="K3280">
        <v>0.11749287769845899</v>
      </c>
      <c r="L3280">
        <v>1251.39373004404</v>
      </c>
      <c r="M3280">
        <v>22.817563568418699</v>
      </c>
      <c r="N3280">
        <v>55.234307089725398</v>
      </c>
      <c r="O3280">
        <v>54.427406267818498</v>
      </c>
      <c r="P3280">
        <v>-9.6995515669408394E-2</v>
      </c>
      <c r="Q3280">
        <v>7.4552841795354E-2</v>
      </c>
      <c r="R3280">
        <v>0.94012835407996498</v>
      </c>
      <c r="S3280" t="s">
        <v>9950</v>
      </c>
      <c r="T3280" t="s">
        <v>13338</v>
      </c>
      <c r="U3280" t="s">
        <v>13338</v>
      </c>
      <c r="V3280" t="s">
        <v>13338</v>
      </c>
      <c r="W3280" t="s">
        <v>16572</v>
      </c>
      <c r="X3280">
        <v>34</v>
      </c>
      <c r="Y3280" t="s">
        <v>23112</v>
      </c>
      <c r="Z3280" t="s">
        <v>29695</v>
      </c>
      <c r="AA3280">
        <v>0.54246954940872494</v>
      </c>
      <c r="AB3280" t="str">
        <f>HYPERLINK("Melting_Curves/meltCurve_Q13200_PSMD2.pdf", "Melting_Curves/meltCurve_Q13200_PSMD2.pdf")</f>
        <v>Melting_Curves/meltCurve_Q13200_PSMD2.pdf</v>
      </c>
    </row>
    <row r="3281" spans="1:28" x14ac:dyDescent="0.25">
      <c r="A3281" t="s">
        <v>3285</v>
      </c>
      <c r="B3281">
        <v>0.99193492352474899</v>
      </c>
      <c r="C3281">
        <v>1.0381694661485401</v>
      </c>
      <c r="D3281">
        <v>1.0059158626962399</v>
      </c>
      <c r="E3281">
        <v>0.85777704559207202</v>
      </c>
      <c r="F3281">
        <v>0.7606532867436</v>
      </c>
      <c r="G3281">
        <v>0.46284728584832202</v>
      </c>
      <c r="H3281">
        <v>0.259027175203077</v>
      </c>
      <c r="I3281">
        <v>0.16941687584845899</v>
      </c>
      <c r="J3281">
        <v>0.161355507185036</v>
      </c>
      <c r="K3281">
        <v>0.176665791890534</v>
      </c>
      <c r="L3281">
        <v>1073.7932939944201</v>
      </c>
      <c r="M3281">
        <v>19.3972607590295</v>
      </c>
      <c r="N3281">
        <v>56.274867685923802</v>
      </c>
      <c r="O3281">
        <v>54.779687992007602</v>
      </c>
      <c r="P3281">
        <v>-7.6533381088397398E-2</v>
      </c>
      <c r="Q3281">
        <v>0.13548190465531801</v>
      </c>
      <c r="R3281">
        <v>0.99368160207248502</v>
      </c>
      <c r="S3281" t="s">
        <v>9951</v>
      </c>
      <c r="T3281" t="s">
        <v>13338</v>
      </c>
      <c r="U3281" t="s">
        <v>13338</v>
      </c>
      <c r="V3281" t="s">
        <v>13338</v>
      </c>
      <c r="W3281" t="s">
        <v>16573</v>
      </c>
      <c r="X3281">
        <v>5</v>
      </c>
      <c r="Y3281" t="s">
        <v>23113</v>
      </c>
      <c r="Z3281" t="s">
        <v>29696</v>
      </c>
      <c r="AA3281">
        <v>0.5899607773677451</v>
      </c>
      <c r="AB3281" t="str">
        <f>HYPERLINK("Melting_Curves/meltCurve_Q13216_ERCC8.pdf", "Melting_Curves/meltCurve_Q13216_ERCC8.pdf")</f>
        <v>Melting_Curves/meltCurve_Q13216_ERCC8.pdf</v>
      </c>
    </row>
    <row r="3282" spans="1:28" x14ac:dyDescent="0.25">
      <c r="A3282" t="s">
        <v>3286</v>
      </c>
      <c r="B3282">
        <v>0.99193492352474899</v>
      </c>
      <c r="C3282">
        <v>0.80161420251665205</v>
      </c>
      <c r="D3282">
        <v>0.94527479865054798</v>
      </c>
      <c r="E3282">
        <v>0.562035894764226</v>
      </c>
      <c r="F3282">
        <v>0.31228319461545001</v>
      </c>
      <c r="G3282">
        <v>0.169204346424353</v>
      </c>
      <c r="H3282">
        <v>0.122120959213206</v>
      </c>
      <c r="I3282">
        <v>0.16181761306463799</v>
      </c>
      <c r="J3282">
        <v>0.18874649605902799</v>
      </c>
      <c r="K3282">
        <v>0.21302644648002</v>
      </c>
      <c r="L3282">
        <v>1194.1053502086399</v>
      </c>
      <c r="M3282">
        <v>24.108111776792899</v>
      </c>
      <c r="N3282">
        <v>50.355966315912802</v>
      </c>
      <c r="O3282">
        <v>49.194213619688</v>
      </c>
      <c r="P3282">
        <v>-0.102533977966819</v>
      </c>
      <c r="Q3282">
        <v>0.163102833223294</v>
      </c>
      <c r="R3282">
        <v>0.96107351042551203</v>
      </c>
      <c r="S3282" t="s">
        <v>9952</v>
      </c>
      <c r="T3282" t="s">
        <v>13338</v>
      </c>
      <c r="U3282" t="s">
        <v>13338</v>
      </c>
      <c r="V3282" t="s">
        <v>13338</v>
      </c>
      <c r="W3282" t="s">
        <v>16574</v>
      </c>
      <c r="X3282">
        <v>20</v>
      </c>
      <c r="Y3282" t="s">
        <v>23114</v>
      </c>
      <c r="Z3282" t="s">
        <v>29697</v>
      </c>
      <c r="AA3282">
        <v>0.4370094412777773</v>
      </c>
      <c r="AB3282" t="str">
        <f>HYPERLINK("Melting_Curves/meltCurve_Q13217_DNAJC3.pdf", "Melting_Curves/meltCurve_Q13217_DNAJC3.pdf")</f>
        <v>Melting_Curves/meltCurve_Q13217_DNAJC3.pdf</v>
      </c>
    </row>
    <row r="3283" spans="1:28" x14ac:dyDescent="0.25">
      <c r="A3283" t="s">
        <v>3287</v>
      </c>
      <c r="B3283">
        <v>0.99193492352474899</v>
      </c>
      <c r="C3283">
        <v>0.82184198331653302</v>
      </c>
      <c r="D3283">
        <v>0.79705916903818397</v>
      </c>
      <c r="E3283">
        <v>0.603356100230795</v>
      </c>
      <c r="F3283">
        <v>0.41897875258395201</v>
      </c>
      <c r="G3283">
        <v>0.40536756357815801</v>
      </c>
      <c r="H3283">
        <v>0.74817099334844195</v>
      </c>
      <c r="I3283">
        <v>1.1463270613638401</v>
      </c>
      <c r="J3283">
        <v>1.4633087904984701</v>
      </c>
      <c r="K3283">
        <v>2.51519646109413</v>
      </c>
      <c r="L3283">
        <v>8190.2066376583398</v>
      </c>
      <c r="M3283">
        <v>127.075441864027</v>
      </c>
      <c r="O3283">
        <v>64.435577658880803</v>
      </c>
      <c r="P3283">
        <v>0.24651648469836801</v>
      </c>
      <c r="Q3283">
        <v>1.5</v>
      </c>
      <c r="R3283">
        <v>0.42639161885476301</v>
      </c>
      <c r="S3283" t="s">
        <v>9953</v>
      </c>
      <c r="T3283" t="s">
        <v>13338</v>
      </c>
      <c r="U3283" t="s">
        <v>13338</v>
      </c>
      <c r="V3283" t="s">
        <v>13338</v>
      </c>
      <c r="W3283" t="s">
        <v>16575</v>
      </c>
      <c r="X3283">
        <v>10</v>
      </c>
      <c r="Y3283" t="s">
        <v>23115</v>
      </c>
      <c r="Z3283" t="s">
        <v>29698</v>
      </c>
      <c r="AA3283">
        <v>1.0922558975882071</v>
      </c>
      <c r="AB3283" t="str">
        <f>HYPERLINK("Melting_Curves/meltCurve_Q13242_SRSF9.pdf", "Melting_Curves/meltCurve_Q13242_SRSF9.pdf")</f>
        <v>Melting_Curves/meltCurve_Q13242_SRSF9.pdf</v>
      </c>
    </row>
    <row r="3284" spans="1:28" x14ac:dyDescent="0.25">
      <c r="A3284" t="s">
        <v>3288</v>
      </c>
      <c r="B3284">
        <v>0.99193492352474899</v>
      </c>
      <c r="C3284">
        <v>0.72432117600029999</v>
      </c>
      <c r="D3284">
        <v>0.747470762520557</v>
      </c>
      <c r="E3284">
        <v>0.53850966740839001</v>
      </c>
      <c r="F3284">
        <v>0.451898145847837</v>
      </c>
      <c r="G3284">
        <v>0.33908621759531299</v>
      </c>
      <c r="H3284">
        <v>0.62855278652139002</v>
      </c>
      <c r="I3284">
        <v>1.0017381753775301</v>
      </c>
      <c r="J3284">
        <v>1.34080491018542</v>
      </c>
      <c r="K3284">
        <v>1.88029009367968</v>
      </c>
      <c r="L3284">
        <v>10114.621267707</v>
      </c>
      <c r="M3284">
        <v>250</v>
      </c>
      <c r="O3284">
        <v>40.455899718229702</v>
      </c>
      <c r="P3284">
        <v>-0.23127517532830599</v>
      </c>
      <c r="Q3284">
        <v>0.85029688912262202</v>
      </c>
      <c r="R3284">
        <v>9.3291217325954801E-3</v>
      </c>
      <c r="S3284" t="s">
        <v>9954</v>
      </c>
      <c r="T3284" t="s">
        <v>13338</v>
      </c>
      <c r="U3284" t="s">
        <v>13338</v>
      </c>
      <c r="V3284" t="s">
        <v>13338</v>
      </c>
      <c r="W3284" t="s">
        <v>16576</v>
      </c>
      <c r="X3284">
        <v>8</v>
      </c>
      <c r="Y3284" t="s">
        <v>23116</v>
      </c>
      <c r="Z3284" t="s">
        <v>29699</v>
      </c>
      <c r="AA3284">
        <v>0.85263878338072696</v>
      </c>
      <c r="AB3284" t="str">
        <f>HYPERLINK("Melting_Curves/meltCurve_Q13243_SRSF5.pdf", "Melting_Curves/meltCurve_Q13243_SRSF5.pdf")</f>
        <v>Melting_Curves/meltCurve_Q13243_SRSF5.pdf</v>
      </c>
    </row>
    <row r="3285" spans="1:28" x14ac:dyDescent="0.25">
      <c r="A3285" t="s">
        <v>3289</v>
      </c>
      <c r="B3285">
        <v>0.99193492352474899</v>
      </c>
      <c r="C3285">
        <v>0.73261378472695304</v>
      </c>
      <c r="D3285">
        <v>0.64357248662896405</v>
      </c>
      <c r="E3285">
        <v>0.48537686601826802</v>
      </c>
      <c r="F3285">
        <v>0.24207085548798801</v>
      </c>
      <c r="G3285">
        <v>0.13994628006472701</v>
      </c>
      <c r="H3285">
        <v>9.4343217283100494E-2</v>
      </c>
      <c r="I3285">
        <v>0.151290825579602</v>
      </c>
      <c r="J3285">
        <v>0.178791723278767</v>
      </c>
      <c r="K3285">
        <v>0.23770217191144599</v>
      </c>
      <c r="L3285">
        <v>676.78182263910605</v>
      </c>
      <c r="M3285">
        <v>14.436851563779999</v>
      </c>
      <c r="N3285">
        <v>47.969121244865903</v>
      </c>
      <c r="O3285">
        <v>46.006842225805798</v>
      </c>
      <c r="P3285">
        <v>-6.7484496026744403E-2</v>
      </c>
      <c r="Q3285">
        <v>0.139872280171671</v>
      </c>
      <c r="R3285">
        <v>0.95623499300551196</v>
      </c>
      <c r="S3285" t="s">
        <v>9955</v>
      </c>
      <c r="T3285" t="s">
        <v>13338</v>
      </c>
      <c r="U3285" t="s">
        <v>13338</v>
      </c>
      <c r="V3285" t="s">
        <v>13338</v>
      </c>
      <c r="W3285" t="s">
        <v>16577</v>
      </c>
      <c r="X3285">
        <v>14</v>
      </c>
      <c r="Y3285" t="s">
        <v>23117</v>
      </c>
      <c r="Z3285" t="s">
        <v>29700</v>
      </c>
      <c r="AA3285">
        <v>0.36256316081092788</v>
      </c>
      <c r="AB3285" t="str">
        <f>HYPERLINK("Melting_Curves/meltCurve_Q13247_3_SRSF6.pdf", "Melting_Curves/meltCurve_Q13247_3_SRSF6.pdf")</f>
        <v>Melting_Curves/meltCurve_Q13247_3_SRSF6.pdf</v>
      </c>
    </row>
    <row r="3286" spans="1:28" x14ac:dyDescent="0.25">
      <c r="A3286" t="s">
        <v>3290</v>
      </c>
      <c r="B3286">
        <v>0.99193492352474899</v>
      </c>
      <c r="C3286">
        <v>0.78687584631880503</v>
      </c>
      <c r="D3286">
        <v>0.863437966646875</v>
      </c>
      <c r="E3286">
        <v>0.41220778174210898</v>
      </c>
      <c r="F3286">
        <v>0.27383830168054202</v>
      </c>
      <c r="G3286">
        <v>0.16580150239691299</v>
      </c>
      <c r="H3286">
        <v>9.9868719146140303E-2</v>
      </c>
      <c r="I3286">
        <v>9.2425229298079697E-2</v>
      </c>
      <c r="J3286">
        <v>0.112025147548203</v>
      </c>
      <c r="K3286">
        <v>0.106458082069602</v>
      </c>
      <c r="L3286">
        <v>837.720291775644</v>
      </c>
      <c r="M3286">
        <v>17.227995796024199</v>
      </c>
      <c r="N3286">
        <v>49.191803460547902</v>
      </c>
      <c r="O3286">
        <v>47.984549144941703</v>
      </c>
      <c r="P3286">
        <v>-8.16892952769354E-2</v>
      </c>
      <c r="Q3286">
        <v>8.9947736065955505E-2</v>
      </c>
      <c r="R3286">
        <v>0.97036079556802302</v>
      </c>
      <c r="S3286" t="s">
        <v>9956</v>
      </c>
      <c r="T3286" t="s">
        <v>13338</v>
      </c>
      <c r="U3286" t="s">
        <v>13338</v>
      </c>
      <c r="V3286" t="s">
        <v>13338</v>
      </c>
      <c r="W3286" t="s">
        <v>16578</v>
      </c>
      <c r="X3286">
        <v>10</v>
      </c>
      <c r="Y3286" t="s">
        <v>23118</v>
      </c>
      <c r="Z3286" t="s">
        <v>29701</v>
      </c>
      <c r="AA3286">
        <v>0.36895856651289538</v>
      </c>
      <c r="AB3286" t="str">
        <f>HYPERLINK("Melting_Curves/meltCurve_Q13257_MAD2L1.pdf", "Melting_Curves/meltCurve_Q13257_MAD2L1.pdf")</f>
        <v>Melting_Curves/meltCurve_Q13257_MAD2L1.pdf</v>
      </c>
    </row>
    <row r="3287" spans="1:28" x14ac:dyDescent="0.25">
      <c r="A3287" t="s">
        <v>3291</v>
      </c>
      <c r="B3287">
        <v>0.99193492352474899</v>
      </c>
      <c r="C3287">
        <v>1.16613566104666</v>
      </c>
      <c r="D3287">
        <v>0.907868227784142</v>
      </c>
      <c r="E3287">
        <v>0.35337301998858101</v>
      </c>
      <c r="F3287">
        <v>0.202580728501257</v>
      </c>
      <c r="G3287">
        <v>0.119513658646135</v>
      </c>
      <c r="H3287">
        <v>7.4298731096414605E-2</v>
      </c>
      <c r="I3287">
        <v>9.0810488625875596E-2</v>
      </c>
      <c r="J3287">
        <v>0.10951784135939099</v>
      </c>
      <c r="K3287">
        <v>0.10258832917522701</v>
      </c>
      <c r="L3287">
        <v>1962.0065479458899</v>
      </c>
      <c r="M3287">
        <v>40.468371648143602</v>
      </c>
      <c r="N3287">
        <v>48.783484035158502</v>
      </c>
      <c r="O3287">
        <v>48.364532155883097</v>
      </c>
      <c r="P3287">
        <v>-0.18607260942641199</v>
      </c>
      <c r="Q3287">
        <v>0.110485903039238</v>
      </c>
      <c r="R3287">
        <v>0.97877958725312997</v>
      </c>
      <c r="S3287" t="s">
        <v>9957</v>
      </c>
      <c r="T3287" t="s">
        <v>13338</v>
      </c>
      <c r="U3287" t="s">
        <v>13338</v>
      </c>
      <c r="V3287" t="s">
        <v>13338</v>
      </c>
      <c r="W3287" t="s">
        <v>16579</v>
      </c>
      <c r="X3287">
        <v>22</v>
      </c>
      <c r="Y3287" t="s">
        <v>23119</v>
      </c>
      <c r="Z3287" t="s">
        <v>29702</v>
      </c>
      <c r="AA3287">
        <v>0.36491173873153548</v>
      </c>
      <c r="AB3287" t="str">
        <f>HYPERLINK("Melting_Curves/meltCurve_Q13263_TRIM28.pdf", "Melting_Curves/meltCurve_Q13263_TRIM28.pdf")</f>
        <v>Melting_Curves/meltCurve_Q13263_TRIM28.pdf</v>
      </c>
    </row>
    <row r="3288" spans="1:28" x14ac:dyDescent="0.25">
      <c r="A3288" t="s">
        <v>3292</v>
      </c>
      <c r="B3288">
        <v>0.99193492352474899</v>
      </c>
      <c r="C3288">
        <v>0.91070835838555997</v>
      </c>
      <c r="D3288">
        <v>0.85143127797834195</v>
      </c>
      <c r="E3288">
        <v>0.78991147053065802</v>
      </c>
      <c r="F3288">
        <v>0.574935363555653</v>
      </c>
      <c r="G3288">
        <v>0.38405846938870902</v>
      </c>
      <c r="H3288">
        <v>0.219162012859899</v>
      </c>
      <c r="I3288">
        <v>0.25054459939073298</v>
      </c>
      <c r="J3288">
        <v>0.17983718573950899</v>
      </c>
      <c r="K3288">
        <v>0.199688793415181</v>
      </c>
      <c r="L3288">
        <v>679.75977227166698</v>
      </c>
      <c r="M3288">
        <v>12.827075725908101</v>
      </c>
      <c r="N3288">
        <v>54.346760196238797</v>
      </c>
      <c r="O3288">
        <v>51.755669179134998</v>
      </c>
      <c r="P3288">
        <v>-5.3502720665262897E-2</v>
      </c>
      <c r="Q3288">
        <v>0.13665315488941099</v>
      </c>
      <c r="R3288">
        <v>0.98825613112541</v>
      </c>
      <c r="S3288" t="s">
        <v>9958</v>
      </c>
      <c r="T3288" t="s">
        <v>13338</v>
      </c>
      <c r="U3288" t="s">
        <v>13338</v>
      </c>
      <c r="V3288" t="s">
        <v>13338</v>
      </c>
      <c r="W3288" t="s">
        <v>16580</v>
      </c>
      <c r="X3288">
        <v>3</v>
      </c>
      <c r="Y3288" t="s">
        <v>23120</v>
      </c>
      <c r="Z3288" t="s">
        <v>29703</v>
      </c>
      <c r="AA3288">
        <v>0.53336494059585848</v>
      </c>
      <c r="AB3288" t="str">
        <f>HYPERLINK("Melting_Curves/meltCurve_Q13277_2_STX3.pdf", "Melting_Curves/meltCurve_Q13277_2_STX3.pdf")</f>
        <v>Melting_Curves/meltCurve_Q13277_2_STX3.pdf</v>
      </c>
    </row>
    <row r="3289" spans="1:28" x14ac:dyDescent="0.25">
      <c r="A3289" t="s">
        <v>3293</v>
      </c>
      <c r="B3289">
        <v>0.99193492352474899</v>
      </c>
      <c r="C3289">
        <v>0.409110547789032</v>
      </c>
      <c r="D3289">
        <v>0.82805308426978097</v>
      </c>
      <c r="E3289">
        <v>0.43106449023492799</v>
      </c>
      <c r="F3289">
        <v>0.244807764811869</v>
      </c>
      <c r="G3289">
        <v>8.9960162152903395E-2</v>
      </c>
      <c r="H3289">
        <v>6.0287525960076097E-2</v>
      </c>
      <c r="I3289">
        <v>7.4211323747059701E-2</v>
      </c>
      <c r="J3289">
        <v>8.5871597371600994E-2</v>
      </c>
      <c r="K3289">
        <v>0.107947502953046</v>
      </c>
      <c r="L3289">
        <v>461.33022001650897</v>
      </c>
      <c r="M3289">
        <v>9.6962135477517197</v>
      </c>
      <c r="N3289">
        <v>47.606068099887601</v>
      </c>
      <c r="O3289">
        <v>45.686897755685898</v>
      </c>
      <c r="P3289">
        <v>-5.2937787435264103E-2</v>
      </c>
      <c r="Q3289">
        <v>2.8107466259153602E-3</v>
      </c>
      <c r="R3289">
        <v>0.79967147935907101</v>
      </c>
      <c r="S3289" t="s">
        <v>9959</v>
      </c>
      <c r="T3289" t="s">
        <v>13338</v>
      </c>
      <c r="U3289" t="s">
        <v>13338</v>
      </c>
      <c r="V3289" t="s">
        <v>13338</v>
      </c>
      <c r="W3289" t="s">
        <v>16581</v>
      </c>
      <c r="X3289">
        <v>17</v>
      </c>
      <c r="Y3289" t="s">
        <v>23121</v>
      </c>
      <c r="Z3289" t="s">
        <v>29704</v>
      </c>
      <c r="AA3289">
        <v>0.31204175451675131</v>
      </c>
      <c r="AB3289" t="str">
        <f>HYPERLINK("Melting_Curves/meltCurve_Q13283_G3BP1.pdf", "Melting_Curves/meltCurve_Q13283_G3BP1.pdf")</f>
        <v>Melting_Curves/meltCurve_Q13283_G3BP1.pdf</v>
      </c>
    </row>
    <row r="3290" spans="1:28" x14ac:dyDescent="0.25">
      <c r="A3290" t="s">
        <v>3294</v>
      </c>
      <c r="B3290">
        <v>0.99193492352474899</v>
      </c>
      <c r="C3290">
        <v>0.677219677008981</v>
      </c>
      <c r="D3290">
        <v>0.82328736919326495</v>
      </c>
      <c r="E3290">
        <v>0.58748176993397605</v>
      </c>
      <c r="F3290">
        <v>0.59032367898152405</v>
      </c>
      <c r="G3290">
        <v>0.34885968270357198</v>
      </c>
      <c r="H3290">
        <v>0.105339711791683</v>
      </c>
      <c r="I3290">
        <v>8.3530279119054404E-2</v>
      </c>
      <c r="J3290">
        <v>0.11656953525814701</v>
      </c>
      <c r="K3290">
        <v>0.18934750170663001</v>
      </c>
      <c r="L3290">
        <v>451.51716606006198</v>
      </c>
      <c r="M3290">
        <v>8.6606705178321608</v>
      </c>
      <c r="N3290">
        <v>52.134201296335398</v>
      </c>
      <c r="O3290">
        <v>49.5782741481923</v>
      </c>
      <c r="P3290">
        <v>-4.3708373657761403E-2</v>
      </c>
      <c r="Q3290">
        <v>0</v>
      </c>
      <c r="R3290">
        <v>0.90532010939350405</v>
      </c>
      <c r="S3290" t="s">
        <v>9960</v>
      </c>
      <c r="T3290" t="s">
        <v>13338</v>
      </c>
      <c r="U3290" t="s">
        <v>13338</v>
      </c>
      <c r="V3290" t="s">
        <v>13338</v>
      </c>
      <c r="W3290" t="s">
        <v>16582</v>
      </c>
      <c r="X3290">
        <v>14</v>
      </c>
      <c r="Y3290" t="s">
        <v>23122</v>
      </c>
      <c r="Z3290" t="s">
        <v>29705</v>
      </c>
      <c r="AA3290">
        <v>0.44764444890939598</v>
      </c>
      <c r="AB3290" t="str">
        <f>HYPERLINK("Melting_Curves/meltCurve_Q13287_NMI.pdf", "Melting_Curves/meltCurve_Q13287_NMI.pdf")</f>
        <v>Melting_Curves/meltCurve_Q13287_NMI.pdf</v>
      </c>
    </row>
    <row r="3291" spans="1:28" x14ac:dyDescent="0.25">
      <c r="A3291" t="s">
        <v>3295</v>
      </c>
      <c r="B3291">
        <v>0.99193492352474899</v>
      </c>
      <c r="C3291">
        <v>0.66517742748559805</v>
      </c>
      <c r="D3291">
        <v>0.98247994305327402</v>
      </c>
      <c r="E3291">
        <v>0.60055965321590299</v>
      </c>
      <c r="F3291">
        <v>0.90152668037380201</v>
      </c>
      <c r="G3291">
        <v>0.353332238123229</v>
      </c>
      <c r="H3291">
        <v>0.47778954052304201</v>
      </c>
      <c r="I3291">
        <v>0.32953416527158802</v>
      </c>
      <c r="J3291">
        <v>0.62620478746168995</v>
      </c>
      <c r="K3291">
        <v>0.53183211162556199</v>
      </c>
      <c r="L3291">
        <v>444.24023233961901</v>
      </c>
      <c r="M3291">
        <v>8.9996370752215906</v>
      </c>
      <c r="N3291">
        <v>63.187238353881199</v>
      </c>
      <c r="O3291">
        <v>47.107543874826902</v>
      </c>
      <c r="P3291">
        <v>-2.7233622183566002E-2</v>
      </c>
      <c r="Q3291">
        <v>0.43020877438053501</v>
      </c>
      <c r="R3291">
        <v>0.49079803196306199</v>
      </c>
      <c r="S3291" t="s">
        <v>9961</v>
      </c>
      <c r="T3291" t="s">
        <v>13338</v>
      </c>
      <c r="U3291" t="s">
        <v>13338</v>
      </c>
      <c r="V3291" t="s">
        <v>13338</v>
      </c>
      <c r="W3291" t="s">
        <v>16583</v>
      </c>
      <c r="X3291">
        <v>17</v>
      </c>
      <c r="Y3291" t="s">
        <v>23123</v>
      </c>
      <c r="Z3291" t="s">
        <v>29706</v>
      </c>
      <c r="AA3291">
        <v>0.63935166176748515</v>
      </c>
      <c r="AB3291" t="str">
        <f>HYPERLINK("Melting_Curves/meltCurve_Q13303_KCNAB2.pdf", "Melting_Curves/meltCurve_Q13303_KCNAB2.pdf")</f>
        <v>Melting_Curves/meltCurve_Q13303_KCNAB2.pdf</v>
      </c>
    </row>
    <row r="3292" spans="1:28" x14ac:dyDescent="0.25">
      <c r="A3292" t="s">
        <v>3296</v>
      </c>
      <c r="B3292">
        <v>0.99193492352474899</v>
      </c>
      <c r="C3292">
        <v>0.64770521067781395</v>
      </c>
      <c r="D3292">
        <v>1.2193786929328001</v>
      </c>
      <c r="E3292">
        <v>0.66159166042004203</v>
      </c>
      <c r="F3292">
        <v>1.25635878465354</v>
      </c>
      <c r="G3292">
        <v>0.53531491164273604</v>
      </c>
      <c r="H3292">
        <v>0.65441902163083998</v>
      </c>
      <c r="I3292">
        <v>0.41658377726733697</v>
      </c>
      <c r="J3292">
        <v>0.90880071008056695</v>
      </c>
      <c r="K3292">
        <v>0.66389640131223504</v>
      </c>
      <c r="L3292">
        <v>13762.729104062801</v>
      </c>
      <c r="M3292">
        <v>250</v>
      </c>
      <c r="O3292">
        <v>55.047386394595598</v>
      </c>
      <c r="P3292">
        <v>-0.41352136920495097</v>
      </c>
      <c r="Q3292">
        <v>0.63578762368015795</v>
      </c>
      <c r="R3292">
        <v>0.33526443018464702</v>
      </c>
      <c r="S3292" t="s">
        <v>9962</v>
      </c>
      <c r="T3292" t="s">
        <v>13338</v>
      </c>
      <c r="U3292" t="s">
        <v>13338</v>
      </c>
      <c r="V3292" t="s">
        <v>13338</v>
      </c>
      <c r="W3292" t="s">
        <v>16584</v>
      </c>
      <c r="X3292">
        <v>16</v>
      </c>
      <c r="Y3292" t="s">
        <v>23123</v>
      </c>
      <c r="Z3292" t="s">
        <v>29707</v>
      </c>
      <c r="AA3292">
        <v>0.81854714597160694</v>
      </c>
      <c r="AB3292" t="str">
        <f>HYPERLINK("Melting_Curves/meltCurve_Q13303_3_KCNAB2.pdf", "Melting_Curves/meltCurve_Q13303_3_KCNAB2.pdf")</f>
        <v>Melting_Curves/meltCurve_Q13303_3_KCNAB2.pdf</v>
      </c>
    </row>
    <row r="3293" spans="1:28" x14ac:dyDescent="0.25">
      <c r="A3293" t="s">
        <v>3297</v>
      </c>
      <c r="B3293">
        <v>0.99193492352474899</v>
      </c>
      <c r="C3293">
        <v>1.00972951744234</v>
      </c>
      <c r="D3293">
        <v>1.0039815095703399</v>
      </c>
      <c r="E3293">
        <v>0.77856143105293096</v>
      </c>
      <c r="F3293">
        <v>0.59474444734568999</v>
      </c>
      <c r="G3293">
        <v>0.26922088549159001</v>
      </c>
      <c r="H3293">
        <v>0.131784674713015</v>
      </c>
      <c r="I3293">
        <v>0.159868887382904</v>
      </c>
      <c r="J3293">
        <v>0.18159579779389201</v>
      </c>
      <c r="K3293">
        <v>0.17860491028614101</v>
      </c>
      <c r="L3293">
        <v>1187.7582317855999</v>
      </c>
      <c r="M3293">
        <v>22.486366548364501</v>
      </c>
      <c r="N3293">
        <v>53.647422476634503</v>
      </c>
      <c r="O3293">
        <v>52.408821174259899</v>
      </c>
      <c r="P3293">
        <v>-9.1568497347228703E-2</v>
      </c>
      <c r="Q3293">
        <v>0.146345068422085</v>
      </c>
      <c r="R3293">
        <v>0.98988430276766404</v>
      </c>
      <c r="S3293" t="s">
        <v>9963</v>
      </c>
      <c r="T3293" t="s">
        <v>13338</v>
      </c>
      <c r="U3293" t="s">
        <v>13338</v>
      </c>
      <c r="V3293" t="s">
        <v>13338</v>
      </c>
      <c r="W3293" t="s">
        <v>16585</v>
      </c>
      <c r="X3293">
        <v>19</v>
      </c>
      <c r="Y3293" t="s">
        <v>23124</v>
      </c>
      <c r="Z3293" t="s">
        <v>29708</v>
      </c>
      <c r="AA3293">
        <v>0.52072942764626029</v>
      </c>
      <c r="AB3293" t="str">
        <f>HYPERLINK("Melting_Curves/meltCurve_Q13308_PTK7.pdf", "Melting_Curves/meltCurve_Q13308_PTK7.pdf")</f>
        <v>Melting_Curves/meltCurve_Q13308_PTK7.pdf</v>
      </c>
    </row>
    <row r="3294" spans="1:28" x14ac:dyDescent="0.25">
      <c r="A3294" t="s">
        <v>3298</v>
      </c>
      <c r="B3294">
        <v>0.99193492352474899</v>
      </c>
      <c r="C3294">
        <v>0.88200587760773497</v>
      </c>
      <c r="D3294">
        <v>0.49423514234930199</v>
      </c>
      <c r="E3294">
        <v>0.18750516126303701</v>
      </c>
      <c r="F3294">
        <v>0.113670230278971</v>
      </c>
      <c r="G3294">
        <v>5.8521873523895901E-2</v>
      </c>
      <c r="H3294">
        <v>3.1718494021560198E-2</v>
      </c>
      <c r="I3294">
        <v>5.16447517938581E-2</v>
      </c>
      <c r="J3294">
        <v>5.2298280923032098E-2</v>
      </c>
      <c r="K3294">
        <v>4.5782799758015101E-2</v>
      </c>
      <c r="L3294">
        <v>1170.7659102651401</v>
      </c>
      <c r="M3294">
        <v>25.507640576518501</v>
      </c>
      <c r="N3294">
        <v>46.101369304404997</v>
      </c>
      <c r="O3294">
        <v>45.6193181805154</v>
      </c>
      <c r="P3294">
        <v>-0.13237135738552999</v>
      </c>
      <c r="Q3294">
        <v>5.3049837870037302E-2</v>
      </c>
      <c r="R3294">
        <v>0.99779292653292295</v>
      </c>
      <c r="S3294" t="s">
        <v>9964</v>
      </c>
      <c r="T3294" t="s">
        <v>13338</v>
      </c>
      <c r="U3294" t="s">
        <v>13338</v>
      </c>
      <c r="V3294" t="s">
        <v>13338</v>
      </c>
      <c r="W3294" t="s">
        <v>16586</v>
      </c>
      <c r="X3294">
        <v>5</v>
      </c>
      <c r="Y3294" t="s">
        <v>23125</v>
      </c>
      <c r="Z3294" t="s">
        <v>29709</v>
      </c>
      <c r="AA3294">
        <v>0.2476359037727093</v>
      </c>
      <c r="AB3294" t="str">
        <f>HYPERLINK("Melting_Curves/meltCurve_Q13309_SKP2.pdf", "Melting_Curves/meltCurve_Q13309_SKP2.pdf")</f>
        <v>Melting_Curves/meltCurve_Q13309_SKP2.pdf</v>
      </c>
    </row>
    <row r="3295" spans="1:28" x14ac:dyDescent="0.25">
      <c r="A3295" t="s">
        <v>3299</v>
      </c>
      <c r="B3295">
        <v>0.99193492352474899</v>
      </c>
      <c r="C3295">
        <v>0.77284619674047295</v>
      </c>
      <c r="D3295">
        <v>0.81162605832527701</v>
      </c>
      <c r="E3295">
        <v>0.37993550877369398</v>
      </c>
      <c r="F3295">
        <v>0.13668608361298301</v>
      </c>
      <c r="G3295">
        <v>6.7957497013219098E-2</v>
      </c>
      <c r="H3295">
        <v>4.4182485723410297E-2</v>
      </c>
      <c r="I3295">
        <v>4.2925462543667303E-2</v>
      </c>
      <c r="J3295">
        <v>6.7443954173585993E-2</v>
      </c>
      <c r="K3295">
        <v>4.9415287703899399E-2</v>
      </c>
      <c r="L3295">
        <v>931.698535869887</v>
      </c>
      <c r="M3295">
        <v>19.331698379060299</v>
      </c>
      <c r="N3295">
        <v>48.372925820030297</v>
      </c>
      <c r="O3295">
        <v>47.688544335919801</v>
      </c>
      <c r="P3295">
        <v>-9.7876657310399101E-2</v>
      </c>
      <c r="Q3295">
        <v>3.4244908862950202E-2</v>
      </c>
      <c r="R3295">
        <v>0.97572336130758197</v>
      </c>
      <c r="S3295" t="s">
        <v>9965</v>
      </c>
      <c r="T3295" t="s">
        <v>13338</v>
      </c>
      <c r="U3295" t="s">
        <v>13338</v>
      </c>
      <c r="V3295" t="s">
        <v>13338</v>
      </c>
      <c r="W3295" t="s">
        <v>16587</v>
      </c>
      <c r="X3295">
        <v>17</v>
      </c>
      <c r="Y3295" t="s">
        <v>23126</v>
      </c>
      <c r="Z3295" t="s">
        <v>29710</v>
      </c>
      <c r="AA3295">
        <v>0.31275339790940532</v>
      </c>
      <c r="AB3295" t="str">
        <f>HYPERLINK("Melting_Curves/meltCurve_Q13310_3_PABPC4.pdf", "Melting_Curves/meltCurve_Q13310_3_PABPC4.pdf")</f>
        <v>Melting_Curves/meltCurve_Q13310_3_PABPC4.pdf</v>
      </c>
    </row>
    <row r="3296" spans="1:28" x14ac:dyDescent="0.25">
      <c r="A3296" t="s">
        <v>3300</v>
      </c>
      <c r="B3296">
        <v>0.99193492352474899</v>
      </c>
      <c r="C3296">
        <v>0.93301195214378796</v>
      </c>
      <c r="D3296">
        <v>0.6232536229815</v>
      </c>
      <c r="E3296">
        <v>0.25461439349488701</v>
      </c>
      <c r="F3296">
        <v>0.22996117511842401</v>
      </c>
      <c r="G3296">
        <v>9.3726920581989906E-2</v>
      </c>
      <c r="H3296">
        <v>7.0964486495878706E-2</v>
      </c>
      <c r="I3296">
        <v>8.2418369170991698E-2</v>
      </c>
      <c r="J3296">
        <v>9.3813081264522105E-2</v>
      </c>
      <c r="K3296">
        <v>7.5628211090384798E-2</v>
      </c>
      <c r="L3296">
        <v>1094.2056349342099</v>
      </c>
      <c r="M3296">
        <v>23.386420092163402</v>
      </c>
      <c r="N3296">
        <v>47.193746307118602</v>
      </c>
      <c r="O3296">
        <v>46.450000978089001</v>
      </c>
      <c r="P3296">
        <v>-0.11440996160478401</v>
      </c>
      <c r="Q3296">
        <v>9.1053758153859299E-2</v>
      </c>
      <c r="R3296">
        <v>0.99115121052197597</v>
      </c>
      <c r="S3296" t="s">
        <v>9966</v>
      </c>
      <c r="T3296" t="s">
        <v>13338</v>
      </c>
      <c r="U3296" t="s">
        <v>13338</v>
      </c>
      <c r="V3296" t="s">
        <v>13338</v>
      </c>
      <c r="W3296" t="s">
        <v>16588</v>
      </c>
      <c r="X3296">
        <v>3</v>
      </c>
      <c r="Y3296" t="s">
        <v>23127</v>
      </c>
      <c r="Z3296" t="s">
        <v>29711</v>
      </c>
      <c r="AA3296">
        <v>0.3061835377993401</v>
      </c>
      <c r="AB3296" t="str">
        <f>HYPERLINK("Melting_Curves/meltCurve_Q13325_IFIT5.pdf", "Melting_Curves/meltCurve_Q13325_IFIT5.pdf")</f>
        <v>Melting_Curves/meltCurve_Q13325_IFIT5.pdf</v>
      </c>
    </row>
    <row r="3297" spans="1:28" x14ac:dyDescent="0.25">
      <c r="A3297" t="s">
        <v>3301</v>
      </c>
      <c r="B3297">
        <v>0.99193492352474899</v>
      </c>
      <c r="C3297">
        <v>0.73590895398720002</v>
      </c>
      <c r="D3297">
        <v>0.75374998415412098</v>
      </c>
      <c r="E3297">
        <v>0.39963562675918501</v>
      </c>
      <c r="F3297">
        <v>0.27760669658436299</v>
      </c>
      <c r="G3297">
        <v>0.117664759234723</v>
      </c>
      <c r="H3297">
        <v>6.9919947200214105E-2</v>
      </c>
      <c r="I3297">
        <v>9.0994730122408607E-2</v>
      </c>
      <c r="J3297">
        <v>0.11258557491224</v>
      </c>
      <c r="K3297">
        <v>0.108743710206128</v>
      </c>
      <c r="L3297">
        <v>680.21379689948299</v>
      </c>
      <c r="M3297">
        <v>14.192300266596201</v>
      </c>
      <c r="N3297">
        <v>48.423816097042</v>
      </c>
      <c r="O3297">
        <v>47.0069332223093</v>
      </c>
      <c r="P3297">
        <v>-7.0387723689454201E-2</v>
      </c>
      <c r="Q3297">
        <v>6.7580431499653898E-2</v>
      </c>
      <c r="R3297">
        <v>0.97202108513676699</v>
      </c>
      <c r="S3297" t="s">
        <v>9967</v>
      </c>
      <c r="T3297" t="s">
        <v>13338</v>
      </c>
      <c r="U3297" t="s">
        <v>13338</v>
      </c>
      <c r="V3297" t="s">
        <v>13338</v>
      </c>
      <c r="W3297" t="s">
        <v>16589</v>
      </c>
      <c r="X3297">
        <v>15</v>
      </c>
      <c r="Y3297" t="s">
        <v>23128</v>
      </c>
      <c r="Z3297" t="s">
        <v>29712</v>
      </c>
      <c r="AA3297">
        <v>0.34083895158131089</v>
      </c>
      <c r="AB3297" t="str">
        <f>HYPERLINK("Melting_Curves/meltCurve_Q13330_3_MTA1.pdf", "Melting_Curves/meltCurve_Q13330_3_MTA1.pdf")</f>
        <v>Melting_Curves/meltCurve_Q13330_3_MTA1.pdf</v>
      </c>
    </row>
    <row r="3298" spans="1:28" x14ac:dyDescent="0.25">
      <c r="A3298" t="s">
        <v>3302</v>
      </c>
      <c r="B3298">
        <v>0.99193492352474899</v>
      </c>
      <c r="C3298">
        <v>0.99844676795984399</v>
      </c>
      <c r="D3298">
        <v>0.93258692850374403</v>
      </c>
      <c r="E3298">
        <v>0.64997074260370402</v>
      </c>
      <c r="F3298">
        <v>0.44714399659786502</v>
      </c>
      <c r="G3298">
        <v>0.29112585843122901</v>
      </c>
      <c r="H3298">
        <v>0.19393334092675901</v>
      </c>
      <c r="I3298">
        <v>0.235849095575412</v>
      </c>
      <c r="J3298">
        <v>0.25972718409244799</v>
      </c>
      <c r="K3298">
        <v>0.22472478999933199</v>
      </c>
      <c r="L3298">
        <v>1073.3381950504599</v>
      </c>
      <c r="M3298">
        <v>21.285135562405902</v>
      </c>
      <c r="N3298">
        <v>51.875179690481502</v>
      </c>
      <c r="O3298">
        <v>49.987885224170498</v>
      </c>
      <c r="P3298">
        <v>-8.2604242763365601E-2</v>
      </c>
      <c r="Q3298">
        <v>0.22403945786635199</v>
      </c>
      <c r="R3298">
        <v>0.99408539042019195</v>
      </c>
      <c r="S3298" t="s">
        <v>9968</v>
      </c>
      <c r="T3298" t="s">
        <v>13338</v>
      </c>
      <c r="U3298" t="s">
        <v>13338</v>
      </c>
      <c r="V3298" t="s">
        <v>13338</v>
      </c>
      <c r="W3298" t="s">
        <v>16590</v>
      </c>
      <c r="X3298">
        <v>11</v>
      </c>
      <c r="Y3298" t="s">
        <v>23129</v>
      </c>
      <c r="Z3298" t="s">
        <v>29713</v>
      </c>
      <c r="AA3298">
        <v>0.503293606926418</v>
      </c>
      <c r="AB3298" t="str">
        <f>HYPERLINK("Melting_Curves/meltCurve_Q13332_6_PTPRS.pdf", "Melting_Curves/meltCurve_Q13332_6_PTPRS.pdf")</f>
        <v>Melting_Curves/meltCurve_Q13332_6_PTPRS.pdf</v>
      </c>
    </row>
    <row r="3299" spans="1:28" x14ac:dyDescent="0.25">
      <c r="A3299" t="s">
        <v>3303</v>
      </c>
      <c r="B3299">
        <v>0.99193492352474899</v>
      </c>
      <c r="C3299">
        <v>0.73709217517649395</v>
      </c>
      <c r="D3299">
        <v>0.837203789142141</v>
      </c>
      <c r="E3299">
        <v>0.32653731668666802</v>
      </c>
      <c r="F3299">
        <v>0.144853613214528</v>
      </c>
      <c r="G3299">
        <v>8.2264326478500696E-2</v>
      </c>
      <c r="H3299">
        <v>5.3149581052756099E-2</v>
      </c>
      <c r="I3299">
        <v>6.7488629672009498E-2</v>
      </c>
      <c r="J3299">
        <v>8.4828177875291205E-2</v>
      </c>
      <c r="K3299">
        <v>0.175469382725257</v>
      </c>
      <c r="L3299">
        <v>1062.5783941033701</v>
      </c>
      <c r="M3299">
        <v>22.2442704515964</v>
      </c>
      <c r="N3299">
        <v>48.1464535118809</v>
      </c>
      <c r="O3299">
        <v>47.387597569776901</v>
      </c>
      <c r="P3299">
        <v>-0.107956835597184</v>
      </c>
      <c r="Q3299">
        <v>8.0085680586687594E-2</v>
      </c>
      <c r="R3299">
        <v>0.94670384216226899</v>
      </c>
      <c r="S3299" t="s">
        <v>9969</v>
      </c>
      <c r="T3299" t="s">
        <v>13338</v>
      </c>
      <c r="U3299" t="s">
        <v>13338</v>
      </c>
      <c r="V3299" t="s">
        <v>13338</v>
      </c>
      <c r="W3299" t="s">
        <v>16591</v>
      </c>
      <c r="X3299">
        <v>18</v>
      </c>
      <c r="Y3299" t="s">
        <v>23130</v>
      </c>
      <c r="Z3299" t="s">
        <v>29714</v>
      </c>
      <c r="AA3299">
        <v>0.32875927969291141</v>
      </c>
      <c r="AB3299" t="str">
        <f>HYPERLINK("Melting_Curves/meltCurve_Q13347_EIF3I.pdf", "Melting_Curves/meltCurve_Q13347_EIF3I.pdf")</f>
        <v>Melting_Curves/meltCurve_Q13347_EIF3I.pdf</v>
      </c>
    </row>
    <row r="3300" spans="1:28" x14ac:dyDescent="0.25">
      <c r="A3300" t="s">
        <v>3304</v>
      </c>
      <c r="B3300">
        <v>0.99193492352474899</v>
      </c>
      <c r="C3300">
        <v>0.70863827671605994</v>
      </c>
      <c r="D3300">
        <v>0.66277027725566595</v>
      </c>
      <c r="E3300">
        <v>0.168881052098071</v>
      </c>
      <c r="F3300">
        <v>0.11696937148950599</v>
      </c>
      <c r="G3300">
        <v>6.67652597238617E-2</v>
      </c>
      <c r="H3300">
        <v>4.05666719191939E-2</v>
      </c>
      <c r="I3300">
        <v>4.62952758669051E-2</v>
      </c>
      <c r="J3300">
        <v>7.0204986805678701E-2</v>
      </c>
      <c r="K3300">
        <v>7.1341252204526098E-2</v>
      </c>
      <c r="L3300">
        <v>887.77304192424594</v>
      </c>
      <c r="M3300">
        <v>19.202909855276001</v>
      </c>
      <c r="N3300">
        <v>46.459568448599001</v>
      </c>
      <c r="O3300">
        <v>45.738581278488297</v>
      </c>
      <c r="P3300">
        <v>-0.100236438948013</v>
      </c>
      <c r="Q3300">
        <v>4.5041448935267403E-2</v>
      </c>
      <c r="R3300">
        <v>0.96751660752033097</v>
      </c>
      <c r="S3300" t="s">
        <v>9970</v>
      </c>
      <c r="T3300" t="s">
        <v>13338</v>
      </c>
      <c r="U3300" t="s">
        <v>13338</v>
      </c>
      <c r="V3300" t="s">
        <v>13338</v>
      </c>
      <c r="W3300" t="s">
        <v>16592</v>
      </c>
      <c r="X3300">
        <v>6</v>
      </c>
      <c r="Y3300" t="s">
        <v>23131</v>
      </c>
      <c r="Z3300" t="s">
        <v>29715</v>
      </c>
      <c r="AA3300">
        <v>0.25933326703702719</v>
      </c>
      <c r="AB3300" t="str">
        <f>HYPERLINK("Melting_Curves/meltCurve_Q13356_PPIL2.pdf", "Melting_Curves/meltCurve_Q13356_PPIL2.pdf")</f>
        <v>Melting_Curves/meltCurve_Q13356_PPIL2.pdf</v>
      </c>
    </row>
    <row r="3301" spans="1:28" x14ac:dyDescent="0.25">
      <c r="A3301" t="s">
        <v>3305</v>
      </c>
      <c r="B3301">
        <v>0.99193492352474899</v>
      </c>
      <c r="C3301">
        <v>1.2260295858001899</v>
      </c>
      <c r="D3301">
        <v>1.5655582987918799</v>
      </c>
      <c r="E3301">
        <v>1.0724884231513601</v>
      </c>
      <c r="F3301">
        <v>1.16067828283443</v>
      </c>
      <c r="G3301">
        <v>0.18094658182659601</v>
      </c>
      <c r="H3301">
        <v>0</v>
      </c>
      <c r="I3301">
        <v>0</v>
      </c>
      <c r="J3301">
        <v>0</v>
      </c>
      <c r="K3301">
        <v>0</v>
      </c>
      <c r="L3301">
        <v>14114.235085099701</v>
      </c>
      <c r="M3301">
        <v>250</v>
      </c>
      <c r="N3301">
        <v>56.456940826367699</v>
      </c>
      <c r="O3301">
        <v>56.453309953534799</v>
      </c>
      <c r="P3301">
        <v>-1.1071092312770301</v>
      </c>
      <c r="Q3301">
        <v>0</v>
      </c>
      <c r="R3301">
        <v>0.88914587782023002</v>
      </c>
      <c r="S3301" t="s">
        <v>9971</v>
      </c>
      <c r="T3301" t="s">
        <v>13338</v>
      </c>
      <c r="U3301" t="s">
        <v>13338</v>
      </c>
      <c r="V3301" t="s">
        <v>13338</v>
      </c>
      <c r="W3301" t="s">
        <v>16593</v>
      </c>
      <c r="X3301">
        <v>15</v>
      </c>
      <c r="Y3301" t="s">
        <v>23132</v>
      </c>
      <c r="Z3301" t="s">
        <v>29716</v>
      </c>
      <c r="AA3301">
        <v>0.54866375906492992</v>
      </c>
      <c r="AB3301" t="str">
        <f>HYPERLINK("Melting_Curves/meltCurve_Q13362_3_PPP2R5C.pdf", "Melting_Curves/meltCurve_Q13362_3_PPP2R5C.pdf")</f>
        <v>Melting_Curves/meltCurve_Q13362_3_PPP2R5C.pdf</v>
      </c>
    </row>
    <row r="3302" spans="1:28" x14ac:dyDescent="0.25">
      <c r="A3302" t="s">
        <v>3306</v>
      </c>
      <c r="B3302">
        <v>0.99193492352474899</v>
      </c>
      <c r="C3302">
        <v>0.89596549005690096</v>
      </c>
      <c r="D3302">
        <v>0.89281057670305097</v>
      </c>
      <c r="E3302">
        <v>0.49130646639633002</v>
      </c>
      <c r="F3302">
        <v>0.25143078656073597</v>
      </c>
      <c r="G3302">
        <v>0.15190248278025201</v>
      </c>
      <c r="H3302">
        <v>0.100941544756562</v>
      </c>
      <c r="I3302">
        <v>0.109053862249762</v>
      </c>
      <c r="J3302">
        <v>0.135401742622584</v>
      </c>
      <c r="K3302">
        <v>0.15596527732666099</v>
      </c>
      <c r="L3302">
        <v>1195.38712842921</v>
      </c>
      <c r="M3302">
        <v>24.3527659288869</v>
      </c>
      <c r="N3302">
        <v>49.662866026555101</v>
      </c>
      <c r="O3302">
        <v>48.758889884978998</v>
      </c>
      <c r="P3302">
        <v>-0.10948965767692</v>
      </c>
      <c r="Q3302">
        <v>0.12313606637303599</v>
      </c>
      <c r="R3302">
        <v>0.99167508805690996</v>
      </c>
      <c r="S3302" t="s">
        <v>9972</v>
      </c>
      <c r="T3302" t="s">
        <v>13338</v>
      </c>
      <c r="U3302" t="s">
        <v>13338</v>
      </c>
      <c r="V3302" t="s">
        <v>13338</v>
      </c>
      <c r="W3302" t="s">
        <v>16594</v>
      </c>
      <c r="X3302">
        <v>15</v>
      </c>
      <c r="Y3302" t="s">
        <v>23132</v>
      </c>
      <c r="Z3302" t="s">
        <v>29717</v>
      </c>
      <c r="AA3302">
        <v>0.3969230770444761</v>
      </c>
      <c r="AB3302" t="str">
        <f>HYPERLINK("Melting_Curves/meltCurve_Q13362_4_PPP2R5C.pdf", "Melting_Curves/meltCurve_Q13362_4_PPP2R5C.pdf")</f>
        <v>Melting_Curves/meltCurve_Q13362_4_PPP2R5C.pdf</v>
      </c>
    </row>
    <row r="3303" spans="1:28" x14ac:dyDescent="0.25">
      <c r="A3303" t="s">
        <v>3307</v>
      </c>
      <c r="B3303">
        <v>0.99193492352474899</v>
      </c>
      <c r="C3303">
        <v>0.86431779727325497</v>
      </c>
      <c r="D3303">
        <v>0.968465060527258</v>
      </c>
      <c r="E3303">
        <v>0.72959960306288596</v>
      </c>
      <c r="F3303">
        <v>0.67368207385126999</v>
      </c>
      <c r="G3303">
        <v>0.47501039776015203</v>
      </c>
      <c r="H3303">
        <v>0.33111384344657901</v>
      </c>
      <c r="I3303">
        <v>0.187532987889348</v>
      </c>
      <c r="J3303">
        <v>0.170806789504549</v>
      </c>
      <c r="K3303">
        <v>0.13380857796054499</v>
      </c>
      <c r="L3303">
        <v>553.19813617219995</v>
      </c>
      <c r="M3303">
        <v>9.8526822417532305</v>
      </c>
      <c r="N3303">
        <v>56.146942149314597</v>
      </c>
      <c r="O3303">
        <v>53.9807070481734</v>
      </c>
      <c r="P3303">
        <v>-4.5654061068136E-2</v>
      </c>
      <c r="Q3303">
        <v>0</v>
      </c>
      <c r="R3303">
        <v>0.98030190437335296</v>
      </c>
      <c r="S3303" t="s">
        <v>9973</v>
      </c>
      <c r="T3303" t="s">
        <v>13338</v>
      </c>
      <c r="U3303" t="s">
        <v>13338</v>
      </c>
      <c r="V3303" t="s">
        <v>13338</v>
      </c>
      <c r="W3303" t="s">
        <v>16595</v>
      </c>
      <c r="X3303">
        <v>18</v>
      </c>
      <c r="Y3303" t="s">
        <v>20385</v>
      </c>
      <c r="Z3303" t="s">
        <v>29718</v>
      </c>
      <c r="AA3303">
        <v>0.55855449083111008</v>
      </c>
      <c r="AB3303" t="str">
        <f>HYPERLINK("Melting_Curves/meltCurve_Q13363_CTBP1.pdf", "Melting_Curves/meltCurve_Q13363_CTBP1.pdf")</f>
        <v>Melting_Curves/meltCurve_Q13363_CTBP1.pdf</v>
      </c>
    </row>
    <row r="3304" spans="1:28" x14ac:dyDescent="0.25">
      <c r="A3304" t="s">
        <v>3308</v>
      </c>
      <c r="B3304">
        <v>0.99193492352474899</v>
      </c>
      <c r="C3304">
        <v>1.00338831079049</v>
      </c>
      <c r="D3304">
        <v>0.79018274246596298</v>
      </c>
      <c r="E3304">
        <v>0.327331485214228</v>
      </c>
      <c r="F3304">
        <v>0.16938765371432901</v>
      </c>
      <c r="G3304">
        <v>0.11884942477403</v>
      </c>
      <c r="H3304">
        <v>6.9614253917696906E-2</v>
      </c>
      <c r="I3304">
        <v>0.152007336841921</v>
      </c>
      <c r="J3304">
        <v>7.50074159057076E-2</v>
      </c>
      <c r="K3304">
        <v>9.1565475048411504E-2</v>
      </c>
      <c r="L3304">
        <v>1440.6361100951401</v>
      </c>
      <c r="M3304">
        <v>30.105620096729599</v>
      </c>
      <c r="N3304">
        <v>48.222865077646397</v>
      </c>
      <c r="O3304">
        <v>47.643081248616703</v>
      </c>
      <c r="P3304">
        <v>-0.141678894394826</v>
      </c>
      <c r="Q3304">
        <v>0.10316071359257301</v>
      </c>
      <c r="R3304">
        <v>0.99548484128001502</v>
      </c>
      <c r="S3304" t="s">
        <v>9974</v>
      </c>
      <c r="T3304" t="s">
        <v>13338</v>
      </c>
      <c r="U3304" t="s">
        <v>13338</v>
      </c>
      <c r="V3304" t="s">
        <v>13338</v>
      </c>
      <c r="W3304" t="s">
        <v>16596</v>
      </c>
      <c r="X3304">
        <v>3</v>
      </c>
      <c r="Y3304" t="s">
        <v>23133</v>
      </c>
      <c r="Z3304" t="s">
        <v>29719</v>
      </c>
      <c r="AA3304">
        <v>0.34326693999975461</v>
      </c>
      <c r="AB3304" t="str">
        <f>HYPERLINK("Melting_Curves/meltCurve_Q13367_AP3B2.pdf", "Melting_Curves/meltCurve_Q13367_AP3B2.pdf")</f>
        <v>Melting_Curves/meltCurve_Q13367_AP3B2.pdf</v>
      </c>
    </row>
    <row r="3305" spans="1:28" x14ac:dyDescent="0.25">
      <c r="A3305" t="s">
        <v>3309</v>
      </c>
      <c r="B3305">
        <v>0.99193492352474899</v>
      </c>
      <c r="C3305">
        <v>0.92814458141118705</v>
      </c>
      <c r="D3305">
        <v>0.90359188989403405</v>
      </c>
      <c r="E3305">
        <v>0.56518492533145404</v>
      </c>
      <c r="F3305">
        <v>0.172396699233029</v>
      </c>
      <c r="G3305">
        <v>9.0693206863440401E-2</v>
      </c>
      <c r="H3305">
        <v>6.8303497267365204E-2</v>
      </c>
      <c r="I3305">
        <v>5.7068300971243699E-2</v>
      </c>
      <c r="J3305">
        <v>8.2878047549982903E-2</v>
      </c>
      <c r="K3305">
        <v>5.9300847810123403E-2</v>
      </c>
      <c r="L3305">
        <v>1387.9871949492101</v>
      </c>
      <c r="M3305">
        <v>27.904515941953299</v>
      </c>
      <c r="N3305">
        <v>49.977111359490898</v>
      </c>
      <c r="O3305">
        <v>49.487241998007597</v>
      </c>
      <c r="P3305">
        <v>-0.13224983800099699</v>
      </c>
      <c r="Q3305">
        <v>6.1854665533883399E-2</v>
      </c>
      <c r="R3305">
        <v>0.99667321100704298</v>
      </c>
      <c r="S3305" t="s">
        <v>9975</v>
      </c>
      <c r="T3305" t="s">
        <v>13338</v>
      </c>
      <c r="U3305" t="s">
        <v>13338</v>
      </c>
      <c r="V3305" t="s">
        <v>13338</v>
      </c>
      <c r="W3305" t="s">
        <v>16597</v>
      </c>
      <c r="X3305">
        <v>7</v>
      </c>
      <c r="Y3305" t="s">
        <v>23134</v>
      </c>
      <c r="Z3305" t="s">
        <v>29720</v>
      </c>
      <c r="AA3305">
        <v>0.37315104704263657</v>
      </c>
      <c r="AB3305" t="str">
        <f>HYPERLINK("Melting_Curves/meltCurve_Q13371_PDCL.pdf", "Melting_Curves/meltCurve_Q13371_PDCL.pdf")</f>
        <v>Melting_Curves/meltCurve_Q13371_PDCL.pdf</v>
      </c>
    </row>
    <row r="3306" spans="1:28" x14ac:dyDescent="0.25">
      <c r="A3306" t="s">
        <v>3310</v>
      </c>
      <c r="B3306">
        <v>0.99193492352474899</v>
      </c>
      <c r="C3306">
        <v>1.02031000896906</v>
      </c>
      <c r="D3306">
        <v>1.06476790936281</v>
      </c>
      <c r="E3306">
        <v>0.83168004726408995</v>
      </c>
      <c r="F3306">
        <v>0.30729612048962301</v>
      </c>
      <c r="G3306">
        <v>0.15478401247857099</v>
      </c>
      <c r="H3306">
        <v>0.13353944429786399</v>
      </c>
      <c r="I3306">
        <v>0.17628268426506499</v>
      </c>
      <c r="J3306">
        <v>0.175042254005148</v>
      </c>
      <c r="K3306">
        <v>0.17564133382897501</v>
      </c>
      <c r="L3306">
        <v>2250.4011122423999</v>
      </c>
      <c r="M3306">
        <v>43.927014121225497</v>
      </c>
      <c r="N3306">
        <v>51.690389979942204</v>
      </c>
      <c r="O3306">
        <v>51.124623962107997</v>
      </c>
      <c r="P3306">
        <v>-0.18005666735549999</v>
      </c>
      <c r="Q3306">
        <v>0.16176260867283701</v>
      </c>
      <c r="R3306">
        <v>0.99527198070533396</v>
      </c>
      <c r="S3306" t="s">
        <v>9976</v>
      </c>
      <c r="T3306" t="s">
        <v>13338</v>
      </c>
      <c r="U3306" t="s">
        <v>13338</v>
      </c>
      <c r="V3306" t="s">
        <v>13338</v>
      </c>
      <c r="W3306" t="s">
        <v>16598</v>
      </c>
      <c r="X3306">
        <v>7</v>
      </c>
      <c r="Y3306" t="s">
        <v>23135</v>
      </c>
      <c r="Z3306" t="s">
        <v>29721</v>
      </c>
      <c r="AA3306">
        <v>0.47801355280152408</v>
      </c>
      <c r="AB3306" t="str">
        <f>HYPERLINK("Melting_Curves/meltCurve_Q13395_TARBP1.pdf", "Melting_Curves/meltCurve_Q13395_TARBP1.pdf")</f>
        <v>Melting_Curves/meltCurve_Q13395_TARBP1.pdf</v>
      </c>
    </row>
    <row r="3307" spans="1:28" x14ac:dyDescent="0.25">
      <c r="A3307" t="s">
        <v>3311</v>
      </c>
      <c r="B3307">
        <v>0.99193492352474899</v>
      </c>
      <c r="C3307">
        <v>0.66972599416350698</v>
      </c>
      <c r="D3307">
        <v>0.85714054611199397</v>
      </c>
      <c r="E3307">
        <v>0.61389019582151905</v>
      </c>
      <c r="F3307">
        <v>0.621530533263569</v>
      </c>
      <c r="G3307">
        <v>0.36487921449559202</v>
      </c>
      <c r="H3307">
        <v>0.284424061712508</v>
      </c>
      <c r="I3307">
        <v>0.27798725115905198</v>
      </c>
      <c r="J3307">
        <v>0.37349055970638401</v>
      </c>
      <c r="K3307">
        <v>0.459148654772701</v>
      </c>
      <c r="L3307">
        <v>481.46888067005</v>
      </c>
      <c r="M3307">
        <v>9.8862953643355205</v>
      </c>
      <c r="N3307">
        <v>53.7180561693866</v>
      </c>
      <c r="O3307">
        <v>46.833634725182399</v>
      </c>
      <c r="P3307">
        <v>-3.6885308647844603E-2</v>
      </c>
      <c r="Q3307">
        <v>0.30141849985243102</v>
      </c>
      <c r="R3307">
        <v>0.80942735715384295</v>
      </c>
      <c r="S3307" t="s">
        <v>9977</v>
      </c>
      <c r="T3307" t="s">
        <v>13338</v>
      </c>
      <c r="U3307" t="s">
        <v>13338</v>
      </c>
      <c r="V3307" t="s">
        <v>13338</v>
      </c>
      <c r="W3307" t="s">
        <v>16599</v>
      </c>
      <c r="X3307">
        <v>3</v>
      </c>
      <c r="Y3307" t="s">
        <v>23136</v>
      </c>
      <c r="Z3307" t="s">
        <v>29722</v>
      </c>
      <c r="AA3307">
        <v>0.53963233036879044</v>
      </c>
      <c r="AB3307" t="str">
        <f>HYPERLINK("Melting_Curves/meltCurve_Q13405_MRPL49.pdf", "Melting_Curves/meltCurve_Q13405_MRPL49.pdf")</f>
        <v>Melting_Curves/meltCurve_Q13405_MRPL49.pdf</v>
      </c>
    </row>
    <row r="3308" spans="1:28" x14ac:dyDescent="0.25">
      <c r="A3308" t="s">
        <v>3312</v>
      </c>
      <c r="B3308">
        <v>0.99193492352474899</v>
      </c>
      <c r="C3308">
        <v>0.78226479873135601</v>
      </c>
      <c r="D3308">
        <v>0.81464879252423905</v>
      </c>
      <c r="E3308">
        <v>0.63105414906517798</v>
      </c>
      <c r="F3308">
        <v>0.47288627142482598</v>
      </c>
      <c r="G3308">
        <v>0.28118414445175499</v>
      </c>
      <c r="H3308">
        <v>0.13791445353228801</v>
      </c>
      <c r="I3308">
        <v>0.13736914942376099</v>
      </c>
      <c r="J3308">
        <v>0.149170024893371</v>
      </c>
      <c r="K3308">
        <v>0.15842031666473499</v>
      </c>
      <c r="L3308">
        <v>550.67525376815104</v>
      </c>
      <c r="M3308">
        <v>10.772291479701799</v>
      </c>
      <c r="N3308">
        <v>51.7659524300295</v>
      </c>
      <c r="O3308">
        <v>49.452479916726602</v>
      </c>
      <c r="P3308">
        <v>-5.1049710732669798E-2</v>
      </c>
      <c r="Q3308">
        <v>6.2924836562384401E-2</v>
      </c>
      <c r="R3308">
        <v>0.97420287000372796</v>
      </c>
      <c r="S3308" t="s">
        <v>9978</v>
      </c>
      <c r="T3308" t="s">
        <v>13338</v>
      </c>
      <c r="U3308" t="s">
        <v>13338</v>
      </c>
      <c r="V3308" t="s">
        <v>13338</v>
      </c>
      <c r="W3308" t="s">
        <v>16600</v>
      </c>
      <c r="X3308">
        <v>26</v>
      </c>
      <c r="Y3308" t="s">
        <v>23137</v>
      </c>
      <c r="Z3308" t="s">
        <v>29723</v>
      </c>
      <c r="AA3308">
        <v>0.44537816297665411</v>
      </c>
      <c r="AB3308" t="str">
        <f>HYPERLINK("Melting_Curves/meltCurve_Q13409_3_DYNC1I2.pdf", "Melting_Curves/meltCurve_Q13409_3_DYNC1I2.pdf")</f>
        <v>Melting_Curves/meltCurve_Q13409_3_DYNC1I2.pdf</v>
      </c>
    </row>
    <row r="3309" spans="1:28" x14ac:dyDescent="0.25">
      <c r="A3309" t="s">
        <v>3313</v>
      </c>
      <c r="B3309">
        <v>0.99193492352474899</v>
      </c>
      <c r="C3309">
        <v>0.708166341302916</v>
      </c>
      <c r="D3309">
        <v>0.56517572727156795</v>
      </c>
      <c r="E3309">
        <v>0.231959732321873</v>
      </c>
      <c r="F3309">
        <v>0.12921794700146</v>
      </c>
      <c r="G3309">
        <v>5.7462173534933401E-2</v>
      </c>
      <c r="H3309">
        <v>4.5492357745054002E-2</v>
      </c>
      <c r="I3309">
        <v>6.6683234405265995E-2</v>
      </c>
      <c r="J3309">
        <v>7.7551667181692902E-2</v>
      </c>
      <c r="K3309">
        <v>0.105206620912313</v>
      </c>
      <c r="L3309">
        <v>823.09651528373399</v>
      </c>
      <c r="M3309">
        <v>17.978676234332401</v>
      </c>
      <c r="N3309">
        <v>46.113854233511802</v>
      </c>
      <c r="O3309">
        <v>45.2266849471876</v>
      </c>
      <c r="P3309">
        <v>-9.3351900711870106E-2</v>
      </c>
      <c r="Q3309">
        <v>6.0712221461773297E-2</v>
      </c>
      <c r="R3309">
        <v>0.98430168754186498</v>
      </c>
      <c r="S3309" t="s">
        <v>9979</v>
      </c>
      <c r="T3309" t="s">
        <v>13338</v>
      </c>
      <c r="U3309" t="s">
        <v>13338</v>
      </c>
      <c r="V3309" t="s">
        <v>13338</v>
      </c>
      <c r="W3309" t="s">
        <v>16601</v>
      </c>
      <c r="X3309">
        <v>7</v>
      </c>
      <c r="Y3309" t="s">
        <v>23138</v>
      </c>
      <c r="Z3309" t="s">
        <v>29724</v>
      </c>
      <c r="AA3309">
        <v>0.26055454985079979</v>
      </c>
      <c r="AB3309" t="str">
        <f>HYPERLINK("Melting_Curves/meltCurve_Q13416_ORC2.pdf", "Melting_Curves/meltCurve_Q13416_ORC2.pdf")</f>
        <v>Melting_Curves/meltCurve_Q13416_ORC2.pdf</v>
      </c>
    </row>
    <row r="3310" spans="1:28" x14ac:dyDescent="0.25">
      <c r="A3310" t="s">
        <v>3314</v>
      </c>
      <c r="B3310">
        <v>0.99193492352474899</v>
      </c>
      <c r="C3310">
        <v>1.00799694426904</v>
      </c>
      <c r="D3310">
        <v>0.90936377334794105</v>
      </c>
      <c r="E3310">
        <v>0.35979742498027301</v>
      </c>
      <c r="F3310">
        <v>0.23470573457045399</v>
      </c>
      <c r="G3310">
        <v>0.146117312821437</v>
      </c>
      <c r="H3310">
        <v>8.7965328737261206E-2</v>
      </c>
      <c r="I3310">
        <v>0.100200639226982</v>
      </c>
      <c r="J3310">
        <v>9.7898057308078795E-2</v>
      </c>
      <c r="K3310">
        <v>9.9920949867787295E-2</v>
      </c>
      <c r="L3310">
        <v>1732.69622600505</v>
      </c>
      <c r="M3310">
        <v>35.752618043622199</v>
      </c>
      <c r="N3310">
        <v>48.830302699097203</v>
      </c>
      <c r="O3310">
        <v>48.312609769378099</v>
      </c>
      <c r="P3310">
        <v>-0.16321921112013399</v>
      </c>
      <c r="Q3310">
        <v>0.117768626198271</v>
      </c>
      <c r="R3310">
        <v>0.99248359987744295</v>
      </c>
      <c r="S3310" t="s">
        <v>9980</v>
      </c>
      <c r="T3310" t="s">
        <v>13338</v>
      </c>
      <c r="U3310" t="s">
        <v>13338</v>
      </c>
      <c r="V3310" t="s">
        <v>13338</v>
      </c>
      <c r="W3310" t="s">
        <v>16602</v>
      </c>
      <c r="X3310">
        <v>10</v>
      </c>
      <c r="Y3310" t="s">
        <v>23139</v>
      </c>
      <c r="Z3310" t="s">
        <v>29725</v>
      </c>
      <c r="AA3310">
        <v>0.37038085106655022</v>
      </c>
      <c r="AB3310" t="str">
        <f>HYPERLINK("Melting_Curves/meltCurve_Q13418_ILK.pdf", "Melting_Curves/meltCurve_Q13418_ILK.pdf")</f>
        <v>Melting_Curves/meltCurve_Q13418_ILK.pdf</v>
      </c>
    </row>
    <row r="3311" spans="1:28" x14ac:dyDescent="0.25">
      <c r="A3311" t="s">
        <v>3315</v>
      </c>
      <c r="B3311">
        <v>0.99193492352474899</v>
      </c>
      <c r="C3311">
        <v>0.94324517387300599</v>
      </c>
      <c r="D3311">
        <v>0.80524232430990905</v>
      </c>
      <c r="E3311">
        <v>0.73458335672015795</v>
      </c>
      <c r="F3311">
        <v>0.44877228296118399</v>
      </c>
      <c r="G3311">
        <v>0.32622784188209197</v>
      </c>
      <c r="H3311">
        <v>0.376094245980168</v>
      </c>
      <c r="I3311">
        <v>0.57413817758623897</v>
      </c>
      <c r="J3311">
        <v>0.657522700147674</v>
      </c>
      <c r="K3311">
        <v>1.0086710342729099</v>
      </c>
      <c r="L3311">
        <v>1265.3799086071299</v>
      </c>
      <c r="M3311">
        <v>27.173487017889698</v>
      </c>
      <c r="O3311">
        <v>46.316689840173403</v>
      </c>
      <c r="P3311">
        <v>-6.2377278176164501E-2</v>
      </c>
      <c r="Q3311">
        <v>0.57472043102826897</v>
      </c>
      <c r="R3311">
        <v>0.43206135834512299</v>
      </c>
      <c r="S3311" t="s">
        <v>9981</v>
      </c>
      <c r="T3311" t="s">
        <v>13338</v>
      </c>
      <c r="U3311" t="s">
        <v>13338</v>
      </c>
      <c r="V3311" t="s">
        <v>13338</v>
      </c>
      <c r="W3311" t="s">
        <v>13658</v>
      </c>
      <c r="X3311">
        <v>12</v>
      </c>
      <c r="Y3311" t="s">
        <v>20262</v>
      </c>
      <c r="Z3311" t="s">
        <v>29726</v>
      </c>
      <c r="AA3311">
        <v>0.67099567108261815</v>
      </c>
      <c r="AB3311" t="str">
        <f>HYPERLINK("Melting_Curves/meltCurve_Q13422_IKZF1.pdf", "Melting_Curves/meltCurve_Q13422_IKZF1.pdf")</f>
        <v>Melting_Curves/meltCurve_Q13422_IKZF1.pdf</v>
      </c>
    </row>
    <row r="3312" spans="1:28" x14ac:dyDescent="0.25">
      <c r="A3312" t="s">
        <v>3316</v>
      </c>
      <c r="B3312">
        <v>0.99193492352474899</v>
      </c>
      <c r="C3312">
        <v>1.0651858206509299</v>
      </c>
      <c r="D3312">
        <v>1.0632689192906599</v>
      </c>
      <c r="E3312">
        <v>0.92245631684609797</v>
      </c>
      <c r="F3312">
        <v>0.64222024342826201</v>
      </c>
      <c r="G3312">
        <v>0.17291941119947599</v>
      </c>
      <c r="H3312">
        <v>9.2396618248751505E-2</v>
      </c>
      <c r="I3312">
        <v>9.8896674878520704E-2</v>
      </c>
      <c r="J3312">
        <v>0.102577850129919</v>
      </c>
      <c r="K3312">
        <v>0.10890930078795399</v>
      </c>
      <c r="L3312">
        <v>2133.5820210554398</v>
      </c>
      <c r="M3312">
        <v>39.737332533323197</v>
      </c>
      <c r="N3312">
        <v>53.980351485678902</v>
      </c>
      <c r="O3312">
        <v>53.556697349910202</v>
      </c>
      <c r="P3312">
        <v>-0.16776047769402599</v>
      </c>
      <c r="Q3312">
        <v>9.5593354726860702E-2</v>
      </c>
      <c r="R3312">
        <v>0.99382706458330705</v>
      </c>
      <c r="S3312" t="s">
        <v>9982</v>
      </c>
      <c r="T3312" t="s">
        <v>13338</v>
      </c>
      <c r="U3312" t="s">
        <v>13338</v>
      </c>
      <c r="V3312" t="s">
        <v>13338</v>
      </c>
      <c r="W3312" t="s">
        <v>16603</v>
      </c>
      <c r="X3312">
        <v>35</v>
      </c>
      <c r="Y3312" t="s">
        <v>23140</v>
      </c>
      <c r="Z3312" t="s">
        <v>29727</v>
      </c>
      <c r="AA3312">
        <v>0.5117638822446936</v>
      </c>
      <c r="AB3312" t="str">
        <f>HYPERLINK("Melting_Curves/meltCurve_Q13423_NNT.pdf", "Melting_Curves/meltCurve_Q13423_NNT.pdf")</f>
        <v>Melting_Curves/meltCurve_Q13423_NNT.pdf</v>
      </c>
    </row>
    <row r="3313" spans="1:28" x14ac:dyDescent="0.25">
      <c r="A3313" t="s">
        <v>3317</v>
      </c>
      <c r="B3313">
        <v>0.99193492352474899</v>
      </c>
      <c r="C3313">
        <v>0.62202868816944201</v>
      </c>
      <c r="D3313">
        <v>0.49165573220483899</v>
      </c>
      <c r="E3313">
        <v>0.15995444456579599</v>
      </c>
      <c r="F3313">
        <v>0.157020705471143</v>
      </c>
      <c r="G3313">
        <v>5.4088294009940398E-2</v>
      </c>
      <c r="H3313">
        <v>4.15660419236559E-2</v>
      </c>
      <c r="I3313">
        <v>3.4075642929620002E-2</v>
      </c>
      <c r="J3313">
        <v>6.0839722085750197E-2</v>
      </c>
      <c r="K3313">
        <v>4.5847689108665303E-2</v>
      </c>
      <c r="L3313">
        <v>780.55500111439096</v>
      </c>
      <c r="M3313">
        <v>17.347668669846701</v>
      </c>
      <c r="N3313">
        <v>45.234890884856497</v>
      </c>
      <c r="O3313">
        <v>44.409672598502397</v>
      </c>
      <c r="P3313">
        <v>-9.3367066907283802E-2</v>
      </c>
      <c r="Q3313">
        <v>4.3983523815655901E-2</v>
      </c>
      <c r="R3313">
        <v>0.97386401477978601</v>
      </c>
      <c r="S3313" t="s">
        <v>9983</v>
      </c>
      <c r="T3313" t="s">
        <v>13338</v>
      </c>
      <c r="U3313" t="s">
        <v>13338</v>
      </c>
      <c r="V3313" t="s">
        <v>13338</v>
      </c>
      <c r="W3313" t="s">
        <v>16604</v>
      </c>
      <c r="X3313">
        <v>2</v>
      </c>
      <c r="Y3313" t="s">
        <v>23141</v>
      </c>
      <c r="Z3313" t="s">
        <v>29728</v>
      </c>
      <c r="AA3313">
        <v>0.22556943028686599</v>
      </c>
      <c r="AB3313" t="str">
        <f>HYPERLINK("Melting_Curves/meltCurve_Q13425_SNTB2.pdf", "Melting_Curves/meltCurve_Q13425_SNTB2.pdf")</f>
        <v>Melting_Curves/meltCurve_Q13425_SNTB2.pdf</v>
      </c>
    </row>
    <row r="3314" spans="1:28" x14ac:dyDescent="0.25">
      <c r="A3314" t="s">
        <v>3318</v>
      </c>
      <c r="B3314">
        <v>0.99193492352474899</v>
      </c>
      <c r="C3314">
        <v>0.70394445413810403</v>
      </c>
      <c r="D3314">
        <v>0.77912219130841398</v>
      </c>
      <c r="E3314">
        <v>0.62210074127510295</v>
      </c>
      <c r="F3314">
        <v>0.529531978391517</v>
      </c>
      <c r="G3314">
        <v>0.39269507001370701</v>
      </c>
      <c r="H3314">
        <v>0.30950031015564899</v>
      </c>
      <c r="I3314">
        <v>0.31704487333138298</v>
      </c>
      <c r="J3314">
        <v>0.34636303515995198</v>
      </c>
      <c r="K3314">
        <v>0.22777243969781899</v>
      </c>
      <c r="L3314">
        <v>397.84081012681003</v>
      </c>
      <c r="M3314">
        <v>7.9256709716390104</v>
      </c>
      <c r="N3314">
        <v>53.311893774843703</v>
      </c>
      <c r="O3314">
        <v>47.302614737286099</v>
      </c>
      <c r="P3314">
        <v>-3.4164009706526201E-2</v>
      </c>
      <c r="Q3314">
        <v>0.18535265766119199</v>
      </c>
      <c r="R3314">
        <v>0.93760712857356798</v>
      </c>
      <c r="S3314" t="s">
        <v>9984</v>
      </c>
      <c r="T3314" t="s">
        <v>13338</v>
      </c>
      <c r="U3314" t="s">
        <v>13338</v>
      </c>
      <c r="V3314" t="s">
        <v>13338</v>
      </c>
      <c r="W3314" t="s">
        <v>16605</v>
      </c>
      <c r="X3314">
        <v>15</v>
      </c>
      <c r="Y3314" t="s">
        <v>23142</v>
      </c>
      <c r="Z3314" t="s">
        <v>29729</v>
      </c>
      <c r="AA3314">
        <v>0.51030554796138328</v>
      </c>
      <c r="AB3314" t="str">
        <f>HYPERLINK("Melting_Curves/meltCurve_Q13426_XRCC4.pdf", "Melting_Curves/meltCurve_Q13426_XRCC4.pdf")</f>
        <v>Melting_Curves/meltCurve_Q13426_XRCC4.pdf</v>
      </c>
    </row>
    <row r="3315" spans="1:28" x14ac:dyDescent="0.25">
      <c r="A3315" t="s">
        <v>3319</v>
      </c>
      <c r="B3315">
        <v>0.99193492352474899</v>
      </c>
      <c r="C3315">
        <v>0.58871219494606297</v>
      </c>
      <c r="D3315">
        <v>0.46704614297529401</v>
      </c>
      <c r="E3315">
        <v>0.21809277602964899</v>
      </c>
      <c r="F3315">
        <v>0.14092576188018699</v>
      </c>
      <c r="G3315">
        <v>0.100938410797179</v>
      </c>
      <c r="H3315">
        <v>7.7029292069672697E-2</v>
      </c>
      <c r="I3315">
        <v>7.4649853721296497E-2</v>
      </c>
      <c r="J3315">
        <v>9.4753841722635498E-2</v>
      </c>
      <c r="K3315">
        <v>0.134251369691399</v>
      </c>
      <c r="L3315">
        <v>796.87908330096195</v>
      </c>
      <c r="M3315">
        <v>17.924515432757602</v>
      </c>
      <c r="N3315">
        <v>44.9747589568099</v>
      </c>
      <c r="O3315">
        <v>43.915232291883697</v>
      </c>
      <c r="P3315">
        <v>-9.2540170187607407E-2</v>
      </c>
      <c r="Q3315">
        <v>9.3148511808421902E-2</v>
      </c>
      <c r="R3315">
        <v>0.96909376248680101</v>
      </c>
      <c r="S3315" t="s">
        <v>9985</v>
      </c>
      <c r="T3315" t="s">
        <v>13338</v>
      </c>
      <c r="U3315" t="s">
        <v>13338</v>
      </c>
      <c r="V3315" t="s">
        <v>13338</v>
      </c>
      <c r="W3315" t="s">
        <v>16606</v>
      </c>
      <c r="X3315">
        <v>10</v>
      </c>
      <c r="Y3315" t="s">
        <v>23143</v>
      </c>
      <c r="Z3315" t="s">
        <v>29730</v>
      </c>
      <c r="AA3315">
        <v>0.24900450128526719</v>
      </c>
      <c r="AB3315" t="str">
        <f>HYPERLINK("Melting_Curves/meltCurve_Q13427_PPIG.pdf", "Melting_Curves/meltCurve_Q13427_PPIG.pdf")</f>
        <v>Melting_Curves/meltCurve_Q13427_PPIG.pdf</v>
      </c>
    </row>
    <row r="3316" spans="1:28" x14ac:dyDescent="0.25">
      <c r="A3316" t="s">
        <v>3320</v>
      </c>
      <c r="B3316">
        <v>0.99193492352474899</v>
      </c>
      <c r="C3316">
        <v>0.64404283093569903</v>
      </c>
      <c r="D3316">
        <v>0.94561494723545403</v>
      </c>
      <c r="E3316">
        <v>0.62400684449125798</v>
      </c>
      <c r="F3316">
        <v>0.50746610346272902</v>
      </c>
      <c r="G3316">
        <v>0.24399439306357601</v>
      </c>
      <c r="H3316">
        <v>0.15929089659706</v>
      </c>
      <c r="I3316">
        <v>0.20221691405998199</v>
      </c>
      <c r="J3316">
        <v>0.26090832468543601</v>
      </c>
      <c r="K3316">
        <v>0.30516932052453399</v>
      </c>
      <c r="L3316">
        <v>629.27231285165203</v>
      </c>
      <c r="M3316">
        <v>12.5897412349572</v>
      </c>
      <c r="N3316">
        <v>51.888414695910598</v>
      </c>
      <c r="O3316">
        <v>48.772167389682203</v>
      </c>
      <c r="P3316">
        <v>-5.2599385846912303E-2</v>
      </c>
      <c r="Q3316">
        <v>0.185091212466101</v>
      </c>
      <c r="R3316">
        <v>0.846375691008878</v>
      </c>
      <c r="S3316" t="s">
        <v>9986</v>
      </c>
      <c r="T3316" t="s">
        <v>13338</v>
      </c>
      <c r="U3316" t="s">
        <v>13338</v>
      </c>
      <c r="V3316" t="s">
        <v>13338</v>
      </c>
      <c r="W3316" t="s">
        <v>16607</v>
      </c>
      <c r="X3316">
        <v>25</v>
      </c>
      <c r="Y3316" t="s">
        <v>23144</v>
      </c>
      <c r="Z3316" t="s">
        <v>29731</v>
      </c>
      <c r="AA3316">
        <v>0.48243037021257762</v>
      </c>
      <c r="AB3316" t="str">
        <f>HYPERLINK("Melting_Curves/meltCurve_Q13428_3_TCOF1.pdf", "Melting_Curves/meltCurve_Q13428_3_TCOF1.pdf")</f>
        <v>Melting_Curves/meltCurve_Q13428_3_TCOF1.pdf</v>
      </c>
    </row>
    <row r="3317" spans="1:28" x14ac:dyDescent="0.25">
      <c r="A3317" t="s">
        <v>3321</v>
      </c>
      <c r="B3317">
        <v>0.99193492352474899</v>
      </c>
      <c r="C3317">
        <v>1.0918981223052699</v>
      </c>
      <c r="D3317">
        <v>0.82940614894683895</v>
      </c>
      <c r="E3317">
        <v>0.48165651509017998</v>
      </c>
      <c r="F3317">
        <v>0.218044809424953</v>
      </c>
      <c r="G3317">
        <v>0.119508907517101</v>
      </c>
      <c r="H3317">
        <v>6.8997603254873002E-2</v>
      </c>
      <c r="I3317">
        <v>7.3837304628436906E-2</v>
      </c>
      <c r="J3317">
        <v>9.2203192720942503E-2</v>
      </c>
      <c r="K3317">
        <v>8.3837974045647495E-2</v>
      </c>
      <c r="L3317">
        <v>1233.4367036810199</v>
      </c>
      <c r="M3317">
        <v>25.106244916239099</v>
      </c>
      <c r="N3317">
        <v>49.480785127401603</v>
      </c>
      <c r="O3317">
        <v>48.820171003217602</v>
      </c>
      <c r="P3317">
        <v>-0.11804957119135399</v>
      </c>
      <c r="Q3317">
        <v>8.1802305409144502E-2</v>
      </c>
      <c r="R3317">
        <v>0.99011578350005003</v>
      </c>
      <c r="S3317" t="s">
        <v>9987</v>
      </c>
      <c r="T3317" t="s">
        <v>13338</v>
      </c>
      <c r="U3317" t="s">
        <v>13338</v>
      </c>
      <c r="V3317" t="s">
        <v>13338</v>
      </c>
      <c r="W3317" t="s">
        <v>16608</v>
      </c>
      <c r="X3317">
        <v>6</v>
      </c>
      <c r="Y3317" t="s">
        <v>23145</v>
      </c>
      <c r="Z3317" t="s">
        <v>29732</v>
      </c>
      <c r="AA3317">
        <v>0.36927310877643682</v>
      </c>
      <c r="AB3317" t="str">
        <f>HYPERLINK("Melting_Curves/meltCurve_Q13432_2_UNC119.pdf", "Melting_Curves/meltCurve_Q13432_2_UNC119.pdf")</f>
        <v>Melting_Curves/meltCurve_Q13432_2_UNC119.pdf</v>
      </c>
    </row>
    <row r="3318" spans="1:28" x14ac:dyDescent="0.25">
      <c r="A3318" t="s">
        <v>3322</v>
      </c>
      <c r="B3318">
        <v>0.99193492352474899</v>
      </c>
      <c r="C3318">
        <v>0.86516555463805001</v>
      </c>
      <c r="D3318">
        <v>0.93063875160666598</v>
      </c>
      <c r="E3318">
        <v>0.75953074763929596</v>
      </c>
      <c r="F3318">
        <v>0.68955859113254503</v>
      </c>
      <c r="G3318">
        <v>0.60688057179882904</v>
      </c>
      <c r="H3318">
        <v>0.47245400490025202</v>
      </c>
      <c r="I3318">
        <v>0.51091307130028396</v>
      </c>
      <c r="J3318">
        <v>0.658243831173009</v>
      </c>
      <c r="K3318">
        <v>0.80108651209201598</v>
      </c>
      <c r="L3318">
        <v>876.61951246538297</v>
      </c>
      <c r="M3318">
        <v>18.175240872503601</v>
      </c>
      <c r="O3318">
        <v>47.659016131588203</v>
      </c>
      <c r="P3318">
        <v>-3.7410564241963602E-2</v>
      </c>
      <c r="Q3318">
        <v>0.60762753552883397</v>
      </c>
      <c r="R3318">
        <v>0.69213484586627005</v>
      </c>
      <c r="S3318" t="s">
        <v>9988</v>
      </c>
      <c r="T3318" t="s">
        <v>13338</v>
      </c>
      <c r="U3318" t="s">
        <v>13338</v>
      </c>
      <c r="V3318" t="s">
        <v>13338</v>
      </c>
      <c r="W3318" t="s">
        <v>16609</v>
      </c>
      <c r="X3318">
        <v>7</v>
      </c>
      <c r="Y3318" t="s">
        <v>23146</v>
      </c>
      <c r="Z3318" t="s">
        <v>29733</v>
      </c>
      <c r="AA3318">
        <v>0.72206664844903345</v>
      </c>
      <c r="AB3318" t="str">
        <f>HYPERLINK("Melting_Curves/meltCurve_Q13433_SLC39A6.pdf", "Melting_Curves/meltCurve_Q13433_SLC39A6.pdf")</f>
        <v>Melting_Curves/meltCurve_Q13433_SLC39A6.pdf</v>
      </c>
    </row>
    <row r="3319" spans="1:28" x14ac:dyDescent="0.25">
      <c r="A3319" t="s">
        <v>3323</v>
      </c>
      <c r="B3319">
        <v>0.99193492352474899</v>
      </c>
      <c r="C3319">
        <v>0.45692042280606898</v>
      </c>
      <c r="D3319">
        <v>0.64046485870508796</v>
      </c>
      <c r="E3319">
        <v>0.30655487286600802</v>
      </c>
      <c r="F3319">
        <v>0.20025593989233301</v>
      </c>
      <c r="G3319">
        <v>0.127134897904495</v>
      </c>
      <c r="H3319">
        <v>0.160785000210562</v>
      </c>
      <c r="I3319">
        <v>0.25664656387621798</v>
      </c>
      <c r="J3319">
        <v>0.33790165856426402</v>
      </c>
      <c r="K3319">
        <v>0.47425105935616901</v>
      </c>
      <c r="L3319">
        <v>810.94679192603098</v>
      </c>
      <c r="M3319">
        <v>18.774889470510701</v>
      </c>
      <c r="N3319">
        <v>45.002120369333397</v>
      </c>
      <c r="O3319">
        <v>42.712092361130097</v>
      </c>
      <c r="P3319">
        <v>-8.0782222592589006E-2</v>
      </c>
      <c r="Q3319">
        <v>0.26492594298167499</v>
      </c>
      <c r="R3319">
        <v>0.70367383559904395</v>
      </c>
      <c r="S3319" t="s">
        <v>9989</v>
      </c>
      <c r="T3319" t="s">
        <v>13338</v>
      </c>
      <c r="U3319" t="s">
        <v>13338</v>
      </c>
      <c r="V3319" t="s">
        <v>13338</v>
      </c>
      <c r="W3319" t="s">
        <v>16610</v>
      </c>
      <c r="X3319">
        <v>40</v>
      </c>
      <c r="Y3319" t="s">
        <v>23147</v>
      </c>
      <c r="Z3319" t="s">
        <v>29734</v>
      </c>
      <c r="AA3319">
        <v>0.36219919351169089</v>
      </c>
      <c r="AB3319" t="str">
        <f>HYPERLINK("Melting_Curves/meltCurve_Q13435_SF3B2.pdf", "Melting_Curves/meltCurve_Q13435_SF3B2.pdf")</f>
        <v>Melting_Curves/meltCurve_Q13435_SF3B2.pdf</v>
      </c>
    </row>
    <row r="3320" spans="1:28" x14ac:dyDescent="0.25">
      <c r="A3320" t="s">
        <v>3324</v>
      </c>
      <c r="B3320">
        <v>0.99193492352474899</v>
      </c>
      <c r="C3320">
        <v>1.1377774493553101</v>
      </c>
      <c r="D3320">
        <v>0.98215095761114901</v>
      </c>
      <c r="E3320">
        <v>0.84917237055274697</v>
      </c>
      <c r="F3320">
        <v>0.51282942915199803</v>
      </c>
      <c r="G3320">
        <v>0.261231743360816</v>
      </c>
      <c r="H3320">
        <v>0.129160111129699</v>
      </c>
      <c r="I3320">
        <v>0.125400756328645</v>
      </c>
      <c r="J3320">
        <v>0.122895270257201</v>
      </c>
      <c r="K3320">
        <v>0.14008313883726101</v>
      </c>
      <c r="L3320">
        <v>1345.8477168439099</v>
      </c>
      <c r="M3320">
        <v>25.503238345177898</v>
      </c>
      <c r="N3320">
        <v>53.353117482119202</v>
      </c>
      <c r="O3320">
        <v>52.450384509506399</v>
      </c>
      <c r="P3320">
        <v>-0.106811482835279</v>
      </c>
      <c r="Q3320">
        <v>0.121329786751685</v>
      </c>
      <c r="R3320">
        <v>0.98699867931597196</v>
      </c>
      <c r="S3320" t="s">
        <v>9990</v>
      </c>
      <c r="T3320" t="s">
        <v>13338</v>
      </c>
      <c r="U3320" t="s">
        <v>13338</v>
      </c>
      <c r="V3320" t="s">
        <v>13338</v>
      </c>
      <c r="W3320" t="s">
        <v>16611</v>
      </c>
      <c r="X3320">
        <v>12</v>
      </c>
      <c r="Y3320" t="s">
        <v>23148</v>
      </c>
      <c r="Z3320" t="s">
        <v>29735</v>
      </c>
      <c r="AA3320">
        <v>0.5031755949434088</v>
      </c>
      <c r="AB3320" t="str">
        <f>HYPERLINK("Melting_Curves/meltCurve_Q13438_4_OS9.pdf", "Melting_Curves/meltCurve_Q13438_4_OS9.pdf")</f>
        <v>Melting_Curves/meltCurve_Q13438_4_OS9.pdf</v>
      </c>
    </row>
    <row r="3321" spans="1:28" x14ac:dyDescent="0.25">
      <c r="A3321" t="s">
        <v>3325</v>
      </c>
      <c r="B3321">
        <v>0.99193492352474899</v>
      </c>
      <c r="C3321">
        <v>0.66836831909415195</v>
      </c>
      <c r="D3321">
        <v>0.573367308067259</v>
      </c>
      <c r="E3321">
        <v>0.35461361484770998</v>
      </c>
      <c r="F3321">
        <v>0.29263577409451802</v>
      </c>
      <c r="G3321">
        <v>0.172801360778085</v>
      </c>
      <c r="H3321">
        <v>0.12016954034911199</v>
      </c>
      <c r="I3321">
        <v>0.156004407430334</v>
      </c>
      <c r="J3321">
        <v>0.13009505603419899</v>
      </c>
      <c r="K3321">
        <v>0.233836244595551</v>
      </c>
      <c r="L3321">
        <v>662.08126593078305</v>
      </c>
      <c r="M3321">
        <v>14.5269403698068</v>
      </c>
      <c r="N3321">
        <v>46.749707372057202</v>
      </c>
      <c r="O3321">
        <v>44.738562026101597</v>
      </c>
      <c r="P3321">
        <v>-6.8781492636555294E-2</v>
      </c>
      <c r="Q3321">
        <v>0.15279264728972</v>
      </c>
      <c r="R3321">
        <v>0.96107376452978199</v>
      </c>
      <c r="S3321" t="s">
        <v>9991</v>
      </c>
      <c r="T3321" t="s">
        <v>13338</v>
      </c>
      <c r="U3321" t="s">
        <v>13338</v>
      </c>
      <c r="V3321" t="s">
        <v>13338</v>
      </c>
      <c r="W3321" t="s">
        <v>16612</v>
      </c>
      <c r="X3321">
        <v>4</v>
      </c>
      <c r="Y3321" t="s">
        <v>23149</v>
      </c>
      <c r="Z3321" t="s">
        <v>29736</v>
      </c>
      <c r="AA3321">
        <v>0.33772815006047607</v>
      </c>
      <c r="AB3321" t="str">
        <f>HYPERLINK("Melting_Curves/meltCurve_Q13439_3_GOLGA4.pdf", "Melting_Curves/meltCurve_Q13439_3_GOLGA4.pdf")</f>
        <v>Melting_Curves/meltCurve_Q13439_3_GOLGA4.pdf</v>
      </c>
    </row>
    <row r="3322" spans="1:28" x14ac:dyDescent="0.25">
      <c r="A3322" t="s">
        <v>3326</v>
      </c>
      <c r="B3322">
        <v>0.99193492352474899</v>
      </c>
      <c r="C3322">
        <v>1.0969346488160501</v>
      </c>
      <c r="D3322">
        <v>0.83834975295386105</v>
      </c>
      <c r="E3322">
        <v>1.0322222200547699</v>
      </c>
      <c r="F3322">
        <v>0.65494006518134296</v>
      </c>
      <c r="G3322">
        <v>0.685413514746815</v>
      </c>
      <c r="H3322">
        <v>0.71168914675163997</v>
      </c>
      <c r="I3322">
        <v>0.97414522364434397</v>
      </c>
      <c r="J3322">
        <v>0.76308980976113405</v>
      </c>
      <c r="K3322">
        <v>1.05683516635195</v>
      </c>
      <c r="L3322">
        <v>11194.373948378399</v>
      </c>
      <c r="M3322">
        <v>250</v>
      </c>
      <c r="O3322">
        <v>44.7746311480171</v>
      </c>
      <c r="P3322">
        <v>-0.223954969036359</v>
      </c>
      <c r="Q3322">
        <v>0.83955998499771201</v>
      </c>
      <c r="R3322">
        <v>0.247672468145055</v>
      </c>
      <c r="S3322" t="s">
        <v>9992</v>
      </c>
      <c r="T3322" t="s">
        <v>13338</v>
      </c>
      <c r="U3322" t="s">
        <v>13338</v>
      </c>
      <c r="V3322" t="s">
        <v>13338</v>
      </c>
      <c r="W3322" t="s">
        <v>16613</v>
      </c>
      <c r="X3322">
        <v>23</v>
      </c>
      <c r="Y3322" t="s">
        <v>23150</v>
      </c>
      <c r="Z3322" t="s">
        <v>29737</v>
      </c>
      <c r="AA3322">
        <v>0.86512264287790575</v>
      </c>
      <c r="AB3322" t="str">
        <f>HYPERLINK("Melting_Curves/meltCurve_Q13442_PDAP1.pdf", "Melting_Curves/meltCurve_Q13442_PDAP1.pdf")</f>
        <v>Melting_Curves/meltCurve_Q13442_PDAP1.pdf</v>
      </c>
    </row>
    <row r="3323" spans="1:28" x14ac:dyDescent="0.25">
      <c r="A3323" t="s">
        <v>3327</v>
      </c>
      <c r="B3323">
        <v>0.99193492352474899</v>
      </c>
      <c r="C3323">
        <v>1.1801616695814501</v>
      </c>
      <c r="D3323">
        <v>1.07972987461495</v>
      </c>
      <c r="E3323">
        <v>0.811477771296367</v>
      </c>
      <c r="F3323">
        <v>0.73804750335317804</v>
      </c>
      <c r="G3323">
        <v>0.51517486061283402</v>
      </c>
      <c r="H3323">
        <v>0.256193975477923</v>
      </c>
      <c r="I3323">
        <v>0.28627763980513499</v>
      </c>
      <c r="J3323">
        <v>0.24908193139058901</v>
      </c>
      <c r="K3323">
        <v>0.179377973705734</v>
      </c>
      <c r="L3323">
        <v>1002.29558216066</v>
      </c>
      <c r="M3323">
        <v>18.201746801468602</v>
      </c>
      <c r="N3323">
        <v>56.565899692286401</v>
      </c>
      <c r="O3323">
        <v>54.4141372353386</v>
      </c>
      <c r="P3323">
        <v>-6.7620426891598806E-2</v>
      </c>
      <c r="Q3323">
        <v>0.19143289103290601</v>
      </c>
      <c r="R3323">
        <v>0.95345743026586405</v>
      </c>
      <c r="S3323" t="s">
        <v>9993</v>
      </c>
      <c r="T3323" t="s">
        <v>13338</v>
      </c>
      <c r="U3323" t="s">
        <v>13338</v>
      </c>
      <c r="V3323" t="s">
        <v>13338</v>
      </c>
      <c r="W3323" t="s">
        <v>16614</v>
      </c>
      <c r="X3323">
        <v>1</v>
      </c>
      <c r="Y3323" t="s">
        <v>23151</v>
      </c>
      <c r="Z3323" t="s">
        <v>29738</v>
      </c>
      <c r="AA3323">
        <v>0.60978162899766375</v>
      </c>
      <c r="AB3323" t="str">
        <f>HYPERLINK("Melting_Curves/meltCurve_Q13443_ADAM9.pdf", "Melting_Curves/meltCurve_Q13443_ADAM9.pdf")</f>
        <v>Melting_Curves/meltCurve_Q13443_ADAM9.pdf</v>
      </c>
    </row>
    <row r="3324" spans="1:28" x14ac:dyDescent="0.25">
      <c r="A3324" t="s">
        <v>3328</v>
      </c>
      <c r="B3324">
        <v>0.99193492352474899</v>
      </c>
      <c r="C3324">
        <v>0.965109963438324</v>
      </c>
      <c r="D3324">
        <v>1.02480031336986</v>
      </c>
      <c r="E3324">
        <v>0.72297985159737099</v>
      </c>
      <c r="F3324">
        <v>0.59567936305917601</v>
      </c>
      <c r="G3324">
        <v>0.29086050402235702</v>
      </c>
      <c r="H3324">
        <v>0.139874801396704</v>
      </c>
      <c r="I3324">
        <v>0.19518240671218401</v>
      </c>
      <c r="J3324">
        <v>0.22934703803957701</v>
      </c>
      <c r="K3324">
        <v>0.20088976813435599</v>
      </c>
      <c r="L3324">
        <v>1082.6743244223001</v>
      </c>
      <c r="M3324">
        <v>20.668927478394</v>
      </c>
      <c r="N3324">
        <v>53.497842551021201</v>
      </c>
      <c r="O3324">
        <v>51.898795959206502</v>
      </c>
      <c r="P3324">
        <v>-8.2128576516001903E-2</v>
      </c>
      <c r="Q3324">
        <v>0.175138162934905</v>
      </c>
      <c r="R3324">
        <v>0.97795123028902997</v>
      </c>
      <c r="S3324" t="s">
        <v>9994</v>
      </c>
      <c r="T3324" t="s">
        <v>13338</v>
      </c>
      <c r="U3324" t="s">
        <v>13338</v>
      </c>
      <c r="V3324" t="s">
        <v>13338</v>
      </c>
      <c r="W3324" t="s">
        <v>16615</v>
      </c>
      <c r="X3324">
        <v>2</v>
      </c>
      <c r="Y3324" t="s">
        <v>23152</v>
      </c>
      <c r="Z3324" t="s">
        <v>29739</v>
      </c>
      <c r="AA3324">
        <v>0.52632708561763719</v>
      </c>
      <c r="AB3324" t="str">
        <f>HYPERLINK("Melting_Curves/meltCurve_Q13445_TMED1.pdf", "Melting_Curves/meltCurve_Q13445_TMED1.pdf")</f>
        <v>Melting_Curves/meltCurve_Q13445_TMED1.pdf</v>
      </c>
    </row>
    <row r="3325" spans="1:28" x14ac:dyDescent="0.25">
      <c r="A3325" t="s">
        <v>3329</v>
      </c>
      <c r="B3325">
        <v>0.99193492352474899</v>
      </c>
      <c r="C3325">
        <v>0.66909604220480101</v>
      </c>
      <c r="D3325">
        <v>0.388783942440666</v>
      </c>
      <c r="E3325">
        <v>0.18940088004832001</v>
      </c>
      <c r="F3325">
        <v>0.13170919346521801</v>
      </c>
      <c r="G3325">
        <v>7.3282114977473695E-2</v>
      </c>
      <c r="H3325">
        <v>4.7381014494609901E-2</v>
      </c>
      <c r="I3325">
        <v>5.8006535320287302E-2</v>
      </c>
      <c r="J3325">
        <v>7.24312609530611E-2</v>
      </c>
      <c r="K3325">
        <v>8.8074643880681203E-2</v>
      </c>
      <c r="L3325">
        <v>932.265213354754</v>
      </c>
      <c r="M3325">
        <v>20.942518453236801</v>
      </c>
      <c r="N3325">
        <v>44.853052450793498</v>
      </c>
      <c r="O3325">
        <v>44.1155042388271</v>
      </c>
      <c r="P3325">
        <v>-0.110028244094509</v>
      </c>
      <c r="Q3325">
        <v>7.2925228271084094E-2</v>
      </c>
      <c r="R3325">
        <v>0.98973617265073399</v>
      </c>
      <c r="S3325" t="s">
        <v>9995</v>
      </c>
      <c r="T3325" t="s">
        <v>13338</v>
      </c>
      <c r="U3325" t="s">
        <v>13338</v>
      </c>
      <c r="V3325" t="s">
        <v>13338</v>
      </c>
      <c r="W3325" t="s">
        <v>16616</v>
      </c>
      <c r="X3325">
        <v>19</v>
      </c>
      <c r="Y3325" t="s">
        <v>23153</v>
      </c>
      <c r="Z3325" t="s">
        <v>29740</v>
      </c>
      <c r="AA3325">
        <v>0.22743358615247131</v>
      </c>
      <c r="AB3325" t="str">
        <f>HYPERLINK("Melting_Curves/meltCurve_Q13451_FKBP5.pdf", "Melting_Curves/meltCurve_Q13451_FKBP5.pdf")</f>
        <v>Melting_Curves/meltCurve_Q13451_FKBP5.pdf</v>
      </c>
    </row>
    <row r="3326" spans="1:28" x14ac:dyDescent="0.25">
      <c r="A3326" t="s">
        <v>3330</v>
      </c>
      <c r="B3326">
        <v>0.99193492352474899</v>
      </c>
      <c r="C3326">
        <v>0.79913090833002898</v>
      </c>
      <c r="D3326">
        <v>0.91542675230374604</v>
      </c>
      <c r="E3326">
        <v>0.368483619978416</v>
      </c>
      <c r="F3326">
        <v>0.157382619918887</v>
      </c>
      <c r="G3326">
        <v>9.2101950708333602E-2</v>
      </c>
      <c r="H3326">
        <v>5.6535272380870603E-2</v>
      </c>
      <c r="I3326">
        <v>6.3040238768967902E-2</v>
      </c>
      <c r="J3326">
        <v>7.7009198444369903E-2</v>
      </c>
      <c r="K3326">
        <v>8.2617842103965097E-2</v>
      </c>
      <c r="L3326">
        <v>1480.1373895618799</v>
      </c>
      <c r="M3326">
        <v>30.476114542760001</v>
      </c>
      <c r="N3326">
        <v>48.821870817490598</v>
      </c>
      <c r="O3326">
        <v>48.359450657212399</v>
      </c>
      <c r="P3326">
        <v>-0.14596940842162601</v>
      </c>
      <c r="Q3326">
        <v>7.3509457393284197E-2</v>
      </c>
      <c r="R3326">
        <v>0.97084634230092903</v>
      </c>
      <c r="S3326" t="s">
        <v>9996</v>
      </c>
      <c r="T3326" t="s">
        <v>13338</v>
      </c>
      <c r="U3326" t="s">
        <v>13338</v>
      </c>
      <c r="V3326" t="s">
        <v>13338</v>
      </c>
      <c r="W3326" t="s">
        <v>16617</v>
      </c>
      <c r="X3326">
        <v>63</v>
      </c>
      <c r="Y3326" t="s">
        <v>23154</v>
      </c>
      <c r="Z3326" t="s">
        <v>29741</v>
      </c>
      <c r="AA3326">
        <v>0.34351919939073389</v>
      </c>
      <c r="AB3326" t="str">
        <f>HYPERLINK("Melting_Curves/meltCurve_Q13464_ROCK1.pdf", "Melting_Curves/meltCurve_Q13464_ROCK1.pdf")</f>
        <v>Melting_Curves/meltCurve_Q13464_ROCK1.pdf</v>
      </c>
    </row>
    <row r="3327" spans="1:28" x14ac:dyDescent="0.25">
      <c r="A3327" t="s">
        <v>3331</v>
      </c>
      <c r="B3327">
        <v>0.99193492352474899</v>
      </c>
      <c r="C3327">
        <v>0.75588763151430105</v>
      </c>
      <c r="D3327">
        <v>0.71560071553967297</v>
      </c>
      <c r="E3327">
        <v>0.32150194603679499</v>
      </c>
      <c r="F3327">
        <v>0.263316234083532</v>
      </c>
      <c r="G3327">
        <v>0.21577019432370101</v>
      </c>
      <c r="H3327">
        <v>0.154346062577844</v>
      </c>
      <c r="I3327">
        <v>0.170172785256196</v>
      </c>
      <c r="J3327">
        <v>0.17529011284729901</v>
      </c>
      <c r="K3327">
        <v>0.19819618256302399</v>
      </c>
      <c r="L3327">
        <v>809.30121749776799</v>
      </c>
      <c r="M3327">
        <v>17.385868965368498</v>
      </c>
      <c r="N3327">
        <v>47.674548030935902</v>
      </c>
      <c r="O3327">
        <v>45.946619518239103</v>
      </c>
      <c r="P3327">
        <v>-7.8683323798099697E-2</v>
      </c>
      <c r="Q3327">
        <v>0.16828359505572599</v>
      </c>
      <c r="R3327">
        <v>0.97303632613742397</v>
      </c>
      <c r="S3327" t="s">
        <v>9997</v>
      </c>
      <c r="T3327" t="s">
        <v>13338</v>
      </c>
      <c r="U3327" t="s">
        <v>13338</v>
      </c>
      <c r="V3327" t="s">
        <v>13338</v>
      </c>
      <c r="W3327" t="s">
        <v>16618</v>
      </c>
      <c r="X3327">
        <v>8</v>
      </c>
      <c r="Y3327" t="s">
        <v>23155</v>
      </c>
      <c r="Z3327" t="s">
        <v>29742</v>
      </c>
      <c r="AA3327">
        <v>0.3668334412544772</v>
      </c>
      <c r="AB3327" t="str">
        <f>HYPERLINK("Melting_Curves/meltCurve_Q13469_3_NFATC2.pdf", "Melting_Curves/meltCurve_Q13469_3_NFATC2.pdf")</f>
        <v>Melting_Curves/meltCurve_Q13469_3_NFATC2.pdf</v>
      </c>
    </row>
    <row r="3328" spans="1:28" x14ac:dyDescent="0.25">
      <c r="A3328" t="s">
        <v>3332</v>
      </c>
      <c r="B3328">
        <v>0.99193492352474899</v>
      </c>
      <c r="C3328">
        <v>0.651241395496298</v>
      </c>
      <c r="D3328">
        <v>0.40837458674556298</v>
      </c>
      <c r="E3328">
        <v>0.18916879127671099</v>
      </c>
      <c r="F3328">
        <v>0.13836040789594101</v>
      </c>
      <c r="G3328">
        <v>0.1088504752041</v>
      </c>
      <c r="H3328">
        <v>5.2684771921238598E-2</v>
      </c>
      <c r="I3328">
        <v>0.101625478701379</v>
      </c>
      <c r="J3328">
        <v>0.12406195673832</v>
      </c>
      <c r="K3328">
        <v>0.10460594502678</v>
      </c>
      <c r="L3328">
        <v>947.10254120527895</v>
      </c>
      <c r="M3328">
        <v>21.3620215219884</v>
      </c>
      <c r="N3328">
        <v>44.805022276484202</v>
      </c>
      <c r="O3328">
        <v>43.952789029332102</v>
      </c>
      <c r="P3328">
        <v>-0.10933071886366</v>
      </c>
      <c r="Q3328">
        <v>0.100222345610159</v>
      </c>
      <c r="R3328">
        <v>0.98602164854805696</v>
      </c>
      <c r="S3328" t="s">
        <v>9998</v>
      </c>
      <c r="T3328" t="s">
        <v>13338</v>
      </c>
      <c r="U3328" t="s">
        <v>13338</v>
      </c>
      <c r="V3328" t="s">
        <v>13338</v>
      </c>
      <c r="W3328" t="s">
        <v>16619</v>
      </c>
      <c r="X3328">
        <v>2</v>
      </c>
      <c r="Y3328" t="s">
        <v>23156</v>
      </c>
      <c r="Z3328" t="s">
        <v>29743</v>
      </c>
      <c r="AA3328">
        <v>0.2444935043972043</v>
      </c>
      <c r="AB3328" t="str">
        <f>HYPERLINK("Melting_Curves/meltCurve_Q13472_2_TOP3A.pdf", "Melting_Curves/meltCurve_Q13472_2_TOP3A.pdf")</f>
        <v>Melting_Curves/meltCurve_Q13472_2_TOP3A.pdf</v>
      </c>
    </row>
    <row r="3329" spans="1:28" x14ac:dyDescent="0.25">
      <c r="A3329" t="s">
        <v>3333</v>
      </c>
      <c r="B3329">
        <v>0.99193492352474899</v>
      </c>
      <c r="C3329">
        <v>0.85977791269470005</v>
      </c>
      <c r="D3329">
        <v>0.88602340092291298</v>
      </c>
      <c r="E3329">
        <v>0.73078885930499704</v>
      </c>
      <c r="F3329">
        <v>0.47336150834972102</v>
      </c>
      <c r="G3329">
        <v>0.160288180193188</v>
      </c>
      <c r="H3329">
        <v>0.117425515818312</v>
      </c>
      <c r="I3329">
        <v>0.15902183666467601</v>
      </c>
      <c r="J3329">
        <v>0.18651001384757801</v>
      </c>
      <c r="K3329">
        <v>0.23149798949026201</v>
      </c>
      <c r="L3329">
        <v>1067.4547428829501</v>
      </c>
      <c r="M3329">
        <v>20.848348598977399</v>
      </c>
      <c r="N3329">
        <v>52.101297705913801</v>
      </c>
      <c r="O3329">
        <v>50.736833765378798</v>
      </c>
      <c r="P3329">
        <v>-8.7191909377013294E-2</v>
      </c>
      <c r="Q3329">
        <v>0.151257538166022</v>
      </c>
      <c r="R3329">
        <v>0.96474597136782303</v>
      </c>
      <c r="S3329" t="s">
        <v>9999</v>
      </c>
      <c r="T3329" t="s">
        <v>13338</v>
      </c>
      <c r="U3329" t="s">
        <v>13338</v>
      </c>
      <c r="V3329" t="s">
        <v>13338</v>
      </c>
      <c r="W3329" t="s">
        <v>16620</v>
      </c>
      <c r="X3329">
        <v>10</v>
      </c>
      <c r="Y3329" t="s">
        <v>23157</v>
      </c>
      <c r="Z3329" t="s">
        <v>29744</v>
      </c>
      <c r="AA3329">
        <v>0.47904407589861903</v>
      </c>
      <c r="AB3329" t="str">
        <f>HYPERLINK("Melting_Curves/meltCurve_Q13492_2_PICALM.pdf", "Melting_Curves/meltCurve_Q13492_2_PICALM.pdf")</f>
        <v>Melting_Curves/meltCurve_Q13492_2_PICALM.pdf</v>
      </c>
    </row>
    <row r="3330" spans="1:28" x14ac:dyDescent="0.25">
      <c r="A3330" t="s">
        <v>3334</v>
      </c>
      <c r="B3330">
        <v>0.99193492352474899</v>
      </c>
      <c r="C3330">
        <v>0.87157742949823502</v>
      </c>
      <c r="D3330">
        <v>0.94983916210549102</v>
      </c>
      <c r="E3330">
        <v>0.62378615418746697</v>
      </c>
      <c r="F3330">
        <v>0.49235386338752501</v>
      </c>
      <c r="G3330">
        <v>0.30635309118346798</v>
      </c>
      <c r="H3330">
        <v>0.15503537904612899</v>
      </c>
      <c r="I3330">
        <v>0.108667274664316</v>
      </c>
      <c r="J3330">
        <v>0.106282110573058</v>
      </c>
      <c r="K3330">
        <v>9.9300544616425596E-2</v>
      </c>
      <c r="L3330">
        <v>693.32615303099396</v>
      </c>
      <c r="M3330">
        <v>13.291315439153101</v>
      </c>
      <c r="N3330">
        <v>52.604009817863897</v>
      </c>
      <c r="O3330">
        <v>51.025449165056799</v>
      </c>
      <c r="P3330">
        <v>-6.1703909804246899E-2</v>
      </c>
      <c r="Q3330">
        <v>5.2626635614307402E-2</v>
      </c>
      <c r="R3330">
        <v>0.98424816924839997</v>
      </c>
      <c r="S3330" t="s">
        <v>10000</v>
      </c>
      <c r="T3330" t="s">
        <v>13338</v>
      </c>
      <c r="U3330" t="s">
        <v>13338</v>
      </c>
      <c r="V3330" t="s">
        <v>13338</v>
      </c>
      <c r="W3330" t="s">
        <v>16621</v>
      </c>
      <c r="X3330">
        <v>12</v>
      </c>
      <c r="Y3330" t="s">
        <v>23158</v>
      </c>
      <c r="Z3330" t="s">
        <v>29745</v>
      </c>
      <c r="AA3330">
        <v>0.46181521638861411</v>
      </c>
      <c r="AB3330" t="str">
        <f>HYPERLINK("Melting_Curves/meltCurve_Q13496_MTM1.pdf", "Melting_Curves/meltCurve_Q13496_MTM1.pdf")</f>
        <v>Melting_Curves/meltCurve_Q13496_MTM1.pdf</v>
      </c>
    </row>
    <row r="3331" spans="1:28" x14ac:dyDescent="0.25">
      <c r="A3331" t="s">
        <v>3335</v>
      </c>
      <c r="B3331">
        <v>0.99193492352474899</v>
      </c>
      <c r="C3331">
        <v>0.93665527859567299</v>
      </c>
      <c r="D3331">
        <v>0.87610529614530397</v>
      </c>
      <c r="E3331">
        <v>0.62460934876801499</v>
      </c>
      <c r="F3331">
        <v>0.36937661738502803</v>
      </c>
      <c r="G3331">
        <v>0.161746430735804</v>
      </c>
      <c r="H3331">
        <v>0.109127175905289</v>
      </c>
      <c r="I3331">
        <v>0.101504852429312</v>
      </c>
      <c r="J3331">
        <v>0.12147453039575699</v>
      </c>
      <c r="K3331">
        <v>0.19149760879757199</v>
      </c>
      <c r="L3331">
        <v>1001.49365356208</v>
      </c>
      <c r="M3331">
        <v>19.899053541841099</v>
      </c>
      <c r="N3331">
        <v>51.002402913944699</v>
      </c>
      <c r="O3331">
        <v>49.828698335470698</v>
      </c>
      <c r="P3331">
        <v>-8.8302062831346007E-2</v>
      </c>
      <c r="Q3331">
        <v>0.115569843163442</v>
      </c>
      <c r="R3331">
        <v>0.99141982632715497</v>
      </c>
      <c r="S3331" t="s">
        <v>10001</v>
      </c>
      <c r="T3331" t="s">
        <v>13338</v>
      </c>
      <c r="U3331" t="s">
        <v>13338</v>
      </c>
      <c r="V3331" t="s">
        <v>13338</v>
      </c>
      <c r="W3331" t="s">
        <v>16622</v>
      </c>
      <c r="X3331">
        <v>4</v>
      </c>
      <c r="Y3331" t="s">
        <v>23159</v>
      </c>
      <c r="Z3331" t="s">
        <v>29746</v>
      </c>
      <c r="AA3331">
        <v>0.43248956202319649</v>
      </c>
      <c r="AB3331" t="str">
        <f>HYPERLINK("Melting_Curves/meltCurve_Q13501_SQSTM1.pdf", "Melting_Curves/meltCurve_Q13501_SQSTM1.pdf")</f>
        <v>Melting_Curves/meltCurve_Q13501_SQSTM1.pdf</v>
      </c>
    </row>
    <row r="3332" spans="1:28" x14ac:dyDescent="0.25">
      <c r="A3332" t="s">
        <v>3336</v>
      </c>
      <c r="B3332">
        <v>0.99193492352474899</v>
      </c>
      <c r="C3332">
        <v>0.62680232040103401</v>
      </c>
      <c r="D3332">
        <v>0.70302416897889897</v>
      </c>
      <c r="E3332">
        <v>0.49520777723766002</v>
      </c>
      <c r="F3332">
        <v>0.43734833586146199</v>
      </c>
      <c r="G3332">
        <v>0.27908569138303801</v>
      </c>
      <c r="H3332">
        <v>0.18694879283511501</v>
      </c>
      <c r="I3332">
        <v>0.24596110227574999</v>
      </c>
      <c r="J3332">
        <v>0.324910340501818</v>
      </c>
      <c r="K3332">
        <v>0.376925106175939</v>
      </c>
      <c r="L3332">
        <v>553.89244289344401</v>
      </c>
      <c r="M3332">
        <v>12.062676099447801</v>
      </c>
      <c r="N3332">
        <v>49.006924927700801</v>
      </c>
      <c r="O3332">
        <v>44.710555607113299</v>
      </c>
      <c r="P3332">
        <v>-4.9502351349993097E-2</v>
      </c>
      <c r="Q3332">
        <v>0.26624767855708498</v>
      </c>
      <c r="R3332">
        <v>0.87014523600605798</v>
      </c>
      <c r="S3332" t="s">
        <v>10002</v>
      </c>
      <c r="T3332" t="s">
        <v>13338</v>
      </c>
      <c r="U3332" t="s">
        <v>13338</v>
      </c>
      <c r="V3332" t="s">
        <v>13338</v>
      </c>
      <c r="W3332" t="s">
        <v>16623</v>
      </c>
      <c r="X3332">
        <v>1</v>
      </c>
      <c r="Y3332" t="s">
        <v>23160</v>
      </c>
      <c r="Z3332" t="s">
        <v>29747</v>
      </c>
      <c r="AA3332">
        <v>0.44429185310558289</v>
      </c>
      <c r="AB3332" t="str">
        <f>HYPERLINK("Melting_Curves/meltCurve_Q13503_MED21.pdf", "Melting_Curves/meltCurve_Q13503_MED21.pdf")</f>
        <v>Melting_Curves/meltCurve_Q13503_MED21.pdf</v>
      </c>
    </row>
    <row r="3333" spans="1:28" x14ac:dyDescent="0.25">
      <c r="A3333" t="s">
        <v>3337</v>
      </c>
      <c r="B3333">
        <v>0.99193492352474899</v>
      </c>
      <c r="C3333">
        <v>0.98096785001745401</v>
      </c>
      <c r="D3333">
        <v>0.99734469493655198</v>
      </c>
      <c r="E3333">
        <v>0.91555118628815402</v>
      </c>
      <c r="F3333">
        <v>0.72635639146754005</v>
      </c>
      <c r="G3333">
        <v>0.40616257691716401</v>
      </c>
      <c r="H3333">
        <v>0.15813557613592599</v>
      </c>
      <c r="I3333">
        <v>0.164809419047486</v>
      </c>
      <c r="J3333">
        <v>0.16836211585590199</v>
      </c>
      <c r="K3333">
        <v>0.179147590251091</v>
      </c>
      <c r="L3333">
        <v>1412.0619692953001</v>
      </c>
      <c r="M3333">
        <v>25.8177278713314</v>
      </c>
      <c r="N3333">
        <v>55.458705109714899</v>
      </c>
      <c r="O3333">
        <v>54.368532270049798</v>
      </c>
      <c r="P3333">
        <v>-0.100928756097692</v>
      </c>
      <c r="Q3333">
        <v>0.149842556325612</v>
      </c>
      <c r="R3333">
        <v>0.99622731216312499</v>
      </c>
      <c r="S3333" t="s">
        <v>10003</v>
      </c>
      <c r="T3333" t="s">
        <v>13338</v>
      </c>
      <c r="U3333" t="s">
        <v>13338</v>
      </c>
      <c r="V3333" t="s">
        <v>13338</v>
      </c>
      <c r="W3333" t="s">
        <v>16624</v>
      </c>
      <c r="X3333">
        <v>11</v>
      </c>
      <c r="Y3333" t="s">
        <v>23161</v>
      </c>
      <c r="Z3333" t="s">
        <v>29748</v>
      </c>
      <c r="AA3333">
        <v>0.5736667373711829</v>
      </c>
      <c r="AB3333" t="str">
        <f>HYPERLINK("Melting_Curves/meltCurve_Q13505_3_MTX1.pdf", "Melting_Curves/meltCurve_Q13505_3_MTX1.pdf")</f>
        <v>Melting_Curves/meltCurve_Q13505_3_MTX1.pdf</v>
      </c>
    </row>
    <row r="3334" spans="1:28" x14ac:dyDescent="0.25">
      <c r="A3334" t="s">
        <v>3338</v>
      </c>
      <c r="B3334">
        <v>0.99193492352474899</v>
      </c>
      <c r="C3334">
        <v>0.59668894183605103</v>
      </c>
      <c r="D3334">
        <v>0.48563155945456699</v>
      </c>
      <c r="E3334">
        <v>0.28939263917413999</v>
      </c>
      <c r="F3334">
        <v>0.16288838434682301</v>
      </c>
      <c r="G3334">
        <v>9.3007560491920702E-2</v>
      </c>
      <c r="H3334">
        <v>5.7946809996591402E-2</v>
      </c>
      <c r="I3334">
        <v>6.7372110063838794E-2</v>
      </c>
      <c r="J3334">
        <v>8.2419558817223307E-2</v>
      </c>
      <c r="K3334">
        <v>4.7179503399695101E-2</v>
      </c>
      <c r="L3334">
        <v>657.16084479152198</v>
      </c>
      <c r="M3334">
        <v>14.541276204891201</v>
      </c>
      <c r="N3334">
        <v>45.565025425701101</v>
      </c>
      <c r="O3334">
        <v>44.363895169750201</v>
      </c>
      <c r="P3334">
        <v>-7.7362892766337593E-2</v>
      </c>
      <c r="Q3334">
        <v>5.6003922776862898E-2</v>
      </c>
      <c r="R3334">
        <v>0.96941430386997995</v>
      </c>
      <c r="S3334" t="s">
        <v>10004</v>
      </c>
      <c r="T3334" t="s">
        <v>13338</v>
      </c>
      <c r="U3334" t="s">
        <v>13338</v>
      </c>
      <c r="V3334" t="s">
        <v>13338</v>
      </c>
      <c r="W3334" t="s">
        <v>16625</v>
      </c>
      <c r="X3334">
        <v>2</v>
      </c>
      <c r="Y3334" t="s">
        <v>23162</v>
      </c>
      <c r="Z3334" t="s">
        <v>29749</v>
      </c>
      <c r="AA3334">
        <v>0.25110804918505641</v>
      </c>
      <c r="AB3334" t="str">
        <f>HYPERLINK("Melting_Curves/meltCurve_Q13506_NAB1.pdf", "Melting_Curves/meltCurve_Q13506_NAB1.pdf")</f>
        <v>Melting_Curves/meltCurve_Q13506_NAB1.pdf</v>
      </c>
    </row>
    <row r="3335" spans="1:28" x14ac:dyDescent="0.25">
      <c r="A3335" t="s">
        <v>3339</v>
      </c>
      <c r="B3335">
        <v>0.99193492352474899</v>
      </c>
      <c r="C3335">
        <v>1.29721729463221</v>
      </c>
      <c r="D3335">
        <v>1.2601433903407999</v>
      </c>
      <c r="E3335">
        <v>1.3118380317285201</v>
      </c>
      <c r="F3335">
        <v>1.21684076277967</v>
      </c>
      <c r="G3335">
        <v>0.851903909148084</v>
      </c>
      <c r="H3335">
        <v>0.45808315801103</v>
      </c>
      <c r="I3335">
        <v>0.133106145483149</v>
      </c>
      <c r="J3335">
        <v>0.159036531171692</v>
      </c>
      <c r="K3335">
        <v>0.13623524588392799</v>
      </c>
      <c r="L3335">
        <v>2387.0058744165699</v>
      </c>
      <c r="M3335">
        <v>39.887786496133302</v>
      </c>
      <c r="N3335">
        <v>60.272633276241201</v>
      </c>
      <c r="O3335">
        <v>59.693204388597302</v>
      </c>
      <c r="P3335">
        <v>-0.14638367981998299</v>
      </c>
      <c r="Q3335">
        <v>0.123732523203242</v>
      </c>
      <c r="R3335">
        <v>0.86756891765171396</v>
      </c>
      <c r="S3335" t="s">
        <v>10005</v>
      </c>
      <c r="T3335" t="s">
        <v>13338</v>
      </c>
      <c r="U3335" t="s">
        <v>13338</v>
      </c>
      <c r="V3335" t="s">
        <v>13338</v>
      </c>
      <c r="W3335" t="s">
        <v>16626</v>
      </c>
      <c r="X3335">
        <v>25</v>
      </c>
      <c r="Y3335" t="s">
        <v>23163</v>
      </c>
      <c r="Z3335" t="s">
        <v>29750</v>
      </c>
      <c r="AA3335">
        <v>0.70677683393170387</v>
      </c>
      <c r="AB3335" t="str">
        <f>HYPERLINK("Melting_Curves/meltCurve_Q13509_TUBB3.pdf", "Melting_Curves/meltCurve_Q13509_TUBB3.pdf")</f>
        <v>Melting_Curves/meltCurve_Q13509_TUBB3.pdf</v>
      </c>
    </row>
    <row r="3336" spans="1:28" x14ac:dyDescent="0.25">
      <c r="A3336" t="s">
        <v>3340</v>
      </c>
      <c r="B3336">
        <v>0.99193492352474899</v>
      </c>
      <c r="C3336">
        <v>1.0225810547393299</v>
      </c>
      <c r="D3336">
        <v>0.83645253681765797</v>
      </c>
      <c r="E3336">
        <v>0.56124816610780903</v>
      </c>
      <c r="F3336">
        <v>0.23103566744081</v>
      </c>
      <c r="G3336">
        <v>0.13118075743694299</v>
      </c>
      <c r="H3336">
        <v>7.9724453678285206E-2</v>
      </c>
      <c r="I3336">
        <v>9.7958958487188899E-2</v>
      </c>
      <c r="J3336">
        <v>9.2985623381718896E-2</v>
      </c>
      <c r="K3336">
        <v>0.14492924540735899</v>
      </c>
      <c r="L3336">
        <v>1182.38392783924</v>
      </c>
      <c r="M3336">
        <v>23.882086510029598</v>
      </c>
      <c r="N3336">
        <v>49.963479694594596</v>
      </c>
      <c r="O3336">
        <v>49.166026043392698</v>
      </c>
      <c r="P3336">
        <v>-0.10958757546428501</v>
      </c>
      <c r="Q3336">
        <v>9.7583251394737197E-2</v>
      </c>
      <c r="R3336">
        <v>0.99490291035617495</v>
      </c>
      <c r="S3336" t="s">
        <v>10006</v>
      </c>
      <c r="T3336" t="s">
        <v>13338</v>
      </c>
      <c r="U3336" t="s">
        <v>13338</v>
      </c>
      <c r="V3336" t="s">
        <v>13338</v>
      </c>
      <c r="W3336" t="s">
        <v>16627</v>
      </c>
      <c r="X3336">
        <v>6</v>
      </c>
      <c r="Y3336" t="s">
        <v>23164</v>
      </c>
      <c r="Z3336" t="s">
        <v>29751</v>
      </c>
      <c r="AA3336">
        <v>0.39243657654177527</v>
      </c>
      <c r="AB3336" t="str">
        <f>HYPERLINK("Melting_Curves/meltCurve_Q13526_PIN1.pdf", "Melting_Curves/meltCurve_Q13526_PIN1.pdf")</f>
        <v>Melting_Curves/meltCurve_Q13526_PIN1.pdf</v>
      </c>
    </row>
    <row r="3337" spans="1:28" x14ac:dyDescent="0.25">
      <c r="A3337" t="s">
        <v>3341</v>
      </c>
      <c r="B3337">
        <v>0.99193492352474899</v>
      </c>
      <c r="C3337">
        <v>1.1695412892988899</v>
      </c>
      <c r="D3337">
        <v>0.79878433331146703</v>
      </c>
      <c r="E3337">
        <v>0.85844660978109399</v>
      </c>
      <c r="F3337">
        <v>0.61876361872289498</v>
      </c>
      <c r="G3337">
        <v>0.46997271335075202</v>
      </c>
      <c r="H3337">
        <v>0.315074836497032</v>
      </c>
      <c r="I3337">
        <v>0.40534222857531099</v>
      </c>
      <c r="J3337">
        <v>0.33321999431645899</v>
      </c>
      <c r="K3337">
        <v>0.48770980547791798</v>
      </c>
      <c r="L3337">
        <v>1042.2593177747001</v>
      </c>
      <c r="M3337">
        <v>20.129930443751</v>
      </c>
      <c r="N3337">
        <v>55.646285134208497</v>
      </c>
      <c r="O3337">
        <v>51.273746985493801</v>
      </c>
      <c r="P3337">
        <v>-6.11800564793663E-2</v>
      </c>
      <c r="Q3337">
        <v>0.37668314921479501</v>
      </c>
      <c r="R3337">
        <v>0.89710550739773498</v>
      </c>
      <c r="S3337" t="s">
        <v>10007</v>
      </c>
      <c r="T3337" t="s">
        <v>13338</v>
      </c>
      <c r="U3337" t="s">
        <v>13338</v>
      </c>
      <c r="V3337" t="s">
        <v>13338</v>
      </c>
      <c r="W3337" t="s">
        <v>16628</v>
      </c>
      <c r="X3337">
        <v>6</v>
      </c>
      <c r="Y3337" t="s">
        <v>23165</v>
      </c>
      <c r="Z3337" t="s">
        <v>29752</v>
      </c>
      <c r="AA3337">
        <v>0.6299008415677948</v>
      </c>
      <c r="AB3337" t="str">
        <f>HYPERLINK("Melting_Curves/meltCurve_Q13541_EIF4EBP1.pdf", "Melting_Curves/meltCurve_Q13541_EIF4EBP1.pdf")</f>
        <v>Melting_Curves/meltCurve_Q13541_EIF4EBP1.pdf</v>
      </c>
    </row>
    <row r="3338" spans="1:28" x14ac:dyDescent="0.25">
      <c r="A3338" t="s">
        <v>3342</v>
      </c>
      <c r="B3338">
        <v>0.99193492352474899</v>
      </c>
      <c r="C3338">
        <v>0.82362131937531102</v>
      </c>
      <c r="D3338">
        <v>0.83085439113611204</v>
      </c>
      <c r="E3338">
        <v>0.71901566165072495</v>
      </c>
      <c r="F3338">
        <v>0.53992414987644299</v>
      </c>
      <c r="G3338">
        <v>0.29256883726698701</v>
      </c>
      <c r="H3338">
        <v>0.19057565830020001</v>
      </c>
      <c r="I3338">
        <v>0.20351039068823901</v>
      </c>
      <c r="J3338">
        <v>0.22164101195417199</v>
      </c>
      <c r="K3338">
        <v>0.34305567409094201</v>
      </c>
      <c r="L3338">
        <v>694.32467242892199</v>
      </c>
      <c r="M3338">
        <v>13.6653055147675</v>
      </c>
      <c r="N3338">
        <v>52.779099213173303</v>
      </c>
      <c r="O3338">
        <v>49.758309503030901</v>
      </c>
      <c r="P3338">
        <v>-5.4951437100206099E-2</v>
      </c>
      <c r="Q3338">
        <v>0.199756840969882</v>
      </c>
      <c r="R3338">
        <v>0.94155908238461306</v>
      </c>
      <c r="S3338" t="s">
        <v>10008</v>
      </c>
      <c r="T3338" t="s">
        <v>13338</v>
      </c>
      <c r="U3338" t="s">
        <v>13338</v>
      </c>
      <c r="V3338" t="s">
        <v>13338</v>
      </c>
      <c r="W3338" t="s">
        <v>16629</v>
      </c>
      <c r="X3338">
        <v>3</v>
      </c>
      <c r="Y3338" t="s">
        <v>23166</v>
      </c>
      <c r="Z3338" t="s">
        <v>29753</v>
      </c>
      <c r="AA3338">
        <v>0.50975185892242902</v>
      </c>
      <c r="AB3338" t="str">
        <f>HYPERLINK("Melting_Curves/meltCurve_Q13542_EIF4EBP2.pdf", "Melting_Curves/meltCurve_Q13542_EIF4EBP2.pdf")</f>
        <v>Melting_Curves/meltCurve_Q13542_EIF4EBP2.pdf</v>
      </c>
    </row>
    <row r="3339" spans="1:28" x14ac:dyDescent="0.25">
      <c r="A3339" t="s">
        <v>3343</v>
      </c>
      <c r="B3339">
        <v>0.99193492352474899</v>
      </c>
      <c r="C3339">
        <v>0.73337142778568098</v>
      </c>
      <c r="D3339">
        <v>0.849966031631601</v>
      </c>
      <c r="E3339">
        <v>0.44758492348576701</v>
      </c>
      <c r="F3339">
        <v>0.23566728317250199</v>
      </c>
      <c r="G3339">
        <v>0.109413292323239</v>
      </c>
      <c r="H3339">
        <v>6.2877225307455098E-2</v>
      </c>
      <c r="I3339">
        <v>5.7463163074541398E-2</v>
      </c>
      <c r="J3339">
        <v>5.9064807107988497E-2</v>
      </c>
      <c r="K3339">
        <v>6.3386338335128301E-2</v>
      </c>
      <c r="L3339">
        <v>750.38988628530103</v>
      </c>
      <c r="M3339">
        <v>15.344776854632</v>
      </c>
      <c r="N3339">
        <v>49.105380129604697</v>
      </c>
      <c r="O3339">
        <v>48.094013831937197</v>
      </c>
      <c r="P3339">
        <v>-7.7315535712834796E-2</v>
      </c>
      <c r="Q3339">
        <v>3.0791818368252299E-2</v>
      </c>
      <c r="R3339">
        <v>0.96456365767689001</v>
      </c>
      <c r="S3339" t="s">
        <v>10009</v>
      </c>
      <c r="T3339" t="s">
        <v>13338</v>
      </c>
      <c r="U3339" t="s">
        <v>13338</v>
      </c>
      <c r="V3339" t="s">
        <v>13338</v>
      </c>
      <c r="W3339" t="s">
        <v>16630</v>
      </c>
      <c r="X3339">
        <v>14</v>
      </c>
      <c r="Y3339" t="s">
        <v>23167</v>
      </c>
      <c r="Z3339" t="s">
        <v>29754</v>
      </c>
      <c r="AA3339">
        <v>0.34138184245625458</v>
      </c>
      <c r="AB3339" t="str">
        <f>HYPERLINK("Melting_Curves/meltCurve_Q13547_HDAC1.pdf", "Melting_Curves/meltCurve_Q13547_HDAC1.pdf")</f>
        <v>Melting_Curves/meltCurve_Q13547_HDAC1.pdf</v>
      </c>
    </row>
    <row r="3340" spans="1:28" x14ac:dyDescent="0.25">
      <c r="A3340" t="s">
        <v>3344</v>
      </c>
      <c r="B3340">
        <v>0.99193492352474899</v>
      </c>
      <c r="C3340">
        <v>0.74941503402901399</v>
      </c>
      <c r="D3340">
        <v>0.79041392232611096</v>
      </c>
      <c r="E3340">
        <v>0.46818598002797801</v>
      </c>
      <c r="F3340">
        <v>0.14375136508980099</v>
      </c>
      <c r="G3340">
        <v>8.4086876549507097E-2</v>
      </c>
      <c r="H3340">
        <v>6.58912106016072E-2</v>
      </c>
      <c r="I3340">
        <v>5.4343572282614598E-2</v>
      </c>
      <c r="J3340">
        <v>7.1880198666875297E-2</v>
      </c>
      <c r="K3340">
        <v>5.5383597334242703E-2</v>
      </c>
      <c r="L3340">
        <v>799.51348369573998</v>
      </c>
      <c r="M3340">
        <v>16.4997566535456</v>
      </c>
      <c r="N3340">
        <v>48.656234549216798</v>
      </c>
      <c r="O3340">
        <v>47.761082556915099</v>
      </c>
      <c r="P3340">
        <v>-8.3538155242918397E-2</v>
      </c>
      <c r="Q3340">
        <v>3.2811171954460899E-2</v>
      </c>
      <c r="R3340">
        <v>0.97020542820124001</v>
      </c>
      <c r="S3340" t="s">
        <v>10010</v>
      </c>
      <c r="T3340" t="s">
        <v>13338</v>
      </c>
      <c r="U3340" t="s">
        <v>13338</v>
      </c>
      <c r="V3340" t="s">
        <v>13338</v>
      </c>
      <c r="W3340" t="s">
        <v>16631</v>
      </c>
      <c r="X3340">
        <v>19</v>
      </c>
      <c r="Y3340" t="s">
        <v>23168</v>
      </c>
      <c r="Z3340" t="s">
        <v>29755</v>
      </c>
      <c r="AA3340">
        <v>0.32564643587580361</v>
      </c>
      <c r="AB3340" t="str">
        <f>HYPERLINK("Melting_Curves/meltCurve_Q13564_NAE1.pdf", "Melting_Curves/meltCurve_Q13564_NAE1.pdf")</f>
        <v>Melting_Curves/meltCurve_Q13564_NAE1.pdf</v>
      </c>
    </row>
    <row r="3341" spans="1:28" x14ac:dyDescent="0.25">
      <c r="A3341" t="s">
        <v>3345</v>
      </c>
      <c r="B3341">
        <v>0.99193492352474899</v>
      </c>
      <c r="C3341">
        <v>0.76525988814235701</v>
      </c>
      <c r="D3341">
        <v>0.95396275541578501</v>
      </c>
      <c r="E3341">
        <v>0.609100831567158</v>
      </c>
      <c r="F3341">
        <v>0.61775406016858003</v>
      </c>
      <c r="G3341">
        <v>0.36599685906003199</v>
      </c>
      <c r="H3341">
        <v>0.30491793303376202</v>
      </c>
      <c r="I3341">
        <v>0.19371616826142901</v>
      </c>
      <c r="J3341">
        <v>0.24743820643398901</v>
      </c>
      <c r="K3341">
        <v>0.17415673981508201</v>
      </c>
      <c r="L3341">
        <v>490.06044995438202</v>
      </c>
      <c r="M3341">
        <v>9.2253972733722094</v>
      </c>
      <c r="N3341">
        <v>54.208186776972802</v>
      </c>
      <c r="O3341">
        <v>50.803631499047398</v>
      </c>
      <c r="P3341">
        <v>-4.1590003802897797E-2</v>
      </c>
      <c r="Q3341">
        <v>8.4472168277179502E-2</v>
      </c>
      <c r="R3341">
        <v>0.93305979610971401</v>
      </c>
      <c r="S3341" t="s">
        <v>10011</v>
      </c>
      <c r="T3341" t="s">
        <v>13338</v>
      </c>
      <c r="U3341" t="s">
        <v>13338</v>
      </c>
      <c r="V3341" t="s">
        <v>13338</v>
      </c>
      <c r="W3341" t="s">
        <v>16632</v>
      </c>
      <c r="X3341">
        <v>1</v>
      </c>
      <c r="Y3341" t="s">
        <v>23169</v>
      </c>
      <c r="Z3341" t="s">
        <v>29756</v>
      </c>
      <c r="AA3341">
        <v>0.51791817859428468</v>
      </c>
      <c r="AB3341" t="str">
        <f>HYPERLINK("Melting_Curves/meltCurve_Q13571_LAPTM5.pdf", "Melting_Curves/meltCurve_Q13571_LAPTM5.pdf")</f>
        <v>Melting_Curves/meltCurve_Q13571_LAPTM5.pdf</v>
      </c>
    </row>
    <row r="3342" spans="1:28" x14ac:dyDescent="0.25">
      <c r="A3342" t="s">
        <v>3346</v>
      </c>
      <c r="B3342">
        <v>0.99193492352474899</v>
      </c>
      <c r="C3342">
        <v>1.00673534454945</v>
      </c>
      <c r="D3342">
        <v>0.95335893992980203</v>
      </c>
      <c r="E3342">
        <v>0.86334171195361897</v>
      </c>
      <c r="F3342">
        <v>0.53496726171978304</v>
      </c>
      <c r="G3342">
        <v>0.23324755605940201</v>
      </c>
      <c r="H3342">
        <v>0.111809661258058</v>
      </c>
      <c r="I3342">
        <v>0.117687729846523</v>
      </c>
      <c r="J3342">
        <v>0.152895952861998</v>
      </c>
      <c r="K3342">
        <v>0.13857784897848099</v>
      </c>
      <c r="L3342">
        <v>1421.3344161923701</v>
      </c>
      <c r="M3342">
        <v>26.891624118246099</v>
      </c>
      <c r="N3342">
        <v>53.405480133670999</v>
      </c>
      <c r="O3342">
        <v>52.5644836811082</v>
      </c>
      <c r="P3342">
        <v>-0.112398196847527</v>
      </c>
      <c r="Q3342">
        <v>0.121199425345272</v>
      </c>
      <c r="R3342">
        <v>0.99740100835121703</v>
      </c>
      <c r="S3342" t="s">
        <v>10012</v>
      </c>
      <c r="T3342" t="s">
        <v>13338</v>
      </c>
      <c r="U3342" t="s">
        <v>13338</v>
      </c>
      <c r="V3342" t="s">
        <v>13338</v>
      </c>
      <c r="W3342" t="s">
        <v>16633</v>
      </c>
      <c r="X3342">
        <v>7</v>
      </c>
      <c r="Y3342" t="s">
        <v>23170</v>
      </c>
      <c r="Z3342" t="s">
        <v>29757</v>
      </c>
      <c r="AA3342">
        <v>0.50477572314528418</v>
      </c>
      <c r="AB3342" t="str">
        <f>HYPERLINK("Melting_Curves/meltCurve_Q13572_ITPK1.pdf", "Melting_Curves/meltCurve_Q13572_ITPK1.pdf")</f>
        <v>Melting_Curves/meltCurve_Q13572_ITPK1.pdf</v>
      </c>
    </row>
    <row r="3343" spans="1:28" x14ac:dyDescent="0.25">
      <c r="A3343" t="s">
        <v>3347</v>
      </c>
      <c r="B3343">
        <v>0.99193492352474899</v>
      </c>
      <c r="C3343">
        <v>0.645619959986241</v>
      </c>
      <c r="D3343">
        <v>0.90925228947793701</v>
      </c>
      <c r="E3343">
        <v>0.63530708645445499</v>
      </c>
      <c r="F3343">
        <v>0.49053695477318199</v>
      </c>
      <c r="G3343">
        <v>0.27313505026858098</v>
      </c>
      <c r="H3343">
        <v>0.36028834661804798</v>
      </c>
      <c r="I3343">
        <v>0.45209474618620898</v>
      </c>
      <c r="J3343">
        <v>0.62331081281223599</v>
      </c>
      <c r="K3343">
        <v>0.80009800729740299</v>
      </c>
      <c r="L3343">
        <v>694.30517899090796</v>
      </c>
      <c r="M3343">
        <v>15.3822623146447</v>
      </c>
      <c r="O3343">
        <v>44.3945205350065</v>
      </c>
      <c r="P3343">
        <v>-4.3119536559337403E-2</v>
      </c>
      <c r="Q3343">
        <v>0.50225892730203603</v>
      </c>
      <c r="R3343">
        <v>0.43822011462785898</v>
      </c>
      <c r="S3343" t="s">
        <v>10013</v>
      </c>
      <c r="T3343" t="s">
        <v>13338</v>
      </c>
      <c r="U3343" t="s">
        <v>13338</v>
      </c>
      <c r="V3343" t="s">
        <v>13338</v>
      </c>
      <c r="W3343" t="s">
        <v>16634</v>
      </c>
      <c r="X3343">
        <v>27</v>
      </c>
      <c r="Y3343" t="s">
        <v>23171</v>
      </c>
      <c r="Z3343" t="s">
        <v>29758</v>
      </c>
      <c r="AA3343">
        <v>0.60242517044983057</v>
      </c>
      <c r="AB3343" t="str">
        <f>HYPERLINK("Melting_Curves/meltCurve_Q13573_SNW1.pdf", "Melting_Curves/meltCurve_Q13573_SNW1.pdf")</f>
        <v>Melting_Curves/meltCurve_Q13573_SNW1.pdf</v>
      </c>
    </row>
    <row r="3344" spans="1:28" x14ac:dyDescent="0.25">
      <c r="A3344" t="s">
        <v>3348</v>
      </c>
      <c r="B3344">
        <v>0.99193492352474899</v>
      </c>
      <c r="C3344">
        <v>1.1048780300823899</v>
      </c>
      <c r="D3344">
        <v>1.02509338556862</v>
      </c>
      <c r="E3344">
        <v>0.55565482610821804</v>
      </c>
      <c r="F3344">
        <v>0.294805537012785</v>
      </c>
      <c r="G3344">
        <v>0.199751517146674</v>
      </c>
      <c r="H3344">
        <v>0.12769273387313099</v>
      </c>
      <c r="I3344">
        <v>0.17236938249927</v>
      </c>
      <c r="J3344">
        <v>0.178613697159033</v>
      </c>
      <c r="K3344">
        <v>0.17098348687548801</v>
      </c>
      <c r="L3344">
        <v>1913.9081714660599</v>
      </c>
      <c r="M3344">
        <v>38.610236769085198</v>
      </c>
      <c r="N3344">
        <v>50.140803162087799</v>
      </c>
      <c r="O3344">
        <v>49.437556439320304</v>
      </c>
      <c r="P3344">
        <v>-0.16052481559849899</v>
      </c>
      <c r="Q3344">
        <v>0.17784135009825899</v>
      </c>
      <c r="R3344">
        <v>0.98427020981070301</v>
      </c>
      <c r="S3344" t="s">
        <v>10014</v>
      </c>
      <c r="T3344" t="s">
        <v>13338</v>
      </c>
      <c r="U3344" t="s">
        <v>13338</v>
      </c>
      <c r="V3344" t="s">
        <v>13338</v>
      </c>
      <c r="W3344" t="s">
        <v>16635</v>
      </c>
      <c r="X3344">
        <v>5</v>
      </c>
      <c r="Y3344" t="s">
        <v>23172</v>
      </c>
      <c r="Z3344" t="s">
        <v>29759</v>
      </c>
      <c r="AA3344">
        <v>0.44313659156356799</v>
      </c>
      <c r="AB3344" t="str">
        <f>HYPERLINK("Melting_Curves/meltCurve_Q13574_DGKZ.pdf", "Melting_Curves/meltCurve_Q13574_DGKZ.pdf")</f>
        <v>Melting_Curves/meltCurve_Q13574_DGKZ.pdf</v>
      </c>
    </row>
    <row r="3345" spans="1:28" x14ac:dyDescent="0.25">
      <c r="A3345" t="s">
        <v>3349</v>
      </c>
      <c r="B3345">
        <v>0.99193492352474899</v>
      </c>
      <c r="C3345">
        <v>0.93188060770996795</v>
      </c>
      <c r="D3345">
        <v>0.55106624941071103</v>
      </c>
      <c r="E3345">
        <v>0.21681787215983001</v>
      </c>
      <c r="F3345">
        <v>0.16162800850522999</v>
      </c>
      <c r="G3345">
        <v>0.102136245892938</v>
      </c>
      <c r="H3345">
        <v>6.4167810517289495E-2</v>
      </c>
      <c r="I3345">
        <v>6.58549472164527E-2</v>
      </c>
      <c r="J3345">
        <v>6.8787904230107E-2</v>
      </c>
      <c r="K3345">
        <v>6.3641809413893996E-2</v>
      </c>
      <c r="L3345">
        <v>1228.4150738395299</v>
      </c>
      <c r="M3345">
        <v>26.558593376902401</v>
      </c>
      <c r="N3345">
        <v>46.562205124659002</v>
      </c>
      <c r="O3345">
        <v>45.993174714381098</v>
      </c>
      <c r="P3345">
        <v>-0.13269324883199801</v>
      </c>
      <c r="Q3345">
        <v>8.0836981543216696E-2</v>
      </c>
      <c r="R3345">
        <v>0.99523923115020896</v>
      </c>
      <c r="S3345" t="s">
        <v>10015</v>
      </c>
      <c r="T3345" t="s">
        <v>13338</v>
      </c>
      <c r="U3345" t="s">
        <v>13338</v>
      </c>
      <c r="V3345" t="s">
        <v>13338</v>
      </c>
      <c r="W3345" t="s">
        <v>16636</v>
      </c>
      <c r="X3345">
        <v>26</v>
      </c>
      <c r="Y3345" t="s">
        <v>23173</v>
      </c>
      <c r="Z3345" t="s">
        <v>29760</v>
      </c>
      <c r="AA3345">
        <v>0.27973600234425328</v>
      </c>
      <c r="AB3345" t="str">
        <f>HYPERLINK("Melting_Curves/meltCurve_Q13576_IQGAP2.pdf", "Melting_Curves/meltCurve_Q13576_IQGAP2.pdf")</f>
        <v>Melting_Curves/meltCurve_Q13576_IQGAP2.pdf</v>
      </c>
    </row>
    <row r="3346" spans="1:28" x14ac:dyDescent="0.25">
      <c r="A3346" t="s">
        <v>3350</v>
      </c>
      <c r="B3346">
        <v>0.99193492352474899</v>
      </c>
      <c r="C3346">
        <v>0.95492617115739298</v>
      </c>
      <c r="D3346">
        <v>0.92847012360658299</v>
      </c>
      <c r="E3346">
        <v>0.48768677107436198</v>
      </c>
      <c r="F3346">
        <v>0.205574949048071</v>
      </c>
      <c r="G3346">
        <v>0.10730807354067599</v>
      </c>
      <c r="H3346">
        <v>6.4275293166823705E-2</v>
      </c>
      <c r="I3346">
        <v>0.10140799787879499</v>
      </c>
      <c r="J3346">
        <v>9.5647281525654507E-2</v>
      </c>
      <c r="K3346">
        <v>0.115439584924608</v>
      </c>
      <c r="L3346">
        <v>1491.5232518103501</v>
      </c>
      <c r="M3346">
        <v>30.274664000240598</v>
      </c>
      <c r="N3346">
        <v>49.614760666356197</v>
      </c>
      <c r="O3346">
        <v>49.052929199836697</v>
      </c>
      <c r="P3346">
        <v>-0.139523684415157</v>
      </c>
      <c r="Q3346">
        <v>9.5745220189292102E-2</v>
      </c>
      <c r="R3346">
        <v>0.99713896675448399</v>
      </c>
      <c r="S3346" t="s">
        <v>10016</v>
      </c>
      <c r="T3346" t="s">
        <v>13338</v>
      </c>
      <c r="U3346" t="s">
        <v>13338</v>
      </c>
      <c r="V3346" t="s">
        <v>13338</v>
      </c>
      <c r="W3346" t="s">
        <v>16637</v>
      </c>
      <c r="X3346">
        <v>14</v>
      </c>
      <c r="Y3346" t="s">
        <v>23174</v>
      </c>
      <c r="Z3346" t="s">
        <v>29761</v>
      </c>
      <c r="AA3346">
        <v>0.38047803307946793</v>
      </c>
      <c r="AB3346" t="str">
        <f>HYPERLINK("Melting_Curves/meltCurve_Q13586_STIM1.pdf", "Melting_Curves/meltCurve_Q13586_STIM1.pdf")</f>
        <v>Melting_Curves/meltCurve_Q13586_STIM1.pdf</v>
      </c>
    </row>
    <row r="3347" spans="1:28" x14ac:dyDescent="0.25">
      <c r="A3347" t="s">
        <v>3351</v>
      </c>
      <c r="B3347">
        <v>0.99193492352474899</v>
      </c>
      <c r="C3347">
        <v>0.56418997090131395</v>
      </c>
      <c r="D3347">
        <v>0.43535942030916702</v>
      </c>
      <c r="E3347">
        <v>0.18966290274293399</v>
      </c>
      <c r="F3347">
        <v>0.133664110503112</v>
      </c>
      <c r="G3347">
        <v>5.5751846404186602E-2</v>
      </c>
      <c r="H3347">
        <v>3.5608361577096903E-2</v>
      </c>
      <c r="I3347">
        <v>5.0872335902946202E-2</v>
      </c>
      <c r="J3347">
        <v>8.5134487080793103E-2</v>
      </c>
      <c r="K3347">
        <v>7.4176841224258397E-2</v>
      </c>
      <c r="L3347">
        <v>791.40124600643696</v>
      </c>
      <c r="M3347">
        <v>17.838230712163099</v>
      </c>
      <c r="N3347">
        <v>44.692621464091303</v>
      </c>
      <c r="O3347">
        <v>43.819165943307098</v>
      </c>
      <c r="P3347">
        <v>-9.5547521199226396E-2</v>
      </c>
      <c r="Q3347">
        <v>6.1207672752981598E-2</v>
      </c>
      <c r="R3347">
        <v>0.96758819912821104</v>
      </c>
      <c r="S3347" t="s">
        <v>10017</v>
      </c>
      <c r="T3347" t="s">
        <v>13338</v>
      </c>
      <c r="U3347" t="s">
        <v>13338</v>
      </c>
      <c r="V3347" t="s">
        <v>13338</v>
      </c>
      <c r="W3347" t="s">
        <v>16638</v>
      </c>
      <c r="X3347">
        <v>4</v>
      </c>
      <c r="Y3347" t="s">
        <v>23175</v>
      </c>
      <c r="Z3347" t="s">
        <v>29762</v>
      </c>
      <c r="AA3347">
        <v>0.22018902942578281</v>
      </c>
      <c r="AB3347" t="str">
        <f>HYPERLINK("Melting_Curves/meltCurve_Q13588_GRAP.pdf", "Melting_Curves/meltCurve_Q13588_GRAP.pdf")</f>
        <v>Melting_Curves/meltCurve_Q13588_GRAP.pdf</v>
      </c>
    </row>
    <row r="3348" spans="1:28" x14ac:dyDescent="0.25">
      <c r="A3348" t="s">
        <v>3352</v>
      </c>
      <c r="B3348">
        <v>0.99193492352474899</v>
      </c>
      <c r="C3348">
        <v>0.76732698416827605</v>
      </c>
      <c r="D3348">
        <v>0.80817142135195597</v>
      </c>
      <c r="E3348">
        <v>0.44401568587687201</v>
      </c>
      <c r="F3348">
        <v>0.172534808369909</v>
      </c>
      <c r="G3348">
        <v>8.8821242816514406E-2</v>
      </c>
      <c r="H3348">
        <v>6.4099327031965594E-2</v>
      </c>
      <c r="I3348">
        <v>8.2341075642820297E-2</v>
      </c>
      <c r="J3348">
        <v>7.6293108666612403E-2</v>
      </c>
      <c r="K3348">
        <v>8.1658711270655507E-2</v>
      </c>
      <c r="L3348">
        <v>852.01346276883203</v>
      </c>
      <c r="M3348">
        <v>17.599205631740102</v>
      </c>
      <c r="N3348">
        <v>48.721195979910398</v>
      </c>
      <c r="O3348">
        <v>47.799961004215803</v>
      </c>
      <c r="P3348">
        <v>-8.7187844825153502E-2</v>
      </c>
      <c r="Q3348">
        <v>5.2832050815174399E-2</v>
      </c>
      <c r="R3348">
        <v>0.97428388529141097</v>
      </c>
      <c r="S3348" t="s">
        <v>10018</v>
      </c>
      <c r="T3348" t="s">
        <v>13338</v>
      </c>
      <c r="U3348" t="s">
        <v>13338</v>
      </c>
      <c r="V3348" t="s">
        <v>13338</v>
      </c>
      <c r="W3348" t="s">
        <v>16639</v>
      </c>
      <c r="X3348">
        <v>19</v>
      </c>
      <c r="Y3348" t="s">
        <v>23176</v>
      </c>
      <c r="Z3348" t="s">
        <v>29763</v>
      </c>
      <c r="AA3348">
        <v>0.33581818674518299</v>
      </c>
      <c r="AB3348" t="str">
        <f>HYPERLINK("Melting_Curves/meltCurve_Q13596_SNX1.pdf", "Melting_Curves/meltCurve_Q13596_SNX1.pdf")</f>
        <v>Melting_Curves/meltCurve_Q13596_SNX1.pdf</v>
      </c>
    </row>
    <row r="3349" spans="1:28" x14ac:dyDescent="0.25">
      <c r="A3349" t="s">
        <v>3353</v>
      </c>
      <c r="B3349">
        <v>0.99193492352474899</v>
      </c>
      <c r="C3349">
        <v>1.33962266505593</v>
      </c>
      <c r="D3349">
        <v>1.3874352230995901</v>
      </c>
      <c r="E3349">
        <v>1.04360109377059</v>
      </c>
      <c r="F3349">
        <v>1.19381088178687</v>
      </c>
      <c r="G3349">
        <v>0.38819684094736601</v>
      </c>
      <c r="H3349">
        <v>0</v>
      </c>
      <c r="I3349">
        <v>0</v>
      </c>
      <c r="J3349">
        <v>0</v>
      </c>
      <c r="K3349">
        <v>0</v>
      </c>
      <c r="L3349">
        <v>14174.161805296701</v>
      </c>
      <c r="M3349">
        <v>250</v>
      </c>
      <c r="N3349">
        <v>56.696647218072698</v>
      </c>
      <c r="O3349">
        <v>56.692997093873103</v>
      </c>
      <c r="P3349">
        <v>-1.10242850030786</v>
      </c>
      <c r="Q3349">
        <v>0</v>
      </c>
      <c r="R3349">
        <v>0.90877344029623097</v>
      </c>
      <c r="S3349" t="s">
        <v>10019</v>
      </c>
      <c r="T3349" t="s">
        <v>13338</v>
      </c>
      <c r="U3349" t="s">
        <v>13338</v>
      </c>
      <c r="V3349" t="s">
        <v>13338</v>
      </c>
      <c r="W3349" t="s">
        <v>16640</v>
      </c>
      <c r="X3349">
        <v>1</v>
      </c>
      <c r="Y3349" t="s">
        <v>23177</v>
      </c>
      <c r="Z3349" t="s">
        <v>29764</v>
      </c>
      <c r="AA3349">
        <v>0.55665440910637232</v>
      </c>
      <c r="AB3349" t="str">
        <f>HYPERLINK("Melting_Curves/meltCurve_Q13608_PEX6.pdf", "Melting_Curves/meltCurve_Q13608_PEX6.pdf")</f>
        <v>Melting_Curves/meltCurve_Q13608_PEX6.pdf</v>
      </c>
    </row>
    <row r="3350" spans="1:28" x14ac:dyDescent="0.25">
      <c r="A3350" t="s">
        <v>3354</v>
      </c>
      <c r="B3350">
        <v>0.99193492352474899</v>
      </c>
      <c r="C3350">
        <v>1.0486948790128701</v>
      </c>
      <c r="D3350">
        <v>0.94984830178413504</v>
      </c>
      <c r="E3350">
        <v>0.94733770038281195</v>
      </c>
      <c r="F3350">
        <v>0.95492093252535704</v>
      </c>
      <c r="G3350">
        <v>0.96000479402379801</v>
      </c>
      <c r="H3350">
        <v>1.05318655330912</v>
      </c>
      <c r="I3350">
        <v>1.20672668044289</v>
      </c>
      <c r="J3350">
        <v>0.67041061483301001</v>
      </c>
      <c r="K3350">
        <v>0.383356587371807</v>
      </c>
      <c r="L3350">
        <v>15000</v>
      </c>
      <c r="M3350">
        <v>223.68480203339399</v>
      </c>
      <c r="N3350">
        <v>67.497698441273897</v>
      </c>
      <c r="O3350">
        <v>67.053281271316706</v>
      </c>
      <c r="P3350">
        <v>-0.51431629366499798</v>
      </c>
      <c r="Q3350">
        <v>0.38330012356279503</v>
      </c>
      <c r="R3350">
        <v>0.88048431825766804</v>
      </c>
      <c r="S3350" t="s">
        <v>10020</v>
      </c>
      <c r="T3350" t="s">
        <v>13338</v>
      </c>
      <c r="U3350" t="s">
        <v>13338</v>
      </c>
      <c r="V3350" t="s">
        <v>13338</v>
      </c>
      <c r="W3350" t="s">
        <v>16641</v>
      </c>
      <c r="X3350">
        <v>5</v>
      </c>
      <c r="Y3350" t="s">
        <v>23178</v>
      </c>
      <c r="Z3350" t="s">
        <v>29765</v>
      </c>
      <c r="AA3350">
        <v>0.9396256848475979</v>
      </c>
      <c r="AB3350" t="str">
        <f>HYPERLINK("Melting_Curves/meltCurve_Q13610_PWP1.pdf", "Melting_Curves/meltCurve_Q13610_PWP1.pdf")</f>
        <v>Melting_Curves/meltCurve_Q13610_PWP1.pdf</v>
      </c>
    </row>
    <row r="3351" spans="1:28" x14ac:dyDescent="0.25">
      <c r="A3351" t="s">
        <v>3355</v>
      </c>
      <c r="B3351">
        <v>0.99193492352474899</v>
      </c>
      <c r="C3351">
        <v>0.82531878796400304</v>
      </c>
      <c r="D3351">
        <v>0.91300700364896903</v>
      </c>
      <c r="E3351">
        <v>0.63688238745044401</v>
      </c>
      <c r="F3351">
        <v>0.31514106380773299</v>
      </c>
      <c r="G3351">
        <v>0.13145820373645201</v>
      </c>
      <c r="H3351">
        <v>7.4338976719699301E-2</v>
      </c>
      <c r="I3351">
        <v>8.0178323007321306E-2</v>
      </c>
      <c r="J3351">
        <v>8.2720843395427707E-2</v>
      </c>
      <c r="K3351">
        <v>0.103929726199084</v>
      </c>
      <c r="L3351">
        <v>1014.10742569872</v>
      </c>
      <c r="M3351">
        <v>20.073999341260901</v>
      </c>
      <c r="N3351">
        <v>50.884976101124202</v>
      </c>
      <c r="O3351">
        <v>50.025130004349798</v>
      </c>
      <c r="P3351">
        <v>-9.3569842506992906E-2</v>
      </c>
      <c r="Q3351">
        <v>6.7312253923461698E-2</v>
      </c>
      <c r="R3351">
        <v>0.98058268578813901</v>
      </c>
      <c r="S3351" t="s">
        <v>10021</v>
      </c>
      <c r="T3351" t="s">
        <v>13338</v>
      </c>
      <c r="U3351" t="s">
        <v>13338</v>
      </c>
      <c r="V3351" t="s">
        <v>13338</v>
      </c>
      <c r="W3351" t="s">
        <v>16642</v>
      </c>
      <c r="X3351">
        <v>8</v>
      </c>
      <c r="Y3351" t="s">
        <v>23179</v>
      </c>
      <c r="Z3351" t="s">
        <v>29766</v>
      </c>
      <c r="AA3351">
        <v>0.407198405907157</v>
      </c>
      <c r="AB3351" t="str">
        <f>HYPERLINK("Melting_Curves/meltCurve_Q13614_MTMR2.pdf", "Melting_Curves/meltCurve_Q13614_MTMR2.pdf")</f>
        <v>Melting_Curves/meltCurve_Q13614_MTMR2.pdf</v>
      </c>
    </row>
    <row r="3352" spans="1:28" x14ac:dyDescent="0.25">
      <c r="A3352" t="s">
        <v>3356</v>
      </c>
      <c r="B3352">
        <v>0.99193492352474899</v>
      </c>
      <c r="C3352">
        <v>1.1010306353252901</v>
      </c>
      <c r="D3352">
        <v>0.86088643045426705</v>
      </c>
      <c r="E3352">
        <v>0.71263805625627596</v>
      </c>
      <c r="F3352">
        <v>0.54082688411439905</v>
      </c>
      <c r="G3352">
        <v>0.20849815553902201</v>
      </c>
      <c r="H3352">
        <v>0.11814845956470001</v>
      </c>
      <c r="I3352">
        <v>0.15790800734593399</v>
      </c>
      <c r="J3352">
        <v>0.13581754183414599</v>
      </c>
      <c r="K3352">
        <v>0.27383326286922799</v>
      </c>
      <c r="L3352">
        <v>1036.7117804895599</v>
      </c>
      <c r="M3352">
        <v>20.080726194603699</v>
      </c>
      <c r="N3352">
        <v>52.581245765700601</v>
      </c>
      <c r="O3352">
        <v>51.123384826043797</v>
      </c>
      <c r="P3352">
        <v>-8.3207750640534206E-2</v>
      </c>
      <c r="Q3352">
        <v>0.152674945612677</v>
      </c>
      <c r="R3352">
        <v>0.96154772639498898</v>
      </c>
      <c r="S3352" t="s">
        <v>10022</v>
      </c>
      <c r="T3352" t="s">
        <v>13338</v>
      </c>
      <c r="U3352" t="s">
        <v>13338</v>
      </c>
      <c r="V3352" t="s">
        <v>13338</v>
      </c>
      <c r="W3352" t="s">
        <v>16643</v>
      </c>
      <c r="X3352">
        <v>4</v>
      </c>
      <c r="Y3352" t="s">
        <v>23180</v>
      </c>
      <c r="Z3352" t="s">
        <v>29767</v>
      </c>
      <c r="AA3352">
        <v>0.49273172121566172</v>
      </c>
      <c r="AB3352" t="str">
        <f>HYPERLINK("Melting_Curves/meltCurve_Q13615_3_MTMR3.pdf", "Melting_Curves/meltCurve_Q13615_3_MTMR3.pdf")</f>
        <v>Melting_Curves/meltCurve_Q13615_3_MTMR3.pdf</v>
      </c>
    </row>
    <row r="3353" spans="1:28" x14ac:dyDescent="0.25">
      <c r="A3353" t="s">
        <v>3357</v>
      </c>
      <c r="B3353">
        <v>0.99193492352474899</v>
      </c>
      <c r="C3353">
        <v>0.95685163769909398</v>
      </c>
      <c r="D3353">
        <v>1.1320489726496701</v>
      </c>
      <c r="E3353">
        <v>1.00097420518352</v>
      </c>
      <c r="F3353">
        <v>1.06408630695916</v>
      </c>
      <c r="G3353">
        <v>0.771233251164824</v>
      </c>
      <c r="H3353">
        <v>0.25925366018491203</v>
      </c>
      <c r="I3353">
        <v>0.119164176957559</v>
      </c>
      <c r="J3353">
        <v>0.13108082062999901</v>
      </c>
      <c r="K3353">
        <v>0.14469704297295699</v>
      </c>
      <c r="L3353">
        <v>2604.8156640043699</v>
      </c>
      <c r="M3353">
        <v>44.746251611569299</v>
      </c>
      <c r="N3353">
        <v>58.607146334821302</v>
      </c>
      <c r="O3353">
        <v>58.097145875871902</v>
      </c>
      <c r="P3353">
        <v>-0.16753339918096399</v>
      </c>
      <c r="Q3353">
        <v>0.12992060575651301</v>
      </c>
      <c r="R3353">
        <v>0.98446817214701299</v>
      </c>
      <c r="S3353" t="s">
        <v>10023</v>
      </c>
      <c r="T3353" t="s">
        <v>13338</v>
      </c>
      <c r="U3353" t="s">
        <v>13338</v>
      </c>
      <c r="V3353" t="s">
        <v>13338</v>
      </c>
      <c r="W3353" t="s">
        <v>16644</v>
      </c>
      <c r="X3353">
        <v>28</v>
      </c>
      <c r="Y3353" t="s">
        <v>23181</v>
      </c>
      <c r="Z3353" t="s">
        <v>29768</v>
      </c>
      <c r="AA3353">
        <v>0.66090988793185013</v>
      </c>
      <c r="AB3353" t="str">
        <f>HYPERLINK("Melting_Curves/meltCurve_Q13616_CUL1.pdf", "Melting_Curves/meltCurve_Q13616_CUL1.pdf")</f>
        <v>Melting_Curves/meltCurve_Q13616_CUL1.pdf</v>
      </c>
    </row>
    <row r="3354" spans="1:28" x14ac:dyDescent="0.25">
      <c r="A3354" t="s">
        <v>3358</v>
      </c>
      <c r="B3354">
        <v>0.99193492352474899</v>
      </c>
      <c r="C3354">
        <v>1.0173535662958999</v>
      </c>
      <c r="D3354">
        <v>0.94650442894466702</v>
      </c>
      <c r="E3354">
        <v>0.87231040203359</v>
      </c>
      <c r="F3354">
        <v>0.44158060030403801</v>
      </c>
      <c r="G3354">
        <v>0.135823303844718</v>
      </c>
      <c r="H3354">
        <v>8.1792653338961505E-2</v>
      </c>
      <c r="I3354">
        <v>9.0726477733915803E-2</v>
      </c>
      <c r="J3354">
        <v>0.103068428726782</v>
      </c>
      <c r="K3354">
        <v>8.5286993037415201E-2</v>
      </c>
      <c r="L3354">
        <v>1702.30327087769</v>
      </c>
      <c r="M3354">
        <v>32.482330709302403</v>
      </c>
      <c r="N3354">
        <v>52.705509373139797</v>
      </c>
      <c r="O3354">
        <v>52.209635525812999</v>
      </c>
      <c r="P3354">
        <v>-0.14247274764328999</v>
      </c>
      <c r="Q3354">
        <v>8.4005051318706003E-2</v>
      </c>
      <c r="R3354">
        <v>0.99808254607664704</v>
      </c>
      <c r="S3354" t="s">
        <v>10024</v>
      </c>
      <c r="T3354" t="s">
        <v>13338</v>
      </c>
      <c r="U3354" t="s">
        <v>13338</v>
      </c>
      <c r="V3354" t="s">
        <v>13338</v>
      </c>
      <c r="W3354" t="s">
        <v>16645</v>
      </c>
      <c r="X3354">
        <v>28</v>
      </c>
      <c r="Y3354" t="s">
        <v>23182</v>
      </c>
      <c r="Z3354" t="s">
        <v>29769</v>
      </c>
      <c r="AA3354">
        <v>0.46786220780136151</v>
      </c>
      <c r="AB3354" t="str">
        <f>HYPERLINK("Melting_Curves/meltCurve_Q13617_CUL2.pdf", "Melting_Curves/meltCurve_Q13617_CUL2.pdf")</f>
        <v>Melting_Curves/meltCurve_Q13617_CUL2.pdf</v>
      </c>
    </row>
    <row r="3355" spans="1:28" x14ac:dyDescent="0.25">
      <c r="A3355" t="s">
        <v>3359</v>
      </c>
      <c r="B3355">
        <v>0.99193492352474899</v>
      </c>
      <c r="C3355">
        <v>0.899094557413326</v>
      </c>
      <c r="D3355">
        <v>0.99592644596263102</v>
      </c>
      <c r="E3355">
        <v>0.86465062566665296</v>
      </c>
      <c r="F3355">
        <v>0.61179107065110105</v>
      </c>
      <c r="G3355">
        <v>0.131735134110571</v>
      </c>
      <c r="H3355">
        <v>7.0804867085662901E-2</v>
      </c>
      <c r="I3355">
        <v>8.5447339252988599E-2</v>
      </c>
      <c r="J3355">
        <v>0.10160504596403799</v>
      </c>
      <c r="K3355">
        <v>9.0405531489836904E-2</v>
      </c>
      <c r="L3355">
        <v>1847.6185545374999</v>
      </c>
      <c r="M3355">
        <v>34.577993187281002</v>
      </c>
      <c r="N3355">
        <v>53.686099295105798</v>
      </c>
      <c r="O3355">
        <v>53.255595171921698</v>
      </c>
      <c r="P3355">
        <v>-0.150129233124633</v>
      </c>
      <c r="Q3355">
        <v>7.5112080485112503E-2</v>
      </c>
      <c r="R3355">
        <v>0.98686935550717703</v>
      </c>
      <c r="S3355" t="s">
        <v>10025</v>
      </c>
      <c r="T3355" t="s">
        <v>13338</v>
      </c>
      <c r="U3355" t="s">
        <v>13338</v>
      </c>
      <c r="V3355" t="s">
        <v>13338</v>
      </c>
      <c r="W3355" t="s">
        <v>16646</v>
      </c>
      <c r="X3355">
        <v>33</v>
      </c>
      <c r="Y3355" t="s">
        <v>23183</v>
      </c>
      <c r="Z3355" t="s">
        <v>29770</v>
      </c>
      <c r="AA3355">
        <v>0.49381932030168801</v>
      </c>
      <c r="AB3355" t="str">
        <f>HYPERLINK("Melting_Curves/meltCurve_Q13618_CUL3.pdf", "Melting_Curves/meltCurve_Q13618_CUL3.pdf")</f>
        <v>Melting_Curves/meltCurve_Q13618_CUL3.pdf</v>
      </c>
    </row>
    <row r="3356" spans="1:28" x14ac:dyDescent="0.25">
      <c r="A3356" t="s">
        <v>3360</v>
      </c>
      <c r="B3356">
        <v>0.99193492352474899</v>
      </c>
      <c r="C3356">
        <v>0.76242367365274599</v>
      </c>
      <c r="D3356">
        <v>0.97201872435146797</v>
      </c>
      <c r="E3356">
        <v>0.53011839539499594</v>
      </c>
      <c r="F3356">
        <v>0.14858190888563899</v>
      </c>
      <c r="G3356">
        <v>0.106772375802479</v>
      </c>
      <c r="H3356">
        <v>7.1706800721850206E-2</v>
      </c>
      <c r="I3356">
        <v>8.3971861931522104E-2</v>
      </c>
      <c r="J3356">
        <v>0.118309735562835</v>
      </c>
      <c r="K3356">
        <v>8.69774576746149E-2</v>
      </c>
      <c r="L3356">
        <v>1828.96393115765</v>
      </c>
      <c r="M3356">
        <v>36.940377628522903</v>
      </c>
      <c r="N3356">
        <v>49.780281731994201</v>
      </c>
      <c r="O3356">
        <v>49.366814826583798</v>
      </c>
      <c r="P3356">
        <v>-0.170143341938642</v>
      </c>
      <c r="Q3356">
        <v>9.0489978209035093E-2</v>
      </c>
      <c r="R3356">
        <v>0.958083881327779</v>
      </c>
      <c r="S3356" t="s">
        <v>10026</v>
      </c>
      <c r="T3356" t="s">
        <v>13338</v>
      </c>
      <c r="U3356" t="s">
        <v>13338</v>
      </c>
      <c r="V3356" t="s">
        <v>13338</v>
      </c>
      <c r="W3356" t="s">
        <v>16647</v>
      </c>
      <c r="X3356">
        <v>25</v>
      </c>
      <c r="Y3356" t="s">
        <v>23184</v>
      </c>
      <c r="Z3356" t="s">
        <v>29771</v>
      </c>
      <c r="AA3356">
        <v>0.38250071819441339</v>
      </c>
      <c r="AB3356" t="str">
        <f>HYPERLINK("Melting_Curves/meltCurve_Q13619_CUL4A.pdf", "Melting_Curves/meltCurve_Q13619_CUL4A.pdf")</f>
        <v>Melting_Curves/meltCurve_Q13619_CUL4A.pdf</v>
      </c>
    </row>
    <row r="3357" spans="1:28" x14ac:dyDescent="0.25">
      <c r="A3357" t="s">
        <v>3361</v>
      </c>
      <c r="B3357">
        <v>0.99193492352474899</v>
      </c>
      <c r="C3357">
        <v>0.586902000516492</v>
      </c>
      <c r="D3357">
        <v>0.49702550125195699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932.68111477888101</v>
      </c>
      <c r="M3357">
        <v>20.8645039511817</v>
      </c>
      <c r="N3357">
        <v>44.7018111142336</v>
      </c>
      <c r="O3357">
        <v>44.297249850670603</v>
      </c>
      <c r="P3357">
        <v>-0.117756058340254</v>
      </c>
      <c r="Q3357">
        <v>0</v>
      </c>
      <c r="R3357">
        <v>0.953681262200893</v>
      </c>
      <c r="S3357" t="s">
        <v>10027</v>
      </c>
      <c r="T3357" t="s">
        <v>13338</v>
      </c>
      <c r="U3357" t="s">
        <v>13338</v>
      </c>
      <c r="V3357" t="s">
        <v>13338</v>
      </c>
      <c r="W3357" t="s">
        <v>16648</v>
      </c>
      <c r="X3357">
        <v>3</v>
      </c>
      <c r="Y3357" t="s">
        <v>23185</v>
      </c>
      <c r="Z3357" t="s">
        <v>29772</v>
      </c>
      <c r="AA3357">
        <v>0.1726177455790352</v>
      </c>
      <c r="AB3357" t="str">
        <f>HYPERLINK("Melting_Curves/meltCurve_Q13625_2_TP53BP2.pdf", "Melting_Curves/meltCurve_Q13625_2_TP53BP2.pdf")</f>
        <v>Melting_Curves/meltCurve_Q13625_2_TP53BP2.pdf</v>
      </c>
    </row>
    <row r="3358" spans="1:28" x14ac:dyDescent="0.25">
      <c r="A3358" t="s">
        <v>3362</v>
      </c>
      <c r="B3358">
        <v>0.99193492352474899</v>
      </c>
      <c r="C3358">
        <v>0.93490374691375999</v>
      </c>
      <c r="D3358">
        <v>0.84340302286781299</v>
      </c>
      <c r="E3358">
        <v>0.74650817264359004</v>
      </c>
      <c r="F3358">
        <v>0.349386143088523</v>
      </c>
      <c r="G3358">
        <v>0.13384756312255999</v>
      </c>
      <c r="H3358">
        <v>6.4455810865040097E-2</v>
      </c>
      <c r="I3358">
        <v>9.8367831613834694E-2</v>
      </c>
      <c r="J3358">
        <v>0.11013070269828699</v>
      </c>
      <c r="K3358">
        <v>0.13366269106818199</v>
      </c>
      <c r="L3358">
        <v>1160.76841976891</v>
      </c>
      <c r="M3358">
        <v>22.708713217766501</v>
      </c>
      <c r="N3358">
        <v>51.541913414809201</v>
      </c>
      <c r="O3358">
        <v>50.724101667940701</v>
      </c>
      <c r="P3358">
        <v>-0.102340721245318</v>
      </c>
      <c r="Q3358">
        <v>8.5630181955716797E-2</v>
      </c>
      <c r="R3358">
        <v>0.98584157704623199</v>
      </c>
      <c r="S3358" t="s">
        <v>10028</v>
      </c>
      <c r="T3358" t="s">
        <v>13338</v>
      </c>
      <c r="U3358" t="s">
        <v>13338</v>
      </c>
      <c r="V3358" t="s">
        <v>13338</v>
      </c>
      <c r="W3358" t="s">
        <v>16649</v>
      </c>
      <c r="X3358">
        <v>13</v>
      </c>
      <c r="Y3358" t="s">
        <v>23186</v>
      </c>
      <c r="Z3358" t="s">
        <v>29773</v>
      </c>
      <c r="AA3358">
        <v>0.43439325223783298</v>
      </c>
      <c r="AB3358" t="str">
        <f>HYPERLINK("Melting_Curves/meltCurve_Q13627_2_DYRK1A.pdf", "Melting_Curves/meltCurve_Q13627_2_DYRK1A.pdf")</f>
        <v>Melting_Curves/meltCurve_Q13627_2_DYRK1A.pdf</v>
      </c>
    </row>
    <row r="3359" spans="1:28" x14ac:dyDescent="0.25">
      <c r="A3359" t="s">
        <v>3363</v>
      </c>
      <c r="B3359">
        <v>0.99193492352474899</v>
      </c>
      <c r="C3359">
        <v>0.95335624192695501</v>
      </c>
      <c r="D3359">
        <v>0.86546072163165699</v>
      </c>
      <c r="E3359">
        <v>0.84092090118262197</v>
      </c>
      <c r="F3359">
        <v>0.66908455453661697</v>
      </c>
      <c r="G3359">
        <v>0.51499533055838198</v>
      </c>
      <c r="H3359">
        <v>0.19779805350978699</v>
      </c>
      <c r="I3359">
        <v>9.2173143709084804E-2</v>
      </c>
      <c r="J3359">
        <v>9.6763849349562697E-2</v>
      </c>
      <c r="K3359">
        <v>8.0705240079349205E-2</v>
      </c>
      <c r="L3359">
        <v>761.05112509503999</v>
      </c>
      <c r="M3359">
        <v>13.6352519880469</v>
      </c>
      <c r="N3359">
        <v>55.8149659988661</v>
      </c>
      <c r="O3359">
        <v>54.655483894996401</v>
      </c>
      <c r="P3359">
        <v>-6.2378242991715002E-2</v>
      </c>
      <c r="Q3359">
        <v>0</v>
      </c>
      <c r="R3359">
        <v>0.98522834704495799</v>
      </c>
      <c r="S3359" t="s">
        <v>10029</v>
      </c>
      <c r="T3359" t="s">
        <v>13338</v>
      </c>
      <c r="U3359" t="s">
        <v>13338</v>
      </c>
      <c r="V3359" t="s">
        <v>13338</v>
      </c>
      <c r="W3359" t="s">
        <v>16650</v>
      </c>
      <c r="X3359">
        <v>15</v>
      </c>
      <c r="Y3359" t="s">
        <v>20794</v>
      </c>
      <c r="Z3359" t="s">
        <v>29774</v>
      </c>
      <c r="AA3359">
        <v>0.54665137499604355</v>
      </c>
      <c r="AB3359" t="str">
        <f>HYPERLINK("Melting_Curves/meltCurve_Q13630_TSTA3.pdf", "Melting_Curves/meltCurve_Q13630_TSTA3.pdf")</f>
        <v>Melting_Curves/meltCurve_Q13630_TSTA3.pdf</v>
      </c>
    </row>
    <row r="3360" spans="1:28" x14ac:dyDescent="0.25">
      <c r="A3360" t="s">
        <v>3364</v>
      </c>
      <c r="B3360">
        <v>0.99193492352474899</v>
      </c>
      <c r="C3360">
        <v>0.747102126932635</v>
      </c>
      <c r="D3360">
        <v>0.99782575674589502</v>
      </c>
      <c r="E3360">
        <v>0.80310587379198195</v>
      </c>
      <c r="F3360">
        <v>0.74958406038002301</v>
      </c>
      <c r="G3360">
        <v>0.55991253127866702</v>
      </c>
      <c r="H3360">
        <v>0.52503018982027305</v>
      </c>
      <c r="I3360">
        <v>0.49773704674046698</v>
      </c>
      <c r="J3360">
        <v>0.55722254143825301</v>
      </c>
      <c r="K3360">
        <v>0.81836734799696398</v>
      </c>
      <c r="L3360">
        <v>724.90901267152901</v>
      </c>
      <c r="M3360">
        <v>14.645738332676199</v>
      </c>
      <c r="O3360">
        <v>48.600922586241303</v>
      </c>
      <c r="P3360">
        <v>-3.1367866695057603E-2</v>
      </c>
      <c r="Q3360">
        <v>0.58367734025451801</v>
      </c>
      <c r="R3360">
        <v>0.55915261356979395</v>
      </c>
      <c r="S3360" t="s">
        <v>10030</v>
      </c>
      <c r="T3360" t="s">
        <v>13338</v>
      </c>
      <c r="U3360" t="s">
        <v>13338</v>
      </c>
      <c r="V3360" t="s">
        <v>13338</v>
      </c>
      <c r="W3360" t="s">
        <v>16651</v>
      </c>
      <c r="X3360">
        <v>17</v>
      </c>
      <c r="Y3360" t="s">
        <v>23187</v>
      </c>
      <c r="Z3360" t="s">
        <v>29775</v>
      </c>
      <c r="AA3360">
        <v>0.72600391240033368</v>
      </c>
      <c r="AB3360" t="str">
        <f>HYPERLINK("Melting_Curves/meltCurve_Q13642_1_FHL1.pdf", "Melting_Curves/meltCurve_Q13642_1_FHL1.pdf")</f>
        <v>Melting_Curves/meltCurve_Q13642_1_FHL1.pdf</v>
      </c>
    </row>
    <row r="3361" spans="1:28" x14ac:dyDescent="0.25">
      <c r="A3361" t="s">
        <v>3365</v>
      </c>
      <c r="B3361">
        <v>0.99193492352474899</v>
      </c>
      <c r="C3361">
        <v>0.88887773518145097</v>
      </c>
      <c r="D3361">
        <v>0.83179049962377705</v>
      </c>
      <c r="E3361">
        <v>0.62275825305356203</v>
      </c>
      <c r="F3361">
        <v>0.56305531007124598</v>
      </c>
      <c r="G3361">
        <v>0.32868552510235099</v>
      </c>
      <c r="H3361">
        <v>0.213367387418268</v>
      </c>
      <c r="I3361">
        <v>0.27522084859344798</v>
      </c>
      <c r="J3361">
        <v>0.33663403519991297</v>
      </c>
      <c r="K3361">
        <v>0.450093065761485</v>
      </c>
      <c r="L3361">
        <v>766.92051110622003</v>
      </c>
      <c r="M3361">
        <v>15.5707605401567</v>
      </c>
      <c r="N3361">
        <v>52.435163732215997</v>
      </c>
      <c r="O3361">
        <v>48.462939651102097</v>
      </c>
      <c r="P3361">
        <v>-5.5781213033198697E-2</v>
      </c>
      <c r="Q3361">
        <v>0.30559955680967099</v>
      </c>
      <c r="R3361">
        <v>0.92493786013955803</v>
      </c>
      <c r="S3361" t="s">
        <v>10031</v>
      </c>
      <c r="T3361" t="s">
        <v>13338</v>
      </c>
      <c r="U3361" t="s">
        <v>13338</v>
      </c>
      <c r="V3361" t="s">
        <v>13338</v>
      </c>
      <c r="W3361" t="s">
        <v>16652</v>
      </c>
      <c r="X3361">
        <v>5</v>
      </c>
      <c r="Y3361" t="s">
        <v>23188</v>
      </c>
      <c r="Z3361" t="s">
        <v>29776</v>
      </c>
      <c r="AA3361">
        <v>0.53563262489190255</v>
      </c>
      <c r="AB3361" t="str">
        <f>HYPERLINK("Melting_Curves/meltCurve_Q13643_FHL3.pdf", "Melting_Curves/meltCurve_Q13643_FHL3.pdf")</f>
        <v>Melting_Curves/meltCurve_Q13643_FHL3.pdf</v>
      </c>
    </row>
    <row r="3362" spans="1:28" x14ac:dyDescent="0.25">
      <c r="A3362" t="s">
        <v>3366</v>
      </c>
      <c r="B3362">
        <v>0.99193492352474899</v>
      </c>
      <c r="C3362">
        <v>0.74121624278860099</v>
      </c>
      <c r="D3362">
        <v>0.84850394080012503</v>
      </c>
      <c r="E3362">
        <v>0.454468743939071</v>
      </c>
      <c r="F3362">
        <v>0.27271756500621303</v>
      </c>
      <c r="G3362">
        <v>0.114211013783531</v>
      </c>
      <c r="H3362">
        <v>6.08252929308385E-2</v>
      </c>
      <c r="I3362">
        <v>6.5729145316318599E-2</v>
      </c>
      <c r="J3362">
        <v>0.149163207225365</v>
      </c>
      <c r="K3362">
        <v>0.109593630449685</v>
      </c>
      <c r="L3362">
        <v>781.68749049925702</v>
      </c>
      <c r="M3362">
        <v>16.043256996271499</v>
      </c>
      <c r="N3362">
        <v>49.195853947173397</v>
      </c>
      <c r="O3362">
        <v>47.985577570635499</v>
      </c>
      <c r="P3362">
        <v>-7.7626300813988094E-2</v>
      </c>
      <c r="Q3362">
        <v>7.1347214719017699E-2</v>
      </c>
      <c r="R3362">
        <v>0.95661831530345398</v>
      </c>
      <c r="S3362" t="s">
        <v>10032</v>
      </c>
      <c r="T3362" t="s">
        <v>13338</v>
      </c>
      <c r="U3362" t="s">
        <v>13338</v>
      </c>
      <c r="V3362" t="s">
        <v>13338</v>
      </c>
      <c r="W3362" t="s">
        <v>16653</v>
      </c>
      <c r="X3362">
        <v>4</v>
      </c>
      <c r="Y3362" t="s">
        <v>23189</v>
      </c>
      <c r="Z3362" t="s">
        <v>29777</v>
      </c>
      <c r="AA3362">
        <v>0.36173049793016071</v>
      </c>
      <c r="AB3362" t="str">
        <f>HYPERLINK("Melting_Curves/meltCurve_Q13686_ALKBH1.pdf", "Melting_Curves/meltCurve_Q13686_ALKBH1.pdf")</f>
        <v>Melting_Curves/meltCurve_Q13686_ALKBH1.pdf</v>
      </c>
    </row>
    <row r="3363" spans="1:28" x14ac:dyDescent="0.25">
      <c r="A3363" t="s">
        <v>3367</v>
      </c>
      <c r="B3363">
        <v>0.99193492352474899</v>
      </c>
      <c r="C3363">
        <v>0.642913313702002</v>
      </c>
      <c r="D3363">
        <v>1.0302822142111101</v>
      </c>
      <c r="E3363">
        <v>0.62997059098206798</v>
      </c>
      <c r="F3363">
        <v>0.27422524759567901</v>
      </c>
      <c r="G3363">
        <v>0.113537953690559</v>
      </c>
      <c r="H3363">
        <v>6.1418991489008999E-2</v>
      </c>
      <c r="I3363">
        <v>6.8559633127747002E-2</v>
      </c>
      <c r="J3363">
        <v>8.37433594760425E-2</v>
      </c>
      <c r="K3363">
        <v>7.8187685676594995E-2</v>
      </c>
      <c r="L3363">
        <v>1296.1269504281099</v>
      </c>
      <c r="M3363">
        <v>25.646410130938602</v>
      </c>
      <c r="N3363">
        <v>50.825071337803699</v>
      </c>
      <c r="O3363">
        <v>50.234071865419899</v>
      </c>
      <c r="P3363">
        <v>-0.11903941831352299</v>
      </c>
      <c r="Q3363">
        <v>6.7352982795781904E-2</v>
      </c>
      <c r="R3363">
        <v>0.90505469396846105</v>
      </c>
      <c r="S3363" t="s">
        <v>10033</v>
      </c>
      <c r="T3363" t="s">
        <v>13338</v>
      </c>
      <c r="U3363" t="s">
        <v>13338</v>
      </c>
      <c r="V3363" t="s">
        <v>13338</v>
      </c>
      <c r="W3363" t="s">
        <v>16654</v>
      </c>
      <c r="X3363">
        <v>15</v>
      </c>
      <c r="Y3363" t="s">
        <v>23190</v>
      </c>
      <c r="Z3363" t="s">
        <v>29778</v>
      </c>
      <c r="AA3363">
        <v>0.40293930189839411</v>
      </c>
      <c r="AB3363" t="str">
        <f>HYPERLINK("Melting_Curves/meltCurve_Q13724_MOGS.pdf", "Melting_Curves/meltCurve_Q13724_MOGS.pdf")</f>
        <v>Melting_Curves/meltCurve_Q13724_MOGS.pdf</v>
      </c>
    </row>
    <row r="3364" spans="1:28" x14ac:dyDescent="0.25">
      <c r="A3364" t="s">
        <v>3368</v>
      </c>
      <c r="B3364">
        <v>0.99193492352474899</v>
      </c>
      <c r="C3364">
        <v>0.95875230039820603</v>
      </c>
      <c r="D3364">
        <v>0.97084264376907203</v>
      </c>
      <c r="E3364">
        <v>0.86261232941155097</v>
      </c>
      <c r="F3364">
        <v>0.77331904887757796</v>
      </c>
      <c r="G3364">
        <v>0.59126426173139202</v>
      </c>
      <c r="H3364">
        <v>0.50215997595239004</v>
      </c>
      <c r="I3364">
        <v>0.57177277621186195</v>
      </c>
      <c r="J3364">
        <v>0.70543460050684403</v>
      </c>
      <c r="K3364">
        <v>0.82692316911639996</v>
      </c>
      <c r="L3364">
        <v>1413.1987115345501</v>
      </c>
      <c r="M3364">
        <v>27.837303158853</v>
      </c>
      <c r="O3364">
        <v>50.506532959833002</v>
      </c>
      <c r="P3364">
        <v>-4.9206627951964801E-2</v>
      </c>
      <c r="Q3364">
        <v>0.64289138623888498</v>
      </c>
      <c r="R3364">
        <v>0.74224139571713899</v>
      </c>
      <c r="S3364" t="s">
        <v>10034</v>
      </c>
      <c r="T3364" t="s">
        <v>13338</v>
      </c>
      <c r="U3364" t="s">
        <v>13338</v>
      </c>
      <c r="V3364" t="s">
        <v>13338</v>
      </c>
      <c r="W3364" t="s">
        <v>16655</v>
      </c>
      <c r="X3364">
        <v>12</v>
      </c>
      <c r="Y3364" t="s">
        <v>23191</v>
      </c>
      <c r="Z3364" t="s">
        <v>29779</v>
      </c>
      <c r="AA3364">
        <v>0.77364853265769495</v>
      </c>
      <c r="AB3364" t="str">
        <f>HYPERLINK("Melting_Curves/meltCurve_Q13740_2_ALCAM.pdf", "Melting_Curves/meltCurve_Q13740_2_ALCAM.pdf")</f>
        <v>Melting_Curves/meltCurve_Q13740_2_ALCAM.pdf</v>
      </c>
    </row>
    <row r="3365" spans="1:28" x14ac:dyDescent="0.25">
      <c r="A3365" t="s">
        <v>3369</v>
      </c>
      <c r="B3365">
        <v>0.99193492352474899</v>
      </c>
      <c r="C3365">
        <v>0.68867789799490498</v>
      </c>
      <c r="D3365">
        <v>0.89640513457525195</v>
      </c>
      <c r="E3365">
        <v>0.518005066402356</v>
      </c>
      <c r="F3365">
        <v>0.213804870447521</v>
      </c>
      <c r="G3365">
        <v>0.13877953200318199</v>
      </c>
      <c r="H3365">
        <v>9.2317806925402701E-2</v>
      </c>
      <c r="I3365">
        <v>0.11217908437489101</v>
      </c>
      <c r="J3365">
        <v>0.13319662347085301</v>
      </c>
      <c r="K3365">
        <v>0.138197944243443</v>
      </c>
      <c r="L3365">
        <v>854.49312255485802</v>
      </c>
      <c r="M3365">
        <v>17.467895200522801</v>
      </c>
      <c r="N3365">
        <v>49.5033995961521</v>
      </c>
      <c r="O3365">
        <v>48.290308051193399</v>
      </c>
      <c r="P3365">
        <v>-8.1996714181195293E-2</v>
      </c>
      <c r="Q3365">
        <v>9.3324789471775305E-2</v>
      </c>
      <c r="R3365">
        <v>0.92771321666815498</v>
      </c>
      <c r="S3365" t="s">
        <v>10035</v>
      </c>
      <c r="T3365" t="s">
        <v>13338</v>
      </c>
      <c r="U3365" t="s">
        <v>13338</v>
      </c>
      <c r="V3365" t="s">
        <v>13338</v>
      </c>
      <c r="W3365" t="s">
        <v>16656</v>
      </c>
      <c r="X3365">
        <v>21</v>
      </c>
      <c r="Y3365" t="s">
        <v>23192</v>
      </c>
      <c r="Z3365" t="s">
        <v>29780</v>
      </c>
      <c r="AA3365">
        <v>0.3795460438685343</v>
      </c>
      <c r="AB3365" t="str">
        <f>HYPERLINK("Melting_Curves/meltCurve_Q13769_THOC5.pdf", "Melting_Curves/meltCurve_Q13769_THOC5.pdf")</f>
        <v>Melting_Curves/meltCurve_Q13769_THOC5.pdf</v>
      </c>
    </row>
    <row r="3366" spans="1:28" x14ac:dyDescent="0.25">
      <c r="A3366" t="s">
        <v>3370</v>
      </c>
      <c r="B3366">
        <v>0.99193492352474899</v>
      </c>
      <c r="C3366">
        <v>1.19709517337101</v>
      </c>
      <c r="D3366">
        <v>1.0383062738067801</v>
      </c>
      <c r="E3366">
        <v>1.4242374707359799</v>
      </c>
      <c r="F3366">
        <v>0.58756930312577405</v>
      </c>
      <c r="G3366">
        <v>0.26019026210288398</v>
      </c>
      <c r="H3366">
        <v>9.1581969916067998E-2</v>
      </c>
      <c r="I3366">
        <v>0.106476599078799</v>
      </c>
      <c r="J3366">
        <v>7.8065870712069899E-2</v>
      </c>
      <c r="K3366">
        <v>9.1326286254068301E-2</v>
      </c>
      <c r="L3366">
        <v>6091.3523947609401</v>
      </c>
      <c r="M3366">
        <v>114.381378505345</v>
      </c>
      <c r="N3366">
        <v>53.389448522077302</v>
      </c>
      <c r="O3366">
        <v>53.2384854707202</v>
      </c>
      <c r="P3366">
        <v>-0.46981098553996697</v>
      </c>
      <c r="Q3366">
        <v>0.125311362813112</v>
      </c>
      <c r="R3366">
        <v>0.90374259810789404</v>
      </c>
      <c r="S3366" t="s">
        <v>10036</v>
      </c>
      <c r="T3366" t="s">
        <v>13338</v>
      </c>
      <c r="U3366" t="s">
        <v>13338</v>
      </c>
      <c r="V3366" t="s">
        <v>13338</v>
      </c>
      <c r="W3366" t="s">
        <v>16657</v>
      </c>
      <c r="X3366">
        <v>3</v>
      </c>
      <c r="Y3366" t="s">
        <v>23193</v>
      </c>
      <c r="Z3366" t="s">
        <v>29781</v>
      </c>
      <c r="AA3366">
        <v>0.51216169980281223</v>
      </c>
      <c r="AB3366" t="str">
        <f>HYPERLINK("Melting_Curves/meltCurve_Q13795_ARFRP1.pdf", "Melting_Curves/meltCurve_Q13795_ARFRP1.pdf")</f>
        <v>Melting_Curves/meltCurve_Q13795_ARFRP1.pdf</v>
      </c>
    </row>
    <row r="3367" spans="1:28" x14ac:dyDescent="0.25">
      <c r="A3367" t="s">
        <v>3371</v>
      </c>
      <c r="B3367">
        <v>0.99193492352474899</v>
      </c>
      <c r="C3367">
        <v>0.73089373989379702</v>
      </c>
      <c r="D3367">
        <v>0.70124928610678605</v>
      </c>
      <c r="E3367">
        <v>0.48157252645939802</v>
      </c>
      <c r="F3367">
        <v>0.18087807882491</v>
      </c>
      <c r="G3367">
        <v>0.102956099990736</v>
      </c>
      <c r="H3367">
        <v>6.8222550446763702E-2</v>
      </c>
      <c r="I3367">
        <v>7.7576129734164403E-2</v>
      </c>
      <c r="J3367">
        <v>8.8335636514670704E-2</v>
      </c>
      <c r="K3367">
        <v>9.7951470336657603E-2</v>
      </c>
      <c r="L3367">
        <v>671.00891073184096</v>
      </c>
      <c r="M3367">
        <v>14.001805147903401</v>
      </c>
      <c r="N3367">
        <v>48.2662536646706</v>
      </c>
      <c r="O3367">
        <v>46.9772689228774</v>
      </c>
      <c r="P3367">
        <v>-7.0992145541760907E-2</v>
      </c>
      <c r="Q3367">
        <v>4.7387019810410901E-2</v>
      </c>
      <c r="R3367">
        <v>0.97256003050224105</v>
      </c>
      <c r="S3367" t="s">
        <v>10037</v>
      </c>
      <c r="T3367" t="s">
        <v>13338</v>
      </c>
      <c r="U3367" t="s">
        <v>13338</v>
      </c>
      <c r="V3367" t="s">
        <v>13338</v>
      </c>
      <c r="W3367" t="s">
        <v>16658</v>
      </c>
      <c r="X3367">
        <v>181</v>
      </c>
      <c r="Y3367" t="s">
        <v>23194</v>
      </c>
      <c r="Z3367" t="s">
        <v>29782</v>
      </c>
      <c r="AA3367">
        <v>0.32712798211891542</v>
      </c>
      <c r="AB3367" t="str">
        <f>HYPERLINK("Melting_Curves/meltCurve_Q13813_SPTAN1.pdf", "Melting_Curves/meltCurve_Q13813_SPTAN1.pdf")</f>
        <v>Melting_Curves/meltCurve_Q13813_SPTAN1.pdf</v>
      </c>
    </row>
    <row r="3368" spans="1:28" x14ac:dyDescent="0.25">
      <c r="A3368" t="s">
        <v>3372</v>
      </c>
      <c r="B3368">
        <v>0.99193492352474899</v>
      </c>
      <c r="C3368">
        <v>0.69690972626458403</v>
      </c>
      <c r="D3368">
        <v>0.71280321397235402</v>
      </c>
      <c r="E3368">
        <v>0.45627258239642898</v>
      </c>
      <c r="F3368">
        <v>0.13321268011967899</v>
      </c>
      <c r="G3368">
        <v>7.9925666072292401E-2</v>
      </c>
      <c r="H3368">
        <v>4.3395444819311499E-2</v>
      </c>
      <c r="I3368">
        <v>5.7875588158679797E-2</v>
      </c>
      <c r="J3368">
        <v>7.4107573928465703E-2</v>
      </c>
      <c r="K3368">
        <v>6.8122453999691301E-2</v>
      </c>
      <c r="L3368">
        <v>678.348817593072</v>
      </c>
      <c r="M3368">
        <v>14.194789072781299</v>
      </c>
      <c r="N3368">
        <v>47.956764991506901</v>
      </c>
      <c r="O3368">
        <v>46.870125488742502</v>
      </c>
      <c r="P3368">
        <v>-7.3884308718881894E-2</v>
      </c>
      <c r="Q3368">
        <v>2.4280619236302901E-2</v>
      </c>
      <c r="R3368">
        <v>0.96250646311735799</v>
      </c>
      <c r="S3368" t="s">
        <v>10038</v>
      </c>
      <c r="T3368" t="s">
        <v>13338</v>
      </c>
      <c r="U3368" t="s">
        <v>13338</v>
      </c>
      <c r="V3368" t="s">
        <v>13338</v>
      </c>
      <c r="W3368" t="s">
        <v>16659</v>
      </c>
      <c r="X3368">
        <v>181</v>
      </c>
      <c r="Y3368" t="s">
        <v>23194</v>
      </c>
      <c r="Z3368" t="s">
        <v>29783</v>
      </c>
      <c r="AA3368">
        <v>0.30588438774757221</v>
      </c>
      <c r="AB3368" t="str">
        <f>HYPERLINK("Melting_Curves/meltCurve_Q13813_2_SPTAN1.pdf", "Melting_Curves/meltCurve_Q13813_2_SPTAN1.pdf")</f>
        <v>Melting_Curves/meltCurve_Q13813_2_SPTAN1.pdf</v>
      </c>
    </row>
    <row r="3369" spans="1:28" x14ac:dyDescent="0.25">
      <c r="A3369" t="s">
        <v>3373</v>
      </c>
      <c r="B3369">
        <v>0.99193492352474899</v>
      </c>
      <c r="C3369">
        <v>0.75815758686101997</v>
      </c>
      <c r="D3369">
        <v>0.79269611533137896</v>
      </c>
      <c r="E3369">
        <v>0.43690655131918898</v>
      </c>
      <c r="F3369">
        <v>0.13403900265997501</v>
      </c>
      <c r="G3369">
        <v>5.9779062056324703E-2</v>
      </c>
      <c r="H3369">
        <v>3.6838215564847697E-2</v>
      </c>
      <c r="I3369">
        <v>3.5261602687328503E-2</v>
      </c>
      <c r="J3369">
        <v>4.1123555960279598E-2</v>
      </c>
      <c r="K3369">
        <v>5.0415491900399199E-2</v>
      </c>
      <c r="L3369">
        <v>835.93117556621905</v>
      </c>
      <c r="M3369">
        <v>17.2596206457976</v>
      </c>
      <c r="N3369">
        <v>48.520815517071597</v>
      </c>
      <c r="O3369">
        <v>47.7966208417959</v>
      </c>
      <c r="P3369">
        <v>-8.8889701071000193E-2</v>
      </c>
      <c r="Q3369">
        <v>1.54175267177016E-2</v>
      </c>
      <c r="R3369">
        <v>0.97452202438843505</v>
      </c>
      <c r="S3369" t="s">
        <v>10039</v>
      </c>
      <c r="T3369" t="s">
        <v>13338</v>
      </c>
      <c r="U3369" t="s">
        <v>13338</v>
      </c>
      <c r="V3369" t="s">
        <v>13338</v>
      </c>
      <c r="W3369" t="s">
        <v>16660</v>
      </c>
      <c r="X3369">
        <v>3</v>
      </c>
      <c r="Y3369" t="s">
        <v>23195</v>
      </c>
      <c r="Z3369" t="s">
        <v>29784</v>
      </c>
      <c r="AA3369">
        <v>0.31098260197348421</v>
      </c>
      <c r="AB3369" t="str">
        <f>HYPERLINK("Melting_Curves/meltCurve_Q13825_AUH.pdf", "Melting_Curves/meltCurve_Q13825_AUH.pdf")</f>
        <v>Melting_Curves/meltCurve_Q13825_AUH.pdf</v>
      </c>
    </row>
    <row r="3370" spans="1:28" x14ac:dyDescent="0.25">
      <c r="A3370" t="s">
        <v>3374</v>
      </c>
      <c r="B3370">
        <v>0.99193492352474899</v>
      </c>
      <c r="C3370">
        <v>0.84824711597318003</v>
      </c>
      <c r="D3370">
        <v>0.84173900449776295</v>
      </c>
      <c r="E3370">
        <v>0.65868718108825397</v>
      </c>
      <c r="F3370">
        <v>0.392624589418272</v>
      </c>
      <c r="G3370">
        <v>0.15195329357041101</v>
      </c>
      <c r="H3370">
        <v>6.9147403979164093E-2</v>
      </c>
      <c r="I3370">
        <v>6.1295501031178902E-2</v>
      </c>
      <c r="J3370">
        <v>7.1782536188484902E-2</v>
      </c>
      <c r="K3370">
        <v>6.7803820293896394E-2</v>
      </c>
      <c r="L3370">
        <v>766.03349825248995</v>
      </c>
      <c r="M3370">
        <v>14.987704372582799</v>
      </c>
      <c r="N3370">
        <v>51.259162749738401</v>
      </c>
      <c r="O3370">
        <v>50.226788051338097</v>
      </c>
      <c r="P3370">
        <v>-7.3024033376008698E-2</v>
      </c>
      <c r="Q3370">
        <v>2.1226773213973801E-2</v>
      </c>
      <c r="R3370">
        <v>0.98724691177382795</v>
      </c>
      <c r="S3370" t="s">
        <v>10040</v>
      </c>
      <c r="T3370" t="s">
        <v>13338</v>
      </c>
      <c r="U3370" t="s">
        <v>13338</v>
      </c>
      <c r="V3370" t="s">
        <v>13338</v>
      </c>
      <c r="W3370" t="s">
        <v>16661</v>
      </c>
      <c r="X3370">
        <v>26</v>
      </c>
      <c r="Y3370" t="s">
        <v>23196</v>
      </c>
      <c r="Z3370" t="s">
        <v>29785</v>
      </c>
      <c r="AA3370">
        <v>0.40629057416335862</v>
      </c>
      <c r="AB3370" t="str">
        <f>HYPERLINK("Melting_Curves/meltCurve_Q13838_DDX39B.pdf", "Melting_Curves/meltCurve_Q13838_DDX39B.pdf")</f>
        <v>Melting_Curves/meltCurve_Q13838_DDX39B.pdf</v>
      </c>
    </row>
    <row r="3371" spans="1:28" x14ac:dyDescent="0.25">
      <c r="A3371" t="s">
        <v>3375</v>
      </c>
      <c r="B3371">
        <v>0.99193492352474899</v>
      </c>
      <c r="C3371">
        <v>0.97096371553326399</v>
      </c>
      <c r="D3371">
        <v>0.82336621062078597</v>
      </c>
      <c r="E3371">
        <v>0.85264404354381895</v>
      </c>
      <c r="F3371">
        <v>0.91467965321816103</v>
      </c>
      <c r="G3371">
        <v>0.55981109714920996</v>
      </c>
      <c r="H3371">
        <v>0.53635234506705298</v>
      </c>
      <c r="I3371">
        <v>0.46869111045358097</v>
      </c>
      <c r="J3371">
        <v>0.395236330298671</v>
      </c>
      <c r="K3371">
        <v>0.204662099058074</v>
      </c>
      <c r="L3371">
        <v>479.07561348205098</v>
      </c>
      <c r="M3371">
        <v>7.7697250465429502</v>
      </c>
      <c r="N3371">
        <v>61.659274347164903</v>
      </c>
      <c r="O3371">
        <v>57.974371242880402</v>
      </c>
      <c r="P3371">
        <v>-3.3547248297703003E-2</v>
      </c>
      <c r="Q3371">
        <v>0</v>
      </c>
      <c r="R3371">
        <v>0.92231875401927299</v>
      </c>
      <c r="S3371" t="s">
        <v>10041</v>
      </c>
      <c r="T3371" t="s">
        <v>13338</v>
      </c>
      <c r="U3371" t="s">
        <v>13338</v>
      </c>
      <c r="V3371" t="s">
        <v>13338</v>
      </c>
      <c r="W3371" t="s">
        <v>16662</v>
      </c>
      <c r="X3371">
        <v>24</v>
      </c>
      <c r="Y3371" t="s">
        <v>23197</v>
      </c>
      <c r="Z3371" t="s">
        <v>29786</v>
      </c>
      <c r="AA3371">
        <v>0.68692207559554519</v>
      </c>
      <c r="AB3371" t="str">
        <f>HYPERLINK("Melting_Curves/meltCurve_Q13867_BLMH.pdf", "Melting_Curves/meltCurve_Q13867_BLMH.pdf")</f>
        <v>Melting_Curves/meltCurve_Q13867_BLMH.pdf</v>
      </c>
    </row>
    <row r="3372" spans="1:28" x14ac:dyDescent="0.25">
      <c r="A3372" t="s">
        <v>3376</v>
      </c>
      <c r="B3372">
        <v>0.99193492352474899</v>
      </c>
      <c r="C3372">
        <v>0.65440307858871405</v>
      </c>
      <c r="D3372">
        <v>0.92269839761015504</v>
      </c>
      <c r="E3372">
        <v>0.71449304290861504</v>
      </c>
      <c r="F3372">
        <v>0.96203535653415695</v>
      </c>
      <c r="G3372">
        <v>0.60689527287895495</v>
      </c>
      <c r="H3372">
        <v>0.28814513086459398</v>
      </c>
      <c r="I3372">
        <v>0.13233333128167901</v>
      </c>
      <c r="J3372">
        <v>0.13876828828691001</v>
      </c>
      <c r="K3372">
        <v>0.10171069765042</v>
      </c>
      <c r="L3372">
        <v>877.07671024021704</v>
      </c>
      <c r="M3372">
        <v>15.1140361599456</v>
      </c>
      <c r="N3372">
        <v>58.030608395995401</v>
      </c>
      <c r="O3372">
        <v>57.043164217898202</v>
      </c>
      <c r="P3372">
        <v>-6.6245978537705294E-2</v>
      </c>
      <c r="Q3372">
        <v>0</v>
      </c>
      <c r="R3372">
        <v>0.82647269266047996</v>
      </c>
      <c r="S3372" t="s">
        <v>10042</v>
      </c>
      <c r="T3372" t="s">
        <v>13338</v>
      </c>
      <c r="U3372" t="s">
        <v>13338</v>
      </c>
      <c r="V3372" t="s">
        <v>13338</v>
      </c>
      <c r="W3372" t="s">
        <v>16663</v>
      </c>
      <c r="X3372">
        <v>9</v>
      </c>
      <c r="Y3372" t="s">
        <v>23198</v>
      </c>
      <c r="Z3372" t="s">
        <v>29787</v>
      </c>
      <c r="AA3372">
        <v>0.61435267165700624</v>
      </c>
      <c r="AB3372" t="str">
        <f>HYPERLINK("Melting_Curves/meltCurve_Q13868_EXOSC2.pdf", "Melting_Curves/meltCurve_Q13868_EXOSC2.pdf")</f>
        <v>Melting_Curves/meltCurve_Q13868_EXOSC2.pdf</v>
      </c>
    </row>
    <row r="3373" spans="1:28" x14ac:dyDescent="0.25">
      <c r="A3373" t="s">
        <v>3377</v>
      </c>
      <c r="B3373">
        <v>0.99193492352474899</v>
      </c>
      <c r="C3373">
        <v>0.90611631991527797</v>
      </c>
      <c r="D3373">
        <v>0.66412535554723995</v>
      </c>
      <c r="E3373">
        <v>0.33490253371550699</v>
      </c>
      <c r="F3373">
        <v>0.177216883234256</v>
      </c>
      <c r="G3373">
        <v>0.104623063223094</v>
      </c>
      <c r="H3373">
        <v>6.2679269362824294E-2</v>
      </c>
      <c r="I3373">
        <v>8.9101519209106195E-2</v>
      </c>
      <c r="J3373">
        <v>3.63916401963005E-2</v>
      </c>
      <c r="K3373">
        <v>0.103327043327456</v>
      </c>
      <c r="L3373">
        <v>956.91863548175297</v>
      </c>
      <c r="M3373">
        <v>20.201769989355601</v>
      </c>
      <c r="N3373">
        <v>47.730414296424101</v>
      </c>
      <c r="O3373">
        <v>46.911237345446096</v>
      </c>
      <c r="P3373">
        <v>-0.10000904713284001</v>
      </c>
      <c r="Q3373">
        <v>7.1091021935346194E-2</v>
      </c>
      <c r="R3373">
        <v>0.99722405183239204</v>
      </c>
      <c r="S3373" t="s">
        <v>10043</v>
      </c>
      <c r="T3373" t="s">
        <v>13338</v>
      </c>
      <c r="U3373" t="s">
        <v>13338</v>
      </c>
      <c r="V3373" t="s">
        <v>13338</v>
      </c>
      <c r="W3373" t="s">
        <v>16664</v>
      </c>
      <c r="X3373">
        <v>4</v>
      </c>
      <c r="Y3373" t="s">
        <v>23199</v>
      </c>
      <c r="Z3373" t="s">
        <v>29788</v>
      </c>
      <c r="AA3373">
        <v>0.31236240202213678</v>
      </c>
      <c r="AB3373" t="str">
        <f>HYPERLINK("Melting_Curves/meltCurve_Q13884_SNTB1.pdf", "Melting_Curves/meltCurve_Q13884_SNTB1.pdf")</f>
        <v>Melting_Curves/meltCurve_Q13884_SNTB1.pdf</v>
      </c>
    </row>
    <row r="3374" spans="1:28" x14ac:dyDescent="0.25">
      <c r="A3374" t="s">
        <v>3378</v>
      </c>
      <c r="B3374">
        <v>0.99193492352474899</v>
      </c>
      <c r="C3374">
        <v>1.1851251162190799</v>
      </c>
      <c r="D3374">
        <v>1.2365725441951601</v>
      </c>
      <c r="E3374">
        <v>1.1423215469166701</v>
      </c>
      <c r="F3374">
        <v>1.08912122772385</v>
      </c>
      <c r="G3374">
        <v>0.705941027797377</v>
      </c>
      <c r="H3374">
        <v>0.31616288785331798</v>
      </c>
      <c r="I3374">
        <v>0.127064498414456</v>
      </c>
      <c r="J3374">
        <v>0.12738216253845699</v>
      </c>
      <c r="K3374">
        <v>0.107380154336098</v>
      </c>
      <c r="L3374">
        <v>2079.4548502955099</v>
      </c>
      <c r="M3374">
        <v>35.6762158278041</v>
      </c>
      <c r="N3374">
        <v>58.709144269548901</v>
      </c>
      <c r="O3374">
        <v>58.104645484262598</v>
      </c>
      <c r="P3374">
        <v>-0.13612958436980699</v>
      </c>
      <c r="Q3374">
        <v>0.113164347202643</v>
      </c>
      <c r="R3374">
        <v>0.93896842976412098</v>
      </c>
      <c r="S3374" t="s">
        <v>10044</v>
      </c>
      <c r="T3374" t="s">
        <v>13338</v>
      </c>
      <c r="U3374" t="s">
        <v>13338</v>
      </c>
      <c r="V3374" t="s">
        <v>13338</v>
      </c>
      <c r="W3374" t="s">
        <v>16665</v>
      </c>
      <c r="X3374">
        <v>30</v>
      </c>
      <c r="Y3374" t="s">
        <v>23200</v>
      </c>
      <c r="Z3374" t="s">
        <v>29789</v>
      </c>
      <c r="AA3374">
        <v>0.65805796080074375</v>
      </c>
      <c r="AB3374" t="str">
        <f>HYPERLINK("Melting_Curves/meltCurve_Q13885_TUBB2A.pdf", "Melting_Curves/meltCurve_Q13885_TUBB2A.pdf")</f>
        <v>Melting_Curves/meltCurve_Q13885_TUBB2A.pdf</v>
      </c>
    </row>
    <row r="3375" spans="1:28" x14ac:dyDescent="0.25">
      <c r="A3375" t="s">
        <v>3379</v>
      </c>
      <c r="B3375">
        <v>0.99193492352474899</v>
      </c>
      <c r="C3375">
        <v>0.65990877429811301</v>
      </c>
      <c r="D3375">
        <v>0.705734274323637</v>
      </c>
      <c r="E3375">
        <v>0.221595626790488</v>
      </c>
      <c r="F3375">
        <v>0.15911166372862401</v>
      </c>
      <c r="G3375">
        <v>8.8820723923243694E-2</v>
      </c>
      <c r="H3375">
        <v>5.1083083932720798E-2</v>
      </c>
      <c r="I3375">
        <v>4.5742433302250897E-2</v>
      </c>
      <c r="J3375">
        <v>6.1744143064731999E-2</v>
      </c>
      <c r="K3375">
        <v>5.7836459749849502E-2</v>
      </c>
      <c r="L3375">
        <v>738.22315236318798</v>
      </c>
      <c r="M3375">
        <v>15.8588744732</v>
      </c>
      <c r="N3375">
        <v>46.7834929024988</v>
      </c>
      <c r="O3375">
        <v>45.828210233547999</v>
      </c>
      <c r="P3375">
        <v>-8.3221201052260094E-2</v>
      </c>
      <c r="Q3375">
        <v>3.81231475922875E-2</v>
      </c>
      <c r="R3375">
        <v>0.95342356061925504</v>
      </c>
      <c r="S3375" t="s">
        <v>10045</v>
      </c>
      <c r="T3375" t="s">
        <v>13338</v>
      </c>
      <c r="U3375" t="s">
        <v>13338</v>
      </c>
      <c r="V3375" t="s">
        <v>13338</v>
      </c>
      <c r="W3375" t="s">
        <v>16666</v>
      </c>
      <c r="X3375">
        <v>15</v>
      </c>
      <c r="Y3375" t="s">
        <v>23201</v>
      </c>
      <c r="Z3375" t="s">
        <v>29790</v>
      </c>
      <c r="AA3375">
        <v>0.27206685613607001</v>
      </c>
      <c r="AB3375" t="str">
        <f>HYPERLINK("Melting_Curves/meltCurve_Q13895_BYSL.pdf", "Melting_Curves/meltCurve_Q13895_BYSL.pdf")</f>
        <v>Melting_Curves/meltCurve_Q13895_BYSL.pdf</v>
      </c>
    </row>
    <row r="3376" spans="1:28" x14ac:dyDescent="0.25">
      <c r="A3376" t="s">
        <v>3380</v>
      </c>
      <c r="B3376">
        <v>0.99193492352474899</v>
      </c>
      <c r="C3376">
        <v>0.96336476393995096</v>
      </c>
      <c r="D3376">
        <v>0.77811657476319596</v>
      </c>
      <c r="E3376">
        <v>0.23761125876212899</v>
      </c>
      <c r="F3376">
        <v>0.204705560969765</v>
      </c>
      <c r="G3376">
        <v>0.10311898958530399</v>
      </c>
      <c r="H3376">
        <v>8.6121881362647104E-2</v>
      </c>
      <c r="I3376">
        <v>0.13024514036280899</v>
      </c>
      <c r="J3376">
        <v>0.13095815123566901</v>
      </c>
      <c r="K3376">
        <v>0.18118228056003399</v>
      </c>
      <c r="L3376">
        <v>1831.4549596892</v>
      </c>
      <c r="M3376">
        <v>38.791076243402401</v>
      </c>
      <c r="N3376">
        <v>47.601128243640098</v>
      </c>
      <c r="O3376">
        <v>47.088354557942999</v>
      </c>
      <c r="P3376">
        <v>-0.17804561110890799</v>
      </c>
      <c r="Q3376">
        <v>0.13548619543011101</v>
      </c>
      <c r="R3376">
        <v>0.99217708910639402</v>
      </c>
      <c r="S3376" t="s">
        <v>10046</v>
      </c>
      <c r="T3376" t="s">
        <v>13338</v>
      </c>
      <c r="U3376" t="s">
        <v>13338</v>
      </c>
      <c r="V3376" t="s">
        <v>13338</v>
      </c>
      <c r="W3376" t="s">
        <v>16667</v>
      </c>
      <c r="X3376">
        <v>6</v>
      </c>
      <c r="Y3376" t="s">
        <v>23202</v>
      </c>
      <c r="Z3376" t="s">
        <v>29791</v>
      </c>
      <c r="AA3376">
        <v>0.34637730074365108</v>
      </c>
      <c r="AB3376" t="str">
        <f>HYPERLINK("Melting_Curves/meltCurve_Q13905_RAPGEF1.pdf", "Melting_Curves/meltCurve_Q13905_RAPGEF1.pdf")</f>
        <v>Melting_Curves/meltCurve_Q13905_RAPGEF1.pdf</v>
      </c>
    </row>
    <row r="3377" spans="1:28" x14ac:dyDescent="0.25">
      <c r="A3377" t="s">
        <v>3381</v>
      </c>
      <c r="B3377">
        <v>0.99193492352474899</v>
      </c>
      <c r="C3377">
        <v>0.91037749035819204</v>
      </c>
      <c r="D3377">
        <v>1.0016694026825801</v>
      </c>
      <c r="E3377">
        <v>0.79412331149968796</v>
      </c>
      <c r="F3377">
        <v>0.77574171870720798</v>
      </c>
      <c r="G3377">
        <v>0.45487919984068798</v>
      </c>
      <c r="H3377">
        <v>0.33378325118229901</v>
      </c>
      <c r="I3377">
        <v>0.270152460723878</v>
      </c>
      <c r="J3377">
        <v>0.315207540309143</v>
      </c>
      <c r="K3377">
        <v>0.40344715223667699</v>
      </c>
      <c r="L3377">
        <v>1054.9889288253701</v>
      </c>
      <c r="M3377">
        <v>19.637066897775401</v>
      </c>
      <c r="N3377">
        <v>56.425948596808901</v>
      </c>
      <c r="O3377">
        <v>53.176527884265901</v>
      </c>
      <c r="P3377">
        <v>-6.4190310244000903E-2</v>
      </c>
      <c r="Q3377">
        <v>0.30472342025182603</v>
      </c>
      <c r="R3377">
        <v>0.95097808129211303</v>
      </c>
      <c r="S3377" t="s">
        <v>10047</v>
      </c>
      <c r="T3377" t="s">
        <v>13338</v>
      </c>
      <c r="U3377" t="s">
        <v>13338</v>
      </c>
      <c r="V3377" t="s">
        <v>13338</v>
      </c>
      <c r="W3377" t="s">
        <v>16668</v>
      </c>
      <c r="X3377">
        <v>12</v>
      </c>
      <c r="Y3377" t="s">
        <v>23203</v>
      </c>
      <c r="Z3377" t="s">
        <v>29792</v>
      </c>
      <c r="AA3377">
        <v>0.63257261076228766</v>
      </c>
      <c r="AB3377" t="str">
        <f>HYPERLINK("Melting_Curves/meltCurve_Q13907_IDI1.pdf", "Melting_Curves/meltCurve_Q13907_IDI1.pdf")</f>
        <v>Melting_Curves/meltCurve_Q13907_IDI1.pdf</v>
      </c>
    </row>
    <row r="3378" spans="1:28" x14ac:dyDescent="0.25">
      <c r="A3378" t="s">
        <v>3382</v>
      </c>
      <c r="B3378">
        <v>0.99193492352474899</v>
      </c>
      <c r="C3378">
        <v>1.0256348795872601</v>
      </c>
      <c r="D3378">
        <v>0.67021815133268103</v>
      </c>
      <c r="E3378">
        <v>0.63404866766068702</v>
      </c>
      <c r="F3378">
        <v>0.14406204538185999</v>
      </c>
      <c r="G3378">
        <v>9.6186881507224695E-2</v>
      </c>
      <c r="H3378">
        <v>6.15240480147995E-2</v>
      </c>
      <c r="I3378">
        <v>0.10038574424989601</v>
      </c>
      <c r="J3378">
        <v>4.5734945538110999E-2</v>
      </c>
      <c r="K3378">
        <v>4.83305347266305E-2</v>
      </c>
      <c r="L3378">
        <v>932.07989971253005</v>
      </c>
      <c r="M3378">
        <v>18.882198875687401</v>
      </c>
      <c r="N3378">
        <v>49.5854961655523</v>
      </c>
      <c r="O3378">
        <v>48.819209872038101</v>
      </c>
      <c r="P3378">
        <v>-9.2768841651795303E-2</v>
      </c>
      <c r="Q3378">
        <v>4.0637619502384703E-2</v>
      </c>
      <c r="R3378">
        <v>0.96319086072770699</v>
      </c>
      <c r="S3378" t="s">
        <v>10048</v>
      </c>
      <c r="T3378" t="s">
        <v>13338</v>
      </c>
      <c r="U3378" t="s">
        <v>13338</v>
      </c>
      <c r="V3378" t="s">
        <v>13338</v>
      </c>
      <c r="W3378" t="s">
        <v>16669</v>
      </c>
      <c r="X3378">
        <v>23</v>
      </c>
      <c r="Y3378" t="s">
        <v>22370</v>
      </c>
      <c r="Z3378" t="s">
        <v>29793</v>
      </c>
      <c r="AA3378">
        <v>0.35507734479942349</v>
      </c>
      <c r="AB3378" t="str">
        <f>HYPERLINK("Melting_Curves/meltCurve_Q13948_CUX1.pdf", "Melting_Curves/meltCurve_Q13948_CUX1.pdf")</f>
        <v>Melting_Curves/meltCurve_Q13948_CUX1.pdf</v>
      </c>
    </row>
    <row r="3379" spans="1:28" x14ac:dyDescent="0.25">
      <c r="A3379" t="s">
        <v>3383</v>
      </c>
      <c r="B3379">
        <v>0.99193492352474899</v>
      </c>
      <c r="C3379">
        <v>0.79728769781357001</v>
      </c>
      <c r="D3379">
        <v>0.92386390318663603</v>
      </c>
      <c r="E3379">
        <v>0.53777327773752404</v>
      </c>
      <c r="F3379">
        <v>0.428717376266815</v>
      </c>
      <c r="G3379">
        <v>0.25375887997536301</v>
      </c>
      <c r="H3379">
        <v>0.15595468418459199</v>
      </c>
      <c r="I3379">
        <v>0.15790888486882601</v>
      </c>
      <c r="J3379">
        <v>0.19278232491262801</v>
      </c>
      <c r="K3379">
        <v>0.15737451200979</v>
      </c>
      <c r="L3379">
        <v>730.416827763588</v>
      </c>
      <c r="M3379">
        <v>14.603102007274799</v>
      </c>
      <c r="N3379">
        <v>51.128356485481</v>
      </c>
      <c r="O3379">
        <v>49.1080494967985</v>
      </c>
      <c r="P3379">
        <v>-6.4246481674911302E-2</v>
      </c>
      <c r="Q3379">
        <v>0.13589194456352</v>
      </c>
      <c r="R3379">
        <v>0.96198759145575996</v>
      </c>
      <c r="S3379" t="s">
        <v>10049</v>
      </c>
      <c r="T3379" t="s">
        <v>13338</v>
      </c>
      <c r="U3379" t="s">
        <v>13338</v>
      </c>
      <c r="V3379" t="s">
        <v>13338</v>
      </c>
      <c r="W3379" t="s">
        <v>16670</v>
      </c>
      <c r="X3379">
        <v>10</v>
      </c>
      <c r="Y3379" t="s">
        <v>23204</v>
      </c>
      <c r="Z3379" t="s">
        <v>29794</v>
      </c>
      <c r="AA3379">
        <v>0.4460321608875249</v>
      </c>
      <c r="AB3379" t="str">
        <f>HYPERLINK("Melting_Curves/meltCurve_Q13951_CBFB.pdf", "Melting_Curves/meltCurve_Q13951_CBFB.pdf")</f>
        <v>Melting_Curves/meltCurve_Q13951_CBFB.pdf</v>
      </c>
    </row>
    <row r="3380" spans="1:28" x14ac:dyDescent="0.25">
      <c r="A3380" t="s">
        <v>3384</v>
      </c>
      <c r="B3380">
        <v>0.99193492352474899</v>
      </c>
      <c r="C3380">
        <v>0.89001642284192595</v>
      </c>
      <c r="D3380">
        <v>0.81442253039556101</v>
      </c>
      <c r="E3380">
        <v>0.52548836421069101</v>
      </c>
      <c r="F3380">
        <v>0.41581079460887599</v>
      </c>
      <c r="G3380">
        <v>0.180234038971406</v>
      </c>
      <c r="H3380">
        <v>0.10824625889721901</v>
      </c>
      <c r="I3380">
        <v>0.123229181721832</v>
      </c>
      <c r="J3380">
        <v>0.141955617594346</v>
      </c>
      <c r="K3380">
        <v>0.14597692398399301</v>
      </c>
      <c r="L3380">
        <v>744.513895298227</v>
      </c>
      <c r="M3380">
        <v>14.9775109424678</v>
      </c>
      <c r="N3380">
        <v>50.4763978673586</v>
      </c>
      <c r="O3380">
        <v>48.847890962403397</v>
      </c>
      <c r="P3380">
        <v>-6.88539831017278E-2</v>
      </c>
      <c r="Q3380">
        <v>0.101845403875669</v>
      </c>
      <c r="R3380">
        <v>0.98790183584586</v>
      </c>
      <c r="S3380" t="s">
        <v>10050</v>
      </c>
      <c r="T3380" t="s">
        <v>13338</v>
      </c>
      <c r="U3380" t="s">
        <v>13338</v>
      </c>
      <c r="V3380" t="s">
        <v>13338</v>
      </c>
      <c r="W3380" t="s">
        <v>16671</v>
      </c>
      <c r="X3380">
        <v>12</v>
      </c>
      <c r="Y3380" t="s">
        <v>23204</v>
      </c>
      <c r="Z3380" t="s">
        <v>29795</v>
      </c>
      <c r="AA3380">
        <v>0.41419311779309342</v>
      </c>
      <c r="AB3380" t="str">
        <f>HYPERLINK("Melting_Curves/meltCurve_Q13951_2_CBFB.pdf", "Melting_Curves/meltCurve_Q13951_2_CBFB.pdf")</f>
        <v>Melting_Curves/meltCurve_Q13951_2_CBFB.pdf</v>
      </c>
    </row>
    <row r="3381" spans="1:28" x14ac:dyDescent="0.25">
      <c r="A3381" t="s">
        <v>3385</v>
      </c>
      <c r="B3381">
        <v>0.99193492352474899</v>
      </c>
      <c r="C3381">
        <v>0.604119252087993</v>
      </c>
      <c r="D3381">
        <v>0.89085140298587795</v>
      </c>
      <c r="E3381">
        <v>0.58156158708758199</v>
      </c>
      <c r="F3381">
        <v>0.583014979601304</v>
      </c>
      <c r="G3381">
        <v>0.23815655893238599</v>
      </c>
      <c r="H3381">
        <v>6.6761858392164294E-2</v>
      </c>
      <c r="I3381">
        <v>6.4195461758856098E-2</v>
      </c>
      <c r="J3381">
        <v>9.0754649635948301E-2</v>
      </c>
      <c r="K3381">
        <v>7.4016469022242098E-2</v>
      </c>
      <c r="L3381">
        <v>526.14412433727296</v>
      </c>
      <c r="M3381">
        <v>10.2057564509921</v>
      </c>
      <c r="N3381">
        <v>51.553648912200899</v>
      </c>
      <c r="O3381">
        <v>49.691885616460397</v>
      </c>
      <c r="P3381">
        <v>-5.1368287979278601E-2</v>
      </c>
      <c r="Q3381">
        <v>0</v>
      </c>
      <c r="R3381">
        <v>0.87943588893075397</v>
      </c>
      <c r="S3381" t="s">
        <v>10051</v>
      </c>
      <c r="T3381" t="s">
        <v>13338</v>
      </c>
      <c r="U3381" t="s">
        <v>13338</v>
      </c>
      <c r="V3381" t="s">
        <v>13338</v>
      </c>
      <c r="W3381" t="s">
        <v>16672</v>
      </c>
      <c r="X3381">
        <v>7</v>
      </c>
      <c r="Y3381" t="s">
        <v>23205</v>
      </c>
      <c r="Z3381" t="s">
        <v>29796</v>
      </c>
      <c r="AA3381">
        <v>0.42378746781827242</v>
      </c>
      <c r="AB3381" t="str">
        <f>HYPERLINK("Melting_Curves/meltCurve_Q13952_3_NFYC.pdf", "Melting_Curves/meltCurve_Q13952_3_NFYC.pdf")</f>
        <v>Melting_Curves/meltCurve_Q13952_3_NFYC.pdf</v>
      </c>
    </row>
    <row r="3382" spans="1:28" x14ac:dyDescent="0.25">
      <c r="A3382" t="s">
        <v>3386</v>
      </c>
      <c r="B3382">
        <v>0.99193492352474899</v>
      </c>
      <c r="C3382">
        <v>0.8183331969962</v>
      </c>
      <c r="D3382">
        <v>0.83510465060814398</v>
      </c>
      <c r="E3382">
        <v>0.38197732309678101</v>
      </c>
      <c r="F3382">
        <v>0.19376167496160601</v>
      </c>
      <c r="G3382">
        <v>0.12514182811011601</v>
      </c>
      <c r="H3382">
        <v>9.8009616948214404E-2</v>
      </c>
      <c r="I3382">
        <v>0.192294346807487</v>
      </c>
      <c r="J3382">
        <v>0.31947515825981498</v>
      </c>
      <c r="K3382">
        <v>0.41045541356966397</v>
      </c>
      <c r="L3382">
        <v>1511.2664643554999</v>
      </c>
      <c r="M3382">
        <v>31.800481287563599</v>
      </c>
      <c r="N3382">
        <v>48.401396375804303</v>
      </c>
      <c r="O3382">
        <v>47.336638551643702</v>
      </c>
      <c r="P3382">
        <v>-0.13113950199171101</v>
      </c>
      <c r="Q3382">
        <v>0.21917268488165001</v>
      </c>
      <c r="R3382">
        <v>0.89531266161348999</v>
      </c>
      <c r="S3382" t="s">
        <v>10052</v>
      </c>
      <c r="T3382" t="s">
        <v>13338</v>
      </c>
      <c r="U3382" t="s">
        <v>13338</v>
      </c>
      <c r="V3382" t="s">
        <v>13338</v>
      </c>
      <c r="W3382" t="s">
        <v>16673</v>
      </c>
      <c r="X3382">
        <v>6</v>
      </c>
      <c r="Y3382" t="s">
        <v>23206</v>
      </c>
      <c r="Z3382" t="s">
        <v>29797</v>
      </c>
      <c r="AA3382">
        <v>0.41913151357324019</v>
      </c>
      <c r="AB3382" t="str">
        <f>HYPERLINK("Melting_Curves/meltCurve_Q14005_3_IL16.pdf", "Melting_Curves/meltCurve_Q14005_3_IL16.pdf")</f>
        <v>Melting_Curves/meltCurve_Q14005_3_IL16.pdf</v>
      </c>
    </row>
    <row r="3383" spans="1:28" x14ac:dyDescent="0.25">
      <c r="A3383" t="s">
        <v>3387</v>
      </c>
      <c r="B3383">
        <v>0.99193492352474899</v>
      </c>
      <c r="C3383">
        <v>0.48147955593618502</v>
      </c>
      <c r="D3383">
        <v>0.61964607769753599</v>
      </c>
      <c r="E3383">
        <v>0.162502129712805</v>
      </c>
      <c r="F3383">
        <v>0.131416120566378</v>
      </c>
      <c r="G3383">
        <v>6.8936024513073096E-2</v>
      </c>
      <c r="H3383">
        <v>4.4696609818519702E-2</v>
      </c>
      <c r="I3383">
        <v>4.80333367220004E-2</v>
      </c>
      <c r="J3383">
        <v>5.0675408421170798E-2</v>
      </c>
      <c r="K3383">
        <v>4.8198591105135698E-2</v>
      </c>
      <c r="L3383">
        <v>646.94089587323401</v>
      </c>
      <c r="M3383">
        <v>14.3494897187859</v>
      </c>
      <c r="N3383">
        <v>45.287075859571097</v>
      </c>
      <c r="O3383">
        <v>44.236087443239597</v>
      </c>
      <c r="P3383">
        <v>-7.8585718892651701E-2</v>
      </c>
      <c r="Q3383">
        <v>3.1071087507722899E-2</v>
      </c>
      <c r="R3383">
        <v>0.90232522040844898</v>
      </c>
      <c r="S3383" t="s">
        <v>10053</v>
      </c>
      <c r="T3383" t="s">
        <v>13338</v>
      </c>
      <c r="U3383" t="s">
        <v>13338</v>
      </c>
      <c r="V3383" t="s">
        <v>13338</v>
      </c>
      <c r="W3383" t="s">
        <v>16674</v>
      </c>
      <c r="X3383">
        <v>53</v>
      </c>
      <c r="Y3383" t="s">
        <v>23207</v>
      </c>
      <c r="Z3383" t="s">
        <v>29798</v>
      </c>
      <c r="AA3383">
        <v>0.22911448300427789</v>
      </c>
      <c r="AB3383" t="str">
        <f>HYPERLINK("Melting_Curves/meltCurve_Q14008_2_CKAP5.pdf", "Melting_Curves/meltCurve_Q14008_2_CKAP5.pdf")</f>
        <v>Melting_Curves/meltCurve_Q14008_2_CKAP5.pdf</v>
      </c>
    </row>
    <row r="3384" spans="1:28" x14ac:dyDescent="0.25">
      <c r="A3384" t="s">
        <v>3388</v>
      </c>
      <c r="B3384">
        <v>0.99193492352474899</v>
      </c>
      <c r="C3384">
        <v>0.48022456131554597</v>
      </c>
      <c r="D3384">
        <v>0.96075600445372</v>
      </c>
      <c r="E3384">
        <v>0.43563996345378098</v>
      </c>
      <c r="F3384">
        <v>0.452453403333132</v>
      </c>
      <c r="G3384">
        <v>0.16784033437486501</v>
      </c>
      <c r="H3384">
        <v>0.15683038658978399</v>
      </c>
      <c r="I3384">
        <v>0.120101591339418</v>
      </c>
      <c r="J3384">
        <v>0.23945269626163901</v>
      </c>
      <c r="K3384">
        <v>0.27485089850865302</v>
      </c>
      <c r="L3384">
        <v>497.789402441866</v>
      </c>
      <c r="M3384">
        <v>10.347328355086001</v>
      </c>
      <c r="N3384">
        <v>49.6326992607299</v>
      </c>
      <c r="O3384">
        <v>46.415164999749102</v>
      </c>
      <c r="P3384">
        <v>-4.8165102033071498E-2</v>
      </c>
      <c r="Q3384">
        <v>0.13614901644925601</v>
      </c>
      <c r="R3384">
        <v>0.72171320306908504</v>
      </c>
      <c r="S3384" t="s">
        <v>10054</v>
      </c>
      <c r="T3384" t="s">
        <v>13338</v>
      </c>
      <c r="U3384" t="s">
        <v>13338</v>
      </c>
      <c r="V3384" t="s">
        <v>13338</v>
      </c>
      <c r="W3384" t="s">
        <v>16675</v>
      </c>
      <c r="X3384">
        <v>5</v>
      </c>
      <c r="Y3384" t="s">
        <v>23208</v>
      </c>
      <c r="Z3384" t="s">
        <v>29799</v>
      </c>
      <c r="AA3384">
        <v>0.4126247337020526</v>
      </c>
      <c r="AB3384" t="str">
        <f>HYPERLINK("Melting_Curves/meltCurve_Q14011_CIRBP.pdf", "Melting_Curves/meltCurve_Q14011_CIRBP.pdf")</f>
        <v>Melting_Curves/meltCurve_Q14011_CIRBP.pdf</v>
      </c>
    </row>
    <row r="3385" spans="1:28" x14ac:dyDescent="0.25">
      <c r="A3385" t="s">
        <v>3389</v>
      </c>
      <c r="B3385">
        <v>0.99193492352474899</v>
      </c>
      <c r="C3385">
        <v>0.77450553526487897</v>
      </c>
      <c r="D3385">
        <v>0.95278807037969004</v>
      </c>
      <c r="E3385">
        <v>0.69256629316815399</v>
      </c>
      <c r="F3385">
        <v>0.39112948485033</v>
      </c>
      <c r="G3385">
        <v>0.12922767952370401</v>
      </c>
      <c r="H3385">
        <v>7.4677570923798106E-2</v>
      </c>
      <c r="I3385">
        <v>7.6813918826650202E-2</v>
      </c>
      <c r="J3385">
        <v>0.10801690276114601</v>
      </c>
      <c r="K3385">
        <v>8.6872059106025606E-2</v>
      </c>
      <c r="L3385">
        <v>1050.3341796227701</v>
      </c>
      <c r="M3385">
        <v>20.4883004970612</v>
      </c>
      <c r="N3385">
        <v>51.616291624690803</v>
      </c>
      <c r="O3385">
        <v>50.784180355466802</v>
      </c>
      <c r="P3385">
        <v>-9.4300158427484196E-2</v>
      </c>
      <c r="Q3385">
        <v>6.5063512175226199E-2</v>
      </c>
      <c r="R3385">
        <v>0.96273852465199905</v>
      </c>
      <c r="S3385" t="s">
        <v>10055</v>
      </c>
      <c r="T3385" t="s">
        <v>13338</v>
      </c>
      <c r="U3385" t="s">
        <v>13338</v>
      </c>
      <c r="V3385" t="s">
        <v>13338</v>
      </c>
      <c r="W3385" t="s">
        <v>16676</v>
      </c>
      <c r="X3385">
        <v>15</v>
      </c>
      <c r="Y3385" t="s">
        <v>23209</v>
      </c>
      <c r="Z3385" t="s">
        <v>29800</v>
      </c>
      <c r="AA3385">
        <v>0.42853548607111058</v>
      </c>
      <c r="AB3385" t="str">
        <f>HYPERLINK("Melting_Curves/meltCurve_Q14019_COTL1.pdf", "Melting_Curves/meltCurve_Q14019_COTL1.pdf")</f>
        <v>Melting_Curves/meltCurve_Q14019_COTL1.pdf</v>
      </c>
    </row>
    <row r="3386" spans="1:28" x14ac:dyDescent="0.25">
      <c r="A3386" t="s">
        <v>3390</v>
      </c>
      <c r="B3386">
        <v>0.99193492352474899</v>
      </c>
      <c r="C3386">
        <v>0.54888129547438502</v>
      </c>
      <c r="D3386">
        <v>0.75259273527898696</v>
      </c>
      <c r="E3386">
        <v>0.60579441456637295</v>
      </c>
      <c r="F3386">
        <v>0.68947541706993598</v>
      </c>
      <c r="G3386">
        <v>0.39887356258477302</v>
      </c>
      <c r="H3386">
        <v>0.43054193671063701</v>
      </c>
      <c r="I3386">
        <v>0.53469755257611895</v>
      </c>
      <c r="J3386">
        <v>0.82437432012090905</v>
      </c>
      <c r="K3386">
        <v>1.23966948488174</v>
      </c>
      <c r="L3386">
        <v>10147.508420996601</v>
      </c>
      <c r="M3386">
        <v>250</v>
      </c>
      <c r="O3386">
        <v>40.587441250363497</v>
      </c>
      <c r="P3386">
        <v>-0.509034680885743</v>
      </c>
      <c r="Q3386">
        <v>0.66943339823567805</v>
      </c>
      <c r="R3386">
        <v>0.151685640175175</v>
      </c>
      <c r="S3386" t="s">
        <v>10056</v>
      </c>
      <c r="T3386" t="s">
        <v>13338</v>
      </c>
      <c r="U3386" t="s">
        <v>13338</v>
      </c>
      <c r="V3386" t="s">
        <v>13338</v>
      </c>
      <c r="W3386" t="s">
        <v>16677</v>
      </c>
      <c r="X3386">
        <v>7</v>
      </c>
      <c r="Y3386" t="s">
        <v>23210</v>
      </c>
      <c r="Z3386" t="s">
        <v>29801</v>
      </c>
      <c r="AA3386">
        <v>0.67600107406302035</v>
      </c>
      <c r="AB3386" t="str">
        <f>HYPERLINK("Melting_Curves/meltCurve_Q14061_COX17.pdf", "Melting_Curves/meltCurve_Q14061_COX17.pdf")</f>
        <v>Melting_Curves/meltCurve_Q14061_COX17.pdf</v>
      </c>
    </row>
    <row r="3387" spans="1:28" x14ac:dyDescent="0.25">
      <c r="A3387" t="s">
        <v>3391</v>
      </c>
      <c r="B3387">
        <v>0.99193492352474899</v>
      </c>
      <c r="C3387">
        <v>0.700932067559209</v>
      </c>
      <c r="D3387">
        <v>0.94017527585081095</v>
      </c>
      <c r="E3387">
        <v>0.44514081301181202</v>
      </c>
      <c r="F3387">
        <v>0.27278896845402101</v>
      </c>
      <c r="G3387">
        <v>0.14801204665765599</v>
      </c>
      <c r="H3387">
        <v>0.120014266624203</v>
      </c>
      <c r="I3387">
        <v>0.18587553823790101</v>
      </c>
      <c r="J3387">
        <v>0.38073649673694698</v>
      </c>
      <c r="K3387">
        <v>0.59318805938241104</v>
      </c>
      <c r="L3387">
        <v>2068.2630303649198</v>
      </c>
      <c r="M3387">
        <v>42.910686324625701</v>
      </c>
      <c r="N3387">
        <v>49.146304756911697</v>
      </c>
      <c r="O3387">
        <v>48.0949268760873</v>
      </c>
      <c r="P3387">
        <v>-0.16030920649623701</v>
      </c>
      <c r="Q3387">
        <v>0.28129350701539102</v>
      </c>
      <c r="R3387">
        <v>0.72843529632751902</v>
      </c>
      <c r="S3387" t="s">
        <v>10057</v>
      </c>
      <c r="T3387" t="s">
        <v>13338</v>
      </c>
      <c r="U3387" t="s">
        <v>13338</v>
      </c>
      <c r="V3387" t="s">
        <v>13338</v>
      </c>
      <c r="W3387" t="s">
        <v>16678</v>
      </c>
      <c r="X3387">
        <v>2</v>
      </c>
      <c r="Y3387" t="s">
        <v>23211</v>
      </c>
      <c r="Z3387" t="s">
        <v>29802</v>
      </c>
      <c r="AA3387">
        <v>0.47980350369563279</v>
      </c>
      <c r="AB3387" t="str">
        <f>HYPERLINK("Melting_Curves/meltCurve_Q14088_RAB33A.pdf", "Melting_Curves/meltCurve_Q14088_RAB33A.pdf")</f>
        <v>Melting_Curves/meltCurve_Q14088_RAB33A.pdf</v>
      </c>
    </row>
    <row r="3388" spans="1:28" x14ac:dyDescent="0.25">
      <c r="A3388" t="s">
        <v>3392</v>
      </c>
      <c r="B3388">
        <v>0.99193492352474899</v>
      </c>
      <c r="C3388">
        <v>0.68793092454619398</v>
      </c>
      <c r="D3388">
        <v>0.81180750260956602</v>
      </c>
      <c r="E3388">
        <v>0.62127342003791197</v>
      </c>
      <c r="F3388">
        <v>0.49103170464218399</v>
      </c>
      <c r="G3388">
        <v>0.34473684605938498</v>
      </c>
      <c r="H3388">
        <v>0.237046882979394</v>
      </c>
      <c r="I3388">
        <v>0.43680701246911502</v>
      </c>
      <c r="J3388">
        <v>0.40445659783140597</v>
      </c>
      <c r="K3388">
        <v>0.64212170027995996</v>
      </c>
      <c r="L3388">
        <v>634.766350828584</v>
      </c>
      <c r="M3388">
        <v>13.7679653386492</v>
      </c>
      <c r="N3388">
        <v>52.594031189300502</v>
      </c>
      <c r="O3388">
        <v>45.164573488666797</v>
      </c>
      <c r="P3388">
        <v>-4.5080909739060697E-2</v>
      </c>
      <c r="Q3388">
        <v>0.408547931881312</v>
      </c>
      <c r="R3388">
        <v>0.70053179979638103</v>
      </c>
      <c r="S3388" t="s">
        <v>10058</v>
      </c>
      <c r="T3388" t="s">
        <v>13338</v>
      </c>
      <c r="U3388" t="s">
        <v>13338</v>
      </c>
      <c r="V3388" t="s">
        <v>13338</v>
      </c>
      <c r="W3388" t="s">
        <v>16679</v>
      </c>
      <c r="X3388">
        <v>25</v>
      </c>
      <c r="Y3388" t="s">
        <v>23212</v>
      </c>
      <c r="Z3388" t="s">
        <v>29803</v>
      </c>
      <c r="AA3388">
        <v>0.54933220064314092</v>
      </c>
      <c r="AB3388" t="str">
        <f>HYPERLINK("Melting_Curves/meltCurve_Q14103_3_HNRNPD.pdf", "Melting_Curves/meltCurve_Q14103_3_HNRNPD.pdf")</f>
        <v>Melting_Curves/meltCurve_Q14103_3_HNRNPD.pdf</v>
      </c>
    </row>
    <row r="3389" spans="1:28" x14ac:dyDescent="0.25">
      <c r="A3389" t="s">
        <v>3393</v>
      </c>
      <c r="B3389">
        <v>0.99193492352474899</v>
      </c>
      <c r="C3389">
        <v>0.556109149816432</v>
      </c>
      <c r="D3389">
        <v>0.79972691491479797</v>
      </c>
      <c r="E3389">
        <v>0.57266100975207801</v>
      </c>
      <c r="F3389">
        <v>0.56179196914962204</v>
      </c>
      <c r="G3389">
        <v>0.35114506370858201</v>
      </c>
      <c r="H3389">
        <v>0.24777300487653101</v>
      </c>
      <c r="I3389">
        <v>0.230385514484551</v>
      </c>
      <c r="J3389">
        <v>0.28457486095672002</v>
      </c>
      <c r="K3389">
        <v>0.35973948811342399</v>
      </c>
      <c r="L3389">
        <v>380.33843695288903</v>
      </c>
      <c r="M3389">
        <v>7.8152862317656799</v>
      </c>
      <c r="N3389">
        <v>51.915179237960302</v>
      </c>
      <c r="O3389">
        <v>45.788153001902103</v>
      </c>
      <c r="P3389">
        <v>-3.4459883531086997E-2</v>
      </c>
      <c r="Q3389">
        <v>0.19342179569929199</v>
      </c>
      <c r="R3389">
        <v>0.79878866479178101</v>
      </c>
      <c r="S3389" t="s">
        <v>10059</v>
      </c>
      <c r="T3389" t="s">
        <v>13338</v>
      </c>
      <c r="U3389" t="s">
        <v>13338</v>
      </c>
      <c r="V3389" t="s">
        <v>13338</v>
      </c>
      <c r="W3389" t="s">
        <v>16680</v>
      </c>
      <c r="X3389">
        <v>26</v>
      </c>
      <c r="Y3389" t="s">
        <v>23212</v>
      </c>
      <c r="Z3389" t="s">
        <v>29804</v>
      </c>
      <c r="AA3389">
        <v>0.4830078132860986</v>
      </c>
      <c r="AB3389" t="str">
        <f>HYPERLINK("Melting_Curves/meltCurve_Q14103_4_HNRNPD.pdf", "Melting_Curves/meltCurve_Q14103_4_HNRNPD.pdf")</f>
        <v>Melting_Curves/meltCurve_Q14103_4_HNRNPD.pdf</v>
      </c>
    </row>
    <row r="3390" spans="1:28" x14ac:dyDescent="0.25">
      <c r="A3390" t="s">
        <v>3394</v>
      </c>
      <c r="B3390">
        <v>0.99193492352474899</v>
      </c>
      <c r="C3390">
        <v>1.11024752018265</v>
      </c>
      <c r="D3390">
        <v>0.95446490062718603</v>
      </c>
      <c r="E3390">
        <v>0.93057805896044099</v>
      </c>
      <c r="F3390">
        <v>0.67785046480745603</v>
      </c>
      <c r="G3390">
        <v>0.56390309256187199</v>
      </c>
      <c r="H3390">
        <v>0.488613216072736</v>
      </c>
      <c r="I3390">
        <v>0.55073045745082605</v>
      </c>
      <c r="J3390">
        <v>0.65998581714987603</v>
      </c>
      <c r="K3390">
        <v>0.69998821277360601</v>
      </c>
      <c r="L3390">
        <v>2240.3306227573298</v>
      </c>
      <c r="M3390">
        <v>43.554169999259699</v>
      </c>
      <c r="O3390">
        <v>51.329714756171001</v>
      </c>
      <c r="P3390">
        <v>-8.6451368234310502E-2</v>
      </c>
      <c r="Q3390">
        <v>0.59245991469645498</v>
      </c>
      <c r="R3390">
        <v>0.89477461525694202</v>
      </c>
      <c r="S3390" t="s">
        <v>10060</v>
      </c>
      <c r="T3390" t="s">
        <v>13338</v>
      </c>
      <c r="U3390" t="s">
        <v>13338</v>
      </c>
      <c r="V3390" t="s">
        <v>13338</v>
      </c>
      <c r="W3390" t="s">
        <v>16681</v>
      </c>
      <c r="X3390">
        <v>11</v>
      </c>
      <c r="Y3390" t="s">
        <v>23213</v>
      </c>
      <c r="Z3390" t="s">
        <v>29805</v>
      </c>
      <c r="AA3390">
        <v>0.7490591896838209</v>
      </c>
      <c r="AB3390" t="str">
        <f>HYPERLINK("Melting_Curves/meltCurve_Q14108_SCARB2.pdf", "Melting_Curves/meltCurve_Q14108_SCARB2.pdf")</f>
        <v>Melting_Curves/meltCurve_Q14108_SCARB2.pdf</v>
      </c>
    </row>
    <row r="3391" spans="1:28" x14ac:dyDescent="0.25">
      <c r="A3391" t="s">
        <v>3395</v>
      </c>
      <c r="B3391">
        <v>0.99193492352474899</v>
      </c>
      <c r="C3391">
        <v>1.02536658264807</v>
      </c>
      <c r="D3391">
        <v>0.97350858895182402</v>
      </c>
      <c r="E3391">
        <v>0.81132753299985105</v>
      </c>
      <c r="F3391">
        <v>0.66787403262759903</v>
      </c>
      <c r="G3391">
        <v>0.587197245474397</v>
      </c>
      <c r="H3391">
        <v>0.41808374568829199</v>
      </c>
      <c r="I3391">
        <v>0.42428761034012602</v>
      </c>
      <c r="J3391">
        <v>0.45522971248692001</v>
      </c>
      <c r="K3391">
        <v>0.39051157749750898</v>
      </c>
      <c r="L3391">
        <v>854.21943203195895</v>
      </c>
      <c r="M3391">
        <v>16.2091840875723</v>
      </c>
      <c r="N3391">
        <v>58.456757337421401</v>
      </c>
      <c r="O3391">
        <v>51.917182918184402</v>
      </c>
      <c r="P3391">
        <v>-4.6938249571444803E-2</v>
      </c>
      <c r="Q3391">
        <v>0.39868163158207898</v>
      </c>
      <c r="R3391">
        <v>0.98494328489216298</v>
      </c>
      <c r="S3391" t="s">
        <v>10061</v>
      </c>
      <c r="T3391" t="s">
        <v>13338</v>
      </c>
      <c r="U3391" t="s">
        <v>13338</v>
      </c>
      <c r="V3391" t="s">
        <v>13338</v>
      </c>
      <c r="W3391" t="s">
        <v>16682</v>
      </c>
      <c r="X3391">
        <v>10</v>
      </c>
      <c r="Y3391" t="s">
        <v>23214</v>
      </c>
      <c r="Z3391" t="s">
        <v>29806</v>
      </c>
      <c r="AA3391">
        <v>0.66491472107298744</v>
      </c>
      <c r="AB3391" t="str">
        <f>HYPERLINK("Melting_Curves/meltCurve_Q14114_LRP8.pdf", "Melting_Curves/meltCurve_Q14114_LRP8.pdf")</f>
        <v>Melting_Curves/meltCurve_Q14114_LRP8.pdf</v>
      </c>
    </row>
    <row r="3392" spans="1:28" x14ac:dyDescent="0.25">
      <c r="A3392" t="s">
        <v>3396</v>
      </c>
      <c r="B3392">
        <v>0.99193492352474899</v>
      </c>
      <c r="C3392">
        <v>1.0961128878252799</v>
      </c>
      <c r="D3392">
        <v>0.84957158021548995</v>
      </c>
      <c r="E3392">
        <v>0.92312201901993796</v>
      </c>
      <c r="F3392">
        <v>0.66794067237656096</v>
      </c>
      <c r="G3392">
        <v>0.34732763642695302</v>
      </c>
      <c r="H3392">
        <v>0.11692233495425799</v>
      </c>
      <c r="I3392">
        <v>1.7167296439356598E-2</v>
      </c>
      <c r="J3392">
        <v>3.48823061459686E-2</v>
      </c>
      <c r="K3392">
        <v>2.9895664971517601E-2</v>
      </c>
      <c r="L3392">
        <v>1131.49066677261</v>
      </c>
      <c r="M3392">
        <v>20.581186113233802</v>
      </c>
      <c r="N3392">
        <v>54.976940593067098</v>
      </c>
      <c r="O3392">
        <v>54.465787226197101</v>
      </c>
      <c r="P3392">
        <v>-9.4471122060851606E-2</v>
      </c>
      <c r="Q3392">
        <v>0</v>
      </c>
      <c r="R3392">
        <v>0.983213742806747</v>
      </c>
      <c r="S3392" t="s">
        <v>10062</v>
      </c>
      <c r="T3392" t="s">
        <v>13338</v>
      </c>
      <c r="U3392" t="s">
        <v>13338</v>
      </c>
      <c r="V3392" t="s">
        <v>13338</v>
      </c>
      <c r="W3392" t="s">
        <v>16683</v>
      </c>
      <c r="X3392">
        <v>1</v>
      </c>
      <c r="Y3392" t="s">
        <v>23215</v>
      </c>
      <c r="Z3392" t="s">
        <v>29807</v>
      </c>
      <c r="AA3392">
        <v>0.51198687093964534</v>
      </c>
      <c r="AB3392" t="str">
        <f>HYPERLINK("Melting_Curves/meltCurve_Q14117_DPYS.pdf", "Melting_Curves/meltCurve_Q14117_DPYS.pdf")</f>
        <v>Melting_Curves/meltCurve_Q14117_DPYS.pdf</v>
      </c>
    </row>
    <row r="3393" spans="1:28" x14ac:dyDescent="0.25">
      <c r="A3393" t="s">
        <v>3397</v>
      </c>
      <c r="B3393">
        <v>0.99193492352474899</v>
      </c>
      <c r="C3393">
        <v>0.791549371050569</v>
      </c>
      <c r="D3393">
        <v>0.95774277478588798</v>
      </c>
      <c r="E3393">
        <v>0.63561434535053696</v>
      </c>
      <c r="F3393">
        <v>0.61111610498483404</v>
      </c>
      <c r="G3393">
        <v>0.48350985509322503</v>
      </c>
      <c r="H3393">
        <v>0.368900198123221</v>
      </c>
      <c r="I3393">
        <v>0.403789425261456</v>
      </c>
      <c r="J3393">
        <v>0.522846081181501</v>
      </c>
      <c r="K3393">
        <v>0.56394496267840399</v>
      </c>
      <c r="L3393">
        <v>779.78390081895702</v>
      </c>
      <c r="M3393">
        <v>16.065487125376301</v>
      </c>
      <c r="N3393">
        <v>57.326796513909997</v>
      </c>
      <c r="O3393">
        <v>47.804483672366104</v>
      </c>
      <c r="P3393">
        <v>-4.5589884231896201E-2</v>
      </c>
      <c r="Q3393">
        <v>0.45741279590168299</v>
      </c>
      <c r="R3393">
        <v>0.83160488577337</v>
      </c>
      <c r="S3393" t="s">
        <v>10063</v>
      </c>
      <c r="T3393" t="s">
        <v>13338</v>
      </c>
      <c r="U3393" t="s">
        <v>13338</v>
      </c>
      <c r="V3393" t="s">
        <v>13338</v>
      </c>
      <c r="W3393" t="s">
        <v>16684</v>
      </c>
      <c r="X3393">
        <v>4</v>
      </c>
      <c r="Y3393" t="s">
        <v>23216</v>
      </c>
      <c r="Z3393" t="s">
        <v>29808</v>
      </c>
      <c r="AA3393">
        <v>0.62375542231083825</v>
      </c>
      <c r="AB3393" t="str">
        <f>HYPERLINK("Melting_Curves/meltCurve_Q14118_DAG1.pdf", "Melting_Curves/meltCurve_Q14118_DAG1.pdf")</f>
        <v>Melting_Curves/meltCurve_Q14118_DAG1.pdf</v>
      </c>
    </row>
    <row r="3394" spans="1:28" x14ac:dyDescent="0.25">
      <c r="A3394" t="s">
        <v>3398</v>
      </c>
      <c r="B3394">
        <v>0.99193492352474899</v>
      </c>
      <c r="C3394">
        <v>0.97545030773418695</v>
      </c>
      <c r="D3394">
        <v>0.801018275904962</v>
      </c>
      <c r="E3394">
        <v>0.59557427193004098</v>
      </c>
      <c r="F3394">
        <v>0.45587127832059898</v>
      </c>
      <c r="G3394">
        <v>0.267121175611154</v>
      </c>
      <c r="H3394">
        <v>0.16846634898405299</v>
      </c>
      <c r="I3394">
        <v>0.20633819221657701</v>
      </c>
      <c r="J3394">
        <v>0.204455958114269</v>
      </c>
      <c r="K3394">
        <v>0.28020272280936598</v>
      </c>
      <c r="L3394">
        <v>820.71383239534998</v>
      </c>
      <c r="M3394">
        <v>16.5233760950542</v>
      </c>
      <c r="N3394">
        <v>51.258407418898599</v>
      </c>
      <c r="O3394">
        <v>48.959434029902802</v>
      </c>
      <c r="P3394">
        <v>-6.7471473451947706E-2</v>
      </c>
      <c r="Q3394">
        <v>0.20037227467596599</v>
      </c>
      <c r="R3394">
        <v>0.98339369010343503</v>
      </c>
      <c r="S3394" t="s">
        <v>10064</v>
      </c>
      <c r="T3394" t="s">
        <v>13338</v>
      </c>
      <c r="U3394" t="s">
        <v>13338</v>
      </c>
      <c r="V3394" t="s">
        <v>13338</v>
      </c>
      <c r="W3394" t="s">
        <v>16685</v>
      </c>
      <c r="X3394">
        <v>10</v>
      </c>
      <c r="Y3394" t="s">
        <v>23217</v>
      </c>
      <c r="Z3394" t="s">
        <v>29809</v>
      </c>
      <c r="AA3394">
        <v>0.47424065570192281</v>
      </c>
      <c r="AB3394" t="str">
        <f>HYPERLINK("Melting_Curves/meltCurve_Q14126_DSG2.pdf", "Melting_Curves/meltCurve_Q14126_DSG2.pdf")</f>
        <v>Melting_Curves/meltCurve_Q14126_DSG2.pdf</v>
      </c>
    </row>
    <row r="3395" spans="1:28" x14ac:dyDescent="0.25">
      <c r="A3395" t="s">
        <v>3399</v>
      </c>
      <c r="B3395">
        <v>0.99193492352474899</v>
      </c>
      <c r="C3395">
        <v>1.0402733920248299</v>
      </c>
      <c r="D3395">
        <v>0.91525101367514705</v>
      </c>
      <c r="E3395">
        <v>0.84251710683839098</v>
      </c>
      <c r="F3395">
        <v>0.72276593892171404</v>
      </c>
      <c r="G3395">
        <v>0.45511626583762599</v>
      </c>
      <c r="H3395">
        <v>0.44526934995907802</v>
      </c>
      <c r="I3395">
        <v>0.48788999082093798</v>
      </c>
      <c r="J3395">
        <v>0.56283595649596896</v>
      </c>
      <c r="K3395">
        <v>0.80766758188833598</v>
      </c>
      <c r="L3395">
        <v>1407.29428324318</v>
      </c>
      <c r="M3395">
        <v>27.7068859496807</v>
      </c>
      <c r="O3395">
        <v>50.529829308222901</v>
      </c>
      <c r="P3395">
        <v>-6.0747399395142399E-2</v>
      </c>
      <c r="Q3395">
        <v>0.55685687717930799</v>
      </c>
      <c r="R3395">
        <v>0.76796037344307899</v>
      </c>
      <c r="S3395" t="s">
        <v>10065</v>
      </c>
      <c r="T3395" t="s">
        <v>13338</v>
      </c>
      <c r="U3395" t="s">
        <v>13338</v>
      </c>
      <c r="V3395" t="s">
        <v>13338</v>
      </c>
      <c r="W3395" t="s">
        <v>16686</v>
      </c>
      <c r="X3395">
        <v>7</v>
      </c>
      <c r="Y3395" t="s">
        <v>23218</v>
      </c>
      <c r="Z3395" t="s">
        <v>29810</v>
      </c>
      <c r="AA3395">
        <v>0.71952955049379264</v>
      </c>
      <c r="AB3395" t="str">
        <f>HYPERLINK("Melting_Curves/meltCurve_Q14135_VGLL4.pdf", "Melting_Curves/meltCurve_Q14135_VGLL4.pdf")</f>
        <v>Melting_Curves/meltCurve_Q14135_VGLL4.pdf</v>
      </c>
    </row>
    <row r="3396" spans="1:28" x14ac:dyDescent="0.25">
      <c r="A3396" t="s">
        <v>3400</v>
      </c>
      <c r="B3396">
        <v>0.99193492352474899</v>
      </c>
      <c r="C3396">
        <v>0.77919312801220797</v>
      </c>
      <c r="D3396">
        <v>0.49188517040517199</v>
      </c>
      <c r="E3396">
        <v>0.32105525268048002</v>
      </c>
      <c r="F3396">
        <v>0.196583724862714</v>
      </c>
      <c r="G3396">
        <v>0.10351882689241899</v>
      </c>
      <c r="H3396">
        <v>7.3448120928996594E-2</v>
      </c>
      <c r="I3396">
        <v>0.100389104805598</v>
      </c>
      <c r="J3396">
        <v>0.15300793018041201</v>
      </c>
      <c r="K3396">
        <v>0.142930015237791</v>
      </c>
      <c r="L3396">
        <v>840.08163790146898</v>
      </c>
      <c r="M3396">
        <v>18.413920870727999</v>
      </c>
      <c r="N3396">
        <v>46.276377486923302</v>
      </c>
      <c r="O3396">
        <v>45.0942435806436</v>
      </c>
      <c r="P3396">
        <v>-9.0389769067560397E-2</v>
      </c>
      <c r="Q3396">
        <v>0.114610206804281</v>
      </c>
      <c r="R3396">
        <v>0.98662529014049904</v>
      </c>
      <c r="S3396" t="s">
        <v>10066</v>
      </c>
      <c r="T3396" t="s">
        <v>13338</v>
      </c>
      <c r="U3396" t="s">
        <v>13338</v>
      </c>
      <c r="V3396" t="s">
        <v>13338</v>
      </c>
      <c r="W3396" t="s">
        <v>16687</v>
      </c>
      <c r="X3396">
        <v>10</v>
      </c>
      <c r="Y3396" t="s">
        <v>23219</v>
      </c>
      <c r="Z3396" t="s">
        <v>29811</v>
      </c>
      <c r="AA3396">
        <v>0.29757038339326503</v>
      </c>
      <c r="AB3396" t="str">
        <f>HYPERLINK("Melting_Curves/meltCurve_Q14137_BOP1.pdf", "Melting_Curves/meltCurve_Q14137_BOP1.pdf")</f>
        <v>Melting_Curves/meltCurve_Q14137_BOP1.pdf</v>
      </c>
    </row>
    <row r="3397" spans="1:28" x14ac:dyDescent="0.25">
      <c r="A3397" t="s">
        <v>3401</v>
      </c>
      <c r="B3397">
        <v>0.99193492352474899</v>
      </c>
      <c r="C3397">
        <v>1.0661521401413501</v>
      </c>
      <c r="D3397">
        <v>0.48857098033457502</v>
      </c>
      <c r="E3397">
        <v>0.27332472784853601</v>
      </c>
      <c r="F3397">
        <v>0.15320947763801601</v>
      </c>
      <c r="G3397">
        <v>8.6674626544194805E-2</v>
      </c>
      <c r="H3397">
        <v>4.8004819959549402E-2</v>
      </c>
      <c r="I3397">
        <v>5.9617738645241503E-2</v>
      </c>
      <c r="J3397">
        <v>6.19904369012792E-2</v>
      </c>
      <c r="K3397">
        <v>6.1526598953621801E-2</v>
      </c>
      <c r="L3397">
        <v>1526.3360867705801</v>
      </c>
      <c r="M3397">
        <v>33.093934771541001</v>
      </c>
      <c r="N3397">
        <v>46.391773173532897</v>
      </c>
      <c r="O3397">
        <v>45.953916320093498</v>
      </c>
      <c r="P3397">
        <v>-0.16424491063177801</v>
      </c>
      <c r="Q3397">
        <v>8.7728904189600901E-2</v>
      </c>
      <c r="R3397">
        <v>0.97005265572760901</v>
      </c>
      <c r="S3397" t="s">
        <v>10067</v>
      </c>
      <c r="T3397" t="s">
        <v>13338</v>
      </c>
      <c r="U3397" t="s">
        <v>13338</v>
      </c>
      <c r="V3397" t="s">
        <v>13338</v>
      </c>
      <c r="W3397" t="s">
        <v>16688</v>
      </c>
      <c r="X3397">
        <v>14</v>
      </c>
      <c r="Y3397" t="s">
        <v>23220</v>
      </c>
      <c r="Z3397" t="s">
        <v>29812</v>
      </c>
      <c r="AA3397">
        <v>0.27832977066492037</v>
      </c>
      <c r="AB3397" t="str">
        <f>HYPERLINK("Melting_Curves/meltCurve_Q14139_UBE4A.pdf", "Melting_Curves/meltCurve_Q14139_UBE4A.pdf")</f>
        <v>Melting_Curves/meltCurve_Q14139_UBE4A.pdf</v>
      </c>
    </row>
    <row r="3398" spans="1:28" x14ac:dyDescent="0.25">
      <c r="A3398" t="s">
        <v>3402</v>
      </c>
      <c r="B3398">
        <v>0.99193492352474899</v>
      </c>
      <c r="C3398">
        <v>0.912057297463711</v>
      </c>
      <c r="D3398">
        <v>0.81008461187054803</v>
      </c>
      <c r="E3398">
        <v>0.63144886131229305</v>
      </c>
      <c r="F3398">
        <v>0.47067026478635998</v>
      </c>
      <c r="G3398">
        <v>0.24329749014007199</v>
      </c>
      <c r="H3398">
        <v>0.16424536075297799</v>
      </c>
      <c r="I3398">
        <v>0.12266493715212</v>
      </c>
      <c r="J3398">
        <v>0.104249244184151</v>
      </c>
      <c r="K3398">
        <v>0.115164158571403</v>
      </c>
      <c r="L3398">
        <v>646.54943057427795</v>
      </c>
      <c r="M3398">
        <v>12.588874288635999</v>
      </c>
      <c r="N3398">
        <v>51.878147522305703</v>
      </c>
      <c r="O3398">
        <v>50.114537828899898</v>
      </c>
      <c r="P3398">
        <v>-5.90942820452224E-2</v>
      </c>
      <c r="Q3398">
        <v>5.92044309049677E-2</v>
      </c>
      <c r="R3398">
        <v>0.99615337625204603</v>
      </c>
      <c r="S3398" t="s">
        <v>10068</v>
      </c>
      <c r="T3398" t="s">
        <v>13338</v>
      </c>
      <c r="U3398" t="s">
        <v>13338</v>
      </c>
      <c r="V3398" t="s">
        <v>13338</v>
      </c>
      <c r="W3398" t="s">
        <v>16689</v>
      </c>
      <c r="X3398">
        <v>7</v>
      </c>
      <c r="Y3398" t="s">
        <v>23221</v>
      </c>
      <c r="Z3398" t="s">
        <v>29813</v>
      </c>
      <c r="AA3398">
        <v>0.44347172411245528</v>
      </c>
      <c r="AB3398" t="str">
        <f>HYPERLINK("Melting_Curves/meltCurve_Q14145_KEAP1.pdf", "Melting_Curves/meltCurve_Q14145_KEAP1.pdf")</f>
        <v>Melting_Curves/meltCurve_Q14145_KEAP1.pdf</v>
      </c>
    </row>
    <row r="3399" spans="1:28" x14ac:dyDescent="0.25">
      <c r="A3399" t="s">
        <v>3403</v>
      </c>
      <c r="B3399">
        <v>0.99193492352474899</v>
      </c>
      <c r="C3399">
        <v>0.77644870523420095</v>
      </c>
      <c r="D3399">
        <v>1.02656372229659</v>
      </c>
      <c r="E3399">
        <v>0.40406081087814699</v>
      </c>
      <c r="F3399">
        <v>0.23406242494967799</v>
      </c>
      <c r="G3399">
        <v>0.122016081397526</v>
      </c>
      <c r="H3399">
        <v>7.9474206000964498E-2</v>
      </c>
      <c r="I3399">
        <v>8.3834198384013195E-2</v>
      </c>
      <c r="J3399">
        <v>0.11734581389120299</v>
      </c>
      <c r="K3399">
        <v>0.126830571673411</v>
      </c>
      <c r="L3399">
        <v>2911.55330805945</v>
      </c>
      <c r="M3399">
        <v>59.418004108111298</v>
      </c>
      <c r="N3399">
        <v>49.239579257757697</v>
      </c>
      <c r="O3399">
        <v>48.945783750478903</v>
      </c>
      <c r="P3399">
        <v>-0.26555554628467498</v>
      </c>
      <c r="Q3399">
        <v>0.124991221839525</v>
      </c>
      <c r="R3399">
        <v>0.95095390236494304</v>
      </c>
      <c r="S3399" t="s">
        <v>10069</v>
      </c>
      <c r="T3399" t="s">
        <v>13338</v>
      </c>
      <c r="U3399" t="s">
        <v>13338</v>
      </c>
      <c r="V3399" t="s">
        <v>13338</v>
      </c>
      <c r="W3399" t="s">
        <v>16690</v>
      </c>
      <c r="X3399">
        <v>4</v>
      </c>
      <c r="Y3399" t="s">
        <v>23222</v>
      </c>
      <c r="Z3399" t="s">
        <v>29814</v>
      </c>
      <c r="AA3399">
        <v>0.38886584627127418</v>
      </c>
      <c r="AB3399" t="str">
        <f>HYPERLINK("Melting_Curves/meltCurve_Q14146_URB2.pdf", "Melting_Curves/meltCurve_Q14146_URB2.pdf")</f>
        <v>Melting_Curves/meltCurve_Q14146_URB2.pdf</v>
      </c>
    </row>
    <row r="3400" spans="1:28" x14ac:dyDescent="0.25">
      <c r="A3400" t="s">
        <v>3404</v>
      </c>
      <c r="B3400">
        <v>0.99193492352474899</v>
      </c>
      <c r="C3400">
        <v>0.76583025968117302</v>
      </c>
      <c r="D3400">
        <v>0.829592700061211</v>
      </c>
      <c r="E3400">
        <v>0.367176131842955</v>
      </c>
      <c r="F3400">
        <v>0.20025161057392801</v>
      </c>
      <c r="G3400">
        <v>9.63175544938739E-2</v>
      </c>
      <c r="H3400">
        <v>8.8475704827052207E-2</v>
      </c>
      <c r="I3400">
        <v>7.83157965461308E-2</v>
      </c>
      <c r="J3400">
        <v>0.10590745855771699</v>
      </c>
      <c r="K3400">
        <v>7.3726211567953504E-2</v>
      </c>
      <c r="L3400">
        <v>903.01848422811395</v>
      </c>
      <c r="M3400">
        <v>18.777198736989199</v>
      </c>
      <c r="N3400">
        <v>48.483977547851502</v>
      </c>
      <c r="O3400">
        <v>47.555733926757597</v>
      </c>
      <c r="P3400">
        <v>-9.1750713087183605E-2</v>
      </c>
      <c r="Q3400">
        <v>7.0555658534803306E-2</v>
      </c>
      <c r="R3400">
        <v>0.969159617375277</v>
      </c>
      <c r="S3400" t="s">
        <v>10070</v>
      </c>
      <c r="T3400" t="s">
        <v>13338</v>
      </c>
      <c r="U3400" t="s">
        <v>13338</v>
      </c>
      <c r="V3400" t="s">
        <v>13338</v>
      </c>
      <c r="W3400" t="s">
        <v>16691</v>
      </c>
      <c r="X3400">
        <v>2</v>
      </c>
      <c r="Y3400" t="s">
        <v>23223</v>
      </c>
      <c r="Z3400" t="s">
        <v>29815</v>
      </c>
      <c r="AA3400">
        <v>0.33629047575089482</v>
      </c>
      <c r="AB3400" t="str">
        <f>HYPERLINK("Melting_Curves/meltCurve_Q14147_DHX34.pdf", "Melting_Curves/meltCurve_Q14147_DHX34.pdf")</f>
        <v>Melting_Curves/meltCurve_Q14147_DHX34.pdf</v>
      </c>
    </row>
    <row r="3401" spans="1:28" x14ac:dyDescent="0.25">
      <c r="A3401" t="s">
        <v>3405</v>
      </c>
      <c r="B3401">
        <v>0.99193492352474899</v>
      </c>
      <c r="C3401">
        <v>0.59471833895805803</v>
      </c>
      <c r="D3401">
        <v>0.58391952020125004</v>
      </c>
      <c r="E3401">
        <v>0.25625685954675298</v>
      </c>
      <c r="F3401">
        <v>0.20984589555103</v>
      </c>
      <c r="G3401">
        <v>0.171379025623252</v>
      </c>
      <c r="H3401">
        <v>0.113588743946963</v>
      </c>
      <c r="I3401">
        <v>0.116775950598958</v>
      </c>
      <c r="J3401">
        <v>0.12632181698852299</v>
      </c>
      <c r="K3401">
        <v>0.14068183413458099</v>
      </c>
      <c r="L3401">
        <v>688.47882663392897</v>
      </c>
      <c r="M3401">
        <v>15.2666818168064</v>
      </c>
      <c r="N3401">
        <v>45.920583278539098</v>
      </c>
      <c r="O3401">
        <v>44.344302842310803</v>
      </c>
      <c r="P3401">
        <v>-7.5766505238882897E-2</v>
      </c>
      <c r="Q3401">
        <v>0.119783647214095</v>
      </c>
      <c r="R3401">
        <v>0.95178758490980098</v>
      </c>
      <c r="S3401" t="s">
        <v>10071</v>
      </c>
      <c r="T3401" t="s">
        <v>13338</v>
      </c>
      <c r="U3401" t="s">
        <v>13338</v>
      </c>
      <c r="V3401" t="s">
        <v>13338</v>
      </c>
      <c r="W3401" t="s">
        <v>16692</v>
      </c>
      <c r="X3401">
        <v>6</v>
      </c>
      <c r="Y3401" t="s">
        <v>23224</v>
      </c>
      <c r="Z3401" t="s">
        <v>29816</v>
      </c>
      <c r="AA3401">
        <v>0.29628867736218112</v>
      </c>
      <c r="AB3401" t="str">
        <f>HYPERLINK("Melting_Curves/meltCurve_Q14149_MORC3.pdf", "Melting_Curves/meltCurve_Q14149_MORC3.pdf")</f>
        <v>Melting_Curves/meltCurve_Q14149_MORC3.pdf</v>
      </c>
    </row>
    <row r="3402" spans="1:28" x14ac:dyDescent="0.25">
      <c r="A3402" t="s">
        <v>3406</v>
      </c>
      <c r="B3402">
        <v>0.99193492352474899</v>
      </c>
      <c r="C3402">
        <v>0.61906450927111001</v>
      </c>
      <c r="D3402">
        <v>0.83002308255065005</v>
      </c>
      <c r="E3402">
        <v>0.59529235514949497</v>
      </c>
      <c r="F3402">
        <v>0.65619914725057105</v>
      </c>
      <c r="G3402">
        <v>0.52577422566644805</v>
      </c>
      <c r="H3402">
        <v>0.52253083429904501</v>
      </c>
      <c r="I3402">
        <v>0.54942954372823005</v>
      </c>
      <c r="J3402">
        <v>0.71156092937946702</v>
      </c>
      <c r="K3402">
        <v>0.88837307369261698</v>
      </c>
      <c r="L3402">
        <v>10149.239853868199</v>
      </c>
      <c r="M3402">
        <v>250</v>
      </c>
      <c r="O3402">
        <v>40.594360602535303</v>
      </c>
      <c r="P3402">
        <v>-0.53061431636175604</v>
      </c>
      <c r="Q3402">
        <v>0.65536081056934004</v>
      </c>
      <c r="R3402">
        <v>0.423927671155791</v>
      </c>
      <c r="S3402" t="s">
        <v>10072</v>
      </c>
      <c r="T3402" t="s">
        <v>13338</v>
      </c>
      <c r="U3402" t="s">
        <v>13338</v>
      </c>
      <c r="V3402" t="s">
        <v>13338</v>
      </c>
      <c r="W3402" t="s">
        <v>16693</v>
      </c>
      <c r="X3402">
        <v>43</v>
      </c>
      <c r="Y3402" t="s">
        <v>23225</v>
      </c>
      <c r="Z3402" t="s">
        <v>29817</v>
      </c>
      <c r="AA3402">
        <v>0.66228577938980271</v>
      </c>
      <c r="AB3402" t="str">
        <f>HYPERLINK("Melting_Curves/meltCurve_Q14151_SAFB2.pdf", "Melting_Curves/meltCurve_Q14151_SAFB2.pdf")</f>
        <v>Melting_Curves/meltCurve_Q14151_SAFB2.pdf</v>
      </c>
    </row>
    <row r="3403" spans="1:28" x14ac:dyDescent="0.25">
      <c r="A3403" t="s">
        <v>3407</v>
      </c>
      <c r="B3403">
        <v>0.99193492352474899</v>
      </c>
      <c r="C3403">
        <v>0.78670358903119897</v>
      </c>
      <c r="D3403">
        <v>0.81091065437250798</v>
      </c>
      <c r="E3403">
        <v>0.26599259918308998</v>
      </c>
      <c r="F3403">
        <v>0.14898750122596099</v>
      </c>
      <c r="G3403">
        <v>9.7451146481250195E-2</v>
      </c>
      <c r="H3403">
        <v>6.7286700221452805E-2</v>
      </c>
      <c r="I3403">
        <v>0.104187126263475</v>
      </c>
      <c r="J3403">
        <v>9.5798001662860705E-2</v>
      </c>
      <c r="K3403">
        <v>9.4886722381418806E-2</v>
      </c>
      <c r="L3403">
        <v>1222.9474573099501</v>
      </c>
      <c r="M3403">
        <v>25.740653289868199</v>
      </c>
      <c r="N3403">
        <v>47.859204872803303</v>
      </c>
      <c r="O3403">
        <v>47.226383336032903</v>
      </c>
      <c r="P3403">
        <v>-0.124607457874399</v>
      </c>
      <c r="Q3403">
        <v>8.5541605525660799E-2</v>
      </c>
      <c r="R3403">
        <v>0.96969114312368798</v>
      </c>
      <c r="S3403" t="s">
        <v>10073</v>
      </c>
      <c r="T3403" t="s">
        <v>13338</v>
      </c>
      <c r="U3403" t="s">
        <v>13338</v>
      </c>
      <c r="V3403" t="s">
        <v>13338</v>
      </c>
      <c r="W3403" t="s">
        <v>16694</v>
      </c>
      <c r="X3403">
        <v>89</v>
      </c>
      <c r="Y3403" t="s">
        <v>23226</v>
      </c>
      <c r="Z3403" t="s">
        <v>29818</v>
      </c>
      <c r="AA3403">
        <v>0.32208180093000222</v>
      </c>
      <c r="AB3403" t="str">
        <f>HYPERLINK("Melting_Curves/meltCurve_Q14152_EIF3A.pdf", "Melting_Curves/meltCurve_Q14152_EIF3A.pdf")</f>
        <v>Melting_Curves/meltCurve_Q14152_EIF3A.pdf</v>
      </c>
    </row>
    <row r="3404" spans="1:28" x14ac:dyDescent="0.25">
      <c r="A3404" t="s">
        <v>3408</v>
      </c>
      <c r="B3404">
        <v>0.99193492352474899</v>
      </c>
      <c r="C3404">
        <v>0.69972513028908201</v>
      </c>
      <c r="D3404">
        <v>1.0813628871669601</v>
      </c>
      <c r="E3404">
        <v>0.59656683446112502</v>
      </c>
      <c r="F3404">
        <v>0.41131503182810802</v>
      </c>
      <c r="G3404">
        <v>0.15723553104030899</v>
      </c>
      <c r="H3404">
        <v>9.6493772908696401E-2</v>
      </c>
      <c r="I3404">
        <v>4.6238789181474199E-2</v>
      </c>
      <c r="J3404">
        <v>0.116113462821076</v>
      </c>
      <c r="K3404">
        <v>5.6295221593376001E-2</v>
      </c>
      <c r="L3404">
        <v>985.18937719816495</v>
      </c>
      <c r="M3404">
        <v>19.243946107562099</v>
      </c>
      <c r="N3404">
        <v>51.527561027465801</v>
      </c>
      <c r="O3404">
        <v>50.6515567931608</v>
      </c>
      <c r="P3404">
        <v>-8.9435007472721401E-2</v>
      </c>
      <c r="Q3404">
        <v>5.8436216505087298E-2</v>
      </c>
      <c r="R3404">
        <v>0.91476072370829897</v>
      </c>
      <c r="S3404" t="s">
        <v>10074</v>
      </c>
      <c r="T3404" t="s">
        <v>13338</v>
      </c>
      <c r="U3404" t="s">
        <v>13338</v>
      </c>
      <c r="V3404" t="s">
        <v>13338</v>
      </c>
      <c r="W3404" t="s">
        <v>16695</v>
      </c>
      <c r="X3404">
        <v>2</v>
      </c>
      <c r="Y3404" t="s">
        <v>23227</v>
      </c>
      <c r="Z3404" t="s">
        <v>29819</v>
      </c>
      <c r="AA3404">
        <v>0.42381550098618531</v>
      </c>
      <c r="AB3404" t="str">
        <f>HYPERLINK("Melting_Curves/meltCurve_Q14153_FAM53B.pdf", "Melting_Curves/meltCurve_Q14153_FAM53B.pdf")</f>
        <v>Melting_Curves/meltCurve_Q14153_FAM53B.pdf</v>
      </c>
    </row>
    <row r="3405" spans="1:28" x14ac:dyDescent="0.25">
      <c r="A3405" t="s">
        <v>3409</v>
      </c>
      <c r="B3405">
        <v>0.99193492352474899</v>
      </c>
      <c r="C3405">
        <v>0.99772931466785197</v>
      </c>
      <c r="D3405">
        <v>0.888430942822934</v>
      </c>
      <c r="E3405">
        <v>0.852398037489837</v>
      </c>
      <c r="F3405">
        <v>0.54570543504818203</v>
      </c>
      <c r="G3405">
        <v>0.45354409808486601</v>
      </c>
      <c r="H3405">
        <v>0.42795014878075399</v>
      </c>
      <c r="I3405">
        <v>0.48521112437408898</v>
      </c>
      <c r="J3405">
        <v>0.58273811847889101</v>
      </c>
      <c r="K3405">
        <v>0.81321437281157505</v>
      </c>
      <c r="L3405">
        <v>3436.3871261561499</v>
      </c>
      <c r="M3405">
        <v>68.587707531132196</v>
      </c>
      <c r="O3405">
        <v>50.059543581910901</v>
      </c>
      <c r="P3405">
        <v>-0.154090719671725</v>
      </c>
      <c r="Q3405">
        <v>0.55014042516776196</v>
      </c>
      <c r="R3405">
        <v>0.76011729620021296</v>
      </c>
      <c r="S3405" t="s">
        <v>10075</v>
      </c>
      <c r="T3405" t="s">
        <v>13338</v>
      </c>
      <c r="U3405" t="s">
        <v>13338</v>
      </c>
      <c r="V3405" t="s">
        <v>13338</v>
      </c>
      <c r="W3405" t="s">
        <v>16696</v>
      </c>
      <c r="X3405">
        <v>26</v>
      </c>
      <c r="Y3405" t="s">
        <v>23228</v>
      </c>
      <c r="Z3405" t="s">
        <v>29820</v>
      </c>
      <c r="AA3405">
        <v>0.70215137077029299</v>
      </c>
      <c r="AB3405" t="str">
        <f>HYPERLINK("Melting_Curves/meltCurve_Q14157_1_UBAP2L.pdf", "Melting_Curves/meltCurve_Q14157_1_UBAP2L.pdf")</f>
        <v>Melting_Curves/meltCurve_Q14157_1_UBAP2L.pdf</v>
      </c>
    </row>
    <row r="3406" spans="1:28" x14ac:dyDescent="0.25">
      <c r="A3406" t="s">
        <v>3410</v>
      </c>
      <c r="B3406">
        <v>0.99193492352474899</v>
      </c>
      <c r="C3406">
        <v>4.6178378147763404</v>
      </c>
      <c r="D3406">
        <v>0.75716416029056699</v>
      </c>
      <c r="E3406">
        <v>2.88709598744573</v>
      </c>
      <c r="F3406">
        <v>0.38074162959679098</v>
      </c>
      <c r="G3406">
        <v>0.57616665527823896</v>
      </c>
      <c r="H3406">
        <v>0.63522118130250504</v>
      </c>
      <c r="I3406">
        <v>0.56916117475579997</v>
      </c>
      <c r="J3406">
        <v>0.29401171721534503</v>
      </c>
      <c r="K3406">
        <v>0.48417681875882601</v>
      </c>
      <c r="L3406">
        <v>5975.52851064267</v>
      </c>
      <c r="M3406">
        <v>115.040854396773</v>
      </c>
      <c r="N3406">
        <v>53.660539639152702</v>
      </c>
      <c r="O3406">
        <v>51.926973206945704</v>
      </c>
      <c r="P3406">
        <v>-0.28389411172840701</v>
      </c>
      <c r="Q3406">
        <v>0.48742517420937798</v>
      </c>
      <c r="R3406">
        <v>5.9514164972404603E-2</v>
      </c>
      <c r="S3406" t="s">
        <v>10076</v>
      </c>
      <c r="T3406" t="s">
        <v>13338</v>
      </c>
      <c r="U3406" t="s">
        <v>13338</v>
      </c>
      <c r="V3406" t="s">
        <v>13338</v>
      </c>
      <c r="W3406" t="s">
        <v>16697</v>
      </c>
      <c r="X3406">
        <v>25</v>
      </c>
      <c r="Y3406" t="s">
        <v>23228</v>
      </c>
      <c r="Z3406" t="s">
        <v>29821</v>
      </c>
      <c r="AA3406">
        <v>0.69169632671388614</v>
      </c>
      <c r="AB3406" t="str">
        <f>HYPERLINK("Melting_Curves/meltCurve_Q14157_3_UBAP2L.pdf", "Melting_Curves/meltCurve_Q14157_3_UBAP2L.pdf")</f>
        <v>Melting_Curves/meltCurve_Q14157_3_UBAP2L.pdf</v>
      </c>
    </row>
    <row r="3407" spans="1:28" x14ac:dyDescent="0.25">
      <c r="A3407" t="s">
        <v>3411</v>
      </c>
      <c r="B3407">
        <v>0.99193492352474899</v>
      </c>
      <c r="C3407">
        <v>0.71753392510343805</v>
      </c>
      <c r="D3407">
        <v>0.35112720208474602</v>
      </c>
      <c r="E3407">
        <v>0.16432666021279399</v>
      </c>
      <c r="F3407">
        <v>0.10887011004739899</v>
      </c>
      <c r="G3407">
        <v>5.7973426614423597E-2</v>
      </c>
      <c r="H3407">
        <v>3.7408241872196199E-2</v>
      </c>
      <c r="I3407">
        <v>5.4694026535472597E-2</v>
      </c>
      <c r="J3407">
        <v>5.97175123453084E-2</v>
      </c>
      <c r="K3407">
        <v>7.2331081399094402E-2</v>
      </c>
      <c r="L3407">
        <v>1075.0684736161299</v>
      </c>
      <c r="M3407">
        <v>24.139979608371402</v>
      </c>
      <c r="N3407">
        <v>44.787734605014997</v>
      </c>
      <c r="O3407">
        <v>44.232538417786103</v>
      </c>
      <c r="P3407">
        <v>-0.12774418601256701</v>
      </c>
      <c r="Q3407">
        <v>6.3733879446279104E-2</v>
      </c>
      <c r="R3407">
        <v>0.994693010702276</v>
      </c>
      <c r="S3407" t="s">
        <v>10077</v>
      </c>
      <c r="T3407" t="s">
        <v>13338</v>
      </c>
      <c r="U3407" t="s">
        <v>13338</v>
      </c>
      <c r="V3407" t="s">
        <v>13338</v>
      </c>
      <c r="W3407" t="s">
        <v>16698</v>
      </c>
      <c r="X3407">
        <v>16</v>
      </c>
      <c r="Y3407" t="s">
        <v>23229</v>
      </c>
      <c r="Z3407" t="s">
        <v>29822</v>
      </c>
      <c r="AA3407">
        <v>0.21599408602397749</v>
      </c>
      <c r="AB3407" t="str">
        <f>HYPERLINK("Melting_Curves/meltCurve_Q14160_SCRIB.pdf", "Melting_Curves/meltCurve_Q14160_SCRIB.pdf")</f>
        <v>Melting_Curves/meltCurve_Q14160_SCRIB.pdf</v>
      </c>
    </row>
    <row r="3408" spans="1:28" x14ac:dyDescent="0.25">
      <c r="A3408" t="s">
        <v>3412</v>
      </c>
      <c r="B3408">
        <v>0.99193492352474899</v>
      </c>
      <c r="C3408">
        <v>1.1185659104224399</v>
      </c>
      <c r="D3408">
        <v>0.82034559102097904</v>
      </c>
      <c r="E3408">
        <v>0.348835599001315</v>
      </c>
      <c r="F3408">
        <v>0.52491808613767799</v>
      </c>
      <c r="G3408">
        <v>0.114672616894156</v>
      </c>
      <c r="H3408">
        <v>8.6940080090898694E-2</v>
      </c>
      <c r="I3408">
        <v>8.6061937195569593E-2</v>
      </c>
      <c r="J3408">
        <v>9.2487550756483794E-2</v>
      </c>
      <c r="K3408">
        <v>7.4230301601759405E-2</v>
      </c>
      <c r="L3408">
        <v>846.26345194386101</v>
      </c>
      <c r="M3408">
        <v>17.057163303218498</v>
      </c>
      <c r="N3408">
        <v>50.100610373458302</v>
      </c>
      <c r="O3408">
        <v>48.946504508474902</v>
      </c>
      <c r="P3408">
        <v>-8.0467903489543594E-2</v>
      </c>
      <c r="Q3408">
        <v>7.6427270935273101E-2</v>
      </c>
      <c r="R3408">
        <v>0.91926541382946103</v>
      </c>
      <c r="S3408" t="s">
        <v>10078</v>
      </c>
      <c r="T3408" t="s">
        <v>13338</v>
      </c>
      <c r="U3408" t="s">
        <v>13338</v>
      </c>
      <c r="V3408" t="s">
        <v>13338</v>
      </c>
      <c r="W3408" t="s">
        <v>16699</v>
      </c>
      <c r="X3408">
        <v>9</v>
      </c>
      <c r="Y3408" t="s">
        <v>23230</v>
      </c>
      <c r="Z3408" t="s">
        <v>29823</v>
      </c>
      <c r="AA3408">
        <v>0.38994091215246462</v>
      </c>
      <c r="AB3408" t="str">
        <f>HYPERLINK("Melting_Curves/meltCurve_Q14161_GIT2.pdf", "Melting_Curves/meltCurve_Q14161_GIT2.pdf")</f>
        <v>Melting_Curves/meltCurve_Q14161_GIT2.pdf</v>
      </c>
    </row>
    <row r="3409" spans="1:28" x14ac:dyDescent="0.25">
      <c r="A3409" t="s">
        <v>3413</v>
      </c>
      <c r="B3409">
        <v>0.99193492352474899</v>
      </c>
      <c r="C3409">
        <v>0.94109869151236902</v>
      </c>
      <c r="D3409">
        <v>0.99214145690379996</v>
      </c>
      <c r="E3409">
        <v>0.79782213906608002</v>
      </c>
      <c r="F3409">
        <v>0.30554030922528302</v>
      </c>
      <c r="G3409">
        <v>0.135703024820712</v>
      </c>
      <c r="H3409">
        <v>7.7771683781944295E-2</v>
      </c>
      <c r="I3409">
        <v>9.0005544101297796E-2</v>
      </c>
      <c r="J3409">
        <v>0.116866882263555</v>
      </c>
      <c r="K3409">
        <v>0.11672313683914699</v>
      </c>
      <c r="L3409">
        <v>1803.9921203214601</v>
      </c>
      <c r="M3409">
        <v>35.128739608042402</v>
      </c>
      <c r="N3409">
        <v>51.6834671929725</v>
      </c>
      <c r="O3409">
        <v>51.188173550866303</v>
      </c>
      <c r="P3409">
        <v>-0.15434394719913</v>
      </c>
      <c r="Q3409">
        <v>0.100388182199008</v>
      </c>
      <c r="R3409">
        <v>0.99688209512770998</v>
      </c>
      <c r="S3409" t="s">
        <v>10079</v>
      </c>
      <c r="T3409" t="s">
        <v>13338</v>
      </c>
      <c r="U3409" t="s">
        <v>13338</v>
      </c>
      <c r="V3409" t="s">
        <v>13338</v>
      </c>
      <c r="W3409" t="s">
        <v>16700</v>
      </c>
      <c r="X3409">
        <v>20</v>
      </c>
      <c r="Y3409" t="s">
        <v>23231</v>
      </c>
      <c r="Z3409" t="s">
        <v>29824</v>
      </c>
      <c r="AA3409">
        <v>0.44499960196535221</v>
      </c>
      <c r="AB3409" t="str">
        <f>HYPERLINK("Melting_Curves/meltCurve_Q14165_MLEC.pdf", "Melting_Curves/meltCurve_Q14165_MLEC.pdf")</f>
        <v>Melting_Curves/meltCurve_Q14165_MLEC.pdf</v>
      </c>
    </row>
    <row r="3410" spans="1:28" x14ac:dyDescent="0.25">
      <c r="A3410" t="s">
        <v>3414</v>
      </c>
      <c r="B3410">
        <v>0.99193492352474899</v>
      </c>
      <c r="C3410">
        <v>0.75181638810346196</v>
      </c>
      <c r="D3410">
        <v>0.366019366126139</v>
      </c>
      <c r="E3410">
        <v>0.149582817526937</v>
      </c>
      <c r="F3410">
        <v>9.6130454694553294E-2</v>
      </c>
      <c r="G3410">
        <v>7.2202620841324602E-2</v>
      </c>
      <c r="H3410">
        <v>3.9043561535967497E-2</v>
      </c>
      <c r="I3410">
        <v>4.5421583357544301E-2</v>
      </c>
      <c r="J3410">
        <v>4.60626035683524E-2</v>
      </c>
      <c r="K3410">
        <v>4.8289864288717503E-2</v>
      </c>
      <c r="L3410">
        <v>1113.34695451381</v>
      </c>
      <c r="M3410">
        <v>24.874035440444501</v>
      </c>
      <c r="N3410">
        <v>44.971329969249503</v>
      </c>
      <c r="O3410">
        <v>44.4731140317908</v>
      </c>
      <c r="P3410">
        <v>-0.13209434148574001</v>
      </c>
      <c r="Q3410">
        <v>5.5309541719999203E-2</v>
      </c>
      <c r="R3410">
        <v>0.99697463648783102</v>
      </c>
      <c r="S3410" t="s">
        <v>10080</v>
      </c>
      <c r="T3410" t="s">
        <v>13338</v>
      </c>
      <c r="U3410" t="s">
        <v>13338</v>
      </c>
      <c r="V3410" t="s">
        <v>13338</v>
      </c>
      <c r="W3410" t="s">
        <v>16701</v>
      </c>
      <c r="X3410">
        <v>16</v>
      </c>
      <c r="Y3410" t="s">
        <v>23232</v>
      </c>
      <c r="Z3410" t="s">
        <v>29825</v>
      </c>
      <c r="AA3410">
        <v>0.21496882134324599</v>
      </c>
      <c r="AB3410" t="str">
        <f>HYPERLINK("Melting_Curves/meltCurve_Q14166_TTLL12.pdf", "Melting_Curves/meltCurve_Q14166_TTLL12.pdf")</f>
        <v>Melting_Curves/meltCurve_Q14166_TTLL12.pdf</v>
      </c>
    </row>
    <row r="3411" spans="1:28" x14ac:dyDescent="0.25">
      <c r="A3411" t="s">
        <v>3415</v>
      </c>
      <c r="B3411">
        <v>0.99193492352474899</v>
      </c>
      <c r="C3411">
        <v>0.78994934326224797</v>
      </c>
      <c r="D3411">
        <v>0.58855692930145298</v>
      </c>
      <c r="E3411">
        <v>0.286263487418498</v>
      </c>
      <c r="F3411">
        <v>0.16152887632005</v>
      </c>
      <c r="G3411">
        <v>0.10200812580727101</v>
      </c>
      <c r="H3411">
        <v>7.1699986899138396E-2</v>
      </c>
      <c r="I3411">
        <v>8.7335009209364003E-2</v>
      </c>
      <c r="J3411">
        <v>9.7181299996238604E-2</v>
      </c>
      <c r="K3411">
        <v>8.6399401248853896E-2</v>
      </c>
      <c r="L3411">
        <v>847.68659992016603</v>
      </c>
      <c r="M3411">
        <v>18.2962213415055</v>
      </c>
      <c r="N3411">
        <v>46.770768218489003</v>
      </c>
      <c r="O3411">
        <v>45.788384468076998</v>
      </c>
      <c r="P3411">
        <v>-9.2009533812807701E-2</v>
      </c>
      <c r="Q3411">
        <v>7.8984848006359104E-2</v>
      </c>
      <c r="R3411">
        <v>0.99610379673761495</v>
      </c>
      <c r="S3411" t="s">
        <v>10081</v>
      </c>
      <c r="T3411" t="s">
        <v>13338</v>
      </c>
      <c r="U3411" t="s">
        <v>13338</v>
      </c>
      <c r="V3411" t="s">
        <v>13338</v>
      </c>
      <c r="W3411" t="s">
        <v>16702</v>
      </c>
      <c r="X3411">
        <v>8</v>
      </c>
      <c r="Y3411" t="s">
        <v>23233</v>
      </c>
      <c r="Z3411" t="s">
        <v>29826</v>
      </c>
      <c r="AA3411">
        <v>0.29038478540345231</v>
      </c>
      <c r="AB3411" t="str">
        <f>HYPERLINK("Melting_Curves/meltCurve_Q14181_POLA2.pdf", "Melting_Curves/meltCurve_Q14181_POLA2.pdf")</f>
        <v>Melting_Curves/meltCurve_Q14181_POLA2.pdf</v>
      </c>
    </row>
    <row r="3412" spans="1:28" x14ac:dyDescent="0.25">
      <c r="A3412" t="s">
        <v>3416</v>
      </c>
      <c r="B3412">
        <v>0.99193492352474899</v>
      </c>
      <c r="C3412">
        <v>0.575684796570613</v>
      </c>
      <c r="D3412">
        <v>0.52074705149846401</v>
      </c>
      <c r="E3412">
        <v>9.65743666421746E-2</v>
      </c>
      <c r="F3412">
        <v>0</v>
      </c>
      <c r="G3412">
        <v>0</v>
      </c>
      <c r="H3412">
        <v>3.3505135394214298E-2</v>
      </c>
      <c r="I3412">
        <v>0</v>
      </c>
      <c r="J3412">
        <v>4.1719026870845499E-2</v>
      </c>
      <c r="K3412">
        <v>0</v>
      </c>
      <c r="L3412">
        <v>828.23361371379303</v>
      </c>
      <c r="M3412">
        <v>18.427373698283098</v>
      </c>
      <c r="N3412">
        <v>44.945820452657799</v>
      </c>
      <c r="O3412">
        <v>44.4265484310434</v>
      </c>
      <c r="P3412">
        <v>-0.103700395532153</v>
      </c>
      <c r="Q3412">
        <v>0</v>
      </c>
      <c r="R3412">
        <v>0.95548531172517004</v>
      </c>
      <c r="S3412" t="s">
        <v>10082</v>
      </c>
      <c r="T3412" t="s">
        <v>13338</v>
      </c>
      <c r="U3412" t="s">
        <v>13338</v>
      </c>
      <c r="V3412" t="s">
        <v>13338</v>
      </c>
      <c r="W3412" t="s">
        <v>16703</v>
      </c>
      <c r="X3412">
        <v>1</v>
      </c>
      <c r="Y3412" t="s">
        <v>23234</v>
      </c>
      <c r="Z3412" t="s">
        <v>29827</v>
      </c>
      <c r="AA3412">
        <v>0.18543560736544359</v>
      </c>
      <c r="AB3412" t="str">
        <f>HYPERLINK("Melting_Curves/meltCurve_Q14183_DOC2A.pdf", "Melting_Curves/meltCurve_Q14183_DOC2A.pdf")</f>
        <v>Melting_Curves/meltCurve_Q14183_DOC2A.pdf</v>
      </c>
    </row>
    <row r="3413" spans="1:28" x14ac:dyDescent="0.25">
      <c r="A3413" t="s">
        <v>3417</v>
      </c>
      <c r="B3413">
        <v>0.99193492352474899</v>
      </c>
      <c r="C3413">
        <v>0.554074271879471</v>
      </c>
      <c r="D3413">
        <v>0.55621134017812401</v>
      </c>
      <c r="E3413">
        <v>0.24224276407715201</v>
      </c>
      <c r="F3413">
        <v>0.14864539952546199</v>
      </c>
      <c r="G3413">
        <v>5.2447515057730397E-2</v>
      </c>
      <c r="H3413">
        <v>3.3771964988707E-2</v>
      </c>
      <c r="I3413">
        <v>3.7923131588025398E-2</v>
      </c>
      <c r="J3413">
        <v>6.65097125594898E-2</v>
      </c>
      <c r="K3413">
        <v>5.0838080748940598E-2</v>
      </c>
      <c r="L3413">
        <v>645.86844814570804</v>
      </c>
      <c r="M3413">
        <v>14.2314001236554</v>
      </c>
      <c r="N3413">
        <v>45.5852358387368</v>
      </c>
      <c r="O3413">
        <v>44.515451055854498</v>
      </c>
      <c r="P3413">
        <v>-7.7492451000005194E-2</v>
      </c>
      <c r="Q3413">
        <v>3.05428166185693E-2</v>
      </c>
      <c r="R3413">
        <v>0.95098875982104902</v>
      </c>
      <c r="S3413" t="s">
        <v>10083</v>
      </c>
      <c r="T3413" t="s">
        <v>13338</v>
      </c>
      <c r="U3413" t="s">
        <v>13338</v>
      </c>
      <c r="V3413" t="s">
        <v>13338</v>
      </c>
      <c r="W3413" t="s">
        <v>16704</v>
      </c>
      <c r="X3413">
        <v>3</v>
      </c>
      <c r="Y3413" t="s">
        <v>23235</v>
      </c>
      <c r="Z3413" t="s">
        <v>29828</v>
      </c>
      <c r="AA3413">
        <v>0.23790614275064431</v>
      </c>
      <c r="AB3413" t="str">
        <f>HYPERLINK("Melting_Curves/meltCurve_Q14186_TFDP1.pdf", "Melting_Curves/meltCurve_Q14186_TFDP1.pdf")</f>
        <v>Melting_Curves/meltCurve_Q14186_TFDP1.pdf</v>
      </c>
    </row>
    <row r="3414" spans="1:28" x14ac:dyDescent="0.25">
      <c r="A3414" t="s">
        <v>3418</v>
      </c>
      <c r="B3414">
        <v>0.99193492352474899</v>
      </c>
      <c r="C3414">
        <v>0.91832767393522896</v>
      </c>
      <c r="D3414">
        <v>0.76083800260879997</v>
      </c>
      <c r="E3414">
        <v>0.50898467987658202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1208.7445713735599</v>
      </c>
      <c r="M3414">
        <v>24.733582314075498</v>
      </c>
      <c r="N3414">
        <v>48.870582362379601</v>
      </c>
      <c r="O3414">
        <v>48.5544758714585</v>
      </c>
      <c r="P3414">
        <v>-0.12735143930554499</v>
      </c>
      <c r="Q3414">
        <v>0</v>
      </c>
      <c r="R3414">
        <v>0.98109998705845203</v>
      </c>
      <c r="S3414" t="s">
        <v>10084</v>
      </c>
      <c r="T3414" t="s">
        <v>13338</v>
      </c>
      <c r="U3414" t="s">
        <v>13338</v>
      </c>
      <c r="V3414" t="s">
        <v>13338</v>
      </c>
      <c r="W3414" t="s">
        <v>16705</v>
      </c>
      <c r="X3414">
        <v>2</v>
      </c>
      <c r="Y3414" t="s">
        <v>23236</v>
      </c>
      <c r="Z3414" t="s">
        <v>29829</v>
      </c>
      <c r="AA3414">
        <v>0.30473896889000079</v>
      </c>
      <c r="AB3414" t="str">
        <f>HYPERLINK("Melting_Curves/meltCurve_Q14188_TFDP2.pdf", "Melting_Curves/meltCurve_Q14188_TFDP2.pdf")</f>
        <v>Melting_Curves/meltCurve_Q14188_TFDP2.pdf</v>
      </c>
    </row>
    <row r="3415" spans="1:28" x14ac:dyDescent="0.25">
      <c r="A3415" t="s">
        <v>3419</v>
      </c>
      <c r="B3415">
        <v>0.99193492352474899</v>
      </c>
      <c r="C3415">
        <v>0.95286158195043902</v>
      </c>
      <c r="D3415">
        <v>1.10310019748267</v>
      </c>
      <c r="E3415">
        <v>0.77374815118631601</v>
      </c>
      <c r="F3415">
        <v>0.23783570839766499</v>
      </c>
      <c r="G3415">
        <v>0.14726996560015099</v>
      </c>
      <c r="H3415">
        <v>9.1814499902995103E-2</v>
      </c>
      <c r="I3415">
        <v>0.10577974408969799</v>
      </c>
      <c r="J3415">
        <v>0.115046942464402</v>
      </c>
      <c r="K3415">
        <v>0.11676154972797601</v>
      </c>
      <c r="L3415">
        <v>2214.6621630971799</v>
      </c>
      <c r="M3415">
        <v>43.512444175455101</v>
      </c>
      <c r="N3415">
        <v>51.201880762511998</v>
      </c>
      <c r="O3415">
        <v>50.790037608743397</v>
      </c>
      <c r="P3415">
        <v>-0.189749400786596</v>
      </c>
      <c r="Q3415">
        <v>0.114058553823185</v>
      </c>
      <c r="R3415">
        <v>0.99045224754921601</v>
      </c>
      <c r="S3415" t="s">
        <v>10085</v>
      </c>
      <c r="T3415" t="s">
        <v>13338</v>
      </c>
      <c r="U3415" t="s">
        <v>13338</v>
      </c>
      <c r="V3415" t="s">
        <v>13338</v>
      </c>
      <c r="W3415" t="s">
        <v>16706</v>
      </c>
      <c r="X3415">
        <v>133</v>
      </c>
      <c r="Y3415" t="s">
        <v>23237</v>
      </c>
      <c r="Z3415" t="s">
        <v>29830</v>
      </c>
      <c r="AA3415">
        <v>0.43849910480683207</v>
      </c>
      <c r="AB3415" t="str">
        <f>HYPERLINK("Melting_Curves/meltCurve_Q14204_DYNC1H1.pdf", "Melting_Curves/meltCurve_Q14204_DYNC1H1.pdf")</f>
        <v>Melting_Curves/meltCurve_Q14204_DYNC1H1.pdf</v>
      </c>
    </row>
    <row r="3416" spans="1:28" x14ac:dyDescent="0.25">
      <c r="A3416" t="s">
        <v>3420</v>
      </c>
      <c r="B3416">
        <v>0.99193492352474899</v>
      </c>
      <c r="C3416">
        <v>0.83932570397063999</v>
      </c>
      <c r="D3416">
        <v>0.91683812481182403</v>
      </c>
      <c r="E3416">
        <v>0.80485401653067001</v>
      </c>
      <c r="F3416">
        <v>0.64433482490458605</v>
      </c>
      <c r="G3416">
        <v>0.41412928935868798</v>
      </c>
      <c r="H3416">
        <v>9.1449675631166794E-2</v>
      </c>
      <c r="I3416">
        <v>8.7795914575871895E-2</v>
      </c>
      <c r="J3416">
        <v>9.1498164639182394E-2</v>
      </c>
      <c r="K3416">
        <v>9.59248102144592E-2</v>
      </c>
      <c r="L3416">
        <v>803.84509818818594</v>
      </c>
      <c r="M3416">
        <v>14.7121097613008</v>
      </c>
      <c r="N3416">
        <v>54.713436781451101</v>
      </c>
      <c r="O3416">
        <v>53.658631318316701</v>
      </c>
      <c r="P3416">
        <v>-6.7867110634E-2</v>
      </c>
      <c r="Q3416">
        <v>9.9966761286235002E-3</v>
      </c>
      <c r="R3416">
        <v>0.97075911909828105</v>
      </c>
      <c r="S3416" t="s">
        <v>10086</v>
      </c>
      <c r="T3416" t="s">
        <v>13338</v>
      </c>
      <c r="U3416" t="s">
        <v>13338</v>
      </c>
      <c r="V3416" t="s">
        <v>13338</v>
      </c>
      <c r="W3416" t="s">
        <v>16707</v>
      </c>
      <c r="X3416">
        <v>13</v>
      </c>
      <c r="Y3416" t="s">
        <v>23238</v>
      </c>
      <c r="Z3416" t="s">
        <v>29831</v>
      </c>
      <c r="AA3416">
        <v>0.51305375203936421</v>
      </c>
      <c r="AB3416" t="str">
        <f>HYPERLINK("Melting_Curves/meltCurve_Q14232_EIF2B1.pdf", "Melting_Curves/meltCurve_Q14232_EIF2B1.pdf")</f>
        <v>Melting_Curves/meltCurve_Q14232_EIF2B1.pdf</v>
      </c>
    </row>
    <row r="3417" spans="1:28" x14ac:dyDescent="0.25">
      <c r="A3417" t="s">
        <v>3421</v>
      </c>
      <c r="B3417">
        <v>0.99193492352474899</v>
      </c>
      <c r="C3417">
        <v>0.89270451774318005</v>
      </c>
      <c r="D3417">
        <v>0.92275728506250398</v>
      </c>
      <c r="E3417">
        <v>0.72425297728839699</v>
      </c>
      <c r="F3417">
        <v>0.59891357916493604</v>
      </c>
      <c r="G3417">
        <v>0.33392726581620202</v>
      </c>
      <c r="H3417">
        <v>0.15286090697483301</v>
      </c>
      <c r="I3417">
        <v>0.18290813733302</v>
      </c>
      <c r="J3417">
        <v>0.17388070424236801</v>
      </c>
      <c r="K3417">
        <v>0.18364216699034799</v>
      </c>
      <c r="L3417">
        <v>786.46515950367802</v>
      </c>
      <c r="M3417">
        <v>14.9187876904428</v>
      </c>
      <c r="N3417">
        <v>53.7440715873404</v>
      </c>
      <c r="O3417">
        <v>51.796447187816298</v>
      </c>
      <c r="P3417">
        <v>-6.30778672532704E-2</v>
      </c>
      <c r="Q3417">
        <v>0.124091760537136</v>
      </c>
      <c r="R3417">
        <v>0.98202941550966505</v>
      </c>
      <c r="S3417" t="s">
        <v>10087</v>
      </c>
      <c r="T3417" t="s">
        <v>13338</v>
      </c>
      <c r="U3417" t="s">
        <v>13338</v>
      </c>
      <c r="V3417" t="s">
        <v>13338</v>
      </c>
      <c r="W3417" t="s">
        <v>16708</v>
      </c>
      <c r="X3417">
        <v>28</v>
      </c>
      <c r="Y3417" t="s">
        <v>23239</v>
      </c>
      <c r="Z3417" t="s">
        <v>29832</v>
      </c>
      <c r="AA3417">
        <v>0.51458931667844687</v>
      </c>
      <c r="AB3417" t="str">
        <f>HYPERLINK("Melting_Curves/meltCurve_Q14240_EIF4A2.pdf", "Melting_Curves/meltCurve_Q14240_EIF4A2.pdf")</f>
        <v>Melting_Curves/meltCurve_Q14240_EIF4A2.pdf</v>
      </c>
    </row>
    <row r="3418" spans="1:28" x14ac:dyDescent="0.25">
      <c r="A3418" t="s">
        <v>3422</v>
      </c>
      <c r="B3418">
        <v>0.99193492352474899</v>
      </c>
      <c r="C3418">
        <v>0.32375594764303101</v>
      </c>
      <c r="D3418">
        <v>0.69758264349335197</v>
      </c>
      <c r="E3418">
        <v>0.19060481936214899</v>
      </c>
      <c r="F3418">
        <v>0.108577527958878</v>
      </c>
      <c r="G3418">
        <v>5.8664137815398899E-2</v>
      </c>
      <c r="H3418">
        <v>3.9878134564333298E-2</v>
      </c>
      <c r="I3418">
        <v>5.7294644103244703E-2</v>
      </c>
      <c r="J3418">
        <v>6.5785748907563807E-2</v>
      </c>
      <c r="K3418">
        <v>7.3419062437089497E-2</v>
      </c>
      <c r="L3418">
        <v>564.62723079168802</v>
      </c>
      <c r="M3418">
        <v>12.621647940423699</v>
      </c>
      <c r="N3418">
        <v>44.954189045017401</v>
      </c>
      <c r="O3418">
        <v>43.656449724669301</v>
      </c>
      <c r="P3418">
        <v>-7.0133533189278494E-2</v>
      </c>
      <c r="Q3418">
        <v>2.9865716396241901E-2</v>
      </c>
      <c r="R3418">
        <v>0.78241875170443698</v>
      </c>
      <c r="S3418" t="s">
        <v>10088</v>
      </c>
      <c r="T3418" t="s">
        <v>13338</v>
      </c>
      <c r="U3418" t="s">
        <v>13338</v>
      </c>
      <c r="V3418" t="s">
        <v>13338</v>
      </c>
      <c r="W3418" t="s">
        <v>16709</v>
      </c>
      <c r="X3418">
        <v>17</v>
      </c>
      <c r="Y3418" t="s">
        <v>23240</v>
      </c>
      <c r="Z3418" t="s">
        <v>29833</v>
      </c>
      <c r="AA3418">
        <v>0.2282797156944065</v>
      </c>
      <c r="AB3418" t="str">
        <f>HYPERLINK("Melting_Curves/meltCurve_Q14241_TCEB3.pdf", "Melting_Curves/meltCurve_Q14241_TCEB3.pdf")</f>
        <v>Melting_Curves/meltCurve_Q14241_TCEB3.pdf</v>
      </c>
    </row>
    <row r="3419" spans="1:28" x14ac:dyDescent="0.25">
      <c r="A3419" t="s">
        <v>3423</v>
      </c>
      <c r="B3419">
        <v>0.99193492352474899</v>
      </c>
      <c r="C3419">
        <v>1.1078197556476901</v>
      </c>
      <c r="D3419">
        <v>0.83664907193470595</v>
      </c>
      <c r="E3419">
        <v>0.89947555202924501</v>
      </c>
      <c r="F3419">
        <v>0.58461363573663905</v>
      </c>
      <c r="G3419">
        <v>0.38908473162088397</v>
      </c>
      <c r="H3419">
        <v>0.31146116800118501</v>
      </c>
      <c r="I3419">
        <v>0.41559947879549503</v>
      </c>
      <c r="J3419">
        <v>0.40683047670663403</v>
      </c>
      <c r="K3419">
        <v>0.48954866734671099</v>
      </c>
      <c r="L3419">
        <v>1724.9682567156301</v>
      </c>
      <c r="M3419">
        <v>33.320774541804099</v>
      </c>
      <c r="N3419">
        <v>54.357092753858197</v>
      </c>
      <c r="O3419">
        <v>51.583157094557997</v>
      </c>
      <c r="P3419">
        <v>-9.7265008897902294E-2</v>
      </c>
      <c r="Q3419">
        <v>0.39770731218708599</v>
      </c>
      <c r="R3419">
        <v>0.92746031806826401</v>
      </c>
      <c r="S3419" t="s">
        <v>10089</v>
      </c>
      <c r="T3419" t="s">
        <v>13338</v>
      </c>
      <c r="U3419" t="s">
        <v>13338</v>
      </c>
      <c r="V3419" t="s">
        <v>13338</v>
      </c>
      <c r="W3419" t="s">
        <v>16710</v>
      </c>
      <c r="X3419">
        <v>5</v>
      </c>
      <c r="Y3419" t="s">
        <v>23241</v>
      </c>
      <c r="Z3419" t="s">
        <v>29834</v>
      </c>
      <c r="AA3419">
        <v>0.63708722647724014</v>
      </c>
      <c r="AB3419" t="str">
        <f>HYPERLINK("Melting_Curves/meltCurve_Q14242_SELPLG.pdf", "Melting_Curves/meltCurve_Q14242_SELPLG.pdf")</f>
        <v>Melting_Curves/meltCurve_Q14242_SELPLG.pdf</v>
      </c>
    </row>
    <row r="3420" spans="1:28" x14ac:dyDescent="0.25">
      <c r="A3420" t="s">
        <v>3424</v>
      </c>
      <c r="B3420">
        <v>0.99193492352474899</v>
      </c>
      <c r="C3420">
        <v>0.82160282563647002</v>
      </c>
      <c r="D3420">
        <v>0.88739841806833297</v>
      </c>
      <c r="E3420">
        <v>0.71388884646244299</v>
      </c>
      <c r="F3420">
        <v>0.62873026874207805</v>
      </c>
      <c r="G3420">
        <v>0.43363067455693999</v>
      </c>
      <c r="H3420">
        <v>0.32731890001021502</v>
      </c>
      <c r="I3420">
        <v>0.41089176735151001</v>
      </c>
      <c r="J3420">
        <v>0.54154769239004497</v>
      </c>
      <c r="K3420">
        <v>0.76315424950974198</v>
      </c>
      <c r="L3420">
        <v>821.96541055906698</v>
      </c>
      <c r="M3420">
        <v>17.0790231911758</v>
      </c>
      <c r="N3420">
        <v>68.736274143364099</v>
      </c>
      <c r="O3420">
        <v>47.481910087632002</v>
      </c>
      <c r="P3420">
        <v>-4.5233143395295203E-2</v>
      </c>
      <c r="Q3420">
        <v>0.49701430608970298</v>
      </c>
      <c r="R3420">
        <v>0.67390478038214796</v>
      </c>
      <c r="S3420" t="s">
        <v>10090</v>
      </c>
      <c r="T3420" t="s">
        <v>13338</v>
      </c>
      <c r="U3420" t="s">
        <v>13338</v>
      </c>
      <c r="V3420" t="s">
        <v>13338</v>
      </c>
      <c r="W3420" t="s">
        <v>16711</v>
      </c>
      <c r="X3420">
        <v>16</v>
      </c>
      <c r="Y3420" t="s">
        <v>23242</v>
      </c>
      <c r="Z3420" t="s">
        <v>29835</v>
      </c>
      <c r="AA3420">
        <v>0.6431856350706141</v>
      </c>
      <c r="AB3420" t="str">
        <f>HYPERLINK("Melting_Curves/meltCurve_Q14247_CTTN.pdf", "Melting_Curves/meltCurve_Q14247_CTTN.pdf")</f>
        <v>Melting_Curves/meltCurve_Q14247_CTTN.pdf</v>
      </c>
    </row>
    <row r="3421" spans="1:28" x14ac:dyDescent="0.25">
      <c r="A3421" t="s">
        <v>3425</v>
      </c>
      <c r="B3421">
        <v>0.99193492352474899</v>
      </c>
      <c r="C3421">
        <v>0.66298228044615903</v>
      </c>
      <c r="D3421">
        <v>1.04501903959292</v>
      </c>
      <c r="E3421">
        <v>0.4553052385327</v>
      </c>
      <c r="F3421">
        <v>0.35178004567082499</v>
      </c>
      <c r="G3421">
        <v>7.2836016498459694E-2</v>
      </c>
      <c r="H3421">
        <v>0</v>
      </c>
      <c r="I3421">
        <v>2.6020680783316701E-2</v>
      </c>
      <c r="J3421">
        <v>3.7070010275448199E-2</v>
      </c>
      <c r="K3421">
        <v>0</v>
      </c>
      <c r="L3421">
        <v>887.76643717110699</v>
      </c>
      <c r="M3421">
        <v>17.665276801751499</v>
      </c>
      <c r="N3421">
        <v>50.254872407263299</v>
      </c>
      <c r="O3421">
        <v>49.6241260347172</v>
      </c>
      <c r="P3421">
        <v>-8.9000090150427896E-2</v>
      </c>
      <c r="Q3421">
        <v>0</v>
      </c>
      <c r="R3421">
        <v>0.90226059554170801</v>
      </c>
      <c r="S3421" t="s">
        <v>10091</v>
      </c>
      <c r="T3421" t="s">
        <v>13338</v>
      </c>
      <c r="U3421" t="s">
        <v>13338</v>
      </c>
      <c r="V3421" t="s">
        <v>13338</v>
      </c>
      <c r="W3421" t="s">
        <v>16712</v>
      </c>
      <c r="X3421">
        <v>15</v>
      </c>
      <c r="Y3421" t="s">
        <v>23242</v>
      </c>
      <c r="Z3421" t="s">
        <v>29836</v>
      </c>
      <c r="AA3421">
        <v>0.35943487745290309</v>
      </c>
      <c r="AB3421" t="str">
        <f>HYPERLINK("Melting_Curves/meltCurve_Q14247_2_CTTN.pdf", "Melting_Curves/meltCurve_Q14247_2_CTTN.pdf")</f>
        <v>Melting_Curves/meltCurve_Q14247_2_CTTN.pdf</v>
      </c>
    </row>
    <row r="3422" spans="1:28" x14ac:dyDescent="0.25">
      <c r="A3422" t="s">
        <v>3426</v>
      </c>
      <c r="B3422">
        <v>0.99193492352474899</v>
      </c>
      <c r="C3422">
        <v>1.07303410314817</v>
      </c>
      <c r="D3422">
        <v>0.96394471322669695</v>
      </c>
      <c r="E3422">
        <v>0.66332532574883796</v>
      </c>
      <c r="F3422">
        <v>0.370050174421651</v>
      </c>
      <c r="G3422">
        <v>0.17179270611262401</v>
      </c>
      <c r="H3422">
        <v>0.155383070956399</v>
      </c>
      <c r="I3422">
        <v>9.6781263696972694E-2</v>
      </c>
      <c r="J3422">
        <v>0.14394154681469401</v>
      </c>
      <c r="K3422">
        <v>0.10807700457627099</v>
      </c>
      <c r="L3422">
        <v>1243.25879474985</v>
      </c>
      <c r="M3422">
        <v>24.440119080676102</v>
      </c>
      <c r="N3422">
        <v>51.446133898913097</v>
      </c>
      <c r="O3422">
        <v>50.532676021144901</v>
      </c>
      <c r="P3422">
        <v>-0.106429609066878</v>
      </c>
      <c r="Q3422">
        <v>0.11979229601227</v>
      </c>
      <c r="R3422">
        <v>0.99261638845905598</v>
      </c>
      <c r="S3422" t="s">
        <v>10092</v>
      </c>
      <c r="T3422" t="s">
        <v>13338</v>
      </c>
      <c r="U3422" t="s">
        <v>13338</v>
      </c>
      <c r="V3422" t="s">
        <v>13338</v>
      </c>
      <c r="W3422" t="s">
        <v>16713</v>
      </c>
      <c r="X3422">
        <v>4</v>
      </c>
      <c r="Y3422" t="s">
        <v>23243</v>
      </c>
      <c r="Z3422" t="s">
        <v>29837</v>
      </c>
      <c r="AA3422">
        <v>0.44701155646223539</v>
      </c>
      <c r="AB3422" t="str">
        <f>HYPERLINK("Melting_Curves/meltCurve_Q14249_ENDOG.pdf", "Melting_Curves/meltCurve_Q14249_ENDOG.pdf")</f>
        <v>Melting_Curves/meltCurve_Q14249_ENDOG.pdf</v>
      </c>
    </row>
    <row r="3423" spans="1:28" x14ac:dyDescent="0.25">
      <c r="A3423" t="s">
        <v>3427</v>
      </c>
      <c r="B3423">
        <v>0.99193492352474899</v>
      </c>
      <c r="C3423">
        <v>0.77924992467355902</v>
      </c>
      <c r="D3423">
        <v>0.93381176619592998</v>
      </c>
      <c r="E3423">
        <v>0.73819481384645402</v>
      </c>
      <c r="F3423">
        <v>0.78286118729755105</v>
      </c>
      <c r="G3423">
        <v>0.29984295030921099</v>
      </c>
      <c r="H3423">
        <v>0.12640360023973701</v>
      </c>
      <c r="I3423">
        <v>0.12986153486207</v>
      </c>
      <c r="J3423">
        <v>0.12616617369077601</v>
      </c>
      <c r="K3423">
        <v>0.148918120297483</v>
      </c>
      <c r="L3423">
        <v>908.92030945225201</v>
      </c>
      <c r="M3423">
        <v>16.7505973282667</v>
      </c>
      <c r="N3423">
        <v>54.768842477882004</v>
      </c>
      <c r="O3423">
        <v>53.506293505293399</v>
      </c>
      <c r="P3423">
        <v>-7.2649848307432305E-2</v>
      </c>
      <c r="Q3423">
        <v>7.1801575574010706E-2</v>
      </c>
      <c r="R3423">
        <v>0.91960247327511002</v>
      </c>
      <c r="S3423" t="s">
        <v>10093</v>
      </c>
      <c r="T3423" t="s">
        <v>13338</v>
      </c>
      <c r="U3423" t="s">
        <v>13338</v>
      </c>
      <c r="V3423" t="s">
        <v>13338</v>
      </c>
      <c r="W3423" t="s">
        <v>16714</v>
      </c>
      <c r="X3423">
        <v>14</v>
      </c>
      <c r="Y3423" t="s">
        <v>23244</v>
      </c>
      <c r="Z3423" t="s">
        <v>29838</v>
      </c>
      <c r="AA3423">
        <v>0.52936888720276132</v>
      </c>
      <c r="AB3423" t="str">
        <f>HYPERLINK("Melting_Curves/meltCurve_Q14254_FLOT2.pdf", "Melting_Curves/meltCurve_Q14254_FLOT2.pdf")</f>
        <v>Melting_Curves/meltCurve_Q14254_FLOT2.pdf</v>
      </c>
    </row>
    <row r="3424" spans="1:28" x14ac:dyDescent="0.25">
      <c r="A3424" t="s">
        <v>3428</v>
      </c>
      <c r="B3424">
        <v>0.99193492352474899</v>
      </c>
      <c r="C3424">
        <v>0.93912603252690596</v>
      </c>
      <c r="D3424">
        <v>1.06277095716127</v>
      </c>
      <c r="E3424">
        <v>0.70243477584243397</v>
      </c>
      <c r="F3424">
        <v>0.55670601173998202</v>
      </c>
      <c r="G3424">
        <v>0.235413660845881</v>
      </c>
      <c r="H3424">
        <v>0.20237364842536901</v>
      </c>
      <c r="I3424">
        <v>0.21139032072165301</v>
      </c>
      <c r="J3424">
        <v>0.34164791183133703</v>
      </c>
      <c r="K3424">
        <v>0.31428191920001203</v>
      </c>
      <c r="L3424">
        <v>1310.2917940755799</v>
      </c>
      <c r="M3424">
        <v>25.557351590008</v>
      </c>
      <c r="N3424">
        <v>52.751471877781498</v>
      </c>
      <c r="O3424">
        <v>50.9578873881728</v>
      </c>
      <c r="P3424">
        <v>-9.3258295053761001E-2</v>
      </c>
      <c r="Q3424">
        <v>0.25623167558222099</v>
      </c>
      <c r="R3424">
        <v>0.95267459626258499</v>
      </c>
      <c r="S3424" t="s">
        <v>10094</v>
      </c>
      <c r="T3424" t="s">
        <v>13338</v>
      </c>
      <c r="U3424" t="s">
        <v>13338</v>
      </c>
      <c r="V3424" t="s">
        <v>13338</v>
      </c>
      <c r="W3424" t="s">
        <v>16715</v>
      </c>
      <c r="X3424">
        <v>7</v>
      </c>
      <c r="Y3424" t="s">
        <v>23245</v>
      </c>
      <c r="Z3424" t="s">
        <v>29839</v>
      </c>
      <c r="AA3424">
        <v>0.54206182125569291</v>
      </c>
      <c r="AB3424" t="str">
        <f>HYPERLINK("Melting_Curves/meltCurve_Q14257_RCN2.pdf", "Melting_Curves/meltCurve_Q14257_RCN2.pdf")</f>
        <v>Melting_Curves/meltCurve_Q14257_RCN2.pdf</v>
      </c>
    </row>
    <row r="3425" spans="1:28" x14ac:dyDescent="0.25">
      <c r="A3425" t="s">
        <v>3429</v>
      </c>
      <c r="B3425">
        <v>0.99193492352474899</v>
      </c>
      <c r="C3425">
        <v>0.61373685061566297</v>
      </c>
      <c r="D3425">
        <v>0.95162934331710902</v>
      </c>
      <c r="E3425">
        <v>0.32054485901032598</v>
      </c>
      <c r="F3425">
        <v>0.17109235229869499</v>
      </c>
      <c r="G3425">
        <v>9.8755851674404094E-2</v>
      </c>
      <c r="H3425">
        <v>6.2436435798121498E-2</v>
      </c>
      <c r="I3425">
        <v>9.8179286166665394E-2</v>
      </c>
      <c r="J3425">
        <v>9.8928774674961001E-2</v>
      </c>
      <c r="K3425">
        <v>9.9684245623784196E-2</v>
      </c>
      <c r="S3425" t="s">
        <v>10095</v>
      </c>
      <c r="T3425" t="s">
        <v>13338</v>
      </c>
      <c r="U3425" t="s">
        <v>13339</v>
      </c>
      <c r="V3425" t="s">
        <v>13338</v>
      </c>
      <c r="W3425" t="s">
        <v>16716</v>
      </c>
      <c r="X3425">
        <v>13</v>
      </c>
      <c r="Y3425" t="s">
        <v>23246</v>
      </c>
      <c r="Z3425" t="s">
        <v>29840</v>
      </c>
      <c r="AB3425" t="str">
        <f>HYPERLINK("Melting_Curves/meltCurve_Q14258_TRIM25.pdf", "Melting_Curves/meltCurve_Q14258_TRIM25.pdf")</f>
        <v>Melting_Curves/meltCurve_Q14258_TRIM25.pdf</v>
      </c>
    </row>
    <row r="3426" spans="1:28" x14ac:dyDescent="0.25">
      <c r="A3426" t="s">
        <v>3430</v>
      </c>
      <c r="B3426">
        <v>0.99193492352474899</v>
      </c>
      <c r="C3426">
        <v>0.90402552102786504</v>
      </c>
      <c r="D3426">
        <v>0.57110116503199204</v>
      </c>
      <c r="E3426">
        <v>0.23363456919655301</v>
      </c>
      <c r="F3426">
        <v>0.15772825879330299</v>
      </c>
      <c r="G3426">
        <v>8.5811699939371502E-2</v>
      </c>
      <c r="H3426">
        <v>5.5010551973660601E-2</v>
      </c>
      <c r="I3426">
        <v>6.5603370347402601E-2</v>
      </c>
      <c r="J3426">
        <v>7.8357939461318193E-2</v>
      </c>
      <c r="K3426">
        <v>8.6853567291159298E-2</v>
      </c>
      <c r="L3426">
        <v>1123.78261495272</v>
      </c>
      <c r="M3426">
        <v>24.231979494679599</v>
      </c>
      <c r="N3426">
        <v>46.702279587377198</v>
      </c>
      <c r="O3426">
        <v>46.0636252294778</v>
      </c>
      <c r="P3426">
        <v>-0.121275264051632</v>
      </c>
      <c r="Q3426">
        <v>7.7864104639951207E-2</v>
      </c>
      <c r="R3426">
        <v>0.99733749521881299</v>
      </c>
      <c r="S3426" t="s">
        <v>10096</v>
      </c>
      <c r="T3426" t="s">
        <v>13338</v>
      </c>
      <c r="U3426" t="s">
        <v>13338</v>
      </c>
      <c r="V3426" t="s">
        <v>13338</v>
      </c>
      <c r="W3426" t="s">
        <v>16717</v>
      </c>
      <c r="X3426">
        <v>15</v>
      </c>
      <c r="Y3426" t="s">
        <v>23247</v>
      </c>
      <c r="Z3426" t="s">
        <v>29841</v>
      </c>
      <c r="AA3426">
        <v>0.28284251696477958</v>
      </c>
      <c r="AB3426" t="str">
        <f>HYPERLINK("Melting_Curves/meltCurve_Q14289_2_PTK2B.pdf", "Melting_Curves/meltCurve_Q14289_2_PTK2B.pdf")</f>
        <v>Melting_Curves/meltCurve_Q14289_2_PTK2B.pdf</v>
      </c>
    </row>
    <row r="3427" spans="1:28" x14ac:dyDescent="0.25">
      <c r="A3427" t="s">
        <v>3431</v>
      </c>
      <c r="B3427">
        <v>0.99193492352474899</v>
      </c>
      <c r="C3427">
        <v>0.65237503335401703</v>
      </c>
      <c r="D3427">
        <v>0.30931454165939798</v>
      </c>
      <c r="E3427">
        <v>0.107250927370816</v>
      </c>
      <c r="F3427">
        <v>6.7321496253332003E-2</v>
      </c>
      <c r="G3427">
        <v>3.6092600984856303E-2</v>
      </c>
      <c r="H3427">
        <v>2.1043555588006801E-2</v>
      </c>
      <c r="I3427">
        <v>2.57662964649562E-2</v>
      </c>
      <c r="J3427">
        <v>3.1745684415433198E-2</v>
      </c>
      <c r="K3427">
        <v>3.2422223838353498E-2</v>
      </c>
      <c r="L3427">
        <v>1087.60980933319</v>
      </c>
      <c r="M3427">
        <v>24.6247401578817</v>
      </c>
      <c r="N3427">
        <v>44.295790032639601</v>
      </c>
      <c r="O3427">
        <v>43.879182586566898</v>
      </c>
      <c r="P3427">
        <v>-0.13546677793964401</v>
      </c>
      <c r="Q3427">
        <v>3.4453112435202701E-2</v>
      </c>
      <c r="R3427">
        <v>0.99432090020844699</v>
      </c>
      <c r="S3427" t="s">
        <v>10097</v>
      </c>
      <c r="T3427" t="s">
        <v>13338</v>
      </c>
      <c r="U3427" t="s">
        <v>13338</v>
      </c>
      <c r="V3427" t="s">
        <v>13338</v>
      </c>
      <c r="W3427" t="s">
        <v>16718</v>
      </c>
      <c r="X3427">
        <v>9</v>
      </c>
      <c r="Y3427" t="s">
        <v>23248</v>
      </c>
      <c r="Z3427" t="s">
        <v>29842</v>
      </c>
      <c r="AA3427">
        <v>0.17972811635798619</v>
      </c>
      <c r="AB3427" t="str">
        <f>HYPERLINK("Melting_Curves/meltCurve_Q14318_2_FKBP8.pdf", "Melting_Curves/meltCurve_Q14318_2_FKBP8.pdf")</f>
        <v>Melting_Curves/meltCurve_Q14318_2_FKBP8.pdf</v>
      </c>
    </row>
    <row r="3428" spans="1:28" x14ac:dyDescent="0.25">
      <c r="A3428" t="s">
        <v>3432</v>
      </c>
      <c r="B3428">
        <v>0.99193492352474899</v>
      </c>
      <c r="C3428">
        <v>0.71631755892164695</v>
      </c>
      <c r="D3428">
        <v>0.73359221432750399</v>
      </c>
      <c r="E3428">
        <v>0.34122544258207799</v>
      </c>
      <c r="F3428">
        <v>0.15997956987467199</v>
      </c>
      <c r="G3428">
        <v>9.39316591612811E-2</v>
      </c>
      <c r="H3428">
        <v>6.8507764726928405E-2</v>
      </c>
      <c r="I3428">
        <v>9.1113123058529893E-2</v>
      </c>
      <c r="J3428">
        <v>0.106082101220544</v>
      </c>
      <c r="K3428">
        <v>0.14898280825145699</v>
      </c>
      <c r="L3428">
        <v>796.70388564850998</v>
      </c>
      <c r="M3428">
        <v>16.928228374398198</v>
      </c>
      <c r="N3428">
        <v>47.561565928372502</v>
      </c>
      <c r="O3428">
        <v>46.421565381842498</v>
      </c>
      <c r="P3428">
        <v>-8.3768046817594297E-2</v>
      </c>
      <c r="Q3428">
        <v>8.1203137764269406E-2</v>
      </c>
      <c r="R3428">
        <v>0.96303754105278805</v>
      </c>
      <c r="S3428" t="s">
        <v>10098</v>
      </c>
      <c r="T3428" t="s">
        <v>13338</v>
      </c>
      <c r="U3428" t="s">
        <v>13338</v>
      </c>
      <c r="V3428" t="s">
        <v>13338</v>
      </c>
      <c r="W3428" t="s">
        <v>16719</v>
      </c>
      <c r="X3428">
        <v>15</v>
      </c>
      <c r="Y3428" t="s">
        <v>23249</v>
      </c>
      <c r="Z3428" t="s">
        <v>29843</v>
      </c>
      <c r="AA3428">
        <v>0.31682856040775648</v>
      </c>
      <c r="AB3428" t="str">
        <f>HYPERLINK("Melting_Curves/meltCurve_Q14320_FAM50A.pdf", "Melting_Curves/meltCurve_Q14320_FAM50A.pdf")</f>
        <v>Melting_Curves/meltCurve_Q14320_FAM50A.pdf</v>
      </c>
    </row>
    <row r="3429" spans="1:28" x14ac:dyDescent="0.25">
      <c r="A3429" t="s">
        <v>3433</v>
      </c>
      <c r="B3429">
        <v>0.99193492352474899</v>
      </c>
      <c r="C3429">
        <v>0.64406786629012303</v>
      </c>
      <c r="D3429">
        <v>0.74208806119500803</v>
      </c>
      <c r="E3429">
        <v>0.516951211515016</v>
      </c>
      <c r="F3429">
        <v>0.19990905713840201</v>
      </c>
      <c r="G3429">
        <v>9.0289914465807905E-2</v>
      </c>
      <c r="H3429">
        <v>5.1808585047449097E-2</v>
      </c>
      <c r="I3429">
        <v>6.8730741926615296E-2</v>
      </c>
      <c r="J3429">
        <v>8.86294481547934E-2</v>
      </c>
      <c r="K3429">
        <v>9.8466514001736505E-2</v>
      </c>
      <c r="L3429">
        <v>598.798397954145</v>
      </c>
      <c r="M3429">
        <v>12.417301271363399</v>
      </c>
      <c r="N3429">
        <v>48.425190041903299</v>
      </c>
      <c r="O3429">
        <v>47.023435848739197</v>
      </c>
      <c r="P3429">
        <v>-6.4361683666225397E-2</v>
      </c>
      <c r="Q3429">
        <v>2.5273338526198501E-2</v>
      </c>
      <c r="R3429">
        <v>0.93793632734696797</v>
      </c>
      <c r="S3429" t="s">
        <v>10099</v>
      </c>
      <c r="T3429" t="s">
        <v>13338</v>
      </c>
      <c r="U3429" t="s">
        <v>13338</v>
      </c>
      <c r="V3429" t="s">
        <v>13338</v>
      </c>
      <c r="W3429" t="s">
        <v>16720</v>
      </c>
      <c r="X3429">
        <v>10</v>
      </c>
      <c r="Y3429" t="s">
        <v>23250</v>
      </c>
      <c r="Z3429" t="s">
        <v>29844</v>
      </c>
      <c r="AA3429">
        <v>0.32783258125030962</v>
      </c>
      <c r="AB3429" t="str">
        <f>HYPERLINK("Melting_Curves/meltCurve_Q14331_FRG1.pdf", "Melting_Curves/meltCurve_Q14331_FRG1.pdf")</f>
        <v>Melting_Curves/meltCurve_Q14331_FRG1.pdf</v>
      </c>
    </row>
    <row r="3430" spans="1:28" x14ac:dyDescent="0.25">
      <c r="A3430" t="s">
        <v>3434</v>
      </c>
      <c r="B3430">
        <v>0.99193492352474899</v>
      </c>
      <c r="C3430">
        <v>0.90832246439117803</v>
      </c>
      <c r="D3430">
        <v>0.94021027857695105</v>
      </c>
      <c r="E3430">
        <v>0.792203269609004</v>
      </c>
      <c r="F3430">
        <v>0.53332950216935004</v>
      </c>
      <c r="G3430">
        <v>0.21507682791754601</v>
      </c>
      <c r="H3430">
        <v>9.5552422636060896E-2</v>
      </c>
      <c r="I3430">
        <v>9.8887075334832902E-2</v>
      </c>
      <c r="J3430">
        <v>0.113022188064778</v>
      </c>
      <c r="K3430">
        <v>0.12982751378898399</v>
      </c>
      <c r="L3430">
        <v>1132.81635867099</v>
      </c>
      <c r="M3430">
        <v>21.520373752684002</v>
      </c>
      <c r="N3430">
        <v>53.117452815238799</v>
      </c>
      <c r="O3430">
        <v>52.191046328470698</v>
      </c>
      <c r="P3430">
        <v>-9.4008787372202293E-2</v>
      </c>
      <c r="Q3430">
        <v>8.8064634596123403E-2</v>
      </c>
      <c r="R3430">
        <v>0.98997612860594197</v>
      </c>
      <c r="S3430" t="s">
        <v>10100</v>
      </c>
      <c r="T3430" t="s">
        <v>13338</v>
      </c>
      <c r="U3430" t="s">
        <v>13338</v>
      </c>
      <c r="V3430" t="s">
        <v>13338</v>
      </c>
      <c r="W3430" t="s">
        <v>16721</v>
      </c>
      <c r="X3430">
        <v>15</v>
      </c>
      <c r="Y3430" t="s">
        <v>23251</v>
      </c>
      <c r="Z3430" t="s">
        <v>29845</v>
      </c>
      <c r="AA3430">
        <v>0.48331877245288091</v>
      </c>
      <c r="AB3430" t="str">
        <f>HYPERLINK("Melting_Curves/meltCurve_Q14344_GNA13.pdf", "Melting_Curves/meltCurve_Q14344_GNA13.pdf")</f>
        <v>Melting_Curves/meltCurve_Q14344_GNA13.pdf</v>
      </c>
    </row>
    <row r="3431" spans="1:28" x14ac:dyDescent="0.25">
      <c r="A3431" t="s">
        <v>3435</v>
      </c>
      <c r="B3431">
        <v>0.99193492352474899</v>
      </c>
      <c r="C3431">
        <v>0.91025076772270597</v>
      </c>
      <c r="D3431">
        <v>0.91569183537172605</v>
      </c>
      <c r="E3431">
        <v>0.47662836759952598</v>
      </c>
      <c r="F3431">
        <v>0.17834355303920299</v>
      </c>
      <c r="G3431">
        <v>0.104487491706174</v>
      </c>
      <c r="H3431">
        <v>7.2212852844860606E-2</v>
      </c>
      <c r="I3431">
        <v>7.5490048863144796E-2</v>
      </c>
      <c r="J3431">
        <v>9.4653078283148298E-2</v>
      </c>
      <c r="K3431">
        <v>8.7052575743157001E-2</v>
      </c>
      <c r="L3431">
        <v>1433.29226110884</v>
      </c>
      <c r="M3431">
        <v>29.146874864437201</v>
      </c>
      <c r="N3431">
        <v>49.481000490378698</v>
      </c>
      <c r="O3431">
        <v>48.945075680920098</v>
      </c>
      <c r="P3431">
        <v>-0.136592427046445</v>
      </c>
      <c r="Q3431">
        <v>8.25117585412736E-2</v>
      </c>
      <c r="R3431">
        <v>0.99503450548934602</v>
      </c>
      <c r="S3431" t="s">
        <v>10101</v>
      </c>
      <c r="T3431" t="s">
        <v>13338</v>
      </c>
      <c r="U3431" t="s">
        <v>13338</v>
      </c>
      <c r="V3431" t="s">
        <v>13338</v>
      </c>
      <c r="W3431" t="s">
        <v>16722</v>
      </c>
      <c r="X3431">
        <v>9</v>
      </c>
      <c r="Y3431" t="s">
        <v>23252</v>
      </c>
      <c r="Z3431" t="s">
        <v>29846</v>
      </c>
      <c r="AA3431">
        <v>0.36904749058109843</v>
      </c>
      <c r="AB3431" t="str">
        <f>HYPERLINK("Melting_Curves/meltCurve_Q14353_GAMT.pdf", "Melting_Curves/meltCurve_Q14353_GAMT.pdf")</f>
        <v>Melting_Curves/meltCurve_Q14353_GAMT.pdf</v>
      </c>
    </row>
    <row r="3432" spans="1:28" x14ac:dyDescent="0.25">
      <c r="A3432" t="s">
        <v>3436</v>
      </c>
      <c r="B3432">
        <v>0.99193492352474899</v>
      </c>
      <c r="C3432">
        <v>0.89206200102616295</v>
      </c>
      <c r="D3432">
        <v>0.93300802189663701</v>
      </c>
      <c r="E3432">
        <v>0.75602493002208004</v>
      </c>
      <c r="F3432">
        <v>0.67000112924121102</v>
      </c>
      <c r="G3432">
        <v>0.180022832736111</v>
      </c>
      <c r="H3432">
        <v>9.2216373168718294E-2</v>
      </c>
      <c r="I3432">
        <v>8.48875380525973E-2</v>
      </c>
      <c r="J3432">
        <v>9.5955289131226501E-2</v>
      </c>
      <c r="K3432">
        <v>9.3200533720405501E-2</v>
      </c>
      <c r="L3432">
        <v>1087.39124833808</v>
      </c>
      <c r="M3432">
        <v>20.360893080007902</v>
      </c>
      <c r="N3432">
        <v>53.7071360157735</v>
      </c>
      <c r="O3432">
        <v>52.898698617600701</v>
      </c>
      <c r="P3432">
        <v>-9.1035713669698398E-2</v>
      </c>
      <c r="Q3432">
        <v>5.39656440515233E-2</v>
      </c>
      <c r="R3432">
        <v>0.96922410024983596</v>
      </c>
      <c r="S3432" t="s">
        <v>10102</v>
      </c>
      <c r="T3432" t="s">
        <v>13338</v>
      </c>
      <c r="U3432" t="s">
        <v>13338</v>
      </c>
      <c r="V3432" t="s">
        <v>13338</v>
      </c>
      <c r="W3432" t="s">
        <v>16723</v>
      </c>
      <c r="X3432">
        <v>12</v>
      </c>
      <c r="Y3432" t="s">
        <v>23253</v>
      </c>
      <c r="Z3432" t="s">
        <v>29847</v>
      </c>
      <c r="AA3432">
        <v>0.48928961301815871</v>
      </c>
      <c r="AB3432" t="str">
        <f>HYPERLINK("Melting_Curves/meltCurve_Q14376_GALE.pdf", "Melting_Curves/meltCurve_Q14376_GALE.pdf")</f>
        <v>Melting_Curves/meltCurve_Q14376_GALE.pdf</v>
      </c>
    </row>
    <row r="3433" spans="1:28" x14ac:dyDescent="0.25">
      <c r="A3433" t="s">
        <v>3437</v>
      </c>
      <c r="B3433">
        <v>0.99193492352474899</v>
      </c>
      <c r="C3433">
        <v>0.41033472929737203</v>
      </c>
      <c r="D3433">
        <v>0.889401356959861</v>
      </c>
      <c r="E3433">
        <v>0.56967657911454195</v>
      </c>
      <c r="F3433">
        <v>0.53465819133901904</v>
      </c>
      <c r="G3433">
        <v>0.29370048306504398</v>
      </c>
      <c r="H3433">
        <v>0.18297265886940001</v>
      </c>
      <c r="I3433">
        <v>0.26640773693066799</v>
      </c>
      <c r="J3433">
        <v>0.31410576408115098</v>
      </c>
      <c r="K3433">
        <v>0.41465538878916902</v>
      </c>
      <c r="L3433">
        <v>382.26318267459601</v>
      </c>
      <c r="M3433">
        <v>8.0901657610077802</v>
      </c>
      <c r="N3433">
        <v>51.0875066302292</v>
      </c>
      <c r="O3433">
        <v>44.626102457019996</v>
      </c>
      <c r="P3433">
        <v>-3.5040774942419702E-2</v>
      </c>
      <c r="Q3433">
        <v>0.22768478103133899</v>
      </c>
      <c r="R3433">
        <v>0.59890052402153304</v>
      </c>
      <c r="S3433" t="s">
        <v>10103</v>
      </c>
      <c r="T3433" t="s">
        <v>13338</v>
      </c>
      <c r="U3433" t="s">
        <v>13338</v>
      </c>
      <c r="V3433" t="s">
        <v>13338</v>
      </c>
      <c r="W3433" t="s">
        <v>16724</v>
      </c>
      <c r="X3433">
        <v>22</v>
      </c>
      <c r="Y3433" t="s">
        <v>23254</v>
      </c>
      <c r="Z3433" t="s">
        <v>29848</v>
      </c>
      <c r="AA3433">
        <v>0.47357415779708251</v>
      </c>
      <c r="AB3433" t="str">
        <f>HYPERLINK("Melting_Curves/meltCurve_Q14444_CAPRIN1.pdf", "Melting_Curves/meltCurve_Q14444_CAPRIN1.pdf")</f>
        <v>Melting_Curves/meltCurve_Q14444_CAPRIN1.pdf</v>
      </c>
    </row>
    <row r="3434" spans="1:28" x14ac:dyDescent="0.25">
      <c r="A3434" t="s">
        <v>3438</v>
      </c>
      <c r="B3434">
        <v>0.99193492352474899</v>
      </c>
      <c r="C3434">
        <v>0.88289059915367596</v>
      </c>
      <c r="D3434">
        <v>0.90849811051722995</v>
      </c>
      <c r="E3434">
        <v>0.71396747768274404</v>
      </c>
      <c r="F3434">
        <v>0.39663528061284598</v>
      </c>
      <c r="G3434">
        <v>0.17364227255155601</v>
      </c>
      <c r="H3434">
        <v>9.4947642751030695E-2</v>
      </c>
      <c r="I3434">
        <v>0.117936250625562</v>
      </c>
      <c r="J3434">
        <v>0.117787864809617</v>
      </c>
      <c r="K3434">
        <v>0.121185513936186</v>
      </c>
      <c r="L3434">
        <v>1047.1626467836199</v>
      </c>
      <c r="M3434">
        <v>20.433088776921199</v>
      </c>
      <c r="N3434">
        <v>51.778263276378397</v>
      </c>
      <c r="O3434">
        <v>50.7650829384255</v>
      </c>
      <c r="P3434">
        <v>-9.1134645489193505E-2</v>
      </c>
      <c r="Q3434">
        <v>9.4347435299159302E-2</v>
      </c>
      <c r="R3434">
        <v>0.98948045171880705</v>
      </c>
      <c r="S3434" t="s">
        <v>10104</v>
      </c>
      <c r="T3434" t="s">
        <v>13338</v>
      </c>
      <c r="U3434" t="s">
        <v>13338</v>
      </c>
      <c r="V3434" t="s">
        <v>13338</v>
      </c>
      <c r="W3434" t="s">
        <v>16725</v>
      </c>
      <c r="X3434">
        <v>9</v>
      </c>
      <c r="Y3434" t="s">
        <v>23255</v>
      </c>
      <c r="Z3434" t="s">
        <v>29849</v>
      </c>
      <c r="AA3434">
        <v>0.44599164871476632</v>
      </c>
      <c r="AB3434" t="str">
        <f>HYPERLINK("Melting_Curves/meltCurve_Q14457_BECN1.pdf", "Melting_Curves/meltCurve_Q14457_BECN1.pdf")</f>
        <v>Melting_Curves/meltCurve_Q14457_BECN1.pdf</v>
      </c>
    </row>
    <row r="3435" spans="1:28" x14ac:dyDescent="0.25">
      <c r="A3435" t="s">
        <v>3439</v>
      </c>
      <c r="B3435">
        <v>0.99193492352474899</v>
      </c>
      <c r="C3435">
        <v>0.81157568718387296</v>
      </c>
      <c r="D3435">
        <v>1.30749433792738</v>
      </c>
      <c r="E3435">
        <v>0.57564622596350101</v>
      </c>
      <c r="F3435">
        <v>0.66752634178287895</v>
      </c>
      <c r="G3435">
        <v>0.73100767759075302</v>
      </c>
      <c r="H3435">
        <v>0.40658565877198</v>
      </c>
      <c r="I3435">
        <v>0.55286887914793004</v>
      </c>
      <c r="J3435">
        <v>1.4217413949537501</v>
      </c>
      <c r="K3435">
        <v>1.21820321011329</v>
      </c>
      <c r="L3435">
        <v>569.46019644598402</v>
      </c>
      <c r="M3435">
        <v>1.0000000000000001E-5</v>
      </c>
      <c r="Q3435">
        <v>1.5</v>
      </c>
      <c r="R3435">
        <v>-0.157629942139204</v>
      </c>
      <c r="S3435" t="s">
        <v>10105</v>
      </c>
      <c r="T3435" t="s">
        <v>13338</v>
      </c>
      <c r="U3435" t="s">
        <v>13338</v>
      </c>
      <c r="V3435" t="s">
        <v>13338</v>
      </c>
      <c r="W3435" t="s">
        <v>16726</v>
      </c>
      <c r="X3435">
        <v>3</v>
      </c>
      <c r="Y3435" t="s">
        <v>23256</v>
      </c>
      <c r="Z3435" t="s">
        <v>29850</v>
      </c>
      <c r="AA3435">
        <v>1.000034281171958</v>
      </c>
      <c r="AB3435" t="str">
        <f>HYPERLINK("Melting_Curves/meltCurve_Q14469_HES1.pdf", "Melting_Curves/meltCurve_Q14469_HES1.pdf")</f>
        <v>Melting_Curves/meltCurve_Q14469_HES1.pdf</v>
      </c>
    </row>
    <row r="3436" spans="1:28" x14ac:dyDescent="0.25">
      <c r="A3436" t="s">
        <v>3440</v>
      </c>
      <c r="B3436">
        <v>0.99193492352474899</v>
      </c>
      <c r="C3436">
        <v>0.38824329547744602</v>
      </c>
      <c r="D3436">
        <v>0.63760731356593003</v>
      </c>
      <c r="E3436">
        <v>0.15894773227339701</v>
      </c>
      <c r="F3436">
        <v>0.101005366704164</v>
      </c>
      <c r="G3436">
        <v>5.3603196157358597E-2</v>
      </c>
      <c r="H3436">
        <v>3.5872562005561097E-2</v>
      </c>
      <c r="I3436">
        <v>4.3810239825115303E-2</v>
      </c>
      <c r="J3436">
        <v>5.1840453759385799E-2</v>
      </c>
      <c r="K3436">
        <v>5.2257320864875001E-2</v>
      </c>
      <c r="L3436">
        <v>614.85212679015797</v>
      </c>
      <c r="M3436">
        <v>13.7519085098196</v>
      </c>
      <c r="N3436">
        <v>44.873909697368099</v>
      </c>
      <c r="O3436">
        <v>43.796677055478298</v>
      </c>
      <c r="P3436">
        <v>-7.6590191585739695E-2</v>
      </c>
      <c r="Q3436">
        <v>2.4449597299017401E-2</v>
      </c>
      <c r="R3436">
        <v>0.84755017194384197</v>
      </c>
      <c r="S3436" t="s">
        <v>10106</v>
      </c>
      <c r="T3436" t="s">
        <v>13338</v>
      </c>
      <c r="U3436" t="s">
        <v>13338</v>
      </c>
      <c r="V3436" t="s">
        <v>13338</v>
      </c>
      <c r="W3436" t="s">
        <v>16727</v>
      </c>
      <c r="X3436">
        <v>14</v>
      </c>
      <c r="Y3436" t="s">
        <v>23257</v>
      </c>
      <c r="Z3436" t="s">
        <v>29851</v>
      </c>
      <c r="AA3436">
        <v>0.2162715858352954</v>
      </c>
      <c r="AB3436" t="str">
        <f>HYPERLINK("Melting_Curves/meltCurve_Q14498_2_RBM39.pdf", "Melting_Curves/meltCurve_Q14498_2_RBM39.pdf")</f>
        <v>Melting_Curves/meltCurve_Q14498_2_RBM39.pdf</v>
      </c>
    </row>
    <row r="3437" spans="1:28" x14ac:dyDescent="0.25">
      <c r="A3437" t="s">
        <v>3441</v>
      </c>
      <c r="B3437">
        <v>0.99193492352474899</v>
      </c>
      <c r="C3437">
        <v>1.63385329599669</v>
      </c>
      <c r="D3437">
        <v>0.82209377328514599</v>
      </c>
      <c r="E3437">
        <v>1.0559142380805799</v>
      </c>
      <c r="F3437">
        <v>0.63452178506079304</v>
      </c>
      <c r="G3437">
        <v>0.55368515283308195</v>
      </c>
      <c r="H3437">
        <v>0.36217055347791299</v>
      </c>
      <c r="I3437">
        <v>0.429022547241804</v>
      </c>
      <c r="J3437">
        <v>0.366841096157277</v>
      </c>
      <c r="K3437">
        <v>0.350391368282778</v>
      </c>
      <c r="L3437">
        <v>1620.49604770479</v>
      </c>
      <c r="M3437">
        <v>30.373173079022099</v>
      </c>
      <c r="N3437">
        <v>56.056211344073901</v>
      </c>
      <c r="O3437">
        <v>53.123173242241997</v>
      </c>
      <c r="P3437">
        <v>-8.7988114612720103E-2</v>
      </c>
      <c r="Q3437">
        <v>0.38443296161143597</v>
      </c>
      <c r="R3437">
        <v>0.70044539044024701</v>
      </c>
      <c r="S3437" t="s">
        <v>10107</v>
      </c>
      <c r="T3437" t="s">
        <v>13338</v>
      </c>
      <c r="U3437" t="s">
        <v>13338</v>
      </c>
      <c r="V3437" t="s">
        <v>13338</v>
      </c>
      <c r="W3437" t="s">
        <v>16728</v>
      </c>
      <c r="X3437">
        <v>9</v>
      </c>
      <c r="Y3437" t="s">
        <v>23258</v>
      </c>
      <c r="Z3437" t="s">
        <v>29852</v>
      </c>
      <c r="AA3437">
        <v>0.66233482815906775</v>
      </c>
      <c r="AB3437" t="str">
        <f>HYPERLINK("Melting_Curves/meltCurve_Q14517_FAT1.pdf", "Melting_Curves/meltCurve_Q14517_FAT1.pdf")</f>
        <v>Melting_Curves/meltCurve_Q14517_FAT1.pdf</v>
      </c>
    </row>
    <row r="3438" spans="1:28" x14ac:dyDescent="0.25">
      <c r="A3438" t="s">
        <v>3442</v>
      </c>
      <c r="B3438">
        <v>0.99193492352474899</v>
      </c>
      <c r="C3438">
        <v>0.90204586119983199</v>
      </c>
      <c r="D3438">
        <v>1.2257292518471199</v>
      </c>
      <c r="E3438">
        <v>0.87598704271710404</v>
      </c>
      <c r="F3438">
        <v>0.73848419169879898</v>
      </c>
      <c r="G3438">
        <v>0.225122739647796</v>
      </c>
      <c r="H3438">
        <v>6.9741484789328498E-2</v>
      </c>
      <c r="I3438">
        <v>6.4212452842638906E-2</v>
      </c>
      <c r="J3438">
        <v>8.3328361513751698E-2</v>
      </c>
      <c r="K3438">
        <v>6.9373983266713901E-2</v>
      </c>
      <c r="L3438">
        <v>1947.765387985</v>
      </c>
      <c r="M3438">
        <v>35.775153930949003</v>
      </c>
      <c r="N3438">
        <v>54.652075732804398</v>
      </c>
      <c r="O3438">
        <v>54.275363416034999</v>
      </c>
      <c r="P3438">
        <v>-0.154324345594821</v>
      </c>
      <c r="Q3438">
        <v>6.3486027491578903E-2</v>
      </c>
      <c r="R3438">
        <v>0.96288027184867797</v>
      </c>
      <c r="S3438" t="s">
        <v>10108</v>
      </c>
      <c r="T3438" t="s">
        <v>13338</v>
      </c>
      <c r="U3438" t="s">
        <v>13338</v>
      </c>
      <c r="V3438" t="s">
        <v>13338</v>
      </c>
      <c r="W3438" t="s">
        <v>16729</v>
      </c>
      <c r="X3438">
        <v>1</v>
      </c>
      <c r="Y3438" t="s">
        <v>23259</v>
      </c>
      <c r="Z3438" t="s">
        <v>29853</v>
      </c>
      <c r="AA3438">
        <v>0.51879358737014036</v>
      </c>
      <c r="AB3438" t="str">
        <f>HYPERLINK("Melting_Curves/meltCurve_Q14520_2_HABP2.pdf", "Melting_Curves/meltCurve_Q14520_2_HABP2.pdf")</f>
        <v>Melting_Curves/meltCurve_Q14520_2_HABP2.pdf</v>
      </c>
    </row>
    <row r="3439" spans="1:28" x14ac:dyDescent="0.25">
      <c r="A3439" t="s">
        <v>3443</v>
      </c>
      <c r="B3439">
        <v>0.99193492352474899</v>
      </c>
      <c r="C3439">
        <v>0.67663940462885097</v>
      </c>
      <c r="D3439">
        <v>0.96580366701824605</v>
      </c>
      <c r="E3439">
        <v>0.49140250655997098</v>
      </c>
      <c r="F3439">
        <v>0.180750018041611</v>
      </c>
      <c r="G3439">
        <v>9.2410854516455407E-2</v>
      </c>
      <c r="H3439">
        <v>5.4249019101737003E-2</v>
      </c>
      <c r="I3439">
        <v>6.0551125673096402E-2</v>
      </c>
      <c r="J3439">
        <v>7.1402305664125296E-2</v>
      </c>
      <c r="K3439">
        <v>6.4583483919140094E-2</v>
      </c>
      <c r="L3439">
        <v>1188.27827886916</v>
      </c>
      <c r="M3439">
        <v>24.059371692415201</v>
      </c>
      <c r="N3439">
        <v>49.628868482496998</v>
      </c>
      <c r="O3439">
        <v>49.052015640909701</v>
      </c>
      <c r="P3439">
        <v>-0.11590395541537001</v>
      </c>
      <c r="Q3439">
        <v>5.4799577756561003E-2</v>
      </c>
      <c r="R3439">
        <v>0.924682245033846</v>
      </c>
      <c r="S3439" t="s">
        <v>10109</v>
      </c>
      <c r="T3439" t="s">
        <v>13338</v>
      </c>
      <c r="U3439" t="s">
        <v>13338</v>
      </c>
      <c r="V3439" t="s">
        <v>13338</v>
      </c>
      <c r="W3439" t="s">
        <v>16730</v>
      </c>
      <c r="X3439">
        <v>23</v>
      </c>
      <c r="Y3439" t="s">
        <v>23260</v>
      </c>
      <c r="Z3439" t="s">
        <v>29854</v>
      </c>
      <c r="AA3439">
        <v>0.35971203532004892</v>
      </c>
      <c r="AB3439" t="str">
        <f>HYPERLINK("Melting_Curves/meltCurve_Q14527_HLTF.pdf", "Melting_Curves/meltCurve_Q14527_HLTF.pdf")</f>
        <v>Melting_Curves/meltCurve_Q14527_HLTF.pdf</v>
      </c>
    </row>
    <row r="3440" spans="1:28" x14ac:dyDescent="0.25">
      <c r="A3440" t="s">
        <v>3444</v>
      </c>
      <c r="B3440">
        <v>0.99193492352474899</v>
      </c>
      <c r="C3440">
        <v>0.82739248138695598</v>
      </c>
      <c r="D3440">
        <v>0.71347813024366002</v>
      </c>
      <c r="E3440">
        <v>0.37740432364318999</v>
      </c>
      <c r="F3440">
        <v>0.18271698175980899</v>
      </c>
      <c r="G3440">
        <v>0.10773871875466499</v>
      </c>
      <c r="H3440">
        <v>7.4421932386722803E-2</v>
      </c>
      <c r="I3440">
        <v>5.0854091343651001E-2</v>
      </c>
      <c r="J3440">
        <v>8.4928787358907507E-2</v>
      </c>
      <c r="K3440">
        <v>4.9210312918666198E-2</v>
      </c>
      <c r="L3440">
        <v>815.03175738734296</v>
      </c>
      <c r="M3440">
        <v>17.050062014604698</v>
      </c>
      <c r="N3440">
        <v>48.103049824193903</v>
      </c>
      <c r="O3440">
        <v>47.159231013144598</v>
      </c>
      <c r="P3440">
        <v>-8.5820760219718198E-2</v>
      </c>
      <c r="Q3440">
        <v>5.0562146105087802E-2</v>
      </c>
      <c r="R3440">
        <v>0.99503538705452499</v>
      </c>
      <c r="S3440" t="s">
        <v>10110</v>
      </c>
      <c r="T3440" t="s">
        <v>13338</v>
      </c>
      <c r="U3440" t="s">
        <v>13338</v>
      </c>
      <c r="V3440" t="s">
        <v>13338</v>
      </c>
      <c r="W3440" t="s">
        <v>16731</v>
      </c>
      <c r="X3440">
        <v>5</v>
      </c>
      <c r="Y3440" t="s">
        <v>23261</v>
      </c>
      <c r="Z3440" t="s">
        <v>29855</v>
      </c>
      <c r="AA3440">
        <v>0.31647844608232789</v>
      </c>
      <c r="AB3440" t="str">
        <f>HYPERLINK("Melting_Curves/meltCurve_Q14534_SQLE.pdf", "Melting_Curves/meltCurve_Q14534_SQLE.pdf")</f>
        <v>Melting_Curves/meltCurve_Q14534_SQLE.pdf</v>
      </c>
    </row>
    <row r="3441" spans="1:28" x14ac:dyDescent="0.25">
      <c r="A3441" t="s">
        <v>3445</v>
      </c>
      <c r="B3441">
        <v>0.99193492352474899</v>
      </c>
      <c r="C3441">
        <v>0.78479793503326201</v>
      </c>
      <c r="D3441">
        <v>0.94280765824300805</v>
      </c>
      <c r="E3441">
        <v>0.58526997831669902</v>
      </c>
      <c r="F3441">
        <v>0.32406786427590101</v>
      </c>
      <c r="G3441">
        <v>0.15180086591617201</v>
      </c>
      <c r="H3441">
        <v>0.112231541716133</v>
      </c>
      <c r="I3441">
        <v>0.116439693670947</v>
      </c>
      <c r="J3441">
        <v>0.15560826385966001</v>
      </c>
      <c r="K3441">
        <v>0.135551461258761</v>
      </c>
      <c r="L3441">
        <v>1028.2877782349001</v>
      </c>
      <c r="M3441">
        <v>20.571781805142098</v>
      </c>
      <c r="N3441">
        <v>50.629268505700097</v>
      </c>
      <c r="O3441">
        <v>49.520209908928301</v>
      </c>
      <c r="P3441">
        <v>-9.1904011945171796E-2</v>
      </c>
      <c r="Q3441">
        <v>0.11510369123990701</v>
      </c>
      <c r="R3441">
        <v>0.96327683587897805</v>
      </c>
      <c r="S3441" t="s">
        <v>10111</v>
      </c>
      <c r="T3441" t="s">
        <v>13338</v>
      </c>
      <c r="U3441" t="s">
        <v>13338</v>
      </c>
      <c r="V3441" t="s">
        <v>13338</v>
      </c>
      <c r="W3441" t="s">
        <v>16732</v>
      </c>
      <c r="X3441">
        <v>15</v>
      </c>
      <c r="Y3441" t="s">
        <v>23262</v>
      </c>
      <c r="Z3441" t="s">
        <v>29856</v>
      </c>
      <c r="AA3441">
        <v>0.42129535364613407</v>
      </c>
      <c r="AB3441" t="str">
        <f>HYPERLINK("Melting_Curves/meltCurve_Q14554_PDIA5.pdf", "Melting_Curves/meltCurve_Q14554_PDIA5.pdf")</f>
        <v>Melting_Curves/meltCurve_Q14554_PDIA5.pdf</v>
      </c>
    </row>
    <row r="3442" spans="1:28" x14ac:dyDescent="0.25">
      <c r="A3442" t="s">
        <v>3446</v>
      </c>
      <c r="B3442">
        <v>0.99193492352474899</v>
      </c>
      <c r="C3442">
        <v>0.79758377151640902</v>
      </c>
      <c r="D3442">
        <v>0.90181320942533705</v>
      </c>
      <c r="E3442">
        <v>0.74511640043426597</v>
      </c>
      <c r="F3442">
        <v>0.88689026617992905</v>
      </c>
      <c r="G3442">
        <v>0.65177436490424701</v>
      </c>
      <c r="H3442">
        <v>0.333340935922881</v>
      </c>
      <c r="I3442">
        <v>9.0115855464670894E-2</v>
      </c>
      <c r="J3442">
        <v>0.107456306096176</v>
      </c>
      <c r="K3442">
        <v>7.1983285679547801E-2</v>
      </c>
      <c r="L3442">
        <v>939.97224429366099</v>
      </c>
      <c r="M3442">
        <v>16.173586329765001</v>
      </c>
      <c r="N3442">
        <v>58.117737964330502</v>
      </c>
      <c r="O3442">
        <v>57.251039060656403</v>
      </c>
      <c r="P3442">
        <v>-7.0631040851322199E-2</v>
      </c>
      <c r="Q3442">
        <v>0</v>
      </c>
      <c r="R3442">
        <v>0.916002681603448</v>
      </c>
      <c r="S3442" t="s">
        <v>10112</v>
      </c>
      <c r="T3442" t="s">
        <v>13338</v>
      </c>
      <c r="U3442" t="s">
        <v>13338</v>
      </c>
      <c r="V3442" t="s">
        <v>13338</v>
      </c>
      <c r="W3442" t="s">
        <v>16733</v>
      </c>
      <c r="X3442">
        <v>13</v>
      </c>
      <c r="Y3442" t="s">
        <v>23263</v>
      </c>
      <c r="Z3442" t="s">
        <v>29857</v>
      </c>
      <c r="AA3442">
        <v>0.61680251661633378</v>
      </c>
      <c r="AB3442" t="str">
        <f>HYPERLINK("Melting_Curves/meltCurve_Q14558_2_PRPSAP1.pdf", "Melting_Curves/meltCurve_Q14558_2_PRPSAP1.pdf")</f>
        <v>Melting_Curves/meltCurve_Q14558_2_PRPSAP1.pdf</v>
      </c>
    </row>
    <row r="3443" spans="1:28" x14ac:dyDescent="0.25">
      <c r="A3443" t="s">
        <v>3447</v>
      </c>
      <c r="B3443">
        <v>0.99193492352474899</v>
      </c>
      <c r="C3443">
        <v>0.64860194667396298</v>
      </c>
      <c r="D3443">
        <v>0.80183886873135701</v>
      </c>
      <c r="E3443">
        <v>0.37523484751443897</v>
      </c>
      <c r="F3443">
        <v>0.17586555832421799</v>
      </c>
      <c r="G3443">
        <v>0.102787249861618</v>
      </c>
      <c r="H3443">
        <v>5.5278975135316398E-2</v>
      </c>
      <c r="I3443">
        <v>7.2370959608507507E-2</v>
      </c>
      <c r="J3443">
        <v>8.7567481207416406E-2</v>
      </c>
      <c r="K3443">
        <v>8.0573608315152506E-2</v>
      </c>
      <c r="L3443">
        <v>687.15109892415103</v>
      </c>
      <c r="M3443">
        <v>14.4061944222635</v>
      </c>
      <c r="N3443">
        <v>47.989261523814797</v>
      </c>
      <c r="O3443">
        <v>46.807472423226301</v>
      </c>
      <c r="P3443">
        <v>-7.3735109279365496E-2</v>
      </c>
      <c r="Q3443">
        <v>4.1816146300808002E-2</v>
      </c>
      <c r="R3443">
        <v>0.93737368098705098</v>
      </c>
      <c r="S3443" t="s">
        <v>10113</v>
      </c>
      <c r="T3443" t="s">
        <v>13338</v>
      </c>
      <c r="U3443" t="s">
        <v>13338</v>
      </c>
      <c r="V3443" t="s">
        <v>13338</v>
      </c>
      <c r="W3443" t="s">
        <v>16734</v>
      </c>
      <c r="X3443">
        <v>19</v>
      </c>
      <c r="Y3443" t="s">
        <v>23264</v>
      </c>
      <c r="Z3443" t="s">
        <v>29858</v>
      </c>
      <c r="AA3443">
        <v>0.31481480814777812</v>
      </c>
      <c r="AB3443" t="str">
        <f>HYPERLINK("Melting_Curves/meltCurve_Q14562_DHX8.pdf", "Melting_Curves/meltCurve_Q14562_DHX8.pdf")</f>
        <v>Melting_Curves/meltCurve_Q14562_DHX8.pdf</v>
      </c>
    </row>
    <row r="3444" spans="1:28" x14ac:dyDescent="0.25">
      <c r="A3444" t="s">
        <v>3448</v>
      </c>
      <c r="B3444">
        <v>0.99193492352474899</v>
      </c>
      <c r="C3444">
        <v>0.86813501539953097</v>
      </c>
      <c r="D3444">
        <v>0.94913301385426396</v>
      </c>
      <c r="E3444">
        <v>0.64325297744839904</v>
      </c>
      <c r="F3444">
        <v>0.20077524436720501</v>
      </c>
      <c r="G3444">
        <v>9.0447262937019601E-2</v>
      </c>
      <c r="H3444">
        <v>5.42710459467622E-2</v>
      </c>
      <c r="I3444">
        <v>6.2563771323318904E-2</v>
      </c>
      <c r="J3444">
        <v>7.24214767097065E-2</v>
      </c>
      <c r="K3444">
        <v>7.1790328066536402E-2</v>
      </c>
      <c r="L3444">
        <v>1549.04118369</v>
      </c>
      <c r="M3444">
        <v>30.783626541013899</v>
      </c>
      <c r="N3444">
        <v>50.538952915140101</v>
      </c>
      <c r="O3444">
        <v>50.1093982314095</v>
      </c>
      <c r="P3444">
        <v>-0.144007393108741</v>
      </c>
      <c r="Q3444">
        <v>6.2348578701255403E-2</v>
      </c>
      <c r="R3444">
        <v>0.98889950099440005</v>
      </c>
      <c r="S3444" t="s">
        <v>10114</v>
      </c>
      <c r="T3444" t="s">
        <v>13338</v>
      </c>
      <c r="U3444" t="s">
        <v>13338</v>
      </c>
      <c r="V3444" t="s">
        <v>13338</v>
      </c>
      <c r="W3444" t="s">
        <v>16735</v>
      </c>
      <c r="X3444">
        <v>50</v>
      </c>
      <c r="Y3444" t="s">
        <v>23265</v>
      </c>
      <c r="Z3444" t="s">
        <v>29859</v>
      </c>
      <c r="AA3444">
        <v>0.39044429959572968</v>
      </c>
      <c r="AB3444" t="str">
        <f>HYPERLINK("Melting_Curves/meltCurve_Q14566_MCM6.pdf", "Melting_Curves/meltCurve_Q14566_MCM6.pdf")</f>
        <v>Melting_Curves/meltCurve_Q14566_MCM6.pdf</v>
      </c>
    </row>
    <row r="3445" spans="1:28" x14ac:dyDescent="0.25">
      <c r="A3445" t="s">
        <v>3449</v>
      </c>
      <c r="B3445">
        <v>0.99193492352474899</v>
      </c>
      <c r="C3445">
        <v>0.85033835841390903</v>
      </c>
      <c r="D3445">
        <v>0.58665701723824804</v>
      </c>
      <c r="E3445">
        <v>0.25745835062181399</v>
      </c>
      <c r="F3445">
        <v>0.216233182035899</v>
      </c>
      <c r="G3445">
        <v>0.15674579476771899</v>
      </c>
      <c r="H3445">
        <v>0.10276178949833099</v>
      </c>
      <c r="I3445">
        <v>0.13379887188822101</v>
      </c>
      <c r="J3445">
        <v>0.13949290323986499</v>
      </c>
      <c r="K3445">
        <v>0.16146890064261299</v>
      </c>
      <c r="L3445">
        <v>1045.4667018287801</v>
      </c>
      <c r="M3445">
        <v>22.7024447674989</v>
      </c>
      <c r="N3445">
        <v>46.723961465014497</v>
      </c>
      <c r="O3445">
        <v>45.697995509741702</v>
      </c>
      <c r="P3445">
        <v>-0.106877295392709</v>
      </c>
      <c r="Q3445">
        <v>0.13947905749971101</v>
      </c>
      <c r="R3445">
        <v>0.99502781636342996</v>
      </c>
      <c r="S3445" t="s">
        <v>10115</v>
      </c>
      <c r="T3445" t="s">
        <v>13338</v>
      </c>
      <c r="U3445" t="s">
        <v>13338</v>
      </c>
      <c r="V3445" t="s">
        <v>13338</v>
      </c>
      <c r="W3445" t="s">
        <v>16736</v>
      </c>
      <c r="X3445">
        <v>3</v>
      </c>
      <c r="Y3445" t="s">
        <v>23266</v>
      </c>
      <c r="Z3445" t="s">
        <v>29860</v>
      </c>
      <c r="AA3445">
        <v>0.32294482381806477</v>
      </c>
      <c r="AB3445" t="str">
        <f>HYPERLINK("Melting_Curves/meltCurve_Q14644_RASA3.pdf", "Melting_Curves/meltCurve_Q14644_RASA3.pdf")</f>
        <v>Melting_Curves/meltCurve_Q14644_RASA3.pdf</v>
      </c>
    </row>
    <row r="3446" spans="1:28" x14ac:dyDescent="0.25">
      <c r="A3446" t="s">
        <v>3450</v>
      </c>
      <c r="B3446">
        <v>0.99193492352474899</v>
      </c>
      <c r="C3446">
        <v>0.86282840841788699</v>
      </c>
      <c r="D3446">
        <v>0.83821229731396396</v>
      </c>
      <c r="E3446">
        <v>0.62009296968168504</v>
      </c>
      <c r="F3446">
        <v>0.20824224941637001</v>
      </c>
      <c r="G3446">
        <v>0.120515059170594</v>
      </c>
      <c r="H3446">
        <v>7.4563267623370497E-2</v>
      </c>
      <c r="I3446">
        <v>7.0184997411222E-2</v>
      </c>
      <c r="J3446">
        <v>7.7035940013024898E-2</v>
      </c>
      <c r="K3446">
        <v>8.2075639442370105E-2</v>
      </c>
      <c r="L3446">
        <v>1013.7195915790199</v>
      </c>
      <c r="M3446">
        <v>20.3273079426504</v>
      </c>
      <c r="N3446">
        <v>50.175261016417402</v>
      </c>
      <c r="O3446">
        <v>49.394696930601398</v>
      </c>
      <c r="P3446">
        <v>-9.6897981358534294E-2</v>
      </c>
      <c r="Q3446">
        <v>5.81925571502186E-2</v>
      </c>
      <c r="R3446">
        <v>0.98563508496774699</v>
      </c>
      <c r="S3446" t="s">
        <v>10116</v>
      </c>
      <c r="T3446" t="s">
        <v>13338</v>
      </c>
      <c r="U3446" t="s">
        <v>13338</v>
      </c>
      <c r="V3446" t="s">
        <v>13338</v>
      </c>
      <c r="W3446" t="s">
        <v>16737</v>
      </c>
      <c r="X3446">
        <v>18</v>
      </c>
      <c r="Y3446" t="s">
        <v>23267</v>
      </c>
      <c r="Z3446" t="s">
        <v>29861</v>
      </c>
      <c r="AA3446">
        <v>0.38074862368102469</v>
      </c>
      <c r="AB3446" t="str">
        <f>HYPERLINK("Melting_Curves/meltCurve_Q14651_PLS1.pdf", "Melting_Curves/meltCurve_Q14651_PLS1.pdf")</f>
        <v>Melting_Curves/meltCurve_Q14651_PLS1.pdf</v>
      </c>
    </row>
    <row r="3447" spans="1:28" x14ac:dyDescent="0.25">
      <c r="A3447" t="s">
        <v>3451</v>
      </c>
      <c r="B3447">
        <v>0.99193492352474899</v>
      </c>
      <c r="C3447">
        <v>0.81977676972681202</v>
      </c>
      <c r="D3447">
        <v>0.93811775846488299</v>
      </c>
      <c r="E3447">
        <v>0.59751064844287305</v>
      </c>
      <c r="F3447">
        <v>0.30703036421692198</v>
      </c>
      <c r="G3447">
        <v>0.15765549536231999</v>
      </c>
      <c r="H3447">
        <v>6.3201965952715503E-2</v>
      </c>
      <c r="I3447">
        <v>7.0800009779325407E-2</v>
      </c>
      <c r="J3447">
        <v>6.1817111634014099E-2</v>
      </c>
      <c r="K3447">
        <v>5.8159367216067702E-2</v>
      </c>
      <c r="L3447">
        <v>944.17557397002599</v>
      </c>
      <c r="M3447">
        <v>18.689241098924199</v>
      </c>
      <c r="N3447">
        <v>50.7814163593914</v>
      </c>
      <c r="O3447">
        <v>49.952001437017103</v>
      </c>
      <c r="P3447">
        <v>-8.9246060468181704E-2</v>
      </c>
      <c r="Q3447">
        <v>4.5904678944441599E-2</v>
      </c>
      <c r="R3447">
        <v>0.98028955060296696</v>
      </c>
      <c r="S3447" t="s">
        <v>10117</v>
      </c>
      <c r="T3447" t="s">
        <v>13338</v>
      </c>
      <c r="U3447" t="s">
        <v>13338</v>
      </c>
      <c r="V3447" t="s">
        <v>13338</v>
      </c>
      <c r="W3447" t="s">
        <v>16738</v>
      </c>
      <c r="X3447">
        <v>5</v>
      </c>
      <c r="Y3447" t="s">
        <v>23268</v>
      </c>
      <c r="Z3447" t="s">
        <v>29862</v>
      </c>
      <c r="AA3447">
        <v>0.39554019089054182</v>
      </c>
      <c r="AB3447" t="str">
        <f>HYPERLINK("Melting_Curves/meltCurve_Q14653_IRF3.pdf", "Melting_Curves/meltCurve_Q14653_IRF3.pdf")</f>
        <v>Melting_Curves/meltCurve_Q14653_IRF3.pdf</v>
      </c>
    </row>
    <row r="3448" spans="1:28" x14ac:dyDescent="0.25">
      <c r="A3448" t="s">
        <v>3452</v>
      </c>
      <c r="B3448">
        <v>0.99193492352474899</v>
      </c>
      <c r="C3448">
        <v>1.1796433108271001</v>
      </c>
      <c r="D3448">
        <v>0.89446051097870805</v>
      </c>
      <c r="E3448">
        <v>0.87134243727551297</v>
      </c>
      <c r="F3448">
        <v>0.67407625825335604</v>
      </c>
      <c r="G3448">
        <v>0.46018162242919203</v>
      </c>
      <c r="H3448">
        <v>0.25692730339291803</v>
      </c>
      <c r="I3448">
        <v>0.16420110144540501</v>
      </c>
      <c r="J3448">
        <v>0.150070678718667</v>
      </c>
      <c r="K3448">
        <v>0.16704715277170801</v>
      </c>
      <c r="L3448">
        <v>924.32349125040605</v>
      </c>
      <c r="M3448">
        <v>16.8241875864721</v>
      </c>
      <c r="N3448">
        <v>55.824373676883098</v>
      </c>
      <c r="O3448">
        <v>54.181569194624799</v>
      </c>
      <c r="P3448">
        <v>-6.8553398390303999E-2</v>
      </c>
      <c r="Q3448">
        <v>0.116963857175973</v>
      </c>
      <c r="R3448">
        <v>0.96892422639435005</v>
      </c>
      <c r="S3448" t="s">
        <v>10118</v>
      </c>
      <c r="T3448" t="s">
        <v>13338</v>
      </c>
      <c r="U3448" t="s">
        <v>13338</v>
      </c>
      <c r="V3448" t="s">
        <v>13338</v>
      </c>
      <c r="W3448" t="s">
        <v>16739</v>
      </c>
      <c r="X3448">
        <v>3</v>
      </c>
      <c r="Y3448" t="s">
        <v>23269</v>
      </c>
      <c r="Z3448" t="s">
        <v>29863</v>
      </c>
      <c r="AA3448">
        <v>0.57167801217191183</v>
      </c>
      <c r="AB3448" t="str">
        <f>HYPERLINK("Melting_Curves/meltCurve_Q14657_LAGE3.pdf", "Melting_Curves/meltCurve_Q14657_LAGE3.pdf")</f>
        <v>Melting_Curves/meltCurve_Q14657_LAGE3.pdf</v>
      </c>
    </row>
    <row r="3449" spans="1:28" x14ac:dyDescent="0.25">
      <c r="A3449" t="s">
        <v>3453</v>
      </c>
      <c r="B3449">
        <v>0.99193492352474899</v>
      </c>
      <c r="C3449">
        <v>0.49052893433121703</v>
      </c>
      <c r="D3449">
        <v>0.358006752839722</v>
      </c>
      <c r="E3449">
        <v>0.19547031493916101</v>
      </c>
      <c r="F3449">
        <v>0.15416313812183599</v>
      </c>
      <c r="G3449">
        <v>7.0758330960774898E-2</v>
      </c>
      <c r="H3449">
        <v>4.0882746783667601E-2</v>
      </c>
      <c r="I3449">
        <v>3.9390189517260699E-2</v>
      </c>
      <c r="J3449">
        <v>4.8508198736788903E-2</v>
      </c>
      <c r="K3449">
        <v>3.9396675088966097E-2</v>
      </c>
      <c r="L3449">
        <v>816.21110053500797</v>
      </c>
      <c r="M3449">
        <v>18.681081488247099</v>
      </c>
      <c r="N3449">
        <v>44.001047384375397</v>
      </c>
      <c r="O3449">
        <v>43.200425003570302</v>
      </c>
      <c r="P3449">
        <v>-0.10146126880716699</v>
      </c>
      <c r="Q3449">
        <v>6.1514048934411897E-2</v>
      </c>
      <c r="R3449">
        <v>0.95108215923487704</v>
      </c>
      <c r="S3449" t="s">
        <v>10119</v>
      </c>
      <c r="T3449" t="s">
        <v>13338</v>
      </c>
      <c r="U3449" t="s">
        <v>13338</v>
      </c>
      <c r="V3449" t="s">
        <v>13338</v>
      </c>
      <c r="W3449" t="s">
        <v>16740</v>
      </c>
      <c r="X3449">
        <v>16</v>
      </c>
      <c r="Y3449" t="s">
        <v>23270</v>
      </c>
      <c r="Z3449" t="s">
        <v>29864</v>
      </c>
      <c r="AA3449">
        <v>0.19941280342015791</v>
      </c>
      <c r="AB3449" t="str">
        <f>HYPERLINK("Melting_Curves/meltCurve_Q14669_2_TRIP12.pdf", "Melting_Curves/meltCurve_Q14669_2_TRIP12.pdf")</f>
        <v>Melting_Curves/meltCurve_Q14669_2_TRIP12.pdf</v>
      </c>
    </row>
    <row r="3450" spans="1:28" x14ac:dyDescent="0.25">
      <c r="A3450" t="s">
        <v>3454</v>
      </c>
      <c r="B3450">
        <v>0.99193492352474899</v>
      </c>
      <c r="C3450">
        <v>0.34627447411120399</v>
      </c>
      <c r="D3450">
        <v>0.76622919943716505</v>
      </c>
      <c r="E3450">
        <v>0.31340877911013598</v>
      </c>
      <c r="F3450">
        <v>0.20857121497740799</v>
      </c>
      <c r="G3450">
        <v>0.101468564514024</v>
      </c>
      <c r="H3450">
        <v>8.0491537799201304E-2</v>
      </c>
      <c r="I3450">
        <v>0.111455579118427</v>
      </c>
      <c r="J3450">
        <v>0.16580916045105801</v>
      </c>
      <c r="K3450">
        <v>0.188334398870002</v>
      </c>
      <c r="L3450">
        <v>521.14052201483503</v>
      </c>
      <c r="M3450">
        <v>11.5540823174886</v>
      </c>
      <c r="N3450">
        <v>45.986848605714002</v>
      </c>
      <c r="O3450">
        <v>43.816805642360201</v>
      </c>
      <c r="P3450">
        <v>-5.9385044444090603E-2</v>
      </c>
      <c r="Q3450">
        <v>9.9422409663355096E-2</v>
      </c>
      <c r="R3450">
        <v>0.734829611670059</v>
      </c>
      <c r="S3450" t="s">
        <v>10120</v>
      </c>
      <c r="T3450" t="s">
        <v>13338</v>
      </c>
      <c r="U3450" t="s">
        <v>13338</v>
      </c>
      <c r="V3450" t="s">
        <v>13338</v>
      </c>
      <c r="W3450" t="s">
        <v>16741</v>
      </c>
      <c r="X3450">
        <v>28</v>
      </c>
      <c r="Y3450" t="s">
        <v>23271</v>
      </c>
      <c r="Z3450" t="s">
        <v>29865</v>
      </c>
      <c r="AA3450">
        <v>0.30036541965785601</v>
      </c>
      <c r="AB3450" t="str">
        <f>HYPERLINK("Melting_Curves/meltCurve_Q14676_MDC1.pdf", "Melting_Curves/meltCurve_Q14676_MDC1.pdf")</f>
        <v>Melting_Curves/meltCurve_Q14676_MDC1.pdf</v>
      </c>
    </row>
    <row r="3451" spans="1:28" x14ac:dyDescent="0.25">
      <c r="A3451" t="s">
        <v>3455</v>
      </c>
      <c r="B3451">
        <v>0.99193492352474899</v>
      </c>
      <c r="C3451">
        <v>1.0081962173985699</v>
      </c>
      <c r="D3451">
        <v>0.86407535206474495</v>
      </c>
      <c r="E3451">
        <v>0.69652205900418496</v>
      </c>
      <c r="F3451">
        <v>0.23396504736100299</v>
      </c>
      <c r="G3451">
        <v>0.25466982645716602</v>
      </c>
      <c r="H3451">
        <v>0.27551097760686599</v>
      </c>
      <c r="I3451">
        <v>0.46344929163224002</v>
      </c>
      <c r="J3451">
        <v>0.64944632761561505</v>
      </c>
      <c r="K3451">
        <v>0.85983709269049202</v>
      </c>
      <c r="L3451">
        <v>1970.2798192641901</v>
      </c>
      <c r="M3451">
        <v>40.530219094838202</v>
      </c>
      <c r="N3451">
        <v>51.883593321636603</v>
      </c>
      <c r="O3451">
        <v>48.494725813381798</v>
      </c>
      <c r="P3451">
        <v>-0.112585772762717</v>
      </c>
      <c r="Q3451">
        <v>0.46116209964834798</v>
      </c>
      <c r="R3451">
        <v>0.58953539373126396</v>
      </c>
      <c r="S3451" t="s">
        <v>10121</v>
      </c>
      <c r="T3451" t="s">
        <v>13338</v>
      </c>
      <c r="U3451" t="s">
        <v>13338</v>
      </c>
      <c r="V3451" t="s">
        <v>13338</v>
      </c>
      <c r="W3451" t="s">
        <v>16742</v>
      </c>
      <c r="X3451">
        <v>20</v>
      </c>
      <c r="Y3451" t="s">
        <v>23272</v>
      </c>
      <c r="Z3451" t="s">
        <v>29866</v>
      </c>
      <c r="AA3451">
        <v>0.61762122920130869</v>
      </c>
      <c r="AB3451" t="str">
        <f>HYPERLINK("Melting_Curves/meltCurve_Q14677_CLINT1.pdf", "Melting_Curves/meltCurve_Q14677_CLINT1.pdf")</f>
        <v>Melting_Curves/meltCurve_Q14677_CLINT1.pdf</v>
      </c>
    </row>
    <row r="3452" spans="1:28" x14ac:dyDescent="0.25">
      <c r="A3452" t="s">
        <v>3456</v>
      </c>
      <c r="B3452">
        <v>0.99193492352474899</v>
      </c>
      <c r="C3452">
        <v>0.81191410749126702</v>
      </c>
      <c r="D3452">
        <v>0.80909670206422801</v>
      </c>
      <c r="E3452">
        <v>0.51709030266710598</v>
      </c>
      <c r="F3452">
        <v>0.30831304962450901</v>
      </c>
      <c r="G3452">
        <v>0.19198859084221001</v>
      </c>
      <c r="H3452">
        <v>0.13517791185470901</v>
      </c>
      <c r="I3452">
        <v>0.18193860216261401</v>
      </c>
      <c r="J3452">
        <v>0.21867710894160899</v>
      </c>
      <c r="K3452">
        <v>0.295941586062833</v>
      </c>
      <c r="L3452">
        <v>866.60900824147495</v>
      </c>
      <c r="M3452">
        <v>17.966873306335099</v>
      </c>
      <c r="N3452">
        <v>49.550922969152403</v>
      </c>
      <c r="O3452">
        <v>47.648093946351302</v>
      </c>
      <c r="P3452">
        <v>-7.6373717055248494E-2</v>
      </c>
      <c r="Q3452">
        <v>0.18986879285486899</v>
      </c>
      <c r="R3452">
        <v>0.96162488990129902</v>
      </c>
      <c r="S3452" t="s">
        <v>10122</v>
      </c>
      <c r="T3452" t="s">
        <v>13338</v>
      </c>
      <c r="U3452" t="s">
        <v>13338</v>
      </c>
      <c r="V3452" t="s">
        <v>13338</v>
      </c>
      <c r="W3452" t="s">
        <v>16743</v>
      </c>
      <c r="X3452">
        <v>19</v>
      </c>
      <c r="Y3452" t="s">
        <v>23272</v>
      </c>
      <c r="Z3452" t="s">
        <v>29867</v>
      </c>
      <c r="AA3452">
        <v>0.42654729965416338</v>
      </c>
      <c r="AB3452" t="str">
        <f>HYPERLINK("Melting_Curves/meltCurve_Q14677_3_CLINT1.pdf", "Melting_Curves/meltCurve_Q14677_3_CLINT1.pdf")</f>
        <v>Melting_Curves/meltCurve_Q14677_3_CLINT1.pdf</v>
      </c>
    </row>
    <row r="3453" spans="1:28" x14ac:dyDescent="0.25">
      <c r="A3453" t="s">
        <v>3457</v>
      </c>
      <c r="B3453">
        <v>0.99193492352474899</v>
      </c>
      <c r="C3453">
        <v>0.97044410254145097</v>
      </c>
      <c r="D3453">
        <v>0.807245275460998</v>
      </c>
      <c r="E3453">
        <v>0.51201369935546004</v>
      </c>
      <c r="F3453">
        <v>0.44566790647826898</v>
      </c>
      <c r="G3453">
        <v>0.311066044926329</v>
      </c>
      <c r="H3453">
        <v>0.16447044710816799</v>
      </c>
      <c r="I3453">
        <v>0.10605598682929</v>
      </c>
      <c r="J3453">
        <v>0.109098957843908</v>
      </c>
      <c r="K3453">
        <v>9.9749698380617799E-2</v>
      </c>
      <c r="L3453">
        <v>631.95910854872795</v>
      </c>
      <c r="M3453">
        <v>12.452452115229001</v>
      </c>
      <c r="N3453">
        <v>51.355150425612202</v>
      </c>
      <c r="O3453">
        <v>49.494273875305197</v>
      </c>
      <c r="P3453">
        <v>-5.8617081047650302E-2</v>
      </c>
      <c r="Q3453">
        <v>6.8262515179937505E-2</v>
      </c>
      <c r="R3453">
        <v>0.98558008546017695</v>
      </c>
      <c r="S3453" t="s">
        <v>10123</v>
      </c>
      <c r="T3453" t="s">
        <v>13338</v>
      </c>
      <c r="U3453" t="s">
        <v>13338</v>
      </c>
      <c r="V3453" t="s">
        <v>13338</v>
      </c>
      <c r="W3453" t="s">
        <v>16744</v>
      </c>
      <c r="X3453">
        <v>2</v>
      </c>
      <c r="Y3453" t="s">
        <v>23273</v>
      </c>
      <c r="Z3453" t="s">
        <v>29868</v>
      </c>
      <c r="AA3453">
        <v>0.43133023933117648</v>
      </c>
      <c r="AB3453" t="str">
        <f>HYPERLINK("Melting_Curves/meltCurve_Q14681_KCTD2.pdf", "Melting_Curves/meltCurve_Q14681_KCTD2.pdf")</f>
        <v>Melting_Curves/meltCurve_Q14681_KCTD2.pdf</v>
      </c>
    </row>
    <row r="3454" spans="1:28" x14ac:dyDescent="0.25">
      <c r="A3454" t="s">
        <v>3458</v>
      </c>
      <c r="B3454">
        <v>0.99193492352474899</v>
      </c>
      <c r="C3454">
        <v>0.88136176612608097</v>
      </c>
      <c r="D3454">
        <v>0.86483311140016705</v>
      </c>
      <c r="E3454">
        <v>0.73048392239219595</v>
      </c>
      <c r="F3454">
        <v>0.504142059341253</v>
      </c>
      <c r="G3454">
        <v>0.23607446416129699</v>
      </c>
      <c r="H3454">
        <v>0.12795434215781201</v>
      </c>
      <c r="I3454">
        <v>0.151797101185348</v>
      </c>
      <c r="J3454">
        <v>0.15777569384908499</v>
      </c>
      <c r="K3454">
        <v>0.16494362841288099</v>
      </c>
      <c r="L3454">
        <v>831.83198474456901</v>
      </c>
      <c r="M3454">
        <v>16.080915718669601</v>
      </c>
      <c r="N3454">
        <v>52.561814376061001</v>
      </c>
      <c r="O3454">
        <v>50.947819038944601</v>
      </c>
      <c r="P3454">
        <v>-7.0029739210118694E-2</v>
      </c>
      <c r="Q3454">
        <v>0.112591163848236</v>
      </c>
      <c r="R3454">
        <v>0.98319117958049795</v>
      </c>
      <c r="S3454" t="s">
        <v>10124</v>
      </c>
      <c r="T3454" t="s">
        <v>13338</v>
      </c>
      <c r="U3454" t="s">
        <v>13338</v>
      </c>
      <c r="V3454" t="s">
        <v>13338</v>
      </c>
      <c r="W3454" t="s">
        <v>16745</v>
      </c>
      <c r="X3454">
        <v>71</v>
      </c>
      <c r="Y3454" t="s">
        <v>23274</v>
      </c>
      <c r="Z3454" t="s">
        <v>29869</v>
      </c>
      <c r="AA3454">
        <v>0.47742399103473632</v>
      </c>
      <c r="AB3454" t="str">
        <f>HYPERLINK("Melting_Curves/meltCurve_Q14683_SMC1A.pdf", "Melting_Curves/meltCurve_Q14683_SMC1A.pdf")</f>
        <v>Melting_Curves/meltCurve_Q14683_SMC1A.pdf</v>
      </c>
    </row>
    <row r="3455" spans="1:28" x14ac:dyDescent="0.25">
      <c r="A3455" t="s">
        <v>3459</v>
      </c>
      <c r="B3455">
        <v>0.99193492352474899</v>
      </c>
      <c r="C3455">
        <v>0.48743398188513198</v>
      </c>
      <c r="D3455">
        <v>0.49810918459028802</v>
      </c>
      <c r="E3455">
        <v>0.30347053535600399</v>
      </c>
      <c r="F3455">
        <v>0.24788554520029499</v>
      </c>
      <c r="G3455">
        <v>0.18837233873387901</v>
      </c>
      <c r="H3455">
        <v>0.18784414224575299</v>
      </c>
      <c r="I3455">
        <v>0.43357881496163397</v>
      </c>
      <c r="J3455">
        <v>0.65613453807669697</v>
      </c>
      <c r="K3455">
        <v>0.97160947071361703</v>
      </c>
      <c r="L3455">
        <v>3791.4394653480699</v>
      </c>
      <c r="M3455">
        <v>90.666129444828201</v>
      </c>
      <c r="N3455">
        <v>42.7863497867421</v>
      </c>
      <c r="O3455">
        <v>41.797267727033201</v>
      </c>
      <c r="P3455">
        <v>-0.30595617976537898</v>
      </c>
      <c r="Q3455">
        <v>0.43581445573892602</v>
      </c>
      <c r="R3455">
        <v>0.34805103056325098</v>
      </c>
      <c r="S3455" t="s">
        <v>10125</v>
      </c>
      <c r="T3455" t="s">
        <v>13338</v>
      </c>
      <c r="U3455" t="s">
        <v>13338</v>
      </c>
      <c r="V3455" t="s">
        <v>13338</v>
      </c>
      <c r="W3455" t="s">
        <v>16746</v>
      </c>
      <c r="X3455">
        <v>1</v>
      </c>
      <c r="Y3455" t="s">
        <v>23275</v>
      </c>
      <c r="Z3455" t="s">
        <v>29870</v>
      </c>
      <c r="AA3455">
        <v>0.47043702406511978</v>
      </c>
      <c r="AB3455" t="str">
        <f>HYPERLINK("Melting_Curves/meltCurve_Q14684_2_RRP1B.pdf", "Melting_Curves/meltCurve_Q14684_2_RRP1B.pdf")</f>
        <v>Melting_Curves/meltCurve_Q14684_2_RRP1B.pdf</v>
      </c>
    </row>
    <row r="3456" spans="1:28" x14ac:dyDescent="0.25">
      <c r="A3456" t="s">
        <v>3460</v>
      </c>
      <c r="B3456">
        <v>0.99193492352474899</v>
      </c>
      <c r="C3456">
        <v>0.52395525729012404</v>
      </c>
      <c r="D3456">
        <v>0.693845862612117</v>
      </c>
      <c r="E3456">
        <v>0.28481214364630397</v>
      </c>
      <c r="F3456">
        <v>0.28226442423529202</v>
      </c>
      <c r="G3456">
        <v>0.167669848536598</v>
      </c>
      <c r="H3456">
        <v>0.21800604123230399</v>
      </c>
      <c r="I3456">
        <v>0.32658409175060699</v>
      </c>
      <c r="J3456">
        <v>0.47173989360612201</v>
      </c>
      <c r="K3456">
        <v>0.80067375419886</v>
      </c>
      <c r="L3456">
        <v>999.55690528857303</v>
      </c>
      <c r="M3456">
        <v>23.4104909718119</v>
      </c>
      <c r="N3456">
        <v>45.4401131886789</v>
      </c>
      <c r="O3456">
        <v>42.3890745560848</v>
      </c>
      <c r="P3456">
        <v>-8.5835622977909698E-2</v>
      </c>
      <c r="Q3456">
        <v>0.37832500685991999</v>
      </c>
      <c r="R3456">
        <v>0.46447688991689601</v>
      </c>
      <c r="S3456" t="s">
        <v>10126</v>
      </c>
      <c r="T3456" t="s">
        <v>13338</v>
      </c>
      <c r="U3456" t="s">
        <v>13338</v>
      </c>
      <c r="V3456" t="s">
        <v>13338</v>
      </c>
      <c r="W3456" t="s">
        <v>16747</v>
      </c>
      <c r="X3456">
        <v>2</v>
      </c>
      <c r="Y3456" t="s">
        <v>23276</v>
      </c>
      <c r="Z3456" t="s">
        <v>29871</v>
      </c>
      <c r="AA3456">
        <v>0.44540866465499518</v>
      </c>
      <c r="AB3456" t="str">
        <f>HYPERLINK("Melting_Curves/meltCurve_Q14686_NCOA6.pdf", "Melting_Curves/meltCurve_Q14686_NCOA6.pdf")</f>
        <v>Melting_Curves/meltCurve_Q14686_NCOA6.pdf</v>
      </c>
    </row>
    <row r="3457" spans="1:28" x14ac:dyDescent="0.25">
      <c r="A3457" t="s">
        <v>3461</v>
      </c>
      <c r="B3457">
        <v>0.99193492352474899</v>
      </c>
      <c r="C3457">
        <v>0.77892970987198595</v>
      </c>
      <c r="D3457">
        <v>0.78543815774669801</v>
      </c>
      <c r="E3457">
        <v>0.41201312714799998</v>
      </c>
      <c r="F3457">
        <v>0.236350494023816</v>
      </c>
      <c r="G3457">
        <v>0.17903364724425599</v>
      </c>
      <c r="H3457">
        <v>0.17256630929910899</v>
      </c>
      <c r="I3457">
        <v>0.285102956740933</v>
      </c>
      <c r="J3457">
        <v>0.34026877015784002</v>
      </c>
      <c r="K3457">
        <v>0.429745851590771</v>
      </c>
      <c r="L3457">
        <v>1078.3071872549999</v>
      </c>
      <c r="M3457">
        <v>23.077520619673098</v>
      </c>
      <c r="N3457">
        <v>48.326267124107503</v>
      </c>
      <c r="O3457">
        <v>46.378829113954502</v>
      </c>
      <c r="P3457">
        <v>-9.1159171154395202E-2</v>
      </c>
      <c r="Q3457">
        <v>0.267204286458541</v>
      </c>
      <c r="R3457">
        <v>0.88898479559896404</v>
      </c>
      <c r="S3457" t="s">
        <v>10127</v>
      </c>
      <c r="T3457" t="s">
        <v>13338</v>
      </c>
      <c r="U3457" t="s">
        <v>13338</v>
      </c>
      <c r="V3457" t="s">
        <v>13338</v>
      </c>
      <c r="W3457" t="s">
        <v>16748</v>
      </c>
      <c r="X3457">
        <v>10</v>
      </c>
      <c r="Y3457" t="s">
        <v>23277</v>
      </c>
      <c r="Z3457" t="s">
        <v>29872</v>
      </c>
      <c r="AA3457">
        <v>0.43935947992221103</v>
      </c>
      <c r="AB3457" t="str">
        <f>HYPERLINK("Melting_Curves/meltCurve_Q14687_2_GSE1.pdf", "Melting_Curves/meltCurve_Q14687_2_GSE1.pdf")</f>
        <v>Melting_Curves/meltCurve_Q14687_2_GSE1.pdf</v>
      </c>
    </row>
    <row r="3458" spans="1:28" x14ac:dyDescent="0.25">
      <c r="A3458" t="s">
        <v>3462</v>
      </c>
      <c r="B3458">
        <v>0.99193492352474899</v>
      </c>
      <c r="C3458">
        <v>0.163226105611677</v>
      </c>
      <c r="D3458">
        <v>0.19409178625392701</v>
      </c>
      <c r="E3458">
        <v>8.70776086398624E-2</v>
      </c>
      <c r="F3458">
        <v>7.1950788603730595E-2</v>
      </c>
      <c r="G3458">
        <v>5.6465746805365098E-2</v>
      </c>
      <c r="H3458">
        <v>3.1263365427147298E-2</v>
      </c>
      <c r="I3458">
        <v>4.0299334691425902E-2</v>
      </c>
      <c r="J3458">
        <v>6.2577183032662395E-2</v>
      </c>
      <c r="K3458">
        <v>5.2774154563874499E-2</v>
      </c>
      <c r="L3458">
        <v>3987.8740727354202</v>
      </c>
      <c r="M3458">
        <v>95.194516111635295</v>
      </c>
      <c r="N3458">
        <v>41.9629457828391</v>
      </c>
      <c r="O3458">
        <v>41.873371232620599</v>
      </c>
      <c r="P3458">
        <v>-0.52601817695062503</v>
      </c>
      <c r="Q3458">
        <v>7.4478122677357803E-2</v>
      </c>
      <c r="R3458">
        <v>0.97599341123688499</v>
      </c>
      <c r="S3458" t="s">
        <v>10128</v>
      </c>
      <c r="T3458" t="s">
        <v>13338</v>
      </c>
      <c r="U3458" t="s">
        <v>13338</v>
      </c>
      <c r="V3458" t="s">
        <v>13338</v>
      </c>
      <c r="W3458" t="s">
        <v>16749</v>
      </c>
      <c r="X3458">
        <v>4</v>
      </c>
      <c r="Y3458" t="s">
        <v>23278</v>
      </c>
      <c r="Z3458" t="s">
        <v>29873</v>
      </c>
      <c r="AA3458">
        <v>0.13344664558518579</v>
      </c>
      <c r="AB3458" t="str">
        <f>HYPERLINK("Melting_Curves/meltCurve_Q14690_PDCD11.pdf", "Melting_Curves/meltCurve_Q14690_PDCD11.pdf")</f>
        <v>Melting_Curves/meltCurve_Q14690_PDCD11.pdf</v>
      </c>
    </row>
    <row r="3459" spans="1:28" x14ac:dyDescent="0.25">
      <c r="A3459" t="s">
        <v>3463</v>
      </c>
      <c r="B3459">
        <v>0.99193492352474899</v>
      </c>
      <c r="C3459">
        <v>0.87589235857442804</v>
      </c>
      <c r="D3459">
        <v>0.93725479158383695</v>
      </c>
      <c r="E3459">
        <v>0.69968798560725898</v>
      </c>
      <c r="F3459">
        <v>0.23721355428678201</v>
      </c>
      <c r="G3459">
        <v>0.115509796681653</v>
      </c>
      <c r="H3459">
        <v>6.6641525426235595E-2</v>
      </c>
      <c r="I3459">
        <v>6.5645067360533202E-2</v>
      </c>
      <c r="J3459">
        <v>7.5034773082468101E-2</v>
      </c>
      <c r="K3459">
        <v>8.5941479609772706E-2</v>
      </c>
      <c r="L3459">
        <v>1511.5073258223199</v>
      </c>
      <c r="M3459">
        <v>29.8170678533779</v>
      </c>
      <c r="N3459">
        <v>50.953655773172699</v>
      </c>
      <c r="O3459">
        <v>50.4663179687929</v>
      </c>
      <c r="P3459">
        <v>-0.137249331951485</v>
      </c>
      <c r="Q3459">
        <v>7.08112365045062E-2</v>
      </c>
      <c r="R3459">
        <v>0.98930554046897001</v>
      </c>
      <c r="S3459" t="s">
        <v>10129</v>
      </c>
      <c r="T3459" t="s">
        <v>13338</v>
      </c>
      <c r="U3459" t="s">
        <v>13338</v>
      </c>
      <c r="V3459" t="s">
        <v>13338</v>
      </c>
      <c r="W3459" t="s">
        <v>16750</v>
      </c>
      <c r="X3459">
        <v>13</v>
      </c>
      <c r="Y3459" t="s">
        <v>23279</v>
      </c>
      <c r="Z3459" t="s">
        <v>29874</v>
      </c>
      <c r="AA3459">
        <v>0.40788005704010571</v>
      </c>
      <c r="AB3459" t="str">
        <f>HYPERLINK("Melting_Curves/meltCurve_Q14691_GINS1.pdf", "Melting_Curves/meltCurve_Q14691_GINS1.pdf")</f>
        <v>Melting_Curves/meltCurve_Q14691_GINS1.pdf</v>
      </c>
    </row>
    <row r="3460" spans="1:28" x14ac:dyDescent="0.25">
      <c r="A3460" t="s">
        <v>3464</v>
      </c>
      <c r="B3460">
        <v>0.99193492352474899</v>
      </c>
      <c r="C3460">
        <v>0.827999615547096</v>
      </c>
      <c r="D3460">
        <v>0.70465990732797701</v>
      </c>
      <c r="E3460">
        <v>0.28501766811693202</v>
      </c>
      <c r="F3460">
        <v>0.35054092901711298</v>
      </c>
      <c r="G3460">
        <v>0.31483359850357301</v>
      </c>
      <c r="H3460">
        <v>0.43040143249794199</v>
      </c>
      <c r="I3460">
        <v>0.38066426521633701</v>
      </c>
      <c r="J3460">
        <v>0.74422953578328699</v>
      </c>
      <c r="K3460">
        <v>1.25918774376644</v>
      </c>
      <c r="L3460">
        <v>1517.0009580035701</v>
      </c>
      <c r="M3460">
        <v>34.574226883572699</v>
      </c>
      <c r="O3460">
        <v>43.730636268739602</v>
      </c>
      <c r="P3460">
        <v>-8.9787578679260696E-2</v>
      </c>
      <c r="Q3460">
        <v>0.54573639866134604</v>
      </c>
      <c r="R3460">
        <v>0.22598758254635101</v>
      </c>
      <c r="S3460" t="s">
        <v>10130</v>
      </c>
      <c r="T3460" t="s">
        <v>13338</v>
      </c>
      <c r="U3460" t="s">
        <v>13338</v>
      </c>
      <c r="V3460" t="s">
        <v>13338</v>
      </c>
      <c r="W3460" t="s">
        <v>16751</v>
      </c>
      <c r="X3460">
        <v>2</v>
      </c>
      <c r="Y3460" t="s">
        <v>23280</v>
      </c>
      <c r="Z3460" t="s">
        <v>29875</v>
      </c>
      <c r="AA3460">
        <v>0.6068101633908396</v>
      </c>
      <c r="AB3460" t="str">
        <f>HYPERLINK("Melting_Curves/meltCurve_Q14692_BMS1.pdf", "Melting_Curves/meltCurve_Q14692_BMS1.pdf")</f>
        <v>Melting_Curves/meltCurve_Q14692_BMS1.pdf</v>
      </c>
    </row>
    <row r="3461" spans="1:28" x14ac:dyDescent="0.25">
      <c r="A3461" t="s">
        <v>3465</v>
      </c>
      <c r="B3461">
        <v>0.99193492352474899</v>
      </c>
      <c r="C3461">
        <v>0.80518082103523003</v>
      </c>
      <c r="D3461">
        <v>0.98345632739758504</v>
      </c>
      <c r="E3461">
        <v>0.55704134383577797</v>
      </c>
      <c r="F3461">
        <v>0.460064437905577</v>
      </c>
      <c r="G3461">
        <v>0.210577590327892</v>
      </c>
      <c r="H3461">
        <v>0.168558354263038</v>
      </c>
      <c r="I3461">
        <v>0.18292072080319</v>
      </c>
      <c r="J3461">
        <v>0.18350454384016901</v>
      </c>
      <c r="K3461">
        <v>0.194888252641717</v>
      </c>
      <c r="L3461">
        <v>896.83525803274404</v>
      </c>
      <c r="M3461">
        <v>17.853559133031599</v>
      </c>
      <c r="N3461">
        <v>51.370462025972202</v>
      </c>
      <c r="O3461">
        <v>49.615334148985397</v>
      </c>
      <c r="P3461">
        <v>-7.5274852956915994E-2</v>
      </c>
      <c r="Q3461">
        <v>0.16328204966308499</v>
      </c>
      <c r="R3461">
        <v>0.94969339069258196</v>
      </c>
      <c r="S3461" t="s">
        <v>10131</v>
      </c>
      <c r="T3461" t="s">
        <v>13338</v>
      </c>
      <c r="U3461" t="s">
        <v>13338</v>
      </c>
      <c r="V3461" t="s">
        <v>13338</v>
      </c>
      <c r="W3461" t="s">
        <v>16752</v>
      </c>
      <c r="X3461">
        <v>1</v>
      </c>
      <c r="Y3461" t="s">
        <v>23281</v>
      </c>
      <c r="Z3461" t="s">
        <v>29876</v>
      </c>
      <c r="AA3461">
        <v>0.46312884656828751</v>
      </c>
      <c r="AB3461" t="str">
        <f>HYPERLINK("Melting_Curves/meltCurve_Q14693_LPIN1.pdf", "Melting_Curves/meltCurve_Q14693_LPIN1.pdf")</f>
        <v>Melting_Curves/meltCurve_Q14693_LPIN1.pdf</v>
      </c>
    </row>
    <row r="3462" spans="1:28" x14ac:dyDescent="0.25">
      <c r="A3462" t="s">
        <v>3466</v>
      </c>
      <c r="B3462">
        <v>0.99193492352474899</v>
      </c>
      <c r="C3462">
        <v>0.37581594551634701</v>
      </c>
      <c r="D3462">
        <v>0.301683246315116</v>
      </c>
      <c r="E3462">
        <v>0.141424036203422</v>
      </c>
      <c r="F3462">
        <v>0.112984053235558</v>
      </c>
      <c r="G3462">
        <v>7.9506386664256495E-2</v>
      </c>
      <c r="H3462">
        <v>6.7470126911456402E-2</v>
      </c>
      <c r="I3462">
        <v>8.1331318221624704E-2</v>
      </c>
      <c r="J3462">
        <v>0.11144698407551901</v>
      </c>
      <c r="K3462">
        <v>0.133577055444799</v>
      </c>
      <c r="L3462">
        <v>2080.8055188311</v>
      </c>
      <c r="M3462">
        <v>49.279991707183697</v>
      </c>
      <c r="N3462">
        <v>42.471181036665598</v>
      </c>
      <c r="O3462">
        <v>42.154788234184998</v>
      </c>
      <c r="P3462">
        <v>-0.25584076174042503</v>
      </c>
      <c r="Q3462">
        <v>0.12460184881693701</v>
      </c>
      <c r="R3462">
        <v>0.94916305981696802</v>
      </c>
      <c r="S3462" t="s">
        <v>10132</v>
      </c>
      <c r="T3462" t="s">
        <v>13338</v>
      </c>
      <c r="U3462" t="s">
        <v>13338</v>
      </c>
      <c r="V3462" t="s">
        <v>13338</v>
      </c>
      <c r="W3462" t="s">
        <v>16753</v>
      </c>
      <c r="X3462">
        <v>12</v>
      </c>
      <c r="Y3462" t="s">
        <v>23282</v>
      </c>
      <c r="Z3462" t="s">
        <v>29877</v>
      </c>
      <c r="AA3462">
        <v>0.19253286840170289</v>
      </c>
      <c r="AB3462" t="str">
        <f>HYPERLINK("Melting_Curves/meltCurve_Q14694_USP10.pdf", "Melting_Curves/meltCurve_Q14694_USP10.pdf")</f>
        <v>Melting_Curves/meltCurve_Q14694_USP10.pdf</v>
      </c>
    </row>
    <row r="3463" spans="1:28" x14ac:dyDescent="0.25">
      <c r="A3463" t="s">
        <v>3467</v>
      </c>
      <c r="B3463">
        <v>0.99193492352474899</v>
      </c>
      <c r="C3463">
        <v>0.93225070605783</v>
      </c>
      <c r="D3463">
        <v>0.90629926273561501</v>
      </c>
      <c r="E3463">
        <v>0.81200998682234204</v>
      </c>
      <c r="F3463">
        <v>0.47482377253843999</v>
      </c>
      <c r="G3463">
        <v>0.23736995815658099</v>
      </c>
      <c r="H3463">
        <v>0.124722973641521</v>
      </c>
      <c r="I3463">
        <v>0.138595019210695</v>
      </c>
      <c r="J3463">
        <v>0.10454301273779799</v>
      </c>
      <c r="K3463">
        <v>0.14840478280656599</v>
      </c>
      <c r="L3463">
        <v>1128.7678793616999</v>
      </c>
      <c r="M3463">
        <v>21.597139463152502</v>
      </c>
      <c r="N3463">
        <v>52.881981648650203</v>
      </c>
      <c r="O3463">
        <v>51.822791982475998</v>
      </c>
      <c r="P3463">
        <v>-9.2581715744791002E-2</v>
      </c>
      <c r="Q3463">
        <v>0.11141421978699299</v>
      </c>
      <c r="R3463">
        <v>0.99322179082462303</v>
      </c>
      <c r="S3463" t="s">
        <v>10133</v>
      </c>
      <c r="T3463" t="s">
        <v>13338</v>
      </c>
      <c r="U3463" t="s">
        <v>13338</v>
      </c>
      <c r="V3463" t="s">
        <v>13338</v>
      </c>
      <c r="W3463" t="s">
        <v>16754</v>
      </c>
      <c r="X3463">
        <v>10</v>
      </c>
      <c r="Y3463" t="s">
        <v>23283</v>
      </c>
      <c r="Z3463" t="s">
        <v>29878</v>
      </c>
      <c r="AA3463">
        <v>0.48538459723261002</v>
      </c>
      <c r="AB3463" t="str">
        <f>HYPERLINK("Melting_Curves/meltCurve_Q14696_MESDC2.pdf", "Melting_Curves/meltCurve_Q14696_MESDC2.pdf")</f>
        <v>Melting_Curves/meltCurve_Q14696_MESDC2.pdf</v>
      </c>
    </row>
    <row r="3464" spans="1:28" x14ac:dyDescent="0.25">
      <c r="A3464" t="s">
        <v>3468</v>
      </c>
      <c r="B3464">
        <v>0.99193492352474899</v>
      </c>
      <c r="C3464">
        <v>0.90000669854319704</v>
      </c>
      <c r="D3464">
        <v>0.868184804209995</v>
      </c>
      <c r="E3464">
        <v>0.51850657820047297</v>
      </c>
      <c r="F3464">
        <v>0.22905893865812099</v>
      </c>
      <c r="G3464">
        <v>0.11908028094383</v>
      </c>
      <c r="H3464">
        <v>7.6469612936606104E-2</v>
      </c>
      <c r="I3464">
        <v>9.4592042331832396E-2</v>
      </c>
      <c r="J3464">
        <v>0.10423414205932401</v>
      </c>
      <c r="K3464">
        <v>0.114657190772063</v>
      </c>
      <c r="L3464">
        <v>1120.1133711592399</v>
      </c>
      <c r="M3464">
        <v>22.721286018256301</v>
      </c>
      <c r="N3464">
        <v>49.727786465732898</v>
      </c>
      <c r="O3464">
        <v>48.920845787848897</v>
      </c>
      <c r="P3464">
        <v>-0.10576281527707</v>
      </c>
      <c r="Q3464">
        <v>8.9152390429223904E-2</v>
      </c>
      <c r="R3464">
        <v>0.99475488694782899</v>
      </c>
      <c r="S3464" t="s">
        <v>10134</v>
      </c>
      <c r="T3464" t="s">
        <v>13338</v>
      </c>
      <c r="U3464" t="s">
        <v>13338</v>
      </c>
      <c r="V3464" t="s">
        <v>13338</v>
      </c>
      <c r="W3464" t="s">
        <v>16755</v>
      </c>
      <c r="X3464">
        <v>37</v>
      </c>
      <c r="Y3464" t="s">
        <v>23284</v>
      </c>
      <c r="Z3464" t="s">
        <v>29879</v>
      </c>
      <c r="AA3464">
        <v>0.38128493853842371</v>
      </c>
      <c r="AB3464" t="str">
        <f>HYPERLINK("Melting_Curves/meltCurve_Q14697_GANAB.pdf", "Melting_Curves/meltCurve_Q14697_GANAB.pdf")</f>
        <v>Melting_Curves/meltCurve_Q14697_GANAB.pdf</v>
      </c>
    </row>
    <row r="3465" spans="1:28" x14ac:dyDescent="0.25">
      <c r="A3465" t="s">
        <v>3469</v>
      </c>
      <c r="B3465">
        <v>0.99193492352474899</v>
      </c>
      <c r="C3465">
        <v>0.819719374018402</v>
      </c>
      <c r="D3465">
        <v>0.84192128757001194</v>
      </c>
      <c r="E3465">
        <v>0.53206634384159501</v>
      </c>
      <c r="F3465">
        <v>0.20121100167654299</v>
      </c>
      <c r="G3465">
        <v>4.21430093615646E-2</v>
      </c>
      <c r="H3465">
        <v>6.6267731059382801E-2</v>
      </c>
      <c r="I3465">
        <v>4.69598737292828E-2</v>
      </c>
      <c r="J3465">
        <v>2.2210841763607998E-2</v>
      </c>
      <c r="K3465">
        <v>0</v>
      </c>
      <c r="L3465">
        <v>907.50861078710795</v>
      </c>
      <c r="M3465">
        <v>18.309852698654701</v>
      </c>
      <c r="N3465">
        <v>49.594539551941601</v>
      </c>
      <c r="O3465">
        <v>48.9840823071358</v>
      </c>
      <c r="P3465">
        <v>-9.29273343490572E-2</v>
      </c>
      <c r="Q3465">
        <v>5.6173348666303403E-3</v>
      </c>
      <c r="R3465">
        <v>0.98384277724230595</v>
      </c>
      <c r="S3465" t="s">
        <v>10135</v>
      </c>
      <c r="T3465" t="s">
        <v>13338</v>
      </c>
      <c r="U3465" t="s">
        <v>13338</v>
      </c>
      <c r="V3465" t="s">
        <v>13338</v>
      </c>
      <c r="W3465" t="s">
        <v>16756</v>
      </c>
      <c r="X3465">
        <v>37</v>
      </c>
      <c r="Y3465" t="s">
        <v>23284</v>
      </c>
      <c r="Z3465" t="s">
        <v>29880</v>
      </c>
      <c r="AA3465">
        <v>0.3391291602574415</v>
      </c>
      <c r="AB3465" t="str">
        <f>HYPERLINK("Melting_Curves/meltCurve_Q14697_2_GANAB.pdf", "Melting_Curves/meltCurve_Q14697_2_GANAB.pdf")</f>
        <v>Melting_Curves/meltCurve_Q14697_2_GANAB.pdf</v>
      </c>
    </row>
    <row r="3466" spans="1:28" x14ac:dyDescent="0.25">
      <c r="A3466" t="s">
        <v>3470</v>
      </c>
      <c r="B3466">
        <v>0.99193492352474899</v>
      </c>
      <c r="C3466">
        <v>1.0461359712948199</v>
      </c>
      <c r="D3466">
        <v>0.89538185085922095</v>
      </c>
      <c r="E3466">
        <v>0.81229757179759299</v>
      </c>
      <c r="F3466">
        <v>0.445839817901032</v>
      </c>
      <c r="G3466">
        <v>0.18233901946099601</v>
      </c>
      <c r="H3466">
        <v>9.3106293688331204E-2</v>
      </c>
      <c r="I3466">
        <v>9.7431706657425898E-2</v>
      </c>
      <c r="J3466">
        <v>9.9114838506463396E-2</v>
      </c>
      <c r="K3466">
        <v>0.12210965476813999</v>
      </c>
      <c r="L3466">
        <v>1285.0796275714199</v>
      </c>
      <c r="M3466">
        <v>24.646297272953301</v>
      </c>
      <c r="N3466">
        <v>52.569939047456103</v>
      </c>
      <c r="O3466">
        <v>51.801259845098897</v>
      </c>
      <c r="P3466">
        <v>-0.108111393826024</v>
      </c>
      <c r="Q3466">
        <v>9.1104696342860197E-2</v>
      </c>
      <c r="R3466">
        <v>0.99359638784726301</v>
      </c>
      <c r="S3466" t="s">
        <v>10136</v>
      </c>
      <c r="T3466" t="s">
        <v>13338</v>
      </c>
      <c r="U3466" t="s">
        <v>13338</v>
      </c>
      <c r="V3466" t="s">
        <v>13338</v>
      </c>
      <c r="W3466" t="s">
        <v>16757</v>
      </c>
      <c r="X3466">
        <v>15</v>
      </c>
      <c r="Y3466" t="s">
        <v>23285</v>
      </c>
      <c r="Z3466" t="s">
        <v>29881</v>
      </c>
      <c r="AA3466">
        <v>0.46746940711655072</v>
      </c>
      <c r="AB3466" t="str">
        <f>HYPERLINK("Melting_Curves/meltCurve_Q14699_RFTN1.pdf", "Melting_Curves/meltCurve_Q14699_RFTN1.pdf")</f>
        <v>Melting_Curves/meltCurve_Q14699_RFTN1.pdf</v>
      </c>
    </row>
    <row r="3467" spans="1:28" x14ac:dyDescent="0.25">
      <c r="A3467" t="s">
        <v>3471</v>
      </c>
      <c r="B3467">
        <v>0.99193492352474899</v>
      </c>
      <c r="C3467">
        <v>0.94476676270940996</v>
      </c>
      <c r="D3467">
        <v>1.0464665473990999</v>
      </c>
      <c r="E3467">
        <v>0.90790615719178303</v>
      </c>
      <c r="F3467">
        <v>0.23788034555042101</v>
      </c>
      <c r="G3467">
        <v>9.1849856512282502E-2</v>
      </c>
      <c r="H3467">
        <v>4.9297707542104198E-2</v>
      </c>
      <c r="I3467">
        <v>7.5720338795899206E-2</v>
      </c>
      <c r="J3467">
        <v>5.9701839776640599E-2</v>
      </c>
      <c r="K3467">
        <v>6.9882593461012804E-2</v>
      </c>
      <c r="L3467">
        <v>2716.2128560114102</v>
      </c>
      <c r="M3467">
        <v>52.545936576004003</v>
      </c>
      <c r="N3467">
        <v>51.834918734562997</v>
      </c>
      <c r="O3467">
        <v>51.617452357611903</v>
      </c>
      <c r="P3467">
        <v>-0.23735238870078801</v>
      </c>
      <c r="Q3467">
        <v>6.7367135991317106E-2</v>
      </c>
      <c r="R3467">
        <v>0.996722036819091</v>
      </c>
      <c r="S3467" t="s">
        <v>10137</v>
      </c>
      <c r="T3467" t="s">
        <v>13338</v>
      </c>
      <c r="U3467" t="s">
        <v>13338</v>
      </c>
      <c r="V3467" t="s">
        <v>13338</v>
      </c>
      <c r="W3467" t="s">
        <v>16758</v>
      </c>
      <c r="X3467">
        <v>13</v>
      </c>
      <c r="Y3467" t="s">
        <v>23286</v>
      </c>
      <c r="Z3467" t="s">
        <v>29882</v>
      </c>
      <c r="AA3467">
        <v>0.43277455578437168</v>
      </c>
      <c r="AB3467" t="str">
        <f>HYPERLINK("Melting_Curves/meltCurve_Q14739_LBR.pdf", "Melting_Curves/meltCurve_Q14739_LBR.pdf")</f>
        <v>Melting_Curves/meltCurve_Q14739_LBR.pdf</v>
      </c>
    </row>
    <row r="3468" spans="1:28" x14ac:dyDescent="0.25">
      <c r="A3468" t="s">
        <v>3472</v>
      </c>
      <c r="B3468">
        <v>0.99193492352474899</v>
      </c>
      <c r="C3468">
        <v>1.06273284316066</v>
      </c>
      <c r="D3468">
        <v>0.74116796549740305</v>
      </c>
      <c r="E3468">
        <v>0.348259551460538</v>
      </c>
      <c r="F3468">
        <v>0.203494884753078</v>
      </c>
      <c r="G3468">
        <v>0.18845622700113601</v>
      </c>
      <c r="H3468">
        <v>0.117843119789016</v>
      </c>
      <c r="I3468">
        <v>0.108756506200319</v>
      </c>
      <c r="J3468">
        <v>0.11886049634495199</v>
      </c>
      <c r="K3468">
        <v>8.9824101787882596E-2</v>
      </c>
      <c r="L3468">
        <v>1335.0748885135199</v>
      </c>
      <c r="M3468">
        <v>27.9893740075509</v>
      </c>
      <c r="N3468">
        <v>48.203825294003899</v>
      </c>
      <c r="O3468">
        <v>47.457859708588501</v>
      </c>
      <c r="P3468">
        <v>-0.12872500151517699</v>
      </c>
      <c r="Q3468">
        <v>0.126960172269971</v>
      </c>
      <c r="R3468">
        <v>0.98774110219215505</v>
      </c>
      <c r="S3468" t="s">
        <v>10138</v>
      </c>
      <c r="T3468" t="s">
        <v>13338</v>
      </c>
      <c r="U3468" t="s">
        <v>13338</v>
      </c>
      <c r="V3468" t="s">
        <v>13338</v>
      </c>
      <c r="W3468" t="s">
        <v>16759</v>
      </c>
      <c r="X3468">
        <v>3</v>
      </c>
      <c r="Y3468" t="s">
        <v>23287</v>
      </c>
      <c r="Z3468" t="s">
        <v>29883</v>
      </c>
      <c r="AA3468">
        <v>0.35709221189737078</v>
      </c>
      <c r="AB3468" t="str">
        <f>HYPERLINK("Melting_Curves/meltCurve_Q14746_2_COG2.pdf", "Melting_Curves/meltCurve_Q14746_2_COG2.pdf")</f>
        <v>Melting_Curves/meltCurve_Q14746_2_COG2.pdf</v>
      </c>
    </row>
    <row r="3469" spans="1:28" x14ac:dyDescent="0.25">
      <c r="A3469" t="s">
        <v>3473</v>
      </c>
      <c r="B3469">
        <v>0.99193492352474899</v>
      </c>
      <c r="C3469">
        <v>0.78750542703964099</v>
      </c>
      <c r="D3469">
        <v>0.85915747342598403</v>
      </c>
      <c r="E3469">
        <v>0.60207094783594794</v>
      </c>
      <c r="F3469">
        <v>0.50370529622051397</v>
      </c>
      <c r="G3469">
        <v>0.354383220869119</v>
      </c>
      <c r="H3469">
        <v>0.32362162013634599</v>
      </c>
      <c r="I3469">
        <v>0.34481125446495298</v>
      </c>
      <c r="J3469">
        <v>0.472378286697754</v>
      </c>
      <c r="K3469">
        <v>0.54371130100780296</v>
      </c>
      <c r="L3469">
        <v>786.86005310493601</v>
      </c>
      <c r="M3469">
        <v>16.576828776917498</v>
      </c>
      <c r="N3469">
        <v>52.623252063811698</v>
      </c>
      <c r="O3469">
        <v>46.7928371699034</v>
      </c>
      <c r="P3469">
        <v>-5.3013538256226102E-2</v>
      </c>
      <c r="Q3469">
        <v>0.40145768895633899</v>
      </c>
      <c r="R3469">
        <v>0.86185997632887701</v>
      </c>
      <c r="S3469" t="s">
        <v>10139</v>
      </c>
      <c r="T3469" t="s">
        <v>13338</v>
      </c>
      <c r="U3469" t="s">
        <v>13338</v>
      </c>
      <c r="V3469" t="s">
        <v>13338</v>
      </c>
      <c r="W3469" t="s">
        <v>16760</v>
      </c>
      <c r="X3469">
        <v>6</v>
      </c>
      <c r="Y3469" t="s">
        <v>23288</v>
      </c>
      <c r="Z3469" t="s">
        <v>29884</v>
      </c>
      <c r="AA3469">
        <v>0.56332228087953196</v>
      </c>
      <c r="AB3469" t="str">
        <f>HYPERLINK("Melting_Curves/meltCurve_Q14761_PTPRCAP.pdf", "Melting_Curves/meltCurve_Q14761_PTPRCAP.pdf")</f>
        <v>Melting_Curves/meltCurve_Q14761_PTPRCAP.pdf</v>
      </c>
    </row>
    <row r="3470" spans="1:28" x14ac:dyDescent="0.25">
      <c r="A3470" t="s">
        <v>3474</v>
      </c>
      <c r="B3470">
        <v>0.99193492352474899</v>
      </c>
      <c r="C3470">
        <v>1.20613891556749</v>
      </c>
      <c r="D3470">
        <v>1.2845525700496201</v>
      </c>
      <c r="E3470">
        <v>1.2642377808136001</v>
      </c>
      <c r="F3470">
        <v>0.97627974965839803</v>
      </c>
      <c r="G3470">
        <v>0.67928954564862098</v>
      </c>
      <c r="H3470">
        <v>0.29944277939328401</v>
      </c>
      <c r="I3470">
        <v>0.33696169766860201</v>
      </c>
      <c r="J3470">
        <v>0.34970231369376797</v>
      </c>
      <c r="K3470">
        <v>0.34377242541841502</v>
      </c>
      <c r="L3470">
        <v>14204.4455322253</v>
      </c>
      <c r="M3470">
        <v>250</v>
      </c>
      <c r="N3470">
        <v>57.067381294048097</v>
      </c>
      <c r="O3470">
        <v>56.814144866901501</v>
      </c>
      <c r="P3470">
        <v>-0.73433538634619999</v>
      </c>
      <c r="Q3470">
        <v>0.33246979316096997</v>
      </c>
      <c r="R3470">
        <v>0.87522839411766495</v>
      </c>
      <c r="S3470" t="s">
        <v>10140</v>
      </c>
      <c r="T3470" t="s">
        <v>13338</v>
      </c>
      <c r="U3470" t="s">
        <v>13338</v>
      </c>
      <c r="V3470" t="s">
        <v>13338</v>
      </c>
      <c r="W3470" t="s">
        <v>16761</v>
      </c>
      <c r="X3470">
        <v>3</v>
      </c>
      <c r="Y3470" t="s">
        <v>23289</v>
      </c>
      <c r="Z3470" t="s">
        <v>29885</v>
      </c>
      <c r="AA3470">
        <v>0.70674894158650359</v>
      </c>
      <c r="AB3470" t="str">
        <f>HYPERLINK("Melting_Curves/meltCurve_Q14764_MVP.pdf", "Melting_Curves/meltCurve_Q14764_MVP.pdf")</f>
        <v>Melting_Curves/meltCurve_Q14764_MVP.pdf</v>
      </c>
    </row>
    <row r="3471" spans="1:28" x14ac:dyDescent="0.25">
      <c r="A3471" t="s">
        <v>3475</v>
      </c>
      <c r="B3471">
        <v>0.99193492352474899</v>
      </c>
      <c r="C3471">
        <v>0.82198198670107003</v>
      </c>
      <c r="D3471">
        <v>0.28663079419260001</v>
      </c>
      <c r="E3471">
        <v>0.200937338142084</v>
      </c>
      <c r="F3471">
        <v>0.139125678999413</v>
      </c>
      <c r="G3471">
        <v>9.3017029892945496E-2</v>
      </c>
      <c r="H3471">
        <v>6.0150764432404101E-2</v>
      </c>
      <c r="I3471">
        <v>6.75122586111431E-2</v>
      </c>
      <c r="J3471">
        <v>7.9567368509122202E-2</v>
      </c>
      <c r="K3471">
        <v>8.4994006708685302E-2</v>
      </c>
      <c r="L3471">
        <v>1601.1485515235699</v>
      </c>
      <c r="M3471">
        <v>35.994768145680801</v>
      </c>
      <c r="N3471">
        <v>44.753346264282499</v>
      </c>
      <c r="O3471">
        <v>44.3461834204289</v>
      </c>
      <c r="P3471">
        <v>-0.183080090456576</v>
      </c>
      <c r="Q3471">
        <v>9.7771364750418296E-2</v>
      </c>
      <c r="R3471">
        <v>0.98867096573448898</v>
      </c>
      <c r="S3471" t="s">
        <v>10141</v>
      </c>
      <c r="T3471" t="s">
        <v>13338</v>
      </c>
      <c r="U3471" t="s">
        <v>13338</v>
      </c>
      <c r="V3471" t="s">
        <v>13338</v>
      </c>
      <c r="W3471" t="s">
        <v>16762</v>
      </c>
      <c r="X3471">
        <v>42</v>
      </c>
      <c r="Y3471" t="s">
        <v>23290</v>
      </c>
      <c r="Z3471" t="s">
        <v>29886</v>
      </c>
      <c r="AA3471">
        <v>0.2365254084555066</v>
      </c>
      <c r="AB3471" t="str">
        <f>HYPERLINK("Melting_Curves/meltCurve_Q14789_GOLGB1.pdf", "Melting_Curves/meltCurve_Q14789_GOLGB1.pdf")</f>
        <v>Melting_Curves/meltCurve_Q14789_GOLGB1.pdf</v>
      </c>
    </row>
    <row r="3472" spans="1:28" x14ac:dyDescent="0.25">
      <c r="A3472" t="s">
        <v>3476</v>
      </c>
      <c r="B3472">
        <v>0.99193492352474899</v>
      </c>
      <c r="C3472">
        <v>0.81652025348655499</v>
      </c>
      <c r="D3472">
        <v>0.64055216780569602</v>
      </c>
      <c r="E3472">
        <v>0.21306844454870599</v>
      </c>
      <c r="F3472">
        <v>0.137215049545547</v>
      </c>
      <c r="G3472">
        <v>8.4209694534015403E-2</v>
      </c>
      <c r="H3472">
        <v>6.5078492851577296E-2</v>
      </c>
      <c r="I3472">
        <v>7.1439187097855794E-2</v>
      </c>
      <c r="J3472">
        <v>7.7566286034741194E-2</v>
      </c>
      <c r="K3472">
        <v>8.20730720904852E-2</v>
      </c>
      <c r="L3472">
        <v>1026.8782346962901</v>
      </c>
      <c r="M3472">
        <v>22.085992933735401</v>
      </c>
      <c r="N3472">
        <v>46.812376956864902</v>
      </c>
      <c r="O3472">
        <v>46.118422014385303</v>
      </c>
      <c r="P3472">
        <v>-0.11139104145923499</v>
      </c>
      <c r="Q3472">
        <v>6.9624821227988201E-2</v>
      </c>
      <c r="R3472">
        <v>0.99260059604529505</v>
      </c>
      <c r="S3472" t="s">
        <v>10142</v>
      </c>
      <c r="T3472" t="s">
        <v>13338</v>
      </c>
      <c r="U3472" t="s">
        <v>13338</v>
      </c>
      <c r="V3472" t="s">
        <v>13338</v>
      </c>
      <c r="W3472" t="s">
        <v>16763</v>
      </c>
      <c r="X3472">
        <v>7</v>
      </c>
      <c r="Y3472" t="s">
        <v>23291</v>
      </c>
      <c r="Z3472" t="s">
        <v>29887</v>
      </c>
      <c r="AA3472">
        <v>0.28218059001252271</v>
      </c>
      <c r="AB3472" t="str">
        <f>HYPERLINK("Melting_Curves/meltCurve_Q14790_2_CASP8.pdf", "Melting_Curves/meltCurve_Q14790_2_CASP8.pdf")</f>
        <v>Melting_Curves/meltCurve_Q14790_2_CASP8.pdf</v>
      </c>
    </row>
    <row r="3473" spans="1:28" x14ac:dyDescent="0.25">
      <c r="A3473" t="s">
        <v>3477</v>
      </c>
      <c r="B3473">
        <v>0.99193492352474899</v>
      </c>
      <c r="C3473">
        <v>0.87820910793215001</v>
      </c>
      <c r="D3473">
        <v>0.97652919994064402</v>
      </c>
      <c r="E3473">
        <v>0.71478771454867196</v>
      </c>
      <c r="F3473">
        <v>0.29113758180347599</v>
      </c>
      <c r="G3473">
        <v>0.113136957547201</v>
      </c>
      <c r="H3473">
        <v>7.7006115504183306E-2</v>
      </c>
      <c r="I3473">
        <v>8.6096851351976603E-2</v>
      </c>
      <c r="J3473">
        <v>9.2647061351548196E-2</v>
      </c>
      <c r="K3473">
        <v>8.8498571601968695E-2</v>
      </c>
      <c r="L3473">
        <v>1496.482981074</v>
      </c>
      <c r="M3473">
        <v>29.369882587276201</v>
      </c>
      <c r="N3473">
        <v>51.263031016914603</v>
      </c>
      <c r="O3473">
        <v>50.718510900383002</v>
      </c>
      <c r="P3473">
        <v>-0.13298927790837001</v>
      </c>
      <c r="Q3473">
        <v>8.1375956690645998E-2</v>
      </c>
      <c r="R3473">
        <v>0.99016942847735501</v>
      </c>
      <c r="S3473" t="s">
        <v>10143</v>
      </c>
      <c r="T3473" t="s">
        <v>13338</v>
      </c>
      <c r="U3473" t="s">
        <v>13338</v>
      </c>
      <c r="V3473" t="s">
        <v>13338</v>
      </c>
      <c r="W3473" t="s">
        <v>16764</v>
      </c>
      <c r="X3473">
        <v>11</v>
      </c>
      <c r="Y3473" t="s">
        <v>23292</v>
      </c>
      <c r="Z3473" t="s">
        <v>29888</v>
      </c>
      <c r="AA3473">
        <v>0.42278689960976101</v>
      </c>
      <c r="AB3473" t="str">
        <f>HYPERLINK("Melting_Curves/meltCurve_Q147X3_NAA30.pdf", "Melting_Curves/meltCurve_Q147X3_NAA30.pdf")</f>
        <v>Melting_Curves/meltCurve_Q147X3_NAA30.pdf</v>
      </c>
    </row>
    <row r="3474" spans="1:28" x14ac:dyDescent="0.25">
      <c r="A3474" t="s">
        <v>3478</v>
      </c>
      <c r="B3474">
        <v>0.99193492352474899</v>
      </c>
      <c r="C3474">
        <v>0.45037646734881098</v>
      </c>
      <c r="D3474">
        <v>0.37055141393728103</v>
      </c>
      <c r="E3474">
        <v>0.20309764909388101</v>
      </c>
      <c r="F3474">
        <v>0.14620769739860101</v>
      </c>
      <c r="G3474">
        <v>9.7867642064867394E-2</v>
      </c>
      <c r="H3474">
        <v>7.1373630733894994E-2</v>
      </c>
      <c r="I3474">
        <v>0.103916310916324</v>
      </c>
      <c r="J3474">
        <v>0.109716500710096</v>
      </c>
      <c r="K3474">
        <v>0.117471867217895</v>
      </c>
      <c r="L3474">
        <v>973.43868839220295</v>
      </c>
      <c r="M3474">
        <v>22.609562813278799</v>
      </c>
      <c r="N3474">
        <v>43.565418085967998</v>
      </c>
      <c r="O3474">
        <v>42.721729799958602</v>
      </c>
      <c r="P3474">
        <v>-0.116895917585778</v>
      </c>
      <c r="Q3474">
        <v>0.116498558174639</v>
      </c>
      <c r="R3474">
        <v>0.93956652352802605</v>
      </c>
      <c r="S3474" t="s">
        <v>10144</v>
      </c>
      <c r="T3474" t="s">
        <v>13338</v>
      </c>
      <c r="U3474" t="s">
        <v>13338</v>
      </c>
      <c r="V3474" t="s">
        <v>13338</v>
      </c>
      <c r="W3474" t="s">
        <v>16765</v>
      </c>
      <c r="X3474">
        <v>4</v>
      </c>
      <c r="Y3474" t="s">
        <v>23293</v>
      </c>
      <c r="Z3474" t="s">
        <v>29889</v>
      </c>
      <c r="AA3474">
        <v>0.22213588419254771</v>
      </c>
      <c r="AB3474" t="str">
        <f>HYPERLINK("Melting_Curves/meltCurve_Q14807_KIF22.pdf", "Melting_Curves/meltCurve_Q14807_KIF22.pdf")</f>
        <v>Melting_Curves/meltCurve_Q14807_KIF22.pdf</v>
      </c>
    </row>
    <row r="3475" spans="1:28" x14ac:dyDescent="0.25">
      <c r="A3475" t="s">
        <v>3479</v>
      </c>
      <c r="B3475">
        <v>0.99193492352474899</v>
      </c>
      <c r="C3475">
        <v>0.95982783444708697</v>
      </c>
      <c r="D3475">
        <v>0.90402680677408798</v>
      </c>
      <c r="E3475">
        <v>0.89281602969848906</v>
      </c>
      <c r="F3475">
        <v>0.72953108909113795</v>
      </c>
      <c r="G3475">
        <v>0.56136289102404802</v>
      </c>
      <c r="H3475">
        <v>0.43887245450804702</v>
      </c>
      <c r="I3475">
        <v>0.53683427998803401</v>
      </c>
      <c r="J3475">
        <v>0.473740376768299</v>
      </c>
      <c r="K3475">
        <v>0.85065080563056195</v>
      </c>
      <c r="L3475">
        <v>1420.62147052671</v>
      </c>
      <c r="M3475">
        <v>27.579176260382699</v>
      </c>
      <c r="O3475">
        <v>51.242115989077</v>
      </c>
      <c r="P3475">
        <v>-5.7915686253764601E-2</v>
      </c>
      <c r="Q3475">
        <v>0.569574483579671</v>
      </c>
      <c r="R3475">
        <v>0.70934178752280597</v>
      </c>
      <c r="S3475" t="s">
        <v>10145</v>
      </c>
      <c r="T3475" t="s">
        <v>13338</v>
      </c>
      <c r="U3475" t="s">
        <v>13338</v>
      </c>
      <c r="V3475" t="s">
        <v>13338</v>
      </c>
      <c r="W3475" t="s">
        <v>16766</v>
      </c>
      <c r="X3475">
        <v>17</v>
      </c>
      <c r="Y3475" t="s">
        <v>23294</v>
      </c>
      <c r="Z3475" t="s">
        <v>29890</v>
      </c>
      <c r="AA3475">
        <v>0.73794865614117344</v>
      </c>
      <c r="AB3475" t="str">
        <f>HYPERLINK("Melting_Curves/meltCurve_Q14847_LASP1.pdf", "Melting_Curves/meltCurve_Q14847_LASP1.pdf")</f>
        <v>Melting_Curves/meltCurve_Q14847_LASP1.pdf</v>
      </c>
    </row>
    <row r="3476" spans="1:28" x14ac:dyDescent="0.25">
      <c r="A3476" t="s">
        <v>3480</v>
      </c>
      <c r="B3476">
        <v>0.99193492352474899</v>
      </c>
      <c r="C3476">
        <v>0.94488763286191801</v>
      </c>
      <c r="D3476">
        <v>0.88495205554365997</v>
      </c>
      <c r="E3476">
        <v>0.75876256456331104</v>
      </c>
      <c r="F3476">
        <v>0.59838430929944697</v>
      </c>
      <c r="G3476">
        <v>0.51706490125955595</v>
      </c>
      <c r="H3476">
        <v>0.35717886671827298</v>
      </c>
      <c r="I3476">
        <v>0.25273833685514302</v>
      </c>
      <c r="J3476">
        <v>0.164115744713665</v>
      </c>
      <c r="K3476">
        <v>0.16761747379862799</v>
      </c>
      <c r="L3476">
        <v>497.18676533805302</v>
      </c>
      <c r="M3476">
        <v>8.8221658926348496</v>
      </c>
      <c r="N3476">
        <v>56.356542303249199</v>
      </c>
      <c r="O3476">
        <v>53.686132662595902</v>
      </c>
      <c r="P3476">
        <v>-4.1114333953589099E-2</v>
      </c>
      <c r="Q3476">
        <v>0</v>
      </c>
      <c r="R3476">
        <v>0.99570671776016395</v>
      </c>
      <c r="S3476" t="s">
        <v>10146</v>
      </c>
      <c r="T3476" t="s">
        <v>13338</v>
      </c>
      <c r="U3476" t="s">
        <v>13338</v>
      </c>
      <c r="V3476" t="s">
        <v>13338</v>
      </c>
      <c r="W3476" t="s">
        <v>16767</v>
      </c>
      <c r="X3476">
        <v>3</v>
      </c>
      <c r="Y3476" t="s">
        <v>23295</v>
      </c>
      <c r="Z3476" t="s">
        <v>29891</v>
      </c>
      <c r="AA3476">
        <v>0.56357608420881855</v>
      </c>
      <c r="AB3476" t="str">
        <f>HYPERLINK("Melting_Curves/meltCurve_Q14894_CRYM.pdf", "Melting_Curves/meltCurve_Q14894_CRYM.pdf")</f>
        <v>Melting_Curves/meltCurve_Q14894_CRYM.pdf</v>
      </c>
    </row>
    <row r="3477" spans="1:28" x14ac:dyDescent="0.25">
      <c r="A3477" t="s">
        <v>3481</v>
      </c>
      <c r="B3477">
        <v>0.99193492352474899</v>
      </c>
      <c r="C3477">
        <v>0.840751740764761</v>
      </c>
      <c r="D3477">
        <v>0.73176880803262101</v>
      </c>
      <c r="E3477">
        <v>0.57077236141020804</v>
      </c>
      <c r="F3477">
        <v>0.49351180794015498</v>
      </c>
      <c r="G3477">
        <v>0.38031020849184399</v>
      </c>
      <c r="H3477">
        <v>0.255945748996043</v>
      </c>
      <c r="I3477">
        <v>0.25123738632228498</v>
      </c>
      <c r="J3477">
        <v>0.15672769733608899</v>
      </c>
      <c r="K3477">
        <v>0.171113286263816</v>
      </c>
      <c r="L3477">
        <v>444.52001626842298</v>
      </c>
      <c r="M3477">
        <v>8.6900242213363406</v>
      </c>
      <c r="N3477">
        <v>52.3061864014226</v>
      </c>
      <c r="O3477">
        <v>48.6606614353542</v>
      </c>
      <c r="P3477">
        <v>-4.0787473419669699E-2</v>
      </c>
      <c r="Q3477">
        <v>8.7182603369774195E-2</v>
      </c>
      <c r="R3477">
        <v>0.98786780883777403</v>
      </c>
      <c r="S3477" t="s">
        <v>10147</v>
      </c>
      <c r="T3477" t="s">
        <v>13338</v>
      </c>
      <c r="U3477" t="s">
        <v>13338</v>
      </c>
      <c r="V3477" t="s">
        <v>13338</v>
      </c>
      <c r="W3477" t="s">
        <v>16768</v>
      </c>
      <c r="X3477">
        <v>3</v>
      </c>
      <c r="Y3477" t="s">
        <v>23296</v>
      </c>
      <c r="Z3477" t="s">
        <v>29892</v>
      </c>
      <c r="AA3477">
        <v>0.47050011772768202</v>
      </c>
      <c r="AB3477" t="str">
        <f>HYPERLINK("Melting_Curves/meltCurve_Q14964_RAB39A.pdf", "Melting_Curves/meltCurve_Q14964_RAB39A.pdf")</f>
        <v>Melting_Curves/meltCurve_Q14964_RAB39A.pdf</v>
      </c>
    </row>
    <row r="3478" spans="1:28" x14ac:dyDescent="0.25">
      <c r="A3478" t="s">
        <v>3482</v>
      </c>
      <c r="B3478">
        <v>0.99193492352474899</v>
      </c>
      <c r="C3478">
        <v>0.40373997312820398</v>
      </c>
      <c r="D3478">
        <v>0.55092711777891001</v>
      </c>
      <c r="E3478">
        <v>0.28254700691488799</v>
      </c>
      <c r="F3478">
        <v>0.18263990210561001</v>
      </c>
      <c r="G3478">
        <v>0.111833321867108</v>
      </c>
      <c r="H3478">
        <v>0.10072281111398899</v>
      </c>
      <c r="I3478">
        <v>0.160940707148925</v>
      </c>
      <c r="J3478">
        <v>0.24413746205060999</v>
      </c>
      <c r="K3478">
        <v>0.25602026088285401</v>
      </c>
      <c r="L3478">
        <v>750.17315181565402</v>
      </c>
      <c r="M3478">
        <v>17.337130218053701</v>
      </c>
      <c r="N3478">
        <v>44.398584959448797</v>
      </c>
      <c r="O3478">
        <v>42.706371565197898</v>
      </c>
      <c r="P3478">
        <v>-8.3405418920343699E-2</v>
      </c>
      <c r="Q3478">
        <v>0.17824021737576101</v>
      </c>
      <c r="R3478">
        <v>0.81890156564681305</v>
      </c>
      <c r="S3478" t="s">
        <v>10148</v>
      </c>
      <c r="T3478" t="s">
        <v>13338</v>
      </c>
      <c r="U3478" t="s">
        <v>13338</v>
      </c>
      <c r="V3478" t="s">
        <v>13338</v>
      </c>
      <c r="W3478" t="s">
        <v>16769</v>
      </c>
      <c r="X3478">
        <v>17</v>
      </c>
      <c r="Y3478" t="s">
        <v>23297</v>
      </c>
      <c r="Z3478" t="s">
        <v>29893</v>
      </c>
      <c r="AA3478">
        <v>0.29259584866592891</v>
      </c>
      <c r="AB3478" t="str">
        <f>HYPERLINK("Melting_Curves/meltCurve_Q14966_ZNF638.pdf", "Melting_Curves/meltCurve_Q14966_ZNF638.pdf")</f>
        <v>Melting_Curves/meltCurve_Q14966_ZNF638.pdf</v>
      </c>
    </row>
    <row r="3479" spans="1:28" x14ac:dyDescent="0.25">
      <c r="A3479" t="s">
        <v>3483</v>
      </c>
      <c r="B3479">
        <v>0.99193492352474899</v>
      </c>
      <c r="C3479">
        <v>0.91660302307459196</v>
      </c>
      <c r="D3479">
        <v>0.73190060630728304</v>
      </c>
      <c r="E3479">
        <v>0.28946970976535502</v>
      </c>
      <c r="F3479">
        <v>0.14566327417667799</v>
      </c>
      <c r="G3479">
        <v>8.1842759070751905E-2</v>
      </c>
      <c r="H3479">
        <v>5.3300901453450802E-2</v>
      </c>
      <c r="I3479">
        <v>5.75707992775049E-2</v>
      </c>
      <c r="J3479">
        <v>6.24685397645455E-2</v>
      </c>
      <c r="K3479">
        <v>5.4944157617843201E-2</v>
      </c>
      <c r="L3479">
        <v>1165.3649113583599</v>
      </c>
      <c r="M3479">
        <v>24.5072218636437</v>
      </c>
      <c r="N3479">
        <v>47.796830239670101</v>
      </c>
      <c r="O3479">
        <v>47.238662008784999</v>
      </c>
      <c r="P3479">
        <v>-0.122047160926487</v>
      </c>
      <c r="Q3479">
        <v>5.9010067180230497E-2</v>
      </c>
      <c r="R3479">
        <v>0.99860365139393303</v>
      </c>
      <c r="S3479" t="s">
        <v>10149</v>
      </c>
      <c r="T3479" t="s">
        <v>13338</v>
      </c>
      <c r="U3479" t="s">
        <v>13338</v>
      </c>
      <c r="V3479" t="s">
        <v>13338</v>
      </c>
      <c r="W3479" t="s">
        <v>16770</v>
      </c>
      <c r="X3479">
        <v>36</v>
      </c>
      <c r="Y3479" t="s">
        <v>23298</v>
      </c>
      <c r="Z3479" t="s">
        <v>29894</v>
      </c>
      <c r="AA3479">
        <v>0.30458879268621908</v>
      </c>
      <c r="AB3479" t="str">
        <f>HYPERLINK("Melting_Curves/meltCurve_Q14974_KPNB1.pdf", "Melting_Curves/meltCurve_Q14974_KPNB1.pdf")</f>
        <v>Melting_Curves/meltCurve_Q14974_KPNB1.pdf</v>
      </c>
    </row>
    <row r="3480" spans="1:28" x14ac:dyDescent="0.25">
      <c r="A3480" t="s">
        <v>3484</v>
      </c>
      <c r="B3480">
        <v>0.99193492352474899</v>
      </c>
      <c r="C3480">
        <v>0.77321448092765699</v>
      </c>
      <c r="D3480">
        <v>0.98161414434407002</v>
      </c>
      <c r="E3480">
        <v>0.65355052030975302</v>
      </c>
      <c r="F3480">
        <v>0.58305804471698996</v>
      </c>
      <c r="G3480">
        <v>0.39734215613422103</v>
      </c>
      <c r="H3480">
        <v>0.35824224240276298</v>
      </c>
      <c r="I3480">
        <v>0.48068381037084401</v>
      </c>
      <c r="J3480">
        <v>0.67795074104430597</v>
      </c>
      <c r="K3480">
        <v>0.86041124267150404</v>
      </c>
      <c r="L3480">
        <v>2473.3615877385</v>
      </c>
      <c r="M3480">
        <v>51.125384262711599</v>
      </c>
      <c r="O3480">
        <v>48.3045003734861</v>
      </c>
      <c r="P3480">
        <v>-0.11680124352900299</v>
      </c>
      <c r="Q3480">
        <v>0.55857377737784797</v>
      </c>
      <c r="R3480">
        <v>0.50415727975511204</v>
      </c>
      <c r="S3480" t="s">
        <v>10150</v>
      </c>
      <c r="T3480" t="s">
        <v>13338</v>
      </c>
      <c r="U3480" t="s">
        <v>13338</v>
      </c>
      <c r="V3480" t="s">
        <v>13338</v>
      </c>
      <c r="W3480" t="s">
        <v>16771</v>
      </c>
      <c r="X3480">
        <v>16</v>
      </c>
      <c r="Y3480" t="s">
        <v>23299</v>
      </c>
      <c r="Z3480" t="s">
        <v>29895</v>
      </c>
      <c r="AA3480">
        <v>0.6827554807097338</v>
      </c>
      <c r="AB3480" t="str">
        <f>HYPERLINK("Melting_Curves/meltCurve_Q14978_2_NOLC1.pdf", "Melting_Curves/meltCurve_Q14978_2_NOLC1.pdf")</f>
        <v>Melting_Curves/meltCurve_Q14978_2_NOLC1.pdf</v>
      </c>
    </row>
    <row r="3481" spans="1:28" x14ac:dyDescent="0.25">
      <c r="A3481" t="s">
        <v>3485</v>
      </c>
      <c r="B3481">
        <v>0.99193492352474899</v>
      </c>
      <c r="C3481">
        <v>0.49029211443033499</v>
      </c>
      <c r="D3481">
        <v>0.51074693488094203</v>
      </c>
      <c r="E3481">
        <v>0.27883238319315101</v>
      </c>
      <c r="F3481">
        <v>0.212002888116398</v>
      </c>
      <c r="G3481">
        <v>0.14398240889604499</v>
      </c>
      <c r="H3481">
        <v>0.13549695251433699</v>
      </c>
      <c r="I3481">
        <v>0.24669639660598</v>
      </c>
      <c r="J3481">
        <v>0.398671506965879</v>
      </c>
      <c r="K3481">
        <v>0.45401505688124399</v>
      </c>
      <c r="L3481">
        <v>1166.66965495199</v>
      </c>
      <c r="M3481">
        <v>27.412423352170102</v>
      </c>
      <c r="N3481">
        <v>43.852460754422701</v>
      </c>
      <c r="O3481">
        <v>42.335326832895397</v>
      </c>
      <c r="P3481">
        <v>-0.117017840219428</v>
      </c>
      <c r="Q3481">
        <v>0.27712450821298901</v>
      </c>
      <c r="R3481">
        <v>0.76878408388375197</v>
      </c>
      <c r="S3481" t="s">
        <v>10151</v>
      </c>
      <c r="T3481" t="s">
        <v>13338</v>
      </c>
      <c r="U3481" t="s">
        <v>13338</v>
      </c>
      <c r="V3481" t="s">
        <v>13338</v>
      </c>
      <c r="W3481" t="s">
        <v>16772</v>
      </c>
      <c r="X3481">
        <v>42</v>
      </c>
      <c r="Y3481" t="s">
        <v>23300</v>
      </c>
      <c r="Z3481" t="s">
        <v>29896</v>
      </c>
      <c r="AA3481">
        <v>0.3483128792248073</v>
      </c>
      <c r="AB3481" t="str">
        <f>HYPERLINK("Melting_Curves/meltCurve_Q14980_2_NUMA1.pdf", "Melting_Curves/meltCurve_Q14980_2_NUMA1.pdf")</f>
        <v>Melting_Curves/meltCurve_Q14980_2_NUMA1.pdf</v>
      </c>
    </row>
    <row r="3482" spans="1:28" x14ac:dyDescent="0.25">
      <c r="A3482" t="s">
        <v>3486</v>
      </c>
      <c r="B3482">
        <v>0.99193492352474899</v>
      </c>
      <c r="C3482">
        <v>0.95518387226940304</v>
      </c>
      <c r="D3482">
        <v>1.1178908709836</v>
      </c>
      <c r="E3482">
        <v>0.73040725473132695</v>
      </c>
      <c r="F3482">
        <v>0.23363989124498699</v>
      </c>
      <c r="G3482">
        <v>0.12892136085536299</v>
      </c>
      <c r="H3482">
        <v>0.106622785569275</v>
      </c>
      <c r="I3482">
        <v>0.12719528866143301</v>
      </c>
      <c r="J3482">
        <v>0.19626563734355901</v>
      </c>
      <c r="K3482">
        <v>0.17361885551555001</v>
      </c>
      <c r="L3482">
        <v>2463.1399168602002</v>
      </c>
      <c r="M3482">
        <v>48.828247721798803</v>
      </c>
      <c r="N3482">
        <v>50.814003437637403</v>
      </c>
      <c r="O3482">
        <v>50.3605825199135</v>
      </c>
      <c r="P3482">
        <v>-0.20620858010229001</v>
      </c>
      <c r="Q3482">
        <v>0.14928141238402801</v>
      </c>
      <c r="R3482">
        <v>0.98475081627610594</v>
      </c>
      <c r="S3482" t="s">
        <v>10152</v>
      </c>
      <c r="T3482" t="s">
        <v>13338</v>
      </c>
      <c r="U3482" t="s">
        <v>13338</v>
      </c>
      <c r="V3482" t="s">
        <v>13338</v>
      </c>
      <c r="W3482" t="s">
        <v>16773</v>
      </c>
      <c r="X3482">
        <v>1</v>
      </c>
      <c r="Y3482" t="s">
        <v>23301</v>
      </c>
      <c r="Z3482" t="s">
        <v>29897</v>
      </c>
      <c r="AA3482">
        <v>0.44745810821150922</v>
      </c>
      <c r="AB3482" t="str">
        <f>HYPERLINK("Melting_Curves/meltCurve_Q14990_ODF1.pdf", "Melting_Curves/meltCurve_Q14990_ODF1.pdf")</f>
        <v>Melting_Curves/meltCurve_Q14990_ODF1.pdf</v>
      </c>
    </row>
    <row r="3483" spans="1:28" x14ac:dyDescent="0.25">
      <c r="A3483" t="s">
        <v>3487</v>
      </c>
      <c r="B3483">
        <v>0.99193492352474899</v>
      </c>
      <c r="C3483">
        <v>0.829051465338836</v>
      </c>
      <c r="D3483">
        <v>0.91137817511267605</v>
      </c>
      <c r="E3483">
        <v>0.676808127428564</v>
      </c>
      <c r="F3483">
        <v>0.29229005640354</v>
      </c>
      <c r="G3483">
        <v>0.178980956574918</v>
      </c>
      <c r="H3483">
        <v>0.114392906197642</v>
      </c>
      <c r="I3483">
        <v>0.118827261417994</v>
      </c>
      <c r="J3483">
        <v>0.22112865044029101</v>
      </c>
      <c r="K3483">
        <v>0.228084966899188</v>
      </c>
      <c r="L3483">
        <v>1345.10856028024</v>
      </c>
      <c r="M3483">
        <v>26.804576433811</v>
      </c>
      <c r="N3483">
        <v>50.924737726552699</v>
      </c>
      <c r="O3483">
        <v>49.905234880718503</v>
      </c>
      <c r="P3483">
        <v>-0.112554779265755</v>
      </c>
      <c r="Q3483">
        <v>0.161782593595378</v>
      </c>
      <c r="R3483">
        <v>0.96322810883886201</v>
      </c>
      <c r="S3483" t="s">
        <v>10153</v>
      </c>
      <c r="T3483" t="s">
        <v>13338</v>
      </c>
      <c r="U3483" t="s">
        <v>13338</v>
      </c>
      <c r="V3483" t="s">
        <v>13338</v>
      </c>
      <c r="W3483" t="s">
        <v>16774</v>
      </c>
      <c r="X3483">
        <v>19</v>
      </c>
      <c r="Y3483" t="s">
        <v>23302</v>
      </c>
      <c r="Z3483" t="s">
        <v>29898</v>
      </c>
      <c r="AA3483">
        <v>0.45280063252460789</v>
      </c>
      <c r="AB3483" t="str">
        <f>HYPERLINK("Melting_Curves/meltCurve_Q14997_PSME4.pdf", "Melting_Curves/meltCurve_Q14997_PSME4.pdf")</f>
        <v>Melting_Curves/meltCurve_Q14997_PSME4.pdf</v>
      </c>
    </row>
    <row r="3484" spans="1:28" x14ac:dyDescent="0.25">
      <c r="A3484" t="s">
        <v>3488</v>
      </c>
      <c r="B3484">
        <v>0.99193492352474899</v>
      </c>
      <c r="C3484">
        <v>0.83437164776143702</v>
      </c>
      <c r="D3484">
        <v>0.57192872816655405</v>
      </c>
      <c r="E3484">
        <v>0.32678902153616401</v>
      </c>
      <c r="F3484">
        <v>0.23305023987187601</v>
      </c>
      <c r="G3484">
        <v>0.117231481392731</v>
      </c>
      <c r="H3484">
        <v>8.2016726644783405E-2</v>
      </c>
      <c r="I3484">
        <v>9.5144335722072301E-2</v>
      </c>
      <c r="J3484">
        <v>9.7152876976124194E-2</v>
      </c>
      <c r="K3484">
        <v>0.11734572509916</v>
      </c>
      <c r="L3484">
        <v>810.87450833804496</v>
      </c>
      <c r="M3484">
        <v>17.419639674101699</v>
      </c>
      <c r="N3484">
        <v>47.121849605660898</v>
      </c>
      <c r="O3484">
        <v>45.948977066444698</v>
      </c>
      <c r="P3484">
        <v>-8.5744227935205905E-2</v>
      </c>
      <c r="Q3484">
        <v>9.5357115286175798E-2</v>
      </c>
      <c r="R3484">
        <v>0.99431646889984304</v>
      </c>
      <c r="S3484" t="s">
        <v>10154</v>
      </c>
      <c r="T3484" t="s">
        <v>13338</v>
      </c>
      <c r="U3484" t="s">
        <v>13338</v>
      </c>
      <c r="V3484" t="s">
        <v>13338</v>
      </c>
      <c r="W3484" t="s">
        <v>16775</v>
      </c>
      <c r="X3484">
        <v>4</v>
      </c>
      <c r="Y3484" t="s">
        <v>23303</v>
      </c>
      <c r="Z3484" t="s">
        <v>29899</v>
      </c>
      <c r="AA3484">
        <v>0.31123995603069288</v>
      </c>
      <c r="AB3484" t="str">
        <f>HYPERLINK("Melting_Curves/meltCurve_Q14BN4_2_SLMAP.pdf", "Melting_Curves/meltCurve_Q14BN4_2_SLMAP.pdf")</f>
        <v>Melting_Curves/meltCurve_Q14BN4_2_SLMAP.pdf</v>
      </c>
    </row>
    <row r="3485" spans="1:28" x14ac:dyDescent="0.25">
      <c r="A3485" t="s">
        <v>3489</v>
      </c>
      <c r="B3485">
        <v>0.99193492352474899</v>
      </c>
      <c r="C3485">
        <v>0.97518261207919898</v>
      </c>
      <c r="D3485">
        <v>0.78486092185021605</v>
      </c>
      <c r="E3485">
        <v>0.27167019883189603</v>
      </c>
      <c r="F3485">
        <v>0.172983063472571</v>
      </c>
      <c r="G3485">
        <v>0.10937518889992</v>
      </c>
      <c r="H3485">
        <v>7.5034533300861295E-2</v>
      </c>
      <c r="I3485">
        <v>8.3470966428152799E-2</v>
      </c>
      <c r="J3485">
        <v>9.5106336028076596E-2</v>
      </c>
      <c r="K3485">
        <v>8.6118016506268893E-2</v>
      </c>
      <c r="L3485">
        <v>1537.2515034596399</v>
      </c>
      <c r="M3485">
        <v>32.297142748265898</v>
      </c>
      <c r="N3485">
        <v>47.912040517455502</v>
      </c>
      <c r="O3485">
        <v>47.4157720024605</v>
      </c>
      <c r="P3485">
        <v>-0.15400334839324201</v>
      </c>
      <c r="Q3485">
        <v>9.5628681316410405E-2</v>
      </c>
      <c r="R3485">
        <v>0.997451174932795</v>
      </c>
      <c r="S3485" t="s">
        <v>10155</v>
      </c>
      <c r="T3485" t="s">
        <v>13338</v>
      </c>
      <c r="U3485" t="s">
        <v>13338</v>
      </c>
      <c r="V3485" t="s">
        <v>13338</v>
      </c>
      <c r="W3485" t="s">
        <v>16776</v>
      </c>
      <c r="X3485">
        <v>20</v>
      </c>
      <c r="Y3485" t="s">
        <v>23304</v>
      </c>
      <c r="Z3485" t="s">
        <v>29900</v>
      </c>
      <c r="AA3485">
        <v>0.32929819706166141</v>
      </c>
      <c r="AB3485" t="str">
        <f>HYPERLINK("Melting_Curves/meltCurve_Q14C86_5_GAPVD1.pdf", "Melting_Curves/meltCurve_Q14C86_5_GAPVD1.pdf")</f>
        <v>Melting_Curves/meltCurve_Q14C86_5_GAPVD1.pdf</v>
      </c>
    </row>
    <row r="3486" spans="1:28" x14ac:dyDescent="0.25">
      <c r="A3486" t="s">
        <v>3490</v>
      </c>
      <c r="B3486">
        <v>0.99193492352474899</v>
      </c>
      <c r="C3486">
        <v>0.89001657692977798</v>
      </c>
      <c r="D3486">
        <v>0.98505646355234999</v>
      </c>
      <c r="E3486">
        <v>0.82227126444117105</v>
      </c>
      <c r="F3486">
        <v>0.52829401690856204</v>
      </c>
      <c r="G3486">
        <v>0.15627550726676301</v>
      </c>
      <c r="H3486">
        <v>9.3512418546865095E-2</v>
      </c>
      <c r="I3486">
        <v>0.11567324980732301</v>
      </c>
      <c r="J3486">
        <v>0.139372514586934</v>
      </c>
      <c r="K3486">
        <v>0.15475827811354601</v>
      </c>
      <c r="L3486">
        <v>1477.56432801808</v>
      </c>
      <c r="M3486">
        <v>28.1095637961553</v>
      </c>
      <c r="N3486">
        <v>53.044662250471603</v>
      </c>
      <c r="O3486">
        <v>52.300569769761204</v>
      </c>
      <c r="P3486">
        <v>-0.119272029243349</v>
      </c>
      <c r="Q3486">
        <v>0.11233836255640101</v>
      </c>
      <c r="R3486">
        <v>0.98439771966416501</v>
      </c>
      <c r="S3486" t="s">
        <v>10156</v>
      </c>
      <c r="T3486" t="s">
        <v>13338</v>
      </c>
      <c r="U3486" t="s">
        <v>13338</v>
      </c>
      <c r="V3486" t="s">
        <v>13338</v>
      </c>
      <c r="W3486" t="s">
        <v>16777</v>
      </c>
      <c r="X3486">
        <v>19</v>
      </c>
      <c r="Y3486" t="s">
        <v>23305</v>
      </c>
      <c r="Z3486" t="s">
        <v>29901</v>
      </c>
      <c r="AA3486">
        <v>0.49060395918576472</v>
      </c>
      <c r="AB3486" t="str">
        <f>HYPERLINK("Melting_Curves/meltCurve_Q14CX7_NAA25.pdf", "Melting_Curves/meltCurve_Q14CX7_NAA25.pdf")</f>
        <v>Melting_Curves/meltCurve_Q14CX7_NAA25.pdf</v>
      </c>
    </row>
    <row r="3487" spans="1:28" x14ac:dyDescent="0.25">
      <c r="A3487" t="s">
        <v>3491</v>
      </c>
      <c r="B3487">
        <v>0.99193492352474899</v>
      </c>
      <c r="C3487">
        <v>0.91579461636147097</v>
      </c>
      <c r="D3487">
        <v>0.84087414677507699</v>
      </c>
      <c r="E3487">
        <v>0.23608886363303</v>
      </c>
      <c r="F3487">
        <v>0.179929128432013</v>
      </c>
      <c r="G3487">
        <v>9.4234652360683194E-2</v>
      </c>
      <c r="H3487">
        <v>6.6013133238446903E-2</v>
      </c>
      <c r="I3487">
        <v>7.6841648896407197E-2</v>
      </c>
      <c r="J3487">
        <v>9.0259176901105798E-2</v>
      </c>
      <c r="K3487">
        <v>9.8905213828397898E-2</v>
      </c>
      <c r="L3487">
        <v>1865.5701118429999</v>
      </c>
      <c r="M3487">
        <v>39.142105080213497</v>
      </c>
      <c r="N3487">
        <v>47.921313445178399</v>
      </c>
      <c r="O3487">
        <v>47.5375709773569</v>
      </c>
      <c r="P3487">
        <v>-0.18616629891128</v>
      </c>
      <c r="Q3487">
        <v>9.5615975286911403E-2</v>
      </c>
      <c r="R3487">
        <v>0.99110273291946405</v>
      </c>
      <c r="S3487" t="s">
        <v>10157</v>
      </c>
      <c r="T3487" t="s">
        <v>13338</v>
      </c>
      <c r="U3487" t="s">
        <v>13338</v>
      </c>
      <c r="V3487" t="s">
        <v>13338</v>
      </c>
      <c r="W3487" t="s">
        <v>16778</v>
      </c>
      <c r="X3487">
        <v>19</v>
      </c>
      <c r="Y3487" t="s">
        <v>23306</v>
      </c>
      <c r="Z3487" t="s">
        <v>29902</v>
      </c>
      <c r="AA3487">
        <v>0.32970664884776563</v>
      </c>
      <c r="AB3487" t="str">
        <f>HYPERLINK("Melting_Curves/meltCurve_Q15003_NCAPH.pdf", "Melting_Curves/meltCurve_Q15003_NCAPH.pdf")</f>
        <v>Melting_Curves/meltCurve_Q15003_NCAPH.pdf</v>
      </c>
    </row>
    <row r="3488" spans="1:28" x14ac:dyDescent="0.25">
      <c r="A3488" t="s">
        <v>3492</v>
      </c>
      <c r="B3488">
        <v>0.99193492352474899</v>
      </c>
      <c r="C3488">
        <v>0.86208488586915799</v>
      </c>
      <c r="D3488">
        <v>1.04226435400454</v>
      </c>
      <c r="E3488">
        <v>0.84503917452880695</v>
      </c>
      <c r="F3488">
        <v>0.69572251300631704</v>
      </c>
      <c r="G3488">
        <v>0.46235720450309797</v>
      </c>
      <c r="H3488">
        <v>0.47180561044820102</v>
      </c>
      <c r="I3488">
        <v>0.55112650416457598</v>
      </c>
      <c r="J3488">
        <v>0.74328594251133395</v>
      </c>
      <c r="K3488">
        <v>1.08780522864662</v>
      </c>
      <c r="L3488">
        <v>3440.3322708400801</v>
      </c>
      <c r="M3488">
        <v>69.209773512264505</v>
      </c>
      <c r="O3488">
        <v>49.667310827218103</v>
      </c>
      <c r="P3488">
        <v>-0.11567030949326999</v>
      </c>
      <c r="Q3488">
        <v>0.66796412790422899</v>
      </c>
      <c r="R3488">
        <v>0.37396369993032402</v>
      </c>
      <c r="S3488" t="s">
        <v>10158</v>
      </c>
      <c r="T3488" t="s">
        <v>13338</v>
      </c>
      <c r="U3488" t="s">
        <v>13338</v>
      </c>
      <c r="V3488" t="s">
        <v>13338</v>
      </c>
      <c r="W3488" t="s">
        <v>16779</v>
      </c>
      <c r="X3488">
        <v>8</v>
      </c>
      <c r="Y3488" t="s">
        <v>23307</v>
      </c>
      <c r="Z3488" t="s">
        <v>29903</v>
      </c>
      <c r="AA3488">
        <v>0.77579835324763857</v>
      </c>
      <c r="AB3488" t="str">
        <f>HYPERLINK("Melting_Curves/meltCurve_Q15004_KIAA0101.pdf", "Melting_Curves/meltCurve_Q15004_KIAA0101.pdf")</f>
        <v>Melting_Curves/meltCurve_Q15004_KIAA0101.pdf</v>
      </c>
    </row>
    <row r="3489" spans="1:28" x14ac:dyDescent="0.25">
      <c r="A3489" t="s">
        <v>3493</v>
      </c>
      <c r="B3489">
        <v>0.99193492352474899</v>
      </c>
      <c r="C3489">
        <v>0.84019029182662297</v>
      </c>
      <c r="D3489">
        <v>0.88597014274712205</v>
      </c>
      <c r="E3489">
        <v>0.69732463092896102</v>
      </c>
      <c r="F3489">
        <v>0.51988824481465401</v>
      </c>
      <c r="G3489">
        <v>0.15688129950520799</v>
      </c>
      <c r="H3489">
        <v>8.4508958835213005E-2</v>
      </c>
      <c r="I3489">
        <v>8.7357774077202396E-2</v>
      </c>
      <c r="J3489">
        <v>9.1173356793374599E-2</v>
      </c>
      <c r="K3489">
        <v>8.89453127239547E-2</v>
      </c>
      <c r="L3489">
        <v>816.98860309298595</v>
      </c>
      <c r="M3489">
        <v>15.7048659805948</v>
      </c>
      <c r="N3489">
        <v>52.282715490230501</v>
      </c>
      <c r="O3489">
        <v>51.199812926906397</v>
      </c>
      <c r="P3489">
        <v>-7.3795508807659393E-2</v>
      </c>
      <c r="Q3489">
        <v>3.7751111027908797E-2</v>
      </c>
      <c r="R3489">
        <v>0.974163482674405</v>
      </c>
      <c r="S3489" t="s">
        <v>10159</v>
      </c>
      <c r="T3489" t="s">
        <v>13338</v>
      </c>
      <c r="U3489" t="s">
        <v>13338</v>
      </c>
      <c r="V3489" t="s">
        <v>13338</v>
      </c>
      <c r="W3489" t="s">
        <v>16780</v>
      </c>
      <c r="X3489">
        <v>7</v>
      </c>
      <c r="Y3489" t="s">
        <v>23308</v>
      </c>
      <c r="Z3489" t="s">
        <v>29904</v>
      </c>
      <c r="AA3489">
        <v>0.44335638585100817</v>
      </c>
      <c r="AB3489" t="str">
        <f>HYPERLINK("Melting_Curves/meltCurve_Q15006_EMC2.pdf", "Melting_Curves/meltCurve_Q15006_EMC2.pdf")</f>
        <v>Melting_Curves/meltCurve_Q15006_EMC2.pdf</v>
      </c>
    </row>
    <row r="3490" spans="1:28" x14ac:dyDescent="0.25">
      <c r="A3490" t="s">
        <v>3494</v>
      </c>
      <c r="B3490">
        <v>0.99193492352474899</v>
      </c>
      <c r="C3490">
        <v>0.55413167698122401</v>
      </c>
      <c r="D3490">
        <v>0.67237163492418806</v>
      </c>
      <c r="E3490">
        <v>0.188655344487203</v>
      </c>
      <c r="F3490">
        <v>0.10867969150703199</v>
      </c>
      <c r="G3490">
        <v>7.0904270755948295E-2</v>
      </c>
      <c r="H3490">
        <v>4.0118563890926398E-2</v>
      </c>
      <c r="I3490">
        <v>5.0949487641873202E-2</v>
      </c>
      <c r="J3490">
        <v>7.6169645633671595E-2</v>
      </c>
      <c r="K3490">
        <v>8.5160210734994093E-2</v>
      </c>
      <c r="L3490">
        <v>700.42576282608297</v>
      </c>
      <c r="M3490">
        <v>15.3396578518566</v>
      </c>
      <c r="N3490">
        <v>45.918450667626502</v>
      </c>
      <c r="O3490">
        <v>44.906216383727902</v>
      </c>
      <c r="P3490">
        <v>-8.1888461449766498E-2</v>
      </c>
      <c r="Q3490">
        <v>4.1188636598368203E-2</v>
      </c>
      <c r="R3490">
        <v>0.91694960702017103</v>
      </c>
      <c r="S3490" t="s">
        <v>10160</v>
      </c>
      <c r="T3490" t="s">
        <v>13338</v>
      </c>
      <c r="U3490" t="s">
        <v>13338</v>
      </c>
      <c r="V3490" t="s">
        <v>13338</v>
      </c>
      <c r="W3490" t="s">
        <v>16781</v>
      </c>
      <c r="X3490">
        <v>10</v>
      </c>
      <c r="Y3490" t="s">
        <v>23309</v>
      </c>
      <c r="Z3490" t="s">
        <v>29905</v>
      </c>
      <c r="AA3490">
        <v>0.24962316841047411</v>
      </c>
      <c r="AB3490" t="str">
        <f>HYPERLINK("Melting_Curves/meltCurve_Q15007_WTAP.pdf", "Melting_Curves/meltCurve_Q15007_WTAP.pdf")</f>
        <v>Melting_Curves/meltCurve_Q15007_WTAP.pdf</v>
      </c>
    </row>
    <row r="3491" spans="1:28" x14ac:dyDescent="0.25">
      <c r="A3491" t="s">
        <v>3495</v>
      </c>
      <c r="B3491">
        <v>0.99193492352474899</v>
      </c>
      <c r="C3491">
        <v>0.72585002597604498</v>
      </c>
      <c r="D3491">
        <v>0.88792356236539505</v>
      </c>
      <c r="E3491">
        <v>0.58357852214389205</v>
      </c>
      <c r="F3491">
        <v>0.55130572573459002</v>
      </c>
      <c r="G3491">
        <v>0.23302908115052701</v>
      </c>
      <c r="H3491">
        <v>7.6477924125474397E-2</v>
      </c>
      <c r="I3491">
        <v>7.9680665239453899E-2</v>
      </c>
      <c r="J3491">
        <v>9.6451649652283297E-2</v>
      </c>
      <c r="K3491">
        <v>0.102102972062192</v>
      </c>
      <c r="L3491">
        <v>567.42586616981202</v>
      </c>
      <c r="M3491">
        <v>10.946119248502701</v>
      </c>
      <c r="N3491">
        <v>51.838073968377401</v>
      </c>
      <c r="O3491">
        <v>50.198035566077003</v>
      </c>
      <c r="P3491">
        <v>-5.4533428976859998E-2</v>
      </c>
      <c r="Q3491">
        <v>0</v>
      </c>
      <c r="R3491">
        <v>0.93855678842475199</v>
      </c>
      <c r="S3491" t="s">
        <v>10161</v>
      </c>
      <c r="T3491" t="s">
        <v>13338</v>
      </c>
      <c r="U3491" t="s">
        <v>13338</v>
      </c>
      <c r="V3491" t="s">
        <v>13338</v>
      </c>
      <c r="W3491" t="s">
        <v>16782</v>
      </c>
      <c r="X3491">
        <v>26</v>
      </c>
      <c r="Y3491" t="s">
        <v>23310</v>
      </c>
      <c r="Z3491" t="s">
        <v>29906</v>
      </c>
      <c r="AA3491">
        <v>0.42932945584842108</v>
      </c>
      <c r="AB3491" t="str">
        <f>HYPERLINK("Melting_Curves/meltCurve_Q15008_PSMD6.pdf", "Melting_Curves/meltCurve_Q15008_PSMD6.pdf")</f>
        <v>Melting_Curves/meltCurve_Q15008_PSMD6.pdf</v>
      </c>
    </row>
    <row r="3492" spans="1:28" x14ac:dyDescent="0.25">
      <c r="A3492" t="s">
        <v>3496</v>
      </c>
      <c r="B3492">
        <v>0.99193492352474899</v>
      </c>
      <c r="C3492">
        <v>1.06496998373636</v>
      </c>
      <c r="D3492">
        <v>0.93618135388450996</v>
      </c>
      <c r="E3492">
        <v>0.72798129203359896</v>
      </c>
      <c r="F3492">
        <v>0.42835573084759698</v>
      </c>
      <c r="G3492">
        <v>0.191719202042783</v>
      </c>
      <c r="H3492">
        <v>8.1505326663322997E-2</v>
      </c>
      <c r="I3492">
        <v>9.0642709719454803E-2</v>
      </c>
      <c r="J3492">
        <v>8.6876345140203398E-2</v>
      </c>
      <c r="K3492">
        <v>0.15853336123259701</v>
      </c>
      <c r="L3492">
        <v>1173.6790824458899</v>
      </c>
      <c r="M3492">
        <v>22.719284060185199</v>
      </c>
      <c r="N3492">
        <v>52.140971286349199</v>
      </c>
      <c r="O3492">
        <v>51.264796723710099</v>
      </c>
      <c r="P3492">
        <v>-0.10032245342839199</v>
      </c>
      <c r="Q3492">
        <v>9.4529727919177894E-2</v>
      </c>
      <c r="R3492">
        <v>0.99180233728617095</v>
      </c>
      <c r="S3492" t="s">
        <v>10162</v>
      </c>
      <c r="T3492" t="s">
        <v>13338</v>
      </c>
      <c r="U3492" t="s">
        <v>13338</v>
      </c>
      <c r="V3492" t="s">
        <v>13338</v>
      </c>
      <c r="W3492" t="s">
        <v>16783</v>
      </c>
      <c r="X3492">
        <v>1</v>
      </c>
      <c r="Y3492" t="s">
        <v>23311</v>
      </c>
      <c r="Z3492" t="s">
        <v>29907</v>
      </c>
      <c r="AA3492">
        <v>0.45635489068932322</v>
      </c>
      <c r="AB3492" t="str">
        <f>HYPERLINK("Melting_Curves/meltCurve_Q15011_3_HERPUD1.pdf", "Melting_Curves/meltCurve_Q15011_3_HERPUD1.pdf")</f>
        <v>Melting_Curves/meltCurve_Q15011_3_HERPUD1.pdf</v>
      </c>
    </row>
    <row r="3493" spans="1:28" x14ac:dyDescent="0.25">
      <c r="A3493" t="s">
        <v>3497</v>
      </c>
      <c r="B3493">
        <v>0.99193492352474899</v>
      </c>
      <c r="C3493">
        <v>1.0886779133642399</v>
      </c>
      <c r="D3493">
        <v>0.81542089613076396</v>
      </c>
      <c r="E3493">
        <v>0.65525675193036104</v>
      </c>
      <c r="F3493">
        <v>0.30504509258413598</v>
      </c>
      <c r="G3493">
        <v>0.12830339349254399</v>
      </c>
      <c r="H3493">
        <v>8.2505364000704601E-2</v>
      </c>
      <c r="I3493">
        <v>0.10982095900396301</v>
      </c>
      <c r="J3493">
        <v>0.10989400280124501</v>
      </c>
      <c r="K3493">
        <v>0.109731765442073</v>
      </c>
      <c r="L3493">
        <v>1112.9953853751499</v>
      </c>
      <c r="M3493">
        <v>22.1014423500941</v>
      </c>
      <c r="N3493">
        <v>50.813538528522002</v>
      </c>
      <c r="O3493">
        <v>49.951662500563998</v>
      </c>
      <c r="P3493">
        <v>-0.10068512406564099</v>
      </c>
      <c r="Q3493">
        <v>8.9782649614008003E-2</v>
      </c>
      <c r="R3493">
        <v>0.984902152285689</v>
      </c>
      <c r="S3493" t="s">
        <v>10163</v>
      </c>
      <c r="T3493" t="s">
        <v>13338</v>
      </c>
      <c r="U3493" t="s">
        <v>13338</v>
      </c>
      <c r="V3493" t="s">
        <v>13338</v>
      </c>
      <c r="W3493" t="s">
        <v>16784</v>
      </c>
      <c r="X3493">
        <v>3</v>
      </c>
      <c r="Y3493" t="s">
        <v>23312</v>
      </c>
      <c r="Z3493" t="s">
        <v>29908</v>
      </c>
      <c r="AA3493">
        <v>0.41448795567467239</v>
      </c>
      <c r="AB3493" t="str">
        <f>HYPERLINK("Melting_Curves/meltCurve_Q15013_MAD2L1BP.pdf", "Melting_Curves/meltCurve_Q15013_MAD2L1BP.pdf")</f>
        <v>Melting_Curves/meltCurve_Q15013_MAD2L1BP.pdf</v>
      </c>
    </row>
    <row r="3494" spans="1:28" x14ac:dyDescent="0.25">
      <c r="A3494" t="s">
        <v>3498</v>
      </c>
      <c r="B3494">
        <v>0.99193492352474899</v>
      </c>
      <c r="C3494">
        <v>0.55205166274463202</v>
      </c>
      <c r="D3494">
        <v>0.87186751690192399</v>
      </c>
      <c r="E3494">
        <v>0.56633773910885299</v>
      </c>
      <c r="F3494">
        <v>0.360219449073159</v>
      </c>
      <c r="G3494">
        <v>0.15759152076842001</v>
      </c>
      <c r="H3494">
        <v>0.110963724780933</v>
      </c>
      <c r="I3494">
        <v>0.103901944017943</v>
      </c>
      <c r="J3494">
        <v>0.13466430198976601</v>
      </c>
      <c r="K3494">
        <v>0.188327738357114</v>
      </c>
      <c r="L3494">
        <v>510.42011869373903</v>
      </c>
      <c r="M3494">
        <v>10.3608488330193</v>
      </c>
      <c r="N3494">
        <v>49.8336860256344</v>
      </c>
      <c r="O3494">
        <v>47.535040381122897</v>
      </c>
      <c r="P3494">
        <v>-5.1470795880836098E-2</v>
      </c>
      <c r="Q3494">
        <v>5.5819518877007E-2</v>
      </c>
      <c r="R3494">
        <v>0.855933158692045</v>
      </c>
      <c r="S3494" t="s">
        <v>10164</v>
      </c>
      <c r="T3494" t="s">
        <v>13338</v>
      </c>
      <c r="U3494" t="s">
        <v>13338</v>
      </c>
      <c r="V3494" t="s">
        <v>13338</v>
      </c>
      <c r="W3494" t="s">
        <v>16785</v>
      </c>
      <c r="X3494">
        <v>8</v>
      </c>
      <c r="Y3494" t="s">
        <v>23313</v>
      </c>
      <c r="Z3494" t="s">
        <v>29909</v>
      </c>
      <c r="AA3494">
        <v>0.3903634248663187</v>
      </c>
      <c r="AB3494" t="str">
        <f>HYPERLINK("Melting_Curves/meltCurve_Q15014_MORF4L2.pdf", "Melting_Curves/meltCurve_Q15014_MORF4L2.pdf")</f>
        <v>Melting_Curves/meltCurve_Q15014_MORF4L2.pdf</v>
      </c>
    </row>
    <row r="3495" spans="1:28" x14ac:dyDescent="0.25">
      <c r="A3495" t="s">
        <v>3499</v>
      </c>
      <c r="B3495">
        <v>0.99193492352474899</v>
      </c>
      <c r="C3495">
        <v>1.0580434986196501</v>
      </c>
      <c r="D3495">
        <v>0.97689946044366305</v>
      </c>
      <c r="E3495">
        <v>0.95413865093745798</v>
      </c>
      <c r="F3495">
        <v>0.83459640739109298</v>
      </c>
      <c r="G3495">
        <v>0.69318478663820404</v>
      </c>
      <c r="H3495">
        <v>0.42002371024976198</v>
      </c>
      <c r="I3495">
        <v>0.27994028741604599</v>
      </c>
      <c r="J3495">
        <v>0.208115723936102</v>
      </c>
      <c r="K3495">
        <v>0.17544822372648999</v>
      </c>
      <c r="L3495">
        <v>954.70015842962698</v>
      </c>
      <c r="M3495">
        <v>16.287892815002699</v>
      </c>
      <c r="N3495">
        <v>59.508972453911198</v>
      </c>
      <c r="O3495">
        <v>57.751922287431597</v>
      </c>
      <c r="P3495">
        <v>-6.2853970959347694E-2</v>
      </c>
      <c r="Q3495">
        <v>0.10862071850939101</v>
      </c>
      <c r="R3495">
        <v>0.99535626568588897</v>
      </c>
      <c r="S3495" t="s">
        <v>10165</v>
      </c>
      <c r="T3495" t="s">
        <v>13338</v>
      </c>
      <c r="U3495" t="s">
        <v>13338</v>
      </c>
      <c r="V3495" t="s">
        <v>13338</v>
      </c>
      <c r="W3495" t="s">
        <v>16786</v>
      </c>
      <c r="X3495">
        <v>12</v>
      </c>
      <c r="Y3495" t="s">
        <v>23314</v>
      </c>
      <c r="Z3495" t="s">
        <v>29910</v>
      </c>
      <c r="AA3495">
        <v>0.67212425120188823</v>
      </c>
      <c r="AB3495" t="str">
        <f>HYPERLINK("Melting_Curves/meltCurve_Q15018_FAM175B.pdf", "Melting_Curves/meltCurve_Q15018_FAM175B.pdf")</f>
        <v>Melting_Curves/meltCurve_Q15018_FAM175B.pdf</v>
      </c>
    </row>
    <row r="3496" spans="1:28" x14ac:dyDescent="0.25">
      <c r="A3496" t="s">
        <v>3500</v>
      </c>
      <c r="B3496">
        <v>0.99193492352474899</v>
      </c>
      <c r="C3496">
        <v>1.09619532628606</v>
      </c>
      <c r="D3496">
        <v>0.94326388694556795</v>
      </c>
      <c r="E3496">
        <v>0.88411902454870905</v>
      </c>
      <c r="F3496">
        <v>0.74081682890302702</v>
      </c>
      <c r="G3496">
        <v>0.58529652003000099</v>
      </c>
      <c r="H3496">
        <v>0.41402604308875601</v>
      </c>
      <c r="I3496">
        <v>0.34116847912607801</v>
      </c>
      <c r="J3496">
        <v>0.201201516279712</v>
      </c>
      <c r="K3496">
        <v>0.29891970845997201</v>
      </c>
      <c r="L3496">
        <v>790.96857115968305</v>
      </c>
      <c r="M3496">
        <v>14.072810331797699</v>
      </c>
      <c r="N3496">
        <v>58.361826456063802</v>
      </c>
      <c r="O3496">
        <v>55.107038047292697</v>
      </c>
      <c r="P3496">
        <v>-5.0906781164955998E-2</v>
      </c>
      <c r="Q3496">
        <v>0.202729956000748</v>
      </c>
      <c r="R3496">
        <v>0.97815064770644</v>
      </c>
      <c r="S3496" t="s">
        <v>10166</v>
      </c>
      <c r="T3496" t="s">
        <v>13338</v>
      </c>
      <c r="U3496" t="s">
        <v>13338</v>
      </c>
      <c r="V3496" t="s">
        <v>13338</v>
      </c>
      <c r="W3496" t="s">
        <v>16787</v>
      </c>
      <c r="X3496">
        <v>23</v>
      </c>
      <c r="Y3496" t="s">
        <v>23315</v>
      </c>
      <c r="Z3496" t="s">
        <v>29911</v>
      </c>
      <c r="AA3496">
        <v>0.64791994185011248</v>
      </c>
      <c r="AB3496" t="str">
        <f>HYPERLINK("Melting_Curves/meltCurve_Q15019_2_SEPT2.pdf", "Melting_Curves/meltCurve_Q15019_2_SEPT2.pdf")</f>
        <v>Melting_Curves/meltCurve_Q15019_2_SEPT2.pdf</v>
      </c>
    </row>
    <row r="3497" spans="1:28" x14ac:dyDescent="0.25">
      <c r="A3497" t="s">
        <v>3501</v>
      </c>
      <c r="B3497">
        <v>0.99193492352474899</v>
      </c>
      <c r="C3497">
        <v>0.84449490864213295</v>
      </c>
      <c r="D3497">
        <v>0.75663477388760303</v>
      </c>
      <c r="E3497">
        <v>0.33334602562883198</v>
      </c>
      <c r="F3497">
        <v>0.19111481967195601</v>
      </c>
      <c r="G3497">
        <v>0.120232703143138</v>
      </c>
      <c r="H3497">
        <v>8.4736426622201599E-2</v>
      </c>
      <c r="I3497">
        <v>8.7430844782144301E-2</v>
      </c>
      <c r="J3497">
        <v>9.8928233460452E-2</v>
      </c>
      <c r="K3497">
        <v>0.10858078357919899</v>
      </c>
      <c r="L3497">
        <v>989.24088874656604</v>
      </c>
      <c r="M3497">
        <v>20.780658778064801</v>
      </c>
      <c r="N3497">
        <v>48.062180092935698</v>
      </c>
      <c r="O3497">
        <v>47.169680432975397</v>
      </c>
      <c r="P3497">
        <v>-0.100242431075578</v>
      </c>
      <c r="Q3497">
        <v>8.9871041966973403E-2</v>
      </c>
      <c r="R3497">
        <v>0.99162081462219698</v>
      </c>
      <c r="S3497" t="s">
        <v>10167</v>
      </c>
      <c r="T3497" t="s">
        <v>13338</v>
      </c>
      <c r="U3497" t="s">
        <v>13338</v>
      </c>
      <c r="V3497" t="s">
        <v>13338</v>
      </c>
      <c r="W3497" t="s">
        <v>16788</v>
      </c>
      <c r="X3497">
        <v>22</v>
      </c>
      <c r="Y3497" t="s">
        <v>23316</v>
      </c>
      <c r="Z3497" t="s">
        <v>29912</v>
      </c>
      <c r="AA3497">
        <v>0.33257696611447157</v>
      </c>
      <c r="AB3497" t="str">
        <f>HYPERLINK("Melting_Curves/meltCurve_Q15020_SART3.pdf", "Melting_Curves/meltCurve_Q15020_SART3.pdf")</f>
        <v>Melting_Curves/meltCurve_Q15020_SART3.pdf</v>
      </c>
    </row>
    <row r="3498" spans="1:28" x14ac:dyDescent="0.25">
      <c r="A3498" t="s">
        <v>3502</v>
      </c>
      <c r="B3498">
        <v>0.99193492352474899</v>
      </c>
      <c r="C3498">
        <v>0.87230026954633899</v>
      </c>
      <c r="D3498">
        <v>0.73783202763559697</v>
      </c>
      <c r="E3498">
        <v>0.219848075110263</v>
      </c>
      <c r="F3498">
        <v>0.15885785895632801</v>
      </c>
      <c r="G3498">
        <v>0.101219344219191</v>
      </c>
      <c r="H3498">
        <v>6.6566621417518804E-2</v>
      </c>
      <c r="I3498">
        <v>7.3779586409798398E-2</v>
      </c>
      <c r="J3498">
        <v>7.5410983139689594E-2</v>
      </c>
      <c r="K3498">
        <v>7.3652152748344593E-2</v>
      </c>
      <c r="L3498">
        <v>1309.89487525452</v>
      </c>
      <c r="M3498">
        <v>27.777990658229999</v>
      </c>
      <c r="N3498">
        <v>47.448818043028503</v>
      </c>
      <c r="O3498">
        <v>46.9134849273957</v>
      </c>
      <c r="P3498">
        <v>-0.136363756370288</v>
      </c>
      <c r="Q3498">
        <v>7.8803988380164794E-2</v>
      </c>
      <c r="R3498">
        <v>0.99079384952338201</v>
      </c>
      <c r="S3498" t="s">
        <v>10168</v>
      </c>
      <c r="T3498" t="s">
        <v>13338</v>
      </c>
      <c r="U3498" t="s">
        <v>13338</v>
      </c>
      <c r="V3498" t="s">
        <v>13338</v>
      </c>
      <c r="W3498" t="s">
        <v>16789</v>
      </c>
      <c r="X3498">
        <v>30</v>
      </c>
      <c r="Y3498" t="s">
        <v>23317</v>
      </c>
      <c r="Z3498" t="s">
        <v>29913</v>
      </c>
      <c r="AA3498">
        <v>0.3050546302780564</v>
      </c>
      <c r="AB3498" t="str">
        <f>HYPERLINK("Melting_Curves/meltCurve_Q15021_NCAPD2.pdf", "Melting_Curves/meltCurve_Q15021_NCAPD2.pdf")</f>
        <v>Melting_Curves/meltCurve_Q15021_NCAPD2.pdf</v>
      </c>
    </row>
    <row r="3499" spans="1:28" x14ac:dyDescent="0.25">
      <c r="A3499" t="s">
        <v>3503</v>
      </c>
      <c r="B3499">
        <v>0.99193492352474899</v>
      </c>
      <c r="C3499">
        <v>0.601333544723341</v>
      </c>
      <c r="D3499">
        <v>0.58027555246795404</v>
      </c>
      <c r="E3499">
        <v>0.245244467586827</v>
      </c>
      <c r="F3499">
        <v>0.16622062561426401</v>
      </c>
      <c r="G3499">
        <v>0.105718973244596</v>
      </c>
      <c r="H3499">
        <v>7.0385135636617496E-2</v>
      </c>
      <c r="I3499">
        <v>0.103739145650962</v>
      </c>
      <c r="J3499">
        <v>0.101668563543284</v>
      </c>
      <c r="K3499">
        <v>0.12518145922896701</v>
      </c>
      <c r="L3499">
        <v>711.15947186430003</v>
      </c>
      <c r="M3499">
        <v>15.710671376757</v>
      </c>
      <c r="N3499">
        <v>45.829794116336203</v>
      </c>
      <c r="O3499">
        <v>44.551658948438202</v>
      </c>
      <c r="P3499">
        <v>-8.0420066040886098E-2</v>
      </c>
      <c r="Q3499">
        <v>8.7869535670893506E-2</v>
      </c>
      <c r="R3499">
        <v>0.95664317782095698</v>
      </c>
      <c r="S3499" t="s">
        <v>10169</v>
      </c>
      <c r="T3499" t="s">
        <v>13338</v>
      </c>
      <c r="U3499" t="s">
        <v>13338</v>
      </c>
      <c r="V3499" t="s">
        <v>13338</v>
      </c>
      <c r="W3499" t="s">
        <v>16790</v>
      </c>
      <c r="X3499">
        <v>5</v>
      </c>
      <c r="Y3499" t="s">
        <v>23318</v>
      </c>
      <c r="Z3499" t="s">
        <v>29914</v>
      </c>
      <c r="AA3499">
        <v>0.27380094656983761</v>
      </c>
      <c r="AB3499" t="str">
        <f>HYPERLINK("Melting_Curves/meltCurve_Q15022_SUZ12.pdf", "Melting_Curves/meltCurve_Q15022_SUZ12.pdf")</f>
        <v>Melting_Curves/meltCurve_Q15022_SUZ12.pdf</v>
      </c>
    </row>
    <row r="3500" spans="1:28" x14ac:dyDescent="0.25">
      <c r="A3500" t="s">
        <v>3504</v>
      </c>
      <c r="B3500">
        <v>0.99193492352474899</v>
      </c>
      <c r="C3500">
        <v>0.78604503083125199</v>
      </c>
      <c r="D3500">
        <v>0.90589755310390896</v>
      </c>
      <c r="E3500">
        <v>0.85810798765579299</v>
      </c>
      <c r="F3500">
        <v>0.86510654158219402</v>
      </c>
      <c r="G3500">
        <v>0.62210880089591403</v>
      </c>
      <c r="H3500">
        <v>0.37629974770583702</v>
      </c>
      <c r="I3500">
        <v>0.16324264491940499</v>
      </c>
      <c r="J3500">
        <v>0.15709280067560799</v>
      </c>
      <c r="K3500">
        <v>0.119757192850497</v>
      </c>
      <c r="L3500">
        <v>805.47264529884296</v>
      </c>
      <c r="M3500">
        <v>13.7696247690061</v>
      </c>
      <c r="N3500">
        <v>58.496339618959603</v>
      </c>
      <c r="O3500">
        <v>57.303943929021102</v>
      </c>
      <c r="P3500">
        <v>-6.0081223315446498E-2</v>
      </c>
      <c r="Q3500">
        <v>0</v>
      </c>
      <c r="R3500">
        <v>0.94194023806150295</v>
      </c>
      <c r="S3500" t="s">
        <v>10170</v>
      </c>
      <c r="T3500" t="s">
        <v>13338</v>
      </c>
      <c r="U3500" t="s">
        <v>13338</v>
      </c>
      <c r="V3500" t="s">
        <v>13338</v>
      </c>
      <c r="W3500" t="s">
        <v>16791</v>
      </c>
      <c r="X3500">
        <v>12</v>
      </c>
      <c r="Y3500" t="s">
        <v>23319</v>
      </c>
      <c r="Z3500" t="s">
        <v>29915</v>
      </c>
      <c r="AA3500">
        <v>0.62830122295244684</v>
      </c>
      <c r="AB3500" t="str">
        <f>HYPERLINK("Melting_Curves/meltCurve_Q15024_EXOSC7.pdf", "Melting_Curves/meltCurve_Q15024_EXOSC7.pdf")</f>
        <v>Melting_Curves/meltCurve_Q15024_EXOSC7.pdf</v>
      </c>
    </row>
    <row r="3501" spans="1:28" x14ac:dyDescent="0.25">
      <c r="A3501" t="s">
        <v>3505</v>
      </c>
      <c r="B3501">
        <v>0.99193492352474899</v>
      </c>
      <c r="C3501">
        <v>1.0282805091215499</v>
      </c>
      <c r="D3501">
        <v>0.89273718802739599</v>
      </c>
      <c r="E3501">
        <v>0.49587244716330298</v>
      </c>
      <c r="F3501">
        <v>0.19337234168518699</v>
      </c>
      <c r="G3501">
        <v>0.118626158507032</v>
      </c>
      <c r="H3501">
        <v>6.5428967419076903E-2</v>
      </c>
      <c r="I3501">
        <v>6.8525338591626295E-2</v>
      </c>
      <c r="J3501">
        <v>8.2322309247152795E-2</v>
      </c>
      <c r="K3501">
        <v>8.6085725087395301E-2</v>
      </c>
      <c r="L3501">
        <v>1385.0200718394101</v>
      </c>
      <c r="M3501">
        <v>28.0827543536207</v>
      </c>
      <c r="N3501">
        <v>49.624215591702097</v>
      </c>
      <c r="O3501">
        <v>49.071203071262097</v>
      </c>
      <c r="P3501">
        <v>-0.131733305523307</v>
      </c>
      <c r="Q3501">
        <v>7.9256317247055202E-2</v>
      </c>
      <c r="R3501">
        <v>0.99820787339734196</v>
      </c>
      <c r="S3501" t="s">
        <v>10171</v>
      </c>
      <c r="T3501" t="s">
        <v>13338</v>
      </c>
      <c r="U3501" t="s">
        <v>13338</v>
      </c>
      <c r="V3501" t="s">
        <v>13338</v>
      </c>
      <c r="W3501" t="s">
        <v>16792</v>
      </c>
      <c r="X3501">
        <v>30</v>
      </c>
      <c r="Y3501" t="s">
        <v>23320</v>
      </c>
      <c r="Z3501" t="s">
        <v>29916</v>
      </c>
      <c r="AA3501">
        <v>0.37172509496955569</v>
      </c>
      <c r="AB3501" t="str">
        <f>HYPERLINK("Melting_Curves/meltCurve_Q15027_ACAP1.pdf", "Melting_Curves/meltCurve_Q15027_ACAP1.pdf")</f>
        <v>Melting_Curves/meltCurve_Q15027_ACAP1.pdf</v>
      </c>
    </row>
    <row r="3502" spans="1:28" x14ac:dyDescent="0.25">
      <c r="A3502" t="s">
        <v>3506</v>
      </c>
      <c r="B3502">
        <v>0.99193492352474899</v>
      </c>
      <c r="C3502">
        <v>0.88487302242081001</v>
      </c>
      <c r="D3502">
        <v>0.94358219818977496</v>
      </c>
      <c r="E3502">
        <v>0.99066998050752597</v>
      </c>
      <c r="F3502">
        <v>1.6161091663270599</v>
      </c>
      <c r="G3502">
        <v>1.4670761380314801</v>
      </c>
      <c r="H3502">
        <v>0.66962327103558295</v>
      </c>
      <c r="I3502">
        <v>0.197850730521342</v>
      </c>
      <c r="J3502">
        <v>0.18614252723073099</v>
      </c>
      <c r="K3502">
        <v>0.19320348537198501</v>
      </c>
      <c r="L3502">
        <v>12098.318628937501</v>
      </c>
      <c r="M3502">
        <v>198.61769748969499</v>
      </c>
      <c r="N3502">
        <v>61.061917234405399</v>
      </c>
      <c r="O3502">
        <v>60.906416766637903</v>
      </c>
      <c r="P3502">
        <v>-0.65841847056523495</v>
      </c>
      <c r="Q3502">
        <v>0.19237994133016101</v>
      </c>
      <c r="R3502">
        <v>0.73683059126093098</v>
      </c>
      <c r="S3502" t="s">
        <v>10172</v>
      </c>
      <c r="T3502" t="s">
        <v>13338</v>
      </c>
      <c r="U3502" t="s">
        <v>13338</v>
      </c>
      <c r="V3502" t="s">
        <v>13338</v>
      </c>
      <c r="W3502" t="s">
        <v>16793</v>
      </c>
      <c r="X3502">
        <v>46</v>
      </c>
      <c r="Y3502" t="s">
        <v>23321</v>
      </c>
      <c r="Z3502" t="s">
        <v>29917</v>
      </c>
      <c r="AA3502">
        <v>0.75549768183298271</v>
      </c>
      <c r="AB3502" t="str">
        <f>HYPERLINK("Melting_Curves/meltCurve_Q15029_2_EFTUD2.pdf", "Melting_Curves/meltCurve_Q15029_2_EFTUD2.pdf")</f>
        <v>Melting_Curves/meltCurve_Q15029_2_EFTUD2.pdf</v>
      </c>
    </row>
    <row r="3503" spans="1:28" x14ac:dyDescent="0.25">
      <c r="A3503" t="s">
        <v>3507</v>
      </c>
      <c r="B3503">
        <v>0.99193492352474899</v>
      </c>
      <c r="C3503">
        <v>0.88763280175320403</v>
      </c>
      <c r="D3503">
        <v>0.96711068775825204</v>
      </c>
      <c r="E3503">
        <v>0.66604743575825498</v>
      </c>
      <c r="F3503">
        <v>0.18325581955893999</v>
      </c>
      <c r="G3503">
        <v>0.12770801493754699</v>
      </c>
      <c r="H3503">
        <v>8.9749014388667406E-2</v>
      </c>
      <c r="I3503">
        <v>8.6616107698868794E-2</v>
      </c>
      <c r="J3503">
        <v>8.6301228589327802E-2</v>
      </c>
      <c r="K3503">
        <v>0.100416409487581</v>
      </c>
      <c r="L3503">
        <v>1901.8866690525599</v>
      </c>
      <c r="M3503">
        <v>37.829786868566302</v>
      </c>
      <c r="N3503">
        <v>50.552399036981001</v>
      </c>
      <c r="O3503">
        <v>50.134975048528503</v>
      </c>
      <c r="P3503">
        <v>-0.17095040963404801</v>
      </c>
      <c r="Q3503">
        <v>9.3775252934089906E-2</v>
      </c>
      <c r="R3503">
        <v>0.99104133479875001</v>
      </c>
      <c r="S3503" t="s">
        <v>10173</v>
      </c>
      <c r="T3503" t="s">
        <v>13338</v>
      </c>
      <c r="U3503" t="s">
        <v>13338</v>
      </c>
      <c r="V3503" t="s">
        <v>13338</v>
      </c>
      <c r="W3503" t="s">
        <v>16794</v>
      </c>
      <c r="X3503">
        <v>15</v>
      </c>
      <c r="Y3503" t="s">
        <v>23322</v>
      </c>
      <c r="Z3503" t="s">
        <v>29918</v>
      </c>
      <c r="AA3503">
        <v>0.40767772238352651</v>
      </c>
      <c r="AB3503" t="str">
        <f>HYPERLINK("Melting_Curves/meltCurve_Q15031_LARS2.pdf", "Melting_Curves/meltCurve_Q15031_LARS2.pdf")</f>
        <v>Melting_Curves/meltCurve_Q15031_LARS2.pdf</v>
      </c>
    </row>
    <row r="3504" spans="1:28" x14ac:dyDescent="0.25">
      <c r="A3504" t="s">
        <v>3508</v>
      </c>
      <c r="B3504">
        <v>0.99193492352474899</v>
      </c>
      <c r="C3504">
        <v>0.61243571414212805</v>
      </c>
      <c r="D3504">
        <v>0.65467011510677997</v>
      </c>
      <c r="E3504">
        <v>0.34898633847841498</v>
      </c>
      <c r="F3504">
        <v>0.18438158671886401</v>
      </c>
      <c r="G3504">
        <v>0.12838931065294901</v>
      </c>
      <c r="H3504">
        <v>7.3839029444760798E-2</v>
      </c>
      <c r="I3504">
        <v>0.10405067552177701</v>
      </c>
      <c r="J3504">
        <v>8.8873334259898407E-2</v>
      </c>
      <c r="K3504">
        <v>0.12294877907122299</v>
      </c>
      <c r="L3504">
        <v>619.09032470310899</v>
      </c>
      <c r="M3504">
        <v>13.363607924075801</v>
      </c>
      <c r="N3504">
        <v>46.873052125642999</v>
      </c>
      <c r="O3504">
        <v>45.326100462295102</v>
      </c>
      <c r="P3504">
        <v>-6.8402097035518195E-2</v>
      </c>
      <c r="Q3504">
        <v>7.2134338006835899E-2</v>
      </c>
      <c r="R3504">
        <v>0.95083822865120005</v>
      </c>
      <c r="S3504" t="s">
        <v>10174</v>
      </c>
      <c r="T3504" t="s">
        <v>13338</v>
      </c>
      <c r="U3504" t="s">
        <v>13338</v>
      </c>
      <c r="V3504" t="s">
        <v>13338</v>
      </c>
      <c r="W3504" t="s">
        <v>16795</v>
      </c>
      <c r="X3504">
        <v>7</v>
      </c>
      <c r="Y3504" t="s">
        <v>23323</v>
      </c>
      <c r="Z3504" t="s">
        <v>29919</v>
      </c>
      <c r="AA3504">
        <v>0.30122068932829471</v>
      </c>
      <c r="AB3504" t="str">
        <f>HYPERLINK("Melting_Curves/meltCurve_Q15032_2_R3HDM1.pdf", "Melting_Curves/meltCurve_Q15032_2_R3HDM1.pdf")</f>
        <v>Melting_Curves/meltCurve_Q15032_2_R3HDM1.pdf</v>
      </c>
    </row>
    <row r="3505" spans="1:28" x14ac:dyDescent="0.25">
      <c r="A3505" t="s">
        <v>3509</v>
      </c>
      <c r="B3505">
        <v>0.99193492352474899</v>
      </c>
      <c r="C3505">
        <v>0.85367138521532004</v>
      </c>
      <c r="D3505">
        <v>0.64048866117457603</v>
      </c>
      <c r="E3505">
        <v>0.35020801501422999</v>
      </c>
      <c r="F3505">
        <v>0.214240758457069</v>
      </c>
      <c r="G3505">
        <v>0.14429113342321401</v>
      </c>
      <c r="H3505">
        <v>8.2636218529941699E-2</v>
      </c>
      <c r="I3505">
        <v>8.34630965945799E-2</v>
      </c>
      <c r="J3505">
        <v>9.8779570487054894E-2</v>
      </c>
      <c r="K3505">
        <v>0.106947245151591</v>
      </c>
      <c r="L3505">
        <v>827.43229592162004</v>
      </c>
      <c r="M3505">
        <v>17.5564864825228</v>
      </c>
      <c r="N3505">
        <v>47.665241342821602</v>
      </c>
      <c r="O3505">
        <v>46.531010592323199</v>
      </c>
      <c r="P3505">
        <v>-8.5888885339850604E-2</v>
      </c>
      <c r="Q3505">
        <v>8.95036800368601E-2</v>
      </c>
      <c r="R3505">
        <v>0.99769694063444403</v>
      </c>
      <c r="S3505" t="s">
        <v>10175</v>
      </c>
      <c r="T3505" t="s">
        <v>13338</v>
      </c>
      <c r="U3505" t="s">
        <v>13338</v>
      </c>
      <c r="V3505" t="s">
        <v>13338</v>
      </c>
      <c r="W3505" t="s">
        <v>16796</v>
      </c>
      <c r="X3505">
        <v>8</v>
      </c>
      <c r="Y3505" t="s">
        <v>23324</v>
      </c>
      <c r="Z3505" t="s">
        <v>29920</v>
      </c>
      <c r="AA3505">
        <v>0.3235087145640812</v>
      </c>
      <c r="AB3505" t="str">
        <f>HYPERLINK("Melting_Curves/meltCurve_Q15036_2_SNX17.pdf", "Melting_Curves/meltCurve_Q15036_2_SNX17.pdf")</f>
        <v>Melting_Curves/meltCurve_Q15036_2_SNX17.pdf</v>
      </c>
    </row>
    <row r="3506" spans="1:28" x14ac:dyDescent="0.25">
      <c r="A3506" t="s">
        <v>3510</v>
      </c>
      <c r="B3506">
        <v>0.99193492352474899</v>
      </c>
      <c r="C3506">
        <v>1.0164254617320601</v>
      </c>
      <c r="D3506">
        <v>0.87536477060187101</v>
      </c>
      <c r="E3506">
        <v>0.32210117044916198</v>
      </c>
      <c r="F3506">
        <v>0.23265167284066501</v>
      </c>
      <c r="G3506">
        <v>0.13156611568783899</v>
      </c>
      <c r="H3506">
        <v>8.5281826210769199E-2</v>
      </c>
      <c r="I3506">
        <v>9.62297832001551E-2</v>
      </c>
      <c r="J3506">
        <v>0.107963490354168</v>
      </c>
      <c r="K3506">
        <v>0.11388569242876199</v>
      </c>
      <c r="L3506">
        <v>1745.8929592623699</v>
      </c>
      <c r="M3506">
        <v>36.262588590278</v>
      </c>
      <c r="N3506">
        <v>48.511978237452801</v>
      </c>
      <c r="O3506">
        <v>48.0001289809234</v>
      </c>
      <c r="P3506">
        <v>-0.166257788738818</v>
      </c>
      <c r="Q3506">
        <v>0.11971305229566299</v>
      </c>
      <c r="R3506">
        <v>0.99236702874976901</v>
      </c>
      <c r="S3506" t="s">
        <v>10176</v>
      </c>
      <c r="T3506" t="s">
        <v>13338</v>
      </c>
      <c r="U3506" t="s">
        <v>13338</v>
      </c>
      <c r="V3506" t="s">
        <v>13338</v>
      </c>
      <c r="W3506" t="s">
        <v>16797</v>
      </c>
      <c r="X3506">
        <v>16</v>
      </c>
      <c r="Y3506" t="s">
        <v>23325</v>
      </c>
      <c r="Z3506" t="s">
        <v>29921</v>
      </c>
      <c r="AA3506">
        <v>0.36232314317305198</v>
      </c>
      <c r="AB3506" t="str">
        <f>HYPERLINK("Melting_Curves/meltCurve_Q15042_RAB3GAP1.pdf", "Melting_Curves/meltCurve_Q15042_RAB3GAP1.pdf")</f>
        <v>Melting_Curves/meltCurve_Q15042_RAB3GAP1.pdf</v>
      </c>
    </row>
    <row r="3507" spans="1:28" x14ac:dyDescent="0.25">
      <c r="A3507" t="s">
        <v>3511</v>
      </c>
      <c r="B3507">
        <v>0.99193492352474899</v>
      </c>
      <c r="C3507">
        <v>0.90810602355329395</v>
      </c>
      <c r="D3507">
        <v>0.95643165938622199</v>
      </c>
      <c r="E3507">
        <v>0.85910489651936295</v>
      </c>
      <c r="F3507">
        <v>0.81353255271309899</v>
      </c>
      <c r="G3507">
        <v>0.742786988462665</v>
      </c>
      <c r="H3507">
        <v>0.60147921332362198</v>
      </c>
      <c r="I3507">
        <v>0.671135104434602</v>
      </c>
      <c r="J3507">
        <v>0.86171050609219102</v>
      </c>
      <c r="K3507">
        <v>0.83080998593183097</v>
      </c>
      <c r="L3507">
        <v>880.23611014708899</v>
      </c>
      <c r="M3507">
        <v>18.0583434752815</v>
      </c>
      <c r="O3507">
        <v>48.158055884592798</v>
      </c>
      <c r="P3507">
        <v>-2.42496064841085E-2</v>
      </c>
      <c r="Q3507">
        <v>0.74133683296250596</v>
      </c>
      <c r="R3507">
        <v>0.58927225956868001</v>
      </c>
      <c r="S3507" t="s">
        <v>10177</v>
      </c>
      <c r="T3507" t="s">
        <v>13338</v>
      </c>
      <c r="U3507" t="s">
        <v>13338</v>
      </c>
      <c r="V3507" t="s">
        <v>13338</v>
      </c>
      <c r="W3507" t="s">
        <v>16798</v>
      </c>
      <c r="X3507">
        <v>4</v>
      </c>
      <c r="Y3507" t="s">
        <v>23326</v>
      </c>
      <c r="Z3507" t="s">
        <v>29922</v>
      </c>
      <c r="AA3507">
        <v>0.82120253943015153</v>
      </c>
      <c r="AB3507" t="str">
        <f>HYPERLINK("Melting_Curves/meltCurve_Q15043_2_SLC39A14.pdf", "Melting_Curves/meltCurve_Q15043_2_SLC39A14.pdf")</f>
        <v>Melting_Curves/meltCurve_Q15043_2_SLC39A14.pdf</v>
      </c>
    </row>
    <row r="3508" spans="1:28" x14ac:dyDescent="0.25">
      <c r="A3508" t="s">
        <v>3512</v>
      </c>
      <c r="B3508">
        <v>0.99193492352474899</v>
      </c>
      <c r="C3508">
        <v>0.76465225556938798</v>
      </c>
      <c r="D3508">
        <v>0.81777461141905805</v>
      </c>
      <c r="E3508">
        <v>0.68007214433302499</v>
      </c>
      <c r="F3508">
        <v>0.35235607839220501</v>
      </c>
      <c r="G3508">
        <v>0.13239512634108</v>
      </c>
      <c r="H3508">
        <v>8.1383607380488499E-2</v>
      </c>
      <c r="I3508">
        <v>9.3321378559651599E-2</v>
      </c>
      <c r="J3508">
        <v>0.109277717096227</v>
      </c>
      <c r="K3508">
        <v>0.119281977148154</v>
      </c>
      <c r="L3508">
        <v>725.01472070206103</v>
      </c>
      <c r="M3508">
        <v>14.3699003525703</v>
      </c>
      <c r="N3508">
        <v>50.839340009823701</v>
      </c>
      <c r="O3508">
        <v>49.506774524972499</v>
      </c>
      <c r="P3508">
        <v>-6.8826604151469406E-2</v>
      </c>
      <c r="Q3508">
        <v>5.1635145960090799E-2</v>
      </c>
      <c r="R3508">
        <v>0.95839975518391396</v>
      </c>
      <c r="S3508" t="s">
        <v>10178</v>
      </c>
      <c r="T3508" t="s">
        <v>13338</v>
      </c>
      <c r="U3508" t="s">
        <v>13338</v>
      </c>
      <c r="V3508" t="s">
        <v>13338</v>
      </c>
      <c r="W3508" t="s">
        <v>16799</v>
      </c>
      <c r="X3508">
        <v>36</v>
      </c>
      <c r="Y3508" t="s">
        <v>23327</v>
      </c>
      <c r="Z3508" t="s">
        <v>29923</v>
      </c>
      <c r="AA3508">
        <v>0.40607757609972522</v>
      </c>
      <c r="AB3508" t="str">
        <f>HYPERLINK("Melting_Curves/meltCurve_Q15046_KARS.pdf", "Melting_Curves/meltCurve_Q15046_KARS.pdf")</f>
        <v>Melting_Curves/meltCurve_Q15046_KARS.pdf</v>
      </c>
    </row>
    <row r="3509" spans="1:28" x14ac:dyDescent="0.25">
      <c r="A3509" t="s">
        <v>3513</v>
      </c>
      <c r="B3509">
        <v>0.99193492352474899</v>
      </c>
      <c r="C3509">
        <v>0.81795838628601303</v>
      </c>
      <c r="D3509">
        <v>1.1422216284559199</v>
      </c>
      <c r="E3509">
        <v>1.75620710977345</v>
      </c>
      <c r="F3509">
        <v>0.87550855731449395</v>
      </c>
      <c r="G3509">
        <v>0.33977529090460301</v>
      </c>
      <c r="H3509">
        <v>0.36678354370925798</v>
      </c>
      <c r="I3509">
        <v>0.94085324976859197</v>
      </c>
      <c r="J3509">
        <v>2.2679222774330299</v>
      </c>
      <c r="K3509">
        <v>3.1126618132933799</v>
      </c>
      <c r="L3509">
        <v>15000</v>
      </c>
      <c r="M3509">
        <v>230.197178237495</v>
      </c>
      <c r="O3509">
        <v>65.156610917731996</v>
      </c>
      <c r="P3509">
        <v>0.44162283973192701</v>
      </c>
      <c r="Q3509">
        <v>1.5</v>
      </c>
      <c r="R3509">
        <v>0.31972292938303198</v>
      </c>
      <c r="S3509" t="s">
        <v>10179</v>
      </c>
      <c r="T3509" t="s">
        <v>13338</v>
      </c>
      <c r="U3509" t="s">
        <v>13338</v>
      </c>
      <c r="V3509" t="s">
        <v>13338</v>
      </c>
      <c r="W3509" t="s">
        <v>16800</v>
      </c>
      <c r="X3509">
        <v>1</v>
      </c>
      <c r="Y3509" t="s">
        <v>23328</v>
      </c>
      <c r="Z3509" t="s">
        <v>29924</v>
      </c>
      <c r="AA3509">
        <v>1.080573749430964</v>
      </c>
      <c r="AB3509" t="str">
        <f>HYPERLINK("Melting_Curves/meltCurve_Q15050_RRS1.pdf", "Melting_Curves/meltCurve_Q15050_RRS1.pdf")</f>
        <v>Melting_Curves/meltCurve_Q15050_RRS1.pdf</v>
      </c>
    </row>
    <row r="3510" spans="1:28" x14ac:dyDescent="0.25">
      <c r="A3510" t="s">
        <v>3514</v>
      </c>
      <c r="B3510">
        <v>0.99193492352474899</v>
      </c>
      <c r="C3510">
        <v>0.79006487996950503</v>
      </c>
      <c r="D3510">
        <v>0.55964098435639098</v>
      </c>
      <c r="E3510">
        <v>0.22376094530673099</v>
      </c>
      <c r="F3510">
        <v>0.15451791819140601</v>
      </c>
      <c r="G3510">
        <v>0.11618700530326601</v>
      </c>
      <c r="H3510">
        <v>8.2985716281817501E-2</v>
      </c>
      <c r="I3510">
        <v>9.9332958114352707E-2</v>
      </c>
      <c r="J3510">
        <v>8.8658501407539198E-2</v>
      </c>
      <c r="K3510">
        <v>8.9285394353804504E-2</v>
      </c>
      <c r="L3510">
        <v>944.46450351426802</v>
      </c>
      <c r="M3510">
        <v>20.586158145522401</v>
      </c>
      <c r="N3510">
        <v>46.324438673591303</v>
      </c>
      <c r="O3510">
        <v>45.452278015847</v>
      </c>
      <c r="P3510">
        <v>-0.10305680065237301</v>
      </c>
      <c r="Q3510">
        <v>8.9867994394204703E-2</v>
      </c>
      <c r="R3510">
        <v>0.99584223911474101</v>
      </c>
      <c r="S3510" t="s">
        <v>10180</v>
      </c>
      <c r="T3510" t="s">
        <v>13338</v>
      </c>
      <c r="U3510" t="s">
        <v>13338</v>
      </c>
      <c r="V3510" t="s">
        <v>13338</v>
      </c>
      <c r="W3510" t="s">
        <v>16801</v>
      </c>
      <c r="X3510">
        <v>16</v>
      </c>
      <c r="Y3510" t="s">
        <v>23329</v>
      </c>
      <c r="Z3510" t="s">
        <v>29925</v>
      </c>
      <c r="AA3510">
        <v>0.28149318238589249</v>
      </c>
      <c r="AB3510" t="str">
        <f>HYPERLINK("Melting_Curves/meltCurve_Q15052_ARHGEF6.pdf", "Melting_Curves/meltCurve_Q15052_ARHGEF6.pdf")</f>
        <v>Melting_Curves/meltCurve_Q15052_ARHGEF6.pdf</v>
      </c>
    </row>
    <row r="3511" spans="1:28" x14ac:dyDescent="0.25">
      <c r="A3511" t="s">
        <v>3515</v>
      </c>
      <c r="B3511">
        <v>0.99193492352474899</v>
      </c>
      <c r="C3511">
        <v>0.80892451030311097</v>
      </c>
      <c r="D3511">
        <v>0.799325861511755</v>
      </c>
      <c r="E3511">
        <v>0.58325267460316399</v>
      </c>
      <c r="F3511">
        <v>0.29893555203998401</v>
      </c>
      <c r="G3511">
        <v>0.13866692260407701</v>
      </c>
      <c r="H3511">
        <v>0.11835536959128599</v>
      </c>
      <c r="I3511">
        <v>0.19486626089420001</v>
      </c>
      <c r="J3511">
        <v>0.227547773203048</v>
      </c>
      <c r="K3511">
        <v>0.35733799426462498</v>
      </c>
      <c r="L3511">
        <v>906.54763882560303</v>
      </c>
      <c r="M3511">
        <v>18.709087353973501</v>
      </c>
      <c r="N3511">
        <v>49.778326750870399</v>
      </c>
      <c r="O3511">
        <v>47.911533311943003</v>
      </c>
      <c r="P3511">
        <v>-7.8497829409561903E-2</v>
      </c>
      <c r="Q3511">
        <v>0.19594324150857301</v>
      </c>
      <c r="R3511">
        <v>0.92572784853518397</v>
      </c>
      <c r="S3511" t="s">
        <v>10181</v>
      </c>
      <c r="T3511" t="s">
        <v>13338</v>
      </c>
      <c r="U3511" t="s">
        <v>13338</v>
      </c>
      <c r="V3511" t="s">
        <v>13338</v>
      </c>
      <c r="W3511" t="s">
        <v>16802</v>
      </c>
      <c r="X3511">
        <v>20</v>
      </c>
      <c r="Y3511" t="s">
        <v>23330</v>
      </c>
      <c r="Z3511" t="s">
        <v>29926</v>
      </c>
      <c r="AA3511">
        <v>0.43556731283482342</v>
      </c>
      <c r="AB3511" t="str">
        <f>HYPERLINK("Melting_Curves/meltCurve_Q15056_EIF4H.pdf", "Melting_Curves/meltCurve_Q15056_EIF4H.pdf")</f>
        <v>Melting_Curves/meltCurve_Q15056_EIF4H.pdf</v>
      </c>
    </row>
    <row r="3512" spans="1:28" x14ac:dyDescent="0.25">
      <c r="A3512" t="s">
        <v>3516</v>
      </c>
      <c r="B3512">
        <v>0.99193492352474899</v>
      </c>
      <c r="C3512">
        <v>0.77501356292837598</v>
      </c>
      <c r="D3512">
        <v>1.0239652033818101</v>
      </c>
      <c r="E3512">
        <v>0.55037714469371701</v>
      </c>
      <c r="F3512">
        <v>0.36675876013823899</v>
      </c>
      <c r="G3512">
        <v>0.212099138250368</v>
      </c>
      <c r="H3512">
        <v>0.19306923730613099</v>
      </c>
      <c r="I3512">
        <v>0.22442797111412299</v>
      </c>
      <c r="J3512">
        <v>0.30779280968561501</v>
      </c>
      <c r="K3512">
        <v>0.494234479187383</v>
      </c>
      <c r="L3512">
        <v>2941.45046983672</v>
      </c>
      <c r="M3512">
        <v>59.850551913442402</v>
      </c>
      <c r="N3512">
        <v>49.902080190646103</v>
      </c>
      <c r="O3512">
        <v>49.091811289574601</v>
      </c>
      <c r="P3512">
        <v>-0.213976218377293</v>
      </c>
      <c r="Q3512">
        <v>0.29795296713410602</v>
      </c>
      <c r="R3512">
        <v>0.868807338650882</v>
      </c>
      <c r="S3512" t="s">
        <v>10182</v>
      </c>
      <c r="T3512" t="s">
        <v>13338</v>
      </c>
      <c r="U3512" t="s">
        <v>13338</v>
      </c>
      <c r="V3512" t="s">
        <v>13338</v>
      </c>
      <c r="W3512" t="s">
        <v>16803</v>
      </c>
      <c r="X3512">
        <v>18</v>
      </c>
      <c r="Y3512" t="s">
        <v>23330</v>
      </c>
      <c r="Z3512" t="s">
        <v>29927</v>
      </c>
      <c r="AA3512">
        <v>0.51305789434097482</v>
      </c>
      <c r="AB3512" t="str">
        <f>HYPERLINK("Melting_Curves/meltCurve_Q15056_2_EIF4H.pdf", "Melting_Curves/meltCurve_Q15056_2_EIF4H.pdf")</f>
        <v>Melting_Curves/meltCurve_Q15056_2_EIF4H.pdf</v>
      </c>
    </row>
    <row r="3513" spans="1:28" x14ac:dyDescent="0.25">
      <c r="A3513" t="s">
        <v>3517</v>
      </c>
      <c r="B3513">
        <v>0.99193492352474899</v>
      </c>
      <c r="C3513">
        <v>0.835598454405721</v>
      </c>
      <c r="D3513">
        <v>0.91332021602929003</v>
      </c>
      <c r="E3513">
        <v>0.55727959640469205</v>
      </c>
      <c r="F3513">
        <v>0.15866061064304501</v>
      </c>
      <c r="G3513">
        <v>0.12425144187236301</v>
      </c>
      <c r="H3513">
        <v>6.3316106612169201E-2</v>
      </c>
      <c r="I3513">
        <v>7.3004433509087294E-2</v>
      </c>
      <c r="J3513">
        <v>0.101303164498591</v>
      </c>
      <c r="K3513">
        <v>0.114490921709491</v>
      </c>
      <c r="L3513">
        <v>1418.69625281192</v>
      </c>
      <c r="M3513">
        <v>28.6298450836718</v>
      </c>
      <c r="N3513">
        <v>49.875005967331099</v>
      </c>
      <c r="O3513">
        <v>49.313184489133498</v>
      </c>
      <c r="P3513">
        <v>-0.13289886093016401</v>
      </c>
      <c r="Q3513">
        <v>8.4366079398365906E-2</v>
      </c>
      <c r="R3513">
        <v>0.97938518406891695</v>
      </c>
      <c r="S3513" t="s">
        <v>10183</v>
      </c>
      <c r="T3513" t="s">
        <v>13338</v>
      </c>
      <c r="U3513" t="s">
        <v>13338</v>
      </c>
      <c r="V3513" t="s">
        <v>13338</v>
      </c>
      <c r="W3513" t="s">
        <v>16804</v>
      </c>
      <c r="X3513">
        <v>18</v>
      </c>
      <c r="Y3513" t="s">
        <v>23331</v>
      </c>
      <c r="Z3513" t="s">
        <v>29928</v>
      </c>
      <c r="AA3513">
        <v>0.38212043016221198</v>
      </c>
      <c r="AB3513" t="str">
        <f>HYPERLINK("Melting_Curves/meltCurve_Q15057_ACAP2.pdf", "Melting_Curves/meltCurve_Q15057_ACAP2.pdf")</f>
        <v>Melting_Curves/meltCurve_Q15057_ACAP2.pdf</v>
      </c>
    </row>
    <row r="3514" spans="1:28" x14ac:dyDescent="0.25">
      <c r="A3514" t="s">
        <v>3518</v>
      </c>
      <c r="B3514">
        <v>0.99193492352474899</v>
      </c>
      <c r="C3514">
        <v>0.52594048654359804</v>
      </c>
      <c r="D3514">
        <v>0.41145151950223402</v>
      </c>
      <c r="E3514">
        <v>0.27247695825020501</v>
      </c>
      <c r="F3514">
        <v>0.170085137311313</v>
      </c>
      <c r="G3514">
        <v>9.1143063579945893E-2</v>
      </c>
      <c r="H3514">
        <v>9.3095992618249301E-2</v>
      </c>
      <c r="I3514">
        <v>6.6440267304123696E-2</v>
      </c>
      <c r="J3514">
        <v>0.14169401926480801</v>
      </c>
      <c r="K3514">
        <v>0.11847506011231899</v>
      </c>
      <c r="L3514">
        <v>777.32579443367297</v>
      </c>
      <c r="M3514">
        <v>17.710612012108101</v>
      </c>
      <c r="N3514">
        <v>44.513136968909201</v>
      </c>
      <c r="O3514">
        <v>43.342300298087601</v>
      </c>
      <c r="P3514">
        <v>-9.0950462178198105E-2</v>
      </c>
      <c r="Q3514">
        <v>0.10973264691298</v>
      </c>
      <c r="R3514">
        <v>0.94731878352798105</v>
      </c>
      <c r="S3514" t="s">
        <v>10184</v>
      </c>
      <c r="T3514" t="s">
        <v>13338</v>
      </c>
      <c r="U3514" t="s">
        <v>13338</v>
      </c>
      <c r="V3514" t="s">
        <v>13338</v>
      </c>
      <c r="W3514" t="s">
        <v>16805</v>
      </c>
      <c r="X3514">
        <v>2</v>
      </c>
      <c r="Y3514" t="s">
        <v>23332</v>
      </c>
      <c r="Z3514" t="s">
        <v>29929</v>
      </c>
      <c r="AA3514">
        <v>0.24830484350633331</v>
      </c>
      <c r="AB3514" t="str">
        <f>HYPERLINK("Melting_Curves/meltCurve_Q15058_KIF14.pdf", "Melting_Curves/meltCurve_Q15058_KIF14.pdf")</f>
        <v>Melting_Curves/meltCurve_Q15058_KIF14.pdf</v>
      </c>
    </row>
    <row r="3515" spans="1:28" x14ac:dyDescent="0.25">
      <c r="A3515" t="s">
        <v>3519</v>
      </c>
      <c r="B3515">
        <v>0.99193492352474899</v>
      </c>
      <c r="C3515">
        <v>0.83499518263772299</v>
      </c>
      <c r="D3515">
        <v>0.81629538407463398</v>
      </c>
      <c r="E3515">
        <v>0.44656733563696699</v>
      </c>
      <c r="F3515">
        <v>0.35452426822526201</v>
      </c>
      <c r="G3515">
        <v>0.19287791659930301</v>
      </c>
      <c r="H3515">
        <v>0.14968644231121001</v>
      </c>
      <c r="I3515">
        <v>0.20280771411290699</v>
      </c>
      <c r="J3515">
        <v>0.218164693897963</v>
      </c>
      <c r="K3515">
        <v>0.26773866969849802</v>
      </c>
      <c r="L3515">
        <v>896.17764688761895</v>
      </c>
      <c r="M3515">
        <v>18.6704604058685</v>
      </c>
      <c r="N3515">
        <v>49.333172263631901</v>
      </c>
      <c r="O3515">
        <v>47.459274891287002</v>
      </c>
      <c r="P3515">
        <v>-7.8866464942778602E-2</v>
      </c>
      <c r="Q3515">
        <v>0.19813753056342101</v>
      </c>
      <c r="R3515">
        <v>0.97084057840414795</v>
      </c>
      <c r="S3515" t="s">
        <v>10185</v>
      </c>
      <c r="T3515" t="s">
        <v>13338</v>
      </c>
      <c r="U3515" t="s">
        <v>13338</v>
      </c>
      <c r="V3515" t="s">
        <v>13338</v>
      </c>
      <c r="W3515" t="s">
        <v>16806</v>
      </c>
      <c r="X3515">
        <v>7</v>
      </c>
      <c r="Y3515" t="s">
        <v>23333</v>
      </c>
      <c r="Z3515" t="s">
        <v>29930</v>
      </c>
      <c r="AA3515">
        <v>0.42513875985838501</v>
      </c>
      <c r="AB3515" t="str">
        <f>HYPERLINK("Melting_Curves/meltCurve_Q15059_BRD3.pdf", "Melting_Curves/meltCurve_Q15059_BRD3.pdf")</f>
        <v>Melting_Curves/meltCurve_Q15059_BRD3.pdf</v>
      </c>
    </row>
    <row r="3516" spans="1:28" x14ac:dyDescent="0.25">
      <c r="A3516" t="s">
        <v>3520</v>
      </c>
      <c r="B3516">
        <v>0.99193492352474899</v>
      </c>
      <c r="C3516">
        <v>0.67932012487364202</v>
      </c>
      <c r="D3516">
        <v>0.86450139519305502</v>
      </c>
      <c r="E3516">
        <v>0.88698944788700196</v>
      </c>
      <c r="F3516">
        <v>0.825115577515939</v>
      </c>
      <c r="G3516">
        <v>0.38016485539571598</v>
      </c>
      <c r="H3516">
        <v>0.112957753407287</v>
      </c>
      <c r="I3516">
        <v>9.4733971989048302E-2</v>
      </c>
      <c r="J3516">
        <v>9.8863533665542194E-2</v>
      </c>
      <c r="K3516">
        <v>9.6378689232676895E-2</v>
      </c>
      <c r="L3516">
        <v>1663.1226400072701</v>
      </c>
      <c r="M3516">
        <v>29.999989597152801</v>
      </c>
      <c r="N3516">
        <v>55.764963506275897</v>
      </c>
      <c r="O3516">
        <v>55.192861446631703</v>
      </c>
      <c r="P3516">
        <v>-0.124911752627203</v>
      </c>
      <c r="Q3516">
        <v>8.0774062662840707E-2</v>
      </c>
      <c r="R3516">
        <v>0.90098463344019397</v>
      </c>
      <c r="S3516" t="s">
        <v>10186</v>
      </c>
      <c r="T3516" t="s">
        <v>13338</v>
      </c>
      <c r="U3516" t="s">
        <v>13338</v>
      </c>
      <c r="V3516" t="s">
        <v>13338</v>
      </c>
      <c r="W3516" t="s">
        <v>16807</v>
      </c>
      <c r="X3516">
        <v>14</v>
      </c>
      <c r="Y3516" t="s">
        <v>23334</v>
      </c>
      <c r="Z3516" t="s">
        <v>29931</v>
      </c>
      <c r="AA3516">
        <v>0.55990626002106247</v>
      </c>
      <c r="AB3516" t="str">
        <f>HYPERLINK("Melting_Curves/meltCurve_Q15061_WDR43.pdf", "Melting_Curves/meltCurve_Q15061_WDR43.pdf")</f>
        <v>Melting_Curves/meltCurve_Q15061_WDR43.pdf</v>
      </c>
    </row>
    <row r="3517" spans="1:28" x14ac:dyDescent="0.25">
      <c r="A3517" t="s">
        <v>3521</v>
      </c>
      <c r="B3517">
        <v>0.99193492352474899</v>
      </c>
      <c r="C3517">
        <v>0.97807378970676795</v>
      </c>
      <c r="D3517">
        <v>0.98715513085766304</v>
      </c>
      <c r="E3517">
        <v>0.82441432892510103</v>
      </c>
      <c r="F3517">
        <v>0.76797826406640901</v>
      </c>
      <c r="G3517">
        <v>0.59401474286023404</v>
      </c>
      <c r="H3517">
        <v>0.425884029222938</v>
      </c>
      <c r="I3517">
        <v>0.33651403871097102</v>
      </c>
      <c r="J3517">
        <v>0.27881914418320702</v>
      </c>
      <c r="K3517">
        <v>0.14390910445799199</v>
      </c>
      <c r="L3517">
        <v>576.63522942789405</v>
      </c>
      <c r="M3517">
        <v>9.7395218094789104</v>
      </c>
      <c r="N3517">
        <v>59.205697119636902</v>
      </c>
      <c r="O3517">
        <v>56.871504259221297</v>
      </c>
      <c r="P3517">
        <v>-4.2836758821330097E-2</v>
      </c>
      <c r="Q3517">
        <v>0</v>
      </c>
      <c r="R3517">
        <v>0.99197981371785404</v>
      </c>
      <c r="S3517" t="s">
        <v>10187</v>
      </c>
      <c r="T3517" t="s">
        <v>13338</v>
      </c>
      <c r="U3517" t="s">
        <v>13338</v>
      </c>
      <c r="V3517" t="s">
        <v>13338</v>
      </c>
      <c r="W3517" t="s">
        <v>16808</v>
      </c>
      <c r="X3517">
        <v>19</v>
      </c>
      <c r="Y3517" t="s">
        <v>23335</v>
      </c>
      <c r="Z3517" t="s">
        <v>29932</v>
      </c>
      <c r="AA3517">
        <v>0.64117117280791591</v>
      </c>
      <c r="AB3517" t="str">
        <f>HYPERLINK("Melting_Curves/meltCurve_Q15067_2_ACOX1.pdf", "Melting_Curves/meltCurve_Q15067_2_ACOX1.pdf")</f>
        <v>Melting_Curves/meltCurve_Q15067_2_ACOX1.pdf</v>
      </c>
    </row>
    <row r="3518" spans="1:28" x14ac:dyDescent="0.25">
      <c r="A3518" t="s">
        <v>3522</v>
      </c>
      <c r="B3518">
        <v>0.99193492352474899</v>
      </c>
      <c r="C3518">
        <v>0.89916365000930298</v>
      </c>
      <c r="D3518">
        <v>0.92599112248193804</v>
      </c>
      <c r="E3518">
        <v>0.71825350916725195</v>
      </c>
      <c r="F3518">
        <v>0.62143028188078997</v>
      </c>
      <c r="G3518">
        <v>0.50966854770889602</v>
      </c>
      <c r="H3518">
        <v>0.39335551259988699</v>
      </c>
      <c r="I3518">
        <v>0.56191863272650699</v>
      </c>
      <c r="J3518">
        <v>0.67964041424057997</v>
      </c>
      <c r="K3518">
        <v>0.94358211924758995</v>
      </c>
      <c r="L3518">
        <v>1467.34586077739</v>
      </c>
      <c r="M3518">
        <v>30.7057753231649</v>
      </c>
      <c r="O3518">
        <v>47.585990867363499</v>
      </c>
      <c r="P3518">
        <v>-6.1891053179422298E-2</v>
      </c>
      <c r="Q3518">
        <v>0.61634204029144202</v>
      </c>
      <c r="R3518">
        <v>0.52142490540245301</v>
      </c>
      <c r="S3518" t="s">
        <v>10188</v>
      </c>
      <c r="T3518" t="s">
        <v>13338</v>
      </c>
      <c r="U3518" t="s">
        <v>13338</v>
      </c>
      <c r="V3518" t="s">
        <v>13338</v>
      </c>
      <c r="W3518" t="s">
        <v>16809</v>
      </c>
      <c r="X3518">
        <v>70</v>
      </c>
      <c r="Y3518" t="s">
        <v>23336</v>
      </c>
      <c r="Z3518" t="s">
        <v>29933</v>
      </c>
      <c r="AA3518">
        <v>0.71812609973711639</v>
      </c>
      <c r="AB3518" t="str">
        <f>HYPERLINK("Melting_Curves/meltCurve_Q15075_EEA1.pdf", "Melting_Curves/meltCurve_Q15075_EEA1.pdf")</f>
        <v>Melting_Curves/meltCurve_Q15075_EEA1.pdf</v>
      </c>
    </row>
    <row r="3519" spans="1:28" x14ac:dyDescent="0.25">
      <c r="A3519" t="s">
        <v>3523</v>
      </c>
      <c r="B3519">
        <v>0.99193492352474899</v>
      </c>
      <c r="C3519">
        <v>0.98051068646782802</v>
      </c>
      <c r="D3519">
        <v>0.75905751197353499</v>
      </c>
      <c r="E3519">
        <v>0.65893446298293401</v>
      </c>
      <c r="F3519">
        <v>0.422221780472818</v>
      </c>
      <c r="G3519">
        <v>0.22521065653859201</v>
      </c>
      <c r="H3519">
        <v>0.10676758709358899</v>
      </c>
      <c r="I3519">
        <v>8.6385417576219106E-2</v>
      </c>
      <c r="J3519">
        <v>7.5971072356595698E-2</v>
      </c>
      <c r="K3519">
        <v>6.9154883354492103E-2</v>
      </c>
      <c r="L3519">
        <v>688.85423437265104</v>
      </c>
      <c r="M3519">
        <v>13.407109157882701</v>
      </c>
      <c r="N3519">
        <v>51.5864785788565</v>
      </c>
      <c r="O3519">
        <v>50.277067661240899</v>
      </c>
      <c r="P3519">
        <v>-6.4932810423148898E-2</v>
      </c>
      <c r="Q3519">
        <v>2.6152093169142202E-2</v>
      </c>
      <c r="R3519">
        <v>0.99220945231934299</v>
      </c>
      <c r="S3519" t="s">
        <v>10189</v>
      </c>
      <c r="T3519" t="s">
        <v>13338</v>
      </c>
      <c r="U3519" t="s">
        <v>13338</v>
      </c>
      <c r="V3519" t="s">
        <v>13338</v>
      </c>
      <c r="W3519" t="s">
        <v>16810</v>
      </c>
      <c r="X3519">
        <v>10</v>
      </c>
      <c r="Y3519" t="s">
        <v>23337</v>
      </c>
      <c r="Z3519" t="s">
        <v>29934</v>
      </c>
      <c r="AA3519">
        <v>0.42201610463411948</v>
      </c>
      <c r="AB3519" t="str">
        <f>HYPERLINK("Melting_Curves/meltCurve_Q15102_PAFAH1B3.pdf", "Melting_Curves/meltCurve_Q15102_PAFAH1B3.pdf")</f>
        <v>Melting_Curves/meltCurve_Q15102_PAFAH1B3.pdf</v>
      </c>
    </row>
    <row r="3520" spans="1:28" x14ac:dyDescent="0.25">
      <c r="A3520" t="s">
        <v>3524</v>
      </c>
      <c r="B3520">
        <v>0.99193492352474899</v>
      </c>
      <c r="C3520">
        <v>0.84027083852976503</v>
      </c>
      <c r="D3520">
        <v>0.883292016954216</v>
      </c>
      <c r="E3520">
        <v>0.698342972736963</v>
      </c>
      <c r="F3520">
        <v>0.23131575258974099</v>
      </c>
      <c r="G3520">
        <v>0.108857485090296</v>
      </c>
      <c r="H3520">
        <v>5.6885904748013201E-2</v>
      </c>
      <c r="I3520">
        <v>5.7370708171174199E-2</v>
      </c>
      <c r="J3520">
        <v>7.2190351617570106E-2</v>
      </c>
      <c r="K3520">
        <v>5.6336764872977001E-2</v>
      </c>
      <c r="L3520">
        <v>1257.1150291275701</v>
      </c>
      <c r="M3520">
        <v>24.8228242597311</v>
      </c>
      <c r="N3520">
        <v>50.860997560704398</v>
      </c>
      <c r="O3520">
        <v>50.318272466293898</v>
      </c>
      <c r="P3520">
        <v>-0.11712083103708799</v>
      </c>
      <c r="Q3520">
        <v>5.0352143883364502E-2</v>
      </c>
      <c r="R3520">
        <v>0.97980653158319897</v>
      </c>
      <c r="S3520" t="s">
        <v>10190</v>
      </c>
      <c r="T3520" t="s">
        <v>13338</v>
      </c>
      <c r="U3520" t="s">
        <v>13338</v>
      </c>
      <c r="V3520" t="s">
        <v>13338</v>
      </c>
      <c r="W3520" t="s">
        <v>16811</v>
      </c>
      <c r="X3520">
        <v>8</v>
      </c>
      <c r="Y3520" t="s">
        <v>23338</v>
      </c>
      <c r="Z3520" t="s">
        <v>29935</v>
      </c>
      <c r="AA3520">
        <v>0.3959388559015507</v>
      </c>
      <c r="AB3520" t="str">
        <f>HYPERLINK("Melting_Curves/meltCurve_Q15118_PDK1.pdf", "Melting_Curves/meltCurve_Q15118_PDK1.pdf")</f>
        <v>Melting_Curves/meltCurve_Q15118_PDK1.pdf</v>
      </c>
    </row>
    <row r="3521" spans="1:28" x14ac:dyDescent="0.25">
      <c r="A3521" t="s">
        <v>3525</v>
      </c>
      <c r="B3521">
        <v>0.99193492352474899</v>
      </c>
      <c r="C3521">
        <v>0.81013772510160598</v>
      </c>
      <c r="D3521">
        <v>0.87626175335781897</v>
      </c>
      <c r="E3521">
        <v>0.58633404292121705</v>
      </c>
      <c r="F3521">
        <v>0.463581165647869</v>
      </c>
      <c r="G3521">
        <v>0.14372725321580199</v>
      </c>
      <c r="H3521">
        <v>9.2681647586928401E-2</v>
      </c>
      <c r="I3521">
        <v>4.5463478399748E-2</v>
      </c>
      <c r="J3521">
        <v>1.3927306462363899E-2</v>
      </c>
      <c r="K3521">
        <v>0</v>
      </c>
      <c r="L3521">
        <v>710.69163502461095</v>
      </c>
      <c r="M3521">
        <v>13.863558852493201</v>
      </c>
      <c r="N3521">
        <v>51.263289838328099</v>
      </c>
      <c r="O3521">
        <v>50.2320184489773</v>
      </c>
      <c r="P3521">
        <v>-6.9007139406883397E-2</v>
      </c>
      <c r="Q3521">
        <v>0</v>
      </c>
      <c r="R3521">
        <v>0.97680836839623097</v>
      </c>
      <c r="S3521" t="s">
        <v>10191</v>
      </c>
      <c r="T3521" t="s">
        <v>13338</v>
      </c>
      <c r="U3521" t="s">
        <v>13338</v>
      </c>
      <c r="V3521" t="s">
        <v>13338</v>
      </c>
      <c r="W3521" t="s">
        <v>16812</v>
      </c>
      <c r="X3521">
        <v>3</v>
      </c>
      <c r="Y3521" t="s">
        <v>23339</v>
      </c>
      <c r="Z3521" t="s">
        <v>29936</v>
      </c>
      <c r="AA3521">
        <v>0.40139893921612207</v>
      </c>
      <c r="AB3521" t="str">
        <f>HYPERLINK("Melting_Curves/meltCurve_Q15119_PDK2.pdf", "Melting_Curves/meltCurve_Q15119_PDK2.pdf")</f>
        <v>Melting_Curves/meltCurve_Q15119_PDK2.pdf</v>
      </c>
    </row>
    <row r="3522" spans="1:28" x14ac:dyDescent="0.25">
      <c r="A3522" t="s">
        <v>3526</v>
      </c>
      <c r="B3522">
        <v>0.99193492352474899</v>
      </c>
      <c r="C3522">
        <v>0.94947390554976097</v>
      </c>
      <c r="D3522">
        <v>1.13673799945114</v>
      </c>
      <c r="E3522">
        <v>0.81275668281392899</v>
      </c>
      <c r="F3522">
        <v>0.53284232456948399</v>
      </c>
      <c r="G3522">
        <v>0.18401275480238399</v>
      </c>
      <c r="H3522">
        <v>9.2090396176923897E-2</v>
      </c>
      <c r="I3522">
        <v>8.2350097443545198E-2</v>
      </c>
      <c r="J3522">
        <v>0.115343994832867</v>
      </c>
      <c r="K3522">
        <v>7.5541601178874596E-2</v>
      </c>
      <c r="L3522">
        <v>1453.4852141696399</v>
      </c>
      <c r="M3522">
        <v>27.479657560269001</v>
      </c>
      <c r="N3522">
        <v>53.234869083555402</v>
      </c>
      <c r="O3522">
        <v>52.6154053743481</v>
      </c>
      <c r="P3522">
        <v>-0.120012195414005</v>
      </c>
      <c r="Q3522">
        <v>8.0857290472793997E-2</v>
      </c>
      <c r="R3522">
        <v>0.981732176935876</v>
      </c>
      <c r="S3522" t="s">
        <v>10192</v>
      </c>
      <c r="T3522" t="s">
        <v>13338</v>
      </c>
      <c r="U3522" t="s">
        <v>13338</v>
      </c>
      <c r="V3522" t="s">
        <v>13338</v>
      </c>
      <c r="W3522" t="s">
        <v>16813</v>
      </c>
      <c r="X3522">
        <v>7</v>
      </c>
      <c r="Y3522" t="s">
        <v>23340</v>
      </c>
      <c r="Z3522" t="s">
        <v>29937</v>
      </c>
      <c r="AA3522">
        <v>0.48293869683581891</v>
      </c>
      <c r="AB3522" t="str">
        <f>HYPERLINK("Melting_Curves/meltCurve_Q15120_PDK3.pdf", "Melting_Curves/meltCurve_Q15120_PDK3.pdf")</f>
        <v>Melting_Curves/meltCurve_Q15120_PDK3.pdf</v>
      </c>
    </row>
    <row r="3523" spans="1:28" x14ac:dyDescent="0.25">
      <c r="A3523" t="s">
        <v>3527</v>
      </c>
      <c r="B3523">
        <v>0.99193492352474899</v>
      </c>
      <c r="C3523">
        <v>0.637352064154875</v>
      </c>
      <c r="D3523">
        <v>0.71187560252170101</v>
      </c>
      <c r="E3523">
        <v>0.15383914347326499</v>
      </c>
      <c r="F3523">
        <v>0</v>
      </c>
      <c r="G3523">
        <v>0</v>
      </c>
      <c r="H3523">
        <v>0</v>
      </c>
      <c r="I3523">
        <v>0</v>
      </c>
      <c r="J3523">
        <v>0.33164807534859903</v>
      </c>
      <c r="K3523">
        <v>0</v>
      </c>
      <c r="L3523">
        <v>938.35138200433903</v>
      </c>
      <c r="M3523">
        <v>20.351111194619399</v>
      </c>
      <c r="N3523">
        <v>46.3008685493662</v>
      </c>
      <c r="O3523">
        <v>45.669842853406102</v>
      </c>
      <c r="P3523">
        <v>-0.10688185373341801</v>
      </c>
      <c r="Q3523">
        <v>4.0616652228289703E-2</v>
      </c>
      <c r="R3523">
        <v>0.85508655001983402</v>
      </c>
      <c r="S3523" t="s">
        <v>10193</v>
      </c>
      <c r="T3523" t="s">
        <v>13338</v>
      </c>
      <c r="U3523" t="s">
        <v>13338</v>
      </c>
      <c r="V3523" t="s">
        <v>13338</v>
      </c>
      <c r="W3523" t="s">
        <v>16814</v>
      </c>
      <c r="X3523">
        <v>1</v>
      </c>
      <c r="Y3523" t="s">
        <v>23341</v>
      </c>
      <c r="Z3523" t="s">
        <v>29938</v>
      </c>
      <c r="AA3523">
        <v>0.25009805374394201</v>
      </c>
      <c r="AB3523" t="str">
        <f>HYPERLINK("Melting_Curves/meltCurve_Q15125_EBP.pdf", "Melting_Curves/meltCurve_Q15125_EBP.pdf")</f>
        <v>Melting_Curves/meltCurve_Q15125_EBP.pdf</v>
      </c>
    </row>
    <row r="3524" spans="1:28" x14ac:dyDescent="0.25">
      <c r="A3524" t="s">
        <v>3528</v>
      </c>
      <c r="B3524">
        <v>0.99193492352474899</v>
      </c>
      <c r="C3524">
        <v>0.84550581965829597</v>
      </c>
      <c r="D3524">
        <v>0.54381331418486201</v>
      </c>
      <c r="E3524">
        <v>0.21873880978493901</v>
      </c>
      <c r="F3524">
        <v>0.149049781884595</v>
      </c>
      <c r="G3524">
        <v>9.1787932538842404E-2</v>
      </c>
      <c r="H3524">
        <v>5.3917658854935699E-2</v>
      </c>
      <c r="I3524">
        <v>7.1687084307591006E-2</v>
      </c>
      <c r="J3524">
        <v>7.1290787181940804E-2</v>
      </c>
      <c r="K3524">
        <v>8.0874195083394093E-2</v>
      </c>
      <c r="L3524">
        <v>1029.36435353665</v>
      </c>
      <c r="M3524">
        <v>22.3501414709242</v>
      </c>
      <c r="N3524">
        <v>46.388571402272298</v>
      </c>
      <c r="O3524">
        <v>45.692323598908899</v>
      </c>
      <c r="P3524">
        <v>-0.11324330209571799</v>
      </c>
      <c r="Q3524">
        <v>7.3967080068254504E-2</v>
      </c>
      <c r="R3524">
        <v>0.99795400062334405</v>
      </c>
      <c r="S3524" t="s">
        <v>10194</v>
      </c>
      <c r="T3524" t="s">
        <v>13338</v>
      </c>
      <c r="U3524" t="s">
        <v>13338</v>
      </c>
      <c r="V3524" t="s">
        <v>13338</v>
      </c>
      <c r="W3524" t="s">
        <v>16815</v>
      </c>
      <c r="X3524">
        <v>11</v>
      </c>
      <c r="Y3524" t="s">
        <v>23342</v>
      </c>
      <c r="Z3524" t="s">
        <v>29939</v>
      </c>
      <c r="AA3524">
        <v>0.27195611593175412</v>
      </c>
      <c r="AB3524" t="str">
        <f>HYPERLINK("Melting_Curves/meltCurve_Q15126_PMVK.pdf", "Melting_Curves/meltCurve_Q15126_PMVK.pdf")</f>
        <v>Melting_Curves/meltCurve_Q15126_PMVK.pdf</v>
      </c>
    </row>
    <row r="3525" spans="1:28" x14ac:dyDescent="0.25">
      <c r="A3525" t="s">
        <v>3529</v>
      </c>
      <c r="B3525">
        <v>0.99193492352474899</v>
      </c>
      <c r="C3525">
        <v>0.60335274261596095</v>
      </c>
      <c r="D3525">
        <v>1.43511768514122</v>
      </c>
      <c r="E3525">
        <v>0.68514024906965698</v>
      </c>
      <c r="F3525">
        <v>0.56574673506034601</v>
      </c>
      <c r="G3525">
        <v>0.23220666579007701</v>
      </c>
      <c r="H3525">
        <v>0.12876458410107899</v>
      </c>
      <c r="I3525">
        <v>0.17029846392860501</v>
      </c>
      <c r="J3525">
        <v>0.227932601732004</v>
      </c>
      <c r="K3525">
        <v>0.169042264044201</v>
      </c>
      <c r="L3525">
        <v>1401.23279459934</v>
      </c>
      <c r="M3525">
        <v>26.794489489274</v>
      </c>
      <c r="N3525">
        <v>53.1084304698729</v>
      </c>
      <c r="O3525">
        <v>52.006849684650398</v>
      </c>
      <c r="P3525">
        <v>-0.107137477705895</v>
      </c>
      <c r="Q3525">
        <v>0.16821280812125999</v>
      </c>
      <c r="R3525">
        <v>0.75881358472676197</v>
      </c>
      <c r="S3525" t="s">
        <v>10195</v>
      </c>
      <c r="T3525" t="s">
        <v>13338</v>
      </c>
      <c r="U3525" t="s">
        <v>13338</v>
      </c>
      <c r="V3525" t="s">
        <v>13338</v>
      </c>
      <c r="W3525" t="s">
        <v>16816</v>
      </c>
      <c r="X3525">
        <v>104</v>
      </c>
      <c r="Y3525" t="s">
        <v>23343</v>
      </c>
      <c r="Z3525" t="s">
        <v>29940</v>
      </c>
      <c r="AA3525">
        <v>0.51578490861517989</v>
      </c>
      <c r="AB3525" t="str">
        <f>HYPERLINK("Melting_Curves/meltCurve_Q15149_PLEC.pdf", "Melting_Curves/meltCurve_Q15149_PLEC.pdf")</f>
        <v>Melting_Curves/meltCurve_Q15149_PLEC.pdf</v>
      </c>
    </row>
    <row r="3526" spans="1:28" x14ac:dyDescent="0.25">
      <c r="A3526" t="s">
        <v>3530</v>
      </c>
      <c r="B3526">
        <v>0.99193492352474899</v>
      </c>
      <c r="C3526">
        <v>0.874039219005046</v>
      </c>
      <c r="D3526">
        <v>0.71284029101235002</v>
      </c>
      <c r="E3526">
        <v>0.29250992659228497</v>
      </c>
      <c r="F3526">
        <v>0.22127267557480099</v>
      </c>
      <c r="G3526">
        <v>0.13672758627936199</v>
      </c>
      <c r="H3526">
        <v>8.7309448844565499E-2</v>
      </c>
      <c r="I3526">
        <v>0.104508299349913</v>
      </c>
      <c r="J3526">
        <v>0.112701397212204</v>
      </c>
      <c r="K3526">
        <v>0.120310963215291</v>
      </c>
      <c r="L3526">
        <v>1035.4853964731999</v>
      </c>
      <c r="M3526">
        <v>21.949332779735201</v>
      </c>
      <c r="N3526">
        <v>47.712375957459599</v>
      </c>
      <c r="O3526">
        <v>46.789814672439</v>
      </c>
      <c r="P3526">
        <v>-0.104460007827938</v>
      </c>
      <c r="Q3526">
        <v>0.109302437365514</v>
      </c>
      <c r="R3526">
        <v>0.99326464544149795</v>
      </c>
      <c r="S3526" t="s">
        <v>10196</v>
      </c>
      <c r="T3526" t="s">
        <v>13338</v>
      </c>
      <c r="U3526" t="s">
        <v>13338</v>
      </c>
      <c r="V3526" t="s">
        <v>13338</v>
      </c>
      <c r="W3526" t="s">
        <v>16817</v>
      </c>
      <c r="X3526">
        <v>104</v>
      </c>
      <c r="Y3526" t="s">
        <v>23343</v>
      </c>
      <c r="Z3526" t="s">
        <v>29941</v>
      </c>
      <c r="AA3526">
        <v>0.33291677177918311</v>
      </c>
      <c r="AB3526" t="str">
        <f>HYPERLINK("Melting_Curves/meltCurve_Q15149_3_PLEC.pdf", "Melting_Curves/meltCurve_Q15149_3_PLEC.pdf")</f>
        <v>Melting_Curves/meltCurve_Q15149_3_PLEC.pdf</v>
      </c>
    </row>
    <row r="3527" spans="1:28" x14ac:dyDescent="0.25">
      <c r="A3527" t="s">
        <v>3531</v>
      </c>
      <c r="B3527">
        <v>0.99193492352474899</v>
      </c>
      <c r="C3527">
        <v>1.22073805453104</v>
      </c>
      <c r="D3527">
        <v>0.866512285596857</v>
      </c>
      <c r="E3527">
        <v>0.68040297464566402</v>
      </c>
      <c r="F3527">
        <v>0.39130383201073399</v>
      </c>
      <c r="G3527">
        <v>0.27654562934747901</v>
      </c>
      <c r="H3527">
        <v>0.183289150511948</v>
      </c>
      <c r="I3527">
        <v>0.33655706271499503</v>
      </c>
      <c r="J3527">
        <v>0.453856197306508</v>
      </c>
      <c r="K3527">
        <v>0.49171090407340701</v>
      </c>
      <c r="L3527">
        <v>1643.04099016655</v>
      </c>
      <c r="M3527">
        <v>33.247073200587202</v>
      </c>
      <c r="N3527">
        <v>51.237862992201102</v>
      </c>
      <c r="O3527">
        <v>49.241354404933098</v>
      </c>
      <c r="P3527">
        <v>-0.110328861769231</v>
      </c>
      <c r="Q3527">
        <v>0.34638227353721002</v>
      </c>
      <c r="R3527">
        <v>0.88050525949700797</v>
      </c>
      <c r="S3527" t="s">
        <v>10197</v>
      </c>
      <c r="T3527" t="s">
        <v>13338</v>
      </c>
      <c r="U3527" t="s">
        <v>13338</v>
      </c>
      <c r="V3527" t="s">
        <v>13338</v>
      </c>
      <c r="W3527" t="s">
        <v>16818</v>
      </c>
      <c r="X3527">
        <v>3</v>
      </c>
      <c r="Y3527" t="s">
        <v>23344</v>
      </c>
      <c r="Z3527" t="s">
        <v>29942</v>
      </c>
      <c r="AA3527">
        <v>0.55484881538999509</v>
      </c>
      <c r="AB3527" t="str">
        <f>HYPERLINK("Melting_Curves/meltCurve_Q15154_2_PCM1.pdf", "Melting_Curves/meltCurve_Q15154_2_PCM1.pdf")</f>
        <v>Melting_Curves/meltCurve_Q15154_2_PCM1.pdf</v>
      </c>
    </row>
    <row r="3528" spans="1:28" x14ac:dyDescent="0.25">
      <c r="A3528" t="s">
        <v>3532</v>
      </c>
      <c r="B3528">
        <v>0.99193492352474899</v>
      </c>
      <c r="C3528">
        <v>1.0970196875554701</v>
      </c>
      <c r="D3528">
        <v>0.86078940631650103</v>
      </c>
      <c r="E3528">
        <v>0.72920047202362603</v>
      </c>
      <c r="F3528">
        <v>0.236682855374964</v>
      </c>
      <c r="G3528">
        <v>0.15023183322480799</v>
      </c>
      <c r="H3528">
        <v>3.8995940100062097E-2</v>
      </c>
      <c r="I3528">
        <v>7.7330529285903601E-2</v>
      </c>
      <c r="J3528">
        <v>8.7516391551555398E-2</v>
      </c>
      <c r="K3528">
        <v>8.04772036211443E-2</v>
      </c>
      <c r="L3528">
        <v>1460.08167945737</v>
      </c>
      <c r="M3528">
        <v>28.741295547813699</v>
      </c>
      <c r="N3528">
        <v>51.077371981293602</v>
      </c>
      <c r="O3528">
        <v>50.556784337599403</v>
      </c>
      <c r="P3528">
        <v>-0.13188434762055001</v>
      </c>
      <c r="Q3528">
        <v>7.2052965994986798E-2</v>
      </c>
      <c r="R3528">
        <v>0.98479910438023499</v>
      </c>
      <c r="S3528" t="s">
        <v>10198</v>
      </c>
      <c r="T3528" t="s">
        <v>13338</v>
      </c>
      <c r="U3528" t="s">
        <v>13338</v>
      </c>
      <c r="V3528" t="s">
        <v>13338</v>
      </c>
      <c r="W3528" t="s">
        <v>16819</v>
      </c>
      <c r="X3528">
        <v>27</v>
      </c>
      <c r="Y3528" t="s">
        <v>23345</v>
      </c>
      <c r="Z3528" t="s">
        <v>29943</v>
      </c>
      <c r="AA3528">
        <v>0.41247670423673438</v>
      </c>
      <c r="AB3528" t="str">
        <f>HYPERLINK("Melting_Curves/meltCurve_Q15155_NOMO1.pdf", "Melting_Curves/meltCurve_Q15155_NOMO1.pdf")</f>
        <v>Melting_Curves/meltCurve_Q15155_NOMO1.pdf</v>
      </c>
    </row>
    <row r="3529" spans="1:28" x14ac:dyDescent="0.25">
      <c r="A3529" t="s">
        <v>3533</v>
      </c>
      <c r="B3529">
        <v>0.99193492352474899</v>
      </c>
      <c r="C3529">
        <v>1.6498517499349099</v>
      </c>
      <c r="D3529">
        <v>1.0809413967674699</v>
      </c>
      <c r="E3529">
        <v>1.0123666468672801</v>
      </c>
      <c r="F3529">
        <v>0.68131475483564696</v>
      </c>
      <c r="G3529">
        <v>0.506325665000536</v>
      </c>
      <c r="H3529">
        <v>0.47076216963265499</v>
      </c>
      <c r="I3529">
        <v>0.59609697062915401</v>
      </c>
      <c r="J3529">
        <v>0.54830486895184205</v>
      </c>
      <c r="K3529">
        <v>0.80367195418521697</v>
      </c>
      <c r="L3529">
        <v>13236.3239482755</v>
      </c>
      <c r="M3529">
        <v>250</v>
      </c>
      <c r="O3529">
        <v>52.941907819922299</v>
      </c>
      <c r="P3529">
        <v>-0.489885628821702</v>
      </c>
      <c r="Q3529">
        <v>0.58503232500053703</v>
      </c>
      <c r="R3529">
        <v>0.58012237988302895</v>
      </c>
      <c r="S3529" t="s">
        <v>10199</v>
      </c>
      <c r="T3529" t="s">
        <v>13338</v>
      </c>
      <c r="U3529" t="s">
        <v>13338</v>
      </c>
      <c r="V3529" t="s">
        <v>13338</v>
      </c>
      <c r="W3529" t="s">
        <v>16820</v>
      </c>
      <c r="X3529">
        <v>3</v>
      </c>
      <c r="Y3529" t="s">
        <v>23346</v>
      </c>
      <c r="Z3529" t="s">
        <v>29944</v>
      </c>
      <c r="AA3529">
        <v>0.76413352628568076</v>
      </c>
      <c r="AB3529" t="str">
        <f>HYPERLINK("Melting_Curves/meltCurve_Q15170_2_TCEAL1.pdf", "Melting_Curves/meltCurve_Q15170_2_TCEAL1.pdf")</f>
        <v>Melting_Curves/meltCurve_Q15170_2_TCEAL1.pdf</v>
      </c>
    </row>
    <row r="3530" spans="1:28" x14ac:dyDescent="0.25">
      <c r="A3530" t="s">
        <v>3534</v>
      </c>
      <c r="B3530">
        <v>0.99193492352474899</v>
      </c>
      <c r="C3530">
        <v>0.78096868249500995</v>
      </c>
      <c r="D3530">
        <v>0.92806932798596498</v>
      </c>
      <c r="E3530">
        <v>0.41018114262241601</v>
      </c>
      <c r="F3530">
        <v>0.13045954878312299</v>
      </c>
      <c r="G3530">
        <v>7.6127469886276694E-2</v>
      </c>
      <c r="H3530">
        <v>4.3878394865373899E-2</v>
      </c>
      <c r="I3530">
        <v>4.33187842385023E-2</v>
      </c>
      <c r="J3530">
        <v>4.7202095631350499E-2</v>
      </c>
      <c r="K3530">
        <v>3.7748471895775203E-2</v>
      </c>
      <c r="L3530">
        <v>1404.9796044648101</v>
      </c>
      <c r="M3530">
        <v>28.726267626866601</v>
      </c>
      <c r="N3530">
        <v>49.0670483507268</v>
      </c>
      <c r="O3530">
        <v>48.674026334862603</v>
      </c>
      <c r="P3530">
        <v>-0.141034440891213</v>
      </c>
      <c r="Q3530">
        <v>4.4127262326381901E-2</v>
      </c>
      <c r="R3530">
        <v>0.96841992907980901</v>
      </c>
      <c r="S3530" t="s">
        <v>10200</v>
      </c>
      <c r="T3530" t="s">
        <v>13338</v>
      </c>
      <c r="U3530" t="s">
        <v>13338</v>
      </c>
      <c r="V3530" t="s">
        <v>13338</v>
      </c>
      <c r="W3530" t="s">
        <v>16821</v>
      </c>
      <c r="X3530">
        <v>7</v>
      </c>
      <c r="Y3530" t="s">
        <v>23347</v>
      </c>
      <c r="Z3530" t="s">
        <v>29945</v>
      </c>
      <c r="AA3530">
        <v>0.33435352590264988</v>
      </c>
      <c r="AB3530" t="str">
        <f>HYPERLINK("Melting_Curves/meltCurve_Q15172_PPP2R5A.pdf", "Melting_Curves/meltCurve_Q15172_PPP2R5A.pdf")</f>
        <v>Melting_Curves/meltCurve_Q15172_PPP2R5A.pdf</v>
      </c>
    </row>
    <row r="3531" spans="1:28" x14ac:dyDescent="0.25">
      <c r="A3531" t="s">
        <v>3535</v>
      </c>
      <c r="B3531">
        <v>0.99193492352474899</v>
      </c>
      <c r="C3531">
        <v>0.88660001738323801</v>
      </c>
      <c r="D3531">
        <v>0.83495194596504596</v>
      </c>
      <c r="E3531">
        <v>0.460191088458758</v>
      </c>
      <c r="F3531">
        <v>0.33800978102511797</v>
      </c>
      <c r="G3531">
        <v>0.33211785279291001</v>
      </c>
      <c r="H3531">
        <v>0.170067633402672</v>
      </c>
      <c r="I3531">
        <v>0.21911519792820799</v>
      </c>
      <c r="J3531">
        <v>0.25896511644841202</v>
      </c>
      <c r="K3531">
        <v>0.154765226436818</v>
      </c>
      <c r="L3531">
        <v>888.51773851159703</v>
      </c>
      <c r="M3531">
        <v>18.3772933227423</v>
      </c>
      <c r="N3531">
        <v>49.7955772610674</v>
      </c>
      <c r="O3531">
        <v>47.787086014242803</v>
      </c>
      <c r="P3531">
        <v>-7.6256332721424597E-2</v>
      </c>
      <c r="Q3531">
        <v>0.20686856723576399</v>
      </c>
      <c r="R3531">
        <v>0.97551346424305896</v>
      </c>
      <c r="S3531" t="s">
        <v>10201</v>
      </c>
      <c r="T3531" t="s">
        <v>13338</v>
      </c>
      <c r="U3531" t="s">
        <v>13338</v>
      </c>
      <c r="V3531" t="s">
        <v>13338</v>
      </c>
      <c r="W3531" t="s">
        <v>16822</v>
      </c>
      <c r="X3531">
        <v>2</v>
      </c>
      <c r="Y3531" t="s">
        <v>23348</v>
      </c>
      <c r="Z3531" t="s">
        <v>29946</v>
      </c>
      <c r="AA3531">
        <v>0.44094137902888397</v>
      </c>
      <c r="AB3531" t="str">
        <f>HYPERLINK("Melting_Curves/meltCurve_Q15173_2_PPP2R5B.pdf", "Melting_Curves/meltCurve_Q15173_2_PPP2R5B.pdf")</f>
        <v>Melting_Curves/meltCurve_Q15173_2_PPP2R5B.pdf</v>
      </c>
    </row>
    <row r="3532" spans="1:28" x14ac:dyDescent="0.25">
      <c r="A3532" t="s">
        <v>3536</v>
      </c>
      <c r="B3532">
        <v>0.99193492352474899</v>
      </c>
      <c r="C3532">
        <v>0.87342204150974301</v>
      </c>
      <c r="D3532">
        <v>0.96632835372591597</v>
      </c>
      <c r="E3532">
        <v>0.787917766806843</v>
      </c>
      <c r="F3532">
        <v>0.73624823463468103</v>
      </c>
      <c r="G3532">
        <v>0.48994217474912899</v>
      </c>
      <c r="H3532">
        <v>0.31946536529563901</v>
      </c>
      <c r="I3532">
        <v>0.17211987571201401</v>
      </c>
      <c r="J3532">
        <v>0.14910519540717801</v>
      </c>
      <c r="K3532">
        <v>0.126045923237907</v>
      </c>
      <c r="L3532">
        <v>641.39966050392195</v>
      </c>
      <c r="M3532">
        <v>11.313332483576501</v>
      </c>
      <c r="N3532">
        <v>56.694140424315499</v>
      </c>
      <c r="O3532">
        <v>55.009422402523498</v>
      </c>
      <c r="P3532">
        <v>-5.14310044606942E-2</v>
      </c>
      <c r="Q3532">
        <v>0</v>
      </c>
      <c r="R3532">
        <v>0.98249430470792498</v>
      </c>
      <c r="S3532" t="s">
        <v>10202</v>
      </c>
      <c r="T3532" t="s">
        <v>13338</v>
      </c>
      <c r="U3532" t="s">
        <v>13338</v>
      </c>
      <c r="V3532" t="s">
        <v>13338</v>
      </c>
      <c r="W3532" t="s">
        <v>16823</v>
      </c>
      <c r="X3532">
        <v>26</v>
      </c>
      <c r="Y3532" t="s">
        <v>23349</v>
      </c>
      <c r="Z3532" t="s">
        <v>29947</v>
      </c>
      <c r="AA3532">
        <v>0.57447849233731518</v>
      </c>
      <c r="AB3532" t="str">
        <f>HYPERLINK("Melting_Curves/meltCurve_Q15181_PPA1.pdf", "Melting_Curves/meltCurve_Q15181_PPA1.pdf")</f>
        <v>Melting_Curves/meltCurve_Q15181_PPA1.pdf</v>
      </c>
    </row>
    <row r="3533" spans="1:28" x14ac:dyDescent="0.25">
      <c r="A3533" t="s">
        <v>3537</v>
      </c>
      <c r="B3533">
        <v>0.99193492352474899</v>
      </c>
      <c r="C3533">
        <v>0.90253744874600805</v>
      </c>
      <c r="D3533">
        <v>0.59743669978589398</v>
      </c>
      <c r="E3533">
        <v>0.28886870003904502</v>
      </c>
      <c r="F3533">
        <v>0.13901063656253401</v>
      </c>
      <c r="G3533">
        <v>9.8964747427621902E-2</v>
      </c>
      <c r="H3533">
        <v>5.82466167837562E-2</v>
      </c>
      <c r="I3533">
        <v>7.4771161420836202E-2</v>
      </c>
      <c r="J3533">
        <v>8.1696118723822805E-2</v>
      </c>
      <c r="K3533">
        <v>6.5090774499750995E-2</v>
      </c>
      <c r="L3533">
        <v>1018.69332155927</v>
      </c>
      <c r="M3533">
        <v>21.793189420051299</v>
      </c>
      <c r="N3533">
        <v>47.077466533472901</v>
      </c>
      <c r="O3533">
        <v>46.355426460544699</v>
      </c>
      <c r="P3533">
        <v>-0.109121408621756</v>
      </c>
      <c r="Q3533">
        <v>7.1590513510881595E-2</v>
      </c>
      <c r="R3533">
        <v>0.99862586022944999</v>
      </c>
      <c r="S3533" t="s">
        <v>10203</v>
      </c>
      <c r="T3533" t="s">
        <v>13338</v>
      </c>
      <c r="U3533" t="s">
        <v>13338</v>
      </c>
      <c r="V3533" t="s">
        <v>13338</v>
      </c>
      <c r="W3533" t="s">
        <v>16824</v>
      </c>
      <c r="X3533">
        <v>7</v>
      </c>
      <c r="Y3533" t="s">
        <v>23350</v>
      </c>
      <c r="Z3533" t="s">
        <v>29948</v>
      </c>
      <c r="AA3533">
        <v>0.29162581574977942</v>
      </c>
      <c r="AB3533" t="str">
        <f>HYPERLINK("Melting_Curves/meltCurve_Q15208_STK38.pdf", "Melting_Curves/meltCurve_Q15208_STK38.pdf")</f>
        <v>Melting_Curves/meltCurve_Q15208_STK38.pdf</v>
      </c>
    </row>
    <row r="3534" spans="1:28" x14ac:dyDescent="0.25">
      <c r="A3534" t="s">
        <v>3538</v>
      </c>
      <c r="B3534">
        <v>0.99193492352474899</v>
      </c>
      <c r="C3534">
        <v>1.12176916068588</v>
      </c>
      <c r="D3534">
        <v>0.89125548880085403</v>
      </c>
      <c r="E3534">
        <v>0.92341623564638897</v>
      </c>
      <c r="F3534">
        <v>0.73559970974961997</v>
      </c>
      <c r="G3534">
        <v>0.5951019544567</v>
      </c>
      <c r="H3534">
        <v>0.44179508699998599</v>
      </c>
      <c r="I3534">
        <v>0.51594475182991095</v>
      </c>
      <c r="J3534">
        <v>0.59347090895821497</v>
      </c>
      <c r="K3534">
        <v>0.57335680403328204</v>
      </c>
      <c r="L3534">
        <v>1411.1810473215701</v>
      </c>
      <c r="M3534">
        <v>26.876126669531999</v>
      </c>
      <c r="O3534">
        <v>52.218754438085803</v>
      </c>
      <c r="P3534">
        <v>-6.0363421715594501E-2</v>
      </c>
      <c r="Q3534">
        <v>0.53087426166836804</v>
      </c>
      <c r="R3534">
        <v>0.91346470807776003</v>
      </c>
      <c r="S3534" t="s">
        <v>10204</v>
      </c>
      <c r="T3534" t="s">
        <v>13338</v>
      </c>
      <c r="U3534" t="s">
        <v>13338</v>
      </c>
      <c r="V3534" t="s">
        <v>13338</v>
      </c>
      <c r="W3534" t="s">
        <v>16825</v>
      </c>
      <c r="X3534">
        <v>5</v>
      </c>
      <c r="Y3534" t="s">
        <v>23351</v>
      </c>
      <c r="Z3534" t="s">
        <v>29949</v>
      </c>
      <c r="AA3534">
        <v>0.73019545258071239</v>
      </c>
      <c r="AB3534" t="str">
        <f>HYPERLINK("Melting_Curves/meltCurve_Q15223_PVRL1.pdf", "Melting_Curves/meltCurve_Q15223_PVRL1.pdf")</f>
        <v>Melting_Curves/meltCurve_Q15223_PVRL1.pdf</v>
      </c>
    </row>
    <row r="3535" spans="1:28" x14ac:dyDescent="0.25">
      <c r="A3535" t="s">
        <v>3539</v>
      </c>
      <c r="B3535">
        <v>0.99193492352474899</v>
      </c>
      <c r="C3535">
        <v>0.29825269239180702</v>
      </c>
      <c r="D3535">
        <v>0.427258075708425</v>
      </c>
      <c r="E3535">
        <v>0.12455531698757399</v>
      </c>
      <c r="F3535">
        <v>9.5118663681743806E-2</v>
      </c>
      <c r="G3535">
        <v>5.2558593176025598E-2</v>
      </c>
      <c r="H3535">
        <v>3.7091411634869398E-2</v>
      </c>
      <c r="I3535">
        <v>5.1780888138811501E-2</v>
      </c>
      <c r="J3535">
        <v>6.2556862910254099E-2</v>
      </c>
      <c r="K3535">
        <v>7.1746269478327102E-2</v>
      </c>
      <c r="L3535">
        <v>907.14216215748399</v>
      </c>
      <c r="M3535">
        <v>21.233071509264299</v>
      </c>
      <c r="N3535">
        <v>43.035451446689301</v>
      </c>
      <c r="O3535">
        <v>42.349536698030299</v>
      </c>
      <c r="P3535">
        <v>-0.116395628585442</v>
      </c>
      <c r="Q3535">
        <v>7.1415640751872497E-2</v>
      </c>
      <c r="R3535">
        <v>0.85906121898141996</v>
      </c>
      <c r="S3535" t="s">
        <v>10205</v>
      </c>
      <c r="T3535" t="s">
        <v>13338</v>
      </c>
      <c r="U3535" t="s">
        <v>13338</v>
      </c>
      <c r="V3535" t="s">
        <v>13338</v>
      </c>
      <c r="W3535" t="s">
        <v>16826</v>
      </c>
      <c r="X3535">
        <v>37</v>
      </c>
      <c r="Y3535" t="s">
        <v>23352</v>
      </c>
      <c r="Z3535" t="s">
        <v>29950</v>
      </c>
      <c r="AA3535">
        <v>0.17622202629263889</v>
      </c>
      <c r="AB3535" t="str">
        <f>HYPERLINK("Melting_Curves/meltCurve_Q15233_NONO.pdf", "Melting_Curves/meltCurve_Q15233_NONO.pdf")</f>
        <v>Melting_Curves/meltCurve_Q15233_NONO.pdf</v>
      </c>
    </row>
    <row r="3536" spans="1:28" x14ac:dyDescent="0.25">
      <c r="A3536" t="s">
        <v>3540</v>
      </c>
      <c r="B3536">
        <v>0.99193492352474899</v>
      </c>
      <c r="C3536">
        <v>0.88818841492304801</v>
      </c>
      <c r="D3536">
        <v>1.06333794532721</v>
      </c>
      <c r="E3536">
        <v>0.84100725974731705</v>
      </c>
      <c r="F3536">
        <v>0.77001093255610498</v>
      </c>
      <c r="G3536">
        <v>0.27398282472732699</v>
      </c>
      <c r="H3536">
        <v>8.9795466199436305E-2</v>
      </c>
      <c r="I3536">
        <v>8.6237233442912106E-2</v>
      </c>
      <c r="J3536">
        <v>8.7292931705148902E-2</v>
      </c>
      <c r="K3536">
        <v>9.3471008199498301E-2</v>
      </c>
      <c r="L3536">
        <v>1731.2801248820999</v>
      </c>
      <c r="M3536">
        <v>31.661646235208998</v>
      </c>
      <c r="N3536">
        <v>54.9644167899975</v>
      </c>
      <c r="O3536">
        <v>54.463927031882797</v>
      </c>
      <c r="P3536">
        <v>-0.13437650006724899</v>
      </c>
      <c r="Q3536">
        <v>7.5394455045100506E-2</v>
      </c>
      <c r="R3536">
        <v>0.978311750280068</v>
      </c>
      <c r="S3536" t="s">
        <v>10206</v>
      </c>
      <c r="T3536" t="s">
        <v>13338</v>
      </c>
      <c r="U3536" t="s">
        <v>13338</v>
      </c>
      <c r="V3536" t="s">
        <v>13338</v>
      </c>
      <c r="W3536" t="s">
        <v>13395</v>
      </c>
      <c r="X3536">
        <v>9</v>
      </c>
      <c r="Y3536" t="s">
        <v>19997</v>
      </c>
      <c r="Z3536" t="s">
        <v>29951</v>
      </c>
      <c r="AA3536">
        <v>0.53337195567002049</v>
      </c>
      <c r="AB3536" t="str">
        <f>HYPERLINK("Melting_Curves/meltCurve_Q15257_PPP2R4.pdf", "Melting_Curves/meltCurve_Q15257_PPP2R4.pdf")</f>
        <v>Melting_Curves/meltCurve_Q15257_PPP2R4.pdf</v>
      </c>
    </row>
    <row r="3537" spans="1:28" x14ac:dyDescent="0.25">
      <c r="A3537" t="s">
        <v>3541</v>
      </c>
      <c r="B3537">
        <v>0.99193492352474899</v>
      </c>
      <c r="C3537">
        <v>0.78571320805294598</v>
      </c>
      <c r="D3537">
        <v>0.86040937132543005</v>
      </c>
      <c r="E3537">
        <v>0.42809388123418701</v>
      </c>
      <c r="F3537">
        <v>0.20503715461886701</v>
      </c>
      <c r="G3537">
        <v>0.11051692998470999</v>
      </c>
      <c r="H3537">
        <v>7.6124330205478305E-2</v>
      </c>
      <c r="I3537">
        <v>7.39538532958436E-2</v>
      </c>
      <c r="J3537">
        <v>8.7507888511431695E-2</v>
      </c>
      <c r="K3537">
        <v>0.10061145697507</v>
      </c>
      <c r="L3537">
        <v>958.40553052758901</v>
      </c>
      <c r="M3537">
        <v>19.708996406756601</v>
      </c>
      <c r="N3537">
        <v>49.011197549604901</v>
      </c>
      <c r="O3537">
        <v>48.135501302327498</v>
      </c>
      <c r="P3537">
        <v>-9.5052976617673798E-2</v>
      </c>
      <c r="Q3537">
        <v>7.1436212243694494E-2</v>
      </c>
      <c r="R3537">
        <v>0.97343932186033</v>
      </c>
      <c r="S3537" t="s">
        <v>10207</v>
      </c>
      <c r="T3537" t="s">
        <v>13338</v>
      </c>
      <c r="U3537" t="s">
        <v>13338</v>
      </c>
      <c r="V3537" t="s">
        <v>13338</v>
      </c>
      <c r="W3537" t="s">
        <v>16827</v>
      </c>
      <c r="X3537">
        <v>21</v>
      </c>
      <c r="Y3537" t="s">
        <v>23353</v>
      </c>
      <c r="Z3537" t="s">
        <v>29952</v>
      </c>
      <c r="AA3537">
        <v>0.35194685402777709</v>
      </c>
      <c r="AB3537" t="str">
        <f>HYPERLINK("Melting_Curves/meltCurve_Q15269_PWP2.pdf", "Melting_Curves/meltCurve_Q15269_PWP2.pdf")</f>
        <v>Melting_Curves/meltCurve_Q15269_PWP2.pdf</v>
      </c>
    </row>
    <row r="3538" spans="1:28" x14ac:dyDescent="0.25">
      <c r="A3538" t="s">
        <v>3542</v>
      </c>
      <c r="B3538">
        <v>0.99193492352474899</v>
      </c>
      <c r="C3538">
        <v>0.67951703789009399</v>
      </c>
      <c r="D3538">
        <v>0.80632772248414697</v>
      </c>
      <c r="E3538">
        <v>0.53288111676407002</v>
      </c>
      <c r="F3538">
        <v>0.62325947263550396</v>
      </c>
      <c r="G3538">
        <v>0.44876813082888201</v>
      </c>
      <c r="H3538">
        <v>0.37000511714303902</v>
      </c>
      <c r="I3538">
        <v>0.384896311315921</v>
      </c>
      <c r="J3538">
        <v>0.56892395701502996</v>
      </c>
      <c r="K3538">
        <v>0.66103778457903595</v>
      </c>
      <c r="L3538">
        <v>643.93342619715395</v>
      </c>
      <c r="M3538">
        <v>14.459503196113801</v>
      </c>
      <c r="N3538">
        <v>63.04501700494</v>
      </c>
      <c r="O3538">
        <v>43.7077859188567</v>
      </c>
      <c r="P3538">
        <v>-4.1950106000913499E-2</v>
      </c>
      <c r="Q3538">
        <v>0.49283670967205201</v>
      </c>
      <c r="R3538">
        <v>0.65361904155216699</v>
      </c>
      <c r="S3538" t="s">
        <v>10208</v>
      </c>
      <c r="T3538" t="s">
        <v>13338</v>
      </c>
      <c r="U3538" t="s">
        <v>13338</v>
      </c>
      <c r="V3538" t="s">
        <v>13338</v>
      </c>
      <c r="W3538" t="s">
        <v>16828</v>
      </c>
      <c r="X3538">
        <v>3</v>
      </c>
      <c r="Y3538" t="s">
        <v>23354</v>
      </c>
      <c r="Z3538" t="s">
        <v>29953</v>
      </c>
      <c r="AA3538">
        <v>0.58800975516112952</v>
      </c>
      <c r="AB3538" t="str">
        <f>HYPERLINK("Melting_Curves/meltCurve_Q15274_QPRT.pdf", "Melting_Curves/meltCurve_Q15274_QPRT.pdf")</f>
        <v>Melting_Curves/meltCurve_Q15274_QPRT.pdf</v>
      </c>
    </row>
    <row r="3539" spans="1:28" x14ac:dyDescent="0.25">
      <c r="A3539" t="s">
        <v>3543</v>
      </c>
      <c r="B3539">
        <v>0.99193492352474899</v>
      </c>
      <c r="C3539">
        <v>0.95081676314840302</v>
      </c>
      <c r="D3539">
        <v>0.81966062261871298</v>
      </c>
      <c r="E3539">
        <v>0.47323491930106398</v>
      </c>
      <c r="F3539">
        <v>0.19240726367729299</v>
      </c>
      <c r="G3539">
        <v>0.15398966243371401</v>
      </c>
      <c r="H3539">
        <v>9.2181810923226401E-2</v>
      </c>
      <c r="I3539">
        <v>0.12586358715267601</v>
      </c>
      <c r="J3539">
        <v>0.121128509768807</v>
      </c>
      <c r="K3539">
        <v>0.122411874693689</v>
      </c>
      <c r="L3539">
        <v>1163.30138224198</v>
      </c>
      <c r="M3539">
        <v>23.896590757987699</v>
      </c>
      <c r="N3539">
        <v>49.204517055018897</v>
      </c>
      <c r="O3539">
        <v>48.343557754481097</v>
      </c>
      <c r="P3539">
        <v>-0.109698660403991</v>
      </c>
      <c r="Q3539">
        <v>0.112318487926951</v>
      </c>
      <c r="R3539">
        <v>0.998279521705836</v>
      </c>
      <c r="S3539" t="s">
        <v>10209</v>
      </c>
      <c r="T3539" t="s">
        <v>13338</v>
      </c>
      <c r="U3539" t="s">
        <v>13338</v>
      </c>
      <c r="V3539" t="s">
        <v>13338</v>
      </c>
      <c r="W3539" t="s">
        <v>16829</v>
      </c>
      <c r="X3539">
        <v>31</v>
      </c>
      <c r="Y3539" t="s">
        <v>23355</v>
      </c>
      <c r="Z3539" t="s">
        <v>29954</v>
      </c>
      <c r="AA3539">
        <v>0.37779881541228078</v>
      </c>
      <c r="AB3539" t="str">
        <f>HYPERLINK("Melting_Curves/meltCurve_Q15276_RABEP1.pdf", "Melting_Curves/meltCurve_Q15276_RABEP1.pdf")</f>
        <v>Melting_Curves/meltCurve_Q15276_RABEP1.pdf</v>
      </c>
    </row>
    <row r="3540" spans="1:28" x14ac:dyDescent="0.25">
      <c r="A3540" t="s">
        <v>3544</v>
      </c>
      <c r="B3540">
        <v>0.99193492352474899</v>
      </c>
      <c r="C3540">
        <v>0.79152940398471205</v>
      </c>
      <c r="D3540">
        <v>0.72481551672076705</v>
      </c>
      <c r="E3540">
        <v>0.352906497303214</v>
      </c>
      <c r="F3540">
        <v>0.244622199828715</v>
      </c>
      <c r="G3540">
        <v>0.15456800161793599</v>
      </c>
      <c r="H3540">
        <v>0.11800591602530799</v>
      </c>
      <c r="I3540">
        <v>9.4702786972269998E-2</v>
      </c>
      <c r="J3540">
        <v>0.13062259834392601</v>
      </c>
      <c r="K3540">
        <v>0.12160503500677899</v>
      </c>
      <c r="L3540">
        <v>786.69029846281501</v>
      </c>
      <c r="M3540">
        <v>16.610046130668799</v>
      </c>
      <c r="N3540">
        <v>48.041757252107999</v>
      </c>
      <c r="O3540">
        <v>46.691767431623298</v>
      </c>
      <c r="P3540">
        <v>-7.9630320570126298E-2</v>
      </c>
      <c r="Q3540">
        <v>0.104679112248069</v>
      </c>
      <c r="R3540">
        <v>0.98669753561047102</v>
      </c>
      <c r="S3540" t="s">
        <v>10210</v>
      </c>
      <c r="T3540" t="s">
        <v>13338</v>
      </c>
      <c r="U3540" t="s">
        <v>13338</v>
      </c>
      <c r="V3540" t="s">
        <v>13338</v>
      </c>
      <c r="W3540" t="s">
        <v>16830</v>
      </c>
      <c r="X3540">
        <v>7</v>
      </c>
      <c r="Y3540" t="s">
        <v>23356</v>
      </c>
      <c r="Z3540" t="s">
        <v>29955</v>
      </c>
      <c r="AA3540">
        <v>0.34367877295805022</v>
      </c>
      <c r="AB3540" t="str">
        <f>HYPERLINK("Melting_Curves/meltCurve_Q15283_2_RASA2.pdf", "Melting_Curves/meltCurve_Q15283_2_RASA2.pdf")</f>
        <v>Melting_Curves/meltCurve_Q15283_2_RASA2.pdf</v>
      </c>
    </row>
    <row r="3541" spans="1:28" x14ac:dyDescent="0.25">
      <c r="A3541" t="s">
        <v>3545</v>
      </c>
      <c r="B3541">
        <v>0.99193492352474899</v>
      </c>
      <c r="C3541">
        <v>0.872894923708183</v>
      </c>
      <c r="D3541">
        <v>0.96485243808662502</v>
      </c>
      <c r="E3541">
        <v>0.82700054586267902</v>
      </c>
      <c r="F3541">
        <v>0.77351356008028604</v>
      </c>
      <c r="G3541">
        <v>0.45042091539972401</v>
      </c>
      <c r="H3541">
        <v>0.31226631498825103</v>
      </c>
      <c r="I3541">
        <v>0.11075038888988099</v>
      </c>
      <c r="J3541">
        <v>8.9555833403365301E-2</v>
      </c>
      <c r="K3541">
        <v>7.2668076816305702E-2</v>
      </c>
      <c r="L3541">
        <v>795.85379361391404</v>
      </c>
      <c r="M3541">
        <v>14.0787015328065</v>
      </c>
      <c r="N3541">
        <v>56.528912427124901</v>
      </c>
      <c r="O3541">
        <v>55.425096097542998</v>
      </c>
      <c r="P3541">
        <v>-6.3511527932999995E-2</v>
      </c>
      <c r="Q3541">
        <v>0</v>
      </c>
      <c r="R3541">
        <v>0.97998378085317195</v>
      </c>
      <c r="S3541" t="s">
        <v>10211</v>
      </c>
      <c r="T3541" t="s">
        <v>13338</v>
      </c>
      <c r="U3541" t="s">
        <v>13338</v>
      </c>
      <c r="V3541" t="s">
        <v>13338</v>
      </c>
      <c r="W3541" t="s">
        <v>16831</v>
      </c>
      <c r="X3541">
        <v>14</v>
      </c>
      <c r="Y3541" t="s">
        <v>23357</v>
      </c>
      <c r="Z3541" t="s">
        <v>29956</v>
      </c>
      <c r="AA3541">
        <v>0.56843793092326556</v>
      </c>
      <c r="AB3541" t="str">
        <f>HYPERLINK("Melting_Curves/meltCurve_Q15286_RAB35.pdf", "Melting_Curves/meltCurve_Q15286_RAB35.pdf")</f>
        <v>Melting_Curves/meltCurve_Q15286_RAB35.pdf</v>
      </c>
    </row>
    <row r="3542" spans="1:28" x14ac:dyDescent="0.25">
      <c r="A3542" t="s">
        <v>3546</v>
      </c>
      <c r="B3542">
        <v>0.99193492352474899</v>
      </c>
      <c r="C3542">
        <v>0.82237826788166701</v>
      </c>
      <c r="D3542">
        <v>0.93683489644190099</v>
      </c>
      <c r="E3542">
        <v>0.73506085505271401</v>
      </c>
      <c r="F3542">
        <v>0.76156091821401894</v>
      </c>
      <c r="G3542">
        <v>0.66935199165830706</v>
      </c>
      <c r="H3542">
        <v>0.48774570292855002</v>
      </c>
      <c r="I3542">
        <v>0.40690687373687801</v>
      </c>
      <c r="J3542">
        <v>0.28207077647141499</v>
      </c>
      <c r="K3542">
        <v>0.16558765172034601</v>
      </c>
      <c r="L3542">
        <v>455.59046631613597</v>
      </c>
      <c r="M3542">
        <v>7.61682498608572</v>
      </c>
      <c r="N3542">
        <v>59.813697588407997</v>
      </c>
      <c r="O3542">
        <v>56.108650389287497</v>
      </c>
      <c r="P3542">
        <v>-3.3983915380451202E-2</v>
      </c>
      <c r="Q3542">
        <v>0</v>
      </c>
      <c r="R3542">
        <v>0.94041232789422702</v>
      </c>
      <c r="S3542" t="s">
        <v>10212</v>
      </c>
      <c r="T3542" t="s">
        <v>13338</v>
      </c>
      <c r="U3542" t="s">
        <v>13338</v>
      </c>
      <c r="V3542" t="s">
        <v>13338</v>
      </c>
      <c r="W3542" t="s">
        <v>16832</v>
      </c>
      <c r="X3542">
        <v>23</v>
      </c>
      <c r="Y3542" t="s">
        <v>23358</v>
      </c>
      <c r="Z3542" t="s">
        <v>29957</v>
      </c>
      <c r="AA3542">
        <v>0.6443991904321581</v>
      </c>
      <c r="AB3542" t="str">
        <f>HYPERLINK("Melting_Curves/meltCurve_Q15291_RBBP5.pdf", "Melting_Curves/meltCurve_Q15291_RBBP5.pdf")</f>
        <v>Melting_Curves/meltCurve_Q15291_RBBP5.pdf</v>
      </c>
    </row>
    <row r="3543" spans="1:28" x14ac:dyDescent="0.25">
      <c r="A3543" t="s">
        <v>3547</v>
      </c>
      <c r="B3543">
        <v>0.99193492352474899</v>
      </c>
      <c r="C3543">
        <v>0.82263474402894998</v>
      </c>
      <c r="D3543">
        <v>0.86817444916332898</v>
      </c>
      <c r="E3543">
        <v>0.61110949730682596</v>
      </c>
      <c r="F3543">
        <v>0.50230006020735496</v>
      </c>
      <c r="G3543">
        <v>0.24755215121669399</v>
      </c>
      <c r="H3543">
        <v>0.17450353516146</v>
      </c>
      <c r="I3543">
        <v>0.28472650042700598</v>
      </c>
      <c r="J3543">
        <v>0.31088689443988698</v>
      </c>
      <c r="K3543">
        <v>0.57317827603803595</v>
      </c>
      <c r="L3543">
        <v>911.90591060908503</v>
      </c>
      <c r="M3543">
        <v>18.720636498613398</v>
      </c>
      <c r="N3543">
        <v>51.487703357450997</v>
      </c>
      <c r="O3543">
        <v>48.165646531638899</v>
      </c>
      <c r="P3543">
        <v>-6.6290906737743502E-2</v>
      </c>
      <c r="Q3543">
        <v>0.31779890901987601</v>
      </c>
      <c r="R3543">
        <v>0.82783124310315503</v>
      </c>
      <c r="S3543" t="s">
        <v>10213</v>
      </c>
      <c r="T3543" t="s">
        <v>13338</v>
      </c>
      <c r="U3543" t="s">
        <v>13338</v>
      </c>
      <c r="V3543" t="s">
        <v>13338</v>
      </c>
      <c r="W3543" t="s">
        <v>16833</v>
      </c>
      <c r="X3543">
        <v>7</v>
      </c>
      <c r="Y3543" t="s">
        <v>23359</v>
      </c>
      <c r="Z3543" t="s">
        <v>29958</v>
      </c>
      <c r="AA3543">
        <v>0.52686846537457488</v>
      </c>
      <c r="AB3543" t="str">
        <f>HYPERLINK("Melting_Curves/meltCurve_Q15293_RCN1.pdf", "Melting_Curves/meltCurve_Q15293_RCN1.pdf")</f>
        <v>Melting_Curves/meltCurve_Q15293_RCN1.pdf</v>
      </c>
    </row>
    <row r="3544" spans="1:28" x14ac:dyDescent="0.25">
      <c r="A3544" t="s">
        <v>3548</v>
      </c>
      <c r="B3544">
        <v>0.99193492352474899</v>
      </c>
      <c r="C3544">
        <v>0.58144592687814101</v>
      </c>
      <c r="D3544">
        <v>0.34360585115759801</v>
      </c>
      <c r="E3544">
        <v>0.17614490860278201</v>
      </c>
      <c r="F3544">
        <v>0.15650250485210301</v>
      </c>
      <c r="G3544">
        <v>8.9327208303917702E-2</v>
      </c>
      <c r="H3544">
        <v>7.6860883429702404E-2</v>
      </c>
      <c r="I3544">
        <v>8.2004793235628204E-2</v>
      </c>
      <c r="J3544">
        <v>0.105618814242763</v>
      </c>
      <c r="K3544">
        <v>0.12597947541749299</v>
      </c>
      <c r="L3544">
        <v>1031.92894627962</v>
      </c>
      <c r="M3544">
        <v>23.6462691619036</v>
      </c>
      <c r="N3544">
        <v>44.091260424270601</v>
      </c>
      <c r="O3544">
        <v>43.331725453945303</v>
      </c>
      <c r="P3544">
        <v>-0.121772249325704</v>
      </c>
      <c r="Q3544">
        <v>0.107425717840177</v>
      </c>
      <c r="R3544">
        <v>0.97961901994727596</v>
      </c>
      <c r="S3544" t="s">
        <v>10214</v>
      </c>
      <c r="T3544" t="s">
        <v>13338</v>
      </c>
      <c r="U3544" t="s">
        <v>13338</v>
      </c>
      <c r="V3544" t="s">
        <v>13338</v>
      </c>
      <c r="W3544" t="s">
        <v>16834</v>
      </c>
      <c r="X3544">
        <v>8</v>
      </c>
      <c r="Y3544" t="s">
        <v>23360</v>
      </c>
      <c r="Z3544" t="s">
        <v>29959</v>
      </c>
      <c r="AA3544">
        <v>0.22826020174805861</v>
      </c>
      <c r="AB3544" t="str">
        <f>HYPERLINK("Melting_Curves/meltCurve_Q15311_RALBP1.pdf", "Melting_Curves/meltCurve_Q15311_RALBP1.pdf")</f>
        <v>Melting_Curves/meltCurve_Q15311_RALBP1.pdf</v>
      </c>
    </row>
    <row r="3545" spans="1:28" x14ac:dyDescent="0.25">
      <c r="A3545" t="s">
        <v>3549</v>
      </c>
      <c r="B3545">
        <v>0.99193492352474899</v>
      </c>
      <c r="C3545">
        <v>1.1079757839172799</v>
      </c>
      <c r="D3545">
        <v>0.899771822931276</v>
      </c>
      <c r="E3545">
        <v>0.55364036184851095</v>
      </c>
      <c r="F3545">
        <v>0.359831241840949</v>
      </c>
      <c r="G3545">
        <v>0.18380707639517499</v>
      </c>
      <c r="H3545">
        <v>0.113138825279416</v>
      </c>
      <c r="I3545">
        <v>0.144576546868983</v>
      </c>
      <c r="J3545">
        <v>0.17141750246902199</v>
      </c>
      <c r="K3545">
        <v>0.18131903851661299</v>
      </c>
      <c r="L3545">
        <v>1206.15562595907</v>
      </c>
      <c r="M3545">
        <v>24.237663452814999</v>
      </c>
      <c r="N3545">
        <v>50.532964474973703</v>
      </c>
      <c r="O3545">
        <v>49.428651678041803</v>
      </c>
      <c r="P3545">
        <v>-0.103677864862681</v>
      </c>
      <c r="Q3545">
        <v>0.15427837194802699</v>
      </c>
      <c r="R3545">
        <v>0.98196977733518398</v>
      </c>
      <c r="S3545" t="s">
        <v>10215</v>
      </c>
      <c r="T3545" t="s">
        <v>13338</v>
      </c>
      <c r="U3545" t="s">
        <v>13338</v>
      </c>
      <c r="V3545" t="s">
        <v>13338</v>
      </c>
      <c r="W3545" t="s">
        <v>16835</v>
      </c>
      <c r="X3545">
        <v>9</v>
      </c>
      <c r="Y3545" t="s">
        <v>23361</v>
      </c>
      <c r="Z3545" t="s">
        <v>29960</v>
      </c>
      <c r="AA3545">
        <v>0.43755194634357442</v>
      </c>
      <c r="AB3545" t="str">
        <f>HYPERLINK("Melting_Curves/meltCurve_Q15334_LLGL1.pdf", "Melting_Curves/meltCurve_Q15334_LLGL1.pdf")</f>
        <v>Melting_Curves/meltCurve_Q15334_LLGL1.pdf</v>
      </c>
    </row>
    <row r="3546" spans="1:28" x14ac:dyDescent="0.25">
      <c r="A3546" t="s">
        <v>3550</v>
      </c>
      <c r="B3546">
        <v>0.99193492352474899</v>
      </c>
      <c r="C3546">
        <v>0.764038384873865</v>
      </c>
      <c r="D3546">
        <v>0.58417126506641204</v>
      </c>
      <c r="E3546">
        <v>0.174649913864104</v>
      </c>
      <c r="F3546">
        <v>0</v>
      </c>
      <c r="G3546">
        <v>7.0960706956985906E-2</v>
      </c>
      <c r="H3546">
        <v>0.110570815430982</v>
      </c>
      <c r="I3546">
        <v>5.4269576229045997E-2</v>
      </c>
      <c r="J3546">
        <v>0.12545051956262299</v>
      </c>
      <c r="K3546">
        <v>0.20943591012769899</v>
      </c>
      <c r="L3546">
        <v>1117.50591673904</v>
      </c>
      <c r="M3546">
        <v>24.443484732149599</v>
      </c>
      <c r="N3546">
        <v>46.087308038617103</v>
      </c>
      <c r="O3546">
        <v>45.415231733805598</v>
      </c>
      <c r="P3546">
        <v>-0.122588226660718</v>
      </c>
      <c r="Q3546">
        <v>8.8952671347476503E-2</v>
      </c>
      <c r="R3546">
        <v>0.95725261740184298</v>
      </c>
      <c r="S3546" t="s">
        <v>10216</v>
      </c>
      <c r="T3546" t="s">
        <v>13338</v>
      </c>
      <c r="U3546" t="s">
        <v>13338</v>
      </c>
      <c r="V3546" t="s">
        <v>13338</v>
      </c>
      <c r="W3546" t="s">
        <v>16836</v>
      </c>
      <c r="X3546">
        <v>1</v>
      </c>
      <c r="Y3546" t="s">
        <v>23362</v>
      </c>
      <c r="Z3546" t="s">
        <v>29961</v>
      </c>
      <c r="AA3546">
        <v>0.27161242406602032</v>
      </c>
      <c r="AB3546" t="str">
        <f>HYPERLINK("Melting_Curves/meltCurve_Q15345_LRRC41.pdf", "Melting_Curves/meltCurve_Q15345_LRRC41.pdf")</f>
        <v>Melting_Curves/meltCurve_Q15345_LRRC41.pdf</v>
      </c>
    </row>
    <row r="3547" spans="1:28" x14ac:dyDescent="0.25">
      <c r="A3547" t="s">
        <v>3551</v>
      </c>
      <c r="B3547">
        <v>0.99193492352474899</v>
      </c>
      <c r="C3547">
        <v>0.918932072101728</v>
      </c>
      <c r="D3547">
        <v>0.98383881963109399</v>
      </c>
      <c r="E3547">
        <v>0.77700201648196099</v>
      </c>
      <c r="F3547">
        <v>0.52460378826870702</v>
      </c>
      <c r="G3547">
        <v>0.24011759057291099</v>
      </c>
      <c r="H3547">
        <v>0.13079693346430299</v>
      </c>
      <c r="I3547">
        <v>0.14114999321484301</v>
      </c>
      <c r="J3547">
        <v>0.19624836052592401</v>
      </c>
      <c r="K3547">
        <v>0.15744891241530701</v>
      </c>
      <c r="L3547">
        <v>1187.47230641888</v>
      </c>
      <c r="M3547">
        <v>22.715910163998601</v>
      </c>
      <c r="N3547">
        <v>53.055862911760101</v>
      </c>
      <c r="O3547">
        <v>51.874871560313103</v>
      </c>
      <c r="P3547">
        <v>-9.3919757728313E-2</v>
      </c>
      <c r="Q3547">
        <v>0.142102994168018</v>
      </c>
      <c r="R3547">
        <v>0.98930127045419602</v>
      </c>
      <c r="S3547" t="s">
        <v>10217</v>
      </c>
      <c r="T3547" t="s">
        <v>13338</v>
      </c>
      <c r="U3547" t="s">
        <v>13338</v>
      </c>
      <c r="V3547" t="s">
        <v>13338</v>
      </c>
      <c r="W3547" t="s">
        <v>16837</v>
      </c>
      <c r="X3547">
        <v>5</v>
      </c>
      <c r="Y3547" t="s">
        <v>23363</v>
      </c>
      <c r="Z3547" t="s">
        <v>29962</v>
      </c>
      <c r="AA3547">
        <v>0.50253194657856726</v>
      </c>
      <c r="AB3547" t="str">
        <f>HYPERLINK("Melting_Curves/meltCurve_Q15363_TMED2.pdf", "Melting_Curves/meltCurve_Q15363_TMED2.pdf")</f>
        <v>Melting_Curves/meltCurve_Q15363_TMED2.pdf</v>
      </c>
    </row>
    <row r="3548" spans="1:28" x14ac:dyDescent="0.25">
      <c r="A3548" t="s">
        <v>3552</v>
      </c>
      <c r="B3548">
        <v>0.99193492352474899</v>
      </c>
      <c r="C3548">
        <v>0.92706181820721401</v>
      </c>
      <c r="D3548">
        <v>0.65417917070083798</v>
      </c>
      <c r="E3548">
        <v>0.34197630299111698</v>
      </c>
      <c r="F3548">
        <v>0.131728615132572</v>
      </c>
      <c r="G3548">
        <v>6.9765593377487597E-2</v>
      </c>
      <c r="H3548">
        <v>4.4626677397771999E-2</v>
      </c>
      <c r="I3548">
        <v>4.6819892165332201E-2</v>
      </c>
      <c r="J3548">
        <v>5.1041080409901303E-2</v>
      </c>
      <c r="K3548">
        <v>4.9470935456147898E-2</v>
      </c>
      <c r="L3548">
        <v>983.83864813787397</v>
      </c>
      <c r="M3548">
        <v>20.713162608691899</v>
      </c>
      <c r="N3548">
        <v>47.705545830378597</v>
      </c>
      <c r="O3548">
        <v>47.062135034684701</v>
      </c>
      <c r="P3548">
        <v>-0.10529816083449201</v>
      </c>
      <c r="Q3548">
        <v>4.3039789319974202E-2</v>
      </c>
      <c r="R3548">
        <v>0.99880449993099696</v>
      </c>
      <c r="S3548" t="s">
        <v>10218</v>
      </c>
      <c r="T3548" t="s">
        <v>13338</v>
      </c>
      <c r="U3548" t="s">
        <v>13338</v>
      </c>
      <c r="V3548" t="s">
        <v>13338</v>
      </c>
      <c r="W3548" t="s">
        <v>16838</v>
      </c>
      <c r="X3548">
        <v>19</v>
      </c>
      <c r="Y3548" t="s">
        <v>23364</v>
      </c>
      <c r="Z3548" t="s">
        <v>29963</v>
      </c>
      <c r="AA3548">
        <v>0.29498600827050547</v>
      </c>
      <c r="AB3548" t="str">
        <f>HYPERLINK("Melting_Curves/meltCurve_Q15365_PCBP1.pdf", "Melting_Curves/meltCurve_Q15365_PCBP1.pdf")</f>
        <v>Melting_Curves/meltCurve_Q15365_PCBP1.pdf</v>
      </c>
    </row>
    <row r="3549" spans="1:28" x14ac:dyDescent="0.25">
      <c r="A3549" t="s">
        <v>3553</v>
      </c>
      <c r="B3549">
        <v>0.99193492352474899</v>
      </c>
      <c r="C3549">
        <v>0.72353823735500999</v>
      </c>
      <c r="D3549">
        <v>0.58101898702692401</v>
      </c>
      <c r="E3549">
        <v>0.22494674038382301</v>
      </c>
      <c r="F3549">
        <v>0.12117628487962499</v>
      </c>
      <c r="G3549">
        <v>6.8739229449541001E-2</v>
      </c>
      <c r="H3549">
        <v>4.5237851909431602E-2</v>
      </c>
      <c r="I3549">
        <v>5.3700800954184398E-2</v>
      </c>
      <c r="J3549">
        <v>7.5209676498549399E-2</v>
      </c>
      <c r="K3549">
        <v>4.7497743881206901E-2</v>
      </c>
      <c r="L3549">
        <v>822.89801760666398</v>
      </c>
      <c r="M3549">
        <v>17.8807527431727</v>
      </c>
      <c r="N3549">
        <v>46.268903577767702</v>
      </c>
      <c r="O3549">
        <v>45.457397210964501</v>
      </c>
      <c r="P3549">
        <v>-9.3858405670839196E-2</v>
      </c>
      <c r="Q3549">
        <v>4.56011020882034E-2</v>
      </c>
      <c r="R3549">
        <v>0.98804671258070198</v>
      </c>
      <c r="S3549" t="s">
        <v>10219</v>
      </c>
      <c r="T3549" t="s">
        <v>13338</v>
      </c>
      <c r="U3549" t="s">
        <v>13338</v>
      </c>
      <c r="V3549" t="s">
        <v>13338</v>
      </c>
      <c r="W3549" t="s">
        <v>16839</v>
      </c>
      <c r="X3549">
        <v>13</v>
      </c>
      <c r="Y3549" t="s">
        <v>23365</v>
      </c>
      <c r="Z3549" t="s">
        <v>29964</v>
      </c>
      <c r="AA3549">
        <v>0.25614994236843341</v>
      </c>
      <c r="AB3549" t="str">
        <f>HYPERLINK("Melting_Curves/meltCurve_Q15366_2_PCBP2.pdf", "Melting_Curves/meltCurve_Q15366_2_PCBP2.pdf")</f>
        <v>Melting_Curves/meltCurve_Q15366_2_PCBP2.pdf</v>
      </c>
    </row>
    <row r="3550" spans="1:28" x14ac:dyDescent="0.25">
      <c r="A3550" t="s">
        <v>3554</v>
      </c>
      <c r="B3550">
        <v>0.99193492352474899</v>
      </c>
      <c r="C3550">
        <v>0.56437050430388502</v>
      </c>
      <c r="D3550">
        <v>0.75524220390948604</v>
      </c>
      <c r="E3550">
        <v>0.19087566639624601</v>
      </c>
      <c r="F3550">
        <v>9.4756194700151994E-2</v>
      </c>
      <c r="G3550">
        <v>5.83973475067937E-2</v>
      </c>
      <c r="H3550">
        <v>3.4739108889746899E-2</v>
      </c>
      <c r="I3550">
        <v>3.3765362070978397E-2</v>
      </c>
      <c r="J3550">
        <v>4.6804962138189202E-2</v>
      </c>
      <c r="K3550">
        <v>4.1490101808350298E-2</v>
      </c>
      <c r="L3550">
        <v>705.39495019950698</v>
      </c>
      <c r="M3550">
        <v>15.208021275046899</v>
      </c>
      <c r="N3550">
        <v>46.4591935558201</v>
      </c>
      <c r="O3550">
        <v>45.603282264576102</v>
      </c>
      <c r="P3550">
        <v>-8.2353491723474906E-2</v>
      </c>
      <c r="Q3550">
        <v>1.23027836560347E-2</v>
      </c>
      <c r="R3550">
        <v>0.90401063958735295</v>
      </c>
      <c r="S3550" t="s">
        <v>10220</v>
      </c>
      <c r="T3550" t="s">
        <v>13338</v>
      </c>
      <c r="U3550" t="s">
        <v>13338</v>
      </c>
      <c r="V3550" t="s">
        <v>13338</v>
      </c>
      <c r="W3550" t="s">
        <v>16840</v>
      </c>
      <c r="X3550">
        <v>13</v>
      </c>
      <c r="Y3550" t="s">
        <v>23365</v>
      </c>
      <c r="Z3550" t="s">
        <v>29965</v>
      </c>
      <c r="AA3550">
        <v>0.24964741685839059</v>
      </c>
      <c r="AB3550" t="str">
        <f>HYPERLINK("Melting_Curves/meltCurve_Q15366_3_PCBP2.pdf", "Melting_Curves/meltCurve_Q15366_3_PCBP2.pdf")</f>
        <v>Melting_Curves/meltCurve_Q15366_3_PCBP2.pdf</v>
      </c>
    </row>
    <row r="3551" spans="1:28" x14ac:dyDescent="0.25">
      <c r="A3551" t="s">
        <v>3555</v>
      </c>
      <c r="B3551">
        <v>0.99193492352474899</v>
      </c>
      <c r="C3551">
        <v>0.86343341737768797</v>
      </c>
      <c r="D3551">
        <v>0.94278870336322196</v>
      </c>
      <c r="E3551">
        <v>0.72714332005535298</v>
      </c>
      <c r="F3551">
        <v>0.38536807813053098</v>
      </c>
      <c r="G3551">
        <v>0.16526450066453799</v>
      </c>
      <c r="H3551">
        <v>9.1369502644784606E-2</v>
      </c>
      <c r="I3551">
        <v>0.101498936048964</v>
      </c>
      <c r="J3551">
        <v>0.10585291763692201</v>
      </c>
      <c r="K3551">
        <v>0.120035485697761</v>
      </c>
      <c r="L3551">
        <v>1161.8180238160301</v>
      </c>
      <c r="M3551">
        <v>22.6209738762903</v>
      </c>
      <c r="N3551">
        <v>51.823080766132598</v>
      </c>
      <c r="O3551">
        <v>50.963905389973803</v>
      </c>
      <c r="P3551">
        <v>-0.100817639360093</v>
      </c>
      <c r="Q3551">
        <v>9.1470432005286803E-2</v>
      </c>
      <c r="R3551">
        <v>0.986634551481124</v>
      </c>
      <c r="S3551" t="s">
        <v>10221</v>
      </c>
      <c r="T3551" t="s">
        <v>13338</v>
      </c>
      <c r="U3551" t="s">
        <v>13338</v>
      </c>
      <c r="V3551" t="s">
        <v>13338</v>
      </c>
      <c r="W3551" t="s">
        <v>16841</v>
      </c>
      <c r="X3551">
        <v>11</v>
      </c>
      <c r="Y3551" t="s">
        <v>23366</v>
      </c>
      <c r="Z3551" t="s">
        <v>29966</v>
      </c>
      <c r="AA3551">
        <v>0.44550358780200522</v>
      </c>
      <c r="AB3551" t="str">
        <f>HYPERLINK("Melting_Curves/meltCurve_Q15370_TCEB2.pdf", "Melting_Curves/meltCurve_Q15370_TCEB2.pdf")</f>
        <v>Melting_Curves/meltCurve_Q15370_TCEB2.pdf</v>
      </c>
    </row>
    <row r="3552" spans="1:28" x14ac:dyDescent="0.25">
      <c r="A3552" t="s">
        <v>3556</v>
      </c>
      <c r="B3552">
        <v>0.99193492352474899</v>
      </c>
      <c r="C3552">
        <v>0.93385430388843105</v>
      </c>
      <c r="D3552">
        <v>0.90729784596003504</v>
      </c>
      <c r="E3552">
        <v>0.89851470493210095</v>
      </c>
      <c r="F3552">
        <v>0.62627744149157805</v>
      </c>
      <c r="G3552">
        <v>0.37081330080859898</v>
      </c>
      <c r="H3552">
        <v>0.100865943863823</v>
      </c>
      <c r="I3552">
        <v>7.1195004668915304E-2</v>
      </c>
      <c r="J3552">
        <v>7.6785963986850905E-2</v>
      </c>
      <c r="K3552">
        <v>8.0704025228510404E-2</v>
      </c>
      <c r="L3552">
        <v>1072.3685802852001</v>
      </c>
      <c r="M3552">
        <v>19.6756800125581</v>
      </c>
      <c r="N3552">
        <v>54.734381506326997</v>
      </c>
      <c r="O3552">
        <v>53.948608503090099</v>
      </c>
      <c r="P3552">
        <v>-8.7530941019797706E-2</v>
      </c>
      <c r="Q3552">
        <v>4.0031450313395202E-2</v>
      </c>
      <c r="R3552">
        <v>0.99077070518656496</v>
      </c>
      <c r="S3552" t="s">
        <v>10222</v>
      </c>
      <c r="T3552" t="s">
        <v>13338</v>
      </c>
      <c r="U3552" t="s">
        <v>13338</v>
      </c>
      <c r="V3552" t="s">
        <v>13338</v>
      </c>
      <c r="W3552" t="s">
        <v>16842</v>
      </c>
      <c r="X3552">
        <v>10</v>
      </c>
      <c r="Y3552" t="s">
        <v>23367</v>
      </c>
      <c r="Z3552" t="s">
        <v>29967</v>
      </c>
      <c r="AA3552">
        <v>0.51734872262247678</v>
      </c>
      <c r="AB3552" t="str">
        <f>HYPERLINK("Melting_Curves/meltCurve_Q15382_RHEB.pdf", "Melting_Curves/meltCurve_Q15382_RHEB.pdf")</f>
        <v>Melting_Curves/meltCurve_Q15382_RHEB.pdf</v>
      </c>
    </row>
    <row r="3553" spans="1:28" x14ac:dyDescent="0.25">
      <c r="A3553" t="s">
        <v>3557</v>
      </c>
      <c r="B3553">
        <v>0.99193492352474899</v>
      </c>
      <c r="C3553">
        <v>1.13438027488336</v>
      </c>
      <c r="D3553">
        <v>1.0816029374215701</v>
      </c>
      <c r="E3553">
        <v>0.48219392943505601</v>
      </c>
      <c r="F3553">
        <v>0.11598235215451801</v>
      </c>
      <c r="G3553">
        <v>7.1789231842522602E-2</v>
      </c>
      <c r="H3553">
        <v>3.2642251180649201E-2</v>
      </c>
      <c r="I3553">
        <v>5.2343585611517002E-2</v>
      </c>
      <c r="J3553">
        <v>5.2615772822271603E-2</v>
      </c>
      <c r="K3553">
        <v>5.7038824189021002E-2</v>
      </c>
      <c r="L3553">
        <v>4854.0352082295203</v>
      </c>
      <c r="M3553">
        <v>98.074335543033399</v>
      </c>
      <c r="N3553">
        <v>49.562100261843199</v>
      </c>
      <c r="O3553">
        <v>49.4728670351302</v>
      </c>
      <c r="P3553">
        <v>-0.46411283826868699</v>
      </c>
      <c r="Q3553">
        <v>6.3527124928794407E-2</v>
      </c>
      <c r="R3553">
        <v>0.98589008555052204</v>
      </c>
      <c r="S3553" t="s">
        <v>10223</v>
      </c>
      <c r="T3553" t="s">
        <v>13338</v>
      </c>
      <c r="U3553" t="s">
        <v>13338</v>
      </c>
      <c r="V3553" t="s">
        <v>13338</v>
      </c>
      <c r="W3553" t="s">
        <v>16843</v>
      </c>
      <c r="X3553">
        <v>4</v>
      </c>
      <c r="Y3553" t="s">
        <v>23368</v>
      </c>
      <c r="Z3553" t="s">
        <v>29968</v>
      </c>
      <c r="AA3553">
        <v>0.36040095809497857</v>
      </c>
      <c r="AB3553" t="str">
        <f>HYPERLINK("Melting_Curves/meltCurve_Q15386_UBE3C.pdf", "Melting_Curves/meltCurve_Q15386_UBE3C.pdf")</f>
        <v>Melting_Curves/meltCurve_Q15386_UBE3C.pdf</v>
      </c>
    </row>
    <row r="3554" spans="1:28" x14ac:dyDescent="0.25">
      <c r="A3554" t="s">
        <v>3558</v>
      </c>
      <c r="B3554">
        <v>0.99193492352474899</v>
      </c>
      <c r="C3554">
        <v>0.80963840509078699</v>
      </c>
      <c r="D3554">
        <v>0.78474720920723995</v>
      </c>
      <c r="E3554">
        <v>0.68354605215550801</v>
      </c>
      <c r="F3554">
        <v>0.38228284210486402</v>
      </c>
      <c r="G3554">
        <v>0.168113309968141</v>
      </c>
      <c r="H3554">
        <v>7.8714534088447904E-2</v>
      </c>
      <c r="I3554">
        <v>7.7951342399208007E-2</v>
      </c>
      <c r="J3554">
        <v>8.4553389800694698E-2</v>
      </c>
      <c r="K3554">
        <v>8.4362624046081205E-2</v>
      </c>
      <c r="L3554">
        <v>657.83214106038895</v>
      </c>
      <c r="M3554">
        <v>12.9094434129023</v>
      </c>
      <c r="N3554">
        <v>51.094019068559703</v>
      </c>
      <c r="O3554">
        <v>49.781132940777603</v>
      </c>
      <c r="P3554">
        <v>-6.3743178825737504E-2</v>
      </c>
      <c r="Q3554">
        <v>1.6957712112911302E-2</v>
      </c>
      <c r="R3554">
        <v>0.97652871142353403</v>
      </c>
      <c r="S3554" t="s">
        <v>10224</v>
      </c>
      <c r="T3554" t="s">
        <v>13338</v>
      </c>
      <c r="U3554" t="s">
        <v>13338</v>
      </c>
      <c r="V3554" t="s">
        <v>13338</v>
      </c>
      <c r="W3554" t="s">
        <v>16844</v>
      </c>
      <c r="X3554">
        <v>50</v>
      </c>
      <c r="Y3554" t="s">
        <v>23369</v>
      </c>
      <c r="Z3554" t="s">
        <v>29969</v>
      </c>
      <c r="AA3554">
        <v>0.40487300003568338</v>
      </c>
      <c r="AB3554" t="str">
        <f>HYPERLINK("Melting_Curves/meltCurve_Q15393_SF3B3.pdf", "Melting_Curves/meltCurve_Q15393_SF3B3.pdf")</f>
        <v>Melting_Curves/meltCurve_Q15393_SF3B3.pdf</v>
      </c>
    </row>
    <row r="3555" spans="1:28" x14ac:dyDescent="0.25">
      <c r="A3555" t="s">
        <v>3559</v>
      </c>
      <c r="B3555">
        <v>0.99193492352474899</v>
      </c>
      <c r="C3555">
        <v>0.51054514909417603</v>
      </c>
      <c r="D3555">
        <v>0.43377553476122199</v>
      </c>
      <c r="E3555">
        <v>0.22529740207918</v>
      </c>
      <c r="F3555">
        <v>0.162029565524899</v>
      </c>
      <c r="G3555">
        <v>9.3845152036073104E-2</v>
      </c>
      <c r="H3555">
        <v>6.0936271503727102E-2</v>
      </c>
      <c r="I3555">
        <v>7.2668496990682202E-2</v>
      </c>
      <c r="J3555">
        <v>9.1666887548548501E-2</v>
      </c>
      <c r="K3555">
        <v>9.8253663648043901E-2</v>
      </c>
      <c r="L3555">
        <v>755.07911793702499</v>
      </c>
      <c r="M3555">
        <v>17.1569081791143</v>
      </c>
      <c r="N3555">
        <v>44.506202271616502</v>
      </c>
      <c r="O3555">
        <v>43.425380926053599</v>
      </c>
      <c r="P3555">
        <v>-9.0182848368584506E-2</v>
      </c>
      <c r="Q3555">
        <v>8.7017435475253604E-2</v>
      </c>
      <c r="R3555">
        <v>0.94892725802663602</v>
      </c>
      <c r="S3555" t="s">
        <v>10225</v>
      </c>
      <c r="T3555" t="s">
        <v>13338</v>
      </c>
      <c r="U3555" t="s">
        <v>13338</v>
      </c>
      <c r="V3555" t="s">
        <v>13338</v>
      </c>
      <c r="W3555" t="s">
        <v>16845</v>
      </c>
      <c r="X3555">
        <v>12</v>
      </c>
      <c r="Y3555" t="s">
        <v>23370</v>
      </c>
      <c r="Z3555" t="s">
        <v>29970</v>
      </c>
      <c r="AA3555">
        <v>0.2340030944509332</v>
      </c>
      <c r="AB3555" t="str">
        <f>HYPERLINK("Melting_Curves/meltCurve_Q15398_3_DLGAP5.pdf", "Melting_Curves/meltCurve_Q15398_3_DLGAP5.pdf")</f>
        <v>Melting_Curves/meltCurve_Q15398_3_DLGAP5.pdf</v>
      </c>
    </row>
    <row r="3556" spans="1:28" x14ac:dyDescent="0.25">
      <c r="A3556" t="s">
        <v>3560</v>
      </c>
      <c r="B3556">
        <v>0.99193492352474899</v>
      </c>
      <c r="C3556">
        <v>0.91791886763292396</v>
      </c>
      <c r="D3556">
        <v>0.91117437799840595</v>
      </c>
      <c r="E3556">
        <v>0.72107505622671597</v>
      </c>
      <c r="F3556">
        <v>0.51203544069941498</v>
      </c>
      <c r="G3556">
        <v>0.273377473794157</v>
      </c>
      <c r="H3556">
        <v>0.14237485235775299</v>
      </c>
      <c r="I3556">
        <v>0.11896459950532701</v>
      </c>
      <c r="J3556">
        <v>9.3337897998157601E-2</v>
      </c>
      <c r="K3556">
        <v>7.69500500095745E-2</v>
      </c>
      <c r="L3556">
        <v>778.43570450142101</v>
      </c>
      <c r="M3556">
        <v>14.7840860903835</v>
      </c>
      <c r="N3556">
        <v>53.012870888636499</v>
      </c>
      <c r="O3556">
        <v>51.718414094360398</v>
      </c>
      <c r="P3556">
        <v>-6.8065227329425798E-2</v>
      </c>
      <c r="Q3556">
        <v>4.7665388296697302E-2</v>
      </c>
      <c r="R3556">
        <v>0.99685007484207599</v>
      </c>
      <c r="S3556" t="s">
        <v>10226</v>
      </c>
      <c r="T3556" t="s">
        <v>13338</v>
      </c>
      <c r="U3556" t="s">
        <v>13338</v>
      </c>
      <c r="V3556" t="s">
        <v>13338</v>
      </c>
      <c r="W3556" t="s">
        <v>16846</v>
      </c>
      <c r="X3556">
        <v>13</v>
      </c>
      <c r="Y3556" t="s">
        <v>23371</v>
      </c>
      <c r="Z3556" t="s">
        <v>29971</v>
      </c>
      <c r="AA3556">
        <v>0.47056781945310328</v>
      </c>
      <c r="AB3556" t="str">
        <f>HYPERLINK("Melting_Curves/meltCurve_Q15404_RSU1.pdf", "Melting_Curves/meltCurve_Q15404_RSU1.pdf")</f>
        <v>Melting_Curves/meltCurve_Q15404_RSU1.pdf</v>
      </c>
    </row>
    <row r="3557" spans="1:28" x14ac:dyDescent="0.25">
      <c r="A3557" t="s">
        <v>3561</v>
      </c>
      <c r="B3557">
        <v>0.99193492352474899</v>
      </c>
      <c r="C3557">
        <v>0.59342684580277005</v>
      </c>
      <c r="D3557">
        <v>0.83369163535568103</v>
      </c>
      <c r="E3557">
        <v>0.226999678671328</v>
      </c>
      <c r="F3557">
        <v>0.149677470090603</v>
      </c>
      <c r="G3557">
        <v>5.8884141066588402E-2</v>
      </c>
      <c r="H3557">
        <v>4.28417324119824E-2</v>
      </c>
      <c r="I3557">
        <v>4.9951584954615297E-2</v>
      </c>
      <c r="J3557">
        <v>5.5470218861829401E-2</v>
      </c>
      <c r="K3557">
        <v>4.9153046605930999E-2</v>
      </c>
      <c r="L3557">
        <v>729.45777998846097</v>
      </c>
      <c r="M3557">
        <v>15.4851174527483</v>
      </c>
      <c r="N3557">
        <v>47.2399283046202</v>
      </c>
      <c r="O3557">
        <v>46.342397379775598</v>
      </c>
      <c r="P3557">
        <v>-8.1762894942023906E-2</v>
      </c>
      <c r="Q3557">
        <v>2.13184499013277E-2</v>
      </c>
      <c r="R3557">
        <v>0.89659027153317405</v>
      </c>
      <c r="S3557" t="s">
        <v>10227</v>
      </c>
      <c r="T3557" t="s">
        <v>13338</v>
      </c>
      <c r="U3557" t="s">
        <v>13338</v>
      </c>
      <c r="V3557" t="s">
        <v>13338</v>
      </c>
      <c r="W3557" t="s">
        <v>16847</v>
      </c>
      <c r="X3557">
        <v>4</v>
      </c>
      <c r="Y3557" t="s">
        <v>23372</v>
      </c>
      <c r="Z3557" t="s">
        <v>29972</v>
      </c>
      <c r="AA3557">
        <v>0.2779057016048545</v>
      </c>
      <c r="AB3557" t="str">
        <f>HYPERLINK("Melting_Curves/meltCurve_Q15417_CNN3.pdf", "Melting_Curves/meltCurve_Q15417_CNN3.pdf")</f>
        <v>Melting_Curves/meltCurve_Q15417_CNN3.pdf</v>
      </c>
    </row>
    <row r="3558" spans="1:28" x14ac:dyDescent="0.25">
      <c r="A3558" t="s">
        <v>3562</v>
      </c>
      <c r="B3558">
        <v>0.99193492352474899</v>
      </c>
      <c r="C3558">
        <v>0.69704056667149406</v>
      </c>
      <c r="D3558">
        <v>0.84857034259508202</v>
      </c>
      <c r="E3558">
        <v>0.70713262607465399</v>
      </c>
      <c r="F3558">
        <v>0.79341301140424203</v>
      </c>
      <c r="G3558">
        <v>0.74072125477025497</v>
      </c>
      <c r="H3558">
        <v>0.71820705017322595</v>
      </c>
      <c r="I3558">
        <v>0.95948663831020298</v>
      </c>
      <c r="J3558">
        <v>1.15752462867946</v>
      </c>
      <c r="K3558">
        <v>1.5496570497864099</v>
      </c>
      <c r="L3558">
        <v>15000</v>
      </c>
      <c r="M3558">
        <v>222.77075216411799</v>
      </c>
      <c r="O3558">
        <v>67.328367820973099</v>
      </c>
      <c r="P3558">
        <v>0.41359006593590503</v>
      </c>
      <c r="Q3558">
        <v>1.5</v>
      </c>
      <c r="R3558">
        <v>0.39247343798172502</v>
      </c>
      <c r="S3558" t="s">
        <v>10228</v>
      </c>
      <c r="T3558" t="s">
        <v>13338</v>
      </c>
      <c r="U3558" t="s">
        <v>13338</v>
      </c>
      <c r="V3558" t="s">
        <v>13338</v>
      </c>
      <c r="W3558" t="s">
        <v>16848</v>
      </c>
      <c r="X3558">
        <v>44</v>
      </c>
      <c r="Y3558" t="s">
        <v>23373</v>
      </c>
      <c r="Z3558" t="s">
        <v>29973</v>
      </c>
      <c r="AA3558">
        <v>1.044363481069156</v>
      </c>
      <c r="AB3558" t="str">
        <f>HYPERLINK("Melting_Curves/meltCurve_Q15424_SAFB.pdf", "Melting_Curves/meltCurve_Q15424_SAFB.pdf")</f>
        <v>Melting_Curves/meltCurve_Q15424_SAFB.pdf</v>
      </c>
    </row>
    <row r="3559" spans="1:28" x14ac:dyDescent="0.25">
      <c r="A3559" t="s">
        <v>3563</v>
      </c>
      <c r="B3559">
        <v>0.99193492352474899</v>
      </c>
      <c r="C3559">
        <v>0.43636008523082997</v>
      </c>
      <c r="D3559">
        <v>0.67527829778369997</v>
      </c>
      <c r="E3559">
        <v>0.34950318866993202</v>
      </c>
      <c r="F3559">
        <v>0.22213363169172701</v>
      </c>
      <c r="G3559">
        <v>9.6618141796416798E-2</v>
      </c>
      <c r="H3559">
        <v>8.8384170323329805E-2</v>
      </c>
      <c r="I3559">
        <v>0.13669253853417099</v>
      </c>
      <c r="J3559">
        <v>0.22161545889289799</v>
      </c>
      <c r="K3559">
        <v>0.233861920905896</v>
      </c>
      <c r="L3559">
        <v>583.40275111499602</v>
      </c>
      <c r="M3559">
        <v>13.0281015869404</v>
      </c>
      <c r="N3559">
        <v>45.9546827457687</v>
      </c>
      <c r="O3559">
        <v>43.7646741429079</v>
      </c>
      <c r="P3559">
        <v>-6.3895454260076798E-2</v>
      </c>
      <c r="Q3559">
        <v>0.14158669582017999</v>
      </c>
      <c r="R3559">
        <v>0.80698889315199096</v>
      </c>
      <c r="S3559" t="s">
        <v>10229</v>
      </c>
      <c r="T3559" t="s">
        <v>13338</v>
      </c>
      <c r="U3559" t="s">
        <v>13338</v>
      </c>
      <c r="V3559" t="s">
        <v>13338</v>
      </c>
      <c r="W3559" t="s">
        <v>16849</v>
      </c>
      <c r="X3559">
        <v>6</v>
      </c>
      <c r="Y3559" t="s">
        <v>23374</v>
      </c>
      <c r="Z3559" t="s">
        <v>29974</v>
      </c>
      <c r="AA3559">
        <v>0.31590675972702692</v>
      </c>
      <c r="AB3559" t="str">
        <f>HYPERLINK("Melting_Curves/meltCurve_Q15427_SF3B4.pdf", "Melting_Curves/meltCurve_Q15427_SF3B4.pdf")</f>
        <v>Melting_Curves/meltCurve_Q15427_SF3B4.pdf</v>
      </c>
    </row>
    <row r="3560" spans="1:28" x14ac:dyDescent="0.25">
      <c r="A3560" t="s">
        <v>3564</v>
      </c>
      <c r="B3560">
        <v>0.99193492352474899</v>
      </c>
      <c r="C3560">
        <v>0.92413298633340202</v>
      </c>
      <c r="D3560">
        <v>0.86707426845559799</v>
      </c>
      <c r="E3560">
        <v>0.35096292105548199</v>
      </c>
      <c r="F3560">
        <v>0.18205884056520399</v>
      </c>
      <c r="G3560">
        <v>0.106561039106346</v>
      </c>
      <c r="H3560">
        <v>6.9430278629155698E-2</v>
      </c>
      <c r="I3560">
        <v>9.6434868475149899E-2</v>
      </c>
      <c r="J3560">
        <v>0.108355304609017</v>
      </c>
      <c r="K3560">
        <v>0.128089819376318</v>
      </c>
      <c r="L3560">
        <v>1536.4605753241501</v>
      </c>
      <c r="M3560">
        <v>31.846655042756499</v>
      </c>
      <c r="N3560">
        <v>48.603205064139999</v>
      </c>
      <c r="O3560">
        <v>48.056558084070801</v>
      </c>
      <c r="P3560">
        <v>-0.14836945589085401</v>
      </c>
      <c r="Q3560">
        <v>0.104447541004792</v>
      </c>
      <c r="R3560">
        <v>0.99435682475688103</v>
      </c>
      <c r="S3560" t="s">
        <v>10230</v>
      </c>
      <c r="T3560" t="s">
        <v>13338</v>
      </c>
      <c r="U3560" t="s">
        <v>13338</v>
      </c>
      <c r="V3560" t="s">
        <v>13338</v>
      </c>
      <c r="W3560" t="s">
        <v>16850</v>
      </c>
      <c r="X3560">
        <v>15</v>
      </c>
      <c r="Y3560" t="s">
        <v>23375</v>
      </c>
      <c r="Z3560" t="s">
        <v>29975</v>
      </c>
      <c r="AA3560">
        <v>0.35536655364862108</v>
      </c>
      <c r="AB3560" t="str">
        <f>HYPERLINK("Melting_Curves/meltCurve_Q15428_SF3A2.pdf", "Melting_Curves/meltCurve_Q15428_SF3A2.pdf")</f>
        <v>Melting_Curves/meltCurve_Q15428_SF3A2.pdf</v>
      </c>
    </row>
    <row r="3561" spans="1:28" x14ac:dyDescent="0.25">
      <c r="A3561" t="s">
        <v>3565</v>
      </c>
      <c r="B3561">
        <v>0.99193492352474899</v>
      </c>
      <c r="C3561">
        <v>0.96385316051612902</v>
      </c>
      <c r="D3561">
        <v>0.86976266474790898</v>
      </c>
      <c r="E3561">
        <v>0.70264511533038398</v>
      </c>
      <c r="F3561">
        <v>0.40428201349494602</v>
      </c>
      <c r="G3561">
        <v>0.14546930973500999</v>
      </c>
      <c r="H3561">
        <v>7.2415117847585003E-2</v>
      </c>
      <c r="I3561">
        <v>8.4841475859344206E-2</v>
      </c>
      <c r="J3561">
        <v>8.8788344242022699E-2</v>
      </c>
      <c r="K3561">
        <v>9.4498866247916202E-2</v>
      </c>
      <c r="L3561">
        <v>1005.37096536875</v>
      </c>
      <c r="M3561">
        <v>19.581128104517202</v>
      </c>
      <c r="N3561">
        <v>51.695300881443202</v>
      </c>
      <c r="O3561">
        <v>50.817362400611103</v>
      </c>
      <c r="P3561">
        <v>-9.03311045693697E-2</v>
      </c>
      <c r="Q3561">
        <v>6.2316298374749599E-2</v>
      </c>
      <c r="R3561">
        <v>0.99515150712261402</v>
      </c>
      <c r="S3561" t="s">
        <v>10231</v>
      </c>
      <c r="T3561" t="s">
        <v>13338</v>
      </c>
      <c r="U3561" t="s">
        <v>13338</v>
      </c>
      <c r="V3561" t="s">
        <v>13338</v>
      </c>
      <c r="W3561" t="s">
        <v>16851</v>
      </c>
      <c r="X3561">
        <v>22</v>
      </c>
      <c r="Y3561" t="s">
        <v>23376</v>
      </c>
      <c r="Z3561" t="s">
        <v>29976</v>
      </c>
      <c r="AA3561">
        <v>0.43040270021798499</v>
      </c>
      <c r="AB3561" t="str">
        <f>HYPERLINK("Melting_Curves/meltCurve_Q15435_PPP1R7.pdf", "Melting_Curves/meltCurve_Q15435_PPP1R7.pdf")</f>
        <v>Melting_Curves/meltCurve_Q15435_PPP1R7.pdf</v>
      </c>
    </row>
    <row r="3562" spans="1:28" x14ac:dyDescent="0.25">
      <c r="A3562" t="s">
        <v>3566</v>
      </c>
      <c r="B3562">
        <v>0.99193492352474899</v>
      </c>
      <c r="C3562">
        <v>0.90289440482823702</v>
      </c>
      <c r="D3562">
        <v>0.80069192430167402</v>
      </c>
      <c r="E3562">
        <v>0.50206139801263405</v>
      </c>
      <c r="F3562">
        <v>0.31751439837506301</v>
      </c>
      <c r="G3562">
        <v>0.19680094495299599</v>
      </c>
      <c r="H3562">
        <v>8.1898254670640297E-2</v>
      </c>
      <c r="I3562">
        <v>9.4575877599705899E-2</v>
      </c>
      <c r="J3562">
        <v>0.10489859539289199</v>
      </c>
      <c r="K3562">
        <v>0.106094946001453</v>
      </c>
      <c r="L3562">
        <v>788.59107741102798</v>
      </c>
      <c r="M3562">
        <v>15.977125380226701</v>
      </c>
      <c r="N3562">
        <v>49.903522484509402</v>
      </c>
      <c r="O3562">
        <v>48.603699855238197</v>
      </c>
      <c r="P3562">
        <v>-7.5596283838514994E-2</v>
      </c>
      <c r="Q3562">
        <v>8.0192728293301305E-2</v>
      </c>
      <c r="R3562">
        <v>0.99649318663101405</v>
      </c>
      <c r="S3562" t="s">
        <v>10232</v>
      </c>
      <c r="T3562" t="s">
        <v>13338</v>
      </c>
      <c r="U3562" t="s">
        <v>13338</v>
      </c>
      <c r="V3562" t="s">
        <v>13338</v>
      </c>
      <c r="W3562" t="s">
        <v>16852</v>
      </c>
      <c r="X3562">
        <v>20</v>
      </c>
      <c r="Y3562" t="s">
        <v>23377</v>
      </c>
      <c r="Z3562" t="s">
        <v>29977</v>
      </c>
      <c r="AA3562">
        <v>0.38701643425062521</v>
      </c>
      <c r="AB3562" t="str">
        <f>HYPERLINK("Melting_Curves/meltCurve_Q15437_SEC23B.pdf", "Melting_Curves/meltCurve_Q15437_SEC23B.pdf")</f>
        <v>Melting_Curves/meltCurve_Q15437_SEC23B.pdf</v>
      </c>
    </row>
    <row r="3563" spans="1:28" x14ac:dyDescent="0.25">
      <c r="A3563" t="s">
        <v>3567</v>
      </c>
      <c r="B3563">
        <v>0.99193492352474899</v>
      </c>
      <c r="C3563">
        <v>0.86671776426720704</v>
      </c>
      <c r="D3563">
        <v>0.89044055478458894</v>
      </c>
      <c r="E3563">
        <v>0.66262528868063697</v>
      </c>
      <c r="F3563">
        <v>0.20748638697858299</v>
      </c>
      <c r="G3563">
        <v>0.130810735177149</v>
      </c>
      <c r="H3563">
        <v>7.2751519980957899E-2</v>
      </c>
      <c r="I3563">
        <v>7.3978992142026398E-2</v>
      </c>
      <c r="J3563">
        <v>8.1143425141854797E-2</v>
      </c>
      <c r="K3563">
        <v>6.8615871602811407E-2</v>
      </c>
      <c r="L3563">
        <v>1284.5251916575301</v>
      </c>
      <c r="M3563">
        <v>25.5299607775619</v>
      </c>
      <c r="N3563">
        <v>50.601988344530398</v>
      </c>
      <c r="O3563">
        <v>50.008763839944898</v>
      </c>
      <c r="P3563">
        <v>-0.119010799739542</v>
      </c>
      <c r="Q3563">
        <v>6.7525566305562001E-2</v>
      </c>
      <c r="R3563">
        <v>0.98547287448268395</v>
      </c>
      <c r="S3563" t="s">
        <v>10233</v>
      </c>
      <c r="T3563" t="s">
        <v>13338</v>
      </c>
      <c r="U3563" t="s">
        <v>13338</v>
      </c>
      <c r="V3563" t="s">
        <v>13338</v>
      </c>
      <c r="W3563" t="s">
        <v>16853</v>
      </c>
      <c r="X3563">
        <v>9</v>
      </c>
      <c r="Y3563" t="s">
        <v>21083</v>
      </c>
      <c r="Z3563" t="s">
        <v>29978</v>
      </c>
      <c r="AA3563">
        <v>0.39614154688268921</v>
      </c>
      <c r="AB3563" t="str">
        <f>HYPERLINK("Melting_Curves/meltCurve_Q15438_2_CYTH1.pdf", "Melting_Curves/meltCurve_Q15438_2_CYTH1.pdf")</f>
        <v>Melting_Curves/meltCurve_Q15438_2_CYTH1.pdf</v>
      </c>
    </row>
    <row r="3564" spans="1:28" x14ac:dyDescent="0.25">
      <c r="A3564" t="s">
        <v>3568</v>
      </c>
      <c r="B3564">
        <v>0.99193492352474899</v>
      </c>
      <c r="C3564">
        <v>0.84800980993892905</v>
      </c>
      <c r="D3564">
        <v>0.71062901187844396</v>
      </c>
      <c r="E3564">
        <v>0.31921028266809198</v>
      </c>
      <c r="F3564">
        <v>0.17800868070582099</v>
      </c>
      <c r="G3564">
        <v>0.103990720258853</v>
      </c>
      <c r="H3564">
        <v>7.2689857425941404E-2</v>
      </c>
      <c r="I3564">
        <v>9.6100141331392205E-2</v>
      </c>
      <c r="J3564">
        <v>0.10810974503253901</v>
      </c>
      <c r="K3564">
        <v>0.108795222551698</v>
      </c>
      <c r="L3564">
        <v>978.80432747873397</v>
      </c>
      <c r="M3564">
        <v>20.704657312887299</v>
      </c>
      <c r="N3564">
        <v>47.727735197487597</v>
      </c>
      <c r="O3564">
        <v>46.840221349730598</v>
      </c>
      <c r="P3564">
        <v>-0.100649150767723</v>
      </c>
      <c r="Q3564">
        <v>8.9230096722880001E-2</v>
      </c>
      <c r="R3564">
        <v>0.99434753713943602</v>
      </c>
      <c r="S3564" t="s">
        <v>10234</v>
      </c>
      <c r="T3564" t="s">
        <v>13338</v>
      </c>
      <c r="U3564" t="s">
        <v>13338</v>
      </c>
      <c r="V3564" t="s">
        <v>13338</v>
      </c>
      <c r="W3564" t="s">
        <v>16854</v>
      </c>
      <c r="X3564">
        <v>31</v>
      </c>
      <c r="Y3564" t="s">
        <v>23378</v>
      </c>
      <c r="Z3564" t="s">
        <v>29979</v>
      </c>
      <c r="AA3564">
        <v>0.32231443435850282</v>
      </c>
      <c r="AB3564" t="str">
        <f>HYPERLINK("Melting_Curves/meltCurve_Q15459_SF3A1.pdf", "Melting_Curves/meltCurve_Q15459_SF3A1.pdf")</f>
        <v>Melting_Curves/meltCurve_Q15459_SF3A1.pdf</v>
      </c>
    </row>
    <row r="3565" spans="1:28" x14ac:dyDescent="0.25">
      <c r="A3565" t="s">
        <v>3569</v>
      </c>
      <c r="B3565">
        <v>0.99193492352474899</v>
      </c>
      <c r="C3565">
        <v>0.93165985247181904</v>
      </c>
      <c r="D3565">
        <v>0.67544773137627401</v>
      </c>
      <c r="E3565">
        <v>0.27977928116322898</v>
      </c>
      <c r="F3565">
        <v>0.25737653527201998</v>
      </c>
      <c r="G3565">
        <v>0.18807358002760999</v>
      </c>
      <c r="H3565">
        <v>0.13287130324068899</v>
      </c>
      <c r="I3565">
        <v>0.194044589284528</v>
      </c>
      <c r="J3565">
        <v>0.21805926000137499</v>
      </c>
      <c r="K3565">
        <v>0.22999069498833799</v>
      </c>
      <c r="L3565">
        <v>1436.4417046823301</v>
      </c>
      <c r="M3565">
        <v>30.887876497799802</v>
      </c>
      <c r="N3565">
        <v>47.2745654177427</v>
      </c>
      <c r="O3565">
        <v>46.311406626079503</v>
      </c>
      <c r="P3565">
        <v>-0.13379708579892799</v>
      </c>
      <c r="Q3565">
        <v>0.19757574117334001</v>
      </c>
      <c r="R3565">
        <v>0.99123337199810402</v>
      </c>
      <c r="S3565" t="s">
        <v>10235</v>
      </c>
      <c r="T3565" t="s">
        <v>13338</v>
      </c>
      <c r="U3565" t="s">
        <v>13338</v>
      </c>
      <c r="V3565" t="s">
        <v>13338</v>
      </c>
      <c r="W3565" t="s">
        <v>16855</v>
      </c>
      <c r="X3565">
        <v>9</v>
      </c>
      <c r="Y3565" t="s">
        <v>23379</v>
      </c>
      <c r="Z3565" t="s">
        <v>29980</v>
      </c>
      <c r="AA3565">
        <v>0.37610473584683729</v>
      </c>
      <c r="AB3565" t="str">
        <f>HYPERLINK("Melting_Curves/meltCurve_Q15477_SKIV2L.pdf", "Melting_Curves/meltCurve_Q15477_SKIV2L.pdf")</f>
        <v>Melting_Curves/meltCurve_Q15477_SKIV2L.pdf</v>
      </c>
    </row>
    <row r="3566" spans="1:28" x14ac:dyDescent="0.25">
      <c r="A3566" t="s">
        <v>3570</v>
      </c>
      <c r="B3566">
        <v>0.99193492352474899</v>
      </c>
      <c r="C3566">
        <v>0.92269965639138696</v>
      </c>
      <c r="D3566">
        <v>0.88243096941594201</v>
      </c>
      <c r="E3566">
        <v>0.77900757907989604</v>
      </c>
      <c r="F3566">
        <v>0.43958563460184302</v>
      </c>
      <c r="G3566">
        <v>0.36198145614578697</v>
      </c>
      <c r="H3566">
        <v>0.30954120527731099</v>
      </c>
      <c r="I3566">
        <v>0.69179100363420898</v>
      </c>
      <c r="J3566">
        <v>0.43797518429314403</v>
      </c>
      <c r="K3566">
        <v>1.00557426274516</v>
      </c>
      <c r="L3566">
        <v>12403.6634389991</v>
      </c>
      <c r="M3566">
        <v>250</v>
      </c>
      <c r="O3566">
        <v>49.611478757268401</v>
      </c>
      <c r="P3566">
        <v>-0.57814897682233102</v>
      </c>
      <c r="Q3566">
        <v>0.54107478971614298</v>
      </c>
      <c r="R3566">
        <v>0.45352463739798399</v>
      </c>
      <c r="S3566" t="s">
        <v>10236</v>
      </c>
      <c r="T3566" t="s">
        <v>13338</v>
      </c>
      <c r="U3566" t="s">
        <v>13338</v>
      </c>
      <c r="V3566" t="s">
        <v>13338</v>
      </c>
      <c r="W3566" t="s">
        <v>16856</v>
      </c>
      <c r="X3566">
        <v>1</v>
      </c>
      <c r="Y3566" t="s">
        <v>23380</v>
      </c>
      <c r="Z3566" t="s">
        <v>29981</v>
      </c>
      <c r="AA3566">
        <v>0.68819498291171455</v>
      </c>
      <c r="AB3566" t="str">
        <f>HYPERLINK("Melting_Curves/meltCurve_Q15506_SPA17.pdf", "Melting_Curves/meltCurve_Q15506_SPA17.pdf")</f>
        <v>Melting_Curves/meltCurve_Q15506_SPA17.pdf</v>
      </c>
    </row>
    <row r="3567" spans="1:28" x14ac:dyDescent="0.25">
      <c r="A3567" t="s">
        <v>3571</v>
      </c>
      <c r="B3567">
        <v>0.99193492352474899</v>
      </c>
      <c r="C3567">
        <v>1.03215428589545</v>
      </c>
      <c r="D3567">
        <v>0.99380205867555904</v>
      </c>
      <c r="E3567">
        <v>0.75546758046258</v>
      </c>
      <c r="F3567">
        <v>0.25110869822328802</v>
      </c>
      <c r="G3567">
        <v>0.16493769378928899</v>
      </c>
      <c r="H3567">
        <v>0.102052391900919</v>
      </c>
      <c r="I3567">
        <v>0.125281323803656</v>
      </c>
      <c r="J3567">
        <v>0.14262489152304</v>
      </c>
      <c r="K3567">
        <v>0.12899579415451001</v>
      </c>
      <c r="L3567">
        <v>2005.6118550080901</v>
      </c>
      <c r="M3567">
        <v>39.491889055448297</v>
      </c>
      <c r="N3567">
        <v>51.173248505633403</v>
      </c>
      <c r="O3567">
        <v>50.655721501569801</v>
      </c>
      <c r="P3567">
        <v>-0.16969607708818699</v>
      </c>
      <c r="Q3567">
        <v>0.12933440401544499</v>
      </c>
      <c r="R3567">
        <v>0.99825675019387805</v>
      </c>
      <c r="S3567" t="s">
        <v>10237</v>
      </c>
      <c r="T3567" t="s">
        <v>13338</v>
      </c>
      <c r="U3567" t="s">
        <v>13338</v>
      </c>
      <c r="V3567" t="s">
        <v>13338</v>
      </c>
      <c r="W3567" t="s">
        <v>16857</v>
      </c>
      <c r="X3567">
        <v>8</v>
      </c>
      <c r="Y3567" t="s">
        <v>23381</v>
      </c>
      <c r="Z3567" t="s">
        <v>29982</v>
      </c>
      <c r="AA3567">
        <v>0.44548686959017098</v>
      </c>
      <c r="AB3567" t="str">
        <f>HYPERLINK("Melting_Curves/meltCurve_Q15526_2_SURF1.pdf", "Melting_Curves/meltCurve_Q15526_2_SURF1.pdf")</f>
        <v>Melting_Curves/meltCurve_Q15526_2_SURF1.pdf</v>
      </c>
    </row>
    <row r="3568" spans="1:28" x14ac:dyDescent="0.25">
      <c r="A3568" t="s">
        <v>3572</v>
      </c>
      <c r="B3568">
        <v>0.99193492352474899</v>
      </c>
      <c r="C3568">
        <v>0.95701844318207796</v>
      </c>
      <c r="D3568">
        <v>0.75971067454318497</v>
      </c>
      <c r="E3568">
        <v>0.51320487992397101</v>
      </c>
      <c r="F3568">
        <v>0.25041480198259902</v>
      </c>
      <c r="G3568">
        <v>0.116724324236043</v>
      </c>
      <c r="H3568">
        <v>8.0503259167326396E-2</v>
      </c>
      <c r="I3568">
        <v>0.11160577099376399</v>
      </c>
      <c r="J3568">
        <v>0.15533199007469001</v>
      </c>
      <c r="K3568">
        <v>0.16425732858940201</v>
      </c>
      <c r="L3568">
        <v>986.45827068525398</v>
      </c>
      <c r="M3568">
        <v>20.247364846454602</v>
      </c>
      <c r="N3568">
        <v>49.350768396321598</v>
      </c>
      <c r="O3568">
        <v>48.252523093043202</v>
      </c>
      <c r="P3568">
        <v>-9.2951781882082696E-2</v>
      </c>
      <c r="Q3568">
        <v>0.11395461798958199</v>
      </c>
      <c r="R3568">
        <v>0.99105169891938805</v>
      </c>
      <c r="S3568" t="s">
        <v>10238</v>
      </c>
      <c r="T3568" t="s">
        <v>13338</v>
      </c>
      <c r="U3568" t="s">
        <v>13338</v>
      </c>
      <c r="V3568" t="s">
        <v>13338</v>
      </c>
      <c r="W3568" t="s">
        <v>16858</v>
      </c>
      <c r="X3568">
        <v>9</v>
      </c>
      <c r="Y3568" t="s">
        <v>23382</v>
      </c>
      <c r="Z3568" t="s">
        <v>29983</v>
      </c>
      <c r="AA3568">
        <v>0.38364530835652261</v>
      </c>
      <c r="AB3568" t="str">
        <f>HYPERLINK("Melting_Curves/meltCurve_Q15527_SURF2.pdf", "Melting_Curves/meltCurve_Q15527_SURF2.pdf")</f>
        <v>Melting_Curves/meltCurve_Q15527_SURF2.pdf</v>
      </c>
    </row>
    <row r="3569" spans="1:28" x14ac:dyDescent="0.25">
      <c r="A3569" t="s">
        <v>3573</v>
      </c>
      <c r="B3569">
        <v>0.99193492352474899</v>
      </c>
      <c r="C3569">
        <v>0.79208639705683404</v>
      </c>
      <c r="D3569">
        <v>0.62204980133117604</v>
      </c>
      <c r="E3569">
        <v>0.30880532542949002</v>
      </c>
      <c r="F3569">
        <v>0.19985692803873001</v>
      </c>
      <c r="G3569">
        <v>0.14747934711958599</v>
      </c>
      <c r="H3569">
        <v>9.2832717703005399E-2</v>
      </c>
      <c r="I3569">
        <v>0.11823017054995399</v>
      </c>
      <c r="J3569">
        <v>0.119636750195504</v>
      </c>
      <c r="K3569">
        <v>6.2395114055291703E-2</v>
      </c>
      <c r="L3569">
        <v>798.78328441470001</v>
      </c>
      <c r="M3569">
        <v>17.1455102786657</v>
      </c>
      <c r="N3569">
        <v>47.158408769453303</v>
      </c>
      <c r="O3569">
        <v>45.968568036401102</v>
      </c>
      <c r="P3569">
        <v>-8.4525356093443901E-2</v>
      </c>
      <c r="Q3569">
        <v>9.3575571443689207E-2</v>
      </c>
      <c r="R3569">
        <v>0.99308171439775295</v>
      </c>
      <c r="S3569" t="s">
        <v>10239</v>
      </c>
      <c r="T3569" t="s">
        <v>13338</v>
      </c>
      <c r="U3569" t="s">
        <v>13338</v>
      </c>
      <c r="V3569" t="s">
        <v>13338</v>
      </c>
      <c r="W3569" t="s">
        <v>16859</v>
      </c>
      <c r="X3569">
        <v>2</v>
      </c>
      <c r="Y3569" t="s">
        <v>23383</v>
      </c>
      <c r="Z3569" t="s">
        <v>29984</v>
      </c>
      <c r="AA3569">
        <v>0.31166671889738939</v>
      </c>
      <c r="AB3569" t="str">
        <f>HYPERLINK("Melting_Curves/meltCurve_Q15542_TAF5.pdf", "Melting_Curves/meltCurve_Q15542_TAF5.pdf")</f>
        <v>Melting_Curves/meltCurve_Q15542_TAF5.pdf</v>
      </c>
    </row>
    <row r="3570" spans="1:28" x14ac:dyDescent="0.25">
      <c r="A3570" t="s">
        <v>3574</v>
      </c>
      <c r="B3570">
        <v>0.99193492352474899</v>
      </c>
      <c r="C3570">
        <v>0.583088599264873</v>
      </c>
      <c r="D3570">
        <v>0.75833097725103005</v>
      </c>
      <c r="E3570">
        <v>0.448273416707127</v>
      </c>
      <c r="F3570">
        <v>0.30662518278454798</v>
      </c>
      <c r="G3570">
        <v>0.20438244741318901</v>
      </c>
      <c r="H3570">
        <v>0.184890861129786</v>
      </c>
      <c r="I3570">
        <v>0.18396029574530801</v>
      </c>
      <c r="J3570">
        <v>0.22915704123094899</v>
      </c>
      <c r="K3570">
        <v>0.28376215403761101</v>
      </c>
      <c r="L3570">
        <v>573.27320590492104</v>
      </c>
      <c r="M3570">
        <v>12.3632561729725</v>
      </c>
      <c r="N3570">
        <v>48.202189206881997</v>
      </c>
      <c r="O3570">
        <v>45.206044217665301</v>
      </c>
      <c r="P3570">
        <v>-5.5560429521779503E-2</v>
      </c>
      <c r="Q3570">
        <v>0.18755097089232001</v>
      </c>
      <c r="R3570">
        <v>0.88051909469919898</v>
      </c>
      <c r="S3570" t="s">
        <v>10240</v>
      </c>
      <c r="T3570" t="s">
        <v>13338</v>
      </c>
      <c r="U3570" t="s">
        <v>13338</v>
      </c>
      <c r="V3570" t="s">
        <v>13338</v>
      </c>
      <c r="W3570" t="s">
        <v>16860</v>
      </c>
      <c r="X3570">
        <v>2</v>
      </c>
      <c r="Y3570" t="s">
        <v>23384</v>
      </c>
      <c r="Z3570" t="s">
        <v>29985</v>
      </c>
      <c r="AA3570">
        <v>0.39392840843667548</v>
      </c>
      <c r="AB3570" t="str">
        <f>HYPERLINK("Melting_Curves/meltCurve_Q15544_TAF11.pdf", "Melting_Curves/meltCurve_Q15544_TAF11.pdf")</f>
        <v>Melting_Curves/meltCurve_Q15544_TAF11.pdf</v>
      </c>
    </row>
    <row r="3571" spans="1:28" x14ac:dyDescent="0.25">
      <c r="A3571" t="s">
        <v>3575</v>
      </c>
      <c r="B3571">
        <v>0.99193492352474899</v>
      </c>
      <c r="C3571">
        <v>0.84597769342218299</v>
      </c>
      <c r="D3571">
        <v>0.80061976205211105</v>
      </c>
      <c r="E3571">
        <v>0.62725470923617699</v>
      </c>
      <c r="F3571">
        <v>0.45052713914028297</v>
      </c>
      <c r="G3571">
        <v>0.258343438197498</v>
      </c>
      <c r="H3571">
        <v>0.242496581047983</v>
      </c>
      <c r="I3571">
        <v>0.32458125857514902</v>
      </c>
      <c r="J3571">
        <v>0.54498358991059004</v>
      </c>
      <c r="K3571">
        <v>0.647904518008111</v>
      </c>
      <c r="L3571">
        <v>952.50627972247901</v>
      </c>
      <c r="M3571">
        <v>20.1665324402876</v>
      </c>
      <c r="N3571">
        <v>51.465896992823502</v>
      </c>
      <c r="O3571">
        <v>46.774953122631302</v>
      </c>
      <c r="P3571">
        <v>-6.41517264472721E-2</v>
      </c>
      <c r="Q3571">
        <v>0.40483581210959302</v>
      </c>
      <c r="R3571">
        <v>0.74500138366819102</v>
      </c>
      <c r="S3571" t="s">
        <v>10241</v>
      </c>
      <c r="T3571" t="s">
        <v>13338</v>
      </c>
      <c r="U3571" t="s">
        <v>13338</v>
      </c>
      <c r="V3571" t="s">
        <v>13338</v>
      </c>
      <c r="W3571" t="s">
        <v>16861</v>
      </c>
      <c r="X3571">
        <v>6</v>
      </c>
      <c r="Y3571" t="s">
        <v>23385</v>
      </c>
      <c r="Z3571" t="s">
        <v>29986</v>
      </c>
      <c r="AA3571">
        <v>0.55679253989523259</v>
      </c>
      <c r="AB3571" t="str">
        <f>HYPERLINK("Melting_Curves/meltCurve_Q15545_TAF7.pdf", "Melting_Curves/meltCurve_Q15545_TAF7.pdf")</f>
        <v>Melting_Curves/meltCurve_Q15545_TAF7.pdf</v>
      </c>
    </row>
    <row r="3572" spans="1:28" x14ac:dyDescent="0.25">
      <c r="A3572" t="s">
        <v>3576</v>
      </c>
      <c r="B3572">
        <v>0.99193492352474899</v>
      </c>
      <c r="C3572">
        <v>0.51843736313558297</v>
      </c>
      <c r="D3572">
        <v>0.90104874689443204</v>
      </c>
      <c r="E3572">
        <v>0.41666078752221303</v>
      </c>
      <c r="F3572">
        <v>0.16619759929922701</v>
      </c>
      <c r="G3572">
        <v>9.0824493773494705E-2</v>
      </c>
      <c r="H3572">
        <v>5.4279172239539097E-2</v>
      </c>
      <c r="I3572">
        <v>5.5079355300672997E-2</v>
      </c>
      <c r="J3572">
        <v>6.9867771166800305E-2</v>
      </c>
      <c r="K3572">
        <v>7.9359373030465502E-2</v>
      </c>
      <c r="L3572">
        <v>603.34155270420501</v>
      </c>
      <c r="M3572">
        <v>12.532350477859</v>
      </c>
      <c r="N3572">
        <v>48.2282168831237</v>
      </c>
      <c r="O3572">
        <v>46.966250632316303</v>
      </c>
      <c r="P3572">
        <v>-6.5989991821350999E-2</v>
      </c>
      <c r="Q3572">
        <v>1.09847160113527E-2</v>
      </c>
      <c r="R3572">
        <v>0.85123125207516404</v>
      </c>
      <c r="S3572" t="s">
        <v>10242</v>
      </c>
      <c r="T3572" t="s">
        <v>13338</v>
      </c>
      <c r="U3572" t="s">
        <v>13338</v>
      </c>
      <c r="V3572" t="s">
        <v>13338</v>
      </c>
      <c r="W3572" t="s">
        <v>16862</v>
      </c>
      <c r="X3572">
        <v>14</v>
      </c>
      <c r="Y3572" t="s">
        <v>23386</v>
      </c>
      <c r="Z3572" t="s">
        <v>29987</v>
      </c>
      <c r="AA3572">
        <v>0.31492208207402489</v>
      </c>
      <c r="AB3572" t="str">
        <f>HYPERLINK("Melting_Curves/meltCurve_Q15554_TERF2.pdf", "Melting_Curves/meltCurve_Q15554_TERF2.pdf")</f>
        <v>Melting_Curves/meltCurve_Q15554_TERF2.pdf</v>
      </c>
    </row>
    <row r="3573" spans="1:28" x14ac:dyDescent="0.25">
      <c r="A3573" t="s">
        <v>3577</v>
      </c>
      <c r="B3573">
        <v>0.99193492352474899</v>
      </c>
      <c r="C3573">
        <v>0.44583337474650703</v>
      </c>
      <c r="D3573">
        <v>0.21064256613705101</v>
      </c>
      <c r="E3573">
        <v>0.138206677943565</v>
      </c>
      <c r="F3573">
        <v>0.15881144825016699</v>
      </c>
      <c r="G3573">
        <v>5.8684145311666401E-2</v>
      </c>
      <c r="H3573">
        <v>4.4100670630535597E-2</v>
      </c>
      <c r="I3573">
        <v>5.3701441521576299E-2</v>
      </c>
      <c r="J3573">
        <v>5.5241295471385801E-2</v>
      </c>
      <c r="K3573">
        <v>6.0466833184574999E-2</v>
      </c>
      <c r="L3573">
        <v>1711.20480328862</v>
      </c>
      <c r="M3573">
        <v>40.193224974312102</v>
      </c>
      <c r="N3573">
        <v>42.7843140365636</v>
      </c>
      <c r="O3573">
        <v>42.469477213899999</v>
      </c>
      <c r="P3573">
        <v>-0.21543340668194</v>
      </c>
      <c r="Q3573">
        <v>8.9465904898305096E-2</v>
      </c>
      <c r="R3573">
        <v>0.97081298803485505</v>
      </c>
      <c r="S3573" t="s">
        <v>10243</v>
      </c>
      <c r="T3573" t="s">
        <v>13338</v>
      </c>
      <c r="U3573" t="s">
        <v>13338</v>
      </c>
      <c r="V3573" t="s">
        <v>13338</v>
      </c>
      <c r="W3573" t="s">
        <v>16863</v>
      </c>
      <c r="X3573">
        <v>11</v>
      </c>
      <c r="Y3573" t="s">
        <v>23387</v>
      </c>
      <c r="Z3573" t="s">
        <v>29988</v>
      </c>
      <c r="AA3573">
        <v>0.17222544775871981</v>
      </c>
      <c r="AB3573" t="str">
        <f>HYPERLINK("Melting_Curves/meltCurve_Q15555_4_MAPRE2.pdf", "Melting_Curves/meltCurve_Q15555_4_MAPRE2.pdf")</f>
        <v>Melting_Curves/meltCurve_Q15555_4_MAPRE2.pdf</v>
      </c>
    </row>
    <row r="3574" spans="1:28" x14ac:dyDescent="0.25">
      <c r="A3574" t="s">
        <v>3578</v>
      </c>
      <c r="B3574">
        <v>0.99193492352474899</v>
      </c>
      <c r="C3574">
        <v>0.82108110203075702</v>
      </c>
      <c r="D3574">
        <v>0.77571810249510398</v>
      </c>
      <c r="E3574">
        <v>0.41205158832983402</v>
      </c>
      <c r="F3574">
        <v>0.286454314934042</v>
      </c>
      <c r="G3574">
        <v>0.18223685545812099</v>
      </c>
      <c r="H3574">
        <v>0.12859721416992101</v>
      </c>
      <c r="I3574">
        <v>0.229474462684647</v>
      </c>
      <c r="J3574">
        <v>0.32085633972806599</v>
      </c>
      <c r="K3574">
        <v>0.4489550459926</v>
      </c>
      <c r="L3574">
        <v>1091.3961815876501</v>
      </c>
      <c r="M3574">
        <v>23.246750676192999</v>
      </c>
      <c r="N3574">
        <v>48.447831529930397</v>
      </c>
      <c r="O3574">
        <v>46.605059955462799</v>
      </c>
      <c r="P3574">
        <v>-9.2716339770720399E-2</v>
      </c>
      <c r="Q3574">
        <v>0.25650289967867801</v>
      </c>
      <c r="R3574">
        <v>0.89866812941177698</v>
      </c>
      <c r="S3574" t="s">
        <v>10244</v>
      </c>
      <c r="T3574" t="s">
        <v>13338</v>
      </c>
      <c r="U3574" t="s">
        <v>13338</v>
      </c>
      <c r="V3574" t="s">
        <v>13338</v>
      </c>
      <c r="W3574" t="s">
        <v>16864</v>
      </c>
      <c r="X3574">
        <v>3</v>
      </c>
      <c r="Y3574" t="s">
        <v>23388</v>
      </c>
      <c r="Z3574" t="s">
        <v>29989</v>
      </c>
      <c r="AA3574">
        <v>0.43651270425484989</v>
      </c>
      <c r="AB3574" t="str">
        <f>HYPERLINK("Melting_Curves/meltCurve_Q15560_2_TCEA2.pdf", "Melting_Curves/meltCurve_Q15560_2_TCEA2.pdf")</f>
        <v>Melting_Curves/meltCurve_Q15560_2_TCEA2.pdf</v>
      </c>
    </row>
    <row r="3575" spans="1:28" x14ac:dyDescent="0.25">
      <c r="A3575" t="s">
        <v>3579</v>
      </c>
      <c r="B3575">
        <v>0.99193492352474899</v>
      </c>
      <c r="C3575">
        <v>0.70591158983813695</v>
      </c>
      <c r="D3575">
        <v>0.42573289121087299</v>
      </c>
      <c r="E3575">
        <v>0.241320278097263</v>
      </c>
      <c r="F3575">
        <v>0.142566738880441</v>
      </c>
      <c r="G3575">
        <v>8.6920231533920395E-2</v>
      </c>
      <c r="H3575">
        <v>6.8311883958027106E-2</v>
      </c>
      <c r="I3575">
        <v>0.110307992722972</v>
      </c>
      <c r="J3575">
        <v>0.13254351977582099</v>
      </c>
      <c r="K3575">
        <v>0.172274554506547</v>
      </c>
      <c r="L3575">
        <v>957.65942760358996</v>
      </c>
      <c r="M3575">
        <v>21.4465057377157</v>
      </c>
      <c r="N3575">
        <v>45.2102038528107</v>
      </c>
      <c r="O3575">
        <v>44.270606850830802</v>
      </c>
      <c r="P3575">
        <v>-0.107056400226142</v>
      </c>
      <c r="Q3575">
        <v>0.116063967594078</v>
      </c>
      <c r="R3575">
        <v>0.98480163263564102</v>
      </c>
      <c r="S3575" t="s">
        <v>10245</v>
      </c>
      <c r="T3575" t="s">
        <v>13338</v>
      </c>
      <c r="U3575" t="s">
        <v>13338</v>
      </c>
      <c r="V3575" t="s">
        <v>13338</v>
      </c>
      <c r="W3575" t="s">
        <v>16865</v>
      </c>
      <c r="X3575">
        <v>4</v>
      </c>
      <c r="Y3575" t="s">
        <v>23389</v>
      </c>
      <c r="Z3575" t="s">
        <v>29990</v>
      </c>
      <c r="AA3575">
        <v>0.26641956351379309</v>
      </c>
      <c r="AB3575" t="str">
        <f>HYPERLINK("Melting_Curves/meltCurve_Q15596_NCOA2.pdf", "Melting_Curves/meltCurve_Q15596_NCOA2.pdf")</f>
        <v>Melting_Curves/meltCurve_Q15596_NCOA2.pdf</v>
      </c>
    </row>
    <row r="3576" spans="1:28" x14ac:dyDescent="0.25">
      <c r="A3576" t="s">
        <v>3580</v>
      </c>
      <c r="B3576">
        <v>0.99193492352474899</v>
      </c>
      <c r="C3576">
        <v>0.75294952803745996</v>
      </c>
      <c r="D3576">
        <v>0.76986071677982304</v>
      </c>
      <c r="E3576">
        <v>0.54844240939452404</v>
      </c>
      <c r="F3576">
        <v>0.43636757017065098</v>
      </c>
      <c r="G3576">
        <v>0.26236933997464101</v>
      </c>
      <c r="H3576">
        <v>0.202618360720417</v>
      </c>
      <c r="I3576">
        <v>0.27839250784639302</v>
      </c>
      <c r="J3576">
        <v>0.288818969070742</v>
      </c>
      <c r="K3576">
        <v>0.45060967397593199</v>
      </c>
      <c r="L3576">
        <v>677.42608097518496</v>
      </c>
      <c r="M3576">
        <v>14.334787930760999</v>
      </c>
      <c r="N3576">
        <v>50.195865968606597</v>
      </c>
      <c r="O3576">
        <v>46.366351257456103</v>
      </c>
      <c r="P3576">
        <v>-5.5350252281708999E-2</v>
      </c>
      <c r="Q3576">
        <v>0.28395751035915501</v>
      </c>
      <c r="R3576">
        <v>0.89811313016975702</v>
      </c>
      <c r="S3576" t="s">
        <v>10246</v>
      </c>
      <c r="T3576" t="s">
        <v>13338</v>
      </c>
      <c r="U3576" t="s">
        <v>13338</v>
      </c>
      <c r="V3576" t="s">
        <v>13338</v>
      </c>
      <c r="W3576" t="s">
        <v>16866</v>
      </c>
      <c r="X3576">
        <v>8</v>
      </c>
      <c r="Y3576" t="s">
        <v>23390</v>
      </c>
      <c r="Z3576" t="s">
        <v>29991</v>
      </c>
      <c r="AA3576">
        <v>0.47817442000230043</v>
      </c>
      <c r="AB3576" t="str">
        <f>HYPERLINK("Melting_Curves/meltCurve_Q15599_SLC9A3R2.pdf", "Melting_Curves/meltCurve_Q15599_SLC9A3R2.pdf")</f>
        <v>Melting_Curves/meltCurve_Q15599_SLC9A3R2.pdf</v>
      </c>
    </row>
    <row r="3577" spans="1:28" x14ac:dyDescent="0.25">
      <c r="A3577" t="s">
        <v>3581</v>
      </c>
      <c r="B3577">
        <v>0.99193492352474899</v>
      </c>
      <c r="C3577">
        <v>1.15061449167702</v>
      </c>
      <c r="D3577">
        <v>0.58068254621537396</v>
      </c>
      <c r="E3577">
        <v>0.49829565105448298</v>
      </c>
      <c r="F3577">
        <v>0.29059400055057799</v>
      </c>
      <c r="G3577">
        <v>0.19508432513440599</v>
      </c>
      <c r="H3577">
        <v>0.11889082499839999</v>
      </c>
      <c r="I3577">
        <v>0.13156805651570699</v>
      </c>
      <c r="J3577">
        <v>0.104742824410786</v>
      </c>
      <c r="K3577">
        <v>9.1361948669672094E-2</v>
      </c>
      <c r="L3577">
        <v>871.64551417865198</v>
      </c>
      <c r="M3577">
        <v>18.0193337328922</v>
      </c>
      <c r="N3577">
        <v>49.072474273261498</v>
      </c>
      <c r="O3577">
        <v>47.788832731267703</v>
      </c>
      <c r="P3577">
        <v>-8.35905989590673E-2</v>
      </c>
      <c r="Q3577">
        <v>0.113285553636863</v>
      </c>
      <c r="R3577">
        <v>0.93556564804971298</v>
      </c>
      <c r="S3577" t="s">
        <v>10247</v>
      </c>
      <c r="T3577" t="s">
        <v>13338</v>
      </c>
      <c r="U3577" t="s">
        <v>13338</v>
      </c>
      <c r="V3577" t="s">
        <v>13338</v>
      </c>
      <c r="W3577" t="s">
        <v>16867</v>
      </c>
      <c r="X3577">
        <v>4</v>
      </c>
      <c r="Y3577" t="s">
        <v>23391</v>
      </c>
      <c r="Z3577" t="s">
        <v>29992</v>
      </c>
      <c r="AA3577">
        <v>0.37629790861872009</v>
      </c>
      <c r="AB3577" t="str">
        <f>HYPERLINK("Melting_Curves/meltCurve_Q15628_TRADD.pdf", "Melting_Curves/meltCurve_Q15628_TRADD.pdf")</f>
        <v>Melting_Curves/meltCurve_Q15628_TRADD.pdf</v>
      </c>
    </row>
    <row r="3578" spans="1:28" x14ac:dyDescent="0.25">
      <c r="A3578" t="s">
        <v>3582</v>
      </c>
      <c r="B3578">
        <v>0.99193492352474899</v>
      </c>
      <c r="C3578">
        <v>0.761299586886649</v>
      </c>
      <c r="D3578">
        <v>0.81420106355852295</v>
      </c>
      <c r="E3578">
        <v>0.71179950792866897</v>
      </c>
      <c r="F3578">
        <v>0.56669480537185302</v>
      </c>
      <c r="G3578">
        <v>0.35319861782221401</v>
      </c>
      <c r="H3578">
        <v>0.23428321652285899</v>
      </c>
      <c r="I3578">
        <v>0.24664441003792301</v>
      </c>
      <c r="J3578">
        <v>0.28620808952038801</v>
      </c>
      <c r="K3578">
        <v>0.38820965030232102</v>
      </c>
      <c r="L3578">
        <v>548.91599508293598</v>
      </c>
      <c r="M3578">
        <v>10.9116839985775</v>
      </c>
      <c r="N3578">
        <v>53.390591186065301</v>
      </c>
      <c r="O3578">
        <v>48.704244161468203</v>
      </c>
      <c r="P3578">
        <v>-4.2927028731767902E-2</v>
      </c>
      <c r="Q3578">
        <v>0.233848381814072</v>
      </c>
      <c r="R3578">
        <v>0.91112423724467995</v>
      </c>
      <c r="S3578" t="s">
        <v>10248</v>
      </c>
      <c r="T3578" t="s">
        <v>13338</v>
      </c>
      <c r="U3578" t="s">
        <v>13338</v>
      </c>
      <c r="V3578" t="s">
        <v>13338</v>
      </c>
      <c r="W3578" t="s">
        <v>16868</v>
      </c>
      <c r="X3578">
        <v>21</v>
      </c>
      <c r="Y3578" t="s">
        <v>23392</v>
      </c>
      <c r="Z3578" t="s">
        <v>29993</v>
      </c>
      <c r="AA3578">
        <v>0.52699430397883096</v>
      </c>
      <c r="AB3578" t="str">
        <f>HYPERLINK("Melting_Curves/meltCurve_Q15637_5_SF1.pdf", "Melting_Curves/meltCurve_Q15637_5_SF1.pdf")</f>
        <v>Melting_Curves/meltCurve_Q15637_5_SF1.pdf</v>
      </c>
    </row>
    <row r="3579" spans="1:28" x14ac:dyDescent="0.25">
      <c r="A3579" t="s">
        <v>3583</v>
      </c>
      <c r="B3579">
        <v>0.99193492352474899</v>
      </c>
      <c r="C3579">
        <v>0.63502926126298898</v>
      </c>
      <c r="D3579">
        <v>0.79294969392140502</v>
      </c>
      <c r="E3579">
        <v>0.40026996793789399</v>
      </c>
      <c r="F3579">
        <v>9.30664068492532E-2</v>
      </c>
      <c r="G3579">
        <v>8.7700583593198198E-2</v>
      </c>
      <c r="H3579">
        <v>3.4644870282830399E-2</v>
      </c>
      <c r="I3579">
        <v>3.5167289142574498E-2</v>
      </c>
      <c r="J3579">
        <v>4.5917278583422198E-2</v>
      </c>
      <c r="K3579">
        <v>4.3143116390786398E-2</v>
      </c>
      <c r="L3579">
        <v>692.17210297532597</v>
      </c>
      <c r="M3579">
        <v>14.4725417970183</v>
      </c>
      <c r="N3579">
        <v>47.854282675903299</v>
      </c>
      <c r="O3579">
        <v>46.941264887652103</v>
      </c>
      <c r="P3579">
        <v>-7.6765261334191204E-2</v>
      </c>
      <c r="Q3579">
        <v>4.1722468357580098E-3</v>
      </c>
      <c r="R3579">
        <v>0.93351414506887997</v>
      </c>
      <c r="S3579" t="s">
        <v>10249</v>
      </c>
      <c r="T3579" t="s">
        <v>13338</v>
      </c>
      <c r="U3579" t="s">
        <v>13338</v>
      </c>
      <c r="V3579" t="s">
        <v>13338</v>
      </c>
      <c r="W3579" t="s">
        <v>16869</v>
      </c>
      <c r="X3579">
        <v>3</v>
      </c>
      <c r="Y3579" t="s">
        <v>23393</v>
      </c>
      <c r="Z3579" t="s">
        <v>29994</v>
      </c>
      <c r="AA3579">
        <v>0.29170910183174409</v>
      </c>
      <c r="AB3579" t="str">
        <f>HYPERLINK("Melting_Curves/meltCurve_Q15642_2_TRIP10.pdf", "Melting_Curves/meltCurve_Q15642_2_TRIP10.pdf")</f>
        <v>Melting_Curves/meltCurve_Q15642_2_TRIP10.pdf</v>
      </c>
    </row>
    <row r="3580" spans="1:28" x14ac:dyDescent="0.25">
      <c r="A3580" t="s">
        <v>3584</v>
      </c>
      <c r="B3580">
        <v>0.99193492352474899</v>
      </c>
      <c r="C3580">
        <v>0.69115833212882305</v>
      </c>
      <c r="D3580">
        <v>0.35467647152533999</v>
      </c>
      <c r="E3580">
        <v>0.26184491915156899</v>
      </c>
      <c r="F3580">
        <v>0.19829329756104</v>
      </c>
      <c r="G3580">
        <v>0.123425792589095</v>
      </c>
      <c r="H3580">
        <v>7.8898017989344704E-2</v>
      </c>
      <c r="I3580">
        <v>0.10609376531334599</v>
      </c>
      <c r="J3580">
        <v>0.10884475768316</v>
      </c>
      <c r="K3580">
        <v>0.122411136292253</v>
      </c>
      <c r="L3580">
        <v>982.50845260559595</v>
      </c>
      <c r="M3580">
        <v>22.1967869228239</v>
      </c>
      <c r="N3580">
        <v>44.836873324045001</v>
      </c>
      <c r="O3580">
        <v>43.9089869265011</v>
      </c>
      <c r="P3580">
        <v>-0.11076752051722601</v>
      </c>
      <c r="Q3580">
        <v>0.123551802656474</v>
      </c>
      <c r="R3580">
        <v>0.98088768730850995</v>
      </c>
      <c r="S3580" t="s">
        <v>10250</v>
      </c>
      <c r="T3580" t="s">
        <v>13338</v>
      </c>
      <c r="U3580" t="s">
        <v>13338</v>
      </c>
      <c r="V3580" t="s">
        <v>13338</v>
      </c>
      <c r="W3580" t="s">
        <v>16870</v>
      </c>
      <c r="X3580">
        <v>15</v>
      </c>
      <c r="Y3580" t="s">
        <v>23394</v>
      </c>
      <c r="Z3580" t="s">
        <v>29995</v>
      </c>
      <c r="AA3580">
        <v>0.26090681827742462</v>
      </c>
      <c r="AB3580" t="str">
        <f>HYPERLINK("Melting_Curves/meltCurve_Q15643_TRIP11.pdf", "Melting_Curves/meltCurve_Q15643_TRIP11.pdf")</f>
        <v>Melting_Curves/meltCurve_Q15643_TRIP11.pdf</v>
      </c>
    </row>
    <row r="3581" spans="1:28" x14ac:dyDescent="0.25">
      <c r="A3581" t="s">
        <v>3585</v>
      </c>
      <c r="B3581">
        <v>0.99193492352474899</v>
      </c>
      <c r="C3581">
        <v>0.89004325980689902</v>
      </c>
      <c r="D3581">
        <v>0.93425153039043296</v>
      </c>
      <c r="E3581">
        <v>0.64809735522905998</v>
      </c>
      <c r="F3581">
        <v>0.235693713259055</v>
      </c>
      <c r="G3581">
        <v>0.122353808369547</v>
      </c>
      <c r="H3581">
        <v>6.4788948029044502E-2</v>
      </c>
      <c r="I3581">
        <v>8.5297311559597397E-2</v>
      </c>
      <c r="J3581">
        <v>9.39063243616403E-2</v>
      </c>
      <c r="K3581">
        <v>9.7714518952001006E-2</v>
      </c>
      <c r="L3581">
        <v>1406.9799617495501</v>
      </c>
      <c r="M3581">
        <v>27.9499851087389</v>
      </c>
      <c r="N3581">
        <v>50.6635250119216</v>
      </c>
      <c r="O3581">
        <v>50.083637170896601</v>
      </c>
      <c r="P3581">
        <v>-0.128089325855131</v>
      </c>
      <c r="Q3581">
        <v>8.1913960990253207E-2</v>
      </c>
      <c r="R3581">
        <v>0.99166350404924597</v>
      </c>
      <c r="S3581" t="s">
        <v>10251</v>
      </c>
      <c r="T3581" t="s">
        <v>13338</v>
      </c>
      <c r="U3581" t="s">
        <v>13338</v>
      </c>
      <c r="V3581" t="s">
        <v>13338</v>
      </c>
      <c r="W3581" t="s">
        <v>16871</v>
      </c>
      <c r="X3581">
        <v>12</v>
      </c>
      <c r="Y3581" t="s">
        <v>23395</v>
      </c>
      <c r="Z3581" t="s">
        <v>29996</v>
      </c>
      <c r="AA3581">
        <v>0.40490809827804319</v>
      </c>
      <c r="AB3581" t="str">
        <f>HYPERLINK("Melting_Curves/meltCurve_Q15645_TRIP13.pdf", "Melting_Curves/meltCurve_Q15645_TRIP13.pdf")</f>
        <v>Melting_Curves/meltCurve_Q15645_TRIP13.pdf</v>
      </c>
    </row>
    <row r="3582" spans="1:28" x14ac:dyDescent="0.25">
      <c r="A3582" t="s">
        <v>3586</v>
      </c>
      <c r="B3582">
        <v>0.99193492352474899</v>
      </c>
      <c r="C3582">
        <v>0.60243212385518596</v>
      </c>
      <c r="D3582">
        <v>0.66987035162603903</v>
      </c>
      <c r="E3582">
        <v>0.39338771801060102</v>
      </c>
      <c r="F3582">
        <v>0.200030382096059</v>
      </c>
      <c r="G3582">
        <v>7.2699473613179202E-2</v>
      </c>
      <c r="H3582">
        <v>5.90060746454407E-2</v>
      </c>
      <c r="I3582">
        <v>7.4043199882748198E-2</v>
      </c>
      <c r="J3582">
        <v>9.1144974361109396E-2</v>
      </c>
      <c r="K3582">
        <v>0.106034428608464</v>
      </c>
      <c r="L3582">
        <v>589.06643584556696</v>
      </c>
      <c r="M3582">
        <v>12.5813629451672</v>
      </c>
      <c r="N3582">
        <v>47.162856282897998</v>
      </c>
      <c r="O3582">
        <v>45.684925269135</v>
      </c>
      <c r="P3582">
        <v>-6.58575734386843E-2</v>
      </c>
      <c r="Q3582">
        <v>4.3634465371939199E-2</v>
      </c>
      <c r="R3582">
        <v>0.94234685088232695</v>
      </c>
      <c r="S3582" t="s">
        <v>10252</v>
      </c>
      <c r="T3582" t="s">
        <v>13338</v>
      </c>
      <c r="U3582" t="s">
        <v>13338</v>
      </c>
      <c r="V3582" t="s">
        <v>13338</v>
      </c>
      <c r="W3582" t="s">
        <v>16872</v>
      </c>
      <c r="X3582">
        <v>11</v>
      </c>
      <c r="Y3582" t="s">
        <v>23396</v>
      </c>
      <c r="Z3582" t="s">
        <v>29997</v>
      </c>
      <c r="AA3582">
        <v>0.29832761396632801</v>
      </c>
      <c r="AB3582" t="str">
        <f>HYPERLINK("Melting_Curves/meltCurve_Q15648_MED1.pdf", "Melting_Curves/meltCurve_Q15648_MED1.pdf")</f>
        <v>Melting_Curves/meltCurve_Q15648_MED1.pdf</v>
      </c>
    </row>
    <row r="3583" spans="1:28" x14ac:dyDescent="0.25">
      <c r="A3583" t="s">
        <v>3587</v>
      </c>
      <c r="B3583">
        <v>0.99193492352474899</v>
      </c>
      <c r="C3583">
        <v>1.10838840347255</v>
      </c>
      <c r="D3583">
        <v>1.1178613952982599</v>
      </c>
      <c r="E3583">
        <v>1.1359793637609501</v>
      </c>
      <c r="F3583">
        <v>0.71139841207473098</v>
      </c>
      <c r="G3583">
        <v>0.53533520931181899</v>
      </c>
      <c r="H3583">
        <v>0.35299044296095</v>
      </c>
      <c r="I3583">
        <v>0.41810371893583298</v>
      </c>
      <c r="J3583">
        <v>0.31431293045716302</v>
      </c>
      <c r="K3583">
        <v>0.42090030384926302</v>
      </c>
      <c r="L3583">
        <v>2029.56907516367</v>
      </c>
      <c r="M3583">
        <v>37.653433950441801</v>
      </c>
      <c r="N3583">
        <v>56.1011174073845</v>
      </c>
      <c r="O3583">
        <v>53.749944979246699</v>
      </c>
      <c r="P3583">
        <v>-0.107570741267298</v>
      </c>
      <c r="Q3583">
        <v>0.385776537997711</v>
      </c>
      <c r="R3583">
        <v>0.93609979715764402</v>
      </c>
      <c r="S3583" t="s">
        <v>10253</v>
      </c>
      <c r="T3583" t="s">
        <v>13338</v>
      </c>
      <c r="U3583" t="s">
        <v>13338</v>
      </c>
      <c r="V3583" t="s">
        <v>13338</v>
      </c>
      <c r="W3583" t="s">
        <v>16873</v>
      </c>
      <c r="X3583">
        <v>2</v>
      </c>
      <c r="Y3583" t="s">
        <v>23397</v>
      </c>
      <c r="Z3583" t="s">
        <v>29998</v>
      </c>
      <c r="AA3583">
        <v>0.67297049241464435</v>
      </c>
      <c r="AB3583" t="str">
        <f>HYPERLINK("Melting_Curves/meltCurve_Q15649_ZNHIT3.pdf", "Melting_Curves/meltCurve_Q15649_ZNHIT3.pdf")</f>
        <v>Melting_Curves/meltCurve_Q15649_ZNHIT3.pdf</v>
      </c>
    </row>
    <row r="3584" spans="1:28" x14ac:dyDescent="0.25">
      <c r="A3584" t="s">
        <v>3588</v>
      </c>
      <c r="B3584">
        <v>0.99193492352474899</v>
      </c>
      <c r="C3584">
        <v>0.50229372579770604</v>
      </c>
      <c r="D3584">
        <v>0.69728810065026503</v>
      </c>
      <c r="E3584">
        <v>0.35837130978514198</v>
      </c>
      <c r="F3584">
        <v>0.27750469423636998</v>
      </c>
      <c r="G3584">
        <v>0.124946451246583</v>
      </c>
      <c r="H3584">
        <v>9.5192277200030206E-2</v>
      </c>
      <c r="I3584">
        <v>9.9632804518224802E-2</v>
      </c>
      <c r="J3584">
        <v>0.100562953063148</v>
      </c>
      <c r="K3584">
        <v>0.103767120757778</v>
      </c>
      <c r="L3584">
        <v>495.67874874007498</v>
      </c>
      <c r="M3584">
        <v>10.6459531092286</v>
      </c>
      <c r="N3584">
        <v>47.040808827026098</v>
      </c>
      <c r="O3584">
        <v>45.007563775119699</v>
      </c>
      <c r="P3584">
        <v>-5.6108891127284698E-2</v>
      </c>
      <c r="Q3584">
        <v>5.1523179301046801E-2</v>
      </c>
      <c r="R3584">
        <v>0.89158316452236996</v>
      </c>
      <c r="S3584" t="s">
        <v>10254</v>
      </c>
      <c r="T3584" t="s">
        <v>13338</v>
      </c>
      <c r="U3584" t="s">
        <v>13338</v>
      </c>
      <c r="V3584" t="s">
        <v>13338</v>
      </c>
      <c r="W3584" t="s">
        <v>16874</v>
      </c>
      <c r="X3584">
        <v>3</v>
      </c>
      <c r="Y3584" t="s">
        <v>23398</v>
      </c>
      <c r="Z3584" t="s">
        <v>29999</v>
      </c>
      <c r="AA3584">
        <v>0.30988600294002738</v>
      </c>
      <c r="AB3584" t="str">
        <f>HYPERLINK("Melting_Curves/meltCurve_Q15650_TRIP4.pdf", "Melting_Curves/meltCurve_Q15650_TRIP4.pdf")</f>
        <v>Melting_Curves/meltCurve_Q15650_TRIP4.pdf</v>
      </c>
    </row>
    <row r="3585" spans="1:28" x14ac:dyDescent="0.25">
      <c r="A3585" t="s">
        <v>3589</v>
      </c>
      <c r="B3585">
        <v>0.99193492352474899</v>
      </c>
      <c r="C3585">
        <v>0.813712998021483</v>
      </c>
      <c r="D3585">
        <v>0.84382022493694997</v>
      </c>
      <c r="E3585">
        <v>0.56139743254642605</v>
      </c>
      <c r="F3585">
        <v>0.316451892697866</v>
      </c>
      <c r="G3585">
        <v>0.22648346831112001</v>
      </c>
      <c r="H3585">
        <v>0.26510287661614101</v>
      </c>
      <c r="I3585">
        <v>0.33661988599818599</v>
      </c>
      <c r="J3585">
        <v>0.41842035179446402</v>
      </c>
      <c r="K3585">
        <v>0.55761763197648895</v>
      </c>
      <c r="L3585">
        <v>1168.33702161884</v>
      </c>
      <c r="M3585">
        <v>24.573092192024301</v>
      </c>
      <c r="N3585">
        <v>49.993948488417502</v>
      </c>
      <c r="O3585">
        <v>47.233842733133002</v>
      </c>
      <c r="P3585">
        <v>-8.4549502142109698E-2</v>
      </c>
      <c r="Q3585">
        <v>0.34993256150157298</v>
      </c>
      <c r="R3585">
        <v>0.84064061727512995</v>
      </c>
      <c r="S3585" t="s">
        <v>10255</v>
      </c>
      <c r="T3585" t="s">
        <v>13338</v>
      </c>
      <c r="U3585" t="s">
        <v>13338</v>
      </c>
      <c r="V3585" t="s">
        <v>13338</v>
      </c>
      <c r="W3585" t="s">
        <v>16875</v>
      </c>
      <c r="X3585">
        <v>12</v>
      </c>
      <c r="Y3585" t="s">
        <v>23399</v>
      </c>
      <c r="Z3585" t="s">
        <v>30000</v>
      </c>
      <c r="AA3585">
        <v>0.5194109906792086</v>
      </c>
      <c r="AB3585" t="str">
        <f>HYPERLINK("Melting_Curves/meltCurve_Q15652_3_JMJD1C.pdf", "Melting_Curves/meltCurve_Q15652_3_JMJD1C.pdf")</f>
        <v>Melting_Curves/meltCurve_Q15652_3_JMJD1C.pdf</v>
      </c>
    </row>
    <row r="3586" spans="1:28" x14ac:dyDescent="0.25">
      <c r="A3586" t="s">
        <v>3590</v>
      </c>
      <c r="B3586">
        <v>0.99193492352474899</v>
      </c>
      <c r="C3586">
        <v>0.84774204260237596</v>
      </c>
      <c r="D3586">
        <v>0.85753137988555606</v>
      </c>
      <c r="E3586">
        <v>0.69445553326526199</v>
      </c>
      <c r="F3586">
        <v>0.19936650607990999</v>
      </c>
      <c r="G3586">
        <v>0.122401051629318</v>
      </c>
      <c r="H3586">
        <v>8.0948659486678898E-2</v>
      </c>
      <c r="I3586">
        <v>0.10032158160183401</v>
      </c>
      <c r="J3586">
        <v>8.7094738988469395E-2</v>
      </c>
      <c r="K3586">
        <v>0.15045450178353101</v>
      </c>
      <c r="L3586">
        <v>1423.7352340179</v>
      </c>
      <c r="M3586">
        <v>28.310672769098801</v>
      </c>
      <c r="N3586">
        <v>50.663132170906799</v>
      </c>
      <c r="O3586">
        <v>50.040798868724998</v>
      </c>
      <c r="P3586">
        <v>-0.12812006295768</v>
      </c>
      <c r="Q3586">
        <v>9.4168288566317801E-2</v>
      </c>
      <c r="R3586">
        <v>0.97110191516901501</v>
      </c>
      <c r="S3586" t="s">
        <v>10256</v>
      </c>
      <c r="T3586" t="s">
        <v>13338</v>
      </c>
      <c r="U3586" t="s">
        <v>13338</v>
      </c>
      <c r="V3586" t="s">
        <v>13338</v>
      </c>
      <c r="W3586" t="s">
        <v>16876</v>
      </c>
      <c r="X3586">
        <v>21</v>
      </c>
      <c r="Y3586" t="s">
        <v>23400</v>
      </c>
      <c r="Z3586" t="s">
        <v>30001</v>
      </c>
      <c r="AA3586">
        <v>0.41118633557730472</v>
      </c>
      <c r="AB3586" t="str">
        <f>HYPERLINK("Melting_Curves/meltCurve_Q15691_MAPRE1.pdf", "Melting_Curves/meltCurve_Q15691_MAPRE1.pdf")</f>
        <v>Melting_Curves/meltCurve_Q15691_MAPRE1.pdf</v>
      </c>
    </row>
    <row r="3587" spans="1:28" x14ac:dyDescent="0.25">
      <c r="A3587" t="s">
        <v>3591</v>
      </c>
      <c r="B3587">
        <v>0.99193492352474899</v>
      </c>
      <c r="C3587">
        <v>0.97164994698552198</v>
      </c>
      <c r="D3587">
        <v>1.0108488093351999</v>
      </c>
      <c r="E3587">
        <v>0.82901065247391803</v>
      </c>
      <c r="F3587">
        <v>0.65980081753369901</v>
      </c>
      <c r="G3587">
        <v>0.63910241387595901</v>
      </c>
      <c r="H3587">
        <v>0.57824662738025301</v>
      </c>
      <c r="I3587">
        <v>0.62713227007093297</v>
      </c>
      <c r="J3587">
        <v>0.91533056220626796</v>
      </c>
      <c r="K3587">
        <v>1.02282571113432</v>
      </c>
      <c r="L3587">
        <v>12367.3918908997</v>
      </c>
      <c r="M3587">
        <v>250</v>
      </c>
      <c r="O3587">
        <v>49.466402090435103</v>
      </c>
      <c r="P3587">
        <v>-0.327992322846757</v>
      </c>
      <c r="Q3587">
        <v>0.74040639962937305</v>
      </c>
      <c r="R3587">
        <v>0.42945555809660702</v>
      </c>
      <c r="S3587" t="s">
        <v>10257</v>
      </c>
      <c r="T3587" t="s">
        <v>13338</v>
      </c>
      <c r="U3587" t="s">
        <v>13338</v>
      </c>
      <c r="V3587" t="s">
        <v>13338</v>
      </c>
      <c r="W3587" t="s">
        <v>16877</v>
      </c>
      <c r="X3587">
        <v>6</v>
      </c>
      <c r="Y3587" t="s">
        <v>23401</v>
      </c>
      <c r="Z3587" t="s">
        <v>30002</v>
      </c>
      <c r="AA3587">
        <v>0.822370241702858</v>
      </c>
      <c r="AB3587" t="str">
        <f>HYPERLINK("Melting_Curves/meltCurve_Q15714_TSC22D1.pdf", "Melting_Curves/meltCurve_Q15714_TSC22D1.pdf")</f>
        <v>Melting_Curves/meltCurve_Q15714_TSC22D1.pdf</v>
      </c>
    </row>
    <row r="3588" spans="1:28" x14ac:dyDescent="0.25">
      <c r="A3588" t="s">
        <v>3592</v>
      </c>
      <c r="B3588">
        <v>0.99193492352474899</v>
      </c>
      <c r="C3588">
        <v>0.39490467098396198</v>
      </c>
      <c r="D3588">
        <v>0.65036116860936</v>
      </c>
      <c r="E3588">
        <v>0.20553763497670299</v>
      </c>
      <c r="F3588">
        <v>0.14399144890056501</v>
      </c>
      <c r="G3588">
        <v>7.7222724987666302E-2</v>
      </c>
      <c r="H3588">
        <v>5.4589517351943402E-2</v>
      </c>
      <c r="I3588">
        <v>6.3047542476910995E-2</v>
      </c>
      <c r="J3588">
        <v>9.72147259820694E-2</v>
      </c>
      <c r="K3588">
        <v>7.5984241480918702E-2</v>
      </c>
      <c r="L3588">
        <v>590.37625535863697</v>
      </c>
      <c r="M3588">
        <v>13.1844557873857</v>
      </c>
      <c r="N3588">
        <v>45.142365212517099</v>
      </c>
      <c r="O3588">
        <v>43.785662770082702</v>
      </c>
      <c r="P3588">
        <v>-7.1492637930520894E-2</v>
      </c>
      <c r="Q3588">
        <v>5.0448750902010703E-2</v>
      </c>
      <c r="R3588">
        <v>0.84112939938528697</v>
      </c>
      <c r="S3588" t="s">
        <v>10258</v>
      </c>
      <c r="T3588" t="s">
        <v>13338</v>
      </c>
      <c r="U3588" t="s">
        <v>13338</v>
      </c>
      <c r="V3588" t="s">
        <v>13338</v>
      </c>
      <c r="W3588" t="s">
        <v>16878</v>
      </c>
      <c r="X3588">
        <v>7</v>
      </c>
      <c r="Y3588" t="s">
        <v>23402</v>
      </c>
      <c r="Z3588" t="s">
        <v>30003</v>
      </c>
      <c r="AA3588">
        <v>0.24226633990049229</v>
      </c>
      <c r="AB3588" t="str">
        <f>HYPERLINK("Melting_Curves/meltCurve_Q15717_ELAVL1.pdf", "Melting_Curves/meltCurve_Q15717_ELAVL1.pdf")</f>
        <v>Melting_Curves/meltCurve_Q15717_ELAVL1.pdf</v>
      </c>
    </row>
    <row r="3589" spans="1:28" x14ac:dyDescent="0.25">
      <c r="A3589" t="s">
        <v>3593</v>
      </c>
      <c r="B3589">
        <v>0.99193492352474899</v>
      </c>
      <c r="C3589">
        <v>0.92745918049614895</v>
      </c>
      <c r="D3589">
        <v>1.0531631969126101</v>
      </c>
      <c r="E3589">
        <v>0.85286166273965902</v>
      </c>
      <c r="F3589">
        <v>0.49293312384786703</v>
      </c>
      <c r="G3589">
        <v>0.17541543524814299</v>
      </c>
      <c r="H3589">
        <v>6.2648102898571006E-2</v>
      </c>
      <c r="I3589">
        <v>6.4501567135201401E-2</v>
      </c>
      <c r="J3589">
        <v>7.43587757898687E-2</v>
      </c>
      <c r="K3589">
        <v>7.59780892288133E-2</v>
      </c>
      <c r="L3589">
        <v>1508.5280241308401</v>
      </c>
      <c r="M3589">
        <v>28.5543530926467</v>
      </c>
      <c r="N3589">
        <v>53.078304749922602</v>
      </c>
      <c r="O3589">
        <v>52.572979083189097</v>
      </c>
      <c r="P3589">
        <v>-0.127297718602014</v>
      </c>
      <c r="Q3589">
        <v>6.2508345497279794E-2</v>
      </c>
      <c r="R3589">
        <v>0.99363744923708697</v>
      </c>
      <c r="S3589" t="s">
        <v>10259</v>
      </c>
      <c r="T3589" t="s">
        <v>13338</v>
      </c>
      <c r="U3589" t="s">
        <v>13338</v>
      </c>
      <c r="V3589" t="s">
        <v>13338</v>
      </c>
      <c r="W3589" t="s">
        <v>16879</v>
      </c>
      <c r="X3589">
        <v>13</v>
      </c>
      <c r="Y3589" t="s">
        <v>23403</v>
      </c>
      <c r="Z3589" t="s">
        <v>30004</v>
      </c>
      <c r="AA3589">
        <v>0.47012397864102451</v>
      </c>
      <c r="AB3589" t="str">
        <f>HYPERLINK("Melting_Curves/meltCurve_Q15738_NSDHL.pdf", "Melting_Curves/meltCurve_Q15738_NSDHL.pdf")</f>
        <v>Melting_Curves/meltCurve_Q15738_NSDHL.pdf</v>
      </c>
    </row>
    <row r="3590" spans="1:28" x14ac:dyDescent="0.25">
      <c r="A3590" t="s">
        <v>3594</v>
      </c>
      <c r="B3590">
        <v>0.99193492352474899</v>
      </c>
      <c r="C3590">
        <v>0.68872922957738802</v>
      </c>
      <c r="D3590">
        <v>0.604216915227344</v>
      </c>
      <c r="E3590">
        <v>0.48383808248277499</v>
      </c>
      <c r="F3590">
        <v>0</v>
      </c>
      <c r="G3590">
        <v>0.27276421827483899</v>
      </c>
      <c r="H3590">
        <v>0</v>
      </c>
      <c r="I3590">
        <v>0</v>
      </c>
      <c r="J3590">
        <v>0</v>
      </c>
      <c r="K3590">
        <v>0</v>
      </c>
      <c r="L3590">
        <v>610.34616935444205</v>
      </c>
      <c r="M3590">
        <v>12.883927094276901</v>
      </c>
      <c r="N3590">
        <v>47.372683437521097</v>
      </c>
      <c r="O3590">
        <v>46.274965484302498</v>
      </c>
      <c r="P3590">
        <v>-6.9618010713772799E-2</v>
      </c>
      <c r="Q3590">
        <v>0</v>
      </c>
      <c r="R3590">
        <v>0.91402907499562902</v>
      </c>
      <c r="S3590" t="s">
        <v>10260</v>
      </c>
      <c r="T3590" t="s">
        <v>13338</v>
      </c>
      <c r="U3590" t="s">
        <v>13338</v>
      </c>
      <c r="V3590" t="s">
        <v>13338</v>
      </c>
      <c r="W3590" t="s">
        <v>16880</v>
      </c>
      <c r="X3590">
        <v>2</v>
      </c>
      <c r="Y3590" t="s">
        <v>23404</v>
      </c>
      <c r="Z3590" t="s">
        <v>30005</v>
      </c>
      <c r="AA3590">
        <v>0.28157765297510362</v>
      </c>
      <c r="AB3590" t="str">
        <f>HYPERLINK("Melting_Curves/meltCurve_Q15742_3_NAB2.pdf", "Melting_Curves/meltCurve_Q15742_3_NAB2.pdf")</f>
        <v>Melting_Curves/meltCurve_Q15742_3_NAB2.pdf</v>
      </c>
    </row>
    <row r="3591" spans="1:28" x14ac:dyDescent="0.25">
      <c r="A3591" t="s">
        <v>3595</v>
      </c>
      <c r="B3591">
        <v>0.99193492352474899</v>
      </c>
      <c r="C3591">
        <v>0.73531039332745696</v>
      </c>
      <c r="D3591">
        <v>0.73963178047147904</v>
      </c>
      <c r="E3591">
        <v>0.65741445907154294</v>
      </c>
      <c r="F3591">
        <v>0.55875605409059204</v>
      </c>
      <c r="G3591">
        <v>0.46589307381862399</v>
      </c>
      <c r="H3591">
        <v>0.35648299193687299</v>
      </c>
      <c r="I3591">
        <v>0.519651126662525</v>
      </c>
      <c r="J3591">
        <v>0.64050120962424295</v>
      </c>
      <c r="K3591">
        <v>0.67618139231735297</v>
      </c>
      <c r="L3591">
        <v>721.34276652664801</v>
      </c>
      <c r="M3591">
        <v>16.329908513053802</v>
      </c>
      <c r="O3591">
        <v>43.526622966734898</v>
      </c>
      <c r="P3591">
        <v>-4.3426323204763903E-2</v>
      </c>
      <c r="Q3591">
        <v>0.53703016399015902</v>
      </c>
      <c r="R3591">
        <v>0.68152793949114399</v>
      </c>
      <c r="S3591" t="s">
        <v>10261</v>
      </c>
      <c r="T3591" t="s">
        <v>13338</v>
      </c>
      <c r="U3591" t="s">
        <v>13338</v>
      </c>
      <c r="V3591" t="s">
        <v>13338</v>
      </c>
      <c r="W3591" t="s">
        <v>16881</v>
      </c>
      <c r="X3591">
        <v>1</v>
      </c>
      <c r="Y3591" t="s">
        <v>23405</v>
      </c>
      <c r="Z3591" t="s">
        <v>30006</v>
      </c>
      <c r="AA3591">
        <v>0.61517132670056685</v>
      </c>
      <c r="AB3591" t="str">
        <f>HYPERLINK("Melting_Curves/meltCurve_Q15743_GPR68.pdf", "Melting_Curves/meltCurve_Q15743_GPR68.pdf")</f>
        <v>Melting_Curves/meltCurve_Q15743_GPR68.pdf</v>
      </c>
    </row>
    <row r="3592" spans="1:28" x14ac:dyDescent="0.25">
      <c r="A3592" t="s">
        <v>3596</v>
      </c>
      <c r="B3592">
        <v>0.99193492352474899</v>
      </c>
      <c r="C3592">
        <v>0.86841149667739004</v>
      </c>
      <c r="D3592">
        <v>0.73671438398093603</v>
      </c>
      <c r="E3592">
        <v>0.382999107786614</v>
      </c>
      <c r="F3592">
        <v>0.202285306248458</v>
      </c>
      <c r="G3592">
        <v>7.3823400850064294E-2</v>
      </c>
      <c r="H3592">
        <v>3.54670810257674E-2</v>
      </c>
      <c r="I3592">
        <v>3.0197106765598999E-2</v>
      </c>
      <c r="J3592">
        <v>3.6333459986219702E-2</v>
      </c>
      <c r="K3592">
        <v>2.4391640376507401E-2</v>
      </c>
      <c r="L3592">
        <v>839.42106390286699</v>
      </c>
      <c r="M3592">
        <v>17.370508868646599</v>
      </c>
      <c r="N3592">
        <v>48.425339491949103</v>
      </c>
      <c r="O3592">
        <v>47.697675640309903</v>
      </c>
      <c r="P3592">
        <v>-8.9432628440728301E-2</v>
      </c>
      <c r="Q3592">
        <v>1.7763640357610098E-2</v>
      </c>
      <c r="R3592">
        <v>0.99768857479608497</v>
      </c>
      <c r="S3592" t="s">
        <v>10262</v>
      </c>
      <c r="T3592" t="s">
        <v>13338</v>
      </c>
      <c r="U3592" t="s">
        <v>13338</v>
      </c>
      <c r="V3592" t="s">
        <v>13338</v>
      </c>
      <c r="W3592" t="s">
        <v>16882</v>
      </c>
      <c r="X3592">
        <v>1</v>
      </c>
      <c r="Y3592" t="s">
        <v>23406</v>
      </c>
      <c r="Z3592" t="s">
        <v>30007</v>
      </c>
      <c r="AA3592">
        <v>0.30889461218858472</v>
      </c>
      <c r="AB3592" t="str">
        <f>HYPERLINK("Melting_Curves/meltCurve_Q15746_4_MYLK.pdf", "Melting_Curves/meltCurve_Q15746_4_MYLK.pdf")</f>
        <v>Melting_Curves/meltCurve_Q15746_4_MYLK.pdf</v>
      </c>
    </row>
    <row r="3593" spans="1:28" x14ac:dyDescent="0.25">
      <c r="A3593" t="s">
        <v>3597</v>
      </c>
      <c r="B3593">
        <v>0.99193492352474899</v>
      </c>
      <c r="C3593">
        <v>0.88626187497183095</v>
      </c>
      <c r="D3593">
        <v>0.74951344235842898</v>
      </c>
      <c r="E3593">
        <v>0.28423683470562999</v>
      </c>
      <c r="F3593">
        <v>0.16292520476581501</v>
      </c>
      <c r="G3593">
        <v>8.71512432275377E-2</v>
      </c>
      <c r="H3593">
        <v>5.2525311420921698E-2</v>
      </c>
      <c r="I3593">
        <v>5.9895556290708502E-2</v>
      </c>
      <c r="J3593">
        <v>6.6470932094645593E-2</v>
      </c>
      <c r="K3593">
        <v>7.6447384685591799E-2</v>
      </c>
      <c r="L3593">
        <v>1143.50880836581</v>
      </c>
      <c r="M3593">
        <v>24.047292990303902</v>
      </c>
      <c r="N3593">
        <v>47.831499799545099</v>
      </c>
      <c r="O3593">
        <v>47.227323604311103</v>
      </c>
      <c r="P3593">
        <v>-0.118967400390757</v>
      </c>
      <c r="Q3593">
        <v>6.5437889767755303E-2</v>
      </c>
      <c r="R3593">
        <v>0.99507822777215305</v>
      </c>
      <c r="S3593" t="s">
        <v>10263</v>
      </c>
      <c r="T3593" t="s">
        <v>13338</v>
      </c>
      <c r="U3593" t="s">
        <v>13338</v>
      </c>
      <c r="V3593" t="s">
        <v>13338</v>
      </c>
      <c r="W3593" t="s">
        <v>16883</v>
      </c>
      <c r="X3593">
        <v>10</v>
      </c>
      <c r="Y3593" t="s">
        <v>23407</v>
      </c>
      <c r="Z3593" t="s">
        <v>30008</v>
      </c>
      <c r="AA3593">
        <v>0.30971918324214293</v>
      </c>
      <c r="AB3593" t="str">
        <f>HYPERLINK("Melting_Curves/meltCurve_Q15750_2_TAB1.pdf", "Melting_Curves/meltCurve_Q15750_2_TAB1.pdf")</f>
        <v>Melting_Curves/meltCurve_Q15750_2_TAB1.pdf</v>
      </c>
    </row>
    <row r="3594" spans="1:28" x14ac:dyDescent="0.25">
      <c r="A3594" t="s">
        <v>3598</v>
      </c>
      <c r="B3594">
        <v>0.99193492352474899</v>
      </c>
      <c r="C3594">
        <v>0.94922759790542599</v>
      </c>
      <c r="D3594">
        <v>1.1069263622508601</v>
      </c>
      <c r="E3594">
        <v>0.65678465805083797</v>
      </c>
      <c r="F3594">
        <v>0.23799127279103</v>
      </c>
      <c r="G3594">
        <v>0.211351961746964</v>
      </c>
      <c r="H3594">
        <v>0.12642477988925199</v>
      </c>
      <c r="I3594">
        <v>0.186138353919407</v>
      </c>
      <c r="J3594">
        <v>0.13252950471606501</v>
      </c>
      <c r="K3594">
        <v>0</v>
      </c>
      <c r="L3594">
        <v>2037.2347878944699</v>
      </c>
      <c r="M3594">
        <v>40.5360230843051</v>
      </c>
      <c r="N3594">
        <v>50.641239291465403</v>
      </c>
      <c r="O3594">
        <v>50.135544874389304</v>
      </c>
      <c r="P3594">
        <v>-0.175397435645885</v>
      </c>
      <c r="Q3594">
        <v>0.132265302864878</v>
      </c>
      <c r="R3594">
        <v>0.97170295821116703</v>
      </c>
      <c r="S3594" t="s">
        <v>10264</v>
      </c>
      <c r="T3594" t="s">
        <v>13338</v>
      </c>
      <c r="U3594" t="s">
        <v>13338</v>
      </c>
      <c r="V3594" t="s">
        <v>13338</v>
      </c>
      <c r="W3594" t="s">
        <v>16884</v>
      </c>
      <c r="X3594">
        <v>2</v>
      </c>
      <c r="Y3594" t="s">
        <v>23408</v>
      </c>
      <c r="Z3594" t="s">
        <v>30009</v>
      </c>
      <c r="AA3594">
        <v>0.43189039886049568</v>
      </c>
      <c r="AB3594" t="str">
        <f>HYPERLINK("Melting_Curves/meltCurve_Q15751_HERC1.pdf", "Melting_Curves/meltCurve_Q15751_HERC1.pdf")</f>
        <v>Melting_Curves/meltCurve_Q15751_HERC1.pdf</v>
      </c>
    </row>
    <row r="3595" spans="1:28" x14ac:dyDescent="0.25">
      <c r="A3595" t="s">
        <v>3599</v>
      </c>
      <c r="B3595">
        <v>0.99193492352474899</v>
      </c>
      <c r="C3595">
        <v>1.0145759845075799</v>
      </c>
      <c r="D3595">
        <v>0.93516688723561003</v>
      </c>
      <c r="E3595">
        <v>0.849434775843391</v>
      </c>
      <c r="F3595">
        <v>0.79529847896686501</v>
      </c>
      <c r="G3595">
        <v>0.66542093567891702</v>
      </c>
      <c r="H3595">
        <v>0.55360865238201296</v>
      </c>
      <c r="I3595">
        <v>0.63404636213045795</v>
      </c>
      <c r="J3595">
        <v>0.80526012981085204</v>
      </c>
      <c r="K3595">
        <v>0.98208565653368096</v>
      </c>
      <c r="L3595">
        <v>1315.33697465664</v>
      </c>
      <c r="M3595">
        <v>26.914102151087899</v>
      </c>
      <c r="O3595">
        <v>48.604253024829802</v>
      </c>
      <c r="P3595">
        <v>-3.6872549660031201E-2</v>
      </c>
      <c r="Q3595">
        <v>0.73364971886201702</v>
      </c>
      <c r="R3595">
        <v>0.50625132042854404</v>
      </c>
      <c r="S3595" t="s">
        <v>10265</v>
      </c>
      <c r="T3595" t="s">
        <v>13338</v>
      </c>
      <c r="U3595" t="s">
        <v>13338</v>
      </c>
      <c r="V3595" t="s">
        <v>13338</v>
      </c>
      <c r="W3595" t="s">
        <v>16885</v>
      </c>
      <c r="X3595">
        <v>11</v>
      </c>
      <c r="Y3595" t="s">
        <v>23409</v>
      </c>
      <c r="Z3595" t="s">
        <v>30010</v>
      </c>
      <c r="AA3595">
        <v>0.81444036035223089</v>
      </c>
      <c r="AB3595" t="str">
        <f>HYPERLINK("Melting_Curves/meltCurve_Q15758_SLC1A5.pdf", "Melting_Curves/meltCurve_Q15758_SLC1A5.pdf")</f>
        <v>Melting_Curves/meltCurve_Q15758_SLC1A5.pdf</v>
      </c>
    </row>
    <row r="3596" spans="1:28" x14ac:dyDescent="0.25">
      <c r="A3596" t="s">
        <v>3600</v>
      </c>
      <c r="B3596">
        <v>0.99193492352474899</v>
      </c>
      <c r="C3596">
        <v>1.1099950181834499</v>
      </c>
      <c r="D3596">
        <v>1.03916782420299</v>
      </c>
      <c r="E3596">
        <v>0.72174446890113098</v>
      </c>
      <c r="F3596">
        <v>0.42009387985035501</v>
      </c>
      <c r="G3596">
        <v>0.22961741569965199</v>
      </c>
      <c r="H3596">
        <v>0.13416317813110301</v>
      </c>
      <c r="I3596">
        <v>5.6633901613059701E-2</v>
      </c>
      <c r="J3596">
        <v>0.122967164991907</v>
      </c>
      <c r="K3596">
        <v>0.12830408521765399</v>
      </c>
      <c r="L3596">
        <v>1252.6774441126399</v>
      </c>
      <c r="M3596">
        <v>24.212286798787499</v>
      </c>
      <c r="N3596">
        <v>52.260698382657203</v>
      </c>
      <c r="O3596">
        <v>51.388222499442797</v>
      </c>
      <c r="P3596">
        <v>-0.105110005450268</v>
      </c>
      <c r="Q3596">
        <v>0.10767078524741</v>
      </c>
      <c r="R3596">
        <v>0.98348504268622905</v>
      </c>
      <c r="S3596" t="s">
        <v>10266</v>
      </c>
      <c r="T3596" t="s">
        <v>13338</v>
      </c>
      <c r="U3596" t="s">
        <v>13338</v>
      </c>
      <c r="V3596" t="s">
        <v>13338</v>
      </c>
      <c r="W3596" t="s">
        <v>16886</v>
      </c>
      <c r="X3596">
        <v>1</v>
      </c>
      <c r="Y3596" t="s">
        <v>23410</v>
      </c>
      <c r="Z3596" t="s">
        <v>30011</v>
      </c>
      <c r="AA3596">
        <v>0.4654300273789867</v>
      </c>
      <c r="AB3596" t="str">
        <f>HYPERLINK("Melting_Curves/meltCurve_Q15759_MAPK11.pdf", "Melting_Curves/meltCurve_Q15759_MAPK11.pdf")</f>
        <v>Melting_Curves/meltCurve_Q15759_MAPK11.pdf</v>
      </c>
    </row>
    <row r="3597" spans="1:28" x14ac:dyDescent="0.25">
      <c r="A3597" t="s">
        <v>3601</v>
      </c>
      <c r="B3597">
        <v>0.99193492352474899</v>
      </c>
      <c r="C3597">
        <v>0.71153727353918095</v>
      </c>
      <c r="D3597">
        <v>0.54804767387645004</v>
      </c>
      <c r="E3597">
        <v>0.26436985615803299</v>
      </c>
      <c r="F3597">
        <v>0.30623122591463098</v>
      </c>
      <c r="G3597">
        <v>0.26834572900749898</v>
      </c>
      <c r="H3597">
        <v>0.33071380744585499</v>
      </c>
      <c r="I3597">
        <v>0.91248432970262505</v>
      </c>
      <c r="J3597">
        <v>1.3045688261550601</v>
      </c>
      <c r="K3597">
        <v>2.4178332283008199</v>
      </c>
      <c r="L3597">
        <v>10129.803877586</v>
      </c>
      <c r="M3597">
        <v>250</v>
      </c>
      <c r="O3597">
        <v>40.516620970407601</v>
      </c>
      <c r="P3597">
        <v>-0.33180279496040899</v>
      </c>
      <c r="Q3597">
        <v>0.78490354257949901</v>
      </c>
      <c r="R3597">
        <v>9.5815401514036704E-3</v>
      </c>
      <c r="S3597" t="s">
        <v>10267</v>
      </c>
      <c r="T3597" t="s">
        <v>13338</v>
      </c>
      <c r="U3597" t="s">
        <v>13338</v>
      </c>
      <c r="V3597" t="s">
        <v>13338</v>
      </c>
      <c r="W3597" t="s">
        <v>16887</v>
      </c>
      <c r="X3597">
        <v>1</v>
      </c>
      <c r="Y3597" t="s">
        <v>23411</v>
      </c>
      <c r="Z3597" t="s">
        <v>30012</v>
      </c>
      <c r="AA3597">
        <v>0.7886844998885264</v>
      </c>
      <c r="AB3597" t="str">
        <f>HYPERLINK("Melting_Curves/meltCurve_Q15773_MLF2.pdf", "Melting_Curves/meltCurve_Q15773_MLF2.pdf")</f>
        <v>Melting_Curves/meltCurve_Q15773_MLF2.pdf</v>
      </c>
    </row>
    <row r="3598" spans="1:28" x14ac:dyDescent="0.25">
      <c r="A3598" t="s">
        <v>3602</v>
      </c>
      <c r="B3598">
        <v>0.99193492352474899</v>
      </c>
      <c r="C3598">
        <v>0.95674116249174102</v>
      </c>
      <c r="D3598">
        <v>0.886719338642315</v>
      </c>
      <c r="E3598">
        <v>0.78038923354651801</v>
      </c>
      <c r="F3598">
        <v>0.83125134242300702</v>
      </c>
      <c r="G3598">
        <v>0.58836311316642198</v>
      </c>
      <c r="H3598">
        <v>0.447285050565283</v>
      </c>
      <c r="I3598">
        <v>0.51629732154670305</v>
      </c>
      <c r="J3598">
        <v>0.32320443356598799</v>
      </c>
      <c r="K3598">
        <v>0.18461829096016499</v>
      </c>
      <c r="L3598">
        <v>460.20171931467797</v>
      </c>
      <c r="M3598">
        <v>7.5987221543894901</v>
      </c>
      <c r="N3598">
        <v>60.563040667188602</v>
      </c>
      <c r="O3598">
        <v>56.795479681516198</v>
      </c>
      <c r="P3598">
        <v>-3.3493557668633801E-2</v>
      </c>
      <c r="Q3598">
        <v>0</v>
      </c>
      <c r="R3598">
        <v>0.94826949952737305</v>
      </c>
      <c r="S3598" t="s">
        <v>10268</v>
      </c>
      <c r="T3598" t="s">
        <v>13338</v>
      </c>
      <c r="U3598" t="s">
        <v>13338</v>
      </c>
      <c r="V3598" t="s">
        <v>13338</v>
      </c>
      <c r="W3598" t="s">
        <v>16888</v>
      </c>
      <c r="X3598">
        <v>2</v>
      </c>
      <c r="Y3598" t="s">
        <v>23412</v>
      </c>
      <c r="Z3598" t="s">
        <v>30013</v>
      </c>
      <c r="AA3598">
        <v>0.66118833088450124</v>
      </c>
      <c r="AB3598" t="str">
        <f>HYPERLINK("Melting_Curves/meltCurve_Q15777_2_MPPED2.pdf", "Melting_Curves/meltCurve_Q15777_2_MPPED2.pdf")</f>
        <v>Melting_Curves/meltCurve_Q15777_2_MPPED2.pdf</v>
      </c>
    </row>
    <row r="3599" spans="1:28" x14ac:dyDescent="0.25">
      <c r="A3599" t="s">
        <v>3603</v>
      </c>
      <c r="B3599">
        <v>0.99193492352474899</v>
      </c>
      <c r="C3599">
        <v>0.687956728788925</v>
      </c>
      <c r="D3599">
        <v>0.54346139637612101</v>
      </c>
      <c r="E3599">
        <v>0.18054789671719501</v>
      </c>
      <c r="F3599">
        <v>0.132315731777776</v>
      </c>
      <c r="G3599">
        <v>6.6712565647872701E-2</v>
      </c>
      <c r="H3599">
        <v>5.4426142275832201E-2</v>
      </c>
      <c r="I3599">
        <v>6.2771094985693401E-2</v>
      </c>
      <c r="J3599">
        <v>8.9177336935219106E-2</v>
      </c>
      <c r="K3599">
        <v>9.6359836980872499E-2</v>
      </c>
      <c r="L3599">
        <v>856.19620550002605</v>
      </c>
      <c r="M3599">
        <v>18.8596439411705</v>
      </c>
      <c r="N3599">
        <v>45.743247336697998</v>
      </c>
      <c r="O3599">
        <v>44.8971466773271</v>
      </c>
      <c r="P3599">
        <v>-9.8059174099508997E-2</v>
      </c>
      <c r="Q3599">
        <v>6.6282180579468802E-2</v>
      </c>
      <c r="R3599">
        <v>0.98135846091823997</v>
      </c>
      <c r="S3599" t="s">
        <v>10269</v>
      </c>
      <c r="T3599" t="s">
        <v>13338</v>
      </c>
      <c r="U3599" t="s">
        <v>13338</v>
      </c>
      <c r="V3599" t="s">
        <v>13338</v>
      </c>
      <c r="W3599" t="s">
        <v>16889</v>
      </c>
      <c r="X3599">
        <v>14</v>
      </c>
      <c r="Y3599" t="s">
        <v>23413</v>
      </c>
      <c r="Z3599" t="s">
        <v>30014</v>
      </c>
      <c r="AA3599">
        <v>0.2516661381061579</v>
      </c>
      <c r="AB3599" t="str">
        <f>HYPERLINK("Melting_Curves/meltCurve_Q15785_TOMM34.pdf", "Melting_Curves/meltCurve_Q15785_TOMM34.pdf")</f>
        <v>Melting_Curves/meltCurve_Q15785_TOMM34.pdf</v>
      </c>
    </row>
    <row r="3600" spans="1:28" x14ac:dyDescent="0.25">
      <c r="A3600" t="s">
        <v>3604</v>
      </c>
      <c r="B3600">
        <v>0.99193492352474899</v>
      </c>
      <c r="C3600">
        <v>0.88019992371752498</v>
      </c>
      <c r="D3600">
        <v>0.956772567883581</v>
      </c>
      <c r="E3600">
        <v>0.43337126722881603</v>
      </c>
      <c r="F3600">
        <v>0.19837841610031201</v>
      </c>
      <c r="G3600">
        <v>8.8920126814967304E-2</v>
      </c>
      <c r="H3600">
        <v>5.8238521915096098E-2</v>
      </c>
      <c r="I3600">
        <v>7.1326248294971306E-2</v>
      </c>
      <c r="J3600">
        <v>6.8384159624239604E-2</v>
      </c>
      <c r="K3600">
        <v>7.9977147205536905E-2</v>
      </c>
      <c r="L3600">
        <v>1556.4493638224201</v>
      </c>
      <c r="M3600">
        <v>31.7030570455853</v>
      </c>
      <c r="N3600">
        <v>49.353306403830999</v>
      </c>
      <c r="O3600">
        <v>48.900515621161901</v>
      </c>
      <c r="P3600">
        <v>-0.14967334622288</v>
      </c>
      <c r="Q3600">
        <v>7.6547665415288693E-2</v>
      </c>
      <c r="R3600">
        <v>0.98699115984772501</v>
      </c>
      <c r="S3600" t="s">
        <v>10270</v>
      </c>
      <c r="T3600" t="s">
        <v>13338</v>
      </c>
      <c r="U3600" t="s">
        <v>13338</v>
      </c>
      <c r="V3600" t="s">
        <v>13338</v>
      </c>
      <c r="W3600" t="s">
        <v>16890</v>
      </c>
      <c r="X3600">
        <v>13</v>
      </c>
      <c r="Y3600" t="s">
        <v>23414</v>
      </c>
      <c r="Z3600" t="s">
        <v>30015</v>
      </c>
      <c r="AA3600">
        <v>0.36152660042621498</v>
      </c>
      <c r="AB3600" t="str">
        <f>HYPERLINK("Melting_Curves/meltCurve_Q15796_2_SMAD2.pdf", "Melting_Curves/meltCurve_Q15796_2_SMAD2.pdf")</f>
        <v>Melting_Curves/meltCurve_Q15796_2_SMAD2.pdf</v>
      </c>
    </row>
    <row r="3601" spans="1:28" x14ac:dyDescent="0.25">
      <c r="A3601" t="s">
        <v>3605</v>
      </c>
      <c r="B3601">
        <v>0.99193492352474899</v>
      </c>
      <c r="C3601">
        <v>0.84388660402511195</v>
      </c>
      <c r="D3601">
        <v>1.08658812422129</v>
      </c>
      <c r="E3601">
        <v>0.74481436033192305</v>
      </c>
      <c r="F3601">
        <v>0.58290163090673097</v>
      </c>
      <c r="G3601">
        <v>0.44002979289167099</v>
      </c>
      <c r="H3601">
        <v>0.27081824132045701</v>
      </c>
      <c r="I3601">
        <v>0.14120876503910601</v>
      </c>
      <c r="J3601">
        <v>0.18389876240256101</v>
      </c>
      <c r="K3601">
        <v>0.146478695944041</v>
      </c>
      <c r="L3601">
        <v>771.51661548160598</v>
      </c>
      <c r="M3601">
        <v>14.294243415591399</v>
      </c>
      <c r="N3601">
        <v>54.924529926828598</v>
      </c>
      <c r="O3601">
        <v>52.950540993724204</v>
      </c>
      <c r="P3601">
        <v>-6.0100351048417003E-2</v>
      </c>
      <c r="Q3601">
        <v>0.109583403037603</v>
      </c>
      <c r="R3601">
        <v>0.95609797903600002</v>
      </c>
      <c r="S3601" t="s">
        <v>10271</v>
      </c>
      <c r="T3601" t="s">
        <v>13338</v>
      </c>
      <c r="U3601" t="s">
        <v>13338</v>
      </c>
      <c r="V3601" t="s">
        <v>13338</v>
      </c>
      <c r="W3601" t="s">
        <v>16891</v>
      </c>
      <c r="X3601">
        <v>2</v>
      </c>
      <c r="Y3601" t="s">
        <v>23415</v>
      </c>
      <c r="Z3601" t="s">
        <v>30016</v>
      </c>
      <c r="AA3601">
        <v>0.54373098558391153</v>
      </c>
      <c r="AB3601" t="str">
        <f>HYPERLINK("Melting_Curves/meltCurve_Q15800_MSMO1.pdf", "Melting_Curves/meltCurve_Q15800_MSMO1.pdf")</f>
        <v>Melting_Curves/meltCurve_Q15800_MSMO1.pdf</v>
      </c>
    </row>
    <row r="3602" spans="1:28" x14ac:dyDescent="0.25">
      <c r="A3602" t="s">
        <v>3606</v>
      </c>
      <c r="B3602">
        <v>0.99193492352474899</v>
      </c>
      <c r="C3602">
        <v>0.88660170193065002</v>
      </c>
      <c r="D3602">
        <v>0.67143717058053698</v>
      </c>
      <c r="E3602">
        <v>0.190698413596746</v>
      </c>
      <c r="F3602">
        <v>0.12906955341245599</v>
      </c>
      <c r="G3602">
        <v>7.6809418369124194E-2</v>
      </c>
      <c r="H3602">
        <v>4.7116988768967E-2</v>
      </c>
      <c r="I3602">
        <v>5.3069162162700502E-2</v>
      </c>
      <c r="J3602">
        <v>5.8527167329829301E-2</v>
      </c>
      <c r="K3602">
        <v>6.0116379439095299E-2</v>
      </c>
      <c r="L3602">
        <v>1277.4367185451399</v>
      </c>
      <c r="M3602">
        <v>27.283752771305501</v>
      </c>
      <c r="N3602">
        <v>47.038682799302698</v>
      </c>
      <c r="O3602">
        <v>46.571062100217503</v>
      </c>
      <c r="P3602">
        <v>-0.13775615010932099</v>
      </c>
      <c r="Q3602">
        <v>5.94564727086778E-2</v>
      </c>
      <c r="R3602">
        <v>0.99573261706050997</v>
      </c>
      <c r="S3602" t="s">
        <v>10272</v>
      </c>
      <c r="T3602" t="s">
        <v>13338</v>
      </c>
      <c r="U3602" t="s">
        <v>13338</v>
      </c>
      <c r="V3602" t="s">
        <v>13338</v>
      </c>
      <c r="W3602" t="s">
        <v>13552</v>
      </c>
      <c r="X3602">
        <v>24</v>
      </c>
      <c r="Y3602" t="s">
        <v>20156</v>
      </c>
      <c r="Z3602" t="s">
        <v>30017</v>
      </c>
      <c r="AA3602">
        <v>0.28023486621490068</v>
      </c>
      <c r="AB3602" t="str">
        <f>HYPERLINK("Melting_Curves/meltCurve_Q15813_TBCE.pdf", "Melting_Curves/meltCurve_Q15813_TBCE.pdf")</f>
        <v>Melting_Curves/meltCurve_Q15813_TBCE.pdf</v>
      </c>
    </row>
    <row r="3603" spans="1:28" x14ac:dyDescent="0.25">
      <c r="A3603" t="s">
        <v>3607</v>
      </c>
      <c r="B3603">
        <v>0.99193492352474899</v>
      </c>
      <c r="C3603">
        <v>0.93271601264590698</v>
      </c>
      <c r="D3603">
        <v>0.83152503575827297</v>
      </c>
      <c r="E3603">
        <v>0.740659880120495</v>
      </c>
      <c r="F3603">
        <v>0.306257454833749</v>
      </c>
      <c r="G3603">
        <v>0.178971329602374</v>
      </c>
      <c r="H3603">
        <v>0.107538443102799</v>
      </c>
      <c r="I3603">
        <v>0.110640309323201</v>
      </c>
      <c r="J3603">
        <v>0.10974880646200499</v>
      </c>
      <c r="K3603">
        <v>0.180827676087222</v>
      </c>
      <c r="L3603">
        <v>1139.3922627135601</v>
      </c>
      <c r="M3603">
        <v>22.458193264523398</v>
      </c>
      <c r="N3603">
        <v>51.325222587619201</v>
      </c>
      <c r="O3603">
        <v>50.336820724033302</v>
      </c>
      <c r="P3603">
        <v>-9.8827894826166093E-2</v>
      </c>
      <c r="Q3603">
        <v>0.113984220864197</v>
      </c>
      <c r="R3603">
        <v>0.98216134524222898</v>
      </c>
      <c r="S3603" t="s">
        <v>10273</v>
      </c>
      <c r="T3603" t="s">
        <v>13338</v>
      </c>
      <c r="U3603" t="s">
        <v>13338</v>
      </c>
      <c r="V3603" t="s">
        <v>13338</v>
      </c>
      <c r="W3603" t="s">
        <v>16892</v>
      </c>
      <c r="X3603">
        <v>6</v>
      </c>
      <c r="Y3603" t="s">
        <v>23416</v>
      </c>
      <c r="Z3603" t="s">
        <v>30018</v>
      </c>
      <c r="AA3603">
        <v>0.44084929139165457</v>
      </c>
      <c r="AB3603" t="str">
        <f>HYPERLINK("Melting_Curves/meltCurve_Q15814_TBCC.pdf", "Melting_Curves/meltCurve_Q15814_TBCC.pdf")</f>
        <v>Melting_Curves/meltCurve_Q15814_TBCC.pdf</v>
      </c>
    </row>
    <row r="3604" spans="1:28" x14ac:dyDescent="0.25">
      <c r="A3604" t="s">
        <v>3608</v>
      </c>
      <c r="B3604">
        <v>0.99193492352474899</v>
      </c>
      <c r="C3604">
        <v>0.891738131185004</v>
      </c>
      <c r="D3604">
        <v>1.0598786389056301</v>
      </c>
      <c r="E3604">
        <v>0.88176377913496595</v>
      </c>
      <c r="F3604">
        <v>0.37096609486369098</v>
      </c>
      <c r="G3604">
        <v>0.18678421612378901</v>
      </c>
      <c r="H3604">
        <v>0.12536706832015199</v>
      </c>
      <c r="I3604">
        <v>0.17527456425464999</v>
      </c>
      <c r="J3604">
        <v>0.202642776045701</v>
      </c>
      <c r="K3604">
        <v>0.29550604703032901</v>
      </c>
      <c r="L3604">
        <v>2322.3733543831599</v>
      </c>
      <c r="M3604">
        <v>44.980243248075404</v>
      </c>
      <c r="N3604">
        <v>52.205679315492297</v>
      </c>
      <c r="O3604">
        <v>51.529224165936299</v>
      </c>
      <c r="P3604">
        <v>-0.17561434168596499</v>
      </c>
      <c r="Q3604">
        <v>0.195268125564423</v>
      </c>
      <c r="R3604">
        <v>0.97626394953007101</v>
      </c>
      <c r="S3604" t="s">
        <v>10274</v>
      </c>
      <c r="T3604" t="s">
        <v>13338</v>
      </c>
      <c r="U3604" t="s">
        <v>13338</v>
      </c>
      <c r="V3604" t="s">
        <v>13338</v>
      </c>
      <c r="W3604" t="s">
        <v>16893</v>
      </c>
      <c r="X3604">
        <v>12</v>
      </c>
      <c r="Y3604" t="s">
        <v>23417</v>
      </c>
      <c r="Z3604" t="s">
        <v>30019</v>
      </c>
      <c r="AA3604">
        <v>0.50952897321980539</v>
      </c>
      <c r="AB3604" t="str">
        <f>HYPERLINK("Melting_Curves/meltCurve_Q15819_UBE2V2.pdf", "Melting_Curves/meltCurve_Q15819_UBE2V2.pdf")</f>
        <v>Melting_Curves/meltCurve_Q15819_UBE2V2.pdf</v>
      </c>
    </row>
    <row r="3605" spans="1:28" x14ac:dyDescent="0.25">
      <c r="A3605" t="s">
        <v>3609</v>
      </c>
      <c r="B3605">
        <v>0.99193492352474899</v>
      </c>
      <c r="C3605">
        <v>1.29343553705793</v>
      </c>
      <c r="D3605">
        <v>1.14688134616787</v>
      </c>
      <c r="E3605">
        <v>0.97225700234731105</v>
      </c>
      <c r="F3605">
        <v>0.87160748179354997</v>
      </c>
      <c r="G3605">
        <v>0.63638672482389402</v>
      </c>
      <c r="H3605">
        <v>0.31296587041966201</v>
      </c>
      <c r="I3605">
        <v>0.15391441831658501</v>
      </c>
      <c r="J3605">
        <v>0.11837165510691899</v>
      </c>
      <c r="K3605">
        <v>0.108809608308492</v>
      </c>
      <c r="L3605">
        <v>1337.05033500693</v>
      </c>
      <c r="M3605">
        <v>23.144571770973599</v>
      </c>
      <c r="N3605">
        <v>58.231784091963299</v>
      </c>
      <c r="O3605">
        <v>57.3434121899449</v>
      </c>
      <c r="P3605">
        <v>-9.2436819217811994E-2</v>
      </c>
      <c r="Q3605">
        <v>8.3924141011932504E-2</v>
      </c>
      <c r="R3605">
        <v>0.94127599133352102</v>
      </c>
      <c r="S3605" t="s">
        <v>10275</v>
      </c>
      <c r="T3605" t="s">
        <v>13338</v>
      </c>
      <c r="U3605" t="s">
        <v>13338</v>
      </c>
      <c r="V3605" t="s">
        <v>13338</v>
      </c>
      <c r="W3605" t="s">
        <v>16894</v>
      </c>
      <c r="X3605">
        <v>3</v>
      </c>
      <c r="Y3605" t="s">
        <v>23418</v>
      </c>
      <c r="Z3605" t="s">
        <v>30020</v>
      </c>
      <c r="AA3605">
        <v>0.63547331654297445</v>
      </c>
      <c r="AB3605" t="str">
        <f>HYPERLINK("Melting_Curves/meltCurve_Q15831_2_STK11.pdf", "Melting_Curves/meltCurve_Q15831_2_STK11.pdf")</f>
        <v>Melting_Curves/meltCurve_Q15831_2_STK11.pdf</v>
      </c>
    </row>
    <row r="3606" spans="1:28" x14ac:dyDescent="0.25">
      <c r="A3606" t="s">
        <v>3610</v>
      </c>
      <c r="B3606">
        <v>0.99193492352474899</v>
      </c>
      <c r="C3606">
        <v>0.93288029491514501</v>
      </c>
      <c r="D3606">
        <v>0.79045656890102201</v>
      </c>
      <c r="E3606">
        <v>0.29359473925395302</v>
      </c>
      <c r="F3606">
        <v>0.18403627383879401</v>
      </c>
      <c r="G3606">
        <v>0.102193672593224</v>
      </c>
      <c r="H3606">
        <v>6.4939723887112999E-2</v>
      </c>
      <c r="I3606">
        <v>6.5062010962171998E-2</v>
      </c>
      <c r="J3606">
        <v>7.7898258612256105E-2</v>
      </c>
      <c r="K3606">
        <v>7.8693153178458805E-2</v>
      </c>
      <c r="L3606">
        <v>1318.22011916009</v>
      </c>
      <c r="M3606">
        <v>27.585798865775999</v>
      </c>
      <c r="N3606">
        <v>48.092587727135196</v>
      </c>
      <c r="O3606">
        <v>47.537181106898103</v>
      </c>
      <c r="P3606">
        <v>-0.133384965923556</v>
      </c>
      <c r="Q3606">
        <v>8.05866966377628E-2</v>
      </c>
      <c r="R3606">
        <v>0.99563528681559699</v>
      </c>
      <c r="S3606" t="s">
        <v>10276</v>
      </c>
      <c r="T3606" t="s">
        <v>13338</v>
      </c>
      <c r="U3606" t="s">
        <v>13338</v>
      </c>
      <c r="V3606" t="s">
        <v>13338</v>
      </c>
      <c r="W3606" t="s">
        <v>16895</v>
      </c>
      <c r="X3606">
        <v>14</v>
      </c>
      <c r="Y3606" t="s">
        <v>23419</v>
      </c>
      <c r="Z3606" t="s">
        <v>30021</v>
      </c>
      <c r="AA3606">
        <v>0.32580512511644377</v>
      </c>
      <c r="AB3606" t="str">
        <f>HYPERLINK("Melting_Curves/meltCurve_Q15833_STXBP2.pdf", "Melting_Curves/meltCurve_Q15833_STXBP2.pdf")</f>
        <v>Melting_Curves/meltCurve_Q15833_STXBP2.pdf</v>
      </c>
    </row>
    <row r="3607" spans="1:28" x14ac:dyDescent="0.25">
      <c r="A3607" t="s">
        <v>3611</v>
      </c>
      <c r="B3607">
        <v>0.99193492352474899</v>
      </c>
      <c r="C3607">
        <v>0.66863653244827204</v>
      </c>
      <c r="D3607">
        <v>0.829582359180012</v>
      </c>
      <c r="E3607">
        <v>0.46668217377445398</v>
      </c>
      <c r="F3607">
        <v>0.42143588709059299</v>
      </c>
      <c r="G3607">
        <v>0.18270255764714399</v>
      </c>
      <c r="H3607">
        <v>0.18756809045750999</v>
      </c>
      <c r="I3607">
        <v>0.283773508036535</v>
      </c>
      <c r="J3607">
        <v>0.50144047942905101</v>
      </c>
      <c r="K3607">
        <v>0.62255502775641502</v>
      </c>
      <c r="L3607">
        <v>776.34217876134198</v>
      </c>
      <c r="M3607">
        <v>16.961171934073398</v>
      </c>
      <c r="N3607">
        <v>49.397643431288103</v>
      </c>
      <c r="O3607">
        <v>45.149672706301999</v>
      </c>
      <c r="P3607">
        <v>-6.0483303688490697E-2</v>
      </c>
      <c r="Q3607">
        <v>0.35602773236437901</v>
      </c>
      <c r="R3607">
        <v>0.64734701354741697</v>
      </c>
      <c r="S3607" t="s">
        <v>10277</v>
      </c>
      <c r="T3607" t="s">
        <v>13338</v>
      </c>
      <c r="U3607" t="s">
        <v>13338</v>
      </c>
      <c r="V3607" t="s">
        <v>13338</v>
      </c>
      <c r="W3607" t="s">
        <v>16896</v>
      </c>
      <c r="X3607">
        <v>2</v>
      </c>
      <c r="Y3607" t="s">
        <v>23420</v>
      </c>
      <c r="Z3607" t="s">
        <v>30022</v>
      </c>
      <c r="AA3607">
        <v>0.49462642370543281</v>
      </c>
      <c r="AB3607" t="str">
        <f>HYPERLINK("Melting_Curves/meltCurve_Q15834_CCDC85B.pdf", "Melting_Curves/meltCurve_Q15834_CCDC85B.pdf")</f>
        <v>Melting_Curves/meltCurve_Q15834_CCDC85B.pdf</v>
      </c>
    </row>
    <row r="3608" spans="1:28" x14ac:dyDescent="0.25">
      <c r="A3608" t="s">
        <v>3612</v>
      </c>
      <c r="B3608">
        <v>0.99193492352474899</v>
      </c>
      <c r="C3608">
        <v>0.99818878915724696</v>
      </c>
      <c r="D3608">
        <v>0.91895232307469599</v>
      </c>
      <c r="E3608">
        <v>0.842646083444199</v>
      </c>
      <c r="F3608">
        <v>0.62661234430797397</v>
      </c>
      <c r="G3608">
        <v>0.44969870374231502</v>
      </c>
      <c r="H3608">
        <v>0.44485548356189297</v>
      </c>
      <c r="I3608">
        <v>0.52059402580134195</v>
      </c>
      <c r="J3608">
        <v>0.57294248297528105</v>
      </c>
      <c r="K3608">
        <v>0.69518565672625798</v>
      </c>
      <c r="L3608">
        <v>1670.5991534638299</v>
      </c>
      <c r="M3608">
        <v>33.127831062183198</v>
      </c>
      <c r="O3608">
        <v>50.246178464529301</v>
      </c>
      <c r="P3608">
        <v>-7.6140354699806401E-2</v>
      </c>
      <c r="Q3608">
        <v>0.53806272680221601</v>
      </c>
      <c r="R3608">
        <v>0.88302553721479704</v>
      </c>
      <c r="S3608" t="s">
        <v>10278</v>
      </c>
      <c r="T3608" t="s">
        <v>13338</v>
      </c>
      <c r="U3608" t="s">
        <v>13338</v>
      </c>
      <c r="V3608" t="s">
        <v>13338</v>
      </c>
      <c r="W3608" t="s">
        <v>16897</v>
      </c>
      <c r="X3608">
        <v>7</v>
      </c>
      <c r="Y3608" t="s">
        <v>23421</v>
      </c>
      <c r="Z3608" t="s">
        <v>30023</v>
      </c>
      <c r="AA3608">
        <v>0.70100126959803766</v>
      </c>
      <c r="AB3608" t="str">
        <f>HYPERLINK("Melting_Curves/meltCurve_Q15836_VAMP3.pdf", "Melting_Curves/meltCurve_Q15836_VAMP3.pdf")</f>
        <v>Melting_Curves/meltCurve_Q15836_VAMP3.pdf</v>
      </c>
    </row>
    <row r="3609" spans="1:28" x14ac:dyDescent="0.25">
      <c r="A3609" t="s">
        <v>3613</v>
      </c>
      <c r="B3609">
        <v>0.99193492352474899</v>
      </c>
      <c r="C3609">
        <v>0.64270556037095194</v>
      </c>
      <c r="D3609">
        <v>0.79330579834660897</v>
      </c>
      <c r="E3609">
        <v>0.40719536350240698</v>
      </c>
      <c r="F3609">
        <v>0.310680629223829</v>
      </c>
      <c r="G3609">
        <v>0.34929947524559202</v>
      </c>
      <c r="H3609">
        <v>0.28825813611115497</v>
      </c>
      <c r="I3609">
        <v>0.53175336125891304</v>
      </c>
      <c r="J3609">
        <v>0.61644377256838601</v>
      </c>
      <c r="K3609">
        <v>0.96509051165220605</v>
      </c>
      <c r="L3609">
        <v>992.80302067866603</v>
      </c>
      <c r="M3609">
        <v>23.097890598290899</v>
      </c>
      <c r="O3609">
        <v>42.664125031245</v>
      </c>
      <c r="P3609">
        <v>-6.6500082823573906E-2</v>
      </c>
      <c r="Q3609">
        <v>0.50867975041213298</v>
      </c>
      <c r="R3609">
        <v>0.331454395870388</v>
      </c>
      <c r="S3609" t="s">
        <v>10279</v>
      </c>
      <c r="T3609" t="s">
        <v>13338</v>
      </c>
      <c r="U3609" t="s">
        <v>13338</v>
      </c>
      <c r="V3609" t="s">
        <v>13338</v>
      </c>
      <c r="W3609" t="s">
        <v>16898</v>
      </c>
      <c r="X3609">
        <v>3</v>
      </c>
      <c r="Y3609" t="s">
        <v>23422</v>
      </c>
      <c r="Z3609" t="s">
        <v>30024</v>
      </c>
      <c r="AA3609">
        <v>0.56598495626618006</v>
      </c>
      <c r="AB3609" t="str">
        <f>HYPERLINK("Melting_Curves/meltCurve_Q15853_2_USF2.pdf", "Melting_Curves/meltCurve_Q15853_2_USF2.pdf")</f>
        <v>Melting_Curves/meltCurve_Q15853_2_USF2.pdf</v>
      </c>
    </row>
    <row r="3610" spans="1:28" x14ac:dyDescent="0.25">
      <c r="A3610" t="s">
        <v>3614</v>
      </c>
      <c r="B3610">
        <v>0.99193492352474899</v>
      </c>
      <c r="C3610">
        <v>0.97450937541504501</v>
      </c>
      <c r="D3610">
        <v>0.89640135000121401</v>
      </c>
      <c r="E3610">
        <v>0.88142629583747301</v>
      </c>
      <c r="F3610">
        <v>0.72153758186338202</v>
      </c>
      <c r="G3610">
        <v>0.39910546558204002</v>
      </c>
      <c r="H3610">
        <v>0.29166462427360701</v>
      </c>
      <c r="I3610">
        <v>0.26752204066318902</v>
      </c>
      <c r="J3610">
        <v>0.379763312350342</v>
      </c>
      <c r="K3610">
        <v>0.28666507566003502</v>
      </c>
      <c r="L3610">
        <v>1327.5577973140701</v>
      </c>
      <c r="M3610">
        <v>24.787082184218399</v>
      </c>
      <c r="N3610">
        <v>55.512927918191998</v>
      </c>
      <c r="O3610">
        <v>53.213483892312901</v>
      </c>
      <c r="P3610">
        <v>-8.2554809609594798E-2</v>
      </c>
      <c r="Q3610">
        <v>0.29108728057859501</v>
      </c>
      <c r="R3610">
        <v>0.97375910477121896</v>
      </c>
      <c r="S3610" t="s">
        <v>10280</v>
      </c>
      <c r="T3610" t="s">
        <v>13338</v>
      </c>
      <c r="U3610" t="s">
        <v>13338</v>
      </c>
      <c r="V3610" t="s">
        <v>13338</v>
      </c>
      <c r="W3610" t="s">
        <v>16899</v>
      </c>
      <c r="X3610">
        <v>4</v>
      </c>
      <c r="Y3610" t="s">
        <v>23423</v>
      </c>
      <c r="Z3610" t="s">
        <v>30025</v>
      </c>
      <c r="AA3610">
        <v>0.61813242592417805</v>
      </c>
      <c r="AB3610" t="str">
        <f>HYPERLINK("Melting_Curves/meltCurve_Q15904_ATP6AP1.pdf", "Melting_Curves/meltCurve_Q15904_ATP6AP1.pdf")</f>
        <v>Melting_Curves/meltCurve_Q15904_ATP6AP1.pdf</v>
      </c>
    </row>
    <row r="3611" spans="1:28" x14ac:dyDescent="0.25">
      <c r="A3611" t="s">
        <v>3615</v>
      </c>
      <c r="B3611">
        <v>0.99193492352474899</v>
      </c>
      <c r="C3611">
        <v>0.36010952239239202</v>
      </c>
      <c r="D3611">
        <v>0.68411829228361298</v>
      </c>
      <c r="E3611">
        <v>0.30535647438348201</v>
      </c>
      <c r="F3611">
        <v>0.230997417414707</v>
      </c>
      <c r="G3611">
        <v>0.15134300306867099</v>
      </c>
      <c r="H3611">
        <v>0.211624930930571</v>
      </c>
      <c r="I3611">
        <v>0.341926401510251</v>
      </c>
      <c r="J3611">
        <v>0.58584751079199104</v>
      </c>
      <c r="K3611">
        <v>0.81735268715689502</v>
      </c>
      <c r="L3611">
        <v>10171.1200503688</v>
      </c>
      <c r="M3611">
        <v>250</v>
      </c>
      <c r="N3611">
        <v>40.965200599729002</v>
      </c>
      <c r="O3611">
        <v>40.681876476005002</v>
      </c>
      <c r="P3611">
        <v>-0.90664945459159796</v>
      </c>
      <c r="Q3611">
        <v>0.409852780056015</v>
      </c>
      <c r="R3611">
        <v>0.41583800030043999</v>
      </c>
      <c r="S3611" t="s">
        <v>10281</v>
      </c>
      <c r="T3611" t="s">
        <v>13338</v>
      </c>
      <c r="U3611" t="s">
        <v>13338</v>
      </c>
      <c r="V3611" t="s">
        <v>13338</v>
      </c>
      <c r="W3611" t="s">
        <v>16900</v>
      </c>
      <c r="X3611">
        <v>2</v>
      </c>
      <c r="Y3611" t="s">
        <v>23424</v>
      </c>
      <c r="Z3611" t="s">
        <v>30026</v>
      </c>
      <c r="AA3611">
        <v>0.42340201421177048</v>
      </c>
      <c r="AB3611" t="str">
        <f>HYPERLINK("Melting_Curves/meltCurve_Q15906_VPS72.pdf", "Melting_Curves/meltCurve_Q15906_VPS72.pdf")</f>
        <v>Melting_Curves/meltCurve_Q15906_VPS72.pdf</v>
      </c>
    </row>
    <row r="3612" spans="1:28" x14ac:dyDescent="0.25">
      <c r="A3612" t="s">
        <v>3616</v>
      </c>
      <c r="B3612">
        <v>0.99193492352474899</v>
      </c>
      <c r="C3612">
        <v>0.87174337421516901</v>
      </c>
      <c r="D3612">
        <v>1.0031492305892</v>
      </c>
      <c r="E3612">
        <v>0.81023312272922898</v>
      </c>
      <c r="F3612">
        <v>0.773066862976587</v>
      </c>
      <c r="G3612">
        <v>0.57598278261759095</v>
      </c>
      <c r="H3612">
        <v>0.42902073018477299</v>
      </c>
      <c r="I3612">
        <v>0.253447320414591</v>
      </c>
      <c r="J3612">
        <v>0.18475358062980801</v>
      </c>
      <c r="K3612">
        <v>0.11611387742869</v>
      </c>
      <c r="L3612">
        <v>637.58875959815805</v>
      </c>
      <c r="M3612">
        <v>10.926621190733201</v>
      </c>
      <c r="N3612">
        <v>58.3518565265341</v>
      </c>
      <c r="O3612">
        <v>56.499477957512902</v>
      </c>
      <c r="P3612">
        <v>-4.8365065937603202E-2</v>
      </c>
      <c r="Q3612">
        <v>0</v>
      </c>
      <c r="R3612">
        <v>0.97823805369784</v>
      </c>
      <c r="S3612" t="s">
        <v>10282</v>
      </c>
      <c r="T3612" t="s">
        <v>13338</v>
      </c>
      <c r="U3612" t="s">
        <v>13338</v>
      </c>
      <c r="V3612" t="s">
        <v>13338</v>
      </c>
      <c r="W3612" t="s">
        <v>16901</v>
      </c>
      <c r="X3612">
        <v>18</v>
      </c>
      <c r="Y3612" t="s">
        <v>23425</v>
      </c>
      <c r="Z3612" t="s">
        <v>30027</v>
      </c>
      <c r="AA3612">
        <v>0.62134845368373581</v>
      </c>
      <c r="AB3612" t="str">
        <f>HYPERLINK("Melting_Curves/meltCurve_Q15907_RAB11B.pdf", "Melting_Curves/meltCurve_Q15907_RAB11B.pdf")</f>
        <v>Melting_Curves/meltCurve_Q15907_RAB11B.pdf</v>
      </c>
    </row>
    <row r="3613" spans="1:28" x14ac:dyDescent="0.25">
      <c r="A3613" t="s">
        <v>3617</v>
      </c>
      <c r="B3613">
        <v>0.99193492352474899</v>
      </c>
      <c r="C3613">
        <v>0.50414263773844703</v>
      </c>
      <c r="D3613">
        <v>0.53449333061540605</v>
      </c>
      <c r="E3613">
        <v>0.191750824534453</v>
      </c>
      <c r="F3613">
        <v>0.12893003627990701</v>
      </c>
      <c r="G3613">
        <v>7.3869295111674796E-2</v>
      </c>
      <c r="H3613">
        <v>6.4669900645128994E-2</v>
      </c>
      <c r="I3613">
        <v>0.115912267411081</v>
      </c>
      <c r="J3613">
        <v>0.18159504934184401</v>
      </c>
      <c r="K3613">
        <v>0.235670487237054</v>
      </c>
      <c r="L3613">
        <v>806.09541955699297</v>
      </c>
      <c r="M3613">
        <v>18.33440949545</v>
      </c>
      <c r="N3613">
        <v>44.684599277407798</v>
      </c>
      <c r="O3613">
        <v>43.453248543294997</v>
      </c>
      <c r="P3613">
        <v>-9.2023856543534899E-2</v>
      </c>
      <c r="Q3613">
        <v>0.12764020277424901</v>
      </c>
      <c r="R3613">
        <v>0.89330386155021002</v>
      </c>
      <c r="S3613" t="s">
        <v>10283</v>
      </c>
      <c r="T3613" t="s">
        <v>13338</v>
      </c>
      <c r="U3613" t="s">
        <v>13338</v>
      </c>
      <c r="V3613" t="s">
        <v>13338</v>
      </c>
      <c r="W3613" t="s">
        <v>16902</v>
      </c>
      <c r="X3613">
        <v>6</v>
      </c>
      <c r="Y3613" t="s">
        <v>23426</v>
      </c>
      <c r="Z3613" t="s">
        <v>30028</v>
      </c>
      <c r="AA3613">
        <v>0.26372101007676618</v>
      </c>
      <c r="AB3613" t="str">
        <f>HYPERLINK("Melting_Curves/meltCurve_Q15910_EZH2.pdf", "Melting_Curves/meltCurve_Q15910_EZH2.pdf")</f>
        <v>Melting_Curves/meltCurve_Q15910_EZH2.pdf</v>
      </c>
    </row>
    <row r="3614" spans="1:28" x14ac:dyDescent="0.25">
      <c r="A3614" t="s">
        <v>3618</v>
      </c>
      <c r="B3614">
        <v>0.99193492352474899</v>
      </c>
      <c r="C3614">
        <v>1.1829507857473001</v>
      </c>
      <c r="D3614">
        <v>0.75546237416438999</v>
      </c>
      <c r="E3614">
        <v>0.87437051360518803</v>
      </c>
      <c r="F3614">
        <v>0.57995706333277897</v>
      </c>
      <c r="G3614">
        <v>0.50546043662642204</v>
      </c>
      <c r="H3614">
        <v>0.34893493686208399</v>
      </c>
      <c r="I3614">
        <v>0.39799225115407999</v>
      </c>
      <c r="J3614">
        <v>0.37543727215731698</v>
      </c>
      <c r="K3614">
        <v>0.52324211776684504</v>
      </c>
      <c r="L3614">
        <v>997.39079445924699</v>
      </c>
      <c r="M3614">
        <v>19.463946303985399</v>
      </c>
      <c r="N3614">
        <v>56.032856368897697</v>
      </c>
      <c r="O3614">
        <v>50.711276567002997</v>
      </c>
      <c r="P3614">
        <v>-5.7066832582334498E-2</v>
      </c>
      <c r="Q3614">
        <v>0.40529488601171199</v>
      </c>
      <c r="R3614">
        <v>0.86085626440357599</v>
      </c>
      <c r="S3614" t="s">
        <v>10284</v>
      </c>
      <c r="T3614" t="s">
        <v>13338</v>
      </c>
      <c r="U3614" t="s">
        <v>13338</v>
      </c>
      <c r="V3614" t="s">
        <v>13338</v>
      </c>
      <c r="W3614" t="s">
        <v>16903</v>
      </c>
      <c r="X3614">
        <v>9</v>
      </c>
      <c r="Y3614" t="s">
        <v>23427</v>
      </c>
      <c r="Z3614" t="s">
        <v>30029</v>
      </c>
      <c r="AA3614">
        <v>0.63684458833861701</v>
      </c>
      <c r="AB3614" t="str">
        <f>HYPERLINK("Melting_Curves/meltCurve_Q15942_ZYX.pdf", "Melting_Curves/meltCurve_Q15942_ZYX.pdf")</f>
        <v>Melting_Curves/meltCurve_Q15942_ZYX.pdf</v>
      </c>
    </row>
    <row r="3615" spans="1:28" x14ac:dyDescent="0.25">
      <c r="A3615" t="s">
        <v>3619</v>
      </c>
      <c r="B3615">
        <v>0.99193492352474899</v>
      </c>
      <c r="C3615">
        <v>1.0737590668287</v>
      </c>
      <c r="D3615">
        <v>1.04157549878908</v>
      </c>
      <c r="E3615">
        <v>0.47780222438390502</v>
      </c>
      <c r="F3615">
        <v>0.44205827806928299</v>
      </c>
      <c r="G3615">
        <v>0.35114602681164098</v>
      </c>
      <c r="H3615">
        <v>8.9768439149519E-2</v>
      </c>
      <c r="I3615">
        <v>0</v>
      </c>
      <c r="J3615">
        <v>0.22221152434205699</v>
      </c>
      <c r="K3615">
        <v>0</v>
      </c>
      <c r="L3615">
        <v>859.26258939084903</v>
      </c>
      <c r="M3615">
        <v>16.742766929088599</v>
      </c>
      <c r="N3615">
        <v>51.7886857232088</v>
      </c>
      <c r="O3615">
        <v>50.606027742060803</v>
      </c>
      <c r="P3615">
        <v>-7.6918081586809794E-2</v>
      </c>
      <c r="Q3615">
        <v>7.0102391541160297E-2</v>
      </c>
      <c r="R3615">
        <v>0.92189271837620002</v>
      </c>
      <c r="S3615" t="s">
        <v>10285</v>
      </c>
      <c r="T3615" t="s">
        <v>13338</v>
      </c>
      <c r="U3615" t="s">
        <v>13338</v>
      </c>
      <c r="V3615" t="s">
        <v>13338</v>
      </c>
      <c r="W3615" t="s">
        <v>16904</v>
      </c>
      <c r="X3615">
        <v>1</v>
      </c>
      <c r="Y3615" t="s">
        <v>23428</v>
      </c>
      <c r="Z3615" t="s">
        <v>30030</v>
      </c>
      <c r="AA3615">
        <v>0.43873727561053411</v>
      </c>
      <c r="AB3615" t="str">
        <f>HYPERLINK("Melting_Curves/meltCurve_Q15973_4_ZNF124.pdf", "Melting_Curves/meltCurve_Q15973_4_ZNF124.pdf")</f>
        <v>Melting_Curves/meltCurve_Q15973_4_ZNF124.pdf</v>
      </c>
    </row>
    <row r="3616" spans="1:28" x14ac:dyDescent="0.25">
      <c r="A3616" t="s">
        <v>3620</v>
      </c>
      <c r="B3616">
        <v>0.99193492352474899</v>
      </c>
      <c r="C3616">
        <v>1.0276726987713101</v>
      </c>
      <c r="D3616">
        <v>0.99929081235593198</v>
      </c>
      <c r="E3616">
        <v>0.907718177961372</v>
      </c>
      <c r="F3616">
        <v>0.69159083057896698</v>
      </c>
      <c r="G3616">
        <v>0.17641024088458501</v>
      </c>
      <c r="H3616">
        <v>0.105707933217914</v>
      </c>
      <c r="I3616">
        <v>0.12097969208887201</v>
      </c>
      <c r="J3616">
        <v>0.115408068133573</v>
      </c>
      <c r="K3616">
        <v>0.13332742015877</v>
      </c>
      <c r="L3616">
        <v>2386.4807486416598</v>
      </c>
      <c r="M3616">
        <v>44.299641471969402</v>
      </c>
      <c r="N3616">
        <v>54.187002307594902</v>
      </c>
      <c r="O3616">
        <v>53.761910295508002</v>
      </c>
      <c r="P3616">
        <v>-0.18257133208218901</v>
      </c>
      <c r="Q3616">
        <v>0.113729318422265</v>
      </c>
      <c r="R3616">
        <v>0.99554033283145305</v>
      </c>
      <c r="S3616" t="s">
        <v>10286</v>
      </c>
      <c r="T3616" t="s">
        <v>13338</v>
      </c>
      <c r="U3616" t="s">
        <v>13338</v>
      </c>
      <c r="V3616" t="s">
        <v>13338</v>
      </c>
      <c r="W3616" t="s">
        <v>16905</v>
      </c>
      <c r="X3616">
        <v>19</v>
      </c>
      <c r="Y3616" t="s">
        <v>23429</v>
      </c>
      <c r="Z3616" t="s">
        <v>30031</v>
      </c>
      <c r="AA3616">
        <v>0.52620586771990552</v>
      </c>
      <c r="AB3616" t="str">
        <f>HYPERLINK("Melting_Curves/meltCurve_Q16134_ETFDH.pdf", "Melting_Curves/meltCurve_Q16134_ETFDH.pdf")</f>
        <v>Melting_Curves/meltCurve_Q16134_ETFDH.pdf</v>
      </c>
    </row>
    <row r="3617" spans="1:28" x14ac:dyDescent="0.25">
      <c r="A3617" t="s">
        <v>3621</v>
      </c>
      <c r="B3617">
        <v>0.99193492352474899</v>
      </c>
      <c r="C3617">
        <v>0.80674263854401695</v>
      </c>
      <c r="D3617">
        <v>0.91748802918042804</v>
      </c>
      <c r="E3617">
        <v>0.74331081128770105</v>
      </c>
      <c r="F3617">
        <v>0.68441921300217101</v>
      </c>
      <c r="G3617">
        <v>0.515980943456681</v>
      </c>
      <c r="H3617">
        <v>0.51805976845173896</v>
      </c>
      <c r="I3617">
        <v>0.60690673548702101</v>
      </c>
      <c r="J3617">
        <v>0.665390781417324</v>
      </c>
      <c r="K3617">
        <v>0.92228439406722995</v>
      </c>
      <c r="L3617">
        <v>762.81999867893501</v>
      </c>
      <c r="M3617">
        <v>16.5910923395958</v>
      </c>
      <c r="O3617">
        <v>45.325302810260503</v>
      </c>
      <c r="P3617">
        <v>-3.2125963594867697E-2</v>
      </c>
      <c r="Q3617">
        <v>0.64896343856961203</v>
      </c>
      <c r="R3617">
        <v>0.46396339477253601</v>
      </c>
      <c r="S3617" t="s">
        <v>10287</v>
      </c>
      <c r="T3617" t="s">
        <v>13338</v>
      </c>
      <c r="U3617" t="s">
        <v>13338</v>
      </c>
      <c r="V3617" t="s">
        <v>13338</v>
      </c>
      <c r="W3617" t="s">
        <v>16906</v>
      </c>
      <c r="X3617">
        <v>2</v>
      </c>
      <c r="Y3617" t="s">
        <v>23430</v>
      </c>
      <c r="Z3617" t="s">
        <v>30032</v>
      </c>
      <c r="AA3617">
        <v>0.72718075500720381</v>
      </c>
      <c r="AB3617" t="str">
        <f>HYPERLINK("Melting_Curves/meltCurve_Q16143_SNCB.pdf", "Melting_Curves/meltCurve_Q16143_SNCB.pdf")</f>
        <v>Melting_Curves/meltCurve_Q16143_SNCB.pdf</v>
      </c>
    </row>
    <row r="3618" spans="1:28" x14ac:dyDescent="0.25">
      <c r="A3618" t="s">
        <v>3622</v>
      </c>
      <c r="B3618">
        <v>0.99193492352474899</v>
      </c>
      <c r="C3618">
        <v>1.15431065557279</v>
      </c>
      <c r="D3618">
        <v>0.96027964074200201</v>
      </c>
      <c r="E3618">
        <v>1.00798390136032</v>
      </c>
      <c r="F3618">
        <v>0.51892062355620905</v>
      </c>
      <c r="G3618">
        <v>0.13849909184118001</v>
      </c>
      <c r="H3618">
        <v>7.6789979935131605E-2</v>
      </c>
      <c r="I3618">
        <v>8.7980582223729495E-2</v>
      </c>
      <c r="J3618">
        <v>9.5803904694962402E-2</v>
      </c>
      <c r="K3618">
        <v>0.10154899609430899</v>
      </c>
      <c r="L3618">
        <v>3013.4025923848599</v>
      </c>
      <c r="M3618">
        <v>56.753646876144003</v>
      </c>
      <c r="N3618">
        <v>53.294564934481301</v>
      </c>
      <c r="O3618">
        <v>53.030391282231101</v>
      </c>
      <c r="P3618">
        <v>-0.24207844751551799</v>
      </c>
      <c r="Q3618">
        <v>9.5211750815606302E-2</v>
      </c>
      <c r="R3618">
        <v>0.986102605680926</v>
      </c>
      <c r="S3618" t="s">
        <v>10288</v>
      </c>
      <c r="T3618" t="s">
        <v>13338</v>
      </c>
      <c r="U3618" t="s">
        <v>13338</v>
      </c>
      <c r="V3618" t="s">
        <v>13338</v>
      </c>
      <c r="W3618" t="s">
        <v>16907</v>
      </c>
      <c r="X3618">
        <v>35</v>
      </c>
      <c r="Y3618" t="s">
        <v>20706</v>
      </c>
      <c r="Z3618" t="s">
        <v>30033</v>
      </c>
      <c r="AA3618">
        <v>0.49183044369601142</v>
      </c>
      <c r="AB3618" t="str">
        <f>HYPERLINK("Melting_Curves/meltCurve_Q16181_SEPT7.pdf", "Melting_Curves/meltCurve_Q16181_SEPT7.pdf")</f>
        <v>Melting_Curves/meltCurve_Q16181_SEPT7.pdf</v>
      </c>
    </row>
    <row r="3619" spans="1:28" x14ac:dyDescent="0.25">
      <c r="A3619" t="s">
        <v>3623</v>
      </c>
      <c r="B3619">
        <v>0.99193492352474899</v>
      </c>
      <c r="C3619">
        <v>0.99312611468367995</v>
      </c>
      <c r="D3619">
        <v>0.770100053113844</v>
      </c>
      <c r="E3619">
        <v>0.58177158398084405</v>
      </c>
      <c r="F3619">
        <v>0.29018167725371702</v>
      </c>
      <c r="G3619">
        <v>0.14444564057840001</v>
      </c>
      <c r="H3619">
        <v>9.3598487189050297E-2</v>
      </c>
      <c r="I3619">
        <v>0.12227518976186399</v>
      </c>
      <c r="J3619">
        <v>0.124682606661685</v>
      </c>
      <c r="K3619">
        <v>0.13754095165615199</v>
      </c>
      <c r="L3619">
        <v>939.82346373125404</v>
      </c>
      <c r="M3619">
        <v>18.994910870557401</v>
      </c>
      <c r="N3619">
        <v>50.090535418662498</v>
      </c>
      <c r="O3619">
        <v>48.939048969724197</v>
      </c>
      <c r="P3619">
        <v>-8.6975468864253794E-2</v>
      </c>
      <c r="Q3619">
        <v>0.103691144047814</v>
      </c>
      <c r="R3619">
        <v>0.99214299624600299</v>
      </c>
      <c r="S3619" t="s">
        <v>10289</v>
      </c>
      <c r="T3619" t="s">
        <v>13338</v>
      </c>
      <c r="U3619" t="s">
        <v>13338</v>
      </c>
      <c r="V3619" t="s">
        <v>13338</v>
      </c>
      <c r="W3619" t="s">
        <v>16908</v>
      </c>
      <c r="X3619">
        <v>4</v>
      </c>
      <c r="Y3619" t="s">
        <v>23431</v>
      </c>
      <c r="Z3619" t="s">
        <v>30034</v>
      </c>
      <c r="AA3619">
        <v>0.40071111782256602</v>
      </c>
      <c r="AB3619" t="str">
        <f>HYPERLINK("Melting_Curves/meltCurve_Q16186_ADRM1.pdf", "Melting_Curves/meltCurve_Q16186_ADRM1.pdf")</f>
        <v>Melting_Curves/meltCurve_Q16186_ADRM1.pdf</v>
      </c>
    </row>
    <row r="3620" spans="1:28" x14ac:dyDescent="0.25">
      <c r="A3620" t="s">
        <v>3624</v>
      </c>
      <c r="B3620">
        <v>0.99193492352474899</v>
      </c>
      <c r="C3620">
        <v>1.1137194270747199</v>
      </c>
      <c r="D3620">
        <v>0.91225071568759397</v>
      </c>
      <c r="E3620">
        <v>0.84874614611087495</v>
      </c>
      <c r="F3620">
        <v>0.57418757386223795</v>
      </c>
      <c r="G3620">
        <v>0.42463760495192798</v>
      </c>
      <c r="H3620">
        <v>0.24538222215045999</v>
      </c>
      <c r="I3620">
        <v>0.20960910408337399</v>
      </c>
      <c r="J3620">
        <v>0.27244518202388002</v>
      </c>
      <c r="K3620">
        <v>0.26055603852249698</v>
      </c>
      <c r="L3620">
        <v>1064.2467821268699</v>
      </c>
      <c r="M3620">
        <v>20.1369534869023</v>
      </c>
      <c r="N3620">
        <v>54.535687001982197</v>
      </c>
      <c r="O3620">
        <v>52.337491486425598</v>
      </c>
      <c r="P3620">
        <v>-7.3909603907008695E-2</v>
      </c>
      <c r="Q3620">
        <v>0.23163710428686099</v>
      </c>
      <c r="R3620">
        <v>0.97813077422685302</v>
      </c>
      <c r="S3620" t="s">
        <v>10290</v>
      </c>
      <c r="T3620" t="s">
        <v>13338</v>
      </c>
      <c r="U3620" t="s">
        <v>13338</v>
      </c>
      <c r="V3620" t="s">
        <v>13338</v>
      </c>
      <c r="W3620" t="s">
        <v>16909</v>
      </c>
      <c r="X3620">
        <v>25</v>
      </c>
      <c r="Y3620" t="s">
        <v>23432</v>
      </c>
      <c r="Z3620" t="s">
        <v>30035</v>
      </c>
      <c r="AA3620">
        <v>0.57122085715626747</v>
      </c>
      <c r="AB3620" t="str">
        <f>HYPERLINK("Melting_Curves/meltCurve_Q16204_CCDC6.pdf", "Melting_Curves/meltCurve_Q16204_CCDC6.pdf")</f>
        <v>Melting_Curves/meltCurve_Q16204_CCDC6.pdf</v>
      </c>
    </row>
    <row r="3621" spans="1:28" x14ac:dyDescent="0.25">
      <c r="A3621" t="s">
        <v>3625</v>
      </c>
      <c r="B3621">
        <v>0.99193492352474899</v>
      </c>
      <c r="C3621">
        <v>0.99954356369319297</v>
      </c>
      <c r="D3621">
        <v>0.92283415462029295</v>
      </c>
      <c r="E3621">
        <v>0.87841864607405395</v>
      </c>
      <c r="F3621">
        <v>0.63751282645856899</v>
      </c>
      <c r="G3621">
        <v>0.24665087728381599</v>
      </c>
      <c r="H3621">
        <v>0.118591794067105</v>
      </c>
      <c r="I3621">
        <v>0.12134072494455</v>
      </c>
      <c r="J3621">
        <v>0.13689320447904499</v>
      </c>
      <c r="K3621">
        <v>0.12596771310635399</v>
      </c>
      <c r="L3621">
        <v>1456.7176300861599</v>
      </c>
      <c r="M3621">
        <v>27.161730382788001</v>
      </c>
      <c r="N3621">
        <v>54.131051958803802</v>
      </c>
      <c r="O3621">
        <v>53.343074754720803</v>
      </c>
      <c r="P3621">
        <v>-0.113180380549285</v>
      </c>
      <c r="Q3621">
        <v>0.110906267892877</v>
      </c>
      <c r="R3621">
        <v>0.99391331327415999</v>
      </c>
      <c r="S3621" t="s">
        <v>10291</v>
      </c>
      <c r="T3621" t="s">
        <v>13338</v>
      </c>
      <c r="U3621" t="s">
        <v>13338</v>
      </c>
      <c r="V3621" t="s">
        <v>13338</v>
      </c>
      <c r="W3621" t="s">
        <v>16910</v>
      </c>
      <c r="X3621">
        <v>19</v>
      </c>
      <c r="Y3621" t="s">
        <v>23433</v>
      </c>
      <c r="Z3621" t="s">
        <v>30036</v>
      </c>
      <c r="AA3621">
        <v>0.52192441012876578</v>
      </c>
      <c r="AB3621" t="str">
        <f>HYPERLINK("Melting_Curves/meltCurve_Q16222_2_UAP1.pdf", "Melting_Curves/meltCurve_Q16222_2_UAP1.pdf")</f>
        <v>Melting_Curves/meltCurve_Q16222_2_UAP1.pdf</v>
      </c>
    </row>
    <row r="3622" spans="1:28" x14ac:dyDescent="0.25">
      <c r="A3622" t="s">
        <v>3626</v>
      </c>
      <c r="B3622">
        <v>0.99193492352474899</v>
      </c>
      <c r="C3622">
        <v>0.85423845281839095</v>
      </c>
      <c r="D3622">
        <v>0.66937745042244801</v>
      </c>
      <c r="E3622">
        <v>0.35064609673241798</v>
      </c>
      <c r="F3622">
        <v>0.18715745147191601</v>
      </c>
      <c r="G3622">
        <v>0.13610286843425201</v>
      </c>
      <c r="H3622">
        <v>9.2647377651309995E-2</v>
      </c>
      <c r="I3622">
        <v>0.17955890125454901</v>
      </c>
      <c r="J3622">
        <v>0.129576945334377</v>
      </c>
      <c r="K3622">
        <v>0.15997628806401801</v>
      </c>
      <c r="L3622">
        <v>962.03355741074699</v>
      </c>
      <c r="M3622">
        <v>20.510216150738</v>
      </c>
      <c r="N3622">
        <v>47.609418811265698</v>
      </c>
      <c r="O3622">
        <v>46.466027869045</v>
      </c>
      <c r="P3622">
        <v>-9.5913234101686604E-2</v>
      </c>
      <c r="Q3622">
        <v>0.130857388891606</v>
      </c>
      <c r="R3622">
        <v>0.99283185541416397</v>
      </c>
      <c r="S3622" t="s">
        <v>10292</v>
      </c>
      <c r="T3622" t="s">
        <v>13338</v>
      </c>
      <c r="U3622" t="s">
        <v>13338</v>
      </c>
      <c r="V3622" t="s">
        <v>13338</v>
      </c>
      <c r="W3622" t="s">
        <v>16911</v>
      </c>
      <c r="X3622">
        <v>4</v>
      </c>
      <c r="Y3622" t="s">
        <v>23434</v>
      </c>
      <c r="Z3622" t="s">
        <v>30037</v>
      </c>
      <c r="AA3622">
        <v>0.34298644455161631</v>
      </c>
      <c r="AB3622" t="str">
        <f>HYPERLINK("Melting_Curves/meltCurve_Q16254_E2F4.pdf", "Melting_Curves/meltCurve_Q16254_E2F4.pdf")</f>
        <v>Melting_Curves/meltCurve_Q16254_E2F4.pdf</v>
      </c>
    </row>
    <row r="3623" spans="1:28" x14ac:dyDescent="0.25">
      <c r="A3623" t="s">
        <v>3627</v>
      </c>
      <c r="B3623">
        <v>0.99193492352474899</v>
      </c>
      <c r="C3623">
        <v>0.99319926665578695</v>
      </c>
      <c r="D3623">
        <v>0.96571381734895301</v>
      </c>
      <c r="E3623">
        <v>0.70545417533236499</v>
      </c>
      <c r="F3623">
        <v>0.421440131775213</v>
      </c>
      <c r="G3623">
        <v>0.26136656704901101</v>
      </c>
      <c r="H3623">
        <v>0.106468224377762</v>
      </c>
      <c r="I3623">
        <v>0.118906168794262</v>
      </c>
      <c r="J3623">
        <v>0.119213676366522</v>
      </c>
      <c r="K3623">
        <v>0.130113193202477</v>
      </c>
      <c r="L3623">
        <v>1057.0574077174999</v>
      </c>
      <c r="M3623">
        <v>20.4877139895688</v>
      </c>
      <c r="N3623">
        <v>52.220763549830203</v>
      </c>
      <c r="O3623">
        <v>51.110675293022901</v>
      </c>
      <c r="P3623">
        <v>-8.9302769914952604E-2</v>
      </c>
      <c r="Q3623">
        <v>0.10889203808134899</v>
      </c>
      <c r="R3623">
        <v>0.99644642482673296</v>
      </c>
      <c r="S3623" t="s">
        <v>10293</v>
      </c>
      <c r="T3623" t="s">
        <v>13338</v>
      </c>
      <c r="U3623" t="s">
        <v>13338</v>
      </c>
      <c r="V3623" t="s">
        <v>13338</v>
      </c>
      <c r="W3623" t="s">
        <v>16912</v>
      </c>
      <c r="X3623">
        <v>16</v>
      </c>
      <c r="Y3623" t="s">
        <v>23435</v>
      </c>
      <c r="Z3623" t="s">
        <v>30038</v>
      </c>
      <c r="AA3623">
        <v>0.46511274494214511</v>
      </c>
      <c r="AB3623" t="str">
        <f>HYPERLINK("Melting_Curves/meltCurve_Q16401_2_PSMD5.pdf", "Melting_Curves/meltCurve_Q16401_2_PSMD5.pdf")</f>
        <v>Melting_Curves/meltCurve_Q16401_2_PSMD5.pdf</v>
      </c>
    </row>
    <row r="3624" spans="1:28" x14ac:dyDescent="0.25">
      <c r="A3624" t="s">
        <v>3628</v>
      </c>
      <c r="B3624">
        <v>0.99193492352474899</v>
      </c>
      <c r="C3624">
        <v>0.97685888692424905</v>
      </c>
      <c r="D3624">
        <v>0.80371605706773297</v>
      </c>
      <c r="E3624">
        <v>0.39481726025735903</v>
      </c>
      <c r="F3624">
        <v>0.14347308718783799</v>
      </c>
      <c r="G3624">
        <v>8.5376797852795297E-2</v>
      </c>
      <c r="H3624">
        <v>4.9281396167668398E-2</v>
      </c>
      <c r="I3624">
        <v>4.8730662538500301E-2</v>
      </c>
      <c r="J3624">
        <v>5.3297011954083498E-2</v>
      </c>
      <c r="K3624">
        <v>5.1199444416059198E-2</v>
      </c>
      <c r="L3624">
        <v>1219.18230718311</v>
      </c>
      <c r="M3624">
        <v>25.1422371737623</v>
      </c>
      <c r="N3624">
        <v>48.699314258303502</v>
      </c>
      <c r="O3624">
        <v>48.187770833262903</v>
      </c>
      <c r="P3624">
        <v>-0.1238025212445</v>
      </c>
      <c r="Q3624">
        <v>5.0890010406370499E-2</v>
      </c>
      <c r="R3624">
        <v>0.99976509146739001</v>
      </c>
      <c r="S3624" t="s">
        <v>10294</v>
      </c>
      <c r="T3624" t="s">
        <v>13338</v>
      </c>
      <c r="U3624" t="s">
        <v>13338</v>
      </c>
      <c r="V3624" t="s">
        <v>13338</v>
      </c>
      <c r="W3624" t="s">
        <v>16913</v>
      </c>
      <c r="X3624">
        <v>28</v>
      </c>
      <c r="Y3624" t="s">
        <v>23436</v>
      </c>
      <c r="Z3624" t="s">
        <v>30039</v>
      </c>
      <c r="AA3624">
        <v>0.3278238870604947</v>
      </c>
      <c r="AB3624" t="str">
        <f>HYPERLINK("Melting_Curves/meltCurve_Q16512_PKN1.pdf", "Melting_Curves/meltCurve_Q16512_PKN1.pdf")</f>
        <v>Melting_Curves/meltCurve_Q16512_PKN1.pdf</v>
      </c>
    </row>
    <row r="3625" spans="1:28" x14ac:dyDescent="0.25">
      <c r="A3625" t="s">
        <v>3629</v>
      </c>
      <c r="B3625">
        <v>0.99193492352474899</v>
      </c>
      <c r="C3625">
        <v>1.0481495093212001</v>
      </c>
      <c r="D3625">
        <v>0.69176072500934704</v>
      </c>
      <c r="E3625">
        <v>0.341738415754193</v>
      </c>
      <c r="F3625">
        <v>0.246118328811501</v>
      </c>
      <c r="G3625">
        <v>0.154204979238419</v>
      </c>
      <c r="H3625">
        <v>0.13222549666386901</v>
      </c>
      <c r="I3625">
        <v>0.12802902351598</v>
      </c>
      <c r="J3625">
        <v>0.13367687115516699</v>
      </c>
      <c r="K3625">
        <v>0.13066781135212299</v>
      </c>
      <c r="L3625">
        <v>1263.6391924920399</v>
      </c>
      <c r="M3625">
        <v>26.685973795050302</v>
      </c>
      <c r="N3625">
        <v>47.958939081680803</v>
      </c>
      <c r="O3625">
        <v>47.0886600548396</v>
      </c>
      <c r="P3625">
        <v>-0.12138289166463199</v>
      </c>
      <c r="Q3625">
        <v>0.14326519350170699</v>
      </c>
      <c r="R3625">
        <v>0.98736105460781898</v>
      </c>
      <c r="S3625" t="s">
        <v>10295</v>
      </c>
      <c r="T3625" t="s">
        <v>13338</v>
      </c>
      <c r="U3625" t="s">
        <v>13338</v>
      </c>
      <c r="V3625" t="s">
        <v>13338</v>
      </c>
      <c r="W3625" t="s">
        <v>16914</v>
      </c>
      <c r="X3625">
        <v>10</v>
      </c>
      <c r="Y3625" t="s">
        <v>23437</v>
      </c>
      <c r="Z3625" t="s">
        <v>30040</v>
      </c>
      <c r="AA3625">
        <v>0.3598308153430741</v>
      </c>
      <c r="AB3625" t="str">
        <f>HYPERLINK("Melting_Curves/meltCurve_Q16513_2_PKN2.pdf", "Melting_Curves/meltCurve_Q16513_2_PKN2.pdf")</f>
        <v>Melting_Curves/meltCurve_Q16513_2_PKN2.pdf</v>
      </c>
    </row>
    <row r="3626" spans="1:28" x14ac:dyDescent="0.25">
      <c r="A3626" t="s">
        <v>3630</v>
      </c>
      <c r="B3626">
        <v>0.99193492352474899</v>
      </c>
      <c r="C3626">
        <v>0.761749276753937</v>
      </c>
      <c r="D3626">
        <v>0.63654945716920497</v>
      </c>
      <c r="E3626">
        <v>0.31252378075958698</v>
      </c>
      <c r="F3626">
        <v>0.18981564285053901</v>
      </c>
      <c r="G3626">
        <v>0.13057211243451999</v>
      </c>
      <c r="H3626">
        <v>9.1115967508311899E-2</v>
      </c>
      <c r="I3626">
        <v>0.21152495090102599</v>
      </c>
      <c r="J3626">
        <v>0.26586950523869401</v>
      </c>
      <c r="K3626">
        <v>0.29014682952715798</v>
      </c>
      <c r="L3626">
        <v>952.95421658339205</v>
      </c>
      <c r="M3626">
        <v>20.8216404148964</v>
      </c>
      <c r="N3626">
        <v>46.829175871310902</v>
      </c>
      <c r="O3626">
        <v>45.351615430132803</v>
      </c>
      <c r="P3626">
        <v>-9.3186943295226907E-2</v>
      </c>
      <c r="Q3626">
        <v>0.188140822825033</v>
      </c>
      <c r="R3626">
        <v>0.94559370665364895</v>
      </c>
      <c r="S3626" t="s">
        <v>10296</v>
      </c>
      <c r="T3626" t="s">
        <v>13338</v>
      </c>
      <c r="U3626" t="s">
        <v>13338</v>
      </c>
      <c r="V3626" t="s">
        <v>13338</v>
      </c>
      <c r="W3626" t="s">
        <v>16915</v>
      </c>
      <c r="X3626">
        <v>2</v>
      </c>
      <c r="Y3626" t="s">
        <v>23438</v>
      </c>
      <c r="Z3626" t="s">
        <v>30041</v>
      </c>
      <c r="AA3626">
        <v>0.35585685233191872</v>
      </c>
      <c r="AB3626" t="str">
        <f>HYPERLINK("Melting_Curves/meltCurve_Q16514_2_TAF12.pdf", "Melting_Curves/meltCurve_Q16514_2_TAF12.pdf")</f>
        <v>Melting_Curves/meltCurve_Q16514_2_TAF12.pdf</v>
      </c>
    </row>
    <row r="3627" spans="1:28" x14ac:dyDescent="0.25">
      <c r="A3627" t="s">
        <v>3631</v>
      </c>
      <c r="B3627">
        <v>0.99193492352474899</v>
      </c>
      <c r="C3627">
        <v>0.80481451979979501</v>
      </c>
      <c r="D3627">
        <v>0.94247901691756797</v>
      </c>
      <c r="E3627">
        <v>0.77457622548349603</v>
      </c>
      <c r="F3627">
        <v>0.306841182854863</v>
      </c>
      <c r="G3627">
        <v>0.25887239567380099</v>
      </c>
      <c r="H3627">
        <v>0.168000215945176</v>
      </c>
      <c r="I3627">
        <v>5.7281142629736902E-2</v>
      </c>
      <c r="J3627">
        <v>0</v>
      </c>
      <c r="K3627">
        <v>0</v>
      </c>
      <c r="L3627">
        <v>802.60765392218104</v>
      </c>
      <c r="M3627">
        <v>15.3816363930233</v>
      </c>
      <c r="N3627">
        <v>52.1796164213781</v>
      </c>
      <c r="O3627">
        <v>51.321506126071803</v>
      </c>
      <c r="P3627">
        <v>-7.4934695951432997E-2</v>
      </c>
      <c r="Q3627">
        <v>0</v>
      </c>
      <c r="R3627">
        <v>0.96062523179952697</v>
      </c>
      <c r="S3627" t="s">
        <v>10297</v>
      </c>
      <c r="T3627" t="s">
        <v>13338</v>
      </c>
      <c r="U3627" t="s">
        <v>13338</v>
      </c>
      <c r="V3627" t="s">
        <v>13338</v>
      </c>
      <c r="W3627" t="s">
        <v>16916</v>
      </c>
      <c r="X3627">
        <v>2</v>
      </c>
      <c r="Y3627" t="s">
        <v>23439</v>
      </c>
      <c r="Z3627" t="s">
        <v>30042</v>
      </c>
      <c r="AA3627">
        <v>0.42737034520740852</v>
      </c>
      <c r="AB3627" t="str">
        <f>HYPERLINK("Melting_Curves/meltCurve_Q16526_CRY1.pdf", "Melting_Curves/meltCurve_Q16526_CRY1.pdf")</f>
        <v>Melting_Curves/meltCurve_Q16526_CRY1.pdf</v>
      </c>
    </row>
    <row r="3628" spans="1:28" x14ac:dyDescent="0.25">
      <c r="A3628" t="s">
        <v>3632</v>
      </c>
      <c r="B3628">
        <v>0.99193492352474899</v>
      </c>
      <c r="C3628">
        <v>0.87858844047233298</v>
      </c>
      <c r="D3628">
        <v>0.90061680885164297</v>
      </c>
      <c r="E3628">
        <v>0.76782140421654599</v>
      </c>
      <c r="F3628">
        <v>0.77631449195520996</v>
      </c>
      <c r="G3628">
        <v>0.65512775849938898</v>
      </c>
      <c r="H3628">
        <v>0.35389705839371899</v>
      </c>
      <c r="I3628">
        <v>0.138162467408773</v>
      </c>
      <c r="J3628">
        <v>0.149142741404065</v>
      </c>
      <c r="K3628">
        <v>0.120368195869537</v>
      </c>
      <c r="L3628">
        <v>679.78334965053398</v>
      </c>
      <c r="M3628">
        <v>11.776633545026399</v>
      </c>
      <c r="N3628">
        <v>57.723049386808697</v>
      </c>
      <c r="O3628">
        <v>56.134085191021299</v>
      </c>
      <c r="P3628">
        <v>-5.2462272775754402E-2</v>
      </c>
      <c r="Q3628">
        <v>0</v>
      </c>
      <c r="R3628">
        <v>0.954966182369414</v>
      </c>
      <c r="S3628" t="s">
        <v>10298</v>
      </c>
      <c r="T3628" t="s">
        <v>13338</v>
      </c>
      <c r="U3628" t="s">
        <v>13338</v>
      </c>
      <c r="V3628" t="s">
        <v>13338</v>
      </c>
      <c r="W3628" t="s">
        <v>16917</v>
      </c>
      <c r="X3628">
        <v>55</v>
      </c>
      <c r="Y3628" t="s">
        <v>23440</v>
      </c>
      <c r="Z3628" t="s">
        <v>30043</v>
      </c>
      <c r="AA3628">
        <v>0.60453494781356909</v>
      </c>
      <c r="AB3628" t="str">
        <f>HYPERLINK("Melting_Curves/meltCurve_Q16531_DDB1.pdf", "Melting_Curves/meltCurve_Q16531_DDB1.pdf")</f>
        <v>Melting_Curves/meltCurve_Q16531_DDB1.pdf</v>
      </c>
    </row>
    <row r="3629" spans="1:28" x14ac:dyDescent="0.25">
      <c r="A3629" t="s">
        <v>3633</v>
      </c>
      <c r="B3629">
        <v>0.99193492352474899</v>
      </c>
      <c r="C3629">
        <v>0.81694899868933801</v>
      </c>
      <c r="D3629">
        <v>0.779395525860199</v>
      </c>
      <c r="E3629">
        <v>0.32089918426420799</v>
      </c>
      <c r="F3629">
        <v>0.19030266646195701</v>
      </c>
      <c r="G3629">
        <v>0.103256537816918</v>
      </c>
      <c r="H3629">
        <v>6.7075703672758794E-2</v>
      </c>
      <c r="I3629">
        <v>6.4061712700817106E-2</v>
      </c>
      <c r="J3629">
        <v>6.3061805571397206E-2</v>
      </c>
      <c r="K3629">
        <v>9.4279664554004897E-2</v>
      </c>
      <c r="L3629">
        <v>952.69301806129999</v>
      </c>
      <c r="M3629">
        <v>19.9478844705407</v>
      </c>
      <c r="N3629">
        <v>48.100500318278499</v>
      </c>
      <c r="O3629">
        <v>47.286902250592199</v>
      </c>
      <c r="P3629">
        <v>-9.8503849662748902E-2</v>
      </c>
      <c r="Q3629">
        <v>6.6008488463100395E-2</v>
      </c>
      <c r="R3629">
        <v>0.98485094620360702</v>
      </c>
      <c r="S3629" t="s">
        <v>10299</v>
      </c>
      <c r="T3629" t="s">
        <v>13338</v>
      </c>
      <c r="U3629" t="s">
        <v>13338</v>
      </c>
      <c r="V3629" t="s">
        <v>13338</v>
      </c>
      <c r="W3629" t="s">
        <v>16918</v>
      </c>
      <c r="X3629">
        <v>11</v>
      </c>
      <c r="Y3629" t="s">
        <v>23441</v>
      </c>
      <c r="Z3629" t="s">
        <v>30044</v>
      </c>
      <c r="AA3629">
        <v>0.32099340945418903</v>
      </c>
      <c r="AB3629" t="str">
        <f>HYPERLINK("Melting_Curves/meltCurve_Q16539_MAPK14.pdf", "Melting_Curves/meltCurve_Q16539_MAPK14.pdf")</f>
        <v>Melting_Curves/meltCurve_Q16539_MAPK14.pdf</v>
      </c>
    </row>
    <row r="3630" spans="1:28" x14ac:dyDescent="0.25">
      <c r="A3630" t="s">
        <v>3634</v>
      </c>
      <c r="B3630">
        <v>0.99193492352474899</v>
      </c>
      <c r="C3630">
        <v>0.98259038748231198</v>
      </c>
      <c r="D3630">
        <v>0.83325590005846295</v>
      </c>
      <c r="E3630">
        <v>0.74631818922464499</v>
      </c>
      <c r="F3630">
        <v>0.33910913315806501</v>
      </c>
      <c r="G3630">
        <v>0.12545470262236</v>
      </c>
      <c r="H3630">
        <v>7.6209205232789998E-2</v>
      </c>
      <c r="I3630">
        <v>7.6415055674841401E-2</v>
      </c>
      <c r="J3630">
        <v>8.5292807385492095E-2</v>
      </c>
      <c r="K3630">
        <v>8.7391323887482206E-2</v>
      </c>
      <c r="L3630">
        <v>1134.3120546293001</v>
      </c>
      <c r="M3630">
        <v>22.153206743057002</v>
      </c>
      <c r="N3630">
        <v>51.519478535422103</v>
      </c>
      <c r="O3630">
        <v>50.791306706166097</v>
      </c>
      <c r="P3630">
        <v>-0.102107495879596</v>
      </c>
      <c r="Q3630">
        <v>6.3600830165746303E-2</v>
      </c>
      <c r="R3630">
        <v>0.99027596768842896</v>
      </c>
      <c r="S3630" t="s">
        <v>10300</v>
      </c>
      <c r="T3630" t="s">
        <v>13338</v>
      </c>
      <c r="U3630" t="s">
        <v>13338</v>
      </c>
      <c r="V3630" t="s">
        <v>13338</v>
      </c>
      <c r="W3630" t="s">
        <v>16919</v>
      </c>
      <c r="X3630">
        <v>28</v>
      </c>
      <c r="Y3630" t="s">
        <v>21070</v>
      </c>
      <c r="Z3630" t="s">
        <v>30045</v>
      </c>
      <c r="AA3630">
        <v>0.42400021337765098</v>
      </c>
      <c r="AB3630" t="str">
        <f>HYPERLINK("Melting_Curves/meltCurve_Q16543_CDC37.pdf", "Melting_Curves/meltCurve_Q16543_CDC37.pdf")</f>
        <v>Melting_Curves/meltCurve_Q16543_CDC37.pdf</v>
      </c>
    </row>
    <row r="3631" spans="1:28" x14ac:dyDescent="0.25">
      <c r="A3631" t="s">
        <v>3635</v>
      </c>
      <c r="B3631">
        <v>0.99193492352474899</v>
      </c>
      <c r="C3631">
        <v>0.92271949490369898</v>
      </c>
      <c r="D3631">
        <v>0.96551551700710603</v>
      </c>
      <c r="E3631">
        <v>0.80131852651216096</v>
      </c>
      <c r="F3631">
        <v>0.766953727942699</v>
      </c>
      <c r="G3631">
        <v>0.58519364740225999</v>
      </c>
      <c r="H3631">
        <v>0.31505673902463799</v>
      </c>
      <c r="I3631">
        <v>0.11845618587415201</v>
      </c>
      <c r="J3631">
        <v>0.11712107651123201</v>
      </c>
      <c r="K3631">
        <v>9.6728877557899606E-2</v>
      </c>
      <c r="L3631">
        <v>775.56478161727205</v>
      </c>
      <c r="M3631">
        <v>13.5422771451186</v>
      </c>
      <c r="N3631">
        <v>57.269899530053898</v>
      </c>
      <c r="O3631">
        <v>56.064365441325698</v>
      </c>
      <c r="P3631">
        <v>-6.0396284851284503E-2</v>
      </c>
      <c r="Q3631">
        <v>0</v>
      </c>
      <c r="R3631">
        <v>0.98193888763777104</v>
      </c>
      <c r="S3631" t="s">
        <v>10301</v>
      </c>
      <c r="T3631" t="s">
        <v>13338</v>
      </c>
      <c r="U3631" t="s">
        <v>13338</v>
      </c>
      <c r="V3631" t="s">
        <v>13338</v>
      </c>
      <c r="W3631" t="s">
        <v>16920</v>
      </c>
      <c r="X3631">
        <v>26</v>
      </c>
      <c r="Y3631" t="s">
        <v>23442</v>
      </c>
      <c r="Z3631" t="s">
        <v>30046</v>
      </c>
      <c r="AA3631">
        <v>0.59142567018471592</v>
      </c>
      <c r="AB3631" t="str">
        <f>HYPERLINK("Melting_Curves/meltCurve_Q16555_DPYSL2.pdf", "Melting_Curves/meltCurve_Q16555_DPYSL2.pdf")</f>
        <v>Melting_Curves/meltCurve_Q16555_DPYSL2.pdf</v>
      </c>
    </row>
    <row r="3632" spans="1:28" x14ac:dyDescent="0.25">
      <c r="A3632" t="s">
        <v>3636</v>
      </c>
      <c r="B3632">
        <v>0.99193492352474899</v>
      </c>
      <c r="C3632">
        <v>0.93898879669320201</v>
      </c>
      <c r="D3632">
        <v>0.96958215532203795</v>
      </c>
      <c r="E3632">
        <v>0.87095452168621001</v>
      </c>
      <c r="F3632">
        <v>0.58916597445621299</v>
      </c>
      <c r="G3632">
        <v>0.25124054383677202</v>
      </c>
      <c r="H3632">
        <v>8.2520110668788907E-2</v>
      </c>
      <c r="I3632">
        <v>7.8606241567836202E-2</v>
      </c>
      <c r="J3632">
        <v>8.2204982324801903E-2</v>
      </c>
      <c r="K3632">
        <v>0.103529761865867</v>
      </c>
      <c r="L3632">
        <v>1330.88480743832</v>
      </c>
      <c r="M3632">
        <v>24.850033570872998</v>
      </c>
      <c r="N3632">
        <v>53.886718586953201</v>
      </c>
      <c r="O3632">
        <v>53.213424363189297</v>
      </c>
      <c r="P3632">
        <v>-0.10850671136659</v>
      </c>
      <c r="Q3632">
        <v>7.0594951709143594E-2</v>
      </c>
      <c r="R3632">
        <v>0.99583908876553495</v>
      </c>
      <c r="S3632" t="s">
        <v>10302</v>
      </c>
      <c r="T3632" t="s">
        <v>13338</v>
      </c>
      <c r="U3632" t="s">
        <v>13338</v>
      </c>
      <c r="V3632" t="s">
        <v>13338</v>
      </c>
      <c r="W3632" t="s">
        <v>16921</v>
      </c>
      <c r="X3632">
        <v>23</v>
      </c>
      <c r="Y3632" t="s">
        <v>23443</v>
      </c>
      <c r="Z3632" t="s">
        <v>30047</v>
      </c>
      <c r="AA3632">
        <v>0.4992642817211409</v>
      </c>
      <c r="AB3632" t="str">
        <f>HYPERLINK("Melting_Curves/meltCurve_Q16566_CAMK4.pdf", "Melting_Curves/meltCurve_Q16566_CAMK4.pdf")</f>
        <v>Melting_Curves/meltCurve_Q16566_CAMK4.pdf</v>
      </c>
    </row>
    <row r="3633" spans="1:28" x14ac:dyDescent="0.25">
      <c r="A3633" t="s">
        <v>3637</v>
      </c>
      <c r="B3633">
        <v>0.99193492352474899</v>
      </c>
      <c r="C3633">
        <v>0.96700784144108898</v>
      </c>
      <c r="D3633">
        <v>0.91666285270450798</v>
      </c>
      <c r="E3633">
        <v>0.855952746261466</v>
      </c>
      <c r="F3633">
        <v>0.69654707902304303</v>
      </c>
      <c r="G3633">
        <v>0.49202465105784299</v>
      </c>
      <c r="H3633">
        <v>0.206617228290219</v>
      </c>
      <c r="I3633">
        <v>0.177950421120802</v>
      </c>
      <c r="J3633">
        <v>0.21379327467234499</v>
      </c>
      <c r="K3633">
        <v>0.24901873455149801</v>
      </c>
      <c r="L3633">
        <v>978.89475320670397</v>
      </c>
      <c r="M3633">
        <v>17.9505877170951</v>
      </c>
      <c r="N3633">
        <v>55.834239778742699</v>
      </c>
      <c r="O3633">
        <v>53.869466145563401</v>
      </c>
      <c r="P3633">
        <v>-6.9067406779962301E-2</v>
      </c>
      <c r="Q3633">
        <v>0.170960009376078</v>
      </c>
      <c r="R3633">
        <v>0.98188418933260602</v>
      </c>
      <c r="S3633" t="s">
        <v>10303</v>
      </c>
      <c r="T3633" t="s">
        <v>13338</v>
      </c>
      <c r="U3633" t="s">
        <v>13338</v>
      </c>
      <c r="V3633" t="s">
        <v>13338</v>
      </c>
      <c r="W3633" t="s">
        <v>16922</v>
      </c>
      <c r="X3633">
        <v>13</v>
      </c>
      <c r="Y3633" t="s">
        <v>23444</v>
      </c>
      <c r="Z3633" t="s">
        <v>30048</v>
      </c>
      <c r="AA3633">
        <v>0.58566755565051032</v>
      </c>
      <c r="AB3633" t="str">
        <f>HYPERLINK("Melting_Curves/meltCurve_Q16576_RBBP7.pdf", "Melting_Curves/meltCurve_Q16576_RBBP7.pdf")</f>
        <v>Melting_Curves/meltCurve_Q16576_RBBP7.pdf</v>
      </c>
    </row>
    <row r="3634" spans="1:28" x14ac:dyDescent="0.25">
      <c r="A3634" t="s">
        <v>3638</v>
      </c>
      <c r="B3634">
        <v>0.99193492352474899</v>
      </c>
      <c r="C3634">
        <v>0.88156294254177003</v>
      </c>
      <c r="D3634">
        <v>0.73051382351175198</v>
      </c>
      <c r="E3634">
        <v>0.64718062951556199</v>
      </c>
      <c r="F3634">
        <v>0.40757908591960201</v>
      </c>
      <c r="G3634">
        <v>0.344374851143673</v>
      </c>
      <c r="H3634">
        <v>0.28622077688301201</v>
      </c>
      <c r="I3634">
        <v>0.43207228234394202</v>
      </c>
      <c r="J3634">
        <v>0.38177291429856203</v>
      </c>
      <c r="K3634">
        <v>0.72094848697877201</v>
      </c>
      <c r="L3634">
        <v>926.06042828935006</v>
      </c>
      <c r="M3634">
        <v>19.901005939850499</v>
      </c>
      <c r="N3634">
        <v>51.572722845844602</v>
      </c>
      <c r="O3634">
        <v>46.071133934594002</v>
      </c>
      <c r="P3634">
        <v>-6.1721055437805698E-2</v>
      </c>
      <c r="Q3634">
        <v>0.42847821232743799</v>
      </c>
      <c r="R3634">
        <v>0.75473316372381005</v>
      </c>
      <c r="S3634" t="s">
        <v>10304</v>
      </c>
      <c r="T3634" t="s">
        <v>13338</v>
      </c>
      <c r="U3634" t="s">
        <v>13338</v>
      </c>
      <c r="V3634" t="s">
        <v>13338</v>
      </c>
      <c r="W3634" t="s">
        <v>16923</v>
      </c>
      <c r="X3634">
        <v>1</v>
      </c>
      <c r="Y3634" t="s">
        <v>23445</v>
      </c>
      <c r="Z3634" t="s">
        <v>30049</v>
      </c>
      <c r="AA3634">
        <v>0.56158912324776533</v>
      </c>
      <c r="AB3634" t="str">
        <f>HYPERLINK("Melting_Curves/meltCurve_Q16587_5_ZNF74.pdf", "Melting_Curves/meltCurve_Q16587_5_ZNF74.pdf")</f>
        <v>Melting_Curves/meltCurve_Q16587_5_ZNF74.pdf</v>
      </c>
    </row>
    <row r="3635" spans="1:28" x14ac:dyDescent="0.25">
      <c r="A3635" t="s">
        <v>3639</v>
      </c>
      <c r="B3635">
        <v>0.99193492352474899</v>
      </c>
      <c r="C3635">
        <v>0.59263890721703205</v>
      </c>
      <c r="D3635">
        <v>0.67805400974141805</v>
      </c>
      <c r="E3635">
        <v>0.455246885502951</v>
      </c>
      <c r="F3635">
        <v>0.41125966874922498</v>
      </c>
      <c r="G3635">
        <v>0.273216543634896</v>
      </c>
      <c r="H3635">
        <v>0.21037599510844401</v>
      </c>
      <c r="I3635">
        <v>0.216031888382723</v>
      </c>
      <c r="J3635">
        <v>0.28737706820495901</v>
      </c>
      <c r="K3635">
        <v>0.28555939569350802</v>
      </c>
      <c r="L3635">
        <v>521.71460224205202</v>
      </c>
      <c r="M3635">
        <v>11.390529205843301</v>
      </c>
      <c r="N3635">
        <v>48.393447703371201</v>
      </c>
      <c r="O3635">
        <v>44.458898168043</v>
      </c>
      <c r="P3635">
        <v>-4.9443797517409099E-2</v>
      </c>
      <c r="Q3635">
        <v>0.22828175117882701</v>
      </c>
      <c r="R3635">
        <v>0.89708270520955402</v>
      </c>
      <c r="S3635" t="s">
        <v>10305</v>
      </c>
      <c r="T3635" t="s">
        <v>13338</v>
      </c>
      <c r="U3635" t="s">
        <v>13338</v>
      </c>
      <c r="V3635" t="s">
        <v>13338</v>
      </c>
      <c r="W3635" t="s">
        <v>16924</v>
      </c>
      <c r="X3635">
        <v>5</v>
      </c>
      <c r="Y3635" t="s">
        <v>23446</v>
      </c>
      <c r="Z3635" t="s">
        <v>30050</v>
      </c>
      <c r="AA3635">
        <v>0.4168506235473648</v>
      </c>
      <c r="AB3635" t="str">
        <f>HYPERLINK("Melting_Curves/meltCurve_Q16594_TAF9.pdf", "Melting_Curves/meltCurve_Q16594_TAF9.pdf")</f>
        <v>Melting_Curves/meltCurve_Q16594_TAF9.pdf</v>
      </c>
    </row>
    <row r="3636" spans="1:28" x14ac:dyDescent="0.25">
      <c r="A3636" t="s">
        <v>3640</v>
      </c>
      <c r="B3636">
        <v>0.99193492352474899</v>
      </c>
      <c r="C3636">
        <v>0.97218451636834702</v>
      </c>
      <c r="D3636">
        <v>0.950335376305257</v>
      </c>
      <c r="E3636">
        <v>0.81128232223083097</v>
      </c>
      <c r="F3636">
        <v>0.60972289897870702</v>
      </c>
      <c r="G3636">
        <v>0.44749913339395098</v>
      </c>
      <c r="H3636">
        <v>0.36889953412962001</v>
      </c>
      <c r="I3636">
        <v>0.48846567645009298</v>
      </c>
      <c r="J3636">
        <v>0.50623808635854395</v>
      </c>
      <c r="K3636">
        <v>0.59808415852813901</v>
      </c>
      <c r="L3636">
        <v>1465.7034530987701</v>
      </c>
      <c r="M3636">
        <v>28.982716726949501</v>
      </c>
      <c r="N3636">
        <v>57.048665020185197</v>
      </c>
      <c r="O3636">
        <v>50.332713870056097</v>
      </c>
      <c r="P3636">
        <v>-7.4658348007661801E-2</v>
      </c>
      <c r="Q3636">
        <v>0.48138344398503202</v>
      </c>
      <c r="R3636">
        <v>0.93481920575343103</v>
      </c>
      <c r="S3636" t="s">
        <v>10306</v>
      </c>
      <c r="T3636" t="s">
        <v>13338</v>
      </c>
      <c r="U3636" t="s">
        <v>13338</v>
      </c>
      <c r="V3636" t="s">
        <v>13338</v>
      </c>
      <c r="W3636" t="s">
        <v>16925</v>
      </c>
      <c r="X3636">
        <v>5</v>
      </c>
      <c r="Y3636" t="s">
        <v>23447</v>
      </c>
      <c r="Z3636" t="s">
        <v>30051</v>
      </c>
      <c r="AA3636">
        <v>0.66760802658008367</v>
      </c>
      <c r="AB3636" t="str">
        <f>HYPERLINK("Melting_Curves/meltCurve_Q16625_4_OCLN.pdf", "Melting_Curves/meltCurve_Q16625_4_OCLN.pdf")</f>
        <v>Melting_Curves/meltCurve_Q16625_4_OCLN.pdf</v>
      </c>
    </row>
    <row r="3637" spans="1:28" x14ac:dyDescent="0.25">
      <c r="A3637" t="s">
        <v>3641</v>
      </c>
      <c r="B3637">
        <v>0.99193492352474899</v>
      </c>
      <c r="C3637">
        <v>1.4246754076637</v>
      </c>
      <c r="D3637">
        <v>1.0002999279681299</v>
      </c>
      <c r="E3637">
        <v>1.12527002418029</v>
      </c>
      <c r="F3637">
        <v>0.72920992760854997</v>
      </c>
      <c r="G3637">
        <v>0.857658406203198</v>
      </c>
      <c r="H3637">
        <v>0.64336694622188795</v>
      </c>
      <c r="I3637">
        <v>0.59907403578595697</v>
      </c>
      <c r="J3637">
        <v>0.71403318697937401</v>
      </c>
      <c r="K3637">
        <v>1.3136252907646899</v>
      </c>
      <c r="L3637">
        <v>2835.6633170474702</v>
      </c>
      <c r="M3637">
        <v>54.989533920897301</v>
      </c>
      <c r="O3637">
        <v>51.499263489607401</v>
      </c>
      <c r="P3637">
        <v>-5.0812307775045001E-2</v>
      </c>
      <c r="Q3637">
        <v>0.80965142107749399</v>
      </c>
      <c r="R3637">
        <v>0.236774252559111</v>
      </c>
      <c r="S3637" t="s">
        <v>10307</v>
      </c>
      <c r="T3637" t="s">
        <v>13338</v>
      </c>
      <c r="U3637" t="s">
        <v>13338</v>
      </c>
      <c r="V3637" t="s">
        <v>13338</v>
      </c>
      <c r="W3637" t="s">
        <v>16926</v>
      </c>
      <c r="X3637">
        <v>1</v>
      </c>
      <c r="Y3637" t="s">
        <v>23448</v>
      </c>
      <c r="Z3637" t="s">
        <v>30052</v>
      </c>
      <c r="AA3637">
        <v>0.88340318236347004</v>
      </c>
      <c r="AB3637" t="str">
        <f>HYPERLINK("Melting_Curves/meltCurve_Q16626_MEA1.pdf", "Melting_Curves/meltCurve_Q16626_MEA1.pdf")</f>
        <v>Melting_Curves/meltCurve_Q16626_MEA1.pdf</v>
      </c>
    </row>
    <row r="3638" spans="1:28" x14ac:dyDescent="0.25">
      <c r="A3638" t="s">
        <v>3642</v>
      </c>
      <c r="B3638">
        <v>0.99193492352474899</v>
      </c>
      <c r="C3638">
        <v>0.60443821823801203</v>
      </c>
      <c r="D3638">
        <v>0.47665989394908698</v>
      </c>
      <c r="E3638">
        <v>0.28178193619313002</v>
      </c>
      <c r="F3638">
        <v>0.12279016660393199</v>
      </c>
      <c r="G3638">
        <v>7.26340801930834E-2</v>
      </c>
      <c r="H3638">
        <v>4.6470303771740003E-2</v>
      </c>
      <c r="I3638">
        <v>6.1811956167953701E-2</v>
      </c>
      <c r="J3638">
        <v>8.2486812744678506E-2</v>
      </c>
      <c r="K3638">
        <v>0.119766728918135</v>
      </c>
      <c r="L3638">
        <v>724.66918505530305</v>
      </c>
      <c r="M3638">
        <v>16.123371481168899</v>
      </c>
      <c r="N3638">
        <v>45.360780127163203</v>
      </c>
      <c r="O3638">
        <v>44.270932459265502</v>
      </c>
      <c r="P3638">
        <v>-8.4805072681465601E-2</v>
      </c>
      <c r="Q3638">
        <v>6.8652979516043697E-2</v>
      </c>
      <c r="R3638">
        <v>0.96775237308645601</v>
      </c>
      <c r="S3638" t="s">
        <v>10308</v>
      </c>
      <c r="T3638" t="s">
        <v>13338</v>
      </c>
      <c r="U3638" t="s">
        <v>13338</v>
      </c>
      <c r="V3638" t="s">
        <v>13338</v>
      </c>
      <c r="W3638" t="s">
        <v>16927</v>
      </c>
      <c r="X3638">
        <v>32</v>
      </c>
      <c r="Y3638" t="s">
        <v>23449</v>
      </c>
      <c r="Z3638" t="s">
        <v>30053</v>
      </c>
      <c r="AA3638">
        <v>0.2479758115409689</v>
      </c>
      <c r="AB3638" t="str">
        <f>HYPERLINK("Melting_Curves/meltCurve_Q16643_DBN1.pdf", "Melting_Curves/meltCurve_Q16643_DBN1.pdf")</f>
        <v>Melting_Curves/meltCurve_Q16643_DBN1.pdf</v>
      </c>
    </row>
    <row r="3639" spans="1:28" x14ac:dyDescent="0.25">
      <c r="A3639" t="s">
        <v>3643</v>
      </c>
      <c r="B3639">
        <v>0.99193492352474899</v>
      </c>
      <c r="C3639">
        <v>0.91231941662288296</v>
      </c>
      <c r="D3639">
        <v>0.76428370228913201</v>
      </c>
      <c r="E3639">
        <v>0.56748935266253597</v>
      </c>
      <c r="F3639">
        <v>0.204275707242453</v>
      </c>
      <c r="G3639">
        <v>0.12413143608650599</v>
      </c>
      <c r="H3639">
        <v>6.2530410297699804E-2</v>
      </c>
      <c r="I3639">
        <v>7.7796561843479606E-2</v>
      </c>
      <c r="J3639">
        <v>7.3463739593774696E-2</v>
      </c>
      <c r="K3639">
        <v>9.3924589089568994E-2</v>
      </c>
      <c r="L3639">
        <v>899.19511873712202</v>
      </c>
      <c r="M3639">
        <v>18.2470249958136</v>
      </c>
      <c r="N3639">
        <v>49.6135212740326</v>
      </c>
      <c r="O3639">
        <v>48.698563916409697</v>
      </c>
      <c r="P3639">
        <v>-8.8255428727044102E-2</v>
      </c>
      <c r="Q3639">
        <v>5.7882219946805098E-2</v>
      </c>
      <c r="R3639">
        <v>0.99188113160257096</v>
      </c>
      <c r="S3639" t="s">
        <v>10309</v>
      </c>
      <c r="T3639" t="s">
        <v>13338</v>
      </c>
      <c r="U3639" t="s">
        <v>13338</v>
      </c>
      <c r="V3639" t="s">
        <v>13338</v>
      </c>
      <c r="W3639" t="s">
        <v>16928</v>
      </c>
      <c r="X3639">
        <v>13</v>
      </c>
      <c r="Y3639" t="s">
        <v>23450</v>
      </c>
      <c r="Z3639" t="s">
        <v>30054</v>
      </c>
      <c r="AA3639">
        <v>0.36508645138652113</v>
      </c>
      <c r="AB3639" t="str">
        <f>HYPERLINK("Melting_Curves/meltCurve_Q16644_MAPKAPK3.pdf", "Melting_Curves/meltCurve_Q16644_MAPKAPK3.pdf")</f>
        <v>Melting_Curves/meltCurve_Q16644_MAPKAPK3.pdf</v>
      </c>
    </row>
    <row r="3640" spans="1:28" x14ac:dyDescent="0.25">
      <c r="A3640" t="s">
        <v>3644</v>
      </c>
      <c r="B3640">
        <v>0.99193492352474899</v>
      </c>
      <c r="C3640">
        <v>0.68205944988520495</v>
      </c>
      <c r="D3640">
        <v>0.49390680398011799</v>
      </c>
      <c r="E3640">
        <v>0.22167332749374399</v>
      </c>
      <c r="F3640">
        <v>0.12728581006360001</v>
      </c>
      <c r="G3640">
        <v>8.7821877373135696E-2</v>
      </c>
      <c r="H3640">
        <v>6.8095931775495805E-2</v>
      </c>
      <c r="I3640">
        <v>7.53262490472459E-2</v>
      </c>
      <c r="J3640">
        <v>8.7694450700219806E-2</v>
      </c>
      <c r="K3640">
        <v>0.11974664268742399</v>
      </c>
      <c r="L3640">
        <v>844.67523378319402</v>
      </c>
      <c r="M3640">
        <v>18.725016188609601</v>
      </c>
      <c r="N3640">
        <v>45.543196468412702</v>
      </c>
      <c r="O3640">
        <v>44.604412272473603</v>
      </c>
      <c r="P3640">
        <v>-9.6383381030526794E-2</v>
      </c>
      <c r="Q3640">
        <v>8.1668608984673902E-2</v>
      </c>
      <c r="R3640">
        <v>0.98674274064619405</v>
      </c>
      <c r="S3640" t="s">
        <v>10310</v>
      </c>
      <c r="T3640" t="s">
        <v>13338</v>
      </c>
      <c r="U3640" t="s">
        <v>13338</v>
      </c>
      <c r="V3640" t="s">
        <v>13338</v>
      </c>
      <c r="W3640" t="s">
        <v>16929</v>
      </c>
      <c r="X3640">
        <v>3</v>
      </c>
      <c r="Y3640" t="s">
        <v>23451</v>
      </c>
      <c r="Z3640" t="s">
        <v>30055</v>
      </c>
      <c r="AA3640">
        <v>0.25595915048900381</v>
      </c>
      <c r="AB3640" t="str">
        <f>HYPERLINK("Melting_Curves/meltCurve_Q16656_2_NRF1.pdf", "Melting_Curves/meltCurve_Q16656_2_NRF1.pdf")</f>
        <v>Melting_Curves/meltCurve_Q16656_2_NRF1.pdf</v>
      </c>
    </row>
    <row r="3641" spans="1:28" x14ac:dyDescent="0.25">
      <c r="A3641" t="s">
        <v>3645</v>
      </c>
      <c r="B3641">
        <v>0.99193492352474899</v>
      </c>
      <c r="C3641">
        <v>0.92365088910328796</v>
      </c>
      <c r="D3641">
        <v>0.88573571426999298</v>
      </c>
      <c r="E3641">
        <v>0.72955998487477103</v>
      </c>
      <c r="F3641">
        <v>0.42053813451083799</v>
      </c>
      <c r="G3641">
        <v>0.21422047831132501</v>
      </c>
      <c r="H3641">
        <v>0.14740145783678099</v>
      </c>
      <c r="I3641">
        <v>0.166073683317596</v>
      </c>
      <c r="J3641">
        <v>0.15713192003042101</v>
      </c>
      <c r="K3641">
        <v>0.23195575454064399</v>
      </c>
      <c r="L3641">
        <v>1078.9977120762201</v>
      </c>
      <c r="M3641">
        <v>21.149399645787199</v>
      </c>
      <c r="N3641">
        <v>51.966697783648797</v>
      </c>
      <c r="O3641">
        <v>50.568340122219901</v>
      </c>
      <c r="P3641">
        <v>-8.7814224203097604E-2</v>
      </c>
      <c r="Q3641">
        <v>0.16016457624877301</v>
      </c>
      <c r="R3641">
        <v>0.98796959854254895</v>
      </c>
      <c r="S3641" t="s">
        <v>10311</v>
      </c>
      <c r="T3641" t="s">
        <v>13338</v>
      </c>
      <c r="U3641" t="s">
        <v>13338</v>
      </c>
      <c r="V3641" t="s">
        <v>13338</v>
      </c>
      <c r="W3641" t="s">
        <v>16930</v>
      </c>
      <c r="X3641">
        <v>12</v>
      </c>
      <c r="Y3641" t="s">
        <v>23452</v>
      </c>
      <c r="Z3641" t="s">
        <v>30056</v>
      </c>
      <c r="AA3641">
        <v>0.47909670064501192</v>
      </c>
      <c r="AB3641" t="str">
        <f>HYPERLINK("Melting_Curves/meltCurve_Q16658_FSCN1.pdf", "Melting_Curves/meltCurve_Q16658_FSCN1.pdf")</f>
        <v>Melting_Curves/meltCurve_Q16658_FSCN1.pdf</v>
      </c>
    </row>
    <row r="3642" spans="1:28" x14ac:dyDescent="0.25">
      <c r="A3642" t="s">
        <v>3646</v>
      </c>
      <c r="B3642">
        <v>0.99193492352474899</v>
      </c>
      <c r="C3642">
        <v>0.29543905738981902</v>
      </c>
      <c r="D3642">
        <v>0.68252335886566495</v>
      </c>
      <c r="E3642">
        <v>0.142617147967776</v>
      </c>
      <c r="F3642">
        <v>0.104995882793396</v>
      </c>
      <c r="G3642">
        <v>6.0899951815492903E-2</v>
      </c>
      <c r="H3642">
        <v>4.1547187290814899E-2</v>
      </c>
      <c r="I3642">
        <v>4.9963339975366297E-2</v>
      </c>
      <c r="J3642">
        <v>5.6715970501604901E-2</v>
      </c>
      <c r="K3642">
        <v>4.9868317152413397E-2</v>
      </c>
      <c r="L3642">
        <v>576.79016223703195</v>
      </c>
      <c r="M3642">
        <v>12.989834218631</v>
      </c>
      <c r="N3642">
        <v>44.587649247929903</v>
      </c>
      <c r="O3642">
        <v>43.390390490294998</v>
      </c>
      <c r="P3642">
        <v>-7.2898130873978395E-2</v>
      </c>
      <c r="Q3642">
        <v>2.6156470987307501E-2</v>
      </c>
      <c r="R3642">
        <v>0.76829702811212697</v>
      </c>
      <c r="S3642" t="s">
        <v>10312</v>
      </c>
      <c r="T3642" t="s">
        <v>13338</v>
      </c>
      <c r="U3642" t="s">
        <v>13338</v>
      </c>
      <c r="V3642" t="s">
        <v>13338</v>
      </c>
      <c r="W3642" t="s">
        <v>16931</v>
      </c>
      <c r="X3642">
        <v>37</v>
      </c>
      <c r="Y3642" t="s">
        <v>23453</v>
      </c>
      <c r="Z3642" t="s">
        <v>30057</v>
      </c>
      <c r="AA3642">
        <v>0.21373753002099791</v>
      </c>
      <c r="AB3642" t="str">
        <f>HYPERLINK("Melting_Curves/meltCurve_Q16666_2_IFI16.pdf", "Melting_Curves/meltCurve_Q16666_2_IFI16.pdf")</f>
        <v>Melting_Curves/meltCurve_Q16666_2_IFI16.pdf</v>
      </c>
    </row>
    <row r="3643" spans="1:28" x14ac:dyDescent="0.25">
      <c r="A3643" t="s">
        <v>3647</v>
      </c>
      <c r="B3643">
        <v>0.99193492352474899</v>
      </c>
      <c r="C3643">
        <v>1.0579394278455401</v>
      </c>
      <c r="D3643">
        <v>0.87921293397022104</v>
      </c>
      <c r="E3643">
        <v>0.59890248903985999</v>
      </c>
      <c r="F3643">
        <v>0.64076540529747095</v>
      </c>
      <c r="G3643">
        <v>0.450793832727166</v>
      </c>
      <c r="H3643">
        <v>0.34770324089919002</v>
      </c>
      <c r="I3643">
        <v>0.56974993720531797</v>
      </c>
      <c r="J3643">
        <v>0.46396732256992401</v>
      </c>
      <c r="K3643">
        <v>0.85230999879867697</v>
      </c>
      <c r="L3643">
        <v>2050.6128621435601</v>
      </c>
      <c r="M3643">
        <v>43.506297877223403</v>
      </c>
      <c r="O3643">
        <v>47.034444936019</v>
      </c>
      <c r="P3643">
        <v>-0.10328929030091601</v>
      </c>
      <c r="Q3643">
        <v>0.55333848710575895</v>
      </c>
      <c r="R3643">
        <v>0.69985485737044095</v>
      </c>
      <c r="S3643" t="s">
        <v>10313</v>
      </c>
      <c r="T3643" t="s">
        <v>13338</v>
      </c>
      <c r="U3643" t="s">
        <v>13338</v>
      </c>
      <c r="V3643" t="s">
        <v>13338</v>
      </c>
      <c r="W3643" t="s">
        <v>16932</v>
      </c>
      <c r="X3643">
        <v>4</v>
      </c>
      <c r="Y3643" t="s">
        <v>23454</v>
      </c>
      <c r="Z3643" t="s">
        <v>30058</v>
      </c>
      <c r="AA3643">
        <v>0.6607836850975356</v>
      </c>
      <c r="AB3643" t="str">
        <f>HYPERLINK("Melting_Curves/meltCurve_Q16670_2_ZSCAN26.pdf", "Melting_Curves/meltCurve_Q16670_2_ZSCAN26.pdf")</f>
        <v>Melting_Curves/meltCurve_Q16670_2_ZSCAN26.pdf</v>
      </c>
    </row>
    <row r="3644" spans="1:28" x14ac:dyDescent="0.25">
      <c r="A3644" t="s">
        <v>3648</v>
      </c>
      <c r="B3644">
        <v>0.99193492352474899</v>
      </c>
      <c r="C3644">
        <v>0.878962840661759</v>
      </c>
      <c r="D3644">
        <v>0.95765154019074195</v>
      </c>
      <c r="E3644">
        <v>0.68891271627601502</v>
      </c>
      <c r="F3644">
        <v>0.56453175876413597</v>
      </c>
      <c r="G3644">
        <v>0.224706722454587</v>
      </c>
      <c r="H3644">
        <v>8.9898045488470302E-2</v>
      </c>
      <c r="I3644">
        <v>8.4790947587937995E-2</v>
      </c>
      <c r="J3644">
        <v>0.103352350217186</v>
      </c>
      <c r="K3644">
        <v>8.8520341849469206E-2</v>
      </c>
      <c r="L3644">
        <v>863.99489732285303</v>
      </c>
      <c r="M3644">
        <v>16.420928463583799</v>
      </c>
      <c r="N3644">
        <v>52.930233337283099</v>
      </c>
      <c r="O3644">
        <v>51.8537271833654</v>
      </c>
      <c r="P3644">
        <v>-7.5492012938885203E-2</v>
      </c>
      <c r="Q3644">
        <v>4.6517996846985203E-2</v>
      </c>
      <c r="R3644">
        <v>0.98005391440060996</v>
      </c>
      <c r="S3644" t="s">
        <v>10314</v>
      </c>
      <c r="T3644" t="s">
        <v>13338</v>
      </c>
      <c r="U3644" t="s">
        <v>13338</v>
      </c>
      <c r="V3644" t="s">
        <v>13338</v>
      </c>
      <c r="W3644" t="s">
        <v>16933</v>
      </c>
      <c r="X3644">
        <v>11</v>
      </c>
      <c r="Y3644" t="s">
        <v>23455</v>
      </c>
      <c r="Z3644" t="s">
        <v>30059</v>
      </c>
      <c r="AA3644">
        <v>0.46567157499197009</v>
      </c>
      <c r="AB3644" t="str">
        <f>HYPERLINK("Melting_Curves/meltCurve_Q16706_MAN2A1.pdf", "Melting_Curves/meltCurve_Q16706_MAN2A1.pdf")</f>
        <v>Melting_Curves/meltCurve_Q16706_MAN2A1.pdf</v>
      </c>
    </row>
    <row r="3645" spans="1:28" x14ac:dyDescent="0.25">
      <c r="A3645" t="s">
        <v>3649</v>
      </c>
      <c r="B3645">
        <v>0.99193492352474899</v>
      </c>
      <c r="C3645">
        <v>0.74204877983276896</v>
      </c>
      <c r="D3645">
        <v>0.87710646375385204</v>
      </c>
      <c r="E3645">
        <v>0.64705798628393696</v>
      </c>
      <c r="F3645">
        <v>0.436001245037487</v>
      </c>
      <c r="G3645">
        <v>0.223817417876404</v>
      </c>
      <c r="H3645">
        <v>0.15781179181737401</v>
      </c>
      <c r="I3645">
        <v>0.13245434950590601</v>
      </c>
      <c r="J3645">
        <v>0.13692090374690499</v>
      </c>
      <c r="K3645">
        <v>0.14405090125896999</v>
      </c>
      <c r="L3645">
        <v>620.93503905535101</v>
      </c>
      <c r="M3645">
        <v>12.1905724356709</v>
      </c>
      <c r="N3645">
        <v>51.608993892969799</v>
      </c>
      <c r="O3645">
        <v>49.623184315952201</v>
      </c>
      <c r="P3645">
        <v>-5.69132851780767E-2</v>
      </c>
      <c r="Q3645">
        <v>7.3520889949597504E-2</v>
      </c>
      <c r="R3645">
        <v>0.95829260883803802</v>
      </c>
      <c r="S3645" t="s">
        <v>10315</v>
      </c>
      <c r="T3645" t="s">
        <v>13338</v>
      </c>
      <c r="U3645" t="s">
        <v>13338</v>
      </c>
      <c r="V3645" t="s">
        <v>13338</v>
      </c>
      <c r="W3645" t="s">
        <v>16934</v>
      </c>
      <c r="X3645">
        <v>7</v>
      </c>
      <c r="Y3645" t="s">
        <v>23456</v>
      </c>
      <c r="Z3645" t="s">
        <v>30060</v>
      </c>
      <c r="AA3645">
        <v>0.44089419686037251</v>
      </c>
      <c r="AB3645" t="str">
        <f>HYPERLINK("Melting_Curves/meltCurve_Q16718_NDUFA5.pdf", "Melting_Curves/meltCurve_Q16718_NDUFA5.pdf")</f>
        <v>Melting_Curves/meltCurve_Q16718_NDUFA5.pdf</v>
      </c>
    </row>
    <row r="3646" spans="1:28" x14ac:dyDescent="0.25">
      <c r="A3646" t="s">
        <v>3650</v>
      </c>
      <c r="B3646">
        <v>0.99193492352474899</v>
      </c>
      <c r="C3646">
        <v>0.91139946875155498</v>
      </c>
      <c r="D3646">
        <v>0.94128611469156498</v>
      </c>
      <c r="E3646">
        <v>0.83122294195933399</v>
      </c>
      <c r="F3646">
        <v>0.70016216454628999</v>
      </c>
      <c r="G3646">
        <v>0.49455822274803002</v>
      </c>
      <c r="H3646">
        <v>0.25785527988289297</v>
      </c>
      <c r="I3646">
        <v>0.11920726108207901</v>
      </c>
      <c r="J3646">
        <v>0.127616754283812</v>
      </c>
      <c r="K3646">
        <v>0.118504517931247</v>
      </c>
      <c r="L3646">
        <v>746.51626290351999</v>
      </c>
      <c r="M3646">
        <v>13.3200895791425</v>
      </c>
      <c r="N3646">
        <v>56.207362754174703</v>
      </c>
      <c r="O3646">
        <v>54.826392801370197</v>
      </c>
      <c r="P3646">
        <v>-5.9596614063426E-2</v>
      </c>
      <c r="Q3646">
        <v>1.89428436961716E-2</v>
      </c>
      <c r="R3646">
        <v>0.99018126771656501</v>
      </c>
      <c r="S3646" t="s">
        <v>10316</v>
      </c>
      <c r="T3646" t="s">
        <v>13338</v>
      </c>
      <c r="U3646" t="s">
        <v>13338</v>
      </c>
      <c r="V3646" t="s">
        <v>13338</v>
      </c>
      <c r="W3646" t="s">
        <v>16935</v>
      </c>
      <c r="X3646">
        <v>10</v>
      </c>
      <c r="Y3646" t="s">
        <v>23457</v>
      </c>
      <c r="Z3646" t="s">
        <v>30061</v>
      </c>
      <c r="AA3646">
        <v>0.56249821769613395</v>
      </c>
      <c r="AB3646" t="str">
        <f>HYPERLINK("Melting_Curves/meltCurve_Q16740_CLPP.pdf", "Melting_Curves/meltCurve_Q16740_CLPP.pdf")</f>
        <v>Melting_Curves/meltCurve_Q16740_CLPP.pdf</v>
      </c>
    </row>
    <row r="3647" spans="1:28" x14ac:dyDescent="0.25">
      <c r="A3647" t="s">
        <v>3651</v>
      </c>
      <c r="B3647">
        <v>0.99193492352474899</v>
      </c>
      <c r="C3647">
        <v>0.83664846372523105</v>
      </c>
      <c r="D3647">
        <v>0.51665670610265002</v>
      </c>
      <c r="E3647">
        <v>0.25840157931038998</v>
      </c>
      <c r="F3647">
        <v>0.16439554696981001</v>
      </c>
      <c r="G3647">
        <v>8.1094883086737998E-2</v>
      </c>
      <c r="H3647">
        <v>4.47803908133243E-2</v>
      </c>
      <c r="I3647">
        <v>6.7572278069663497E-2</v>
      </c>
      <c r="J3647">
        <v>7.4539881881835399E-2</v>
      </c>
      <c r="K3647">
        <v>6.9361378421298206E-2</v>
      </c>
      <c r="L3647">
        <v>922.13835854416095</v>
      </c>
      <c r="M3647">
        <v>20.012471482667799</v>
      </c>
      <c r="N3647">
        <v>46.413911995552603</v>
      </c>
      <c r="O3647">
        <v>45.625493110726502</v>
      </c>
      <c r="P3647">
        <v>-0.102270544071674</v>
      </c>
      <c r="Q3647">
        <v>6.7383045538308997E-2</v>
      </c>
      <c r="R3647">
        <v>0.99605836160852501</v>
      </c>
      <c r="S3647" t="s">
        <v>10317</v>
      </c>
      <c r="T3647" t="s">
        <v>13338</v>
      </c>
      <c r="U3647" t="s">
        <v>13338</v>
      </c>
      <c r="V3647" t="s">
        <v>13338</v>
      </c>
      <c r="W3647" t="s">
        <v>16936</v>
      </c>
      <c r="X3647">
        <v>4</v>
      </c>
      <c r="Y3647" t="s">
        <v>23458</v>
      </c>
      <c r="Z3647" t="s">
        <v>30062</v>
      </c>
      <c r="AA3647">
        <v>0.27065594215688937</v>
      </c>
      <c r="AB3647" t="str">
        <f>HYPERLINK("Melting_Curves/meltCurve_Q16762_TST.pdf", "Melting_Curves/meltCurve_Q16762_TST.pdf")</f>
        <v>Melting_Curves/meltCurve_Q16762_TST.pdf</v>
      </c>
    </row>
    <row r="3648" spans="1:28" x14ac:dyDescent="0.25">
      <c r="A3648" t="s">
        <v>3652</v>
      </c>
      <c r="B3648">
        <v>0.99193492352474899</v>
      </c>
      <c r="C3648">
        <v>0.70129870222416202</v>
      </c>
      <c r="D3648">
        <v>0.820316335083488</v>
      </c>
      <c r="E3648">
        <v>0.51765558612776497</v>
      </c>
      <c r="F3648">
        <v>0.28064756960569898</v>
      </c>
      <c r="G3648">
        <v>0.122378635460587</v>
      </c>
      <c r="H3648">
        <v>7.3235164914173104E-2</v>
      </c>
      <c r="I3648">
        <v>8.5886958513627598E-2</v>
      </c>
      <c r="J3648">
        <v>0.109487233391434</v>
      </c>
      <c r="K3648">
        <v>9.6914906992415395E-2</v>
      </c>
      <c r="L3648">
        <v>654.44477430565405</v>
      </c>
      <c r="M3648">
        <v>13.346581042053399</v>
      </c>
      <c r="N3648">
        <v>49.390589209838801</v>
      </c>
      <c r="O3648">
        <v>47.9730801862692</v>
      </c>
      <c r="P3648">
        <v>-6.6373882680838103E-2</v>
      </c>
      <c r="Q3648">
        <v>4.5852872665486398E-2</v>
      </c>
      <c r="R3648">
        <v>0.95406169096984605</v>
      </c>
      <c r="S3648" t="s">
        <v>10318</v>
      </c>
      <c r="T3648" t="s">
        <v>13338</v>
      </c>
      <c r="U3648" t="s">
        <v>13338</v>
      </c>
      <c r="V3648" t="s">
        <v>13338</v>
      </c>
      <c r="W3648" t="s">
        <v>16937</v>
      </c>
      <c r="X3648">
        <v>14</v>
      </c>
      <c r="Y3648" t="s">
        <v>23459</v>
      </c>
      <c r="Z3648" t="s">
        <v>30063</v>
      </c>
      <c r="AA3648">
        <v>0.36231667414748209</v>
      </c>
      <c r="AB3648" t="str">
        <f>HYPERLINK("Melting_Curves/meltCurve_Q16763_UBE2S.pdf", "Melting_Curves/meltCurve_Q16763_UBE2S.pdf")</f>
        <v>Melting_Curves/meltCurve_Q16763_UBE2S.pdf</v>
      </c>
    </row>
    <row r="3649" spans="1:28" x14ac:dyDescent="0.25">
      <c r="A3649" t="s">
        <v>3653</v>
      </c>
      <c r="B3649">
        <v>0.99193492352474899</v>
      </c>
      <c r="C3649">
        <v>0.90817229236544506</v>
      </c>
      <c r="D3649">
        <v>0.92537104899211198</v>
      </c>
      <c r="E3649">
        <v>0.79773716914790505</v>
      </c>
      <c r="F3649">
        <v>0.60293922890863305</v>
      </c>
      <c r="G3649">
        <v>0.45928151147795299</v>
      </c>
      <c r="H3649">
        <v>0.31837315541229899</v>
      </c>
      <c r="I3649">
        <v>0.27886152977319101</v>
      </c>
      <c r="J3649">
        <v>0.23751781916819301</v>
      </c>
      <c r="K3649">
        <v>0.19789086552846699</v>
      </c>
      <c r="L3649">
        <v>640.76509317458499</v>
      </c>
      <c r="M3649">
        <v>11.8627085447349</v>
      </c>
      <c r="N3649">
        <v>55.730535467203701</v>
      </c>
      <c r="O3649">
        <v>52.548710297639197</v>
      </c>
      <c r="P3649">
        <v>-4.7816566655859601E-2</v>
      </c>
      <c r="Q3649">
        <v>0.152953739218361</v>
      </c>
      <c r="R3649">
        <v>0.99519827867222599</v>
      </c>
      <c r="S3649" t="s">
        <v>10319</v>
      </c>
      <c r="T3649" t="s">
        <v>13338</v>
      </c>
      <c r="U3649" t="s">
        <v>13338</v>
      </c>
      <c r="V3649" t="s">
        <v>13338</v>
      </c>
      <c r="W3649" t="s">
        <v>16938</v>
      </c>
      <c r="X3649">
        <v>20</v>
      </c>
      <c r="Y3649" t="s">
        <v>23460</v>
      </c>
      <c r="Z3649" t="s">
        <v>30064</v>
      </c>
      <c r="AA3649">
        <v>0.5709915937223935</v>
      </c>
      <c r="AB3649" t="str">
        <f>HYPERLINK("Melting_Curves/meltCurve_Q16775_HAGH.pdf", "Melting_Curves/meltCurve_Q16775_HAGH.pdf")</f>
        <v>Melting_Curves/meltCurve_Q16775_HAGH.pdf</v>
      </c>
    </row>
    <row r="3650" spans="1:28" x14ac:dyDescent="0.25">
      <c r="A3650" t="s">
        <v>3654</v>
      </c>
      <c r="B3650">
        <v>0.99193492352474899</v>
      </c>
      <c r="C3650">
        <v>0.81258289290564301</v>
      </c>
      <c r="D3650">
        <v>0.73376737200295705</v>
      </c>
      <c r="E3650">
        <v>0.51981392121164804</v>
      </c>
      <c r="F3650">
        <v>0.42928123422468401</v>
      </c>
      <c r="G3650">
        <v>0.35022626605753099</v>
      </c>
      <c r="H3650">
        <v>0.429288227099765</v>
      </c>
      <c r="I3650">
        <v>0.24049267329504601</v>
      </c>
      <c r="J3650">
        <v>0.57491808540098299</v>
      </c>
      <c r="K3650">
        <v>0.452793108952248</v>
      </c>
      <c r="L3650">
        <v>862.21996984365603</v>
      </c>
      <c r="M3650">
        <v>18.8221942532569</v>
      </c>
      <c r="N3650">
        <v>50.220728645870501</v>
      </c>
      <c r="O3650">
        <v>45.301003158350703</v>
      </c>
      <c r="P3650">
        <v>-6.1877716503495703E-2</v>
      </c>
      <c r="Q3650">
        <v>0.40431885686642899</v>
      </c>
      <c r="R3650">
        <v>0.85220677547396595</v>
      </c>
      <c r="S3650" t="s">
        <v>10320</v>
      </c>
      <c r="T3650" t="s">
        <v>13338</v>
      </c>
      <c r="U3650" t="s">
        <v>13338</v>
      </c>
      <c r="V3650" t="s">
        <v>13338</v>
      </c>
      <c r="W3650" t="s">
        <v>16939</v>
      </c>
      <c r="X3650">
        <v>11</v>
      </c>
      <c r="Y3650" t="s">
        <v>23461</v>
      </c>
      <c r="Z3650" t="s">
        <v>30065</v>
      </c>
      <c r="AA3650">
        <v>0.53038888571139353</v>
      </c>
      <c r="AB3650" t="str">
        <f>HYPERLINK("Melting_Curves/meltCurve_Q16778_HIST2H2BE.pdf", "Melting_Curves/meltCurve_Q16778_HIST2H2BE.pdf")</f>
        <v>Melting_Curves/meltCurve_Q16778_HIST2H2BE.pdf</v>
      </c>
    </row>
    <row r="3651" spans="1:28" x14ac:dyDescent="0.25">
      <c r="A3651" t="s">
        <v>3655</v>
      </c>
      <c r="B3651">
        <v>0.99193492352474899</v>
      </c>
      <c r="C3651">
        <v>0.73919280314894997</v>
      </c>
      <c r="D3651">
        <v>0.994453847766953</v>
      </c>
      <c r="E3651">
        <v>0.59502988487724595</v>
      </c>
      <c r="F3651">
        <v>0.230628030099501</v>
      </c>
      <c r="G3651">
        <v>0.121577735440831</v>
      </c>
      <c r="H3651">
        <v>7.6970310181585705E-2</v>
      </c>
      <c r="I3651">
        <v>7.8946695316520002E-2</v>
      </c>
      <c r="J3651">
        <v>7.9022315703200202E-2</v>
      </c>
      <c r="K3651">
        <v>7.2580825160304605E-2</v>
      </c>
      <c r="L3651">
        <v>1362.41560300282</v>
      </c>
      <c r="M3651">
        <v>27.177591174776499</v>
      </c>
      <c r="N3651">
        <v>50.4326761831041</v>
      </c>
      <c r="O3651">
        <v>49.861051569681997</v>
      </c>
      <c r="P3651">
        <v>-0.12601715314599199</v>
      </c>
      <c r="Q3651">
        <v>7.5225249617272699E-2</v>
      </c>
      <c r="R3651">
        <v>0.950587177675976</v>
      </c>
      <c r="S3651" t="s">
        <v>10321</v>
      </c>
      <c r="T3651" t="s">
        <v>13338</v>
      </c>
      <c r="U3651" t="s">
        <v>13338</v>
      </c>
      <c r="V3651" t="s">
        <v>13338</v>
      </c>
      <c r="W3651" t="s">
        <v>16940</v>
      </c>
      <c r="X3651">
        <v>6</v>
      </c>
      <c r="Y3651" t="s">
        <v>23462</v>
      </c>
      <c r="Z3651" t="s">
        <v>30066</v>
      </c>
      <c r="AA3651">
        <v>0.39449129869057192</v>
      </c>
      <c r="AB3651" t="str">
        <f>HYPERLINK("Melting_Curves/meltCurve_Q16795_NDUFA9.pdf", "Melting_Curves/meltCurve_Q16795_NDUFA9.pdf")</f>
        <v>Melting_Curves/meltCurve_Q16795_NDUFA9.pdf</v>
      </c>
    </row>
    <row r="3652" spans="1:28" x14ac:dyDescent="0.25">
      <c r="A3652" t="s">
        <v>3656</v>
      </c>
      <c r="B3652">
        <v>0.99193492352474899</v>
      </c>
      <c r="C3652">
        <v>1.19893129704298</v>
      </c>
      <c r="D3652">
        <v>1.06776805346225</v>
      </c>
      <c r="E3652">
        <v>0.97087730612356404</v>
      </c>
      <c r="F3652">
        <v>0.39745882801349203</v>
      </c>
      <c r="G3652">
        <v>0.14707752532482801</v>
      </c>
      <c r="H3652">
        <v>8.4233387654705505E-2</v>
      </c>
      <c r="I3652">
        <v>8.3687749491646604E-2</v>
      </c>
      <c r="J3652">
        <v>9.5784785710697498E-2</v>
      </c>
      <c r="K3652">
        <v>8.2440330354914104E-2</v>
      </c>
      <c r="L3652">
        <v>2733.09726815165</v>
      </c>
      <c r="M3652">
        <v>52.034693507468702</v>
      </c>
      <c r="N3652">
        <v>52.736116498690599</v>
      </c>
      <c r="O3652">
        <v>52.447114494905698</v>
      </c>
      <c r="P3652">
        <v>-0.22466503121311401</v>
      </c>
      <c r="Q3652">
        <v>9.4217855239215803E-2</v>
      </c>
      <c r="R3652">
        <v>0.97797965485011895</v>
      </c>
      <c r="S3652" t="s">
        <v>10322</v>
      </c>
      <c r="T3652" t="s">
        <v>13338</v>
      </c>
      <c r="U3652" t="s">
        <v>13338</v>
      </c>
      <c r="V3652" t="s">
        <v>13338</v>
      </c>
      <c r="W3652" t="s">
        <v>16941</v>
      </c>
      <c r="X3652">
        <v>25</v>
      </c>
      <c r="Y3652" t="s">
        <v>23463</v>
      </c>
      <c r="Z3652" t="s">
        <v>30067</v>
      </c>
      <c r="AA3652">
        <v>0.47430410063740708</v>
      </c>
      <c r="AB3652" t="str">
        <f>HYPERLINK("Melting_Curves/meltCurve_Q16822_PCK2.pdf", "Melting_Curves/meltCurve_Q16822_PCK2.pdf")</f>
        <v>Melting_Curves/meltCurve_Q16822_PCK2.pdf</v>
      </c>
    </row>
    <row r="3653" spans="1:28" x14ac:dyDescent="0.25">
      <c r="A3653" t="s">
        <v>3657</v>
      </c>
      <c r="B3653">
        <v>0.99193492352474899</v>
      </c>
      <c r="C3653">
        <v>1.13240664690971</v>
      </c>
      <c r="D3653">
        <v>0.955387763042855</v>
      </c>
      <c r="E3653">
        <v>0.93323060901526</v>
      </c>
      <c r="F3653">
        <v>0.81917614905150105</v>
      </c>
      <c r="G3653">
        <v>0.84411290742551803</v>
      </c>
      <c r="H3653">
        <v>0.59946218991220901</v>
      </c>
      <c r="I3653">
        <v>0.74565527693442202</v>
      </c>
      <c r="J3653">
        <v>0.73956189528875305</v>
      </c>
      <c r="K3653">
        <v>0.93258799429114003</v>
      </c>
      <c r="L3653">
        <v>1423.7120251879501</v>
      </c>
      <c r="M3653">
        <v>27.854110286685099</v>
      </c>
      <c r="O3653">
        <v>50.851897339635798</v>
      </c>
      <c r="P3653">
        <v>-3.1844323510348001E-2</v>
      </c>
      <c r="Q3653">
        <v>0.76745549206132802</v>
      </c>
      <c r="R3653">
        <v>0.61121276442594197</v>
      </c>
      <c r="S3653" t="s">
        <v>10323</v>
      </c>
      <c r="T3653" t="s">
        <v>13338</v>
      </c>
      <c r="U3653" t="s">
        <v>13338</v>
      </c>
      <c r="V3653" t="s">
        <v>13338</v>
      </c>
      <c r="W3653" t="s">
        <v>16942</v>
      </c>
      <c r="X3653">
        <v>7</v>
      </c>
      <c r="Y3653" t="s">
        <v>23464</v>
      </c>
      <c r="Z3653" t="s">
        <v>30068</v>
      </c>
      <c r="AA3653">
        <v>0.85529772089665845</v>
      </c>
      <c r="AB3653" t="str">
        <f>HYPERLINK("Melting_Curves/meltCurve_Q16854_DGUOK.pdf", "Melting_Curves/meltCurve_Q16854_DGUOK.pdf")</f>
        <v>Melting_Curves/meltCurve_Q16854_DGUOK.pdf</v>
      </c>
    </row>
    <row r="3654" spans="1:28" x14ac:dyDescent="0.25">
      <c r="A3654" t="s">
        <v>3658</v>
      </c>
      <c r="B3654">
        <v>0.99193492352474899</v>
      </c>
      <c r="C3654">
        <v>0.79185824050244202</v>
      </c>
      <c r="D3654">
        <v>0.81775078830695602</v>
      </c>
      <c r="E3654">
        <v>0.76958537569278795</v>
      </c>
      <c r="F3654">
        <v>0.81796984257080196</v>
      </c>
      <c r="G3654">
        <v>0.47087182064678901</v>
      </c>
      <c r="H3654">
        <v>0.38058017657690901</v>
      </c>
      <c r="I3654">
        <v>0.34740098868147901</v>
      </c>
      <c r="J3654">
        <v>0.44360232065379501</v>
      </c>
      <c r="K3654">
        <v>0.47897776551995003</v>
      </c>
      <c r="L3654">
        <v>441.91265775051301</v>
      </c>
      <c r="M3654">
        <v>8.4047337083225298</v>
      </c>
      <c r="N3654">
        <v>59.4703620527523</v>
      </c>
      <c r="O3654">
        <v>49.855312309766099</v>
      </c>
      <c r="P3654">
        <v>-2.9057126024029999E-2</v>
      </c>
      <c r="Q3654">
        <v>0.31120170876701297</v>
      </c>
      <c r="R3654">
        <v>0.82469485174510904</v>
      </c>
      <c r="S3654" t="s">
        <v>10324</v>
      </c>
      <c r="T3654" t="s">
        <v>13338</v>
      </c>
      <c r="U3654" t="s">
        <v>13338</v>
      </c>
      <c r="V3654" t="s">
        <v>13338</v>
      </c>
      <c r="W3654" t="s">
        <v>16943</v>
      </c>
      <c r="X3654">
        <v>5</v>
      </c>
      <c r="Y3654" t="s">
        <v>23465</v>
      </c>
      <c r="Z3654" t="s">
        <v>30069</v>
      </c>
      <c r="AA3654">
        <v>0.6288066042905559</v>
      </c>
      <c r="AB3654" t="str">
        <f>HYPERLINK("Melting_Curves/meltCurve_Q16864_ATP6V1F.pdf", "Melting_Curves/meltCurve_Q16864_ATP6V1F.pdf")</f>
        <v>Melting_Curves/meltCurve_Q16864_ATP6V1F.pdf</v>
      </c>
    </row>
    <row r="3655" spans="1:28" x14ac:dyDescent="0.25">
      <c r="A3655" t="s">
        <v>3659</v>
      </c>
      <c r="B3655">
        <v>0.99193492352474899</v>
      </c>
      <c r="C3655">
        <v>1.08298934114887</v>
      </c>
      <c r="D3655">
        <v>1.14173977482916</v>
      </c>
      <c r="E3655">
        <v>0.81129400341712399</v>
      </c>
      <c r="F3655">
        <v>0.38820752664864899</v>
      </c>
      <c r="G3655">
        <v>0.19696299834085601</v>
      </c>
      <c r="H3655">
        <v>0.12567076890139101</v>
      </c>
      <c r="I3655">
        <v>0.15140072861256301</v>
      </c>
      <c r="J3655">
        <v>0.15153378982252699</v>
      </c>
      <c r="K3655">
        <v>0.147506852620956</v>
      </c>
      <c r="L3655">
        <v>1793.65536022469</v>
      </c>
      <c r="M3655">
        <v>34.6981262737458</v>
      </c>
      <c r="N3655">
        <v>52.215962221795301</v>
      </c>
      <c r="O3655">
        <v>51.522357724355999</v>
      </c>
      <c r="P3655">
        <v>-0.14365745130691501</v>
      </c>
      <c r="Q3655">
        <v>0.146750204236856</v>
      </c>
      <c r="R3655">
        <v>0.980964764770341</v>
      </c>
      <c r="S3655" t="s">
        <v>10325</v>
      </c>
      <c r="T3655" t="s">
        <v>13338</v>
      </c>
      <c r="U3655" t="s">
        <v>13338</v>
      </c>
      <c r="V3655" t="s">
        <v>13338</v>
      </c>
      <c r="W3655" t="s">
        <v>16944</v>
      </c>
      <c r="X3655">
        <v>43</v>
      </c>
      <c r="Y3655" t="s">
        <v>23466</v>
      </c>
      <c r="Z3655" t="s">
        <v>30070</v>
      </c>
      <c r="AA3655">
        <v>0.4833788428336856</v>
      </c>
      <c r="AB3655" t="str">
        <f>HYPERLINK("Melting_Curves/meltCurve_Q16891_2_IMMT.pdf", "Melting_Curves/meltCurve_Q16891_2_IMMT.pdf")</f>
        <v>Melting_Curves/meltCurve_Q16891_2_IMMT.pdf</v>
      </c>
    </row>
    <row r="3656" spans="1:28" x14ac:dyDescent="0.25">
      <c r="A3656" t="s">
        <v>3660</v>
      </c>
      <c r="B3656">
        <v>0.99193492352474899</v>
      </c>
      <c r="C3656">
        <v>0.77719367335725398</v>
      </c>
      <c r="D3656">
        <v>0.74440677007414202</v>
      </c>
      <c r="E3656">
        <v>0.62951357305504496</v>
      </c>
      <c r="F3656">
        <v>0.56251262078921604</v>
      </c>
      <c r="G3656">
        <v>0.36203959222878201</v>
      </c>
      <c r="H3656">
        <v>0.33558557174258902</v>
      </c>
      <c r="I3656">
        <v>0.37801319482984702</v>
      </c>
      <c r="J3656">
        <v>0.34233818415261902</v>
      </c>
      <c r="K3656">
        <v>0.35705909768765398</v>
      </c>
      <c r="L3656">
        <v>498.34379983000099</v>
      </c>
      <c r="M3656">
        <v>10.298334725486001</v>
      </c>
      <c r="N3656">
        <v>53.223810220057601</v>
      </c>
      <c r="O3656">
        <v>46.672619735437799</v>
      </c>
      <c r="P3656">
        <v>-3.8424257258217097E-2</v>
      </c>
      <c r="Q3656">
        <v>0.30373913916077699</v>
      </c>
      <c r="R3656">
        <v>0.95529911404477397</v>
      </c>
      <c r="S3656" t="s">
        <v>10326</v>
      </c>
      <c r="T3656" t="s">
        <v>13338</v>
      </c>
      <c r="U3656" t="s">
        <v>13338</v>
      </c>
      <c r="V3656" t="s">
        <v>13338</v>
      </c>
      <c r="W3656" t="s">
        <v>16945</v>
      </c>
      <c r="X3656">
        <v>9</v>
      </c>
      <c r="Y3656" t="s">
        <v>23467</v>
      </c>
      <c r="Z3656" t="s">
        <v>30071</v>
      </c>
      <c r="AA3656">
        <v>0.53264866709222347</v>
      </c>
      <c r="AB3656" t="str">
        <f>HYPERLINK("Melting_Curves/meltCurve_Q17R31_2_TATDN3.pdf", "Melting_Curves/meltCurve_Q17R31_2_TATDN3.pdf")</f>
        <v>Melting_Curves/meltCurve_Q17R31_2_TATDN3.pdf</v>
      </c>
    </row>
    <row r="3657" spans="1:28" x14ac:dyDescent="0.25">
      <c r="A3657" t="s">
        <v>3661</v>
      </c>
      <c r="B3657">
        <v>0.99193492352474899</v>
      </c>
      <c r="C3657">
        <v>0.76585329300413396</v>
      </c>
      <c r="D3657">
        <v>0.85929533964336102</v>
      </c>
      <c r="E3657">
        <v>0.54920901420297696</v>
      </c>
      <c r="F3657">
        <v>0.26710482178072398</v>
      </c>
      <c r="G3657">
        <v>0.10372899737706801</v>
      </c>
      <c r="H3657">
        <v>5.9441895857070097E-2</v>
      </c>
      <c r="I3657">
        <v>3.50518398264155E-2</v>
      </c>
      <c r="J3657">
        <v>5.6819374122423702E-2</v>
      </c>
      <c r="K3657">
        <v>5.3633584390764898E-2</v>
      </c>
      <c r="L3657">
        <v>777.03811394645697</v>
      </c>
      <c r="M3657">
        <v>15.599134695711699</v>
      </c>
      <c r="N3657">
        <v>49.915705166067198</v>
      </c>
      <c r="O3657">
        <v>49.015796705821998</v>
      </c>
      <c r="P3657">
        <v>-7.8310775986722897E-2</v>
      </c>
      <c r="Q3657">
        <v>1.5808713012255102E-2</v>
      </c>
      <c r="R3657">
        <v>0.97329464084855899</v>
      </c>
      <c r="S3657" t="s">
        <v>10327</v>
      </c>
      <c r="T3657" t="s">
        <v>13338</v>
      </c>
      <c r="U3657" t="s">
        <v>13338</v>
      </c>
      <c r="V3657" t="s">
        <v>13338</v>
      </c>
      <c r="W3657" t="s">
        <v>16946</v>
      </c>
      <c r="X3657">
        <v>5</v>
      </c>
      <c r="Y3657" t="s">
        <v>23468</v>
      </c>
      <c r="Z3657" t="s">
        <v>30072</v>
      </c>
      <c r="AA3657">
        <v>0.35973287434739631</v>
      </c>
      <c r="AB3657" t="str">
        <f>HYPERLINK("Melting_Curves/meltCurve_Q17RN3_FAM98C.pdf", "Melting_Curves/meltCurve_Q17RN3_FAM98C.pdf")</f>
        <v>Melting_Curves/meltCurve_Q17RN3_FAM98C.pdf</v>
      </c>
    </row>
    <row r="3658" spans="1:28" x14ac:dyDescent="0.25">
      <c r="A3658" t="s">
        <v>3662</v>
      </c>
      <c r="B3658">
        <v>0.99193492352474899</v>
      </c>
      <c r="C3658">
        <v>0.80450679412647097</v>
      </c>
      <c r="D3658">
        <v>0.56374512179870395</v>
      </c>
      <c r="E3658">
        <v>0.170339425619489</v>
      </c>
      <c r="F3658">
        <v>9.6700468746574703E-2</v>
      </c>
      <c r="G3658">
        <v>5.7789397994704603E-2</v>
      </c>
      <c r="H3658">
        <v>4.3863179427418499E-2</v>
      </c>
      <c r="I3658">
        <v>5.1087658840829497E-2</v>
      </c>
      <c r="J3658">
        <v>6.5852119136989698E-2</v>
      </c>
      <c r="K3658">
        <v>6.2004255246813703E-2</v>
      </c>
      <c r="L3658">
        <v>1047.9013747276499</v>
      </c>
      <c r="M3658">
        <v>22.776558229185799</v>
      </c>
      <c r="N3658">
        <v>46.222928666596403</v>
      </c>
      <c r="O3658">
        <v>45.6576312699558</v>
      </c>
      <c r="P3658">
        <v>-0.11844696537666299</v>
      </c>
      <c r="Q3658">
        <v>5.0268565716082701E-2</v>
      </c>
      <c r="R3658">
        <v>0.99542649006719697</v>
      </c>
      <c r="S3658" t="s">
        <v>10328</v>
      </c>
      <c r="T3658" t="s">
        <v>13338</v>
      </c>
      <c r="U3658" t="s">
        <v>13338</v>
      </c>
      <c r="V3658" t="s">
        <v>13338</v>
      </c>
      <c r="W3658" t="s">
        <v>16947</v>
      </c>
      <c r="X3658">
        <v>13</v>
      </c>
      <c r="Y3658" t="s">
        <v>23469</v>
      </c>
      <c r="Z3658" t="s">
        <v>30073</v>
      </c>
      <c r="AA3658">
        <v>0.25134025703524188</v>
      </c>
      <c r="AB3658" t="str">
        <f>HYPERLINK("Melting_Curves/meltCurve_Q17RU2_REL.pdf", "Melting_Curves/meltCurve_Q17RU2_REL.pdf")</f>
        <v>Melting_Curves/meltCurve_Q17RU2_REL.pdf</v>
      </c>
    </row>
    <row r="3659" spans="1:28" x14ac:dyDescent="0.25">
      <c r="A3659" t="s">
        <v>3663</v>
      </c>
      <c r="B3659">
        <v>0.99193492352474899</v>
      </c>
      <c r="C3659">
        <v>0.78744121349545004</v>
      </c>
      <c r="D3659">
        <v>0.83088644451016502</v>
      </c>
      <c r="E3659">
        <v>0.73855141039351602</v>
      </c>
      <c r="F3659">
        <v>0.230485922489401</v>
      </c>
      <c r="G3659">
        <v>0.1406329322132</v>
      </c>
      <c r="H3659">
        <v>8.65529906016404E-2</v>
      </c>
      <c r="I3659">
        <v>9.1664697219378297E-2</v>
      </c>
      <c r="J3659">
        <v>0.127067955867388</v>
      </c>
      <c r="K3659">
        <v>8.7530637346887194E-2</v>
      </c>
      <c r="L3659">
        <v>1073.99357882245</v>
      </c>
      <c r="M3659">
        <v>21.273652681566901</v>
      </c>
      <c r="N3659">
        <v>50.888709923465598</v>
      </c>
      <c r="O3659">
        <v>50.044940100274999</v>
      </c>
      <c r="P3659">
        <v>-9.8017458128443605E-2</v>
      </c>
      <c r="Q3659">
        <v>7.7703732050420304E-2</v>
      </c>
      <c r="R3659">
        <v>0.95012076056453698</v>
      </c>
      <c r="S3659" t="s">
        <v>10329</v>
      </c>
      <c r="T3659" t="s">
        <v>13338</v>
      </c>
      <c r="U3659" t="s">
        <v>13338</v>
      </c>
      <c r="V3659" t="s">
        <v>13338</v>
      </c>
      <c r="W3659" t="s">
        <v>16948</v>
      </c>
      <c r="X3659">
        <v>15</v>
      </c>
      <c r="Y3659" t="s">
        <v>23470</v>
      </c>
      <c r="Z3659" t="s">
        <v>30074</v>
      </c>
      <c r="AA3659">
        <v>0.4114184726867488</v>
      </c>
      <c r="AB3659" t="str">
        <f>HYPERLINK("Melting_Curves/meltCurve_Q1KMD3_HNRNPUL2.pdf", "Melting_Curves/meltCurve_Q1KMD3_HNRNPUL2.pdf")</f>
        <v>Melting_Curves/meltCurve_Q1KMD3_HNRNPUL2.pdf</v>
      </c>
    </row>
    <row r="3660" spans="1:28" x14ac:dyDescent="0.25">
      <c r="A3660" t="s">
        <v>3664</v>
      </c>
      <c r="B3660">
        <v>0.99193492352474899</v>
      </c>
      <c r="C3660">
        <v>0.94411586274070802</v>
      </c>
      <c r="D3660">
        <v>0.75867278809893501</v>
      </c>
      <c r="E3660">
        <v>0.53991524152294101</v>
      </c>
      <c r="F3660">
        <v>0.37099795287589699</v>
      </c>
      <c r="G3660">
        <v>0.25527134529638201</v>
      </c>
      <c r="H3660">
        <v>0.154357736643597</v>
      </c>
      <c r="I3660">
        <v>0.16491853974781501</v>
      </c>
      <c r="J3660">
        <v>0.23769432073895</v>
      </c>
      <c r="K3660">
        <v>0.25649528813634598</v>
      </c>
      <c r="L3660">
        <v>841.33054084340097</v>
      </c>
      <c r="M3660">
        <v>17.291282493110401</v>
      </c>
      <c r="N3660">
        <v>50.099401822424099</v>
      </c>
      <c r="O3660">
        <v>48.019549230110599</v>
      </c>
      <c r="P3660">
        <v>-7.2368916475348793E-2</v>
      </c>
      <c r="Q3660">
        <v>0.19614483062101501</v>
      </c>
      <c r="R3660">
        <v>0.98672585709329996</v>
      </c>
      <c r="S3660" t="s">
        <v>10330</v>
      </c>
      <c r="T3660" t="s">
        <v>13338</v>
      </c>
      <c r="U3660" t="s">
        <v>13338</v>
      </c>
      <c r="V3660" t="s">
        <v>13338</v>
      </c>
      <c r="W3660" t="s">
        <v>16949</v>
      </c>
      <c r="X3660">
        <v>2</v>
      </c>
      <c r="Y3660" t="s">
        <v>23471</v>
      </c>
      <c r="Z3660" t="s">
        <v>30075</v>
      </c>
      <c r="AA3660">
        <v>0.44329795392709342</v>
      </c>
      <c r="AB3660" t="str">
        <f>HYPERLINK("Melting_Curves/meltCurve_Q1MSJ5_1_CSPP1.pdf", "Melting_Curves/meltCurve_Q1MSJ5_1_CSPP1.pdf")</f>
        <v>Melting_Curves/meltCurve_Q1MSJ5_1_CSPP1.pdf</v>
      </c>
    </row>
    <row r="3661" spans="1:28" x14ac:dyDescent="0.25">
      <c r="A3661" t="s">
        <v>3665</v>
      </c>
      <c r="B3661">
        <v>0.99193492352474899</v>
      </c>
      <c r="C3661">
        <v>0.78045926919995401</v>
      </c>
      <c r="D3661">
        <v>0.41238582677021002</v>
      </c>
      <c r="E3661">
        <v>0.161295556399951</v>
      </c>
      <c r="F3661">
        <v>0.108241198800968</v>
      </c>
      <c r="G3661">
        <v>6.6290144933107101E-2</v>
      </c>
      <c r="H3661">
        <v>4.4485769080349499E-2</v>
      </c>
      <c r="I3661">
        <v>5.0374447870113699E-2</v>
      </c>
      <c r="J3661">
        <v>6.03941776985321E-2</v>
      </c>
      <c r="K3661">
        <v>5.1447655771976901E-2</v>
      </c>
      <c r="L3661">
        <v>1086.4041982624699</v>
      </c>
      <c r="M3661">
        <v>24.093588737910402</v>
      </c>
      <c r="N3661">
        <v>45.324847580043901</v>
      </c>
      <c r="O3661">
        <v>44.783803058162903</v>
      </c>
      <c r="P3661">
        <v>-0.12664030327429099</v>
      </c>
      <c r="Q3661">
        <v>5.8446792911465602E-2</v>
      </c>
      <c r="R3661">
        <v>0.99777431378054104</v>
      </c>
      <c r="S3661" t="s">
        <v>10331</v>
      </c>
      <c r="T3661" t="s">
        <v>13338</v>
      </c>
      <c r="U3661" t="s">
        <v>13338</v>
      </c>
      <c r="V3661" t="s">
        <v>13338</v>
      </c>
      <c r="W3661" t="s">
        <v>16950</v>
      </c>
      <c r="X3661">
        <v>20</v>
      </c>
      <c r="Y3661" t="s">
        <v>23472</v>
      </c>
      <c r="Z3661" t="s">
        <v>30076</v>
      </c>
      <c r="AA3661">
        <v>0.22838315144150009</v>
      </c>
      <c r="AB3661" t="str">
        <f>HYPERLINK("Melting_Curves/meltCurve_Q27J81_2_INF2.pdf", "Melting_Curves/meltCurve_Q27J81_2_INF2.pdf")</f>
        <v>Melting_Curves/meltCurve_Q27J81_2_INF2.pdf</v>
      </c>
    </row>
    <row r="3662" spans="1:28" x14ac:dyDescent="0.25">
      <c r="A3662" t="s">
        <v>3666</v>
      </c>
      <c r="B3662">
        <v>0.99193492352474899</v>
      </c>
      <c r="C3662">
        <v>1.04320574113243</v>
      </c>
      <c r="D3662">
        <v>0.97984847676951303</v>
      </c>
      <c r="E3662">
        <v>0.78632819321804504</v>
      </c>
      <c r="F3662">
        <v>0.62369899807604001</v>
      </c>
      <c r="G3662">
        <v>0.44187983135097297</v>
      </c>
      <c r="H3662">
        <v>0.277790092577403</v>
      </c>
      <c r="I3662">
        <v>0.29567112882607399</v>
      </c>
      <c r="J3662">
        <v>0.29915495999573899</v>
      </c>
      <c r="K3662">
        <v>0.33986784327879599</v>
      </c>
      <c r="L3662">
        <v>1028.81139498875</v>
      </c>
      <c r="M3662">
        <v>19.6000121844489</v>
      </c>
      <c r="N3662">
        <v>54.916158944415301</v>
      </c>
      <c r="O3662">
        <v>51.953075883361898</v>
      </c>
      <c r="P3662">
        <v>-6.7000512986282901E-2</v>
      </c>
      <c r="Q3662">
        <v>0.28964095658612699</v>
      </c>
      <c r="R3662">
        <v>0.98724797581234802</v>
      </c>
      <c r="S3662" t="s">
        <v>10332</v>
      </c>
      <c r="T3662" t="s">
        <v>13338</v>
      </c>
      <c r="U3662" t="s">
        <v>13338</v>
      </c>
      <c r="V3662" t="s">
        <v>13338</v>
      </c>
      <c r="W3662" t="s">
        <v>16951</v>
      </c>
      <c r="X3662">
        <v>19</v>
      </c>
      <c r="Y3662" t="s">
        <v>21749</v>
      </c>
      <c r="Z3662" t="s">
        <v>30077</v>
      </c>
      <c r="AA3662">
        <v>0.59555286138390295</v>
      </c>
      <c r="AB3662" t="str">
        <f>HYPERLINK("Melting_Curves/meltCurve_Q29718_HLA_B.pdf", "Melting_Curves/meltCurve_Q29718_HLA_B.pdf")</f>
        <v>Melting_Curves/meltCurve_Q29718_HLA_B.pdf</v>
      </c>
    </row>
    <row r="3663" spans="1:28" x14ac:dyDescent="0.25">
      <c r="A3663" t="s">
        <v>3667</v>
      </c>
      <c r="B3663">
        <v>0.99193492352474899</v>
      </c>
      <c r="C3663">
        <v>1.8358562914601</v>
      </c>
      <c r="D3663">
        <v>0.81498004982586703</v>
      </c>
      <c r="E3663">
        <v>1.49167407504498</v>
      </c>
      <c r="F3663">
        <v>0.59229597541210499</v>
      </c>
      <c r="G3663">
        <v>0.764013479370521</v>
      </c>
      <c r="H3663">
        <v>0.55285886820854402</v>
      </c>
      <c r="I3663">
        <v>0.69839508628144997</v>
      </c>
      <c r="J3663">
        <v>0.41580509579393998</v>
      </c>
      <c r="K3663">
        <v>0.35385880157580102</v>
      </c>
      <c r="L3663">
        <v>1039.01694420132</v>
      </c>
      <c r="M3663">
        <v>18.1562118664535</v>
      </c>
      <c r="N3663">
        <v>64.139793340671005</v>
      </c>
      <c r="O3663">
        <v>56.545845806546801</v>
      </c>
      <c r="P3663">
        <v>-4.5808956477802899E-2</v>
      </c>
      <c r="Q3663">
        <v>0.429356053332348</v>
      </c>
      <c r="R3663">
        <v>0.43446942680848999</v>
      </c>
      <c r="S3663" t="s">
        <v>10333</v>
      </c>
      <c r="T3663" t="s">
        <v>13338</v>
      </c>
      <c r="U3663" t="s">
        <v>13338</v>
      </c>
      <c r="V3663" t="s">
        <v>13338</v>
      </c>
      <c r="W3663" t="s">
        <v>16952</v>
      </c>
      <c r="X3663">
        <v>18</v>
      </c>
      <c r="Y3663" t="s">
        <v>21749</v>
      </c>
      <c r="Z3663" t="s">
        <v>30078</v>
      </c>
      <c r="AA3663">
        <v>0.76464258427355414</v>
      </c>
      <c r="AB3663" t="str">
        <f>HYPERLINK("Melting_Curves/meltCurve_Q29940_HLA_B.pdf", "Melting_Curves/meltCurve_Q29940_HLA_B.pdf")</f>
        <v>Melting_Curves/meltCurve_Q29940_HLA_B.pdf</v>
      </c>
    </row>
    <row r="3664" spans="1:28" x14ac:dyDescent="0.25">
      <c r="A3664" t="s">
        <v>3668</v>
      </c>
      <c r="B3664">
        <v>0.99193492352474899</v>
      </c>
      <c r="C3664">
        <v>0.96924517100497598</v>
      </c>
      <c r="D3664">
        <v>0.90178987342327999</v>
      </c>
      <c r="E3664">
        <v>0.75105105263927197</v>
      </c>
      <c r="F3664">
        <v>0.48266336031069401</v>
      </c>
      <c r="G3664">
        <v>0.38953985495287902</v>
      </c>
      <c r="H3664">
        <v>0.29952857312282699</v>
      </c>
      <c r="I3664">
        <v>0.29665276152943298</v>
      </c>
      <c r="J3664">
        <v>0.26929906496440298</v>
      </c>
      <c r="K3664">
        <v>0.32072510433387103</v>
      </c>
      <c r="L3664">
        <v>972.40851980745003</v>
      </c>
      <c r="M3664">
        <v>19.104575755985501</v>
      </c>
      <c r="N3664">
        <v>53.250071167479497</v>
      </c>
      <c r="O3664">
        <v>50.3514097738448</v>
      </c>
      <c r="P3664">
        <v>-6.7836388160683006E-2</v>
      </c>
      <c r="Q3664">
        <v>0.284878317179037</v>
      </c>
      <c r="R3664">
        <v>0.99593038921675203</v>
      </c>
      <c r="S3664" t="s">
        <v>10334</v>
      </c>
      <c r="T3664" t="s">
        <v>13338</v>
      </c>
      <c r="U3664" t="s">
        <v>13338</v>
      </c>
      <c r="V3664" t="s">
        <v>13338</v>
      </c>
      <c r="W3664" t="s">
        <v>16953</v>
      </c>
      <c r="X3664">
        <v>13</v>
      </c>
      <c r="Y3664" t="s">
        <v>20543</v>
      </c>
      <c r="Z3664" t="s">
        <v>30079</v>
      </c>
      <c r="AA3664">
        <v>0.5555035828640339</v>
      </c>
      <c r="AB3664" t="str">
        <f>HYPERLINK("Melting_Curves/meltCurve_Q29963_HLA_C.pdf", "Melting_Curves/meltCurve_Q29963_HLA_C.pdf")</f>
        <v>Melting_Curves/meltCurve_Q29963_HLA_C.pdf</v>
      </c>
    </row>
    <row r="3665" spans="1:28" x14ac:dyDescent="0.25">
      <c r="A3665" t="s">
        <v>3669</v>
      </c>
      <c r="B3665">
        <v>0.99193492352474899</v>
      </c>
      <c r="C3665">
        <v>0.73269358253427797</v>
      </c>
      <c r="D3665">
        <v>0.67797660742412802</v>
      </c>
      <c r="E3665">
        <v>0.15220921033151399</v>
      </c>
      <c r="F3665">
        <v>0.11614425065525701</v>
      </c>
      <c r="G3665">
        <v>6.9801731746146997E-2</v>
      </c>
      <c r="H3665">
        <v>4.32182855907845E-2</v>
      </c>
      <c r="I3665">
        <v>4.7604545211278597E-2</v>
      </c>
      <c r="J3665">
        <v>5.0819741113595197E-2</v>
      </c>
      <c r="K3665">
        <v>5.2323687289944999E-2</v>
      </c>
      <c r="L3665">
        <v>948.94275789356402</v>
      </c>
      <c r="M3665">
        <v>20.451750938672902</v>
      </c>
      <c r="N3665">
        <v>46.590448874585803</v>
      </c>
      <c r="O3665">
        <v>45.962319558212101</v>
      </c>
      <c r="P3665">
        <v>-0.106763914080342</v>
      </c>
      <c r="Q3665">
        <v>4.02834196689279E-2</v>
      </c>
      <c r="R3665">
        <v>0.96936629736569901</v>
      </c>
      <c r="S3665" t="s">
        <v>10335</v>
      </c>
      <c r="T3665" t="s">
        <v>13338</v>
      </c>
      <c r="U3665" t="s">
        <v>13338</v>
      </c>
      <c r="V3665" t="s">
        <v>13338</v>
      </c>
      <c r="W3665" t="s">
        <v>16954</v>
      </c>
      <c r="X3665">
        <v>53</v>
      </c>
      <c r="Y3665" t="s">
        <v>23473</v>
      </c>
      <c r="Z3665" t="s">
        <v>30080</v>
      </c>
      <c r="AA3665">
        <v>0.25874460520693882</v>
      </c>
      <c r="AB3665" t="str">
        <f>HYPERLINK("Melting_Curves/meltCurve_Q29RF7_PDS5A.pdf", "Melting_Curves/meltCurve_Q29RF7_PDS5A.pdf")</f>
        <v>Melting_Curves/meltCurve_Q29RF7_PDS5A.pdf</v>
      </c>
    </row>
    <row r="3666" spans="1:28" x14ac:dyDescent="0.25">
      <c r="A3666" t="s">
        <v>3670</v>
      </c>
      <c r="B3666">
        <v>0.99193492352474899</v>
      </c>
      <c r="C3666">
        <v>0.79734025144124099</v>
      </c>
      <c r="D3666">
        <v>0.95296753108434695</v>
      </c>
      <c r="E3666">
        <v>0.72604699235479098</v>
      </c>
      <c r="F3666">
        <v>0.62643360170008699</v>
      </c>
      <c r="G3666">
        <v>0.30765531369666099</v>
      </c>
      <c r="H3666">
        <v>0.217519918429773</v>
      </c>
      <c r="I3666">
        <v>0.21971425076076401</v>
      </c>
      <c r="J3666">
        <v>0.303351179461198</v>
      </c>
      <c r="K3666">
        <v>0.263745327943463</v>
      </c>
      <c r="L3666">
        <v>837.90735454273999</v>
      </c>
      <c r="M3666">
        <v>16.131824269127598</v>
      </c>
      <c r="N3666">
        <v>53.834784964952703</v>
      </c>
      <c r="O3666">
        <v>51.162760214189603</v>
      </c>
      <c r="P3666">
        <v>-6.1764744038261502E-2</v>
      </c>
      <c r="Q3666">
        <v>0.216501561517773</v>
      </c>
      <c r="R3666">
        <v>0.93401767188611795</v>
      </c>
      <c r="S3666" t="s">
        <v>10336</v>
      </c>
      <c r="T3666" t="s">
        <v>13338</v>
      </c>
      <c r="U3666" t="s">
        <v>13338</v>
      </c>
      <c r="V3666" t="s">
        <v>13338</v>
      </c>
      <c r="W3666" t="s">
        <v>16955</v>
      </c>
      <c r="X3666">
        <v>4</v>
      </c>
      <c r="Y3666" t="s">
        <v>23474</v>
      </c>
      <c r="Z3666" t="s">
        <v>30081</v>
      </c>
      <c r="AA3666">
        <v>0.54402137541919882</v>
      </c>
      <c r="AB3666" t="str">
        <f>HYPERLINK("Melting_Curves/meltCurve_Q2KHT3_CLEC16A.pdf", "Melting_Curves/meltCurve_Q2KHT3_CLEC16A.pdf")</f>
        <v>Melting_Curves/meltCurve_Q2KHT3_CLEC16A.pdf</v>
      </c>
    </row>
    <row r="3667" spans="1:28" x14ac:dyDescent="0.25">
      <c r="A3667" t="s">
        <v>3671</v>
      </c>
      <c r="B3667">
        <v>0.99193492352474899</v>
      </c>
      <c r="C3667">
        <v>0.71327359843667004</v>
      </c>
      <c r="D3667">
        <v>0.89050791594205703</v>
      </c>
      <c r="E3667">
        <v>0.53180121744398701</v>
      </c>
      <c r="F3667">
        <v>0.52041039993594296</v>
      </c>
      <c r="G3667">
        <v>0.288543338288481</v>
      </c>
      <c r="H3667">
        <v>0.29841540240437597</v>
      </c>
      <c r="I3667">
        <v>0.220390434642601</v>
      </c>
      <c r="J3667">
        <v>0.21513524973616799</v>
      </c>
      <c r="K3667">
        <v>0.191944346392662</v>
      </c>
      <c r="L3667">
        <v>485.20049185037999</v>
      </c>
      <c r="M3667">
        <v>9.6242912801364007</v>
      </c>
      <c r="N3667">
        <v>52.090860987347398</v>
      </c>
      <c r="O3667">
        <v>48.381825364374698</v>
      </c>
      <c r="P3667">
        <v>-4.3131092780678899E-2</v>
      </c>
      <c r="Q3667">
        <v>0.13319874736385801</v>
      </c>
      <c r="R3667">
        <v>0.92514987367744705</v>
      </c>
      <c r="S3667" t="s">
        <v>10337</v>
      </c>
      <c r="T3667" t="s">
        <v>13338</v>
      </c>
      <c r="U3667" t="s">
        <v>13338</v>
      </c>
      <c r="V3667" t="s">
        <v>13338</v>
      </c>
      <c r="W3667" t="s">
        <v>16956</v>
      </c>
      <c r="X3667">
        <v>5</v>
      </c>
      <c r="Y3667" t="s">
        <v>23475</v>
      </c>
      <c r="Z3667" t="s">
        <v>30082</v>
      </c>
      <c r="AA3667">
        <v>0.47390280452880967</v>
      </c>
      <c r="AB3667" t="str">
        <f>HYPERLINK("Melting_Curves/meltCurve_Q2M296_2_MTHFSD.pdf", "Melting_Curves/meltCurve_Q2M296_2_MTHFSD.pdf")</f>
        <v>Melting_Curves/meltCurve_Q2M296_2_MTHFSD.pdf</v>
      </c>
    </row>
    <row r="3668" spans="1:28" x14ac:dyDescent="0.25">
      <c r="A3668" t="s">
        <v>3672</v>
      </c>
      <c r="B3668">
        <v>0.99193492352474899</v>
      </c>
      <c r="C3668">
        <v>0.71620818265889996</v>
      </c>
      <c r="D3668">
        <v>0.81955634281758405</v>
      </c>
      <c r="E3668">
        <v>0.51110402874666205</v>
      </c>
      <c r="F3668">
        <v>0.39030465525260599</v>
      </c>
      <c r="G3668">
        <v>0.17971044616418799</v>
      </c>
      <c r="H3668">
        <v>0.104849287571896</v>
      </c>
      <c r="I3668">
        <v>0.122203430208009</v>
      </c>
      <c r="J3668">
        <v>0.162911687727437</v>
      </c>
      <c r="K3668">
        <v>0.149504675746158</v>
      </c>
      <c r="L3668">
        <v>597.76029858274103</v>
      </c>
      <c r="M3668">
        <v>12.1561350407394</v>
      </c>
      <c r="N3668">
        <v>49.945391144645399</v>
      </c>
      <c r="O3668">
        <v>47.8995751471654</v>
      </c>
      <c r="P3668">
        <v>-5.8026141038013297E-2</v>
      </c>
      <c r="Q3668">
        <v>8.5633629570240996E-2</v>
      </c>
      <c r="R3668">
        <v>0.95171395967843198</v>
      </c>
      <c r="S3668" t="s">
        <v>10338</v>
      </c>
      <c r="T3668" t="s">
        <v>13338</v>
      </c>
      <c r="U3668" t="s">
        <v>13338</v>
      </c>
      <c r="V3668" t="s">
        <v>13338</v>
      </c>
      <c r="W3668" t="s">
        <v>16957</v>
      </c>
      <c r="X3668">
        <v>7</v>
      </c>
      <c r="Y3668" t="s">
        <v>23476</v>
      </c>
      <c r="Z3668" t="s">
        <v>30083</v>
      </c>
      <c r="AA3668">
        <v>0.39776792347531098</v>
      </c>
      <c r="AB3668" t="str">
        <f>HYPERLINK("Melting_Curves/meltCurve_Q2M2I8_2_AAK1.pdf", "Melting_Curves/meltCurve_Q2M2I8_2_AAK1.pdf")</f>
        <v>Melting_Curves/meltCurve_Q2M2I8_2_AAK1.pdf</v>
      </c>
    </row>
    <row r="3669" spans="1:28" x14ac:dyDescent="0.25">
      <c r="A3669" t="s">
        <v>3673</v>
      </c>
      <c r="B3669">
        <v>0.99193492352474899</v>
      </c>
      <c r="C3669">
        <v>0.98310849921166699</v>
      </c>
      <c r="D3669">
        <v>0.967873822493726</v>
      </c>
      <c r="E3669">
        <v>0.44142815999753998</v>
      </c>
      <c r="F3669">
        <v>0.22674683407913801</v>
      </c>
      <c r="G3669">
        <v>0.11545475760532301</v>
      </c>
      <c r="H3669">
        <v>6.1940417090662503E-2</v>
      </c>
      <c r="I3669">
        <v>6.8811895587135602E-2</v>
      </c>
      <c r="J3669">
        <v>7.9436172700367E-2</v>
      </c>
      <c r="K3669">
        <v>8.1253509642880695E-2</v>
      </c>
      <c r="L3669">
        <v>1616.4181645239701</v>
      </c>
      <c r="M3669">
        <v>32.871378090845504</v>
      </c>
      <c r="N3669">
        <v>49.465262078422001</v>
      </c>
      <c r="O3669">
        <v>48.993109368117402</v>
      </c>
      <c r="P3669">
        <v>-0.15297739637250901</v>
      </c>
      <c r="Q3669">
        <v>8.7984165522705299E-2</v>
      </c>
      <c r="R3669">
        <v>0.99306670368983796</v>
      </c>
      <c r="S3669" t="s">
        <v>10339</v>
      </c>
      <c r="T3669" t="s">
        <v>13338</v>
      </c>
      <c r="U3669" t="s">
        <v>13338</v>
      </c>
      <c r="V3669" t="s">
        <v>13338</v>
      </c>
      <c r="W3669" t="s">
        <v>16958</v>
      </c>
      <c r="X3669">
        <v>12</v>
      </c>
      <c r="Y3669" t="s">
        <v>23477</v>
      </c>
      <c r="Z3669" t="s">
        <v>30084</v>
      </c>
      <c r="AA3669">
        <v>0.37150060883494052</v>
      </c>
      <c r="AB3669" t="str">
        <f>HYPERLINK("Melting_Curves/meltCurve_Q2M389_KIAA1033.pdf", "Melting_Curves/meltCurve_Q2M389_KIAA1033.pdf")</f>
        <v>Melting_Curves/meltCurve_Q2M389_KIAA1033.pdf</v>
      </c>
    </row>
    <row r="3670" spans="1:28" x14ac:dyDescent="0.25">
      <c r="A3670" t="s">
        <v>3674</v>
      </c>
      <c r="B3670">
        <v>0.99193492352474899</v>
      </c>
      <c r="C3670">
        <v>1.0861945337215899</v>
      </c>
      <c r="D3670">
        <v>0.43014505079510301</v>
      </c>
      <c r="E3670">
        <v>0.29101895051632298</v>
      </c>
      <c r="F3670">
        <v>0.15595620717797501</v>
      </c>
      <c r="G3670">
        <v>0.11121362647687499</v>
      </c>
      <c r="H3670">
        <v>7.4891572947189899E-2</v>
      </c>
      <c r="I3670">
        <v>0.102864004618217</v>
      </c>
      <c r="J3670">
        <v>9.8413725354095496E-2</v>
      </c>
      <c r="K3670">
        <v>0.104342993440615</v>
      </c>
      <c r="L3670">
        <v>11469.8759504226</v>
      </c>
      <c r="M3670">
        <v>250</v>
      </c>
      <c r="N3670">
        <v>45.936867305966999</v>
      </c>
      <c r="O3670">
        <v>45.876560962289901</v>
      </c>
      <c r="P3670">
        <v>-1.17965974964257</v>
      </c>
      <c r="Q3670">
        <v>0.13410015261028199</v>
      </c>
      <c r="R3670">
        <v>0.96985053123166998</v>
      </c>
      <c r="S3670" t="s">
        <v>10340</v>
      </c>
      <c r="T3670" t="s">
        <v>13338</v>
      </c>
      <c r="U3670" t="s">
        <v>13338</v>
      </c>
      <c r="V3670" t="s">
        <v>13338</v>
      </c>
      <c r="W3670" t="s">
        <v>16959</v>
      </c>
      <c r="X3670">
        <v>10</v>
      </c>
      <c r="Y3670" t="s">
        <v>23478</v>
      </c>
      <c r="Z3670" t="s">
        <v>30085</v>
      </c>
      <c r="AA3670">
        <v>0.30387192112781403</v>
      </c>
      <c r="AB3670" t="str">
        <f>HYPERLINK("Melting_Curves/meltCurve_Q2NKX8_ERCC6L.pdf", "Melting_Curves/meltCurve_Q2NKX8_ERCC6L.pdf")</f>
        <v>Melting_Curves/meltCurve_Q2NKX8_ERCC6L.pdf</v>
      </c>
    </row>
    <row r="3671" spans="1:28" x14ac:dyDescent="0.25">
      <c r="A3671" t="s">
        <v>3675</v>
      </c>
      <c r="B3671">
        <v>0.99193492352474899</v>
      </c>
      <c r="C3671">
        <v>0.61342864259458996</v>
      </c>
      <c r="D3671">
        <v>0.79093023745902702</v>
      </c>
      <c r="E3671">
        <v>0.30125940775710203</v>
      </c>
      <c r="F3671">
        <v>0.206925014508131</v>
      </c>
      <c r="G3671">
        <v>0.12901145312967299</v>
      </c>
      <c r="H3671">
        <v>8.1773858054576404E-2</v>
      </c>
      <c r="I3671">
        <v>8.8223419007420395E-2</v>
      </c>
      <c r="J3671">
        <v>0.118687890301076</v>
      </c>
      <c r="K3671">
        <v>0.11555292954169701</v>
      </c>
      <c r="L3671">
        <v>667.26049596384803</v>
      </c>
      <c r="M3671">
        <v>14.2138377952223</v>
      </c>
      <c r="N3671">
        <v>47.483233355385799</v>
      </c>
      <c r="O3671">
        <v>46.044539390039098</v>
      </c>
      <c r="P3671">
        <v>-7.1435622857296197E-2</v>
      </c>
      <c r="Q3671">
        <v>7.44765450510914E-2</v>
      </c>
      <c r="R3671">
        <v>0.91487737146265702</v>
      </c>
      <c r="S3671" t="s">
        <v>10341</v>
      </c>
      <c r="T3671" t="s">
        <v>13338</v>
      </c>
      <c r="U3671" t="s">
        <v>13338</v>
      </c>
      <c r="V3671" t="s">
        <v>13338</v>
      </c>
      <c r="W3671" t="s">
        <v>16960</v>
      </c>
      <c r="X3671">
        <v>14</v>
      </c>
      <c r="Y3671" t="s">
        <v>23479</v>
      </c>
      <c r="Z3671" t="s">
        <v>30086</v>
      </c>
      <c r="AA3671">
        <v>0.31687724628148067</v>
      </c>
      <c r="AB3671" t="str">
        <f>HYPERLINK("Melting_Curves/meltCurve_Q2NL82_TSR1.pdf", "Melting_Curves/meltCurve_Q2NL82_TSR1.pdf")</f>
        <v>Melting_Curves/meltCurve_Q2NL82_TSR1.pdf</v>
      </c>
    </row>
    <row r="3672" spans="1:28" x14ac:dyDescent="0.25">
      <c r="A3672" t="s">
        <v>3676</v>
      </c>
      <c r="B3672">
        <v>0.99193492352474899</v>
      </c>
      <c r="C3672">
        <v>0.77863394554040599</v>
      </c>
      <c r="D3672">
        <v>0.64264626812658598</v>
      </c>
      <c r="E3672">
        <v>0.64996066155707199</v>
      </c>
      <c r="F3672">
        <v>0.44549671879373398</v>
      </c>
      <c r="G3672">
        <v>0.29792790777740802</v>
      </c>
      <c r="H3672">
        <v>0.240688276677792</v>
      </c>
      <c r="I3672">
        <v>0.382306851494222</v>
      </c>
      <c r="J3672">
        <v>0.30659252315862101</v>
      </c>
      <c r="K3672">
        <v>0.42168248690729898</v>
      </c>
      <c r="L3672">
        <v>595.08068724175303</v>
      </c>
      <c r="M3672">
        <v>12.729227056724101</v>
      </c>
      <c r="N3672">
        <v>50.690253420277202</v>
      </c>
      <c r="O3672">
        <v>45.640437637837799</v>
      </c>
      <c r="P3672">
        <v>-4.7830338820819697E-2</v>
      </c>
      <c r="Q3672">
        <v>0.31415187593281402</v>
      </c>
      <c r="R3672">
        <v>0.89979411617361704</v>
      </c>
      <c r="S3672" t="s">
        <v>10342</v>
      </c>
      <c r="T3672" t="s">
        <v>13338</v>
      </c>
      <c r="U3672" t="s">
        <v>13338</v>
      </c>
      <c r="V3672" t="s">
        <v>13338</v>
      </c>
      <c r="W3672" t="s">
        <v>16961</v>
      </c>
      <c r="X3672">
        <v>3</v>
      </c>
      <c r="Y3672" t="s">
        <v>23480</v>
      </c>
      <c r="Z3672" t="s">
        <v>30087</v>
      </c>
      <c r="AA3672">
        <v>0.49472353333262931</v>
      </c>
      <c r="AB3672" t="str">
        <f>HYPERLINK("Melting_Curves/meltCurve_Q2NL98_VMAC.pdf", "Melting_Curves/meltCurve_Q2NL98_VMAC.pdf")</f>
        <v>Melting_Curves/meltCurve_Q2NL98_VMAC.pdf</v>
      </c>
    </row>
    <row r="3673" spans="1:28" x14ac:dyDescent="0.25">
      <c r="A3673" t="s">
        <v>3677</v>
      </c>
      <c r="B3673">
        <v>0.99193492352474899</v>
      </c>
      <c r="C3673">
        <v>0.845323305048853</v>
      </c>
      <c r="D3673">
        <v>1.1685060955512301</v>
      </c>
      <c r="E3673">
        <v>0.79544277972093302</v>
      </c>
      <c r="F3673">
        <v>0.39581934978774203</v>
      </c>
      <c r="G3673">
        <v>0.192286578143744</v>
      </c>
      <c r="H3673">
        <v>0.106940591910726</v>
      </c>
      <c r="I3673">
        <v>0.102119174593953</v>
      </c>
      <c r="J3673">
        <v>0.13013941183687699</v>
      </c>
      <c r="K3673">
        <v>0.174762203421999</v>
      </c>
      <c r="L3673">
        <v>1692.47368139947</v>
      </c>
      <c r="M3673">
        <v>32.700119346644897</v>
      </c>
      <c r="N3673">
        <v>52.2431145049175</v>
      </c>
      <c r="O3673">
        <v>51.565003240785202</v>
      </c>
      <c r="P3673">
        <v>-0.137759720009732</v>
      </c>
      <c r="Q3673">
        <v>0.131067713055222</v>
      </c>
      <c r="R3673">
        <v>0.95980368348670697</v>
      </c>
      <c r="S3673" t="s">
        <v>10343</v>
      </c>
      <c r="T3673" t="s">
        <v>13338</v>
      </c>
      <c r="U3673" t="s">
        <v>13338</v>
      </c>
      <c r="V3673" t="s">
        <v>13338</v>
      </c>
      <c r="W3673" t="s">
        <v>16962</v>
      </c>
      <c r="X3673">
        <v>1</v>
      </c>
      <c r="Y3673" t="s">
        <v>23481</v>
      </c>
      <c r="Z3673" t="s">
        <v>30088</v>
      </c>
      <c r="AA3673">
        <v>0.47627153569643332</v>
      </c>
      <c r="AB3673" t="str">
        <f>HYPERLINK("Melting_Curves/meltCurve_Q2PZI1_DPY19L1.pdf", "Melting_Curves/meltCurve_Q2PZI1_DPY19L1.pdf")</f>
        <v>Melting_Curves/meltCurve_Q2PZI1_DPY19L1.pdf</v>
      </c>
    </row>
    <row r="3674" spans="1:28" x14ac:dyDescent="0.25">
      <c r="A3674" t="s">
        <v>3678</v>
      </c>
      <c r="B3674">
        <v>0.99193492352474899</v>
      </c>
      <c r="C3674">
        <v>0.899695646027457</v>
      </c>
      <c r="D3674">
        <v>0.85653370419373098</v>
      </c>
      <c r="E3674">
        <v>0.738256287816074</v>
      </c>
      <c r="F3674">
        <v>0.59021028988650204</v>
      </c>
      <c r="G3674">
        <v>0.30246902207931797</v>
      </c>
      <c r="H3674">
        <v>0.13788862474226199</v>
      </c>
      <c r="I3674">
        <v>0.13693456690076</v>
      </c>
      <c r="J3674">
        <v>0.12634219614925801</v>
      </c>
      <c r="K3674">
        <v>0.13040211328278001</v>
      </c>
      <c r="L3674">
        <v>708.15893887127004</v>
      </c>
      <c r="M3674">
        <v>13.3512032433418</v>
      </c>
      <c r="N3674">
        <v>53.525368334482501</v>
      </c>
      <c r="O3674">
        <v>51.893287235160102</v>
      </c>
      <c r="P3674">
        <v>-6.0668918251733699E-2</v>
      </c>
      <c r="Q3674">
        <v>5.6921458949320297E-2</v>
      </c>
      <c r="R3674">
        <v>0.98555155406790096</v>
      </c>
      <c r="S3674" t="s">
        <v>10344</v>
      </c>
      <c r="T3674" t="s">
        <v>13338</v>
      </c>
      <c r="U3674" t="s">
        <v>13338</v>
      </c>
      <c r="V3674" t="s">
        <v>13338</v>
      </c>
      <c r="W3674" t="s">
        <v>16963</v>
      </c>
      <c r="X3674">
        <v>5</v>
      </c>
      <c r="Y3674" t="s">
        <v>23482</v>
      </c>
      <c r="Z3674" t="s">
        <v>30089</v>
      </c>
      <c r="AA3674">
        <v>0.49048152967883568</v>
      </c>
      <c r="AB3674" t="str">
        <f>HYPERLINK("Melting_Curves/meltCurve_Q2T9J0_TYSND1.pdf", "Melting_Curves/meltCurve_Q2T9J0_TYSND1.pdf")</f>
        <v>Melting_Curves/meltCurve_Q2T9J0_TYSND1.pdf</v>
      </c>
    </row>
    <row r="3675" spans="1:28" x14ac:dyDescent="0.25">
      <c r="A3675" t="s">
        <v>3679</v>
      </c>
      <c r="B3675">
        <v>0.99193492352474899</v>
      </c>
      <c r="C3675">
        <v>1.1059094612249201</v>
      </c>
      <c r="D3675">
        <v>1.0383004279038199</v>
      </c>
      <c r="E3675">
        <v>0.87287249536606204</v>
      </c>
      <c r="F3675">
        <v>0.32401732184835702</v>
      </c>
      <c r="G3675">
        <v>0.13399327120365401</v>
      </c>
      <c r="H3675">
        <v>6.8991467456014796E-2</v>
      </c>
      <c r="I3675">
        <v>6.0902901809821802E-2</v>
      </c>
      <c r="J3675">
        <v>7.5636080692865607E-2</v>
      </c>
      <c r="K3675">
        <v>5.6352115738770997E-2</v>
      </c>
      <c r="L3675">
        <v>2033.1958753608701</v>
      </c>
      <c r="M3675">
        <v>39.161672129852803</v>
      </c>
      <c r="N3675">
        <v>52.122019568630499</v>
      </c>
      <c r="O3675">
        <v>51.7831726334785</v>
      </c>
      <c r="P3675">
        <v>-0.17563109795449999</v>
      </c>
      <c r="Q3675">
        <v>7.1059475550756201E-2</v>
      </c>
      <c r="R3675">
        <v>0.99244085019165196</v>
      </c>
      <c r="S3675" t="s">
        <v>10345</v>
      </c>
      <c r="T3675" t="s">
        <v>13338</v>
      </c>
      <c r="U3675" t="s">
        <v>13338</v>
      </c>
      <c r="V3675" t="s">
        <v>13338</v>
      </c>
      <c r="W3675" t="s">
        <v>16964</v>
      </c>
      <c r="X3675">
        <v>4</v>
      </c>
      <c r="Y3675" t="s">
        <v>23483</v>
      </c>
      <c r="Z3675" t="s">
        <v>30090</v>
      </c>
      <c r="AA3675">
        <v>0.44357398690417182</v>
      </c>
      <c r="AB3675" t="str">
        <f>HYPERLINK("Melting_Curves/meltCurve_Q2TAA5_ALG11.pdf", "Melting_Curves/meltCurve_Q2TAA5_ALG11.pdf")</f>
        <v>Melting_Curves/meltCurve_Q2TAA5_ALG11.pdf</v>
      </c>
    </row>
    <row r="3676" spans="1:28" x14ac:dyDescent="0.25">
      <c r="A3676" t="s">
        <v>3680</v>
      </c>
      <c r="B3676">
        <v>0.99193492352474899</v>
      </c>
      <c r="C3676">
        <v>1.5239406381704701</v>
      </c>
      <c r="D3676">
        <v>0.878316724350097</v>
      </c>
      <c r="E3676">
        <v>1.0283383280803899</v>
      </c>
      <c r="F3676">
        <v>0.26925163849332601</v>
      </c>
      <c r="G3676">
        <v>0.174847524333509</v>
      </c>
      <c r="H3676">
        <v>0.17413321588487399</v>
      </c>
      <c r="I3676">
        <v>0.41781296170426102</v>
      </c>
      <c r="J3676">
        <v>0.50223329112144899</v>
      </c>
      <c r="K3676">
        <v>0.58235521561510095</v>
      </c>
      <c r="L3676">
        <v>8358.5799489655801</v>
      </c>
      <c r="M3676">
        <v>163.28897695918599</v>
      </c>
      <c r="N3676">
        <v>51.576137678212298</v>
      </c>
      <c r="O3676">
        <v>51.181188354743</v>
      </c>
      <c r="P3676">
        <v>-0.51582945380558598</v>
      </c>
      <c r="Q3676">
        <v>0.35327485244773599</v>
      </c>
      <c r="R3676">
        <v>0.74878960764842895</v>
      </c>
      <c r="S3676" t="s">
        <v>10346</v>
      </c>
      <c r="T3676" t="s">
        <v>13338</v>
      </c>
      <c r="U3676" t="s">
        <v>13338</v>
      </c>
      <c r="V3676" t="s">
        <v>13338</v>
      </c>
      <c r="W3676" t="s">
        <v>16965</v>
      </c>
      <c r="X3676">
        <v>3</v>
      </c>
      <c r="Y3676" t="s">
        <v>23484</v>
      </c>
      <c r="Z3676" t="s">
        <v>30091</v>
      </c>
      <c r="AA3676">
        <v>0.59461542885501972</v>
      </c>
      <c r="AB3676" t="str">
        <f>HYPERLINK("Melting_Curves/meltCurve_Q2TAL8_QRICH1.pdf", "Melting_Curves/meltCurve_Q2TAL8_QRICH1.pdf")</f>
        <v>Melting_Curves/meltCurve_Q2TAL8_QRICH1.pdf</v>
      </c>
    </row>
    <row r="3677" spans="1:28" x14ac:dyDescent="0.25">
      <c r="A3677" t="s">
        <v>3681</v>
      </c>
      <c r="B3677">
        <v>0.99193492352474899</v>
      </c>
      <c r="C3677">
        <v>0.99469995192066896</v>
      </c>
      <c r="D3677">
        <v>0.71371013017140605</v>
      </c>
      <c r="E3677">
        <v>0.401128997185078</v>
      </c>
      <c r="F3677">
        <v>0.234594225024403</v>
      </c>
      <c r="G3677">
        <v>0.158875050496215</v>
      </c>
      <c r="H3677">
        <v>8.3859659757819796E-2</v>
      </c>
      <c r="I3677">
        <v>0.130149871554677</v>
      </c>
      <c r="J3677">
        <v>0.13515709056133199</v>
      </c>
      <c r="K3677">
        <v>0.14534782200964799</v>
      </c>
      <c r="L3677">
        <v>1067.78701202971</v>
      </c>
      <c r="M3677">
        <v>22.3278987599607</v>
      </c>
      <c r="N3677">
        <v>48.459896501540598</v>
      </c>
      <c r="O3677">
        <v>47.444316680148198</v>
      </c>
      <c r="P3677">
        <v>-0.10269480695646301</v>
      </c>
      <c r="Q3677">
        <v>0.12715747534864599</v>
      </c>
      <c r="R3677">
        <v>0.99344128087695904</v>
      </c>
      <c r="S3677" t="s">
        <v>10347</v>
      </c>
      <c r="T3677" t="s">
        <v>13338</v>
      </c>
      <c r="U3677" t="s">
        <v>13338</v>
      </c>
      <c r="V3677" t="s">
        <v>13338</v>
      </c>
      <c r="W3677" t="s">
        <v>16966</v>
      </c>
      <c r="X3677">
        <v>11</v>
      </c>
      <c r="Y3677" t="s">
        <v>23485</v>
      </c>
      <c r="Z3677" t="s">
        <v>30092</v>
      </c>
      <c r="AA3677">
        <v>0.3646008186877816</v>
      </c>
      <c r="AB3677" t="str">
        <f>HYPERLINK("Melting_Curves/meltCurve_Q2TAM5_RELA.pdf", "Melting_Curves/meltCurve_Q2TAM5_RELA.pdf")</f>
        <v>Melting_Curves/meltCurve_Q2TAM5_RELA.pdf</v>
      </c>
    </row>
    <row r="3678" spans="1:28" x14ac:dyDescent="0.25">
      <c r="A3678" t="s">
        <v>3682</v>
      </c>
      <c r="B3678">
        <v>0.99193492352474899</v>
      </c>
      <c r="C3678">
        <v>0.65189707205108105</v>
      </c>
      <c r="D3678">
        <v>0.859192249061279</v>
      </c>
      <c r="E3678">
        <v>0.50175385956817997</v>
      </c>
      <c r="F3678">
        <v>0.264723251102778</v>
      </c>
      <c r="G3678">
        <v>9.3002415268412506E-2</v>
      </c>
      <c r="H3678">
        <v>5.7241362694375499E-2</v>
      </c>
      <c r="I3678">
        <v>6.5368175810211995E-2</v>
      </c>
      <c r="J3678">
        <v>7.6293153123590196E-2</v>
      </c>
      <c r="K3678">
        <v>8.2404514186511305E-2</v>
      </c>
      <c r="L3678">
        <v>652.383946412353</v>
      </c>
      <c r="M3678">
        <v>13.281222074852</v>
      </c>
      <c r="N3678">
        <v>49.274101737302701</v>
      </c>
      <c r="O3678">
        <v>48.0471934132838</v>
      </c>
      <c r="P3678">
        <v>-6.77172161276344E-2</v>
      </c>
      <c r="Q3678">
        <v>2.0242249289490599E-2</v>
      </c>
      <c r="R3678">
        <v>0.93104925829879204</v>
      </c>
      <c r="S3678" t="s">
        <v>10348</v>
      </c>
      <c r="T3678" t="s">
        <v>13338</v>
      </c>
      <c r="U3678" t="s">
        <v>13338</v>
      </c>
      <c r="V3678" t="s">
        <v>13338</v>
      </c>
      <c r="W3678" t="s">
        <v>16967</v>
      </c>
      <c r="X3678">
        <v>15</v>
      </c>
      <c r="Y3678" t="s">
        <v>23486</v>
      </c>
      <c r="Z3678" t="s">
        <v>30093</v>
      </c>
      <c r="AA3678">
        <v>0.34814630894892301</v>
      </c>
      <c r="AB3678" t="str">
        <f>HYPERLINK("Melting_Curves/meltCurve_Q2TAY7_SMU1.pdf", "Melting_Curves/meltCurve_Q2TAY7_SMU1.pdf")</f>
        <v>Melting_Curves/meltCurve_Q2TAY7_SMU1.pdf</v>
      </c>
    </row>
    <row r="3679" spans="1:28" x14ac:dyDescent="0.25">
      <c r="A3679" t="s">
        <v>3683</v>
      </c>
      <c r="B3679">
        <v>0.99193492352474899</v>
      </c>
      <c r="C3679">
        <v>1.0215384480098999</v>
      </c>
      <c r="D3679">
        <v>1.14266747551962</v>
      </c>
      <c r="E3679">
        <v>0.52992531911456497</v>
      </c>
      <c r="F3679">
        <v>0.37817757699703197</v>
      </c>
      <c r="G3679">
        <v>0.21819836898991399</v>
      </c>
      <c r="H3679">
        <v>0.14082708637119101</v>
      </c>
      <c r="I3679">
        <v>0.34570483007514802</v>
      </c>
      <c r="J3679">
        <v>0.56743406632521398</v>
      </c>
      <c r="K3679">
        <v>0.18870177316643399</v>
      </c>
      <c r="L3679">
        <v>10495.0518307611</v>
      </c>
      <c r="M3679">
        <v>212.33762249250199</v>
      </c>
      <c r="N3679">
        <v>49.648225968570202</v>
      </c>
      <c r="O3679">
        <v>49.4218629729844</v>
      </c>
      <c r="P3679">
        <v>-0.74488594015215104</v>
      </c>
      <c r="Q3679">
        <v>0.30650724392809597</v>
      </c>
      <c r="R3679">
        <v>0.88408239809119304</v>
      </c>
      <c r="S3679" t="s">
        <v>10349</v>
      </c>
      <c r="T3679" t="s">
        <v>13338</v>
      </c>
      <c r="U3679" t="s">
        <v>13338</v>
      </c>
      <c r="V3679" t="s">
        <v>13338</v>
      </c>
      <c r="W3679" t="s">
        <v>16968</v>
      </c>
      <c r="X3679">
        <v>4</v>
      </c>
      <c r="Y3679" t="s">
        <v>23487</v>
      </c>
      <c r="Z3679" t="s">
        <v>30094</v>
      </c>
      <c r="AA3679">
        <v>0.5244917777699265</v>
      </c>
      <c r="AB3679" t="str">
        <f>HYPERLINK("Melting_Curves/meltCurve_Q2VPB7_AP5B1.pdf", "Melting_Curves/meltCurve_Q2VPB7_AP5B1.pdf")</f>
        <v>Melting_Curves/meltCurve_Q2VPB7_AP5B1.pdf</v>
      </c>
    </row>
    <row r="3680" spans="1:28" x14ac:dyDescent="0.25">
      <c r="A3680" t="s">
        <v>3684</v>
      </c>
      <c r="B3680">
        <v>0.99193492352474899</v>
      </c>
      <c r="C3680">
        <v>0.77315367362972098</v>
      </c>
      <c r="D3680">
        <v>0.89705448983465197</v>
      </c>
      <c r="E3680">
        <v>0.56725403038357802</v>
      </c>
      <c r="F3680">
        <v>0.42033613254573698</v>
      </c>
      <c r="G3680">
        <v>0.28934729405812598</v>
      </c>
      <c r="H3680">
        <v>0.18873925652517801</v>
      </c>
      <c r="I3680">
        <v>0.18935358432208799</v>
      </c>
      <c r="J3680">
        <v>0.26470127398514798</v>
      </c>
      <c r="K3680">
        <v>0.12666857172045301</v>
      </c>
      <c r="L3680">
        <v>643.72644778312201</v>
      </c>
      <c r="M3680">
        <v>12.883651861417601</v>
      </c>
      <c r="N3680">
        <v>51.363252760935602</v>
      </c>
      <c r="O3680">
        <v>48.806771530244703</v>
      </c>
      <c r="P3680">
        <v>-5.6239861740206697E-2</v>
      </c>
      <c r="Q3680">
        <v>0.14794841276353901</v>
      </c>
      <c r="R3680">
        <v>0.95362999319441999</v>
      </c>
      <c r="S3680" t="s">
        <v>10350</v>
      </c>
      <c r="T3680" t="s">
        <v>13338</v>
      </c>
      <c r="U3680" t="s">
        <v>13338</v>
      </c>
      <c r="V3680" t="s">
        <v>13338</v>
      </c>
      <c r="W3680" t="s">
        <v>16969</v>
      </c>
      <c r="X3680">
        <v>3</v>
      </c>
      <c r="Y3680" t="s">
        <v>23488</v>
      </c>
      <c r="Z3680" t="s">
        <v>30095</v>
      </c>
      <c r="AA3680">
        <v>0.45733705480558817</v>
      </c>
      <c r="AB3680" t="str">
        <f>HYPERLINK("Melting_Curves/meltCurve_Q2VPS2_STX1B.pdf", "Melting_Curves/meltCurve_Q2VPS2_STX1B.pdf")</f>
        <v>Melting_Curves/meltCurve_Q2VPS2_STX1B.pdf</v>
      </c>
    </row>
    <row r="3681" spans="1:28" x14ac:dyDescent="0.25">
      <c r="A3681" t="s">
        <v>3685</v>
      </c>
      <c r="B3681">
        <v>0.99193492352474899</v>
      </c>
      <c r="C3681">
        <v>0.99564412426869398</v>
      </c>
      <c r="D3681">
        <v>0.95637952841199103</v>
      </c>
      <c r="E3681">
        <v>0.69669739458291402</v>
      </c>
      <c r="F3681">
        <v>0.83781329503386304</v>
      </c>
      <c r="G3681">
        <v>0.64733435296643105</v>
      </c>
      <c r="H3681">
        <v>0.44271139702670798</v>
      </c>
      <c r="I3681">
        <v>0.65505334874090304</v>
      </c>
      <c r="J3681">
        <v>0.98635987046815399</v>
      </c>
      <c r="K3681">
        <v>1.3250323071814201</v>
      </c>
      <c r="L3681">
        <v>11559.1074701574</v>
      </c>
      <c r="M3681">
        <v>250</v>
      </c>
      <c r="O3681">
        <v>46.233448633622103</v>
      </c>
      <c r="P3681">
        <v>-0.27210458697937401</v>
      </c>
      <c r="Q3681">
        <v>0.79871456675535002</v>
      </c>
      <c r="R3681">
        <v>0.125358610688033</v>
      </c>
      <c r="S3681" t="s">
        <v>10351</v>
      </c>
      <c r="T3681" t="s">
        <v>13338</v>
      </c>
      <c r="U3681" t="s">
        <v>13338</v>
      </c>
      <c r="V3681" t="s">
        <v>13338</v>
      </c>
      <c r="W3681" t="s">
        <v>16970</v>
      </c>
      <c r="X3681">
        <v>42</v>
      </c>
      <c r="Y3681" t="s">
        <v>23489</v>
      </c>
      <c r="Z3681" t="s">
        <v>30096</v>
      </c>
      <c r="AA3681">
        <v>0.84057431625118684</v>
      </c>
      <c r="AB3681" t="str">
        <f>HYPERLINK("Melting_Curves/meltCurve_Q32MZ4_2_LRRFIP1.pdf", "Melting_Curves/meltCurve_Q32MZ4_2_LRRFIP1.pdf")</f>
        <v>Melting_Curves/meltCurve_Q32MZ4_2_LRRFIP1.pdf</v>
      </c>
    </row>
    <row r="3682" spans="1:28" x14ac:dyDescent="0.25">
      <c r="A3682" t="s">
        <v>3686</v>
      </c>
      <c r="B3682">
        <v>0.99193492352474899</v>
      </c>
      <c r="C3682">
        <v>1.0378392330046899</v>
      </c>
      <c r="D3682">
        <v>0.84092714952979397</v>
      </c>
      <c r="E3682">
        <v>0.580870347213848</v>
      </c>
      <c r="F3682">
        <v>0.69660437526422403</v>
      </c>
      <c r="G3682">
        <v>0.63272864974068599</v>
      </c>
      <c r="H3682">
        <v>0.53176052318026701</v>
      </c>
      <c r="I3682">
        <v>0.79328772433764605</v>
      </c>
      <c r="J3682">
        <v>0.72801608276804897</v>
      </c>
      <c r="K3682">
        <v>1.0920227046636899</v>
      </c>
      <c r="L3682">
        <v>11486.5494872159</v>
      </c>
      <c r="M3682">
        <v>250</v>
      </c>
      <c r="O3682">
        <v>45.943258228383797</v>
      </c>
      <c r="P3682">
        <v>-0.37793311558730802</v>
      </c>
      <c r="Q3682">
        <v>0.72218434397886</v>
      </c>
      <c r="R3682">
        <v>0.39404251969186799</v>
      </c>
      <c r="S3682" t="s">
        <v>10352</v>
      </c>
      <c r="T3682" t="s">
        <v>13338</v>
      </c>
      <c r="U3682" t="s">
        <v>13338</v>
      </c>
      <c r="V3682" t="s">
        <v>13338</v>
      </c>
      <c r="W3682" t="s">
        <v>16971</v>
      </c>
      <c r="X3682">
        <v>43</v>
      </c>
      <c r="Y3682" t="s">
        <v>23489</v>
      </c>
      <c r="Z3682" t="s">
        <v>30097</v>
      </c>
      <c r="AA3682">
        <v>0.77727164173920338</v>
      </c>
      <c r="AB3682" t="str">
        <f>HYPERLINK("Melting_Curves/meltCurve_Q32MZ4_3_LRRFIP1.pdf", "Melting_Curves/meltCurve_Q32MZ4_3_LRRFIP1.pdf")</f>
        <v>Melting_Curves/meltCurve_Q32MZ4_3_LRRFIP1.pdf</v>
      </c>
    </row>
    <row r="3683" spans="1:28" x14ac:dyDescent="0.25">
      <c r="A3683" t="s">
        <v>3687</v>
      </c>
      <c r="B3683">
        <v>0.99193492352474899</v>
      </c>
      <c r="C3683">
        <v>0.77267541321262601</v>
      </c>
      <c r="D3683">
        <v>0.89913115308021496</v>
      </c>
      <c r="E3683">
        <v>0.45206814983895399</v>
      </c>
      <c r="F3683">
        <v>0.68060762098560601</v>
      </c>
      <c r="G3683">
        <v>0.50204475627550005</v>
      </c>
      <c r="H3683">
        <v>0.37202161648610799</v>
      </c>
      <c r="I3683">
        <v>0.44216633308859898</v>
      </c>
      <c r="J3683">
        <v>0.53955015765496595</v>
      </c>
      <c r="K3683">
        <v>0.67301307498881202</v>
      </c>
      <c r="L3683">
        <v>801.22366204086995</v>
      </c>
      <c r="M3683">
        <v>17.479357890287201</v>
      </c>
      <c r="O3683">
        <v>45.250932995065199</v>
      </c>
      <c r="P3683">
        <v>-4.7337987347765703E-2</v>
      </c>
      <c r="Q3683">
        <v>0.50982880267367903</v>
      </c>
      <c r="R3683">
        <v>0.65543591987632299</v>
      </c>
      <c r="S3683" t="s">
        <v>10353</v>
      </c>
      <c r="T3683" t="s">
        <v>13338</v>
      </c>
      <c r="U3683" t="s">
        <v>13338</v>
      </c>
      <c r="V3683" t="s">
        <v>13338</v>
      </c>
      <c r="W3683" t="s">
        <v>16972</v>
      </c>
      <c r="X3683">
        <v>12</v>
      </c>
      <c r="Y3683" t="s">
        <v>23489</v>
      </c>
      <c r="Z3683" t="s">
        <v>30098</v>
      </c>
      <c r="AA3683">
        <v>0.61563045684056805</v>
      </c>
      <c r="AB3683" t="str">
        <f>HYPERLINK("Melting_Curves/meltCurve_Q32MZ4_4_LRRFIP1.pdf", "Melting_Curves/meltCurve_Q32MZ4_4_LRRFIP1.pdf")</f>
        <v>Melting_Curves/meltCurve_Q32MZ4_4_LRRFIP1.pdf</v>
      </c>
    </row>
    <row r="3684" spans="1:28" x14ac:dyDescent="0.25">
      <c r="A3684" t="s">
        <v>3688</v>
      </c>
      <c r="B3684">
        <v>0.99193492352474899</v>
      </c>
      <c r="C3684">
        <v>0.82154054757914297</v>
      </c>
      <c r="D3684">
        <v>0.73030620574810201</v>
      </c>
      <c r="E3684">
        <v>0.18068829723319399</v>
      </c>
      <c r="F3684">
        <v>0.12801716841080699</v>
      </c>
      <c r="G3684">
        <v>8.1579082955585594E-2</v>
      </c>
      <c r="H3684">
        <v>4.9511604370552402E-2</v>
      </c>
      <c r="I3684">
        <v>7.4395744848240505E-2</v>
      </c>
      <c r="J3684">
        <v>7.3729926337571E-2</v>
      </c>
      <c r="K3684">
        <v>0.12267096097730899</v>
      </c>
      <c r="L3684">
        <v>1344.3061349868201</v>
      </c>
      <c r="M3684">
        <v>28.654977589803401</v>
      </c>
      <c r="N3684">
        <v>47.187006909815899</v>
      </c>
      <c r="O3684">
        <v>46.686829973418902</v>
      </c>
      <c r="P3684">
        <v>-0.14170415598691899</v>
      </c>
      <c r="Q3684">
        <v>7.6507235395700507E-2</v>
      </c>
      <c r="R3684">
        <v>0.97945841304886505</v>
      </c>
      <c r="S3684" t="s">
        <v>10354</v>
      </c>
      <c r="T3684" t="s">
        <v>13338</v>
      </c>
      <c r="U3684" t="s">
        <v>13338</v>
      </c>
      <c r="V3684" t="s">
        <v>13338</v>
      </c>
      <c r="W3684" t="s">
        <v>16973</v>
      </c>
      <c r="X3684">
        <v>5</v>
      </c>
      <c r="Y3684" t="s">
        <v>23490</v>
      </c>
      <c r="Z3684" t="s">
        <v>30099</v>
      </c>
      <c r="AA3684">
        <v>0.29544839261068351</v>
      </c>
      <c r="AB3684" t="str">
        <f>HYPERLINK("Melting_Curves/meltCurve_Q32MZ9_POLD3.pdf", "Melting_Curves/meltCurve_Q32MZ9_POLD3.pdf")</f>
        <v>Melting_Curves/meltCurve_Q32MZ9_POLD3.pdf</v>
      </c>
    </row>
    <row r="3685" spans="1:28" x14ac:dyDescent="0.25">
      <c r="A3685" t="s">
        <v>3689</v>
      </c>
      <c r="B3685">
        <v>0.99193492352474899</v>
      </c>
      <c r="C3685">
        <v>0.89494581725637301</v>
      </c>
      <c r="D3685">
        <v>0.95814589504703396</v>
      </c>
      <c r="E3685">
        <v>0.56330470647229303</v>
      </c>
      <c r="F3685">
        <v>0.37501553177825298</v>
      </c>
      <c r="G3685">
        <v>0.16838497128449201</v>
      </c>
      <c r="H3685">
        <v>0.107763626396149</v>
      </c>
      <c r="I3685">
        <v>0.112715563486486</v>
      </c>
      <c r="J3685">
        <v>0.15430981681036299</v>
      </c>
      <c r="K3685">
        <v>0.11500503992441199</v>
      </c>
      <c r="L3685">
        <v>1039.0334373999201</v>
      </c>
      <c r="M3685">
        <v>20.682591858374799</v>
      </c>
      <c r="N3685">
        <v>50.8689219402143</v>
      </c>
      <c r="O3685">
        <v>49.774533392521597</v>
      </c>
      <c r="P3685">
        <v>-9.2117136324669599E-2</v>
      </c>
      <c r="Q3685">
        <v>0.11327229365282999</v>
      </c>
      <c r="R3685">
        <v>0.98476437019542096</v>
      </c>
      <c r="S3685" t="s">
        <v>10355</v>
      </c>
      <c r="T3685" t="s">
        <v>13338</v>
      </c>
      <c r="U3685" t="s">
        <v>13338</v>
      </c>
      <c r="V3685" t="s">
        <v>13338</v>
      </c>
      <c r="W3685" t="s">
        <v>16974</v>
      </c>
      <c r="X3685">
        <v>8</v>
      </c>
      <c r="Y3685" t="s">
        <v>23491</v>
      </c>
      <c r="Z3685" t="s">
        <v>30100</v>
      </c>
      <c r="AA3685">
        <v>0.4274133610747281</v>
      </c>
      <c r="AB3685" t="str">
        <f>HYPERLINK("Melting_Curves/meltCurve_Q32P28_LEPRE1.pdf", "Melting_Curves/meltCurve_Q32P28_LEPRE1.pdf")</f>
        <v>Melting_Curves/meltCurve_Q32P28_LEPRE1.pdf</v>
      </c>
    </row>
    <row r="3686" spans="1:28" x14ac:dyDescent="0.25">
      <c r="A3686" t="s">
        <v>3690</v>
      </c>
      <c r="B3686">
        <v>0.99193492352474899</v>
      </c>
      <c r="C3686">
        <v>0.78350933454433502</v>
      </c>
      <c r="D3686">
        <v>0.37332053408198301</v>
      </c>
      <c r="E3686">
        <v>0.17115837269322401</v>
      </c>
      <c r="F3686">
        <v>0.120985809781308</v>
      </c>
      <c r="G3686">
        <v>8.0321899597442598E-2</v>
      </c>
      <c r="H3686">
        <v>4.6847864445532697E-2</v>
      </c>
      <c r="I3686">
        <v>6.2203720288112697E-2</v>
      </c>
      <c r="J3686">
        <v>6.6396627909828407E-2</v>
      </c>
      <c r="K3686">
        <v>6.6420559812139804E-2</v>
      </c>
      <c r="L3686">
        <v>1162.36392364431</v>
      </c>
      <c r="M3686">
        <v>25.917578191429801</v>
      </c>
      <c r="N3686">
        <v>45.1221624169943</v>
      </c>
      <c r="O3686">
        <v>44.5840321356335</v>
      </c>
      <c r="P3686">
        <v>-0.13476142345379899</v>
      </c>
      <c r="Q3686">
        <v>7.2731632828084994E-2</v>
      </c>
      <c r="R3686">
        <v>0.99617667543445798</v>
      </c>
      <c r="S3686" t="s">
        <v>10356</v>
      </c>
      <c r="T3686" t="s">
        <v>13338</v>
      </c>
      <c r="U3686" t="s">
        <v>13338</v>
      </c>
      <c r="V3686" t="s">
        <v>13338</v>
      </c>
      <c r="W3686" t="s">
        <v>16975</v>
      </c>
      <c r="X3686">
        <v>12</v>
      </c>
      <c r="Y3686" t="s">
        <v>23492</v>
      </c>
      <c r="Z3686" t="s">
        <v>30101</v>
      </c>
      <c r="AA3686">
        <v>0.2312018182987956</v>
      </c>
      <c r="AB3686" t="str">
        <f>HYPERLINK("Melting_Curves/meltCurve_Q32P41_TRMT5.pdf", "Melting_Curves/meltCurve_Q32P41_TRMT5.pdf")</f>
        <v>Melting_Curves/meltCurve_Q32P41_TRMT5.pdf</v>
      </c>
    </row>
    <row r="3687" spans="1:28" x14ac:dyDescent="0.25">
      <c r="A3687" t="s">
        <v>3691</v>
      </c>
      <c r="B3687">
        <v>0.99193492352474899</v>
      </c>
      <c r="C3687">
        <v>0.90532824167038894</v>
      </c>
      <c r="D3687">
        <v>0.88569102030149505</v>
      </c>
      <c r="E3687">
        <v>0.74156198692193198</v>
      </c>
      <c r="F3687">
        <v>0.69629252610898296</v>
      </c>
      <c r="G3687">
        <v>0.51166239079015696</v>
      </c>
      <c r="H3687">
        <v>0.43417066138833699</v>
      </c>
      <c r="I3687">
        <v>0.49221495351799699</v>
      </c>
      <c r="J3687">
        <v>0.42285039330096402</v>
      </c>
      <c r="K3687">
        <v>0.259230837488864</v>
      </c>
      <c r="L3687">
        <v>428.91453531179798</v>
      </c>
      <c r="M3687">
        <v>7.7626150020906604</v>
      </c>
      <c r="N3687">
        <v>59.334068582864901</v>
      </c>
      <c r="O3687">
        <v>51.946314562576497</v>
      </c>
      <c r="P3687">
        <v>-2.9669925698054701E-2</v>
      </c>
      <c r="Q3687">
        <v>0.206816084412978</v>
      </c>
      <c r="R3687">
        <v>0.95746558624292699</v>
      </c>
      <c r="S3687" t="s">
        <v>10357</v>
      </c>
      <c r="T3687" t="s">
        <v>13338</v>
      </c>
      <c r="U3687" t="s">
        <v>13338</v>
      </c>
      <c r="V3687" t="s">
        <v>13338</v>
      </c>
      <c r="W3687" t="s">
        <v>14026</v>
      </c>
      <c r="X3687">
        <v>21</v>
      </c>
      <c r="Y3687" t="s">
        <v>23493</v>
      </c>
      <c r="Z3687" t="s">
        <v>30102</v>
      </c>
      <c r="AA3687">
        <v>0.63016233440875902</v>
      </c>
      <c r="AB3687" t="str">
        <f>HYPERLINK("Melting_Curves/meltCurve_Q32Q12_NME1_NME2.pdf", "Melting_Curves/meltCurve_Q32Q12_NME1_NME2.pdf")</f>
        <v>Melting_Curves/meltCurve_Q32Q12_NME1_NME2.pdf</v>
      </c>
    </row>
    <row r="3688" spans="1:28" x14ac:dyDescent="0.25">
      <c r="A3688" t="s">
        <v>3692</v>
      </c>
      <c r="B3688">
        <v>0.99193492352474899</v>
      </c>
      <c r="C3688">
        <v>0.54195284903512797</v>
      </c>
      <c r="D3688">
        <v>0.65853761394483101</v>
      </c>
      <c r="E3688">
        <v>0.29630275653909599</v>
      </c>
      <c r="F3688">
        <v>0.23660717514610699</v>
      </c>
      <c r="G3688">
        <v>0.12646759712626199</v>
      </c>
      <c r="H3688">
        <v>9.5981322065590499E-2</v>
      </c>
      <c r="I3688">
        <v>9.7977141864727293E-2</v>
      </c>
      <c r="J3688">
        <v>9.2354038058947402E-2</v>
      </c>
      <c r="K3688">
        <v>9.0797574537687498E-2</v>
      </c>
      <c r="L3688">
        <v>563.79349642243506</v>
      </c>
      <c r="M3688">
        <v>12.2608381537799</v>
      </c>
      <c r="N3688">
        <v>46.523591526666998</v>
      </c>
      <c r="O3688">
        <v>44.8113770578491</v>
      </c>
      <c r="P3688">
        <v>-6.3877429978695902E-2</v>
      </c>
      <c r="Q3688">
        <v>6.6360720027958994E-2</v>
      </c>
      <c r="R3688">
        <v>0.92174802571391401</v>
      </c>
      <c r="S3688" t="s">
        <v>10358</v>
      </c>
      <c r="T3688" t="s">
        <v>13338</v>
      </c>
      <c r="U3688" t="s">
        <v>13338</v>
      </c>
      <c r="V3688" t="s">
        <v>13338</v>
      </c>
      <c r="W3688" t="s">
        <v>16976</v>
      </c>
      <c r="X3688">
        <v>5</v>
      </c>
      <c r="Y3688" t="s">
        <v>23494</v>
      </c>
      <c r="Z3688" t="s">
        <v>30103</v>
      </c>
      <c r="AA3688">
        <v>0.29343274257943341</v>
      </c>
      <c r="AB3688" t="str">
        <f>HYPERLINK("Melting_Curves/meltCurve_Q3B726_TWISTNB.pdf", "Melting_Curves/meltCurve_Q3B726_TWISTNB.pdf")</f>
        <v>Melting_Curves/meltCurve_Q3B726_TWISTNB.pdf</v>
      </c>
    </row>
    <row r="3689" spans="1:28" x14ac:dyDescent="0.25">
      <c r="A3689" t="s">
        <v>3693</v>
      </c>
      <c r="B3689">
        <v>0.99193492352474899</v>
      </c>
      <c r="C3689">
        <v>0.96062057055556505</v>
      </c>
      <c r="D3689">
        <v>0.99809002032435601</v>
      </c>
      <c r="E3689">
        <v>0.57128840047076501</v>
      </c>
      <c r="F3689">
        <v>0.43799520412952903</v>
      </c>
      <c r="G3689">
        <v>0.219381005181951</v>
      </c>
      <c r="H3689">
        <v>9.2570859622196605E-2</v>
      </c>
      <c r="I3689">
        <v>0.113831710321646</v>
      </c>
      <c r="J3689">
        <v>8.9919207043495694E-2</v>
      </c>
      <c r="K3689">
        <v>6.5194631549210097E-2</v>
      </c>
      <c r="L3689">
        <v>923.130282852253</v>
      </c>
      <c r="M3689">
        <v>18.025155189708101</v>
      </c>
      <c r="N3689">
        <v>51.660962654169801</v>
      </c>
      <c r="O3689">
        <v>50.5955850800786</v>
      </c>
      <c r="P3689">
        <v>-8.2631192684451502E-2</v>
      </c>
      <c r="Q3689">
        <v>7.2281354033492007E-2</v>
      </c>
      <c r="R3689">
        <v>0.98274767316547595</v>
      </c>
      <c r="S3689" t="s">
        <v>10359</v>
      </c>
      <c r="T3689" t="s">
        <v>13338</v>
      </c>
      <c r="U3689" t="s">
        <v>13338</v>
      </c>
      <c r="V3689" t="s">
        <v>13338</v>
      </c>
      <c r="W3689" t="s">
        <v>16977</v>
      </c>
      <c r="X3689">
        <v>2</v>
      </c>
      <c r="Y3689" t="s">
        <v>23495</v>
      </c>
      <c r="Z3689" t="s">
        <v>30104</v>
      </c>
      <c r="AA3689">
        <v>0.43459896930580039</v>
      </c>
      <c r="AB3689" t="str">
        <f>HYPERLINK("Melting_Curves/meltCurve_Q3B7J2_GFOD2.pdf", "Melting_Curves/meltCurve_Q3B7J2_GFOD2.pdf")</f>
        <v>Melting_Curves/meltCurve_Q3B7J2_GFOD2.pdf</v>
      </c>
    </row>
    <row r="3690" spans="1:28" x14ac:dyDescent="0.25">
      <c r="A3690" t="s">
        <v>3694</v>
      </c>
      <c r="B3690">
        <v>0.99193492352474899</v>
      </c>
      <c r="C3690">
        <v>0.66225049814726999</v>
      </c>
      <c r="D3690">
        <v>0.64516669960920203</v>
      </c>
      <c r="E3690">
        <v>0.22241213926606401</v>
      </c>
      <c r="F3690">
        <v>0.20086133187566901</v>
      </c>
      <c r="G3690">
        <v>0.112792069038349</v>
      </c>
      <c r="H3690">
        <v>7.4259670925999999E-2</v>
      </c>
      <c r="I3690">
        <v>7.8334605009824407E-2</v>
      </c>
      <c r="J3690">
        <v>0.10012448935481499</v>
      </c>
      <c r="K3690">
        <v>5.4236331070486497E-2</v>
      </c>
      <c r="L3690">
        <v>716.87892895923096</v>
      </c>
      <c r="M3690">
        <v>15.5565442276661</v>
      </c>
      <c r="N3690">
        <v>46.505050976503</v>
      </c>
      <c r="O3690">
        <v>45.3408134752951</v>
      </c>
      <c r="P3690">
        <v>-8.0125010563402502E-2</v>
      </c>
      <c r="Q3690">
        <v>6.5958353588006405E-2</v>
      </c>
      <c r="R3690">
        <v>0.96190282029185203</v>
      </c>
      <c r="S3690" t="s">
        <v>10360</v>
      </c>
      <c r="T3690" t="s">
        <v>13338</v>
      </c>
      <c r="U3690" t="s">
        <v>13338</v>
      </c>
      <c r="V3690" t="s">
        <v>13338</v>
      </c>
      <c r="W3690" t="s">
        <v>16978</v>
      </c>
      <c r="X3690">
        <v>3</v>
      </c>
      <c r="Y3690" t="s">
        <v>23496</v>
      </c>
      <c r="Z3690" t="s">
        <v>30105</v>
      </c>
      <c r="AA3690">
        <v>0.28040806435303661</v>
      </c>
      <c r="AB3690" t="str">
        <f>HYPERLINK("Melting_Curves/meltCurve_Q3B7T1_5_EDRF1.pdf", "Melting_Curves/meltCurve_Q3B7T1_5_EDRF1.pdf")</f>
        <v>Melting_Curves/meltCurve_Q3B7T1_5_EDRF1.pdf</v>
      </c>
    </row>
    <row r="3691" spans="1:28" x14ac:dyDescent="0.25">
      <c r="A3691" t="s">
        <v>3695</v>
      </c>
      <c r="B3691">
        <v>0.99193492352474899</v>
      </c>
      <c r="C3691">
        <v>0.80821859142043195</v>
      </c>
      <c r="D3691">
        <v>0.78807474102211506</v>
      </c>
      <c r="E3691">
        <v>0.58431918968733698</v>
      </c>
      <c r="F3691">
        <v>0.50079730833477498</v>
      </c>
      <c r="G3691">
        <v>0.27168974062634998</v>
      </c>
      <c r="H3691">
        <v>0.23040299896181499</v>
      </c>
      <c r="I3691">
        <v>0.40037249735145197</v>
      </c>
      <c r="J3691">
        <v>0.52680219135621797</v>
      </c>
      <c r="K3691">
        <v>0.43238902588651701</v>
      </c>
      <c r="L3691">
        <v>778.01207967722996</v>
      </c>
      <c r="M3691">
        <v>16.530885297913599</v>
      </c>
      <c r="N3691">
        <v>51.328741525969001</v>
      </c>
      <c r="O3691">
        <v>46.3915729285388</v>
      </c>
      <c r="P3691">
        <v>-5.5824937677906201E-2</v>
      </c>
      <c r="Q3691">
        <v>0.37338400472405198</v>
      </c>
      <c r="R3691">
        <v>0.84816981135291403</v>
      </c>
      <c r="S3691" t="s">
        <v>10361</v>
      </c>
      <c r="T3691" t="s">
        <v>13338</v>
      </c>
      <c r="U3691" t="s">
        <v>13338</v>
      </c>
      <c r="V3691" t="s">
        <v>13338</v>
      </c>
      <c r="W3691" t="s">
        <v>16979</v>
      </c>
      <c r="X3691">
        <v>3</v>
      </c>
      <c r="Y3691" t="s">
        <v>23497</v>
      </c>
      <c r="Z3691" t="s">
        <v>30106</v>
      </c>
      <c r="AA3691">
        <v>0.53477366583589825</v>
      </c>
      <c r="AB3691" t="str">
        <f>HYPERLINK("Melting_Curves/meltCurve_Q3KQU3_4_MAP7D1.pdf", "Melting_Curves/meltCurve_Q3KQU3_4_MAP7D1.pdf")</f>
        <v>Melting_Curves/meltCurve_Q3KQU3_4_MAP7D1.pdf</v>
      </c>
    </row>
    <row r="3692" spans="1:28" x14ac:dyDescent="0.25">
      <c r="A3692" t="s">
        <v>3696</v>
      </c>
      <c r="B3692">
        <v>0.99193492352474899</v>
      </c>
      <c r="C3692">
        <v>0.85502922750801902</v>
      </c>
      <c r="D3692">
        <v>0.98317598393257</v>
      </c>
      <c r="E3692">
        <v>0.83446410431845996</v>
      </c>
      <c r="F3692">
        <v>0.40133313745715798</v>
      </c>
      <c r="G3692">
        <v>0.23498049586500799</v>
      </c>
      <c r="H3692">
        <v>0.15526108010618</v>
      </c>
      <c r="I3692">
        <v>0.138640953182916</v>
      </c>
      <c r="J3692">
        <v>6.1508856325991103E-2</v>
      </c>
      <c r="K3692">
        <v>6.3960363083560096E-2</v>
      </c>
      <c r="L3692">
        <v>1275.44111425898</v>
      </c>
      <c r="M3692">
        <v>24.448185794749001</v>
      </c>
      <c r="N3692">
        <v>52.628159521650197</v>
      </c>
      <c r="O3692">
        <v>51.823863667348299</v>
      </c>
      <c r="P3692">
        <v>-0.106616881442302</v>
      </c>
      <c r="Q3692">
        <v>9.6011710921363902E-2</v>
      </c>
      <c r="R3692">
        <v>0.97988046504859805</v>
      </c>
      <c r="S3692" t="s">
        <v>10362</v>
      </c>
      <c r="T3692" t="s">
        <v>13338</v>
      </c>
      <c r="U3692" t="s">
        <v>13338</v>
      </c>
      <c r="V3692" t="s">
        <v>13338</v>
      </c>
      <c r="W3692" t="s">
        <v>16980</v>
      </c>
      <c r="X3692">
        <v>4</v>
      </c>
      <c r="Y3692" t="s">
        <v>23498</v>
      </c>
      <c r="Z3692" t="s">
        <v>30107</v>
      </c>
      <c r="AA3692">
        <v>0.47133034653303779</v>
      </c>
      <c r="AB3692" t="str">
        <f>HYPERLINK("Melting_Curves/meltCurve_Q3KQV9_UAP1L1.pdf", "Melting_Curves/meltCurve_Q3KQV9_UAP1L1.pdf")</f>
        <v>Melting_Curves/meltCurve_Q3KQV9_UAP1L1.pdf</v>
      </c>
    </row>
    <row r="3693" spans="1:28" x14ac:dyDescent="0.25">
      <c r="A3693" t="s">
        <v>3697</v>
      </c>
      <c r="B3693">
        <v>0.99193492352474899</v>
      </c>
      <c r="C3693">
        <v>0.76542797132131202</v>
      </c>
      <c r="D3693">
        <v>0.792708793014125</v>
      </c>
      <c r="E3693">
        <v>0.470071543543431</v>
      </c>
      <c r="F3693">
        <v>0.17403281411400601</v>
      </c>
      <c r="G3693">
        <v>8.1254719225643701E-2</v>
      </c>
      <c r="H3693">
        <v>6.14274767051389E-2</v>
      </c>
      <c r="I3693">
        <v>5.7198808807054198E-2</v>
      </c>
      <c r="J3693">
        <v>6.83657782966961E-2</v>
      </c>
      <c r="K3693">
        <v>5.0402926310771E-2</v>
      </c>
      <c r="L3693">
        <v>793.05564947949301</v>
      </c>
      <c r="M3693">
        <v>16.3123667385197</v>
      </c>
      <c r="N3693">
        <v>48.8042537304772</v>
      </c>
      <c r="O3693">
        <v>47.903808895927803</v>
      </c>
      <c r="P3693">
        <v>-8.25522262848251E-2</v>
      </c>
      <c r="Q3693">
        <v>3.03605416070683E-2</v>
      </c>
      <c r="R3693">
        <v>0.97674259427251697</v>
      </c>
      <c r="S3693" t="s">
        <v>10363</v>
      </c>
      <c r="T3693" t="s">
        <v>13338</v>
      </c>
      <c r="U3693" t="s">
        <v>13338</v>
      </c>
      <c r="V3693" t="s">
        <v>13338</v>
      </c>
      <c r="W3693" t="s">
        <v>16981</v>
      </c>
      <c r="X3693">
        <v>4</v>
      </c>
      <c r="Y3693" t="s">
        <v>23499</v>
      </c>
      <c r="Z3693" t="s">
        <v>30108</v>
      </c>
      <c r="AA3693">
        <v>0.32949203881849221</v>
      </c>
      <c r="AB3693" t="str">
        <f>HYPERLINK("Melting_Curves/meltCurve_Q3KRA6_C2orf76.pdf", "Melting_Curves/meltCurve_Q3KRA6_C2orf76.pdf")</f>
        <v>Melting_Curves/meltCurve_Q3KRA6_C2orf76.pdf</v>
      </c>
    </row>
    <row r="3694" spans="1:28" x14ac:dyDescent="0.25">
      <c r="A3694" t="s">
        <v>3698</v>
      </c>
      <c r="B3694">
        <v>0.99193492352474899</v>
      </c>
      <c r="C3694">
        <v>0.85564071477554104</v>
      </c>
      <c r="D3694">
        <v>0.83877787497396095</v>
      </c>
      <c r="E3694">
        <v>0.65927868056518402</v>
      </c>
      <c r="F3694">
        <v>0.53328951871479402</v>
      </c>
      <c r="G3694">
        <v>0.38395897350290897</v>
      </c>
      <c r="H3694">
        <v>0.29108494694904802</v>
      </c>
      <c r="I3694">
        <v>0.29503124892750499</v>
      </c>
      <c r="J3694">
        <v>0.22787447813552</v>
      </c>
      <c r="K3694">
        <v>0.191474691417447</v>
      </c>
      <c r="L3694">
        <v>513.69099610951696</v>
      </c>
      <c r="M3694">
        <v>9.9024360597362193</v>
      </c>
      <c r="N3694">
        <v>53.7395776218845</v>
      </c>
      <c r="O3694">
        <v>49.892583657621003</v>
      </c>
      <c r="P3694">
        <v>-4.2426980035836802E-2</v>
      </c>
      <c r="Q3694">
        <v>0.14537259384467</v>
      </c>
      <c r="R3694">
        <v>0.99143133740767697</v>
      </c>
      <c r="S3694" t="s">
        <v>10364</v>
      </c>
      <c r="T3694" t="s">
        <v>13338</v>
      </c>
      <c r="U3694" t="s">
        <v>13338</v>
      </c>
      <c r="V3694" t="s">
        <v>13338</v>
      </c>
      <c r="W3694" t="s">
        <v>16982</v>
      </c>
      <c r="X3694">
        <v>1</v>
      </c>
      <c r="Y3694" t="s">
        <v>23500</v>
      </c>
      <c r="Z3694" t="s">
        <v>30109</v>
      </c>
      <c r="AA3694">
        <v>0.51686213326736119</v>
      </c>
      <c r="AB3694" t="str">
        <f>HYPERLINK("Melting_Curves/meltCurve_Q3KRA9_ALKBH6.pdf", "Melting_Curves/meltCurve_Q3KRA9_ALKBH6.pdf")</f>
        <v>Melting_Curves/meltCurve_Q3KRA9_ALKBH6.pdf</v>
      </c>
    </row>
    <row r="3695" spans="1:28" x14ac:dyDescent="0.25">
      <c r="A3695" t="s">
        <v>3699</v>
      </c>
      <c r="B3695">
        <v>0.99193492352474899</v>
      </c>
      <c r="C3695">
        <v>1.02432299773873</v>
      </c>
      <c r="D3695">
        <v>0.95674865327935299</v>
      </c>
      <c r="E3695">
        <v>0.91134184969801102</v>
      </c>
      <c r="F3695">
        <v>0.75685647853228</v>
      </c>
      <c r="G3695">
        <v>0.423837829332879</v>
      </c>
      <c r="H3695">
        <v>9.1362936907005005E-2</v>
      </c>
      <c r="I3695">
        <v>9.3726752919234393E-2</v>
      </c>
      <c r="J3695">
        <v>9.6392134636064705E-2</v>
      </c>
      <c r="K3695">
        <v>9.2346572335234606E-2</v>
      </c>
      <c r="L3695">
        <v>1393.4524278830199</v>
      </c>
      <c r="M3695">
        <v>25.154480982813801</v>
      </c>
      <c r="N3695">
        <v>55.705772302515697</v>
      </c>
      <c r="O3695">
        <v>55.049262783777401</v>
      </c>
      <c r="P3695">
        <v>-0.106776940290339</v>
      </c>
      <c r="Q3695">
        <v>6.5309593809248195E-2</v>
      </c>
      <c r="R3695">
        <v>0.99385594505535801</v>
      </c>
      <c r="S3695" t="s">
        <v>10365</v>
      </c>
      <c r="T3695" t="s">
        <v>13338</v>
      </c>
      <c r="U3695" t="s">
        <v>13338</v>
      </c>
      <c r="V3695" t="s">
        <v>13338</v>
      </c>
      <c r="W3695" t="s">
        <v>16983</v>
      </c>
      <c r="X3695">
        <v>18</v>
      </c>
      <c r="Y3695" t="s">
        <v>23501</v>
      </c>
      <c r="Z3695" t="s">
        <v>30110</v>
      </c>
      <c r="AA3695">
        <v>0.55352525533946662</v>
      </c>
      <c r="AB3695" t="str">
        <f>HYPERLINK("Melting_Curves/meltCurve_Q3LXA3_DAK.pdf", "Melting_Curves/meltCurve_Q3LXA3_DAK.pdf")</f>
        <v>Melting_Curves/meltCurve_Q3LXA3_DAK.pdf</v>
      </c>
    </row>
    <row r="3696" spans="1:28" x14ac:dyDescent="0.25">
      <c r="A3696" t="s">
        <v>3700</v>
      </c>
      <c r="B3696">
        <v>0.99193492352474899</v>
      </c>
      <c r="C3696">
        <v>0.910525974033635</v>
      </c>
      <c r="D3696">
        <v>0.82561775508988899</v>
      </c>
      <c r="E3696">
        <v>0.74582901813465596</v>
      </c>
      <c r="F3696">
        <v>0.344188016262714</v>
      </c>
      <c r="G3696">
        <v>0.16259227681100799</v>
      </c>
      <c r="H3696">
        <v>6.9653246059454402E-2</v>
      </c>
      <c r="I3696">
        <v>5.7022461081293697E-2</v>
      </c>
      <c r="J3696">
        <v>6.11447801667356E-2</v>
      </c>
      <c r="K3696">
        <v>7.2018980308968306E-2</v>
      </c>
      <c r="L3696">
        <v>938.13305430324704</v>
      </c>
      <c r="M3696">
        <v>18.2685224349507</v>
      </c>
      <c r="N3696">
        <v>51.568692110045703</v>
      </c>
      <c r="O3696">
        <v>50.748969992337202</v>
      </c>
      <c r="P3696">
        <v>-8.6680028590063296E-2</v>
      </c>
      <c r="Q3696">
        <v>3.68750470077297E-2</v>
      </c>
      <c r="R3696">
        <v>0.98763425274943495</v>
      </c>
      <c r="S3696" t="s">
        <v>10366</v>
      </c>
      <c r="T3696" t="s">
        <v>13338</v>
      </c>
      <c r="U3696" t="s">
        <v>13338</v>
      </c>
      <c r="V3696" t="s">
        <v>13338</v>
      </c>
      <c r="W3696" t="s">
        <v>16984</v>
      </c>
      <c r="X3696">
        <v>7</v>
      </c>
      <c r="Y3696" t="s">
        <v>23502</v>
      </c>
      <c r="Z3696" t="s">
        <v>30111</v>
      </c>
      <c r="AA3696">
        <v>0.41707671370999427</v>
      </c>
      <c r="AB3696" t="str">
        <f>HYPERLINK("Melting_Curves/meltCurve_Q3MHD2_LSM12.pdf", "Melting_Curves/meltCurve_Q3MHD2_LSM12.pdf")</f>
        <v>Melting_Curves/meltCurve_Q3MHD2_LSM12.pdf</v>
      </c>
    </row>
    <row r="3697" spans="1:28" x14ac:dyDescent="0.25">
      <c r="A3697" t="s">
        <v>3701</v>
      </c>
      <c r="B3697">
        <v>0.99193492352474899</v>
      </c>
      <c r="C3697">
        <v>1.32926439331762</v>
      </c>
      <c r="D3697">
        <v>0.80310210372346302</v>
      </c>
      <c r="E3697">
        <v>0.228925407774032</v>
      </c>
      <c r="F3697">
        <v>0.125997872085296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1866.69755182634</v>
      </c>
      <c r="M3697">
        <v>38.926558165204298</v>
      </c>
      <c r="N3697">
        <v>47.995422594737299</v>
      </c>
      <c r="O3697">
        <v>47.828316010038499</v>
      </c>
      <c r="P3697">
        <v>-0.20013542758559499</v>
      </c>
      <c r="Q3697">
        <v>1.63921587660203E-2</v>
      </c>
      <c r="R3697">
        <v>0.94410962356845896</v>
      </c>
      <c r="S3697" t="s">
        <v>10367</v>
      </c>
      <c r="T3697" t="s">
        <v>13338</v>
      </c>
      <c r="U3697" t="s">
        <v>13338</v>
      </c>
      <c r="V3697" t="s">
        <v>13338</v>
      </c>
      <c r="W3697" t="s">
        <v>16985</v>
      </c>
      <c r="X3697">
        <v>1</v>
      </c>
      <c r="Y3697" t="s">
        <v>23503</v>
      </c>
      <c r="Z3697" t="s">
        <v>30112</v>
      </c>
      <c r="AA3697">
        <v>0.28064734829548088</v>
      </c>
      <c r="AB3697" t="str">
        <f>HYPERLINK("Melting_Curves/meltCurve_Q3MII6_TBC1D25.pdf", "Melting_Curves/meltCurve_Q3MII6_TBC1D25.pdf")</f>
        <v>Melting_Curves/meltCurve_Q3MII6_TBC1D25.pdf</v>
      </c>
    </row>
    <row r="3698" spans="1:28" x14ac:dyDescent="0.25">
      <c r="A3698" t="s">
        <v>3702</v>
      </c>
      <c r="B3698">
        <v>0.99193492352474899</v>
      </c>
      <c r="C3698">
        <v>0.980080565611404</v>
      </c>
      <c r="D3698">
        <v>0.91328864139928101</v>
      </c>
      <c r="E3698">
        <v>0.60959781589749296</v>
      </c>
      <c r="F3698">
        <v>0.42204521135255901</v>
      </c>
      <c r="G3698">
        <v>0.31105415782989299</v>
      </c>
      <c r="H3698">
        <v>0.18078607965391899</v>
      </c>
      <c r="I3698">
        <v>0.17801711098498299</v>
      </c>
      <c r="J3698">
        <v>0.26014068432930398</v>
      </c>
      <c r="K3698">
        <v>0.17874840132442801</v>
      </c>
      <c r="L3698">
        <v>955.788932087028</v>
      </c>
      <c r="M3698">
        <v>19.018135938702301</v>
      </c>
      <c r="N3698">
        <v>51.5985236463696</v>
      </c>
      <c r="O3698">
        <v>49.7109470249937</v>
      </c>
      <c r="P3698">
        <v>-7.6988338829653793E-2</v>
      </c>
      <c r="Q3698">
        <v>0.19508181927707399</v>
      </c>
      <c r="R3698">
        <v>0.98992811185623697</v>
      </c>
      <c r="S3698" t="s">
        <v>10368</v>
      </c>
      <c r="T3698" t="s">
        <v>13338</v>
      </c>
      <c r="U3698" t="s">
        <v>13338</v>
      </c>
      <c r="V3698" t="s">
        <v>13338</v>
      </c>
      <c r="W3698" t="s">
        <v>16986</v>
      </c>
      <c r="X3698">
        <v>2</v>
      </c>
      <c r="Y3698" t="s">
        <v>23504</v>
      </c>
      <c r="Z3698" t="s">
        <v>30113</v>
      </c>
      <c r="AA3698">
        <v>0.48260606824188862</v>
      </c>
      <c r="AB3698" t="str">
        <f>HYPERLINK("Melting_Curves/meltCurve_Q3MIT2_PUS10.pdf", "Melting_Curves/meltCurve_Q3MIT2_PUS10.pdf")</f>
        <v>Melting_Curves/meltCurve_Q3MIT2_PUS10.pdf</v>
      </c>
    </row>
    <row r="3699" spans="1:28" x14ac:dyDescent="0.25">
      <c r="A3699" t="s">
        <v>3703</v>
      </c>
      <c r="B3699">
        <v>0.99193492352474899</v>
      </c>
      <c r="C3699">
        <v>1.15645434892431</v>
      </c>
      <c r="D3699">
        <v>1.1012102777728101</v>
      </c>
      <c r="E3699">
        <v>1.01021061329164</v>
      </c>
      <c r="F3699">
        <v>0.83261186031249201</v>
      </c>
      <c r="G3699">
        <v>0.644378049430129</v>
      </c>
      <c r="H3699">
        <v>0.18518939486316399</v>
      </c>
      <c r="I3699">
        <v>0.12220187799519899</v>
      </c>
      <c r="J3699">
        <v>0.122560590666599</v>
      </c>
      <c r="K3699">
        <v>0.191831624467276</v>
      </c>
      <c r="L3699">
        <v>1775.4259972341999</v>
      </c>
      <c r="M3699">
        <v>31.126776222044299</v>
      </c>
      <c r="N3699">
        <v>57.564901478311398</v>
      </c>
      <c r="O3699">
        <v>56.804668565996998</v>
      </c>
      <c r="P3699">
        <v>-0.12002509275626599</v>
      </c>
      <c r="Q3699">
        <v>0.12384794597245601</v>
      </c>
      <c r="R3699">
        <v>0.96926387387792301</v>
      </c>
      <c r="S3699" t="s">
        <v>10369</v>
      </c>
      <c r="T3699" t="s">
        <v>13338</v>
      </c>
      <c r="U3699" t="s">
        <v>13338</v>
      </c>
      <c r="V3699" t="s">
        <v>13338</v>
      </c>
      <c r="W3699" t="s">
        <v>16987</v>
      </c>
      <c r="X3699">
        <v>10</v>
      </c>
      <c r="Y3699" t="s">
        <v>23505</v>
      </c>
      <c r="Z3699" t="s">
        <v>30114</v>
      </c>
      <c r="AA3699">
        <v>0.62692416380714289</v>
      </c>
      <c r="AB3699" t="str">
        <f>HYPERLINK("Melting_Curves/meltCurve_Q3SXM5_HSDL1.pdf", "Melting_Curves/meltCurve_Q3SXM5_HSDL1.pdf")</f>
        <v>Melting_Curves/meltCurve_Q3SXM5_HSDL1.pdf</v>
      </c>
    </row>
    <row r="3700" spans="1:28" x14ac:dyDescent="0.25">
      <c r="A3700" t="s">
        <v>3704</v>
      </c>
      <c r="B3700">
        <v>0.99193492352474899</v>
      </c>
      <c r="C3700">
        <v>1.05094754835319</v>
      </c>
      <c r="D3700">
        <v>0.86680366637664497</v>
      </c>
      <c r="E3700">
        <v>0.76308680498167902</v>
      </c>
      <c r="F3700">
        <v>0.26552729221648502</v>
      </c>
      <c r="G3700">
        <v>0.19033130118807201</v>
      </c>
      <c r="H3700">
        <v>0.14503909321483699</v>
      </c>
      <c r="I3700">
        <v>0.245841159369386</v>
      </c>
      <c r="J3700">
        <v>0.27012483934756998</v>
      </c>
      <c r="K3700">
        <v>0.33209208688234898</v>
      </c>
      <c r="L3700">
        <v>2535.41230085089</v>
      </c>
      <c r="M3700">
        <v>50.3726507331641</v>
      </c>
      <c r="N3700">
        <v>50.970423967751998</v>
      </c>
      <c r="O3700">
        <v>50.253984856509703</v>
      </c>
      <c r="P3700">
        <v>-0.19203748204986801</v>
      </c>
      <c r="Q3700">
        <v>0.233660437631973</v>
      </c>
      <c r="R3700">
        <v>0.96566425838282899</v>
      </c>
      <c r="S3700" t="s">
        <v>10370</v>
      </c>
      <c r="T3700" t="s">
        <v>13338</v>
      </c>
      <c r="U3700" t="s">
        <v>13338</v>
      </c>
      <c r="V3700" t="s">
        <v>13338</v>
      </c>
      <c r="W3700" t="s">
        <v>16988</v>
      </c>
      <c r="X3700">
        <v>3</v>
      </c>
      <c r="Y3700" t="s">
        <v>23506</v>
      </c>
      <c r="Z3700" t="s">
        <v>30115</v>
      </c>
      <c r="AA3700">
        <v>0.49929242036178828</v>
      </c>
      <c r="AB3700" t="str">
        <f>HYPERLINK("Melting_Curves/meltCurve_Q3SXY8_ARL13B.pdf", "Melting_Curves/meltCurve_Q3SXY8_ARL13B.pdf")</f>
        <v>Melting_Curves/meltCurve_Q3SXY8_ARL13B.pdf</v>
      </c>
    </row>
    <row r="3701" spans="1:28" x14ac:dyDescent="0.25">
      <c r="A3701" t="s">
        <v>3705</v>
      </c>
      <c r="B3701">
        <v>0.99193492352474899</v>
      </c>
      <c r="C3701">
        <v>1.0782629913489801</v>
      </c>
      <c r="D3701">
        <v>0.98311947982008696</v>
      </c>
      <c r="E3701">
        <v>0.82271338023574703</v>
      </c>
      <c r="F3701">
        <v>0.60552068808530302</v>
      </c>
      <c r="G3701">
        <v>0.467906876110875</v>
      </c>
      <c r="H3701">
        <v>0.251111189469928</v>
      </c>
      <c r="I3701">
        <v>0.40589867665801599</v>
      </c>
      <c r="J3701">
        <v>0.401595880284289</v>
      </c>
      <c r="K3701">
        <v>0.49122326917687897</v>
      </c>
      <c r="L3701">
        <v>1354.6427776442799</v>
      </c>
      <c r="M3701">
        <v>26.229217449207201</v>
      </c>
      <c r="N3701">
        <v>54.844209734878199</v>
      </c>
      <c r="O3701">
        <v>51.348927412272303</v>
      </c>
      <c r="P3701">
        <v>-7.7685803378429202E-2</v>
      </c>
      <c r="Q3701">
        <v>0.39166494351266101</v>
      </c>
      <c r="R3701">
        <v>0.94709725432963099</v>
      </c>
      <c r="S3701" t="s">
        <v>10371</v>
      </c>
      <c r="T3701" t="s">
        <v>13338</v>
      </c>
      <c r="U3701" t="s">
        <v>13338</v>
      </c>
      <c r="V3701" t="s">
        <v>13338</v>
      </c>
      <c r="W3701" t="s">
        <v>16989</v>
      </c>
      <c r="X3701">
        <v>5</v>
      </c>
      <c r="Y3701" t="s">
        <v>23507</v>
      </c>
      <c r="Z3701" t="s">
        <v>30116</v>
      </c>
      <c r="AA3701">
        <v>0.63286687041160272</v>
      </c>
      <c r="AB3701" t="str">
        <f>HYPERLINK("Melting_Curves/meltCurve_Q3T906_GNPTAB.pdf", "Melting_Curves/meltCurve_Q3T906_GNPTAB.pdf")</f>
        <v>Melting_Curves/meltCurve_Q3T906_GNPTAB.pdf</v>
      </c>
    </row>
    <row r="3702" spans="1:28" x14ac:dyDescent="0.25">
      <c r="A3702" t="s">
        <v>3706</v>
      </c>
      <c r="B3702">
        <v>0.99193492352474899</v>
      </c>
      <c r="C3702">
        <v>0.88087104245311199</v>
      </c>
      <c r="D3702">
        <v>0.68509116667574699</v>
      </c>
      <c r="E3702">
        <v>0.37822959277999901</v>
      </c>
      <c r="F3702">
        <v>0.21794155101280099</v>
      </c>
      <c r="G3702">
        <v>0.11328103339005</v>
      </c>
      <c r="H3702">
        <v>7.0363803197679806E-2</v>
      </c>
      <c r="I3702">
        <v>8.4326917566897294E-2</v>
      </c>
      <c r="J3702">
        <v>0.104703928127357</v>
      </c>
      <c r="K3702">
        <v>0.13192660102876</v>
      </c>
      <c r="L3702">
        <v>887.24357905418594</v>
      </c>
      <c r="M3702">
        <v>18.657608279219701</v>
      </c>
      <c r="N3702">
        <v>48.065480580221497</v>
      </c>
      <c r="O3702">
        <v>47.017812201026999</v>
      </c>
      <c r="P3702">
        <v>-9.0276490249936003E-2</v>
      </c>
      <c r="Q3702">
        <v>9.0039981443833295E-2</v>
      </c>
      <c r="R3702">
        <v>0.99627760265998599</v>
      </c>
      <c r="S3702" t="s">
        <v>10372</v>
      </c>
      <c r="T3702" t="s">
        <v>13338</v>
      </c>
      <c r="U3702" t="s">
        <v>13338</v>
      </c>
      <c r="V3702" t="s">
        <v>13338</v>
      </c>
      <c r="W3702" t="s">
        <v>16990</v>
      </c>
      <c r="X3702">
        <v>11</v>
      </c>
      <c r="Y3702" t="s">
        <v>23508</v>
      </c>
      <c r="Z3702" t="s">
        <v>30117</v>
      </c>
      <c r="AA3702">
        <v>0.33434904674340821</v>
      </c>
      <c r="AB3702" t="str">
        <f>HYPERLINK("Melting_Curves/meltCurve_Q3V6T2_2_CCDC88A.pdf", "Melting_Curves/meltCurve_Q3V6T2_2_CCDC88A.pdf")</f>
        <v>Melting_Curves/meltCurve_Q3V6T2_2_CCDC88A.pdf</v>
      </c>
    </row>
    <row r="3703" spans="1:28" x14ac:dyDescent="0.25">
      <c r="A3703" t="s">
        <v>3707</v>
      </c>
      <c r="B3703">
        <v>0.99193492352474899</v>
      </c>
      <c r="C3703">
        <v>0.87502127045633704</v>
      </c>
      <c r="D3703">
        <v>0.90268370256605801</v>
      </c>
      <c r="E3703">
        <v>0.727307151992584</v>
      </c>
      <c r="F3703">
        <v>0.602527255373703</v>
      </c>
      <c r="G3703">
        <v>0.26998505026543201</v>
      </c>
      <c r="H3703">
        <v>0.115151025534472</v>
      </c>
      <c r="I3703">
        <v>0.12215996085524</v>
      </c>
      <c r="J3703">
        <v>0.13788178973256399</v>
      </c>
      <c r="K3703">
        <v>0.17532852418998601</v>
      </c>
      <c r="L3703">
        <v>832.05685059205996</v>
      </c>
      <c r="M3703">
        <v>15.796297465075</v>
      </c>
      <c r="N3703">
        <v>53.361535964874001</v>
      </c>
      <c r="O3703">
        <v>51.851660142453703</v>
      </c>
      <c r="P3703">
        <v>-6.9155670663306801E-2</v>
      </c>
      <c r="Q3703">
        <v>9.2055443658990502E-2</v>
      </c>
      <c r="R3703">
        <v>0.97324824339588101</v>
      </c>
      <c r="S3703" t="s">
        <v>10373</v>
      </c>
      <c r="T3703" t="s">
        <v>13338</v>
      </c>
      <c r="U3703" t="s">
        <v>13338</v>
      </c>
      <c r="V3703" t="s">
        <v>13338</v>
      </c>
      <c r="W3703" t="s">
        <v>16991</v>
      </c>
      <c r="X3703">
        <v>16</v>
      </c>
      <c r="Y3703" t="s">
        <v>23509</v>
      </c>
      <c r="Z3703" t="s">
        <v>30118</v>
      </c>
      <c r="AA3703">
        <v>0.49398865413968301</v>
      </c>
      <c r="AB3703" t="str">
        <f>HYPERLINK("Melting_Curves/meltCurve_Q3YEC7_RABL6.pdf", "Melting_Curves/meltCurve_Q3YEC7_RABL6.pdf")</f>
        <v>Melting_Curves/meltCurve_Q3YEC7_RABL6.pdf</v>
      </c>
    </row>
    <row r="3704" spans="1:28" x14ac:dyDescent="0.25">
      <c r="A3704" t="s">
        <v>3708</v>
      </c>
      <c r="B3704">
        <v>0.99193492352474899</v>
      </c>
      <c r="C3704">
        <v>0.72533070150395995</v>
      </c>
      <c r="D3704">
        <v>1.01010601986835</v>
      </c>
      <c r="E3704">
        <v>0.61259344746280597</v>
      </c>
      <c r="F3704">
        <v>0.67358079534444903</v>
      </c>
      <c r="G3704">
        <v>0.38544135280201602</v>
      </c>
      <c r="H3704">
        <v>0.32208139035885103</v>
      </c>
      <c r="I3704">
        <v>0.30248018897670198</v>
      </c>
      <c r="J3704">
        <v>0.47302273762547697</v>
      </c>
      <c r="K3704">
        <v>0.50610097262930198</v>
      </c>
      <c r="L3704">
        <v>727.85560971306404</v>
      </c>
      <c r="M3704">
        <v>14.6654004318126</v>
      </c>
      <c r="N3704">
        <v>55.037365910633902</v>
      </c>
      <c r="O3704">
        <v>48.735387067718399</v>
      </c>
      <c r="P3704">
        <v>-4.6526209498269099E-2</v>
      </c>
      <c r="Q3704">
        <v>0.38161319640948699</v>
      </c>
      <c r="R3704">
        <v>0.75797169487224703</v>
      </c>
      <c r="S3704" t="s">
        <v>10374</v>
      </c>
      <c r="T3704" t="s">
        <v>13338</v>
      </c>
      <c r="U3704" t="s">
        <v>13338</v>
      </c>
      <c r="V3704" t="s">
        <v>13338</v>
      </c>
      <c r="W3704" t="s">
        <v>16992</v>
      </c>
      <c r="X3704">
        <v>1</v>
      </c>
      <c r="Y3704" t="s">
        <v>23510</v>
      </c>
      <c r="Z3704" t="s">
        <v>30119</v>
      </c>
      <c r="AA3704">
        <v>0.59567805950199593</v>
      </c>
      <c r="AB3704" t="str">
        <f>HYPERLINK("Melting_Curves/meltCurve_Q3ZAQ7_VMA21.pdf", "Melting_Curves/meltCurve_Q3ZAQ7_VMA21.pdf")</f>
        <v>Melting_Curves/meltCurve_Q3ZAQ7_VMA21.pdf</v>
      </c>
    </row>
    <row r="3705" spans="1:28" x14ac:dyDescent="0.25">
      <c r="A3705" t="s">
        <v>3709</v>
      </c>
      <c r="B3705">
        <v>0.99193492352474899</v>
      </c>
      <c r="C3705">
        <v>1.0875873861135099</v>
      </c>
      <c r="D3705">
        <v>0.94541793886619097</v>
      </c>
      <c r="E3705">
        <v>0.89970889381672403</v>
      </c>
      <c r="F3705">
        <v>0.74193878928929502</v>
      </c>
      <c r="G3705">
        <v>0.43533292569619902</v>
      </c>
      <c r="H3705">
        <v>0.17427300856048999</v>
      </c>
      <c r="I3705">
        <v>5.7693357198970001E-2</v>
      </c>
      <c r="J3705">
        <v>7.1450260149845804E-2</v>
      </c>
      <c r="K3705">
        <v>5.1609356412002698E-2</v>
      </c>
      <c r="L3705">
        <v>1110.82875743553</v>
      </c>
      <c r="M3705">
        <v>19.907050221642699</v>
      </c>
      <c r="N3705">
        <v>55.920531768131198</v>
      </c>
      <c r="O3705">
        <v>55.246835676303398</v>
      </c>
      <c r="P3705">
        <v>-8.8204962637322595E-2</v>
      </c>
      <c r="Q3705">
        <v>2.0872814204530601E-2</v>
      </c>
      <c r="R3705">
        <v>0.99261717984374498</v>
      </c>
      <c r="S3705" t="s">
        <v>10375</v>
      </c>
      <c r="T3705" t="s">
        <v>13338</v>
      </c>
      <c r="U3705" t="s">
        <v>13338</v>
      </c>
      <c r="V3705" t="s">
        <v>13338</v>
      </c>
      <c r="W3705" t="s">
        <v>16993</v>
      </c>
      <c r="X3705">
        <v>11</v>
      </c>
      <c r="Y3705" t="s">
        <v>23511</v>
      </c>
      <c r="Z3705" t="s">
        <v>30120</v>
      </c>
      <c r="AA3705">
        <v>0.54936550168237486</v>
      </c>
      <c r="AB3705" t="str">
        <f>HYPERLINK("Melting_Curves/meltCurve_Q3ZCM7_TUBB8.pdf", "Melting_Curves/meltCurve_Q3ZCM7_TUBB8.pdf")</f>
        <v>Melting_Curves/meltCurve_Q3ZCM7_TUBB8.pdf</v>
      </c>
    </row>
    <row r="3706" spans="1:28" x14ac:dyDescent="0.25">
      <c r="A3706" t="s">
        <v>3710</v>
      </c>
      <c r="B3706">
        <v>0.99193492352474899</v>
      </c>
      <c r="C3706">
        <v>1.0795975095624699</v>
      </c>
      <c r="D3706">
        <v>0.96924966534263102</v>
      </c>
      <c r="E3706">
        <v>0.78698870224703898</v>
      </c>
      <c r="F3706">
        <v>0.38317737597594898</v>
      </c>
      <c r="G3706">
        <v>0.22995790962156901</v>
      </c>
      <c r="H3706">
        <v>0.12823492582211499</v>
      </c>
      <c r="I3706">
        <v>0.14278736608545001</v>
      </c>
      <c r="J3706">
        <v>0.139876969464474</v>
      </c>
      <c r="K3706">
        <v>0.13298861135974499</v>
      </c>
      <c r="L3706">
        <v>1431.34502093783</v>
      </c>
      <c r="M3706">
        <v>27.756650515191701</v>
      </c>
      <c r="N3706">
        <v>52.168339441364701</v>
      </c>
      <c r="O3706">
        <v>51.302188280722</v>
      </c>
      <c r="P3706">
        <v>-0.116760232955395</v>
      </c>
      <c r="Q3706">
        <v>0.136782887258658</v>
      </c>
      <c r="R3706">
        <v>0.99432767926152699</v>
      </c>
      <c r="S3706" t="s">
        <v>10376</v>
      </c>
      <c r="T3706" t="s">
        <v>13338</v>
      </c>
      <c r="U3706" t="s">
        <v>13338</v>
      </c>
      <c r="V3706" t="s">
        <v>13338</v>
      </c>
      <c r="W3706" t="s">
        <v>16994</v>
      </c>
      <c r="X3706">
        <v>9</v>
      </c>
      <c r="Y3706" t="s">
        <v>23512</v>
      </c>
      <c r="Z3706" t="s">
        <v>30121</v>
      </c>
      <c r="AA3706">
        <v>0.47602019041856269</v>
      </c>
      <c r="AB3706" t="str">
        <f>HYPERLINK("Melting_Curves/meltCurve_Q3ZCQ8_TIMM50.pdf", "Melting_Curves/meltCurve_Q3ZCQ8_TIMM50.pdf")</f>
        <v>Melting_Curves/meltCurve_Q3ZCQ8_TIMM50.pdf</v>
      </c>
    </row>
    <row r="3707" spans="1:28" x14ac:dyDescent="0.25">
      <c r="A3707" t="s">
        <v>3711</v>
      </c>
      <c r="B3707">
        <v>0.99193492352474899</v>
      </c>
      <c r="C3707">
        <v>0.87202536643210504</v>
      </c>
      <c r="D3707">
        <v>0.94757623986227402</v>
      </c>
      <c r="E3707">
        <v>0.78397035851305596</v>
      </c>
      <c r="F3707">
        <v>0.59151783679985004</v>
      </c>
      <c r="G3707">
        <v>0.15704346228831001</v>
      </c>
      <c r="H3707">
        <v>6.5639471952388798E-2</v>
      </c>
      <c r="I3707">
        <v>6.6023807918444602E-2</v>
      </c>
      <c r="J3707">
        <v>7.3417849865480195E-2</v>
      </c>
      <c r="K3707">
        <v>6.49966672818581E-2</v>
      </c>
      <c r="L3707">
        <v>1169.3951448989999</v>
      </c>
      <c r="M3707">
        <v>22.015292179980001</v>
      </c>
      <c r="N3707">
        <v>53.312712301389297</v>
      </c>
      <c r="O3707">
        <v>52.684983509521501</v>
      </c>
      <c r="P3707">
        <v>-0.100421583228015</v>
      </c>
      <c r="Q3707">
        <v>3.87428088265983E-2</v>
      </c>
      <c r="R3707">
        <v>0.97957189762681696</v>
      </c>
      <c r="S3707" t="s">
        <v>10377</v>
      </c>
      <c r="T3707" t="s">
        <v>13338</v>
      </c>
      <c r="U3707" t="s">
        <v>13338</v>
      </c>
      <c r="V3707" t="s">
        <v>13338</v>
      </c>
      <c r="W3707" t="s">
        <v>16995</v>
      </c>
      <c r="X3707">
        <v>6</v>
      </c>
      <c r="Y3707" t="s">
        <v>23513</v>
      </c>
      <c r="Z3707" t="s">
        <v>30122</v>
      </c>
      <c r="AA3707">
        <v>0.47022507152285598</v>
      </c>
      <c r="AB3707" t="str">
        <f>HYPERLINK("Melting_Curves/meltCurve_Q3ZCW2_LGALSL.pdf", "Melting_Curves/meltCurve_Q3ZCW2_LGALSL.pdf")</f>
        <v>Melting_Curves/meltCurve_Q3ZCW2_LGALSL.pdf</v>
      </c>
    </row>
    <row r="3708" spans="1:28" x14ac:dyDescent="0.25">
      <c r="A3708" t="s">
        <v>3712</v>
      </c>
      <c r="B3708">
        <v>0.99193492352474899</v>
      </c>
      <c r="C3708">
        <v>0.82713907419031496</v>
      </c>
      <c r="D3708">
        <v>0.95023454237478999</v>
      </c>
      <c r="E3708">
        <v>0.72269750256396603</v>
      </c>
      <c r="F3708">
        <v>0.43845461822644399</v>
      </c>
      <c r="G3708">
        <v>0.20705430646457901</v>
      </c>
      <c r="H3708">
        <v>0.103324734835959</v>
      </c>
      <c r="I3708">
        <v>8.0569659771034099E-2</v>
      </c>
      <c r="J3708">
        <v>9.7041260370623605E-2</v>
      </c>
      <c r="K3708">
        <v>0.105946086893156</v>
      </c>
      <c r="L3708">
        <v>961.15744094355705</v>
      </c>
      <c r="M3708">
        <v>18.547925926793901</v>
      </c>
      <c r="N3708">
        <v>52.2457539206398</v>
      </c>
      <c r="O3708">
        <v>51.229116676733703</v>
      </c>
      <c r="P3708">
        <v>-8.4172528323065807E-2</v>
      </c>
      <c r="Q3708">
        <v>7.0107294930701405E-2</v>
      </c>
      <c r="R3708">
        <v>0.97965842029823003</v>
      </c>
      <c r="S3708" t="s">
        <v>10378</v>
      </c>
      <c r="T3708" t="s">
        <v>13338</v>
      </c>
      <c r="U3708" t="s">
        <v>13338</v>
      </c>
      <c r="V3708" t="s">
        <v>13338</v>
      </c>
      <c r="W3708" t="s">
        <v>16996</v>
      </c>
      <c r="X3708">
        <v>6</v>
      </c>
      <c r="Y3708" t="s">
        <v>23514</v>
      </c>
      <c r="Z3708" t="s">
        <v>30123</v>
      </c>
      <c r="AA3708">
        <v>0.45121634423105322</v>
      </c>
      <c r="AB3708" t="str">
        <f>HYPERLINK("Melting_Curves/meltCurve_Q49AR2_C5orf22.pdf", "Melting_Curves/meltCurve_Q49AR2_C5orf22.pdf")</f>
        <v>Melting_Curves/meltCurve_Q49AR2_C5orf22.pdf</v>
      </c>
    </row>
    <row r="3709" spans="1:28" x14ac:dyDescent="0.25">
      <c r="A3709" t="s">
        <v>3713</v>
      </c>
      <c r="B3709">
        <v>0.99193492352474899</v>
      </c>
      <c r="C3709">
        <v>0.65878234638602595</v>
      </c>
      <c r="D3709">
        <v>0.65878912845259396</v>
      </c>
      <c r="E3709">
        <v>0.63550459466924003</v>
      </c>
      <c r="F3709">
        <v>0.75440173475960004</v>
      </c>
      <c r="G3709">
        <v>0.43220817122030297</v>
      </c>
      <c r="H3709">
        <v>0.39799804675952699</v>
      </c>
      <c r="I3709">
        <v>0.43737751041645601</v>
      </c>
      <c r="J3709">
        <v>0.51052417949844997</v>
      </c>
      <c r="K3709">
        <v>0.877521225799472</v>
      </c>
      <c r="L3709">
        <v>2950.6747574634601</v>
      </c>
      <c r="M3709">
        <v>70.316550073899705</v>
      </c>
      <c r="O3709">
        <v>41.928808189351798</v>
      </c>
      <c r="P3709">
        <v>-0.172848660222258</v>
      </c>
      <c r="Q3709">
        <v>0.58773056694083603</v>
      </c>
      <c r="R3709">
        <v>0.412233817614378</v>
      </c>
      <c r="S3709" t="s">
        <v>10379</v>
      </c>
      <c r="T3709" t="s">
        <v>13338</v>
      </c>
      <c r="U3709" t="s">
        <v>13338</v>
      </c>
      <c r="V3709" t="s">
        <v>13338</v>
      </c>
      <c r="W3709" t="s">
        <v>16997</v>
      </c>
      <c r="X3709">
        <v>3</v>
      </c>
      <c r="Y3709" t="s">
        <v>23515</v>
      </c>
      <c r="Z3709" t="s">
        <v>30124</v>
      </c>
      <c r="AA3709">
        <v>0.61531455878824448</v>
      </c>
      <c r="AB3709" t="str">
        <f>HYPERLINK("Melting_Curves/meltCurve_Q49B96_COX19.pdf", "Melting_Curves/meltCurve_Q49B96_COX19.pdf")</f>
        <v>Melting_Curves/meltCurve_Q49B96_COX19.pdf</v>
      </c>
    </row>
    <row r="3710" spans="1:28" x14ac:dyDescent="0.25">
      <c r="A3710" t="s">
        <v>3714</v>
      </c>
      <c r="B3710">
        <v>0.99193492352474899</v>
      </c>
      <c r="C3710">
        <v>0.95827588771079897</v>
      </c>
      <c r="D3710">
        <v>0.94682171832143802</v>
      </c>
      <c r="E3710">
        <v>0.824582644378826</v>
      </c>
      <c r="F3710">
        <v>0.50528596198892095</v>
      </c>
      <c r="G3710">
        <v>0.239227170561193</v>
      </c>
      <c r="H3710">
        <v>0.117376719572943</v>
      </c>
      <c r="I3710">
        <v>9.1367043877132501E-2</v>
      </c>
      <c r="J3710">
        <v>8.26367386488739E-2</v>
      </c>
      <c r="K3710">
        <v>8.6525015983363596E-2</v>
      </c>
      <c r="L3710">
        <v>1134.9772144568999</v>
      </c>
      <c r="M3710">
        <v>21.477306774616402</v>
      </c>
      <c r="N3710">
        <v>53.232522083851897</v>
      </c>
      <c r="O3710">
        <v>52.393674949575399</v>
      </c>
      <c r="P3710">
        <v>-9.5073945770572293E-2</v>
      </c>
      <c r="Q3710">
        <v>7.2295014506771005E-2</v>
      </c>
      <c r="R3710">
        <v>0.99878275059044397</v>
      </c>
      <c r="S3710" t="s">
        <v>10380</v>
      </c>
      <c r="T3710" t="s">
        <v>13338</v>
      </c>
      <c r="U3710" t="s">
        <v>13338</v>
      </c>
      <c r="V3710" t="s">
        <v>13338</v>
      </c>
      <c r="W3710" t="s">
        <v>16998</v>
      </c>
      <c r="X3710">
        <v>8</v>
      </c>
      <c r="Y3710" t="s">
        <v>23516</v>
      </c>
      <c r="Z3710" t="s">
        <v>30125</v>
      </c>
      <c r="AA3710">
        <v>0.48079664126763849</v>
      </c>
      <c r="AB3710" t="str">
        <f>HYPERLINK("Melting_Curves/meltCurve_Q4G0F5_VPS26B.pdf", "Melting_Curves/meltCurve_Q4G0F5_VPS26B.pdf")</f>
        <v>Melting_Curves/meltCurve_Q4G0F5_VPS26B.pdf</v>
      </c>
    </row>
    <row r="3711" spans="1:28" x14ac:dyDescent="0.25">
      <c r="A3711" t="s">
        <v>3715</v>
      </c>
      <c r="B3711">
        <v>0.99193492352474899</v>
      </c>
      <c r="C3711">
        <v>0.78426859235059498</v>
      </c>
      <c r="D3711">
        <v>0.87374383183739002</v>
      </c>
      <c r="E3711">
        <v>0.60423190062240595</v>
      </c>
      <c r="F3711">
        <v>0.60530271168848804</v>
      </c>
      <c r="G3711">
        <v>0.39614498775780599</v>
      </c>
      <c r="H3711">
        <v>0.375169951937048</v>
      </c>
      <c r="I3711">
        <v>0.39332400514361299</v>
      </c>
      <c r="J3711">
        <v>0.59979843201356697</v>
      </c>
      <c r="K3711">
        <v>0.73186853534415797</v>
      </c>
      <c r="L3711">
        <v>794.47824231888296</v>
      </c>
      <c r="M3711">
        <v>17.096936301517101</v>
      </c>
      <c r="O3711">
        <v>45.847294972768402</v>
      </c>
      <c r="P3711">
        <v>-4.6312541196654698E-2</v>
      </c>
      <c r="Q3711">
        <v>0.50326174665997403</v>
      </c>
      <c r="R3711">
        <v>0.66019565732476704</v>
      </c>
      <c r="S3711" t="s">
        <v>10381</v>
      </c>
      <c r="T3711" t="s">
        <v>13338</v>
      </c>
      <c r="U3711" t="s">
        <v>13338</v>
      </c>
      <c r="V3711" t="s">
        <v>13338</v>
      </c>
      <c r="W3711" t="s">
        <v>16999</v>
      </c>
      <c r="X3711">
        <v>2</v>
      </c>
      <c r="Y3711" t="s">
        <v>23517</v>
      </c>
      <c r="Z3711" t="s">
        <v>30126</v>
      </c>
      <c r="AA3711">
        <v>0.62094786629670295</v>
      </c>
      <c r="AB3711" t="str">
        <f>HYPERLINK("Melting_Curves/meltCurve_Q4G0I0_CCSMST1.pdf", "Melting_Curves/meltCurve_Q4G0I0_CCSMST1.pdf")</f>
        <v>Melting_Curves/meltCurve_Q4G0I0_CCSMST1.pdf</v>
      </c>
    </row>
    <row r="3712" spans="1:28" x14ac:dyDescent="0.25">
      <c r="A3712" t="s">
        <v>3716</v>
      </c>
      <c r="B3712">
        <v>0.99193492352474899</v>
      </c>
      <c r="C3712">
        <v>0.78857556720278799</v>
      </c>
      <c r="D3712">
        <v>0.84873578429124297</v>
      </c>
      <c r="E3712">
        <v>0.33892795465304099</v>
      </c>
      <c r="F3712">
        <v>0.21794734402903501</v>
      </c>
      <c r="G3712">
        <v>0.13928167510540401</v>
      </c>
      <c r="H3712">
        <v>8.9161489042834094E-2</v>
      </c>
      <c r="I3712">
        <v>0.13486462626493601</v>
      </c>
      <c r="J3712">
        <v>0.13512181866074799</v>
      </c>
      <c r="K3712">
        <v>0.155648215902814</v>
      </c>
      <c r="L3712">
        <v>1128.43332092939</v>
      </c>
      <c r="M3712">
        <v>23.5829136885441</v>
      </c>
      <c r="N3712">
        <v>48.437353317441499</v>
      </c>
      <c r="O3712">
        <v>47.509536882559701</v>
      </c>
      <c r="P3712">
        <v>-0.108656671153882</v>
      </c>
      <c r="Q3712">
        <v>0.12442700191139799</v>
      </c>
      <c r="R3712">
        <v>0.96440321724816702</v>
      </c>
      <c r="S3712" t="s">
        <v>10382</v>
      </c>
      <c r="T3712" t="s">
        <v>13338</v>
      </c>
      <c r="U3712" t="s">
        <v>13338</v>
      </c>
      <c r="V3712" t="s">
        <v>13338</v>
      </c>
      <c r="W3712" t="s">
        <v>17000</v>
      </c>
      <c r="X3712">
        <v>5</v>
      </c>
      <c r="Y3712" t="s">
        <v>23518</v>
      </c>
      <c r="Z3712" t="s">
        <v>30127</v>
      </c>
      <c r="AA3712">
        <v>0.36229573156127282</v>
      </c>
      <c r="AB3712" t="str">
        <f>HYPERLINK("Melting_Curves/meltCurve_Q4G0J3_LARP7.pdf", "Melting_Curves/meltCurve_Q4G0J3_LARP7.pdf")</f>
        <v>Melting_Curves/meltCurve_Q4G0J3_LARP7.pdf</v>
      </c>
    </row>
    <row r="3713" spans="1:28" x14ac:dyDescent="0.25">
      <c r="A3713" t="s">
        <v>3717</v>
      </c>
      <c r="B3713">
        <v>0.99193492352474899</v>
      </c>
      <c r="C3713">
        <v>1.02852799901224</v>
      </c>
      <c r="D3713">
        <v>0.88127794025975104</v>
      </c>
      <c r="E3713">
        <v>0.83075689292799004</v>
      </c>
      <c r="F3713">
        <v>0.66537649282287603</v>
      </c>
      <c r="G3713">
        <v>0.41214321613236399</v>
      </c>
      <c r="H3713">
        <v>7.8321576612955093E-2</v>
      </c>
      <c r="I3713">
        <v>8.3180490311483196E-2</v>
      </c>
      <c r="J3713">
        <v>9.1511313344778494E-2</v>
      </c>
      <c r="K3713">
        <v>8.2969829633095599E-2</v>
      </c>
      <c r="L3713">
        <v>947.30215583372706</v>
      </c>
      <c r="M3713">
        <v>17.299588894242699</v>
      </c>
      <c r="N3713">
        <v>54.924247838840898</v>
      </c>
      <c r="O3713">
        <v>54.042664278553801</v>
      </c>
      <c r="P3713">
        <v>-7.7998408556334997E-2</v>
      </c>
      <c r="Q3713">
        <v>2.54106635720249E-2</v>
      </c>
      <c r="R3713">
        <v>0.98411189277823197</v>
      </c>
      <c r="S3713" t="s">
        <v>10383</v>
      </c>
      <c r="T3713" t="s">
        <v>13338</v>
      </c>
      <c r="U3713" t="s">
        <v>13338</v>
      </c>
      <c r="V3713" t="s">
        <v>13338</v>
      </c>
      <c r="W3713" t="s">
        <v>17001</v>
      </c>
      <c r="X3713">
        <v>16</v>
      </c>
      <c r="Y3713" t="s">
        <v>23519</v>
      </c>
      <c r="Z3713" t="s">
        <v>30128</v>
      </c>
      <c r="AA3713">
        <v>0.52092382984743169</v>
      </c>
      <c r="AB3713" t="str">
        <f>HYPERLINK("Melting_Curves/meltCurve_Q4G0N4_NADKD1.pdf", "Melting_Curves/meltCurve_Q4G0N4_NADKD1.pdf")</f>
        <v>Melting_Curves/meltCurve_Q4G0N4_NADKD1.pdf</v>
      </c>
    </row>
    <row r="3714" spans="1:28" x14ac:dyDescent="0.25">
      <c r="A3714" t="s">
        <v>3718</v>
      </c>
      <c r="B3714">
        <v>0.99193492352474899</v>
      </c>
      <c r="C3714">
        <v>0.90021891631908801</v>
      </c>
      <c r="D3714">
        <v>0.84944477652759598</v>
      </c>
      <c r="E3714">
        <v>0.73657667171980701</v>
      </c>
      <c r="F3714">
        <v>0.45300575213657102</v>
      </c>
      <c r="G3714">
        <v>0.234915468952509</v>
      </c>
      <c r="H3714">
        <v>0.127242785199777</v>
      </c>
      <c r="I3714">
        <v>0.152224650220628</v>
      </c>
      <c r="J3714">
        <v>0.16137729662640801</v>
      </c>
      <c r="K3714">
        <v>0.164138048956226</v>
      </c>
      <c r="L3714">
        <v>867.38373938616496</v>
      </c>
      <c r="M3714">
        <v>16.876816173528901</v>
      </c>
      <c r="N3714">
        <v>52.248220179738901</v>
      </c>
      <c r="O3714">
        <v>50.689669100603702</v>
      </c>
      <c r="P3714">
        <v>-7.3215168508575401E-2</v>
      </c>
      <c r="Q3714">
        <v>0.120446319248686</v>
      </c>
      <c r="R3714">
        <v>0.98696378490509695</v>
      </c>
      <c r="S3714" t="s">
        <v>10384</v>
      </c>
      <c r="T3714" t="s">
        <v>13338</v>
      </c>
      <c r="U3714" t="s">
        <v>13338</v>
      </c>
      <c r="V3714" t="s">
        <v>13338</v>
      </c>
      <c r="W3714" t="s">
        <v>17002</v>
      </c>
      <c r="X3714">
        <v>1</v>
      </c>
      <c r="Y3714" t="s">
        <v>23520</v>
      </c>
      <c r="Z3714" t="s">
        <v>30129</v>
      </c>
      <c r="AA3714">
        <v>0.47102995470625969</v>
      </c>
      <c r="AB3714" t="str">
        <f>HYPERLINK("Melting_Curves/meltCurve_Q4G148_2_GXYLT1.pdf", "Melting_Curves/meltCurve_Q4G148_2_GXYLT1.pdf")</f>
        <v>Melting_Curves/meltCurve_Q4G148_2_GXYLT1.pdf</v>
      </c>
    </row>
    <row r="3715" spans="1:28" x14ac:dyDescent="0.25">
      <c r="A3715" t="s">
        <v>3719</v>
      </c>
      <c r="B3715">
        <v>0.99193492352474899</v>
      </c>
      <c r="C3715">
        <v>1.12342732419373</v>
      </c>
      <c r="D3715">
        <v>0.93789632695649805</v>
      </c>
      <c r="E3715">
        <v>0.40095985456321598</v>
      </c>
      <c r="F3715">
        <v>0.18715796225248699</v>
      </c>
      <c r="G3715">
        <v>0.101220866886501</v>
      </c>
      <c r="H3715">
        <v>5.0597422921737002E-2</v>
      </c>
      <c r="I3715">
        <v>9.7704737272819794E-2</v>
      </c>
      <c r="J3715">
        <v>9.6233000303300495E-2</v>
      </c>
      <c r="K3715">
        <v>0.134795210098899</v>
      </c>
      <c r="L3715">
        <v>1982.84710809792</v>
      </c>
      <c r="M3715">
        <v>40.621168526592797</v>
      </c>
      <c r="N3715">
        <v>49.095802588908398</v>
      </c>
      <c r="O3715">
        <v>48.695275069201898</v>
      </c>
      <c r="P3715">
        <v>-0.186803072055197</v>
      </c>
      <c r="Q3715">
        <v>0.10426871153379801</v>
      </c>
      <c r="R3715">
        <v>0.98621378218654199</v>
      </c>
      <c r="S3715" t="s">
        <v>10385</v>
      </c>
      <c r="T3715" t="s">
        <v>13338</v>
      </c>
      <c r="U3715" t="s">
        <v>13338</v>
      </c>
      <c r="V3715" t="s">
        <v>13338</v>
      </c>
      <c r="W3715" t="s">
        <v>17003</v>
      </c>
      <c r="X3715">
        <v>12</v>
      </c>
      <c r="Y3715" t="s">
        <v>23521</v>
      </c>
      <c r="Z3715" t="s">
        <v>30130</v>
      </c>
      <c r="AA3715">
        <v>0.37034238326294122</v>
      </c>
      <c r="AB3715" t="str">
        <f>HYPERLINK("Melting_Curves/meltCurve_Q4G176_ACSF3.pdf", "Melting_Curves/meltCurve_Q4G176_ACSF3.pdf")</f>
        <v>Melting_Curves/meltCurve_Q4G176_ACSF3.pdf</v>
      </c>
    </row>
    <row r="3716" spans="1:28" x14ac:dyDescent="0.25">
      <c r="A3716" t="s">
        <v>3720</v>
      </c>
      <c r="B3716">
        <v>0.99193492352474899</v>
      </c>
      <c r="C3716">
        <v>1.0049722228396201</v>
      </c>
      <c r="D3716">
        <v>0.87065242867481496</v>
      </c>
      <c r="E3716">
        <v>0.78863646662730102</v>
      </c>
      <c r="F3716">
        <v>0.51195491079800703</v>
      </c>
      <c r="G3716">
        <v>0.183414027019771</v>
      </c>
      <c r="H3716">
        <v>9.1646141247092194E-2</v>
      </c>
      <c r="I3716">
        <v>0.10444825675271401</v>
      </c>
      <c r="J3716">
        <v>9.8550805379772802E-2</v>
      </c>
      <c r="K3716">
        <v>0.10097072125421</v>
      </c>
      <c r="L3716">
        <v>1086.2220655927699</v>
      </c>
      <c r="M3716">
        <v>20.713877321137801</v>
      </c>
      <c r="N3716">
        <v>52.843312507162899</v>
      </c>
      <c r="O3716">
        <v>51.9579517194828</v>
      </c>
      <c r="P3716">
        <v>-9.2371096449960194E-2</v>
      </c>
      <c r="Q3716">
        <v>7.3225148741700705E-2</v>
      </c>
      <c r="R3716">
        <v>0.99120404503540105</v>
      </c>
      <c r="S3716" t="s">
        <v>10386</v>
      </c>
      <c r="T3716" t="s">
        <v>13338</v>
      </c>
      <c r="U3716" t="s">
        <v>13338</v>
      </c>
      <c r="V3716" t="s">
        <v>13338</v>
      </c>
      <c r="W3716" t="s">
        <v>17004</v>
      </c>
      <c r="X3716">
        <v>16</v>
      </c>
      <c r="Y3716" t="s">
        <v>23522</v>
      </c>
      <c r="Z3716" t="s">
        <v>30131</v>
      </c>
      <c r="AA3716">
        <v>0.4695347923269852</v>
      </c>
      <c r="AB3716" t="str">
        <f>HYPERLINK("Melting_Curves/meltCurve_Q4J6C6_4_PREPL.pdf", "Melting_Curves/meltCurve_Q4J6C6_4_PREPL.pdf")</f>
        <v>Melting_Curves/meltCurve_Q4J6C6_4_PREPL.pdf</v>
      </c>
    </row>
    <row r="3717" spans="1:28" x14ac:dyDescent="0.25">
      <c r="A3717" t="s">
        <v>3721</v>
      </c>
      <c r="B3717">
        <v>0.99193492352474899</v>
      </c>
      <c r="C3717">
        <v>0.73617997357417497</v>
      </c>
      <c r="D3717">
        <v>0.91853296616853697</v>
      </c>
      <c r="E3717">
        <v>0.61817082187962402</v>
      </c>
      <c r="F3717">
        <v>0.25998170417609801</v>
      </c>
      <c r="G3717">
        <v>0.12782325069938799</v>
      </c>
      <c r="H3717">
        <v>7.9147036301995002E-2</v>
      </c>
      <c r="I3717">
        <v>7.7082688888115397E-2</v>
      </c>
      <c r="J3717">
        <v>8.0126212098922997E-2</v>
      </c>
      <c r="K3717">
        <v>8.81205940664712E-2</v>
      </c>
      <c r="L3717">
        <v>961.24155465823799</v>
      </c>
      <c r="M3717">
        <v>19.163102164156602</v>
      </c>
      <c r="N3717">
        <v>50.494158963181903</v>
      </c>
      <c r="O3717">
        <v>49.624419830885898</v>
      </c>
      <c r="P3717">
        <v>-9.0812119707834704E-2</v>
      </c>
      <c r="Q3717">
        <v>5.9375034768631901E-2</v>
      </c>
      <c r="R3717">
        <v>0.95323858058492905</v>
      </c>
      <c r="S3717" t="s">
        <v>10387</v>
      </c>
      <c r="T3717" t="s">
        <v>13338</v>
      </c>
      <c r="U3717" t="s">
        <v>13338</v>
      </c>
      <c r="V3717" t="s">
        <v>13338</v>
      </c>
      <c r="W3717" t="s">
        <v>17005</v>
      </c>
      <c r="X3717">
        <v>9</v>
      </c>
      <c r="Y3717" t="s">
        <v>23523</v>
      </c>
      <c r="Z3717" t="s">
        <v>30132</v>
      </c>
      <c r="AA3717">
        <v>0.39217806389857118</v>
      </c>
      <c r="AB3717" t="str">
        <f>HYPERLINK("Melting_Curves/meltCurve_Q4KMP7_TBC1D10B.pdf", "Melting_Curves/meltCurve_Q4KMP7_TBC1D10B.pdf")</f>
        <v>Melting_Curves/meltCurve_Q4KMP7_TBC1D10B.pdf</v>
      </c>
    </row>
    <row r="3718" spans="1:28" x14ac:dyDescent="0.25">
      <c r="A3718" t="s">
        <v>3722</v>
      </c>
      <c r="B3718">
        <v>0.99193492352474899</v>
      </c>
      <c r="C3718">
        <v>0.945400983245551</v>
      </c>
      <c r="D3718">
        <v>0.90562744847495102</v>
      </c>
      <c r="E3718">
        <v>0.77918830318522203</v>
      </c>
      <c r="F3718">
        <v>0.55743288525178003</v>
      </c>
      <c r="G3718">
        <v>0.16922703686221199</v>
      </c>
      <c r="H3718">
        <v>8.4276763950601699E-2</v>
      </c>
      <c r="I3718">
        <v>7.2334300360282502E-2</v>
      </c>
      <c r="J3718">
        <v>8.0986996226675406E-2</v>
      </c>
      <c r="K3718">
        <v>9.3546978568585903E-2</v>
      </c>
      <c r="L3718">
        <v>1094.29301664436</v>
      </c>
      <c r="M3718">
        <v>20.730501089014702</v>
      </c>
      <c r="N3718">
        <v>53.074634582598499</v>
      </c>
      <c r="O3718">
        <v>52.302785088628802</v>
      </c>
      <c r="P3718">
        <v>-9.3820012725849902E-2</v>
      </c>
      <c r="Q3718">
        <v>5.3200046844491797E-2</v>
      </c>
      <c r="R3718">
        <v>0.98905221840989299</v>
      </c>
      <c r="S3718" t="s">
        <v>10388</v>
      </c>
      <c r="T3718" t="s">
        <v>13338</v>
      </c>
      <c r="U3718" t="s">
        <v>13338</v>
      </c>
      <c r="V3718" t="s">
        <v>13338</v>
      </c>
      <c r="W3718" t="s">
        <v>17006</v>
      </c>
      <c r="X3718">
        <v>13</v>
      </c>
      <c r="Y3718" t="s">
        <v>23524</v>
      </c>
      <c r="Z3718" t="s">
        <v>30133</v>
      </c>
      <c r="AA3718">
        <v>0.46900002174318772</v>
      </c>
      <c r="AB3718" t="str">
        <f>HYPERLINK("Melting_Curves/meltCurve_Q4KMQ2_3_ANO6.pdf", "Melting_Curves/meltCurve_Q4KMQ2_3_ANO6.pdf")</f>
        <v>Melting_Curves/meltCurve_Q4KMQ2_3_ANO6.pdf</v>
      </c>
    </row>
    <row r="3719" spans="1:28" x14ac:dyDescent="0.25">
      <c r="A3719" t="s">
        <v>3723</v>
      </c>
      <c r="B3719">
        <v>0.99193492352474899</v>
      </c>
      <c r="C3719">
        <v>0.93190114009005798</v>
      </c>
      <c r="D3719">
        <v>0.98503212654362104</v>
      </c>
      <c r="E3719">
        <v>0.82043216404735597</v>
      </c>
      <c r="F3719">
        <v>0.62767795858875797</v>
      </c>
      <c r="G3719">
        <v>0.26164261281097401</v>
      </c>
      <c r="H3719">
        <v>0.16088260056946099</v>
      </c>
      <c r="I3719">
        <v>0.20127431138280899</v>
      </c>
      <c r="J3719">
        <v>0.235069290059229</v>
      </c>
      <c r="K3719">
        <v>0.22222109535547399</v>
      </c>
      <c r="L3719">
        <v>1361.24247198579</v>
      </c>
      <c r="M3719">
        <v>25.725819169052201</v>
      </c>
      <c r="N3719">
        <v>53.918771981815603</v>
      </c>
      <c r="O3719">
        <v>52.596854900642299</v>
      </c>
      <c r="P3719">
        <v>-9.8985497823668001E-2</v>
      </c>
      <c r="Q3719">
        <v>0.19049993213358599</v>
      </c>
      <c r="R3719">
        <v>0.98341011260165501</v>
      </c>
      <c r="S3719" t="s">
        <v>10389</v>
      </c>
      <c r="T3719" t="s">
        <v>13338</v>
      </c>
      <c r="U3719" t="s">
        <v>13338</v>
      </c>
      <c r="V3719" t="s">
        <v>13338</v>
      </c>
      <c r="W3719" t="s">
        <v>17007</v>
      </c>
      <c r="X3719">
        <v>1</v>
      </c>
      <c r="Y3719" t="s">
        <v>23525</v>
      </c>
      <c r="Z3719" t="s">
        <v>30134</v>
      </c>
      <c r="AA3719">
        <v>0.54600496297109413</v>
      </c>
      <c r="AB3719" t="str">
        <f>HYPERLINK("Melting_Curves/meltCurve_Q4KWH8_3_PLCH1.pdf", "Melting_Curves/meltCurve_Q4KWH8_3_PLCH1.pdf")</f>
        <v>Melting_Curves/meltCurve_Q4KWH8_3_PLCH1.pdf</v>
      </c>
    </row>
    <row r="3720" spans="1:28" x14ac:dyDescent="0.25">
      <c r="A3720" t="s">
        <v>3724</v>
      </c>
      <c r="B3720">
        <v>0.99193492352474899</v>
      </c>
      <c r="C3720">
        <v>0.84634256804895902</v>
      </c>
      <c r="D3720">
        <v>0.89423296188933799</v>
      </c>
      <c r="E3720">
        <v>0.70441236331047596</v>
      </c>
      <c r="F3720">
        <v>0.52396502481848095</v>
      </c>
      <c r="G3720">
        <v>0.28626498037633002</v>
      </c>
      <c r="H3720">
        <v>0.19919561080999801</v>
      </c>
      <c r="I3720">
        <v>0.203006241744529</v>
      </c>
      <c r="J3720">
        <v>0.18386751662739501</v>
      </c>
      <c r="K3720">
        <v>0.248878489876528</v>
      </c>
      <c r="L3720">
        <v>768.76280866621903</v>
      </c>
      <c r="M3720">
        <v>14.9644998375667</v>
      </c>
      <c r="N3720">
        <v>52.8316357050942</v>
      </c>
      <c r="O3720">
        <v>50.481224370328803</v>
      </c>
      <c r="P3720">
        <v>-6.1570776487709103E-2</v>
      </c>
      <c r="Q3720">
        <v>0.16927360339563599</v>
      </c>
      <c r="R3720">
        <v>0.97550556216628603</v>
      </c>
      <c r="S3720" t="s">
        <v>10390</v>
      </c>
      <c r="T3720" t="s">
        <v>13338</v>
      </c>
      <c r="U3720" t="s">
        <v>13338</v>
      </c>
      <c r="V3720" t="s">
        <v>13338</v>
      </c>
      <c r="W3720" t="s">
        <v>17008</v>
      </c>
      <c r="X3720">
        <v>3</v>
      </c>
      <c r="Y3720" t="s">
        <v>23526</v>
      </c>
      <c r="Z3720" t="s">
        <v>30135</v>
      </c>
      <c r="AA3720">
        <v>0.50322556526175921</v>
      </c>
      <c r="AB3720" t="str">
        <f>HYPERLINK("Melting_Curves/meltCurve_Q4LDG9_DNAL1.pdf", "Melting_Curves/meltCurve_Q4LDG9_DNAL1.pdf")</f>
        <v>Melting_Curves/meltCurve_Q4LDG9_DNAL1.pdf</v>
      </c>
    </row>
    <row r="3721" spans="1:28" x14ac:dyDescent="0.25">
      <c r="A3721" t="s">
        <v>3725</v>
      </c>
      <c r="B3721">
        <v>0.99193492352474899</v>
      </c>
      <c r="C3721">
        <v>0.74857265354345903</v>
      </c>
      <c r="D3721">
        <v>0.68506529560741303</v>
      </c>
      <c r="E3721">
        <v>0.34153285977828901</v>
      </c>
      <c r="F3721">
        <v>0.238133488902142</v>
      </c>
      <c r="G3721">
        <v>0.14160110683458901</v>
      </c>
      <c r="H3721">
        <v>0.10254239805573601</v>
      </c>
      <c r="I3721">
        <v>9.5671374944574006E-2</v>
      </c>
      <c r="J3721">
        <v>0.10816825392771</v>
      </c>
      <c r="K3721">
        <v>0.11209165891323999</v>
      </c>
      <c r="L3721">
        <v>716.06207308943897</v>
      </c>
      <c r="M3721">
        <v>15.222593750093001</v>
      </c>
      <c r="N3721">
        <v>47.652532843341099</v>
      </c>
      <c r="O3721">
        <v>46.250065340306499</v>
      </c>
      <c r="P3721">
        <v>-7.4973403845265907E-2</v>
      </c>
      <c r="Q3721">
        <v>8.8934823655849302E-2</v>
      </c>
      <c r="R3721">
        <v>0.984538751518515</v>
      </c>
      <c r="S3721" t="s">
        <v>10391</v>
      </c>
      <c r="T3721" t="s">
        <v>13338</v>
      </c>
      <c r="U3721" t="s">
        <v>13338</v>
      </c>
      <c r="V3721" t="s">
        <v>13338</v>
      </c>
      <c r="W3721" t="s">
        <v>17009</v>
      </c>
      <c r="X3721">
        <v>2</v>
      </c>
      <c r="Y3721" t="s">
        <v>23527</v>
      </c>
      <c r="Z3721" t="s">
        <v>30136</v>
      </c>
      <c r="AA3721">
        <v>0.32666831300297378</v>
      </c>
      <c r="AB3721" t="str">
        <f>HYPERLINK("Melting_Curves/meltCurve_Q4LE39_3_ARID4B.pdf", "Melting_Curves/meltCurve_Q4LE39_3_ARID4B.pdf")</f>
        <v>Melting_Curves/meltCurve_Q4LE39_3_ARID4B.pdf</v>
      </c>
    </row>
    <row r="3722" spans="1:28" x14ac:dyDescent="0.25">
      <c r="A3722" t="s">
        <v>3726</v>
      </c>
      <c r="B3722">
        <v>0.99193492352474899</v>
      </c>
      <c r="C3722">
        <v>0.848781479730772</v>
      </c>
      <c r="D3722">
        <v>0.68856836105072505</v>
      </c>
      <c r="E3722">
        <v>0.66126152486190104</v>
      </c>
      <c r="F3722">
        <v>0.61389873779960002</v>
      </c>
      <c r="G3722">
        <v>0.46598051844969901</v>
      </c>
      <c r="H3722">
        <v>0.40766364705715902</v>
      </c>
      <c r="I3722">
        <v>0.42329561859571502</v>
      </c>
      <c r="J3722">
        <v>0.45658015645028299</v>
      </c>
      <c r="K3722">
        <v>0.30861226602587699</v>
      </c>
      <c r="L3722">
        <v>430.099234356517</v>
      </c>
      <c r="M3722">
        <v>8.7418566313094601</v>
      </c>
      <c r="N3722">
        <v>56.043936444754799</v>
      </c>
      <c r="O3722">
        <v>46.829008057965801</v>
      </c>
      <c r="P3722">
        <v>-3.1383629057544597E-2</v>
      </c>
      <c r="Q3722">
        <v>0.32807233740155201</v>
      </c>
      <c r="R3722">
        <v>0.94119621230747696</v>
      </c>
      <c r="S3722" t="s">
        <v>10392</v>
      </c>
      <c r="T3722" t="s">
        <v>13338</v>
      </c>
      <c r="U3722" t="s">
        <v>13338</v>
      </c>
      <c r="V3722" t="s">
        <v>13338</v>
      </c>
      <c r="W3722" t="s">
        <v>17010</v>
      </c>
      <c r="X3722">
        <v>3</v>
      </c>
      <c r="Y3722" t="s">
        <v>23528</v>
      </c>
      <c r="Z3722" t="s">
        <v>30137</v>
      </c>
      <c r="AA3722">
        <v>0.5730714835942281</v>
      </c>
      <c r="AB3722" t="str">
        <f>HYPERLINK("Melting_Curves/meltCurve_Q4TT34_NME4.pdf", "Melting_Curves/meltCurve_Q4TT34_NME4.pdf")</f>
        <v>Melting_Curves/meltCurve_Q4TT34_NME4.pdf</v>
      </c>
    </row>
    <row r="3723" spans="1:28" x14ac:dyDescent="0.25">
      <c r="A3723" t="s">
        <v>3727</v>
      </c>
      <c r="B3723">
        <v>0.99193492352474899</v>
      </c>
      <c r="C3723">
        <v>0.72392957767459898</v>
      </c>
      <c r="D3723">
        <v>0.358108751037721</v>
      </c>
      <c r="E3723">
        <v>0.18511097248227901</v>
      </c>
      <c r="F3723">
        <v>0.134096604370536</v>
      </c>
      <c r="G3723">
        <v>8.7717161409426703E-2</v>
      </c>
      <c r="H3723">
        <v>7.4673967124413598E-2</v>
      </c>
      <c r="I3723">
        <v>0.13896069501649799</v>
      </c>
      <c r="J3723">
        <v>0.15927428431346999</v>
      </c>
      <c r="K3723">
        <v>0.235210937019734</v>
      </c>
      <c r="L3723">
        <v>1254.49344466252</v>
      </c>
      <c r="M3723">
        <v>28.402488241194298</v>
      </c>
      <c r="N3723">
        <v>44.6806649152715</v>
      </c>
      <c r="O3723">
        <v>43.951217660736901</v>
      </c>
      <c r="P3723">
        <v>-0.139108548081429</v>
      </c>
      <c r="Q3723">
        <v>0.138957008371007</v>
      </c>
      <c r="R3723">
        <v>0.97829688460812403</v>
      </c>
      <c r="S3723" t="s">
        <v>10393</v>
      </c>
      <c r="T3723" t="s">
        <v>13338</v>
      </c>
      <c r="U3723" t="s">
        <v>13338</v>
      </c>
      <c r="V3723" t="s">
        <v>13338</v>
      </c>
      <c r="W3723" t="s">
        <v>17011</v>
      </c>
      <c r="X3723">
        <v>28</v>
      </c>
      <c r="Y3723" t="s">
        <v>23529</v>
      </c>
      <c r="Z3723" t="s">
        <v>30138</v>
      </c>
      <c r="AA3723">
        <v>0.26559605330869018</v>
      </c>
      <c r="AB3723" t="str">
        <f>HYPERLINK("Melting_Curves/meltCurve_Q4V328_GRIPAP1.pdf", "Melting_Curves/meltCurve_Q4V328_GRIPAP1.pdf")</f>
        <v>Melting_Curves/meltCurve_Q4V328_GRIPAP1.pdf</v>
      </c>
    </row>
    <row r="3724" spans="1:28" x14ac:dyDescent="0.25">
      <c r="A3724" t="s">
        <v>3728</v>
      </c>
      <c r="B3724">
        <v>0.99193492352474899</v>
      </c>
      <c r="C3724">
        <v>0.541002876762262</v>
      </c>
      <c r="D3724">
        <v>0.59712263532210397</v>
      </c>
      <c r="E3724">
        <v>0.37157320573077701</v>
      </c>
      <c r="F3724">
        <v>0.40599760581467897</v>
      </c>
      <c r="G3724">
        <v>0.27314279074680903</v>
      </c>
      <c r="H3724">
        <v>0.33761103204445903</v>
      </c>
      <c r="I3724">
        <v>0.399726232771907</v>
      </c>
      <c r="J3724">
        <v>0.79937511194906496</v>
      </c>
      <c r="K3724">
        <v>0.83648412107949099</v>
      </c>
      <c r="L3724">
        <v>3815.49616495396</v>
      </c>
      <c r="M3724">
        <v>91.404115530781993</v>
      </c>
      <c r="O3724">
        <v>41.723185316554499</v>
      </c>
      <c r="P3724">
        <v>-0.272441919689071</v>
      </c>
      <c r="Q3724">
        <v>0.50255439483622399</v>
      </c>
      <c r="R3724">
        <v>0.39567297585592698</v>
      </c>
      <c r="S3724" t="s">
        <v>10394</v>
      </c>
      <c r="T3724" t="s">
        <v>13338</v>
      </c>
      <c r="U3724" t="s">
        <v>13338</v>
      </c>
      <c r="V3724" t="s">
        <v>13338</v>
      </c>
      <c r="W3724" t="s">
        <v>17012</v>
      </c>
      <c r="X3724">
        <v>7</v>
      </c>
      <c r="Y3724" t="s">
        <v>23530</v>
      </c>
      <c r="Z3724" t="s">
        <v>30139</v>
      </c>
      <c r="AA3724">
        <v>0.5318572530133332</v>
      </c>
      <c r="AB3724" t="str">
        <f>HYPERLINK("Melting_Curves/meltCurve_Q4VC05_BCL7A.pdf", "Melting_Curves/meltCurve_Q4VC05_BCL7A.pdf")</f>
        <v>Melting_Curves/meltCurve_Q4VC05_BCL7A.pdf</v>
      </c>
    </row>
    <row r="3725" spans="1:28" x14ac:dyDescent="0.25">
      <c r="A3725" t="s">
        <v>3729</v>
      </c>
      <c r="B3725">
        <v>0.99193492352474899</v>
      </c>
      <c r="C3725">
        <v>0.70460677532167404</v>
      </c>
      <c r="D3725">
        <v>0.70247311873090201</v>
      </c>
      <c r="E3725">
        <v>0.44352780837547201</v>
      </c>
      <c r="F3725">
        <v>0.41327602035578997</v>
      </c>
      <c r="G3725">
        <v>0.327214021994576</v>
      </c>
      <c r="H3725">
        <v>0.33097533986820099</v>
      </c>
      <c r="I3725">
        <v>0.63179315297256999</v>
      </c>
      <c r="J3725">
        <v>0.83569605039622397</v>
      </c>
      <c r="K3725">
        <v>1.2293915731601801</v>
      </c>
      <c r="L3725">
        <v>2360.4145024804502</v>
      </c>
      <c r="M3725">
        <v>56.102131027178501</v>
      </c>
      <c r="O3725">
        <v>42.020182999133397</v>
      </c>
      <c r="P3725">
        <v>-0.12908712868924799</v>
      </c>
      <c r="Q3725">
        <v>0.61325817549797401</v>
      </c>
      <c r="R3725">
        <v>0.16220503199323</v>
      </c>
      <c r="S3725" t="s">
        <v>10395</v>
      </c>
      <c r="T3725" t="s">
        <v>13338</v>
      </c>
      <c r="U3725" t="s">
        <v>13338</v>
      </c>
      <c r="V3725" t="s">
        <v>13338</v>
      </c>
      <c r="W3725" t="s">
        <v>17013</v>
      </c>
      <c r="X3725">
        <v>8</v>
      </c>
      <c r="Y3725" t="s">
        <v>23530</v>
      </c>
      <c r="Z3725" t="s">
        <v>30140</v>
      </c>
      <c r="AA3725">
        <v>0.64100740080830088</v>
      </c>
      <c r="AB3725" t="str">
        <f>HYPERLINK("Melting_Curves/meltCurve_Q4VC05_2_BCL7A.pdf", "Melting_Curves/meltCurve_Q4VC05_2_BCL7A.pdf")</f>
        <v>Melting_Curves/meltCurve_Q4VC05_2_BCL7A.pdf</v>
      </c>
    </row>
    <row r="3726" spans="1:28" x14ac:dyDescent="0.25">
      <c r="A3726" t="s">
        <v>3730</v>
      </c>
      <c r="B3726">
        <v>0.99193492352474899</v>
      </c>
      <c r="C3726">
        <v>0.829118523795074</v>
      </c>
      <c r="D3726">
        <v>0.99760497867436604</v>
      </c>
      <c r="E3726">
        <v>0.79677332560621394</v>
      </c>
      <c r="F3726">
        <v>0.71276884875069302</v>
      </c>
      <c r="G3726">
        <v>0.496355417071625</v>
      </c>
      <c r="H3726">
        <v>0.38430919231534599</v>
      </c>
      <c r="I3726">
        <v>0.28994885863097197</v>
      </c>
      <c r="J3726">
        <v>0.28991588889632403</v>
      </c>
      <c r="K3726">
        <v>0.19141057301553899</v>
      </c>
      <c r="L3726">
        <v>569.64481437604195</v>
      </c>
      <c r="M3726">
        <v>10.1368881416041</v>
      </c>
      <c r="N3726">
        <v>57.508384381845303</v>
      </c>
      <c r="O3726">
        <v>54.139822022987097</v>
      </c>
      <c r="P3726">
        <v>-4.1992150159992102E-2</v>
      </c>
      <c r="Q3726">
        <v>0.10331523321050901</v>
      </c>
      <c r="R3726">
        <v>0.964111188642929</v>
      </c>
      <c r="S3726" t="s">
        <v>10396</v>
      </c>
      <c r="T3726" t="s">
        <v>13338</v>
      </c>
      <c r="U3726" t="s">
        <v>13338</v>
      </c>
      <c r="V3726" t="s">
        <v>13338</v>
      </c>
      <c r="W3726" t="s">
        <v>17014</v>
      </c>
      <c r="X3726">
        <v>12</v>
      </c>
      <c r="Y3726" t="s">
        <v>23531</v>
      </c>
      <c r="Z3726" t="s">
        <v>30141</v>
      </c>
      <c r="AA3726">
        <v>0.60543887757429593</v>
      </c>
      <c r="AB3726" t="str">
        <f>HYPERLINK("Melting_Curves/meltCurve_Q4VXZ8_DECR2.pdf", "Melting_Curves/meltCurve_Q4VXZ8_DECR2.pdf")</f>
        <v>Melting_Curves/meltCurve_Q4VXZ8_DECR2.pdf</v>
      </c>
    </row>
    <row r="3727" spans="1:28" x14ac:dyDescent="0.25">
      <c r="A3727" t="s">
        <v>3731</v>
      </c>
      <c r="B3727">
        <v>0.99193492352474899</v>
      </c>
      <c r="C3727">
        <v>0.92690048678910197</v>
      </c>
      <c r="D3727">
        <v>0.81375782901079396</v>
      </c>
      <c r="E3727">
        <v>0.68129222921959798</v>
      </c>
      <c r="F3727">
        <v>0.51724521692534298</v>
      </c>
      <c r="G3727">
        <v>0.35148434531912098</v>
      </c>
      <c r="H3727">
        <v>0.22161800450729299</v>
      </c>
      <c r="I3727">
        <v>0.12146485674155801</v>
      </c>
      <c r="J3727">
        <v>9.4143003311180598E-2</v>
      </c>
      <c r="K3727">
        <v>8.4817153676000498E-2</v>
      </c>
      <c r="L3727">
        <v>556.34621013067601</v>
      </c>
      <c r="M3727">
        <v>10.446166767335299</v>
      </c>
      <c r="N3727">
        <v>53.258406668781703</v>
      </c>
      <c r="O3727">
        <v>51.417624202365602</v>
      </c>
      <c r="P3727">
        <v>-5.0811689398202201E-2</v>
      </c>
      <c r="Q3727">
        <v>0</v>
      </c>
      <c r="R3727">
        <v>0.99795631760166503</v>
      </c>
      <c r="S3727" t="s">
        <v>10397</v>
      </c>
      <c r="T3727" t="s">
        <v>13338</v>
      </c>
      <c r="U3727" t="s">
        <v>13338</v>
      </c>
      <c r="V3727" t="s">
        <v>13338</v>
      </c>
      <c r="W3727" t="s">
        <v>17015</v>
      </c>
      <c r="X3727">
        <v>3</v>
      </c>
      <c r="Y3727" t="s">
        <v>23532</v>
      </c>
      <c r="Z3727" t="s">
        <v>30142</v>
      </c>
      <c r="AA3727">
        <v>0.47390911992943241</v>
      </c>
      <c r="AB3727" t="str">
        <f>HYPERLINK("Melting_Curves/meltCurve_Q4ZIN3_2_TMEM259.pdf", "Melting_Curves/meltCurve_Q4ZIN3_2_TMEM259.pdf")</f>
        <v>Melting_Curves/meltCurve_Q4ZIN3_2_TMEM259.pdf</v>
      </c>
    </row>
    <row r="3728" spans="1:28" x14ac:dyDescent="0.25">
      <c r="A3728" t="s">
        <v>3732</v>
      </c>
      <c r="B3728">
        <v>0.99193492352474899</v>
      </c>
      <c r="C3728">
        <v>1.01424083474423</v>
      </c>
      <c r="D3728">
        <v>0.65443943671367399</v>
      </c>
      <c r="E3728">
        <v>0.33515890750148603</v>
      </c>
      <c r="F3728">
        <v>0.25972369304752402</v>
      </c>
      <c r="G3728">
        <v>0.26940151056822798</v>
      </c>
      <c r="H3728">
        <v>0.11963777945128801</v>
      </c>
      <c r="I3728">
        <v>5.7546418329628701E-2</v>
      </c>
      <c r="J3728">
        <v>8.9983161782946297E-2</v>
      </c>
      <c r="K3728">
        <v>9.7468300946937605E-2</v>
      </c>
      <c r="L3728">
        <v>1005.7639269887</v>
      </c>
      <c r="M3728">
        <v>21.220323487164698</v>
      </c>
      <c r="N3728">
        <v>48.035177954914701</v>
      </c>
      <c r="O3728">
        <v>46.981365152421098</v>
      </c>
      <c r="P3728">
        <v>-9.9037476783070497E-2</v>
      </c>
      <c r="Q3728">
        <v>0.12295466100934201</v>
      </c>
      <c r="R3728">
        <v>0.96883855091618398</v>
      </c>
      <c r="S3728" t="s">
        <v>10398</v>
      </c>
      <c r="T3728" t="s">
        <v>13338</v>
      </c>
      <c r="U3728" t="s">
        <v>13338</v>
      </c>
      <c r="V3728" t="s">
        <v>13338</v>
      </c>
      <c r="W3728" t="s">
        <v>17016</v>
      </c>
      <c r="X3728">
        <v>1</v>
      </c>
      <c r="Y3728" t="s">
        <v>23533</v>
      </c>
      <c r="Z3728" t="s">
        <v>30143</v>
      </c>
      <c r="AA3728">
        <v>0.35030930810854272</v>
      </c>
      <c r="AB3728" t="str">
        <f>HYPERLINK("Melting_Curves/meltCurve_Q504Q3_2_PAN2.pdf", "Melting_Curves/meltCurve_Q504Q3_2_PAN2.pdf")</f>
        <v>Melting_Curves/meltCurve_Q504Q3_2_PAN2.pdf</v>
      </c>
    </row>
    <row r="3729" spans="1:28" x14ac:dyDescent="0.25">
      <c r="A3729" t="s">
        <v>3733</v>
      </c>
      <c r="B3729">
        <v>0.99193492352474899</v>
      </c>
      <c r="C3729">
        <v>0.93239963939419901</v>
      </c>
      <c r="D3729">
        <v>0.80449963229500399</v>
      </c>
      <c r="E3729">
        <v>0.69540851736881704</v>
      </c>
      <c r="F3729">
        <v>0.41220249245560397</v>
      </c>
      <c r="G3729">
        <v>0.316861168207763</v>
      </c>
      <c r="H3729">
        <v>0.25228943278364302</v>
      </c>
      <c r="I3729">
        <v>0.35371370413856801</v>
      </c>
      <c r="J3729">
        <v>0.36444201124164599</v>
      </c>
      <c r="K3729">
        <v>0.45395877661159101</v>
      </c>
      <c r="L3729">
        <v>985.42326766387998</v>
      </c>
      <c r="M3729">
        <v>20.174820635216001</v>
      </c>
      <c r="N3729">
        <v>51.738978576272103</v>
      </c>
      <c r="O3729">
        <v>48.371919156891302</v>
      </c>
      <c r="P3729">
        <v>-6.8998776911683005E-2</v>
      </c>
      <c r="Q3729">
        <v>0.33828444105751598</v>
      </c>
      <c r="R3729">
        <v>0.94505756518053996</v>
      </c>
      <c r="S3729" t="s">
        <v>10399</v>
      </c>
      <c r="T3729" t="s">
        <v>13338</v>
      </c>
      <c r="U3729" t="s">
        <v>13338</v>
      </c>
      <c r="V3729" t="s">
        <v>13338</v>
      </c>
      <c r="W3729" t="s">
        <v>17017</v>
      </c>
      <c r="X3729">
        <v>2</v>
      </c>
      <c r="Y3729" t="s">
        <v>23534</v>
      </c>
      <c r="Z3729" t="s">
        <v>30144</v>
      </c>
      <c r="AA3729">
        <v>0.54248253758307807</v>
      </c>
      <c r="AB3729" t="str">
        <f>HYPERLINK("Melting_Curves/meltCurve_Q504U0_C4orf46.pdf", "Melting_Curves/meltCurve_Q504U0_C4orf46.pdf")</f>
        <v>Melting_Curves/meltCurve_Q504U0_C4orf46.pdf</v>
      </c>
    </row>
    <row r="3730" spans="1:28" x14ac:dyDescent="0.25">
      <c r="A3730" t="s">
        <v>3734</v>
      </c>
      <c r="B3730">
        <v>0.99193492352474899</v>
      </c>
      <c r="C3730">
        <v>0.69650505839532695</v>
      </c>
      <c r="D3730">
        <v>0.64174291083485802</v>
      </c>
      <c r="E3730">
        <v>0.49173178154070801</v>
      </c>
      <c r="F3730">
        <v>0.73892815558398794</v>
      </c>
      <c r="G3730">
        <v>0.33729388002560601</v>
      </c>
      <c r="H3730">
        <v>0.17634625602312401</v>
      </c>
      <c r="I3730">
        <v>0.10405379314218199</v>
      </c>
      <c r="J3730">
        <v>0.115146120057303</v>
      </c>
      <c r="K3730">
        <v>0.122787062454011</v>
      </c>
      <c r="L3730">
        <v>381.472226287941</v>
      </c>
      <c r="M3730">
        <v>7.4007068663310704</v>
      </c>
      <c r="N3730">
        <v>51.5453749240273</v>
      </c>
      <c r="O3730">
        <v>48.183208985509303</v>
      </c>
      <c r="P3730">
        <v>-3.8456785846847301E-2</v>
      </c>
      <c r="Q3730">
        <v>0</v>
      </c>
      <c r="R3730">
        <v>0.84884756718039001</v>
      </c>
      <c r="S3730" t="s">
        <v>10400</v>
      </c>
      <c r="T3730" t="s">
        <v>13338</v>
      </c>
      <c r="U3730" t="s">
        <v>13338</v>
      </c>
      <c r="V3730" t="s">
        <v>13338</v>
      </c>
      <c r="W3730" t="s">
        <v>17018</v>
      </c>
      <c r="X3730">
        <v>1</v>
      </c>
      <c r="Y3730" t="s">
        <v>23535</v>
      </c>
      <c r="Z3730" t="s">
        <v>30145</v>
      </c>
      <c r="AA3730">
        <v>0.43840828210246041</v>
      </c>
      <c r="AB3730" t="str">
        <f>HYPERLINK("Melting_Curves/meltCurve_Q52LA3_LIN52.pdf", "Melting_Curves/meltCurve_Q52LA3_LIN52.pdf")</f>
        <v>Melting_Curves/meltCurve_Q52LA3_LIN52.pdf</v>
      </c>
    </row>
    <row r="3731" spans="1:28" x14ac:dyDescent="0.25">
      <c r="A3731" t="s">
        <v>3735</v>
      </c>
      <c r="B3731">
        <v>0.99193492352474899</v>
      </c>
      <c r="C3731">
        <v>0.60516050072889105</v>
      </c>
      <c r="D3731">
        <v>0.94775235667667002</v>
      </c>
      <c r="E3731">
        <v>0.50938539054243903</v>
      </c>
      <c r="F3731">
        <v>0.163901077161556</v>
      </c>
      <c r="G3731">
        <v>8.9181738426544102E-2</v>
      </c>
      <c r="H3731">
        <v>5.2899109634321401E-2</v>
      </c>
      <c r="I3731">
        <v>6.8045839695414306E-2</v>
      </c>
      <c r="J3731">
        <v>7.9397374557937495E-2</v>
      </c>
      <c r="K3731">
        <v>8.2621607301584604E-2</v>
      </c>
      <c r="L3731">
        <v>911.24914104501295</v>
      </c>
      <c r="M3731">
        <v>18.528393928154099</v>
      </c>
      <c r="N3731">
        <v>49.428123233563198</v>
      </c>
      <c r="O3731">
        <v>48.619074240680703</v>
      </c>
      <c r="P3731">
        <v>-9.1066361468642304E-2</v>
      </c>
      <c r="Q3731">
        <v>4.4198390670710998E-2</v>
      </c>
      <c r="R3731">
        <v>0.88591895258115005</v>
      </c>
      <c r="S3731" t="s">
        <v>10401</v>
      </c>
      <c r="T3731" t="s">
        <v>13338</v>
      </c>
      <c r="U3731" t="s">
        <v>13338</v>
      </c>
      <c r="V3731" t="s">
        <v>13338</v>
      </c>
      <c r="W3731" t="s">
        <v>17019</v>
      </c>
      <c r="X3731">
        <v>14</v>
      </c>
      <c r="Y3731" t="s">
        <v>23536</v>
      </c>
      <c r="Z3731" t="s">
        <v>30146</v>
      </c>
      <c r="AA3731">
        <v>0.35229350135901161</v>
      </c>
      <c r="AB3731" t="str">
        <f>HYPERLINK("Melting_Curves/meltCurve_Q52LJ0_2_FAM98B.pdf", "Melting_Curves/meltCurve_Q52LJ0_2_FAM98B.pdf")</f>
        <v>Melting_Curves/meltCurve_Q52LJ0_2_FAM98B.pdf</v>
      </c>
    </row>
    <row r="3732" spans="1:28" x14ac:dyDescent="0.25">
      <c r="A3732" t="s">
        <v>3736</v>
      </c>
      <c r="B3732">
        <v>0.99193492352474899</v>
      </c>
      <c r="C3732">
        <v>0.92513722628667105</v>
      </c>
      <c r="D3732">
        <v>0.85222103966484597</v>
      </c>
      <c r="E3732">
        <v>0.32721392055083798</v>
      </c>
      <c r="F3732">
        <v>0.194417415797485</v>
      </c>
      <c r="G3732">
        <v>0.101194082796837</v>
      </c>
      <c r="H3732">
        <v>7.1845714131359401E-2</v>
      </c>
      <c r="I3732">
        <v>7.9653448692785206E-2</v>
      </c>
      <c r="J3732">
        <v>0.100230346376011</v>
      </c>
      <c r="K3732">
        <v>8.4055905421403898E-2</v>
      </c>
      <c r="L3732">
        <v>1454.9317958462</v>
      </c>
      <c r="M3732">
        <v>30.2184387735687</v>
      </c>
      <c r="N3732">
        <v>48.473205859428099</v>
      </c>
      <c r="O3732">
        <v>47.937780083146599</v>
      </c>
      <c r="P3732">
        <v>-0.14309945135230701</v>
      </c>
      <c r="Q3732">
        <v>9.1968192223844294E-2</v>
      </c>
      <c r="R3732">
        <v>0.99389044491951695</v>
      </c>
      <c r="S3732" t="s">
        <v>10402</v>
      </c>
      <c r="T3732" t="s">
        <v>13338</v>
      </c>
      <c r="U3732" t="s">
        <v>13338</v>
      </c>
      <c r="V3732" t="s">
        <v>13338</v>
      </c>
      <c r="W3732" t="s">
        <v>17020</v>
      </c>
      <c r="X3732">
        <v>12</v>
      </c>
      <c r="Y3732" t="s">
        <v>23537</v>
      </c>
      <c r="Z3732" t="s">
        <v>30147</v>
      </c>
      <c r="AA3732">
        <v>0.34395457479209418</v>
      </c>
      <c r="AB3732" t="str">
        <f>HYPERLINK("Melting_Curves/meltCurve_Q53EL6_2_PDCD4.pdf", "Melting_Curves/meltCurve_Q53EL6_2_PDCD4.pdf")</f>
        <v>Melting_Curves/meltCurve_Q53EL6_2_PDCD4.pdf</v>
      </c>
    </row>
    <row r="3733" spans="1:28" x14ac:dyDescent="0.25">
      <c r="A3733" t="s">
        <v>3737</v>
      </c>
      <c r="B3733">
        <v>0.99193492352474899</v>
      </c>
      <c r="C3733">
        <v>0.82197827088808195</v>
      </c>
      <c r="D3733">
        <v>0.81436384189690902</v>
      </c>
      <c r="E3733">
        <v>0.55601710418541705</v>
      </c>
      <c r="F3733">
        <v>0.450880740326498</v>
      </c>
      <c r="G3733">
        <v>0.284007174630105</v>
      </c>
      <c r="H3733">
        <v>0.29162871001728102</v>
      </c>
      <c r="I3733">
        <v>0.31480975928576199</v>
      </c>
      <c r="J3733">
        <v>0.46119319675870601</v>
      </c>
      <c r="K3733">
        <v>0.65470592532045602</v>
      </c>
      <c r="L3733">
        <v>951.88784593944797</v>
      </c>
      <c r="M3733">
        <v>20.314483483886601</v>
      </c>
      <c r="N3733">
        <v>50.903785693187402</v>
      </c>
      <c r="O3733">
        <v>46.410618027160098</v>
      </c>
      <c r="P3733">
        <v>-6.5600962670899904E-2</v>
      </c>
      <c r="Q3733">
        <v>0.40052858234213901</v>
      </c>
      <c r="R3733">
        <v>0.78593875973702998</v>
      </c>
      <c r="S3733" t="s">
        <v>10403</v>
      </c>
      <c r="T3733" t="s">
        <v>13338</v>
      </c>
      <c r="U3733" t="s">
        <v>13338</v>
      </c>
      <c r="V3733" t="s">
        <v>13338</v>
      </c>
      <c r="W3733" t="s">
        <v>17021</v>
      </c>
      <c r="X3733">
        <v>2</v>
      </c>
      <c r="Y3733" t="s">
        <v>23538</v>
      </c>
      <c r="Z3733" t="s">
        <v>30148</v>
      </c>
      <c r="AA3733">
        <v>0.54608713014750598</v>
      </c>
      <c r="AB3733" t="str">
        <f>HYPERLINK("Melting_Curves/meltCurve_Q53ET0_CRTC2.pdf", "Melting_Curves/meltCurve_Q53ET0_CRTC2.pdf")</f>
        <v>Melting_Curves/meltCurve_Q53ET0_CRTC2.pdf</v>
      </c>
    </row>
    <row r="3734" spans="1:28" x14ac:dyDescent="0.25">
      <c r="A3734" t="s">
        <v>3738</v>
      </c>
      <c r="B3734">
        <v>0.99193492352474899</v>
      </c>
      <c r="C3734">
        <v>0.93541587276456095</v>
      </c>
      <c r="D3734">
        <v>0.81589331089938699</v>
      </c>
      <c r="E3734">
        <v>0.62447923858957</v>
      </c>
      <c r="F3734">
        <v>0.34252486001604499</v>
      </c>
      <c r="G3734">
        <v>0.187801923007449</v>
      </c>
      <c r="H3734">
        <v>0.185748287907366</v>
      </c>
      <c r="I3734">
        <v>0.31410273280455803</v>
      </c>
      <c r="J3734">
        <v>0.23238738962877101</v>
      </c>
      <c r="K3734">
        <v>7.1347782904124704E-2</v>
      </c>
      <c r="L3734">
        <v>917.90935469229703</v>
      </c>
      <c r="M3734">
        <v>18.5317767301784</v>
      </c>
      <c r="N3734">
        <v>50.7219878781627</v>
      </c>
      <c r="O3734">
        <v>48.965688623046098</v>
      </c>
      <c r="P3734">
        <v>-7.7935440729969496E-2</v>
      </c>
      <c r="Q3734">
        <v>0.17633487618538399</v>
      </c>
      <c r="R3734">
        <v>0.96507210313871505</v>
      </c>
      <c r="S3734" t="s">
        <v>10404</v>
      </c>
      <c r="T3734" t="s">
        <v>13338</v>
      </c>
      <c r="U3734" t="s">
        <v>13338</v>
      </c>
      <c r="V3734" t="s">
        <v>13338</v>
      </c>
      <c r="W3734" t="s">
        <v>17022</v>
      </c>
      <c r="X3734">
        <v>3</v>
      </c>
      <c r="Y3734" t="s">
        <v>23539</v>
      </c>
      <c r="Z3734" t="s">
        <v>30149</v>
      </c>
      <c r="AA3734">
        <v>0.45138939631603042</v>
      </c>
      <c r="AB3734" t="str">
        <f>HYPERLINK("Melting_Curves/meltCurve_Q53EU6_AGPAT9.pdf", "Melting_Curves/meltCurve_Q53EU6_AGPAT9.pdf")</f>
        <v>Melting_Curves/meltCurve_Q53EU6_AGPAT9.pdf</v>
      </c>
    </row>
    <row r="3735" spans="1:28" x14ac:dyDescent="0.25">
      <c r="A3735" t="s">
        <v>3739</v>
      </c>
      <c r="B3735">
        <v>0.99193492352474899</v>
      </c>
      <c r="C3735">
        <v>0.49155015195417801</v>
      </c>
      <c r="D3735">
        <v>0.27890461387744597</v>
      </c>
      <c r="E3735">
        <v>0.16784661221977401</v>
      </c>
      <c r="F3735">
        <v>0.12848601436867901</v>
      </c>
      <c r="G3735">
        <v>8.15310879839478E-2</v>
      </c>
      <c r="H3735">
        <v>7.1631022730001506E-2</v>
      </c>
      <c r="I3735">
        <v>7.1312078063418105E-2</v>
      </c>
      <c r="J3735">
        <v>7.9650889979167805E-2</v>
      </c>
      <c r="K3735">
        <v>0.118447218102046</v>
      </c>
      <c r="L3735">
        <v>1256.4011783733299</v>
      </c>
      <c r="M3735">
        <v>29.271877398239798</v>
      </c>
      <c r="N3735">
        <v>43.2676454856025</v>
      </c>
      <c r="O3735">
        <v>42.722970926992403</v>
      </c>
      <c r="P3735">
        <v>-0.15342225113355501</v>
      </c>
      <c r="Q3735">
        <v>0.10431367164877001</v>
      </c>
      <c r="R3735">
        <v>0.97171835175960997</v>
      </c>
      <c r="S3735" t="s">
        <v>10405</v>
      </c>
      <c r="T3735" t="s">
        <v>13338</v>
      </c>
      <c r="U3735" t="s">
        <v>13338</v>
      </c>
      <c r="V3735" t="s">
        <v>13338</v>
      </c>
      <c r="W3735" t="s">
        <v>17023</v>
      </c>
      <c r="X3735">
        <v>7</v>
      </c>
      <c r="Y3735" t="s">
        <v>23540</v>
      </c>
      <c r="Z3735" t="s">
        <v>30150</v>
      </c>
      <c r="AA3735">
        <v>0.2005313020345261</v>
      </c>
      <c r="AB3735" t="str">
        <f>HYPERLINK("Melting_Curves/meltCurve_Q53EZ4_CEP55.pdf", "Melting_Curves/meltCurve_Q53EZ4_CEP55.pdf")</f>
        <v>Melting_Curves/meltCurve_Q53EZ4_CEP55.pdf</v>
      </c>
    </row>
    <row r="3736" spans="1:28" x14ac:dyDescent="0.25">
      <c r="A3736" t="s">
        <v>3740</v>
      </c>
      <c r="B3736">
        <v>0.99193492352474899</v>
      </c>
      <c r="C3736">
        <v>0.72222211116947499</v>
      </c>
      <c r="D3736">
        <v>0.406107023770515</v>
      </c>
      <c r="E3736">
        <v>0.17878864749200599</v>
      </c>
      <c r="F3736">
        <v>0.138616706183081</v>
      </c>
      <c r="G3736">
        <v>9.9650761902324594E-2</v>
      </c>
      <c r="H3736">
        <v>0.11124390767928399</v>
      </c>
      <c r="I3736">
        <v>0.17136174390925701</v>
      </c>
      <c r="J3736">
        <v>0.24896456921787199</v>
      </c>
      <c r="K3736">
        <v>0.263634359995016</v>
      </c>
      <c r="L3736">
        <v>1236.5335647582999</v>
      </c>
      <c r="M3736">
        <v>27.986272798433099</v>
      </c>
      <c r="N3736">
        <v>44.844957171289003</v>
      </c>
      <c r="O3736">
        <v>43.959826491936397</v>
      </c>
      <c r="P3736">
        <v>-0.13224804705642201</v>
      </c>
      <c r="Q3736">
        <v>0.16908527058118999</v>
      </c>
      <c r="R3736">
        <v>0.96381450219072895</v>
      </c>
      <c r="S3736" t="s">
        <v>10406</v>
      </c>
      <c r="T3736" t="s">
        <v>13338</v>
      </c>
      <c r="U3736" t="s">
        <v>13338</v>
      </c>
      <c r="V3736" t="s">
        <v>13338</v>
      </c>
      <c r="W3736" t="s">
        <v>17024</v>
      </c>
      <c r="X3736">
        <v>6</v>
      </c>
      <c r="Y3736" t="s">
        <v>23541</v>
      </c>
      <c r="Z3736" t="s">
        <v>30151</v>
      </c>
      <c r="AA3736">
        <v>0.29194686306064382</v>
      </c>
      <c r="AB3736" t="str">
        <f>HYPERLINK("Melting_Curves/meltCurve_Q53F19_C17orf85.pdf", "Melting_Curves/meltCurve_Q53F19_C17orf85.pdf")</f>
        <v>Melting_Curves/meltCurve_Q53F19_C17orf85.pdf</v>
      </c>
    </row>
    <row r="3737" spans="1:28" x14ac:dyDescent="0.25">
      <c r="A3737" t="s">
        <v>3741</v>
      </c>
      <c r="B3737">
        <v>0.99193492352474899</v>
      </c>
      <c r="C3737">
        <v>0.867825367769259</v>
      </c>
      <c r="D3737">
        <v>0.84864311468029796</v>
      </c>
      <c r="E3737">
        <v>0.68769017907298702</v>
      </c>
      <c r="F3737">
        <v>0.52875691588404194</v>
      </c>
      <c r="G3737">
        <v>0.451492934463261</v>
      </c>
      <c r="H3737">
        <v>0.36981562998178302</v>
      </c>
      <c r="I3737">
        <v>0.26262213241786497</v>
      </c>
      <c r="J3737">
        <v>0.29646470312673101</v>
      </c>
      <c r="K3737">
        <v>0.307106652180062</v>
      </c>
      <c r="L3737">
        <v>553.717083247407</v>
      </c>
      <c r="M3737">
        <v>10.823649712753999</v>
      </c>
      <c r="N3737">
        <v>54.444829270695898</v>
      </c>
      <c r="O3737">
        <v>49.504655492543399</v>
      </c>
      <c r="P3737">
        <v>-4.1563709291648203E-2</v>
      </c>
      <c r="Q3737">
        <v>0.239865117905115</v>
      </c>
      <c r="R3737">
        <v>0.98754281555118695</v>
      </c>
      <c r="S3737" t="s">
        <v>10407</v>
      </c>
      <c r="T3737" t="s">
        <v>13338</v>
      </c>
      <c r="U3737" t="s">
        <v>13338</v>
      </c>
      <c r="V3737" t="s">
        <v>13338</v>
      </c>
      <c r="W3737" t="s">
        <v>17025</v>
      </c>
      <c r="X3737">
        <v>9</v>
      </c>
      <c r="Y3737" t="s">
        <v>23542</v>
      </c>
      <c r="Z3737" t="s">
        <v>30152</v>
      </c>
      <c r="AA3737">
        <v>0.55081900183276455</v>
      </c>
      <c r="AB3737" t="str">
        <f>HYPERLINK("Melting_Curves/meltCurve_Q53FA7_TP53I3.pdf", "Melting_Curves/meltCurve_Q53FA7_TP53I3.pdf")</f>
        <v>Melting_Curves/meltCurve_Q53FA7_TP53I3.pdf</v>
      </c>
    </row>
    <row r="3738" spans="1:28" x14ac:dyDescent="0.25">
      <c r="A3738" t="s">
        <v>3742</v>
      </c>
      <c r="B3738">
        <v>0.99193492352474899</v>
      </c>
      <c r="C3738">
        <v>0.99888576393318496</v>
      </c>
      <c r="D3738">
        <v>0.67909560980485895</v>
      </c>
      <c r="E3738">
        <v>0.34217724882001199</v>
      </c>
      <c r="F3738">
        <v>0.16957615935930301</v>
      </c>
      <c r="G3738">
        <v>0.102807970201335</v>
      </c>
      <c r="H3738">
        <v>6.5307681141215906E-2</v>
      </c>
      <c r="I3738">
        <v>8.3184762690293595E-2</v>
      </c>
      <c r="J3738">
        <v>8.1146490939244406E-2</v>
      </c>
      <c r="K3738">
        <v>0.113841983712389</v>
      </c>
      <c r="L3738">
        <v>1147.5128574722</v>
      </c>
      <c r="M3738">
        <v>24.160572648146701</v>
      </c>
      <c r="N3738">
        <v>47.880211249875501</v>
      </c>
      <c r="O3738">
        <v>47.173461271928701</v>
      </c>
      <c r="P3738">
        <v>-0.116740263276349</v>
      </c>
      <c r="Q3738">
        <v>8.82733692481035E-2</v>
      </c>
      <c r="R3738">
        <v>0.99453843967212396</v>
      </c>
      <c r="S3738" t="s">
        <v>10408</v>
      </c>
      <c r="T3738" t="s">
        <v>13338</v>
      </c>
      <c r="U3738" t="s">
        <v>13338</v>
      </c>
      <c r="V3738" t="s">
        <v>13338</v>
      </c>
      <c r="W3738" t="s">
        <v>17026</v>
      </c>
      <c r="X3738">
        <v>1</v>
      </c>
      <c r="Y3738" t="s">
        <v>23543</v>
      </c>
      <c r="Z3738" t="s">
        <v>30153</v>
      </c>
      <c r="AA3738">
        <v>0.32476368746115369</v>
      </c>
      <c r="AB3738" t="str">
        <f>HYPERLINK("Melting_Curves/meltCurve_Q53GL0_2_PLEKHO1.pdf", "Melting_Curves/meltCurve_Q53GL0_2_PLEKHO1.pdf")</f>
        <v>Melting_Curves/meltCurve_Q53GL0_2_PLEKHO1.pdf</v>
      </c>
    </row>
    <row r="3739" spans="1:28" x14ac:dyDescent="0.25">
      <c r="A3739" t="s">
        <v>3743</v>
      </c>
      <c r="B3739">
        <v>0.99193492352474899</v>
      </c>
      <c r="C3739">
        <v>1.0061682965721701</v>
      </c>
      <c r="D3739">
        <v>1.1451724464740101</v>
      </c>
      <c r="E3739">
        <v>0.97196199058934396</v>
      </c>
      <c r="F3739">
        <v>0.75362538143487401</v>
      </c>
      <c r="G3739">
        <v>0.35347581749219897</v>
      </c>
      <c r="H3739">
        <v>0.20535310120965899</v>
      </c>
      <c r="I3739">
        <v>0.198865105519172</v>
      </c>
      <c r="J3739">
        <v>0.232836315984427</v>
      </c>
      <c r="K3739">
        <v>0.27294226712897302</v>
      </c>
      <c r="L3739">
        <v>2095.7428508911898</v>
      </c>
      <c r="M3739">
        <v>38.614011934082903</v>
      </c>
      <c r="N3739">
        <v>55.131677491006599</v>
      </c>
      <c r="O3739">
        <v>54.129201499889199</v>
      </c>
      <c r="P3739">
        <v>-0.138079685385817</v>
      </c>
      <c r="Q3739">
        <v>0.225760294174677</v>
      </c>
      <c r="R3739">
        <v>0.981560818475125</v>
      </c>
      <c r="S3739" t="s">
        <v>10409</v>
      </c>
      <c r="T3739" t="s">
        <v>13338</v>
      </c>
      <c r="U3739" t="s">
        <v>13338</v>
      </c>
      <c r="V3739" t="s">
        <v>13338</v>
      </c>
      <c r="W3739" t="s">
        <v>17027</v>
      </c>
      <c r="X3739">
        <v>5</v>
      </c>
      <c r="Y3739" t="s">
        <v>23544</v>
      </c>
      <c r="Z3739" t="s">
        <v>30154</v>
      </c>
      <c r="AA3739">
        <v>0.5972562928964481</v>
      </c>
      <c r="AB3739" t="str">
        <f>HYPERLINK("Melting_Curves/meltCurve_Q53GQ0_HSD17B12.pdf", "Melting_Curves/meltCurve_Q53GQ0_HSD17B12.pdf")</f>
        <v>Melting_Curves/meltCurve_Q53GQ0_HSD17B12.pdf</v>
      </c>
    </row>
    <row r="3740" spans="1:28" x14ac:dyDescent="0.25">
      <c r="A3740" t="s">
        <v>3744</v>
      </c>
      <c r="B3740">
        <v>0.99193492352474899</v>
      </c>
      <c r="C3740">
        <v>0.74722088515464002</v>
      </c>
      <c r="D3740">
        <v>0.63013974422932195</v>
      </c>
      <c r="E3740">
        <v>0.264454914266954</v>
      </c>
      <c r="F3740">
        <v>0.21362091027166299</v>
      </c>
      <c r="G3740">
        <v>9.8004052211858705E-2</v>
      </c>
      <c r="H3740">
        <v>5.2576996588891999E-2</v>
      </c>
      <c r="I3740">
        <v>5.4878578193289097E-2</v>
      </c>
      <c r="J3740">
        <v>8.9390101894196106E-2</v>
      </c>
      <c r="K3740">
        <v>4.4472729181749202E-2</v>
      </c>
      <c r="L3740">
        <v>745.04716028217001</v>
      </c>
      <c r="M3740">
        <v>15.9760880384844</v>
      </c>
      <c r="N3740">
        <v>46.957558212813403</v>
      </c>
      <c r="O3740">
        <v>45.922827147789199</v>
      </c>
      <c r="P3740">
        <v>-8.2461167217384404E-2</v>
      </c>
      <c r="Q3740">
        <v>5.1945488088978503E-2</v>
      </c>
      <c r="R3740">
        <v>0.984875918987282</v>
      </c>
      <c r="S3740" t="s">
        <v>10410</v>
      </c>
      <c r="T3740" t="s">
        <v>13338</v>
      </c>
      <c r="U3740" t="s">
        <v>13338</v>
      </c>
      <c r="V3740" t="s">
        <v>13338</v>
      </c>
      <c r="W3740" t="s">
        <v>17028</v>
      </c>
      <c r="X3740">
        <v>4</v>
      </c>
      <c r="Y3740" t="s">
        <v>23545</v>
      </c>
      <c r="Z3740" t="s">
        <v>30155</v>
      </c>
      <c r="AA3740">
        <v>0.28473268218513409</v>
      </c>
      <c r="AB3740" t="str">
        <f>HYPERLINK("Melting_Curves/meltCurve_Q53GS7_2_GLE1.pdf", "Melting_Curves/meltCurve_Q53GS7_2_GLE1.pdf")</f>
        <v>Melting_Curves/meltCurve_Q53GS7_2_GLE1.pdf</v>
      </c>
    </row>
    <row r="3741" spans="1:28" x14ac:dyDescent="0.25">
      <c r="A3741" t="s">
        <v>3745</v>
      </c>
      <c r="B3741">
        <v>0.99193492352474899</v>
      </c>
      <c r="C3741">
        <v>0.88986178581994602</v>
      </c>
      <c r="D3741">
        <v>1.0861672594372</v>
      </c>
      <c r="E3741">
        <v>0.799428347773111</v>
      </c>
      <c r="F3741">
        <v>0.64331994140017001</v>
      </c>
      <c r="G3741">
        <v>0.220134395395779</v>
      </c>
      <c r="H3741">
        <v>0.10206179091242799</v>
      </c>
      <c r="I3741">
        <v>0.108730787841399</v>
      </c>
      <c r="J3741">
        <v>0.105694996021305</v>
      </c>
      <c r="K3741">
        <v>0.159388917558386</v>
      </c>
      <c r="L3741">
        <v>1396.5380146371899</v>
      </c>
      <c r="M3741">
        <v>26.126093175150199</v>
      </c>
      <c r="N3741">
        <v>53.926139106123898</v>
      </c>
      <c r="O3741">
        <v>53.143559673209403</v>
      </c>
      <c r="P3741">
        <v>-0.110334299323472</v>
      </c>
      <c r="Q3741">
        <v>0.102278464040281</v>
      </c>
      <c r="R3741">
        <v>0.97268392697332196</v>
      </c>
      <c r="S3741" t="s">
        <v>10411</v>
      </c>
      <c r="T3741" t="s">
        <v>13338</v>
      </c>
      <c r="U3741" t="s">
        <v>13338</v>
      </c>
      <c r="V3741" t="s">
        <v>13338</v>
      </c>
      <c r="W3741" t="s">
        <v>17029</v>
      </c>
      <c r="X3741">
        <v>14</v>
      </c>
      <c r="Y3741" t="s">
        <v>23546</v>
      </c>
      <c r="Z3741" t="s">
        <v>30156</v>
      </c>
      <c r="AA3741">
        <v>0.51250377011812287</v>
      </c>
      <c r="AB3741" t="str">
        <f>HYPERLINK("Melting_Curves/meltCurve_Q53H12_AGK.pdf", "Melting_Curves/meltCurve_Q53H12_AGK.pdf")</f>
        <v>Melting_Curves/meltCurve_Q53H12_AGK.pdf</v>
      </c>
    </row>
    <row r="3742" spans="1:28" x14ac:dyDescent="0.25">
      <c r="A3742" t="s">
        <v>3746</v>
      </c>
      <c r="B3742">
        <v>0.99193492352474899</v>
      </c>
      <c r="C3742">
        <v>0.95703535974440401</v>
      </c>
      <c r="D3742">
        <v>0.90021159026063802</v>
      </c>
      <c r="E3742">
        <v>0.71953403744471001</v>
      </c>
      <c r="F3742">
        <v>0.39787916474283502</v>
      </c>
      <c r="G3742">
        <v>0.18384402728882299</v>
      </c>
      <c r="H3742">
        <v>9.1602751717024894E-2</v>
      </c>
      <c r="I3742">
        <v>0.104783654672836</v>
      </c>
      <c r="J3742">
        <v>0.113339040573479</v>
      </c>
      <c r="K3742">
        <v>0.119627219455281</v>
      </c>
      <c r="L3742">
        <v>1074.71702132116</v>
      </c>
      <c r="M3742">
        <v>20.928473217896599</v>
      </c>
      <c r="N3742">
        <v>51.854287080670701</v>
      </c>
      <c r="O3742">
        <v>50.889954052004299</v>
      </c>
      <c r="P3742">
        <v>-9.3380276448356905E-2</v>
      </c>
      <c r="Q3742">
        <v>9.1765770272810895E-2</v>
      </c>
      <c r="R3742">
        <v>0.99704626310480404</v>
      </c>
      <c r="S3742" t="s">
        <v>10412</v>
      </c>
      <c r="T3742" t="s">
        <v>13338</v>
      </c>
      <c r="U3742" t="s">
        <v>13338</v>
      </c>
      <c r="V3742" t="s">
        <v>13338</v>
      </c>
      <c r="W3742" t="s">
        <v>17030</v>
      </c>
      <c r="X3742">
        <v>10</v>
      </c>
      <c r="Y3742" t="s">
        <v>23547</v>
      </c>
      <c r="Z3742" t="s">
        <v>30157</v>
      </c>
      <c r="AA3742">
        <v>0.44701654795343732</v>
      </c>
      <c r="AB3742" t="str">
        <f>HYPERLINK("Melting_Curves/meltCurve_Q53H47_SETMAR.pdf", "Melting_Curves/meltCurve_Q53H47_SETMAR.pdf")</f>
        <v>Melting_Curves/meltCurve_Q53H47_SETMAR.pdf</v>
      </c>
    </row>
    <row r="3743" spans="1:28" x14ac:dyDescent="0.25">
      <c r="A3743" t="s">
        <v>3747</v>
      </c>
      <c r="B3743">
        <v>0.99193492352474899</v>
      </c>
      <c r="C3743">
        <v>0.789866168830055</v>
      </c>
      <c r="D3743">
        <v>0.93436838701288305</v>
      </c>
      <c r="E3743">
        <v>0.46085582512220102</v>
      </c>
      <c r="F3743">
        <v>0.26949158463691802</v>
      </c>
      <c r="G3743">
        <v>0.14150456126413799</v>
      </c>
      <c r="H3743">
        <v>0.133625734830155</v>
      </c>
      <c r="I3743">
        <v>0.166503538976044</v>
      </c>
      <c r="J3743">
        <v>0.23254858227080899</v>
      </c>
      <c r="K3743">
        <v>0.21855895739744599</v>
      </c>
      <c r="L3743">
        <v>1447.46274615078</v>
      </c>
      <c r="M3743">
        <v>29.720827944813099</v>
      </c>
      <c r="N3743">
        <v>49.441020646039</v>
      </c>
      <c r="O3743">
        <v>48.483077242029402</v>
      </c>
      <c r="P3743">
        <v>-0.12576767639311601</v>
      </c>
      <c r="Q3743">
        <v>0.179354928371009</v>
      </c>
      <c r="R3743">
        <v>0.95047077106151101</v>
      </c>
      <c r="S3743" t="s">
        <v>10413</v>
      </c>
      <c r="T3743" t="s">
        <v>13338</v>
      </c>
      <c r="U3743" t="s">
        <v>13338</v>
      </c>
      <c r="V3743" t="s">
        <v>13338</v>
      </c>
      <c r="W3743" t="s">
        <v>17031</v>
      </c>
      <c r="X3743">
        <v>1</v>
      </c>
      <c r="Y3743" t="s">
        <v>23548</v>
      </c>
      <c r="Z3743" t="s">
        <v>30158</v>
      </c>
      <c r="AA3743">
        <v>0.42247050782359641</v>
      </c>
      <c r="AB3743" t="str">
        <f>HYPERLINK("Melting_Curves/meltCurve_Q53H80_AKIRIN2.pdf", "Melting_Curves/meltCurve_Q53H80_AKIRIN2.pdf")</f>
        <v>Melting_Curves/meltCurve_Q53H80_AKIRIN2.pdf</v>
      </c>
    </row>
    <row r="3744" spans="1:28" x14ac:dyDescent="0.25">
      <c r="A3744" t="s">
        <v>3748</v>
      </c>
      <c r="B3744">
        <v>0.99193492352474899</v>
      </c>
      <c r="C3744">
        <v>0.85513324767151799</v>
      </c>
      <c r="D3744">
        <v>0.79035522149431703</v>
      </c>
      <c r="E3744">
        <v>0.80616656314859803</v>
      </c>
      <c r="F3744">
        <v>0.74731194200365703</v>
      </c>
      <c r="G3744">
        <v>0.49389871966771798</v>
      </c>
      <c r="H3744">
        <v>0.40208914941509799</v>
      </c>
      <c r="I3744">
        <v>0.29090192427117201</v>
      </c>
      <c r="J3744">
        <v>0.24506719709852401</v>
      </c>
      <c r="K3744">
        <v>0.25780592192864399</v>
      </c>
      <c r="L3744">
        <v>417.18279832995898</v>
      </c>
      <c r="M3744">
        <v>7.2261049324940201</v>
      </c>
      <c r="N3744">
        <v>57.732757569243802</v>
      </c>
      <c r="O3744">
        <v>53.802989858002398</v>
      </c>
      <c r="P3744">
        <v>-3.3632068617648198E-2</v>
      </c>
      <c r="Q3744">
        <v>0</v>
      </c>
      <c r="R3744">
        <v>0.96168338773531703</v>
      </c>
      <c r="S3744" t="s">
        <v>10414</v>
      </c>
      <c r="T3744" t="s">
        <v>13338</v>
      </c>
      <c r="U3744" t="s">
        <v>13338</v>
      </c>
      <c r="V3744" t="s">
        <v>13338</v>
      </c>
      <c r="W3744" t="s">
        <v>17032</v>
      </c>
      <c r="X3744">
        <v>12</v>
      </c>
      <c r="Y3744" t="s">
        <v>23549</v>
      </c>
      <c r="Z3744" t="s">
        <v>30159</v>
      </c>
      <c r="AA3744">
        <v>0.59344895156269228</v>
      </c>
      <c r="AB3744" t="str">
        <f>HYPERLINK("Melting_Curves/meltCurve_Q53H82_LACTB2.pdf", "Melting_Curves/meltCurve_Q53H82_LACTB2.pdf")</f>
        <v>Melting_Curves/meltCurve_Q53H82_LACTB2.pdf</v>
      </c>
    </row>
    <row r="3745" spans="1:28" x14ac:dyDescent="0.25">
      <c r="A3745" t="s">
        <v>3749</v>
      </c>
      <c r="B3745">
        <v>0.99193492352474899</v>
      </c>
      <c r="C3745">
        <v>0.98275891507720103</v>
      </c>
      <c r="D3745">
        <v>0.91958459558224803</v>
      </c>
      <c r="E3745">
        <v>0.808404110625074</v>
      </c>
      <c r="F3745">
        <v>0.64052078896071196</v>
      </c>
      <c r="G3745">
        <v>0.50336596909528897</v>
      </c>
      <c r="H3745">
        <v>0.36511157434442898</v>
      </c>
      <c r="I3745">
        <v>0.53706265266435305</v>
      </c>
      <c r="J3745">
        <v>0.45865725778904998</v>
      </c>
      <c r="K3745">
        <v>0.36032092913567498</v>
      </c>
      <c r="L3745">
        <v>907.05618024493401</v>
      </c>
      <c r="M3745">
        <v>17.610825170767299</v>
      </c>
      <c r="N3745">
        <v>57.2317382061348</v>
      </c>
      <c r="O3745">
        <v>50.855252330677601</v>
      </c>
      <c r="P3745">
        <v>-5.0721783044632603E-2</v>
      </c>
      <c r="Q3745">
        <v>0.41414889128414301</v>
      </c>
      <c r="R3745">
        <v>0.95777639895524502</v>
      </c>
      <c r="S3745" t="s">
        <v>10415</v>
      </c>
      <c r="T3745" t="s">
        <v>13338</v>
      </c>
      <c r="U3745" t="s">
        <v>13338</v>
      </c>
      <c r="V3745" t="s">
        <v>13338</v>
      </c>
      <c r="W3745" t="s">
        <v>17033</v>
      </c>
      <c r="X3745">
        <v>7</v>
      </c>
      <c r="Y3745" t="s">
        <v>20772</v>
      </c>
      <c r="Z3745" t="s">
        <v>30160</v>
      </c>
      <c r="AA3745">
        <v>0.64902813829194039</v>
      </c>
      <c r="AB3745" t="str">
        <f>HYPERLINK("Melting_Curves/meltCurve_Q53H96_PYCRL.pdf", "Melting_Curves/meltCurve_Q53H96_PYCRL.pdf")</f>
        <v>Melting_Curves/meltCurve_Q53H96_PYCRL.pdf</v>
      </c>
    </row>
    <row r="3746" spans="1:28" x14ac:dyDescent="0.25">
      <c r="A3746" t="s">
        <v>3750</v>
      </c>
      <c r="B3746">
        <v>0.99193492352474899</v>
      </c>
      <c r="C3746">
        <v>0.72809867936324502</v>
      </c>
      <c r="D3746">
        <v>0.57987956256733098</v>
      </c>
      <c r="E3746">
        <v>0.21520018842552799</v>
      </c>
      <c r="F3746">
        <v>0.15163453104874899</v>
      </c>
      <c r="G3746">
        <v>9.5962380764376007E-2</v>
      </c>
      <c r="H3746">
        <v>6.3074023681180105E-2</v>
      </c>
      <c r="I3746">
        <v>8.1791926502595799E-2</v>
      </c>
      <c r="J3746">
        <v>8.7516322666231799E-2</v>
      </c>
      <c r="K3746">
        <v>8.5814311246292005E-2</v>
      </c>
      <c r="L3746">
        <v>848.84608841529496</v>
      </c>
      <c r="M3746">
        <v>18.519475365868399</v>
      </c>
      <c r="N3746">
        <v>46.2319856945048</v>
      </c>
      <c r="O3746">
        <v>45.310916376776298</v>
      </c>
      <c r="P3746">
        <v>-9.4678292856758203E-2</v>
      </c>
      <c r="Q3746">
        <v>7.3457338104534101E-2</v>
      </c>
      <c r="R3746">
        <v>0.98699576285981905</v>
      </c>
      <c r="S3746" t="s">
        <v>10416</v>
      </c>
      <c r="T3746" t="s">
        <v>13338</v>
      </c>
      <c r="U3746" t="s">
        <v>13338</v>
      </c>
      <c r="V3746" t="s">
        <v>13338</v>
      </c>
      <c r="W3746" t="s">
        <v>17034</v>
      </c>
      <c r="X3746">
        <v>9</v>
      </c>
      <c r="Y3746" t="s">
        <v>23550</v>
      </c>
      <c r="Z3746" t="s">
        <v>30161</v>
      </c>
      <c r="AA3746">
        <v>0.27096234571131611</v>
      </c>
      <c r="AB3746" t="str">
        <f>HYPERLINK("Melting_Curves/meltCurve_Q53QZ3_ARHGAP15.pdf", "Melting_Curves/meltCurve_Q53QZ3_ARHGAP15.pdf")</f>
        <v>Melting_Curves/meltCurve_Q53QZ3_ARHGAP15.pdf</v>
      </c>
    </row>
    <row r="3747" spans="1:28" x14ac:dyDescent="0.25">
      <c r="A3747" t="s">
        <v>3751</v>
      </c>
      <c r="B3747">
        <v>0.99193492352474899</v>
      </c>
      <c r="C3747">
        <v>0.92768223419717</v>
      </c>
      <c r="D3747">
        <v>0.73802166301813199</v>
      </c>
      <c r="E3747">
        <v>0.66955116738173204</v>
      </c>
      <c r="F3747">
        <v>0.25415187162734698</v>
      </c>
      <c r="G3747">
        <v>0.15127618936397599</v>
      </c>
      <c r="H3747">
        <v>0.101165254615631</v>
      </c>
      <c r="I3747">
        <v>0.16880029480859701</v>
      </c>
      <c r="J3747">
        <v>0.18364290542395501</v>
      </c>
      <c r="K3747">
        <v>0.199178743029989</v>
      </c>
      <c r="L3747">
        <v>926.12882049063205</v>
      </c>
      <c r="M3747">
        <v>18.766529598547301</v>
      </c>
      <c r="N3747">
        <v>50.2177256395656</v>
      </c>
      <c r="O3747">
        <v>48.799930110880098</v>
      </c>
      <c r="P3747">
        <v>-8.2831272041076806E-2</v>
      </c>
      <c r="Q3747">
        <v>0.138468424804777</v>
      </c>
      <c r="R3747">
        <v>0.96555569423557597</v>
      </c>
      <c r="S3747" t="s">
        <v>10417</v>
      </c>
      <c r="T3747" t="s">
        <v>13338</v>
      </c>
      <c r="U3747" t="s">
        <v>13338</v>
      </c>
      <c r="V3747" t="s">
        <v>13338</v>
      </c>
      <c r="W3747" t="s">
        <v>17035</v>
      </c>
      <c r="X3747">
        <v>1</v>
      </c>
      <c r="Y3747" t="s">
        <v>23551</v>
      </c>
      <c r="Z3747" t="s">
        <v>30162</v>
      </c>
      <c r="AA3747">
        <v>0.42064128280500068</v>
      </c>
      <c r="AB3747" t="str">
        <f>HYPERLINK("Melting_Curves/meltCurve_Q53R41_FASTKD1.pdf", "Melting_Curves/meltCurve_Q53R41_FASTKD1.pdf")</f>
        <v>Melting_Curves/meltCurve_Q53R41_FASTKD1.pdf</v>
      </c>
    </row>
    <row r="3748" spans="1:28" x14ac:dyDescent="0.25">
      <c r="A3748" t="s">
        <v>3752</v>
      </c>
      <c r="B3748">
        <v>0.99193492352474899</v>
      </c>
      <c r="C3748">
        <v>0.73794678371505096</v>
      </c>
      <c r="D3748">
        <v>0.946202034303398</v>
      </c>
      <c r="E3748">
        <v>0.71484132677868495</v>
      </c>
      <c r="F3748">
        <v>0.58122597284904898</v>
      </c>
      <c r="G3748">
        <v>0.35000079455602801</v>
      </c>
      <c r="H3748">
        <v>0.218887043522833</v>
      </c>
      <c r="I3748">
        <v>0.13223391176469301</v>
      </c>
      <c r="J3748">
        <v>0.115203601880475</v>
      </c>
      <c r="K3748">
        <v>0.18433443905136501</v>
      </c>
      <c r="L3748">
        <v>581.93746163501203</v>
      </c>
      <c r="M3748">
        <v>10.8904058574893</v>
      </c>
      <c r="N3748">
        <v>53.875588648537502</v>
      </c>
      <c r="O3748">
        <v>51.728754641890099</v>
      </c>
      <c r="P3748">
        <v>-5.0411377129896399E-2</v>
      </c>
      <c r="Q3748">
        <v>4.2532030909309002E-2</v>
      </c>
      <c r="R3748">
        <v>0.94250670819105697</v>
      </c>
      <c r="S3748" t="s">
        <v>10418</v>
      </c>
      <c r="T3748" t="s">
        <v>13338</v>
      </c>
      <c r="U3748" t="s">
        <v>13338</v>
      </c>
      <c r="V3748" t="s">
        <v>13338</v>
      </c>
      <c r="W3748" t="s">
        <v>17036</v>
      </c>
      <c r="X3748">
        <v>7</v>
      </c>
      <c r="Y3748" t="s">
        <v>23552</v>
      </c>
      <c r="Z3748" t="s">
        <v>30163</v>
      </c>
      <c r="AA3748">
        <v>0.5002609691723372</v>
      </c>
      <c r="AB3748" t="str">
        <f>HYPERLINK("Melting_Curves/meltCurve_Q53S33_BOLA3.pdf", "Melting_Curves/meltCurve_Q53S33_BOLA3.pdf")</f>
        <v>Melting_Curves/meltCurve_Q53S33_BOLA3.pdf</v>
      </c>
    </row>
    <row r="3749" spans="1:28" x14ac:dyDescent="0.25">
      <c r="A3749" t="s">
        <v>3753</v>
      </c>
      <c r="B3749">
        <v>0.99193492352474899</v>
      </c>
      <c r="C3749">
        <v>0.91706571241298696</v>
      </c>
      <c r="D3749">
        <v>0.71680712909354205</v>
      </c>
      <c r="E3749">
        <v>0.31406595396291798</v>
      </c>
      <c r="F3749">
        <v>0.17996347399043999</v>
      </c>
      <c r="G3749">
        <v>0.110263919042837</v>
      </c>
      <c r="H3749">
        <v>0.103709145873292</v>
      </c>
      <c r="I3749">
        <v>8.4211176750352695E-2</v>
      </c>
      <c r="J3749">
        <v>0.109933190081521</v>
      </c>
      <c r="K3749">
        <v>7.4780561177481705E-2</v>
      </c>
      <c r="L3749">
        <v>1112.3661353515299</v>
      </c>
      <c r="M3749">
        <v>23.457676185909801</v>
      </c>
      <c r="N3749">
        <v>47.840547679335799</v>
      </c>
      <c r="O3749">
        <v>47.079520247331303</v>
      </c>
      <c r="P3749">
        <v>-0.112963516525785</v>
      </c>
      <c r="Q3749">
        <v>9.3144837244058906E-2</v>
      </c>
      <c r="R3749">
        <v>0.99849390858370102</v>
      </c>
      <c r="S3749" t="s">
        <v>10419</v>
      </c>
      <c r="T3749" t="s">
        <v>13338</v>
      </c>
      <c r="U3749" t="s">
        <v>13338</v>
      </c>
      <c r="V3749" t="s">
        <v>13338</v>
      </c>
      <c r="W3749" t="s">
        <v>17037</v>
      </c>
      <c r="X3749">
        <v>6</v>
      </c>
      <c r="Y3749" t="s">
        <v>23553</v>
      </c>
      <c r="Z3749" t="s">
        <v>30164</v>
      </c>
      <c r="AA3749">
        <v>0.3266840708779305</v>
      </c>
      <c r="AB3749" t="str">
        <f>HYPERLINK("Melting_Curves/meltCurve_Q53T59_HS1BP3.pdf", "Melting_Curves/meltCurve_Q53T59_HS1BP3.pdf")</f>
        <v>Melting_Curves/meltCurve_Q53T59_HS1BP3.pdf</v>
      </c>
    </row>
    <row r="3750" spans="1:28" x14ac:dyDescent="0.25">
      <c r="A3750" t="s">
        <v>3754</v>
      </c>
      <c r="B3750">
        <v>0.99193492352474899</v>
      </c>
      <c r="C3750">
        <v>0.92559573835063103</v>
      </c>
      <c r="D3750">
        <v>0.94049390732607696</v>
      </c>
      <c r="E3750">
        <v>0.86496152289719497</v>
      </c>
      <c r="F3750">
        <v>0.71629002470785297</v>
      </c>
      <c r="G3750">
        <v>0.63999318661266302</v>
      </c>
      <c r="H3750">
        <v>0.57932375565461403</v>
      </c>
      <c r="I3750">
        <v>0.79180698982855602</v>
      </c>
      <c r="J3750">
        <v>0.71993835054158195</v>
      </c>
      <c r="K3750">
        <v>0.94733664390616901</v>
      </c>
      <c r="L3750">
        <v>1473.0936068476101</v>
      </c>
      <c r="M3750">
        <v>30.2197599546387</v>
      </c>
      <c r="O3750">
        <v>48.534088201380101</v>
      </c>
      <c r="P3750">
        <v>-4.1740547988587298E-2</v>
      </c>
      <c r="Q3750">
        <v>0.73185411312486104</v>
      </c>
      <c r="R3750">
        <v>0.50987925056301597</v>
      </c>
      <c r="S3750" t="s">
        <v>10420</v>
      </c>
      <c r="T3750" t="s">
        <v>13338</v>
      </c>
      <c r="U3750" t="s">
        <v>13338</v>
      </c>
      <c r="V3750" t="s">
        <v>13338</v>
      </c>
      <c r="W3750" t="s">
        <v>17038</v>
      </c>
      <c r="X3750">
        <v>2</v>
      </c>
      <c r="Y3750" t="s">
        <v>23554</v>
      </c>
      <c r="Z3750" t="s">
        <v>30165</v>
      </c>
      <c r="AA3750">
        <v>0.81163114907064593</v>
      </c>
      <c r="AB3750" t="str">
        <f>HYPERLINK("Melting_Curves/meltCurve_Q53TN4_3_CYBRD1.pdf", "Melting_Curves/meltCurve_Q53TN4_3_CYBRD1.pdf")</f>
        <v>Melting_Curves/meltCurve_Q53TN4_3_CYBRD1.pdf</v>
      </c>
    </row>
    <row r="3751" spans="1:28" x14ac:dyDescent="0.25">
      <c r="A3751" t="s">
        <v>3755</v>
      </c>
      <c r="B3751">
        <v>0.99193492352474899</v>
      </c>
      <c r="C3751">
        <v>0.45538400136454699</v>
      </c>
      <c r="D3751">
        <v>0.662436047904161</v>
      </c>
      <c r="E3751">
        <v>0.31890706338573099</v>
      </c>
      <c r="F3751">
        <v>0.214618114630068</v>
      </c>
      <c r="G3751">
        <v>0.162212171936367</v>
      </c>
      <c r="H3751">
        <v>0.16680160887957801</v>
      </c>
      <c r="I3751">
        <v>0.33598749763892999</v>
      </c>
      <c r="J3751">
        <v>0.50025692265803001</v>
      </c>
      <c r="K3751">
        <v>0.57975160943848003</v>
      </c>
      <c r="L3751">
        <v>987.86482059165303</v>
      </c>
      <c r="M3751">
        <v>23.2580704300888</v>
      </c>
      <c r="N3751">
        <v>44.645196883021903</v>
      </c>
      <c r="O3751">
        <v>42.163803772586398</v>
      </c>
      <c r="P3751">
        <v>-9.1203317672074E-2</v>
      </c>
      <c r="Q3751">
        <v>0.33865363546656502</v>
      </c>
      <c r="R3751">
        <v>0.567816260978805</v>
      </c>
      <c r="S3751" t="s">
        <v>10421</v>
      </c>
      <c r="T3751" t="s">
        <v>13338</v>
      </c>
      <c r="U3751" t="s">
        <v>13338</v>
      </c>
      <c r="V3751" t="s">
        <v>13338</v>
      </c>
      <c r="W3751" t="s">
        <v>17039</v>
      </c>
      <c r="X3751">
        <v>2</v>
      </c>
      <c r="Y3751" t="s">
        <v>23555</v>
      </c>
      <c r="Z3751" t="s">
        <v>30166</v>
      </c>
      <c r="AA3751">
        <v>0.40605248454680398</v>
      </c>
      <c r="AB3751" t="str">
        <f>HYPERLINK("Melting_Curves/meltCurve_Q562F6_2_SGOL2.pdf", "Melting_Curves/meltCurve_Q562F6_2_SGOL2.pdf")</f>
        <v>Melting_Curves/meltCurve_Q562F6_2_SGOL2.pdf</v>
      </c>
    </row>
    <row r="3752" spans="1:28" x14ac:dyDescent="0.25">
      <c r="A3752" t="s">
        <v>3756</v>
      </c>
      <c r="B3752">
        <v>0.99193492352474899</v>
      </c>
      <c r="C3752">
        <v>1.1622403634309</v>
      </c>
      <c r="D3752">
        <v>0.765948738241782</v>
      </c>
      <c r="E3752">
        <v>0.712200515346602</v>
      </c>
      <c r="F3752">
        <v>0.36707039009234399</v>
      </c>
      <c r="G3752">
        <v>0.31629221641556898</v>
      </c>
      <c r="H3752">
        <v>0.24297084264838401</v>
      </c>
      <c r="I3752">
        <v>0.26458690451217498</v>
      </c>
      <c r="J3752">
        <v>0.24212872449371201</v>
      </c>
      <c r="K3752">
        <v>0.27021141171037799</v>
      </c>
      <c r="L3752">
        <v>1062.67470097193</v>
      </c>
      <c r="M3752">
        <v>21.298667468683199</v>
      </c>
      <c r="N3752">
        <v>51.556007176827499</v>
      </c>
      <c r="O3752">
        <v>49.460360838588699</v>
      </c>
      <c r="P3752">
        <v>-8.0919643908125199E-2</v>
      </c>
      <c r="Q3752">
        <v>0.24836364317483201</v>
      </c>
      <c r="R3752">
        <v>0.94664866783216295</v>
      </c>
      <c r="S3752" t="s">
        <v>10422</v>
      </c>
      <c r="T3752" t="s">
        <v>13338</v>
      </c>
      <c r="U3752" t="s">
        <v>13338</v>
      </c>
      <c r="V3752" t="s">
        <v>13338</v>
      </c>
      <c r="W3752" t="s">
        <v>17040</v>
      </c>
      <c r="X3752">
        <v>10</v>
      </c>
      <c r="Y3752" t="s">
        <v>23556</v>
      </c>
      <c r="Z3752" t="s">
        <v>30167</v>
      </c>
      <c r="AA3752">
        <v>0.50549964467736952</v>
      </c>
      <c r="AB3752" t="str">
        <f>HYPERLINK("Melting_Curves/meltCurve_Q562R1_ACTBL2.pdf", "Melting_Curves/meltCurve_Q562R1_ACTBL2.pdf")</f>
        <v>Melting_Curves/meltCurve_Q562R1_ACTBL2.pdf</v>
      </c>
    </row>
    <row r="3753" spans="1:28" x14ac:dyDescent="0.25">
      <c r="A3753" t="s">
        <v>3757</v>
      </c>
      <c r="B3753">
        <v>0.99193492352474899</v>
      </c>
      <c r="C3753">
        <v>0.858168297077055</v>
      </c>
      <c r="D3753">
        <v>0.97896548177085296</v>
      </c>
      <c r="E3753">
        <v>0.59142776079488701</v>
      </c>
      <c r="F3753">
        <v>0.64707774032398602</v>
      </c>
      <c r="G3753">
        <v>0.40165309098387197</v>
      </c>
      <c r="H3753">
        <v>0.309780000730914</v>
      </c>
      <c r="I3753">
        <v>0.39012321962934898</v>
      </c>
      <c r="J3753">
        <v>0.73767768583773397</v>
      </c>
      <c r="K3753">
        <v>0.64127459689359301</v>
      </c>
      <c r="L3753">
        <v>2618.6520675656302</v>
      </c>
      <c r="M3753">
        <v>54.375745989738803</v>
      </c>
      <c r="O3753">
        <v>48.0934531544602</v>
      </c>
      <c r="P3753">
        <v>-0.135840603072889</v>
      </c>
      <c r="Q3753">
        <v>0.51941516661389397</v>
      </c>
      <c r="R3753">
        <v>0.67020117359040798</v>
      </c>
      <c r="S3753" t="s">
        <v>10423</v>
      </c>
      <c r="T3753" t="s">
        <v>13338</v>
      </c>
      <c r="U3753" t="s">
        <v>13338</v>
      </c>
      <c r="V3753" t="s">
        <v>13338</v>
      </c>
      <c r="W3753" t="s">
        <v>16294</v>
      </c>
      <c r="X3753">
        <v>10</v>
      </c>
      <c r="Y3753" t="s">
        <v>22842</v>
      </c>
      <c r="Z3753" t="s">
        <v>30168</v>
      </c>
      <c r="AA3753">
        <v>0.65097213343234872</v>
      </c>
      <c r="AB3753" t="str">
        <f>HYPERLINK("Melting_Curves/meltCurve_Q567Q0_PPIA.pdf", "Melting_Curves/meltCurve_Q567Q0_PPIA.pdf")</f>
        <v>Melting_Curves/meltCurve_Q567Q0_PPIA.pdf</v>
      </c>
    </row>
    <row r="3754" spans="1:28" x14ac:dyDescent="0.25">
      <c r="A3754" t="s">
        <v>3758</v>
      </c>
      <c r="B3754">
        <v>0.99193492352474899</v>
      </c>
      <c r="C3754">
        <v>0.87711987504640998</v>
      </c>
      <c r="D3754">
        <v>1.23463723708094</v>
      </c>
      <c r="E3754">
        <v>0.90825193289504302</v>
      </c>
      <c r="F3754">
        <v>0.91611935607822903</v>
      </c>
      <c r="G3754">
        <v>0.55664690052278998</v>
      </c>
      <c r="H3754">
        <v>0.33768147044911001</v>
      </c>
      <c r="I3754">
        <v>0.20210448969678299</v>
      </c>
      <c r="J3754">
        <v>0.21216536821405599</v>
      </c>
      <c r="K3754">
        <v>0.15562987003077</v>
      </c>
      <c r="L3754">
        <v>1449.05588609037</v>
      </c>
      <c r="M3754">
        <v>25.504340295510801</v>
      </c>
      <c r="N3754">
        <v>57.780887394588603</v>
      </c>
      <c r="O3754">
        <v>56.4702057436307</v>
      </c>
      <c r="P3754">
        <v>-9.3332902460672204E-2</v>
      </c>
      <c r="Q3754">
        <v>0.17340144099270599</v>
      </c>
      <c r="R3754">
        <v>0.94141479362409197</v>
      </c>
      <c r="S3754" t="s">
        <v>10424</v>
      </c>
      <c r="T3754" t="s">
        <v>13338</v>
      </c>
      <c r="U3754" t="s">
        <v>13338</v>
      </c>
      <c r="V3754" t="s">
        <v>13338</v>
      </c>
      <c r="W3754" t="s">
        <v>17041</v>
      </c>
      <c r="X3754">
        <v>4</v>
      </c>
      <c r="Y3754" t="s">
        <v>23557</v>
      </c>
      <c r="Z3754" t="s">
        <v>30169</v>
      </c>
      <c r="AA3754">
        <v>0.64398611981840526</v>
      </c>
      <c r="AB3754" t="str">
        <f>HYPERLINK("Melting_Curves/meltCurve_Q567V2_2_MPV17L2.pdf", "Melting_Curves/meltCurve_Q567V2_2_MPV17L2.pdf")</f>
        <v>Melting_Curves/meltCurve_Q567V2_2_MPV17L2.pdf</v>
      </c>
    </row>
    <row r="3755" spans="1:28" x14ac:dyDescent="0.25">
      <c r="A3755" t="s">
        <v>3759</v>
      </c>
      <c r="B3755">
        <v>0.99193492352474899</v>
      </c>
      <c r="C3755">
        <v>0.95228996549339495</v>
      </c>
      <c r="D3755">
        <v>0.98246825736364096</v>
      </c>
      <c r="E3755">
        <v>0.80673521048778996</v>
      </c>
      <c r="F3755">
        <v>0.63998567768438797</v>
      </c>
      <c r="G3755">
        <v>0.48495630799311001</v>
      </c>
      <c r="H3755">
        <v>0.39986738597309601</v>
      </c>
      <c r="I3755">
        <v>0.48884119520826502</v>
      </c>
      <c r="J3755">
        <v>0.57121742714794599</v>
      </c>
      <c r="K3755">
        <v>0.64878017194591198</v>
      </c>
      <c r="L3755">
        <v>1500.1219115854699</v>
      </c>
      <c r="M3755">
        <v>29.743670649995199</v>
      </c>
      <c r="O3755">
        <v>50.208664341624498</v>
      </c>
      <c r="P3755">
        <v>-7.1078346039437398E-2</v>
      </c>
      <c r="Q3755">
        <v>0.52006935857249204</v>
      </c>
      <c r="R3755">
        <v>0.90628015405321605</v>
      </c>
      <c r="S3755" t="s">
        <v>10425</v>
      </c>
      <c r="T3755" t="s">
        <v>13338</v>
      </c>
      <c r="U3755" t="s">
        <v>13338</v>
      </c>
      <c r="V3755" t="s">
        <v>13338</v>
      </c>
      <c r="W3755" t="s">
        <v>17042</v>
      </c>
      <c r="X3755">
        <v>10</v>
      </c>
      <c r="Y3755" t="s">
        <v>23558</v>
      </c>
      <c r="Z3755" t="s">
        <v>30170</v>
      </c>
      <c r="AA3755">
        <v>0.69004690228511234</v>
      </c>
      <c r="AB3755" t="str">
        <f>HYPERLINK("Melting_Curves/meltCurve_Q56VL3_OCIAD2.pdf", "Melting_Curves/meltCurve_Q56VL3_OCIAD2.pdf")</f>
        <v>Melting_Curves/meltCurve_Q56VL3_OCIAD2.pdf</v>
      </c>
    </row>
    <row r="3756" spans="1:28" x14ac:dyDescent="0.25">
      <c r="A3756" t="s">
        <v>3760</v>
      </c>
      <c r="B3756">
        <v>0.99193492352474899</v>
      </c>
      <c r="C3756">
        <v>1.0422981466346199</v>
      </c>
      <c r="D3756">
        <v>0.89058768855356296</v>
      </c>
      <c r="E3756">
        <v>0.87251858111029101</v>
      </c>
      <c r="F3756">
        <v>0.60542659547716904</v>
      </c>
      <c r="G3756">
        <v>0.696672228744186</v>
      </c>
      <c r="H3756">
        <v>0.56654669834215599</v>
      </c>
      <c r="I3756">
        <v>0.78977265584282597</v>
      </c>
      <c r="J3756">
        <v>0.82933766102149298</v>
      </c>
      <c r="K3756">
        <v>1.1673212224415199</v>
      </c>
      <c r="L3756">
        <v>1715.16770011225</v>
      </c>
      <c r="M3756">
        <v>36.8565334194532</v>
      </c>
      <c r="O3756">
        <v>46.399941983199199</v>
      </c>
      <c r="P3756">
        <v>-4.2745758379370502E-2</v>
      </c>
      <c r="Q3756">
        <v>0.78474416799442204</v>
      </c>
      <c r="R3756">
        <v>0.25302619887222599</v>
      </c>
      <c r="S3756" t="s">
        <v>10426</v>
      </c>
      <c r="T3756" t="s">
        <v>13338</v>
      </c>
      <c r="U3756" t="s">
        <v>13338</v>
      </c>
      <c r="V3756" t="s">
        <v>13338</v>
      </c>
      <c r="W3756" t="s">
        <v>17043</v>
      </c>
      <c r="X3756">
        <v>2</v>
      </c>
      <c r="Y3756" t="s">
        <v>23559</v>
      </c>
      <c r="Z3756" t="s">
        <v>30171</v>
      </c>
      <c r="AA3756">
        <v>0.83247608292214681</v>
      </c>
      <c r="AB3756" t="str">
        <f>HYPERLINK("Melting_Curves/meltCurve_Q587I9_SFT2D3.pdf", "Melting_Curves/meltCurve_Q587I9_SFT2D3.pdf")</f>
        <v>Melting_Curves/meltCurve_Q587I9_SFT2D3.pdf</v>
      </c>
    </row>
    <row r="3757" spans="1:28" x14ac:dyDescent="0.25">
      <c r="A3757" t="s">
        <v>3761</v>
      </c>
      <c r="B3757">
        <v>0.99193492352474899</v>
      </c>
      <c r="C3757">
        <v>1.0352748036724799</v>
      </c>
      <c r="D3757">
        <v>0.77578421011056098</v>
      </c>
      <c r="E3757">
        <v>0.695650015095854</v>
      </c>
      <c r="F3757">
        <v>0.28984318218875899</v>
      </c>
      <c r="G3757">
        <v>0.161862656808727</v>
      </c>
      <c r="H3757">
        <v>9.5132817770879397E-2</v>
      </c>
      <c r="I3757">
        <v>0.10134139859178801</v>
      </c>
      <c r="J3757">
        <v>0.119130954094483</v>
      </c>
      <c r="K3757">
        <v>0.11629855736104699</v>
      </c>
      <c r="L3757">
        <v>1015.83908627214</v>
      </c>
      <c r="M3757">
        <v>20.1561318647909</v>
      </c>
      <c r="N3757">
        <v>50.906414142592297</v>
      </c>
      <c r="O3757">
        <v>49.910297522229101</v>
      </c>
      <c r="P3757">
        <v>-9.1768613783521094E-2</v>
      </c>
      <c r="Q3757">
        <v>9.1084679450293193E-2</v>
      </c>
      <c r="R3757">
        <v>0.98222855408283105</v>
      </c>
      <c r="S3757" t="s">
        <v>10427</v>
      </c>
      <c r="T3757" t="s">
        <v>13338</v>
      </c>
      <c r="U3757" t="s">
        <v>13338</v>
      </c>
      <c r="V3757" t="s">
        <v>13338</v>
      </c>
      <c r="W3757" t="s">
        <v>17044</v>
      </c>
      <c r="X3757">
        <v>16</v>
      </c>
      <c r="Y3757" t="s">
        <v>23560</v>
      </c>
      <c r="Z3757" t="s">
        <v>30172</v>
      </c>
      <c r="AA3757">
        <v>0.41857957657201422</v>
      </c>
      <c r="AB3757" t="str">
        <f>HYPERLINK("Melting_Curves/meltCurve_Q58FF8_HSP90AB2P.pdf", "Melting_Curves/meltCurve_Q58FF8_HSP90AB2P.pdf")</f>
        <v>Melting_Curves/meltCurve_Q58FF8_HSP90AB2P.pdf</v>
      </c>
    </row>
    <row r="3758" spans="1:28" x14ac:dyDescent="0.25">
      <c r="A3758" t="s">
        <v>3762</v>
      </c>
      <c r="B3758">
        <v>0.99193492352474899</v>
      </c>
      <c r="C3758">
        <v>0.67176425669221196</v>
      </c>
      <c r="D3758">
        <v>0.90443991345233399</v>
      </c>
      <c r="E3758">
        <v>0.40981344826145699</v>
      </c>
      <c r="F3758">
        <v>0.147577869087548</v>
      </c>
      <c r="G3758">
        <v>0.106336298343091</v>
      </c>
      <c r="H3758">
        <v>8.9691946239550999E-2</v>
      </c>
      <c r="I3758">
        <v>0.115482660821254</v>
      </c>
      <c r="J3758">
        <v>0.15834251391955201</v>
      </c>
      <c r="K3758">
        <v>0.248345877148752</v>
      </c>
      <c r="L3758">
        <v>1266.49726478361</v>
      </c>
      <c r="M3758">
        <v>26.2620206554375</v>
      </c>
      <c r="N3758">
        <v>48.790699569217402</v>
      </c>
      <c r="O3758">
        <v>47.948412996283501</v>
      </c>
      <c r="P3758">
        <v>-0.118969130660895</v>
      </c>
      <c r="Q3758">
        <v>0.131168466107907</v>
      </c>
      <c r="R3758">
        <v>0.89137493800442902</v>
      </c>
      <c r="S3758" t="s">
        <v>10428</v>
      </c>
      <c r="T3758" t="s">
        <v>13338</v>
      </c>
      <c r="U3758" t="s">
        <v>13338</v>
      </c>
      <c r="V3758" t="s">
        <v>13338</v>
      </c>
      <c r="W3758" t="s">
        <v>17045</v>
      </c>
      <c r="X3758">
        <v>5</v>
      </c>
      <c r="Y3758" t="s">
        <v>23561</v>
      </c>
      <c r="Z3758" t="s">
        <v>30173</v>
      </c>
      <c r="AA3758">
        <v>0.37630706733730029</v>
      </c>
      <c r="AB3758" t="str">
        <f>HYPERLINK("Melting_Curves/meltCurve_Q58FG1_HSP90AA4P.pdf", "Melting_Curves/meltCurve_Q58FG1_HSP90AA4P.pdf")</f>
        <v>Melting_Curves/meltCurve_Q58FG1_HSP90AA4P.pdf</v>
      </c>
    </row>
    <row r="3759" spans="1:28" x14ac:dyDescent="0.25">
      <c r="A3759" t="s">
        <v>3763</v>
      </c>
      <c r="B3759">
        <v>0.99193492352474899</v>
      </c>
      <c r="C3759">
        <v>1.3888943243306699</v>
      </c>
      <c r="D3759">
        <v>1.06223325356184</v>
      </c>
      <c r="E3759">
        <v>0.91968616264180902</v>
      </c>
      <c r="F3759">
        <v>0.70107430047880903</v>
      </c>
      <c r="G3759">
        <v>0.52971092751193805</v>
      </c>
      <c r="H3759">
        <v>0.30254355887985501</v>
      </c>
      <c r="I3759">
        <v>0.24282594548183101</v>
      </c>
      <c r="J3759">
        <v>0.22558858452644401</v>
      </c>
      <c r="K3759">
        <v>0.23464768950192399</v>
      </c>
      <c r="L3759">
        <v>1145.77425463435</v>
      </c>
      <c r="M3759">
        <v>20.8036063647376</v>
      </c>
      <c r="N3759">
        <v>56.597277090905301</v>
      </c>
      <c r="O3759">
        <v>54.574426284626803</v>
      </c>
      <c r="P3759">
        <v>-7.4889512824395599E-2</v>
      </c>
      <c r="Q3759">
        <v>0.2141865632853</v>
      </c>
      <c r="R3759">
        <v>0.89567837404124095</v>
      </c>
      <c r="S3759" t="s">
        <v>10429</v>
      </c>
      <c r="T3759" t="s">
        <v>13338</v>
      </c>
      <c r="U3759" t="s">
        <v>13338</v>
      </c>
      <c r="V3759" t="s">
        <v>13338</v>
      </c>
      <c r="W3759" t="s">
        <v>17046</v>
      </c>
      <c r="X3759">
        <v>4</v>
      </c>
      <c r="Y3759" t="s">
        <v>23562</v>
      </c>
      <c r="Z3759" t="s">
        <v>30174</v>
      </c>
      <c r="AA3759">
        <v>0.61891486983577337</v>
      </c>
      <c r="AB3759" t="str">
        <f>HYPERLINK("Melting_Curves/meltCurve_Q58WW2_DCAF6.pdf", "Melting_Curves/meltCurve_Q58WW2_DCAF6.pdf")</f>
        <v>Melting_Curves/meltCurve_Q58WW2_DCAF6.pdf</v>
      </c>
    </row>
    <row r="3760" spans="1:28" x14ac:dyDescent="0.25">
      <c r="A3760" t="s">
        <v>3764</v>
      </c>
      <c r="B3760">
        <v>0.99193492352474899</v>
      </c>
      <c r="C3760">
        <v>0.90492346441882998</v>
      </c>
      <c r="D3760">
        <v>0.88427607826120702</v>
      </c>
      <c r="E3760">
        <v>0.62372342929547198</v>
      </c>
      <c r="F3760">
        <v>0.56093962616593795</v>
      </c>
      <c r="G3760">
        <v>0.38384374118239201</v>
      </c>
      <c r="H3760">
        <v>0.27749031661301099</v>
      </c>
      <c r="I3760">
        <v>0.28948369514503203</v>
      </c>
      <c r="J3760">
        <v>0.487743483612187</v>
      </c>
      <c r="K3760">
        <v>0.71868275297867001</v>
      </c>
      <c r="L3760">
        <v>1087.7353281547</v>
      </c>
      <c r="M3760">
        <v>22.527607297607101</v>
      </c>
      <c r="N3760">
        <v>53.153963600253</v>
      </c>
      <c r="O3760">
        <v>47.9089000372174</v>
      </c>
      <c r="P3760">
        <v>-6.6241956730165405E-2</v>
      </c>
      <c r="Q3760">
        <v>0.43651099508640001</v>
      </c>
      <c r="R3760">
        <v>0.759360110923196</v>
      </c>
      <c r="S3760" t="s">
        <v>10430</v>
      </c>
      <c r="T3760" t="s">
        <v>13338</v>
      </c>
      <c r="U3760" t="s">
        <v>13338</v>
      </c>
      <c r="V3760" t="s">
        <v>13338</v>
      </c>
      <c r="W3760" t="s">
        <v>17047</v>
      </c>
      <c r="X3760">
        <v>2</v>
      </c>
      <c r="Y3760" t="s">
        <v>23563</v>
      </c>
      <c r="Z3760" t="s">
        <v>30175</v>
      </c>
      <c r="AA3760">
        <v>0.59832071973482859</v>
      </c>
      <c r="AB3760" t="str">
        <f>HYPERLINK("Melting_Curves/meltCurve_Q5BJF2_TMEM97.pdf", "Melting_Curves/meltCurve_Q5BJF2_TMEM97.pdf")</f>
        <v>Melting_Curves/meltCurve_Q5BJF2_TMEM97.pdf</v>
      </c>
    </row>
    <row r="3761" spans="1:28" x14ac:dyDescent="0.25">
      <c r="A3761" t="s">
        <v>3765</v>
      </c>
      <c r="B3761">
        <v>0.99193492352474899</v>
      </c>
      <c r="C3761">
        <v>0.85188190568952504</v>
      </c>
      <c r="D3761">
        <v>0.91391512148501897</v>
      </c>
      <c r="E3761">
        <v>0.82065820811524803</v>
      </c>
      <c r="F3761">
        <v>0.65415705994168405</v>
      </c>
      <c r="G3761">
        <v>0.30877308971832101</v>
      </c>
      <c r="H3761">
        <v>0.30405198583814502</v>
      </c>
      <c r="I3761">
        <v>0.38505058927268199</v>
      </c>
      <c r="J3761">
        <v>0.34920516859730399</v>
      </c>
      <c r="K3761">
        <v>0.38595171795650501</v>
      </c>
      <c r="L3761">
        <v>1196.3212794063199</v>
      </c>
      <c r="M3761">
        <v>23.043543495991401</v>
      </c>
      <c r="N3761">
        <v>54.533779202524201</v>
      </c>
      <c r="O3761">
        <v>51.529464063815702</v>
      </c>
      <c r="P3761">
        <v>-7.4390810419519393E-2</v>
      </c>
      <c r="Q3761">
        <v>0.33460821863562301</v>
      </c>
      <c r="R3761">
        <v>0.93111921131109998</v>
      </c>
      <c r="S3761" t="s">
        <v>10431</v>
      </c>
      <c r="T3761" t="s">
        <v>13338</v>
      </c>
      <c r="U3761" t="s">
        <v>13338</v>
      </c>
      <c r="V3761" t="s">
        <v>13338</v>
      </c>
      <c r="W3761" t="s">
        <v>17048</v>
      </c>
      <c r="X3761">
        <v>2</v>
      </c>
      <c r="Y3761" t="s">
        <v>23564</v>
      </c>
      <c r="Z3761" t="s">
        <v>30176</v>
      </c>
      <c r="AA3761">
        <v>0.60598609243757706</v>
      </c>
      <c r="AB3761" t="str">
        <f>HYPERLINK("Melting_Curves/meltCurve_Q5BKU9_OXLD1.pdf", "Melting_Curves/meltCurve_Q5BKU9_OXLD1.pdf")</f>
        <v>Melting_Curves/meltCurve_Q5BKU9_OXLD1.pdf</v>
      </c>
    </row>
    <row r="3762" spans="1:28" x14ac:dyDescent="0.25">
      <c r="A3762" t="s">
        <v>3766</v>
      </c>
      <c r="B3762">
        <v>0.99193492352474899</v>
      </c>
      <c r="C3762">
        <v>0.78699851263411902</v>
      </c>
      <c r="D3762">
        <v>0.73792036589738497</v>
      </c>
      <c r="E3762">
        <v>0.36936016332596699</v>
      </c>
      <c r="F3762">
        <v>0.207115346659523</v>
      </c>
      <c r="G3762">
        <v>9.4928475925008596E-2</v>
      </c>
      <c r="H3762">
        <v>5.4796351526178601E-2</v>
      </c>
      <c r="I3762">
        <v>6.8339181988344502E-2</v>
      </c>
      <c r="J3762">
        <v>7.8130475764724594E-2</v>
      </c>
      <c r="K3762">
        <v>0.12334372011006201</v>
      </c>
      <c r="L3762">
        <v>809.45668132083097</v>
      </c>
      <c r="M3762">
        <v>16.971350921197399</v>
      </c>
      <c r="N3762">
        <v>48.086820772419401</v>
      </c>
      <c r="O3762">
        <v>47.0480358719526</v>
      </c>
      <c r="P3762">
        <v>-8.4369370246278302E-2</v>
      </c>
      <c r="Q3762">
        <v>6.4502003746673101E-2</v>
      </c>
      <c r="R3762">
        <v>0.98383121811450902</v>
      </c>
      <c r="S3762" t="s">
        <v>10432</v>
      </c>
      <c r="T3762" t="s">
        <v>13338</v>
      </c>
      <c r="U3762" t="s">
        <v>13338</v>
      </c>
      <c r="V3762" t="s">
        <v>13338</v>
      </c>
      <c r="W3762" t="s">
        <v>17049</v>
      </c>
      <c r="X3762">
        <v>2</v>
      </c>
      <c r="Y3762" t="s">
        <v>23565</v>
      </c>
      <c r="Z3762" t="s">
        <v>30177</v>
      </c>
      <c r="AA3762">
        <v>0.32344485577049531</v>
      </c>
      <c r="AB3762" t="str">
        <f>HYPERLINK("Melting_Curves/meltCurve_Q5BKX5_C19orf54.pdf", "Melting_Curves/meltCurve_Q5BKX5_C19orf54.pdf")</f>
        <v>Melting_Curves/meltCurve_Q5BKX5_C19orf54.pdf</v>
      </c>
    </row>
    <row r="3763" spans="1:28" x14ac:dyDescent="0.25">
      <c r="A3763" t="s">
        <v>3767</v>
      </c>
      <c r="B3763">
        <v>0.99193492352474899</v>
      </c>
      <c r="C3763">
        <v>0.75721510470282305</v>
      </c>
      <c r="D3763">
        <v>0.75194377580765703</v>
      </c>
      <c r="E3763">
        <v>0.462844553321129</v>
      </c>
      <c r="F3763">
        <v>0.32975025971160798</v>
      </c>
      <c r="G3763">
        <v>0.22110780770189001</v>
      </c>
      <c r="H3763">
        <v>0.27464665884080303</v>
      </c>
      <c r="I3763">
        <v>0.51902573364376803</v>
      </c>
      <c r="J3763">
        <v>0.66745735688063901</v>
      </c>
      <c r="K3763">
        <v>0.77847564041661699</v>
      </c>
      <c r="L3763">
        <v>1035.6847421350401</v>
      </c>
      <c r="M3763">
        <v>23.251647634742799</v>
      </c>
      <c r="N3763">
        <v>50.275072463281901</v>
      </c>
      <c r="O3763">
        <v>44.216880052289198</v>
      </c>
      <c r="P3763">
        <v>-7.0371159647960896E-2</v>
      </c>
      <c r="Q3763">
        <v>0.46471971999769501</v>
      </c>
      <c r="R3763">
        <v>0.50821752688518496</v>
      </c>
      <c r="S3763" t="s">
        <v>10433</v>
      </c>
      <c r="T3763" t="s">
        <v>13338</v>
      </c>
      <c r="U3763" t="s">
        <v>13338</v>
      </c>
      <c r="V3763" t="s">
        <v>13338</v>
      </c>
      <c r="W3763" t="s">
        <v>17050</v>
      </c>
      <c r="X3763">
        <v>4</v>
      </c>
      <c r="Y3763" t="s">
        <v>23566</v>
      </c>
      <c r="Z3763" t="s">
        <v>30178</v>
      </c>
      <c r="AA3763">
        <v>0.55248059186052723</v>
      </c>
      <c r="AB3763" t="str">
        <f>HYPERLINK("Melting_Curves/meltCurve_Q5BKZ1_ZNF326.pdf", "Melting_Curves/meltCurve_Q5BKZ1_ZNF326.pdf")</f>
        <v>Melting_Curves/meltCurve_Q5BKZ1_ZNF326.pdf</v>
      </c>
    </row>
    <row r="3764" spans="1:28" x14ac:dyDescent="0.25">
      <c r="A3764" t="s">
        <v>3768</v>
      </c>
      <c r="B3764">
        <v>0.99193492352474899</v>
      </c>
      <c r="C3764">
        <v>0.34217832051490399</v>
      </c>
      <c r="D3764">
        <v>0.56010419219530705</v>
      </c>
      <c r="E3764">
        <v>0.126929425522119</v>
      </c>
      <c r="F3764">
        <v>4.1753682513634802E-2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660.76677833511599</v>
      </c>
      <c r="M3764">
        <v>14.969322971326999</v>
      </c>
      <c r="N3764">
        <v>44.141394799288697</v>
      </c>
      <c r="O3764">
        <v>43.3761056505206</v>
      </c>
      <c r="P3764">
        <v>-8.6285105901303602E-2</v>
      </c>
      <c r="Q3764">
        <v>0</v>
      </c>
      <c r="R3764">
        <v>0.85665369541298997</v>
      </c>
      <c r="S3764" t="s">
        <v>10434</v>
      </c>
      <c r="T3764" t="s">
        <v>13338</v>
      </c>
      <c r="U3764" t="s">
        <v>13338</v>
      </c>
      <c r="V3764" t="s">
        <v>13338</v>
      </c>
      <c r="W3764" t="s">
        <v>17051</v>
      </c>
      <c r="X3764">
        <v>1</v>
      </c>
      <c r="Y3764" t="s">
        <v>23567</v>
      </c>
      <c r="Z3764" t="s">
        <v>30179</v>
      </c>
      <c r="AA3764">
        <v>0.1737922917140057</v>
      </c>
      <c r="AB3764" t="str">
        <f>HYPERLINK("Melting_Curves/meltCurve_Q5CZ79_ANKRD20A8P.pdf", "Melting_Curves/meltCurve_Q5CZ79_ANKRD20A8P.pdf")</f>
        <v>Melting_Curves/meltCurve_Q5CZ79_ANKRD20A8P.pdf</v>
      </c>
    </row>
    <row r="3765" spans="1:28" x14ac:dyDescent="0.25">
      <c r="A3765" t="s">
        <v>3769</v>
      </c>
      <c r="B3765">
        <v>0.99193492352474899</v>
      </c>
      <c r="C3765">
        <v>0.79285318721797904</v>
      </c>
      <c r="D3765">
        <v>0.73616738450129304</v>
      </c>
      <c r="E3765">
        <v>0.308868715853099</v>
      </c>
      <c r="F3765">
        <v>0.188200112497727</v>
      </c>
      <c r="G3765">
        <v>0.14735247549313299</v>
      </c>
      <c r="H3765">
        <v>0.14711365021397099</v>
      </c>
      <c r="I3765">
        <v>0.215448751755528</v>
      </c>
      <c r="J3765">
        <v>0.46523667980894201</v>
      </c>
      <c r="K3765">
        <v>0.26756895595934199</v>
      </c>
      <c r="L3765">
        <v>1205.35896407974</v>
      </c>
      <c r="M3765">
        <v>26.004555020199199</v>
      </c>
      <c r="N3765">
        <v>47.486262684273399</v>
      </c>
      <c r="O3765">
        <v>46.080337137493302</v>
      </c>
      <c r="P3765">
        <v>-0.10844274888997001</v>
      </c>
      <c r="Q3765">
        <v>0.23136220443761901</v>
      </c>
      <c r="R3765">
        <v>0.88199726078423801</v>
      </c>
      <c r="S3765" t="s">
        <v>10435</v>
      </c>
      <c r="T3765" t="s">
        <v>13338</v>
      </c>
      <c r="U3765" t="s">
        <v>13338</v>
      </c>
      <c r="V3765" t="s">
        <v>13338</v>
      </c>
      <c r="W3765" t="s">
        <v>17052</v>
      </c>
      <c r="X3765">
        <v>2</v>
      </c>
      <c r="Y3765" t="s">
        <v>23568</v>
      </c>
      <c r="Z3765" t="s">
        <v>30180</v>
      </c>
      <c r="AA3765">
        <v>0.40049770695690778</v>
      </c>
      <c r="AB3765" t="str">
        <f>HYPERLINK("Melting_Curves/meltCurve_Q5D1E8_ZC3H12A.pdf", "Melting_Curves/meltCurve_Q5D1E8_ZC3H12A.pdf")</f>
        <v>Melting_Curves/meltCurve_Q5D1E8_ZC3H12A.pdf</v>
      </c>
    </row>
    <row r="3766" spans="1:28" x14ac:dyDescent="0.25">
      <c r="A3766" t="s">
        <v>3770</v>
      </c>
      <c r="B3766">
        <v>0.99193492352474899</v>
      </c>
      <c r="C3766">
        <v>1.04505557090775</v>
      </c>
      <c r="D3766">
        <v>0.68726381312676899</v>
      </c>
      <c r="E3766">
        <v>0.50198839187589095</v>
      </c>
      <c r="F3766">
        <v>0.36919313489627897</v>
      </c>
      <c r="G3766">
        <v>0.23284228903944401</v>
      </c>
      <c r="H3766">
        <v>9.8876217366810598E-2</v>
      </c>
      <c r="I3766">
        <v>0.134543019863089</v>
      </c>
      <c r="J3766">
        <v>0.138844059234357</v>
      </c>
      <c r="K3766">
        <v>0.17419631976886599</v>
      </c>
      <c r="L3766">
        <v>807.51605757295704</v>
      </c>
      <c r="M3766">
        <v>16.525320181637301</v>
      </c>
      <c r="N3766">
        <v>49.796852637790501</v>
      </c>
      <c r="O3766">
        <v>48.166625897201598</v>
      </c>
      <c r="P3766">
        <v>-7.4373328340954406E-2</v>
      </c>
      <c r="Q3766">
        <v>0.13295117722737901</v>
      </c>
      <c r="R3766">
        <v>0.97178252057707104</v>
      </c>
      <c r="S3766" t="s">
        <v>10436</v>
      </c>
      <c r="T3766" t="s">
        <v>13338</v>
      </c>
      <c r="U3766" t="s">
        <v>13338</v>
      </c>
      <c r="V3766" t="s">
        <v>13338</v>
      </c>
      <c r="W3766" t="s">
        <v>17053</v>
      </c>
      <c r="X3766">
        <v>2</v>
      </c>
      <c r="Y3766" t="s">
        <v>23569</v>
      </c>
      <c r="Z3766" t="s">
        <v>30181</v>
      </c>
      <c r="AA3766">
        <v>0.40701727111990721</v>
      </c>
      <c r="AB3766" t="str">
        <f>HYPERLINK("Melting_Curves/meltCurve_Q5EBL4_RILPL1.pdf", "Melting_Curves/meltCurve_Q5EBL4_RILPL1.pdf")</f>
        <v>Melting_Curves/meltCurve_Q5EBL4_RILPL1.pdf</v>
      </c>
    </row>
    <row r="3767" spans="1:28" x14ac:dyDescent="0.25">
      <c r="A3767" t="s">
        <v>3771</v>
      </c>
      <c r="B3767">
        <v>0.99193492352474899</v>
      </c>
      <c r="C3767">
        <v>0.759132133553862</v>
      </c>
      <c r="D3767">
        <v>0.77184346706731399</v>
      </c>
      <c r="E3767">
        <v>0.39048653313234999</v>
      </c>
      <c r="F3767">
        <v>0.20442828750838599</v>
      </c>
      <c r="G3767">
        <v>0.13149312402944</v>
      </c>
      <c r="H3767">
        <v>0.100422069311235</v>
      </c>
      <c r="I3767">
        <v>0.11787024963455101</v>
      </c>
      <c r="J3767">
        <v>0.162290053342943</v>
      </c>
      <c r="K3767">
        <v>0.181703680505161</v>
      </c>
      <c r="L3767">
        <v>851.94999254145</v>
      </c>
      <c r="M3767">
        <v>17.9489176587795</v>
      </c>
      <c r="N3767">
        <v>48.211032334640599</v>
      </c>
      <c r="O3767">
        <v>46.887817999299997</v>
      </c>
      <c r="P3767">
        <v>-8.4104702125411601E-2</v>
      </c>
      <c r="Q3767">
        <v>0.12121923798979101</v>
      </c>
      <c r="R3767">
        <v>0.96710959157491905</v>
      </c>
      <c r="S3767" t="s">
        <v>10437</v>
      </c>
      <c r="T3767" t="s">
        <v>13338</v>
      </c>
      <c r="U3767" t="s">
        <v>13338</v>
      </c>
      <c r="V3767" t="s">
        <v>13338</v>
      </c>
      <c r="W3767" t="s">
        <v>17054</v>
      </c>
      <c r="X3767">
        <v>3</v>
      </c>
      <c r="Y3767" t="s">
        <v>23570</v>
      </c>
      <c r="Z3767" t="s">
        <v>30182</v>
      </c>
      <c r="AA3767">
        <v>0.35587710374399989</v>
      </c>
      <c r="AB3767" t="str">
        <f>HYPERLINK("Melting_Curves/meltCurve_Q5EBL8_PDZD11.pdf", "Melting_Curves/meltCurve_Q5EBL8_PDZD11.pdf")</f>
        <v>Melting_Curves/meltCurve_Q5EBL8_PDZD11.pdf</v>
      </c>
    </row>
    <row r="3768" spans="1:28" x14ac:dyDescent="0.25">
      <c r="A3768" t="s">
        <v>3772</v>
      </c>
      <c r="B3768">
        <v>0.99193492352474899</v>
      </c>
      <c r="C3768">
        <v>0.96519905625254998</v>
      </c>
      <c r="D3768">
        <v>0.89902780954731198</v>
      </c>
      <c r="E3768">
        <v>0.68213610813397396</v>
      </c>
      <c r="F3768">
        <v>0.25640130001824502</v>
      </c>
      <c r="G3768">
        <v>0.10556214711061999</v>
      </c>
      <c r="H3768">
        <v>6.5190965580259302E-2</v>
      </c>
      <c r="I3768">
        <v>7.2068615303994193E-2</v>
      </c>
      <c r="J3768">
        <v>8.0342103184802505E-2</v>
      </c>
      <c r="K3768">
        <v>8.9152606077439703E-2</v>
      </c>
      <c r="L3768">
        <v>1354.53834770815</v>
      </c>
      <c r="M3768">
        <v>26.762087405923701</v>
      </c>
      <c r="N3768">
        <v>50.897145448257298</v>
      </c>
      <c r="O3768">
        <v>50.334011589465298</v>
      </c>
      <c r="P3768">
        <v>-0.123732689386849</v>
      </c>
      <c r="Q3768">
        <v>6.9146211493807605E-2</v>
      </c>
      <c r="R3768">
        <v>0.997354883264019</v>
      </c>
      <c r="S3768" t="s">
        <v>10438</v>
      </c>
      <c r="T3768" t="s">
        <v>13338</v>
      </c>
      <c r="U3768" t="s">
        <v>13338</v>
      </c>
      <c r="V3768" t="s">
        <v>13338</v>
      </c>
      <c r="W3768" t="s">
        <v>17055</v>
      </c>
      <c r="X3768">
        <v>19</v>
      </c>
      <c r="Y3768" t="s">
        <v>23571</v>
      </c>
      <c r="Z3768" t="s">
        <v>30183</v>
      </c>
      <c r="AA3768">
        <v>0.40579669587088057</v>
      </c>
      <c r="AB3768" t="str">
        <f>HYPERLINK("Melting_Curves/meltCurve_Q5EBM0_CMPK2.pdf", "Melting_Curves/meltCurve_Q5EBM0_CMPK2.pdf")</f>
        <v>Melting_Curves/meltCurve_Q5EBM0_CMPK2.pdf</v>
      </c>
    </row>
    <row r="3769" spans="1:28" x14ac:dyDescent="0.25">
      <c r="A3769" t="s">
        <v>3773</v>
      </c>
      <c r="B3769">
        <v>0.99193492352474899</v>
      </c>
      <c r="C3769">
        <v>0.67861825618549199</v>
      </c>
      <c r="D3769">
        <v>0.87668462192246599</v>
      </c>
      <c r="E3769">
        <v>0.39256968223019301</v>
      </c>
      <c r="F3769">
        <v>0.195100379811431</v>
      </c>
      <c r="G3769">
        <v>0.127789798419186</v>
      </c>
      <c r="H3769">
        <v>0.12682632196381599</v>
      </c>
      <c r="I3769">
        <v>0.21444338545196101</v>
      </c>
      <c r="J3769">
        <v>0.164270555153544</v>
      </c>
      <c r="K3769">
        <v>0.26758702332420298</v>
      </c>
      <c r="L3769">
        <v>984.82159276534696</v>
      </c>
      <c r="M3769">
        <v>20.685898920042</v>
      </c>
      <c r="N3769">
        <v>48.539210169975597</v>
      </c>
      <c r="O3769">
        <v>47.170142795080501</v>
      </c>
      <c r="P3769">
        <v>-9.1686141926592593E-2</v>
      </c>
      <c r="Q3769">
        <v>0.163734861941155</v>
      </c>
      <c r="R3769">
        <v>0.89074697361775801</v>
      </c>
      <c r="S3769" t="s">
        <v>10439</v>
      </c>
      <c r="T3769" t="s">
        <v>13338</v>
      </c>
      <c r="U3769" t="s">
        <v>13338</v>
      </c>
      <c r="V3769" t="s">
        <v>13338</v>
      </c>
      <c r="W3769" t="s">
        <v>17056</v>
      </c>
      <c r="X3769">
        <v>4</v>
      </c>
      <c r="Y3769" t="s">
        <v>23572</v>
      </c>
      <c r="Z3769" t="s">
        <v>30184</v>
      </c>
      <c r="AA3769">
        <v>0.38697534308237941</v>
      </c>
      <c r="AB3769" t="str">
        <f>HYPERLINK("Melting_Curves/meltCurve_Q5F1R6_DNAJC21.pdf", "Melting_Curves/meltCurve_Q5F1R6_DNAJC21.pdf")</f>
        <v>Melting_Curves/meltCurve_Q5F1R6_DNAJC21.pdf</v>
      </c>
    </row>
    <row r="3770" spans="1:28" x14ac:dyDescent="0.25">
      <c r="A3770" t="s">
        <v>3774</v>
      </c>
      <c r="B3770">
        <v>0.99193492352474899</v>
      </c>
      <c r="C3770">
        <v>1.2967445716250601</v>
      </c>
      <c r="D3770">
        <v>0.91538847374852295</v>
      </c>
      <c r="E3770">
        <v>0.76163643873868503</v>
      </c>
      <c r="F3770">
        <v>0.54518393573208801</v>
      </c>
      <c r="G3770">
        <v>0.176306119773431</v>
      </c>
      <c r="H3770">
        <v>0.15022896717100301</v>
      </c>
      <c r="I3770">
        <v>0.15690213745519899</v>
      </c>
      <c r="J3770">
        <v>0.154761930102987</v>
      </c>
      <c r="K3770">
        <v>0.241937675281199</v>
      </c>
      <c r="L3770">
        <v>1297.6506911629001</v>
      </c>
      <c r="M3770">
        <v>24.923868368308799</v>
      </c>
      <c r="N3770">
        <v>52.877988647596098</v>
      </c>
      <c r="O3770">
        <v>51.732898874505103</v>
      </c>
      <c r="P3770">
        <v>-0.10126799665779999</v>
      </c>
      <c r="Q3770">
        <v>0.15922941916118499</v>
      </c>
      <c r="R3770">
        <v>0.92956676606198896</v>
      </c>
      <c r="S3770" t="s">
        <v>10440</v>
      </c>
      <c r="T3770" t="s">
        <v>13338</v>
      </c>
      <c r="U3770" t="s">
        <v>13338</v>
      </c>
      <c r="V3770" t="s">
        <v>13338</v>
      </c>
      <c r="W3770" t="s">
        <v>17057</v>
      </c>
      <c r="X3770">
        <v>1</v>
      </c>
      <c r="Y3770" t="s">
        <v>23573</v>
      </c>
      <c r="Z3770" t="s">
        <v>30185</v>
      </c>
      <c r="AA3770">
        <v>0.50507284139034081</v>
      </c>
      <c r="AB3770" t="str">
        <f>HYPERLINK("Melting_Curves/meltCurve_Q5FBB7_5_SGOL1.pdf", "Melting_Curves/meltCurve_Q5FBB7_5_SGOL1.pdf")</f>
        <v>Melting_Curves/meltCurve_Q5FBB7_5_SGOL1.pdf</v>
      </c>
    </row>
    <row r="3771" spans="1:28" x14ac:dyDescent="0.25">
      <c r="A3771" t="s">
        <v>3775</v>
      </c>
      <c r="B3771">
        <v>0.99193492352474899</v>
      </c>
      <c r="C3771">
        <v>0.86549750021542604</v>
      </c>
      <c r="D3771">
        <v>0.87057758407077601</v>
      </c>
      <c r="E3771">
        <v>0.64137247216453497</v>
      </c>
      <c r="F3771">
        <v>0.21605920890803501</v>
      </c>
      <c r="G3771">
        <v>0.120454223704077</v>
      </c>
      <c r="H3771">
        <v>0.104822252852367</v>
      </c>
      <c r="I3771">
        <v>0.100631777539542</v>
      </c>
      <c r="J3771">
        <v>0.118787671779109</v>
      </c>
      <c r="K3771">
        <v>0.167283475669179</v>
      </c>
      <c r="L3771">
        <v>1289.0062269330999</v>
      </c>
      <c r="M3771">
        <v>25.8242862113492</v>
      </c>
      <c r="N3771">
        <v>50.393400831707098</v>
      </c>
      <c r="O3771">
        <v>49.6180699367684</v>
      </c>
      <c r="P3771">
        <v>-0.11595929851228</v>
      </c>
      <c r="Q3771">
        <v>0.10880657291281801</v>
      </c>
      <c r="R3771">
        <v>0.98003328801501199</v>
      </c>
      <c r="S3771" t="s">
        <v>10441</v>
      </c>
      <c r="T3771" t="s">
        <v>13338</v>
      </c>
      <c r="U3771" t="s">
        <v>13338</v>
      </c>
      <c r="V3771" t="s">
        <v>13338</v>
      </c>
      <c r="W3771" t="s">
        <v>17058</v>
      </c>
      <c r="X3771">
        <v>14</v>
      </c>
      <c r="Y3771" t="s">
        <v>23574</v>
      </c>
      <c r="Z3771" t="s">
        <v>30186</v>
      </c>
      <c r="AA3771">
        <v>0.4107854785619463</v>
      </c>
      <c r="AB3771" t="str">
        <f>HYPERLINK("Melting_Curves/meltCurve_Q5GLZ8_3_HERC4.pdf", "Melting_Curves/meltCurve_Q5GLZ8_3_HERC4.pdf")</f>
        <v>Melting_Curves/meltCurve_Q5GLZ8_3_HERC4.pdf</v>
      </c>
    </row>
    <row r="3772" spans="1:28" x14ac:dyDescent="0.25">
      <c r="A3772" t="s">
        <v>3776</v>
      </c>
      <c r="B3772">
        <v>0.99193492352474899</v>
      </c>
      <c r="C3772">
        <v>0.90050010214630205</v>
      </c>
      <c r="D3772">
        <v>0.86667032398278199</v>
      </c>
      <c r="E3772">
        <v>0.77217411935255897</v>
      </c>
      <c r="F3772">
        <v>0.62519586587753695</v>
      </c>
      <c r="G3772">
        <v>0.52134729611055797</v>
      </c>
      <c r="H3772">
        <v>0.32525019814070699</v>
      </c>
      <c r="I3772">
        <v>0.25133761168242902</v>
      </c>
      <c r="J3772">
        <v>0.21135781059604</v>
      </c>
      <c r="K3772">
        <v>0.17224255899407701</v>
      </c>
      <c r="L3772">
        <v>479.358392114352</v>
      </c>
      <c r="M3772">
        <v>8.49133290043169</v>
      </c>
      <c r="N3772">
        <v>56.4526674117634</v>
      </c>
      <c r="O3772">
        <v>53.582742294982502</v>
      </c>
      <c r="P3772">
        <v>-3.9653688457737701E-2</v>
      </c>
      <c r="Q3772">
        <v>0</v>
      </c>
      <c r="R3772">
        <v>0.99516920583206403</v>
      </c>
      <c r="S3772" t="s">
        <v>10442</v>
      </c>
      <c r="T3772" t="s">
        <v>13338</v>
      </c>
      <c r="U3772" t="s">
        <v>13338</v>
      </c>
      <c r="V3772" t="s">
        <v>13338</v>
      </c>
      <c r="W3772" t="s">
        <v>17059</v>
      </c>
      <c r="X3772">
        <v>1</v>
      </c>
      <c r="Y3772" t="s">
        <v>23575</v>
      </c>
      <c r="Z3772" t="s">
        <v>30187</v>
      </c>
      <c r="AA3772">
        <v>0.56565955267912782</v>
      </c>
      <c r="AB3772" t="str">
        <f>HYPERLINK("Melting_Curves/meltCurve_Q5H8X8_UTS2.pdf", "Melting_Curves/meltCurve_Q5H8X8_UTS2.pdf")</f>
        <v>Melting_Curves/meltCurve_Q5H8X8_UTS2.pdf</v>
      </c>
    </row>
    <row r="3773" spans="1:28" x14ac:dyDescent="0.25">
      <c r="A3773" t="s">
        <v>3777</v>
      </c>
      <c r="B3773">
        <v>0.99193492352474899</v>
      </c>
      <c r="C3773">
        <v>1.2515431083750901</v>
      </c>
      <c r="D3773">
        <v>0.83277781046958399</v>
      </c>
      <c r="E3773">
        <v>0.93303107484655401</v>
      </c>
      <c r="F3773">
        <v>0.46920722723397101</v>
      </c>
      <c r="G3773">
        <v>0.40714525119175199</v>
      </c>
      <c r="H3773">
        <v>0.279935993130625</v>
      </c>
      <c r="I3773">
        <v>0.40853748282117802</v>
      </c>
      <c r="J3773">
        <v>0.41119310931275299</v>
      </c>
      <c r="K3773">
        <v>0.55579044821645196</v>
      </c>
      <c r="L3773">
        <v>3076.1487852684099</v>
      </c>
      <c r="M3773">
        <v>60.020502820657597</v>
      </c>
      <c r="N3773">
        <v>52.778816474440902</v>
      </c>
      <c r="O3773">
        <v>51.194830917147797</v>
      </c>
      <c r="P3773">
        <v>-0.17235542579851101</v>
      </c>
      <c r="Q3773">
        <v>0.411954060766338</v>
      </c>
      <c r="R3773">
        <v>0.86317169861951404</v>
      </c>
      <c r="S3773" t="s">
        <v>10443</v>
      </c>
      <c r="T3773" t="s">
        <v>13338</v>
      </c>
      <c r="U3773" t="s">
        <v>13338</v>
      </c>
      <c r="V3773" t="s">
        <v>13338</v>
      </c>
      <c r="W3773" t="s">
        <v>17060</v>
      </c>
      <c r="X3773">
        <v>2</v>
      </c>
      <c r="Y3773" t="s">
        <v>23576</v>
      </c>
      <c r="Z3773" t="s">
        <v>30188</v>
      </c>
      <c r="AA3773">
        <v>0.63342428338402079</v>
      </c>
      <c r="AB3773" t="str">
        <f>HYPERLINK("Melting_Curves/meltCurve_Q5H937_PKIG.pdf", "Melting_Curves/meltCurve_Q5H937_PKIG.pdf")</f>
        <v>Melting_Curves/meltCurve_Q5H937_PKIG.pdf</v>
      </c>
    </row>
    <row r="3774" spans="1:28" x14ac:dyDescent="0.25">
      <c r="A3774" t="s">
        <v>3778</v>
      </c>
      <c r="B3774">
        <v>0.99193492352474899</v>
      </c>
      <c r="C3774">
        <v>0.85307181795792097</v>
      </c>
      <c r="D3774">
        <v>0.899126791916113</v>
      </c>
      <c r="E3774">
        <v>0.92959237801151695</v>
      </c>
      <c r="F3774">
        <v>0.70265435785367902</v>
      </c>
      <c r="G3774">
        <v>0.129338998644666</v>
      </c>
      <c r="H3774">
        <v>0</v>
      </c>
      <c r="I3774">
        <v>0</v>
      </c>
      <c r="J3774">
        <v>0</v>
      </c>
      <c r="K3774">
        <v>0</v>
      </c>
      <c r="L3774">
        <v>2216.2310080231</v>
      </c>
      <c r="M3774">
        <v>40.849255636318198</v>
      </c>
      <c r="N3774">
        <v>54.253902853702897</v>
      </c>
      <c r="O3774">
        <v>54.124352612173702</v>
      </c>
      <c r="P3774">
        <v>-0.18868277866484101</v>
      </c>
      <c r="Q3774">
        <v>0</v>
      </c>
      <c r="R3774">
        <v>0.98152015840620099</v>
      </c>
      <c r="S3774" t="s">
        <v>10444</v>
      </c>
      <c r="T3774" t="s">
        <v>13338</v>
      </c>
      <c r="U3774" t="s">
        <v>13338</v>
      </c>
      <c r="V3774" t="s">
        <v>13338</v>
      </c>
      <c r="W3774" t="s">
        <v>17061</v>
      </c>
      <c r="X3774">
        <v>1</v>
      </c>
      <c r="Y3774" t="s">
        <v>23577</v>
      </c>
      <c r="Z3774" t="s">
        <v>30189</v>
      </c>
      <c r="AA3774">
        <v>0.47871720044342742</v>
      </c>
      <c r="AB3774" t="str">
        <f>HYPERLINK("Melting_Curves/meltCurve_Q5HY62_CXorf40B.pdf", "Melting_Curves/meltCurve_Q5HY62_CXorf40B.pdf")</f>
        <v>Melting_Curves/meltCurve_Q5HY62_CXorf40B.pdf</v>
      </c>
    </row>
    <row r="3775" spans="1:28" x14ac:dyDescent="0.25">
      <c r="A3775" t="s">
        <v>3779</v>
      </c>
      <c r="B3775">
        <v>0.99193492352474899</v>
      </c>
      <c r="C3775">
        <v>0.93862384880314398</v>
      </c>
      <c r="D3775">
        <v>0.82675926399478095</v>
      </c>
      <c r="E3775">
        <v>0.667971862940959</v>
      </c>
      <c r="F3775">
        <v>0.24337685117003999</v>
      </c>
      <c r="G3775">
        <v>8.9264211126082599E-2</v>
      </c>
      <c r="H3775">
        <v>4.3770970236878301E-2</v>
      </c>
      <c r="I3775">
        <v>7.1213948336188299E-2</v>
      </c>
      <c r="J3775">
        <v>9.9200266509880994E-2</v>
      </c>
      <c r="K3775">
        <v>0.14629948685824101</v>
      </c>
      <c r="L3775">
        <v>1187.4253214238199</v>
      </c>
      <c r="M3775">
        <v>23.6410197545421</v>
      </c>
      <c r="N3775">
        <v>50.569670644415901</v>
      </c>
      <c r="O3775">
        <v>49.872085752551598</v>
      </c>
      <c r="P3775">
        <v>-0.10974693179377699</v>
      </c>
      <c r="Q3775">
        <v>7.3945766015435399E-2</v>
      </c>
      <c r="R3775">
        <v>0.98420130163265396</v>
      </c>
      <c r="S3775" t="s">
        <v>10445</v>
      </c>
      <c r="T3775" t="s">
        <v>13338</v>
      </c>
      <c r="U3775" t="s">
        <v>13338</v>
      </c>
      <c r="V3775" t="s">
        <v>13338</v>
      </c>
      <c r="W3775" t="s">
        <v>17062</v>
      </c>
      <c r="X3775">
        <v>3</v>
      </c>
      <c r="Y3775" t="s">
        <v>23578</v>
      </c>
      <c r="Z3775" t="s">
        <v>30190</v>
      </c>
      <c r="AA3775">
        <v>0.39892291416955089</v>
      </c>
      <c r="AB3775" t="str">
        <f>HYPERLINK("Melting_Curves/meltCurve_Q5HYI8_RABL3.pdf", "Melting_Curves/meltCurve_Q5HYI8_RABL3.pdf")</f>
        <v>Melting_Curves/meltCurve_Q5HYI8_RABL3.pdf</v>
      </c>
    </row>
    <row r="3776" spans="1:28" x14ac:dyDescent="0.25">
      <c r="A3776" t="s">
        <v>3780</v>
      </c>
      <c r="B3776">
        <v>0.99193492352474899</v>
      </c>
      <c r="C3776">
        <v>1.01566028861105</v>
      </c>
      <c r="D3776">
        <v>0.92930856322064004</v>
      </c>
      <c r="E3776">
        <v>0.77094967056550601</v>
      </c>
      <c r="F3776">
        <v>0.65400018848945296</v>
      </c>
      <c r="G3776">
        <v>0.58157628276835605</v>
      </c>
      <c r="H3776">
        <v>0.444013037410947</v>
      </c>
      <c r="I3776">
        <v>0.54990066967581097</v>
      </c>
      <c r="J3776">
        <v>0.63548333633960696</v>
      </c>
      <c r="K3776">
        <v>0.77055547009924896</v>
      </c>
      <c r="L3776">
        <v>1376.1648321954201</v>
      </c>
      <c r="M3776">
        <v>28.072262517200699</v>
      </c>
      <c r="O3776">
        <v>48.775484782772999</v>
      </c>
      <c r="P3776">
        <v>-5.7911955347747103E-2</v>
      </c>
      <c r="Q3776">
        <v>0.59751591593161901</v>
      </c>
      <c r="R3776">
        <v>0.82712853699836697</v>
      </c>
      <c r="S3776" t="s">
        <v>10446</v>
      </c>
      <c r="T3776" t="s">
        <v>13338</v>
      </c>
      <c r="U3776" t="s">
        <v>13338</v>
      </c>
      <c r="V3776" t="s">
        <v>13338</v>
      </c>
      <c r="W3776" t="s">
        <v>17063</v>
      </c>
      <c r="X3776">
        <v>7</v>
      </c>
      <c r="Y3776" t="s">
        <v>23579</v>
      </c>
      <c r="Z3776" t="s">
        <v>30191</v>
      </c>
      <c r="AA3776">
        <v>0.72136953329857434</v>
      </c>
      <c r="AB3776" t="str">
        <f>HYPERLINK("Melting_Curves/meltCurve_Q5HYK3_COQ5.pdf", "Melting_Curves/meltCurve_Q5HYK3_COQ5.pdf")</f>
        <v>Melting_Curves/meltCurve_Q5HYK3_COQ5.pdf</v>
      </c>
    </row>
    <row r="3777" spans="1:28" x14ac:dyDescent="0.25">
      <c r="A3777" t="s">
        <v>3781</v>
      </c>
      <c r="B3777">
        <v>0.99193492352474899</v>
      </c>
      <c r="C3777">
        <v>1.3827213917948999</v>
      </c>
      <c r="D3777">
        <v>1.08842643993036</v>
      </c>
      <c r="E3777">
        <v>1.0440021680803899</v>
      </c>
      <c r="F3777">
        <v>0.75765409365397496</v>
      </c>
      <c r="G3777">
        <v>0.51657596290801</v>
      </c>
      <c r="H3777">
        <v>0.21444086906129201</v>
      </c>
      <c r="I3777">
        <v>0.13828316108943101</v>
      </c>
      <c r="J3777">
        <v>0.11944573496793801</v>
      </c>
      <c r="K3777">
        <v>0.12155306245869101</v>
      </c>
      <c r="L3777">
        <v>1389.1920533847899</v>
      </c>
      <c r="M3777">
        <v>24.760253505083</v>
      </c>
      <c r="N3777">
        <v>56.655068199999199</v>
      </c>
      <c r="O3777">
        <v>55.743604187355601</v>
      </c>
      <c r="P3777">
        <v>-9.9195869525097402E-2</v>
      </c>
      <c r="Q3777">
        <v>0.106720423637302</v>
      </c>
      <c r="R3777">
        <v>0.91870053293031095</v>
      </c>
      <c r="S3777" t="s">
        <v>10447</v>
      </c>
      <c r="T3777" t="s">
        <v>13338</v>
      </c>
      <c r="U3777" t="s">
        <v>13338</v>
      </c>
      <c r="V3777" t="s">
        <v>13338</v>
      </c>
      <c r="W3777" t="s">
        <v>17064</v>
      </c>
      <c r="X3777">
        <v>32</v>
      </c>
      <c r="Y3777" t="s">
        <v>23580</v>
      </c>
      <c r="Z3777" t="s">
        <v>30192</v>
      </c>
      <c r="AA3777">
        <v>0.59460375899802653</v>
      </c>
      <c r="AB3777" t="str">
        <f>HYPERLINK("Melting_Curves/meltCurve_Q5JP53_TUBB.pdf", "Melting_Curves/meltCurve_Q5JP53_TUBB.pdf")</f>
        <v>Melting_Curves/meltCurve_Q5JP53_TUBB.pdf</v>
      </c>
    </row>
    <row r="3778" spans="1:28" x14ac:dyDescent="0.25">
      <c r="A3778" t="s">
        <v>3782</v>
      </c>
      <c r="B3778">
        <v>0.99193492352474899</v>
      </c>
      <c r="C3778">
        <v>0.97663454174481601</v>
      </c>
      <c r="D3778">
        <v>0.94976986096018401</v>
      </c>
      <c r="E3778">
        <v>0.77012829100401303</v>
      </c>
      <c r="F3778">
        <v>0.354592738021063</v>
      </c>
      <c r="G3778">
        <v>0.15439854617354801</v>
      </c>
      <c r="H3778">
        <v>9.3022772524590999E-2</v>
      </c>
      <c r="I3778">
        <v>0.101181517226423</v>
      </c>
      <c r="J3778">
        <v>0.116198025679529</v>
      </c>
      <c r="K3778">
        <v>0.11978466046827201</v>
      </c>
      <c r="L3778">
        <v>1457.3393638647501</v>
      </c>
      <c r="M3778">
        <v>28.344292403728101</v>
      </c>
      <c r="N3778">
        <v>51.836158461525898</v>
      </c>
      <c r="O3778">
        <v>51.161722649920399</v>
      </c>
      <c r="P3778">
        <v>-0.124278095637384</v>
      </c>
      <c r="Q3778">
        <v>0.102714464951145</v>
      </c>
      <c r="R3778">
        <v>0.998799051020828</v>
      </c>
      <c r="S3778" t="s">
        <v>10448</v>
      </c>
      <c r="T3778" t="s">
        <v>13338</v>
      </c>
      <c r="U3778" t="s">
        <v>13338</v>
      </c>
      <c r="V3778" t="s">
        <v>13338</v>
      </c>
      <c r="W3778" t="s">
        <v>17065</v>
      </c>
      <c r="X3778">
        <v>29</v>
      </c>
      <c r="Y3778" t="s">
        <v>23581</v>
      </c>
      <c r="Z3778" t="s">
        <v>30193</v>
      </c>
      <c r="AA3778">
        <v>0.45050944663042441</v>
      </c>
      <c r="AB3778" t="str">
        <f>HYPERLINK("Melting_Curves/meltCurve_Q5JPE7_2_NOMO2.pdf", "Melting_Curves/meltCurve_Q5JPE7_2_NOMO2.pdf")</f>
        <v>Melting_Curves/meltCurve_Q5JPE7_2_NOMO2.pdf</v>
      </c>
    </row>
    <row r="3779" spans="1:28" x14ac:dyDescent="0.25">
      <c r="A3779" t="s">
        <v>3783</v>
      </c>
      <c r="B3779">
        <v>0.99193492352474899</v>
      </c>
      <c r="C3779">
        <v>0.84279942698919896</v>
      </c>
      <c r="D3779">
        <v>0.66872430637208302</v>
      </c>
      <c r="E3779">
        <v>0.28764145257541801</v>
      </c>
      <c r="F3779">
        <v>0.115422722575465</v>
      </c>
      <c r="G3779">
        <v>9.4262296268601206E-2</v>
      </c>
      <c r="H3779">
        <v>5.3801917372991198E-2</v>
      </c>
      <c r="I3779">
        <v>6.5981183423115194E-2</v>
      </c>
      <c r="J3779">
        <v>5.1946424448928497E-2</v>
      </c>
      <c r="K3779">
        <v>7.0697535002517201E-2</v>
      </c>
      <c r="L3779">
        <v>974.75981424458701</v>
      </c>
      <c r="M3779">
        <v>20.716998260277499</v>
      </c>
      <c r="N3779">
        <v>47.319358928274497</v>
      </c>
      <c r="O3779">
        <v>46.619393054276799</v>
      </c>
      <c r="P3779">
        <v>-0.10494635491090799</v>
      </c>
      <c r="Q3779">
        <v>5.5384999812104901E-2</v>
      </c>
      <c r="R3779">
        <v>0.99647948217969395</v>
      </c>
      <c r="S3779" t="s">
        <v>10449</v>
      </c>
      <c r="T3779" t="s">
        <v>13338</v>
      </c>
      <c r="U3779" t="s">
        <v>13338</v>
      </c>
      <c r="V3779" t="s">
        <v>13338</v>
      </c>
      <c r="W3779" t="s">
        <v>17066</v>
      </c>
      <c r="X3779">
        <v>3</v>
      </c>
      <c r="Y3779" t="s">
        <v>23582</v>
      </c>
      <c r="Z3779" t="s">
        <v>30194</v>
      </c>
      <c r="AA3779">
        <v>0.29017506363406897</v>
      </c>
      <c r="AB3779" t="str">
        <f>HYPERLINK("Melting_Curves/meltCurve_Q5JPI9_METTL10.pdf", "Melting_Curves/meltCurve_Q5JPI9_METTL10.pdf")</f>
        <v>Melting_Curves/meltCurve_Q5JPI9_METTL10.pdf</v>
      </c>
    </row>
    <row r="3780" spans="1:28" x14ac:dyDescent="0.25">
      <c r="A3780" t="s">
        <v>3784</v>
      </c>
      <c r="B3780">
        <v>0.99193492352474899</v>
      </c>
      <c r="C3780">
        <v>1.0833066606947801</v>
      </c>
      <c r="D3780">
        <v>0.87617295240516102</v>
      </c>
      <c r="E3780">
        <v>0.89671750648605697</v>
      </c>
      <c r="F3780">
        <v>0.53547420152611502</v>
      </c>
      <c r="G3780">
        <v>0.41196011554629097</v>
      </c>
      <c r="H3780">
        <v>0.302511167495566</v>
      </c>
      <c r="I3780">
        <v>0.25487266238668599</v>
      </c>
      <c r="J3780">
        <v>0.185468084789284</v>
      </c>
      <c r="K3780">
        <v>0.124798255604142</v>
      </c>
      <c r="L3780">
        <v>848.03864885927896</v>
      </c>
      <c r="M3780">
        <v>15.800964097895699</v>
      </c>
      <c r="N3780">
        <v>54.954220019811402</v>
      </c>
      <c r="O3780">
        <v>52.832478387642702</v>
      </c>
      <c r="P3780">
        <v>-6.3232402046596595E-2</v>
      </c>
      <c r="Q3780">
        <v>0.15436822013208501</v>
      </c>
      <c r="R3780">
        <v>0.97400096094387001</v>
      </c>
      <c r="S3780" t="s">
        <v>10450</v>
      </c>
      <c r="T3780" t="s">
        <v>13338</v>
      </c>
      <c r="U3780" t="s">
        <v>13338</v>
      </c>
      <c r="V3780" t="s">
        <v>13338</v>
      </c>
      <c r="W3780" t="s">
        <v>17067</v>
      </c>
      <c r="X3780">
        <v>9</v>
      </c>
      <c r="Y3780" t="s">
        <v>23583</v>
      </c>
      <c r="Z3780" t="s">
        <v>30195</v>
      </c>
      <c r="AA3780">
        <v>0.55616781718001229</v>
      </c>
      <c r="AB3780" t="str">
        <f>HYPERLINK("Melting_Curves/meltCurve_Q5JR08_RHOC.pdf", "Melting_Curves/meltCurve_Q5JR08_RHOC.pdf")</f>
        <v>Melting_Curves/meltCurve_Q5JR08_RHOC.pdf</v>
      </c>
    </row>
    <row r="3781" spans="1:28" x14ac:dyDescent="0.25">
      <c r="A3781" t="s">
        <v>3785</v>
      </c>
      <c r="B3781">
        <v>0.99193492352474899</v>
      </c>
      <c r="C3781">
        <v>0.99433312383817096</v>
      </c>
      <c r="D3781">
        <v>0.72421381636637805</v>
      </c>
      <c r="E3781">
        <v>0.35415954735439298</v>
      </c>
      <c r="F3781">
        <v>0.203785994803315</v>
      </c>
      <c r="G3781">
        <v>0.133024168055348</v>
      </c>
      <c r="H3781">
        <v>0.101135406911602</v>
      </c>
      <c r="I3781">
        <v>0.14880036386575901</v>
      </c>
      <c r="J3781">
        <v>0.168385472741858</v>
      </c>
      <c r="K3781">
        <v>0.242991179572488</v>
      </c>
      <c r="L3781">
        <v>1339.2565497041501</v>
      </c>
      <c r="M3781">
        <v>28.2951626832097</v>
      </c>
      <c r="N3781">
        <v>47.985286774472797</v>
      </c>
      <c r="O3781">
        <v>47.097116442267001</v>
      </c>
      <c r="P3781">
        <v>-0.126176693761756</v>
      </c>
      <c r="Q3781">
        <v>0.159925700256357</v>
      </c>
      <c r="R3781">
        <v>0.98791054431358605</v>
      </c>
      <c r="S3781" t="s">
        <v>10451</v>
      </c>
      <c r="T3781" t="s">
        <v>13338</v>
      </c>
      <c r="U3781" t="s">
        <v>13338</v>
      </c>
      <c r="V3781" t="s">
        <v>13338</v>
      </c>
      <c r="W3781" t="s">
        <v>17068</v>
      </c>
      <c r="X3781">
        <v>29</v>
      </c>
      <c r="Y3781" t="s">
        <v>23584</v>
      </c>
      <c r="Z3781" t="s">
        <v>30196</v>
      </c>
      <c r="AA3781">
        <v>0.37093836452296192</v>
      </c>
      <c r="AB3781" t="str">
        <f>HYPERLINK("Melting_Curves/meltCurve_Q5JRA6_MIA3.pdf", "Melting_Curves/meltCurve_Q5JRA6_MIA3.pdf")</f>
        <v>Melting_Curves/meltCurve_Q5JRA6_MIA3.pdf</v>
      </c>
    </row>
    <row r="3782" spans="1:28" x14ac:dyDescent="0.25">
      <c r="A3782" t="s">
        <v>3786</v>
      </c>
      <c r="B3782">
        <v>0.99193492352474899</v>
      </c>
      <c r="C3782">
        <v>0.74132378458201598</v>
      </c>
      <c r="D3782">
        <v>0.70911162152578</v>
      </c>
      <c r="E3782">
        <v>0.47807422107626801</v>
      </c>
      <c r="F3782">
        <v>0.33340471882810502</v>
      </c>
      <c r="G3782">
        <v>0.248317353120977</v>
      </c>
      <c r="H3782">
        <v>0.28275928835832997</v>
      </c>
      <c r="I3782">
        <v>0.520205212660654</v>
      </c>
      <c r="J3782">
        <v>0.665384345738394</v>
      </c>
      <c r="K3782">
        <v>1.09738032838238</v>
      </c>
      <c r="L3782">
        <v>1140.55009731057</v>
      </c>
      <c r="M3782">
        <v>26.2866924628118</v>
      </c>
      <c r="O3782">
        <v>43.1401081948257</v>
      </c>
      <c r="P3782">
        <v>-7.2522598904229796E-2</v>
      </c>
      <c r="Q3782">
        <v>0.523926700169694</v>
      </c>
      <c r="R3782">
        <v>0.28389094183692698</v>
      </c>
      <c r="S3782" t="s">
        <v>10452</v>
      </c>
      <c r="T3782" t="s">
        <v>13338</v>
      </c>
      <c r="U3782" t="s">
        <v>13338</v>
      </c>
      <c r="V3782" t="s">
        <v>13338</v>
      </c>
      <c r="W3782" t="s">
        <v>17069</v>
      </c>
      <c r="X3782">
        <v>11</v>
      </c>
      <c r="Y3782" t="s">
        <v>23585</v>
      </c>
      <c r="Z3782" t="s">
        <v>30197</v>
      </c>
      <c r="AA3782">
        <v>0.58317988412597055</v>
      </c>
      <c r="AB3782" t="str">
        <f>HYPERLINK("Melting_Curves/meltCurve_Q5JRI1_SRSF10.pdf", "Melting_Curves/meltCurve_Q5JRI1_SRSF10.pdf")</f>
        <v>Melting_Curves/meltCurve_Q5JRI1_SRSF10.pdf</v>
      </c>
    </row>
    <row r="3783" spans="1:28" x14ac:dyDescent="0.25">
      <c r="A3783" t="s">
        <v>3787</v>
      </c>
      <c r="B3783">
        <v>0.99193492352474899</v>
      </c>
      <c r="C3783">
        <v>0.90492801075848495</v>
      </c>
      <c r="D3783">
        <v>0.867533580729828</v>
      </c>
      <c r="E3783">
        <v>0.57420442593849996</v>
      </c>
      <c r="F3783">
        <v>0.26459780860155502</v>
      </c>
      <c r="G3783">
        <v>0.154697497544382</v>
      </c>
      <c r="H3783">
        <v>8.7422570730077198E-2</v>
      </c>
      <c r="I3783">
        <v>8.8491120453071004E-2</v>
      </c>
      <c r="J3783">
        <v>9.2588510298641999E-2</v>
      </c>
      <c r="K3783">
        <v>8.5986989232520794E-2</v>
      </c>
      <c r="L3783">
        <v>995.07551780084202</v>
      </c>
      <c r="M3783">
        <v>19.962519324206301</v>
      </c>
      <c r="N3783">
        <v>50.267644710059898</v>
      </c>
      <c r="O3783">
        <v>49.3550731981192</v>
      </c>
      <c r="P3783">
        <v>-9.3345235783532599E-2</v>
      </c>
      <c r="Q3783">
        <v>7.6888365647275594E-2</v>
      </c>
      <c r="R3783">
        <v>0.99651633045562305</v>
      </c>
      <c r="S3783" t="s">
        <v>10453</v>
      </c>
      <c r="T3783" t="s">
        <v>13338</v>
      </c>
      <c r="U3783" t="s">
        <v>13338</v>
      </c>
      <c r="V3783" t="s">
        <v>13338</v>
      </c>
      <c r="W3783" t="s">
        <v>17070</v>
      </c>
      <c r="X3783">
        <v>28</v>
      </c>
      <c r="Y3783" t="s">
        <v>23586</v>
      </c>
      <c r="Z3783" t="s">
        <v>30198</v>
      </c>
      <c r="AA3783">
        <v>0.39279667263302021</v>
      </c>
      <c r="AB3783" t="str">
        <f>HYPERLINK("Melting_Curves/meltCurve_Q5JRX3_PITRM1.pdf", "Melting_Curves/meltCurve_Q5JRX3_PITRM1.pdf")</f>
        <v>Melting_Curves/meltCurve_Q5JRX3_PITRM1.pdf</v>
      </c>
    </row>
    <row r="3784" spans="1:28" x14ac:dyDescent="0.25">
      <c r="A3784" t="s">
        <v>3788</v>
      </c>
      <c r="B3784">
        <v>0.99193492352474899</v>
      </c>
      <c r="C3784">
        <v>0.89013386537880002</v>
      </c>
      <c r="D3784">
        <v>0.92171961362041099</v>
      </c>
      <c r="E3784">
        <v>0.69654110263767</v>
      </c>
      <c r="F3784">
        <v>0.69743416303757599</v>
      </c>
      <c r="G3784">
        <v>0.51669085691789995</v>
      </c>
      <c r="H3784">
        <v>0.45516456515450698</v>
      </c>
      <c r="I3784">
        <v>0.51378714016659</v>
      </c>
      <c r="J3784">
        <v>0.70564484381633696</v>
      </c>
      <c r="K3784">
        <v>0.73315847165804005</v>
      </c>
      <c r="L3784">
        <v>1032.01579011645</v>
      </c>
      <c r="M3784">
        <v>21.574727475472798</v>
      </c>
      <c r="O3784">
        <v>47.429203697291797</v>
      </c>
      <c r="P3784">
        <v>-4.6479116977637402E-2</v>
      </c>
      <c r="Q3784">
        <v>0.59129693190177102</v>
      </c>
      <c r="R3784">
        <v>0.73434684634327096</v>
      </c>
      <c r="S3784" t="s">
        <v>10454</v>
      </c>
      <c r="T3784" t="s">
        <v>13338</v>
      </c>
      <c r="U3784" t="s">
        <v>13338</v>
      </c>
      <c r="V3784" t="s">
        <v>13338</v>
      </c>
      <c r="W3784" t="s">
        <v>17071</v>
      </c>
      <c r="X3784">
        <v>3</v>
      </c>
      <c r="Y3784" t="s">
        <v>23587</v>
      </c>
      <c r="Z3784" t="s">
        <v>30199</v>
      </c>
      <c r="AA3784">
        <v>0.70298568906674386</v>
      </c>
      <c r="AB3784" t="str">
        <f>HYPERLINK("Melting_Curves/meltCurve_Q5JS37_2_NHLRC3.pdf", "Melting_Curves/meltCurve_Q5JS37_2_NHLRC3.pdf")</f>
        <v>Melting_Curves/meltCurve_Q5JS37_2_NHLRC3.pdf</v>
      </c>
    </row>
    <row r="3785" spans="1:28" x14ac:dyDescent="0.25">
      <c r="A3785" t="s">
        <v>3789</v>
      </c>
      <c r="B3785">
        <v>0.99193492352474899</v>
      </c>
      <c r="C3785">
        <v>1.05293701643397</v>
      </c>
      <c r="D3785">
        <v>0.86028512875510799</v>
      </c>
      <c r="E3785">
        <v>0.87540895514197103</v>
      </c>
      <c r="F3785">
        <v>0.68531950246936002</v>
      </c>
      <c r="G3785">
        <v>0.616216726502401</v>
      </c>
      <c r="H3785">
        <v>0.45638948079278502</v>
      </c>
      <c r="I3785">
        <v>0.53580848938160297</v>
      </c>
      <c r="J3785">
        <v>0.515295077785343</v>
      </c>
      <c r="K3785">
        <v>0.45834787513290498</v>
      </c>
      <c r="L3785">
        <v>791.92812006769395</v>
      </c>
      <c r="M3785">
        <v>15.1498604939032</v>
      </c>
      <c r="N3785">
        <v>63.808904074715798</v>
      </c>
      <c r="O3785">
        <v>51.387587903554397</v>
      </c>
      <c r="P3785">
        <v>-3.9237872170697401E-2</v>
      </c>
      <c r="Q3785">
        <v>0.46768013801272501</v>
      </c>
      <c r="R3785">
        <v>0.95316903490177696</v>
      </c>
      <c r="S3785" t="s">
        <v>10455</v>
      </c>
      <c r="T3785" t="s">
        <v>13338</v>
      </c>
      <c r="U3785" t="s">
        <v>13338</v>
      </c>
      <c r="V3785" t="s">
        <v>13338</v>
      </c>
      <c r="W3785" t="s">
        <v>17072</v>
      </c>
      <c r="X3785">
        <v>5</v>
      </c>
      <c r="Y3785" t="s">
        <v>23588</v>
      </c>
      <c r="Z3785" t="s">
        <v>30200</v>
      </c>
      <c r="AA3785">
        <v>0.69706296048499738</v>
      </c>
      <c r="AB3785" t="str">
        <f>HYPERLINK("Melting_Curves/meltCurve_Q5JS54_PSMG4.pdf", "Melting_Curves/meltCurve_Q5JS54_PSMG4.pdf")</f>
        <v>Melting_Curves/meltCurve_Q5JS54_PSMG4.pdf</v>
      </c>
    </row>
    <row r="3786" spans="1:28" x14ac:dyDescent="0.25">
      <c r="A3786" t="s">
        <v>3790</v>
      </c>
      <c r="B3786">
        <v>0.99193492352474899</v>
      </c>
      <c r="C3786">
        <v>0.79488464442261197</v>
      </c>
      <c r="D3786">
        <v>0.98164342580070796</v>
      </c>
      <c r="E3786">
        <v>0.72464555945347398</v>
      </c>
      <c r="F3786">
        <v>0.72016441957767197</v>
      </c>
      <c r="G3786">
        <v>0.354517740919993</v>
      </c>
      <c r="H3786">
        <v>0.115380587893221</v>
      </c>
      <c r="I3786">
        <v>0.12245312887748</v>
      </c>
      <c r="J3786">
        <v>0.126347238063206</v>
      </c>
      <c r="K3786">
        <v>0.17963145320733401</v>
      </c>
      <c r="L3786">
        <v>857.21693470386504</v>
      </c>
      <c r="M3786">
        <v>15.869232453404701</v>
      </c>
      <c r="N3786">
        <v>54.605039129363497</v>
      </c>
      <c r="O3786">
        <v>53.181593223172598</v>
      </c>
      <c r="P3786">
        <v>-6.8750173614834306E-2</v>
      </c>
      <c r="Q3786">
        <v>7.8481547807608396E-2</v>
      </c>
      <c r="R3786">
        <v>0.935161955625608</v>
      </c>
      <c r="S3786" t="s">
        <v>10456</v>
      </c>
      <c r="T3786" t="s">
        <v>13338</v>
      </c>
      <c r="U3786" t="s">
        <v>13338</v>
      </c>
      <c r="V3786" t="s">
        <v>13338</v>
      </c>
      <c r="W3786" t="s">
        <v>17073</v>
      </c>
      <c r="X3786">
        <v>27</v>
      </c>
      <c r="Y3786" t="s">
        <v>23589</v>
      </c>
      <c r="Z3786" t="s">
        <v>30201</v>
      </c>
      <c r="AA3786">
        <v>0.52664154524663975</v>
      </c>
      <c r="AB3786" t="str">
        <f>HYPERLINK("Melting_Curves/meltCurve_Q5JSH3_2_WDR44.pdf", "Melting_Curves/meltCurve_Q5JSH3_2_WDR44.pdf")</f>
        <v>Melting_Curves/meltCurve_Q5JSH3_2_WDR44.pdf</v>
      </c>
    </row>
    <row r="3787" spans="1:28" x14ac:dyDescent="0.25">
      <c r="A3787" t="s">
        <v>3791</v>
      </c>
      <c r="B3787">
        <v>0.99193492352474899</v>
      </c>
      <c r="C3787">
        <v>0.62566479444617196</v>
      </c>
      <c r="D3787">
        <v>0.95440868758491004</v>
      </c>
      <c r="E3787">
        <v>0.61611216913107103</v>
      </c>
      <c r="F3787">
        <v>0.75721375650615796</v>
      </c>
      <c r="G3787">
        <v>0.41939497793159503</v>
      </c>
      <c r="H3787">
        <v>0.47626181369029702</v>
      </c>
      <c r="I3787">
        <v>0.49871633384069702</v>
      </c>
      <c r="J3787">
        <v>0.88316148037110598</v>
      </c>
      <c r="K3787">
        <v>1.2385653344016601</v>
      </c>
      <c r="L3787">
        <v>10140.8726188041</v>
      </c>
      <c r="M3787">
        <v>250</v>
      </c>
      <c r="O3787">
        <v>40.560894681099597</v>
      </c>
      <c r="P3787">
        <v>-0.43324789031715599</v>
      </c>
      <c r="Q3787">
        <v>0.71883324753169997</v>
      </c>
      <c r="R3787">
        <v>0.10531093038351</v>
      </c>
      <c r="S3787" t="s">
        <v>10457</v>
      </c>
      <c r="T3787" t="s">
        <v>13338</v>
      </c>
      <c r="U3787" t="s">
        <v>13338</v>
      </c>
      <c r="V3787" t="s">
        <v>13338</v>
      </c>
      <c r="W3787" t="s">
        <v>17074</v>
      </c>
      <c r="X3787">
        <v>9</v>
      </c>
      <c r="Y3787" t="s">
        <v>23590</v>
      </c>
      <c r="Z3787" t="s">
        <v>30202</v>
      </c>
      <c r="AA3787">
        <v>0.72417714176774084</v>
      </c>
      <c r="AB3787" t="str">
        <f>HYPERLINK("Melting_Curves/meltCurve_Q5JSL0_HMGN5.pdf", "Melting_Curves/meltCurve_Q5JSL0_HMGN5.pdf")</f>
        <v>Melting_Curves/meltCurve_Q5JSL0_HMGN5.pdf</v>
      </c>
    </row>
    <row r="3788" spans="1:28" x14ac:dyDescent="0.25">
      <c r="A3788" t="s">
        <v>3792</v>
      </c>
      <c r="B3788">
        <v>0.99193492352474899</v>
      </c>
      <c r="C3788">
        <v>0.78976236719908399</v>
      </c>
      <c r="D3788">
        <v>0.64568465204203795</v>
      </c>
      <c r="E3788">
        <v>0.185111174462602</v>
      </c>
      <c r="F3788">
        <v>0.135232824557277</v>
      </c>
      <c r="G3788">
        <v>8.1099814184870195E-2</v>
      </c>
      <c r="H3788">
        <v>4.7467424921337001E-2</v>
      </c>
      <c r="I3788">
        <v>6.5534464057708006E-2</v>
      </c>
      <c r="J3788">
        <v>7.2087195122276806E-2</v>
      </c>
      <c r="K3788">
        <v>7.5983914036005698E-2</v>
      </c>
      <c r="L3788">
        <v>1008.51963706527</v>
      </c>
      <c r="M3788">
        <v>21.732537525999199</v>
      </c>
      <c r="N3788">
        <v>46.685830799543702</v>
      </c>
      <c r="O3788">
        <v>46.018423397147401</v>
      </c>
      <c r="P3788">
        <v>-0.11085650856593</v>
      </c>
      <c r="Q3788">
        <v>6.1072083504132901E-2</v>
      </c>
      <c r="R3788">
        <v>0.98629552167115397</v>
      </c>
      <c r="S3788" t="s">
        <v>10458</v>
      </c>
      <c r="T3788" t="s">
        <v>13338</v>
      </c>
      <c r="U3788" t="s">
        <v>13338</v>
      </c>
      <c r="V3788" t="s">
        <v>13338</v>
      </c>
      <c r="W3788" t="s">
        <v>17075</v>
      </c>
      <c r="X3788">
        <v>8</v>
      </c>
      <c r="Y3788" t="s">
        <v>23591</v>
      </c>
      <c r="Z3788" t="s">
        <v>30203</v>
      </c>
      <c r="AA3788">
        <v>0.27327883844669432</v>
      </c>
      <c r="AB3788" t="str">
        <f>HYPERLINK("Melting_Curves/meltCurve_Q5JSP0_FGD3.pdf", "Melting_Curves/meltCurve_Q5JSP0_FGD3.pdf")</f>
        <v>Melting_Curves/meltCurve_Q5JSP0_FGD3.pdf</v>
      </c>
    </row>
    <row r="3789" spans="1:28" x14ac:dyDescent="0.25">
      <c r="A3789" t="s">
        <v>3793</v>
      </c>
      <c r="B3789">
        <v>0.99193492352474899</v>
      </c>
      <c r="C3789">
        <v>0.80415065711812495</v>
      </c>
      <c r="D3789">
        <v>0.82413465624333004</v>
      </c>
      <c r="E3789">
        <v>0.63145011130255002</v>
      </c>
      <c r="F3789">
        <v>0.57478904969968903</v>
      </c>
      <c r="G3789">
        <v>0.34241938037367398</v>
      </c>
      <c r="H3789">
        <v>0.369043264823675</v>
      </c>
      <c r="I3789">
        <v>0.41665240394436498</v>
      </c>
      <c r="J3789">
        <v>0.49661351701321899</v>
      </c>
      <c r="K3789">
        <v>0.64987249408985603</v>
      </c>
      <c r="L3789">
        <v>756.66010146715905</v>
      </c>
      <c r="M3789">
        <v>16.1573248331805</v>
      </c>
      <c r="N3789">
        <v>55.309134546608803</v>
      </c>
      <c r="O3789">
        <v>46.131032693048198</v>
      </c>
      <c r="P3789">
        <v>-4.7462919377415903E-2</v>
      </c>
      <c r="Q3789">
        <v>0.45799242980171201</v>
      </c>
      <c r="R3789">
        <v>0.79063761421182399</v>
      </c>
      <c r="S3789" t="s">
        <v>10459</v>
      </c>
      <c r="T3789" t="s">
        <v>13338</v>
      </c>
      <c r="U3789" t="s">
        <v>13338</v>
      </c>
      <c r="V3789" t="s">
        <v>13338</v>
      </c>
      <c r="W3789" t="s">
        <v>17076</v>
      </c>
      <c r="X3789">
        <v>25</v>
      </c>
      <c r="Y3789" t="s">
        <v>20765</v>
      </c>
      <c r="Z3789" t="s">
        <v>30204</v>
      </c>
      <c r="AA3789">
        <v>0.59414039243225814</v>
      </c>
      <c r="AB3789" t="str">
        <f>HYPERLINK("Melting_Curves/meltCurve_Q5JSZ5_PRRC2B.pdf", "Melting_Curves/meltCurve_Q5JSZ5_PRRC2B.pdf")</f>
        <v>Melting_Curves/meltCurve_Q5JSZ5_PRRC2B.pdf</v>
      </c>
    </row>
    <row r="3790" spans="1:28" x14ac:dyDescent="0.25">
      <c r="A3790" t="s">
        <v>3794</v>
      </c>
      <c r="B3790">
        <v>0.99193492352474899</v>
      </c>
      <c r="C3790">
        <v>0.867751090010214</v>
      </c>
      <c r="D3790">
        <v>0.75328199363500203</v>
      </c>
      <c r="E3790">
        <v>0.416898533297964</v>
      </c>
      <c r="F3790">
        <v>0.29343726052232699</v>
      </c>
      <c r="G3790">
        <v>0.168843924209191</v>
      </c>
      <c r="H3790">
        <v>0.13656252372979499</v>
      </c>
      <c r="I3790">
        <v>0.15301397084740501</v>
      </c>
      <c r="J3790">
        <v>0.18405005258757301</v>
      </c>
      <c r="K3790">
        <v>0.25657587539781801</v>
      </c>
      <c r="L3790">
        <v>937.25012021752605</v>
      </c>
      <c r="M3790">
        <v>19.685833148885699</v>
      </c>
      <c r="N3790">
        <v>48.662977514428498</v>
      </c>
      <c r="O3790">
        <v>47.127268425519198</v>
      </c>
      <c r="P3790">
        <v>-8.6326154696591398E-2</v>
      </c>
      <c r="Q3790">
        <v>0.173380436885814</v>
      </c>
      <c r="R3790">
        <v>0.98395891554125703</v>
      </c>
      <c r="S3790" t="s">
        <v>10460</v>
      </c>
      <c r="T3790" t="s">
        <v>13338</v>
      </c>
      <c r="U3790" t="s">
        <v>13338</v>
      </c>
      <c r="V3790" t="s">
        <v>13338</v>
      </c>
      <c r="W3790" t="s">
        <v>17077</v>
      </c>
      <c r="X3790">
        <v>11</v>
      </c>
      <c r="Y3790" t="s">
        <v>23592</v>
      </c>
      <c r="Z3790" t="s">
        <v>30205</v>
      </c>
      <c r="AA3790">
        <v>0.39534521093956232</v>
      </c>
      <c r="AB3790" t="str">
        <f>HYPERLINK("Melting_Curves/meltCurve_Q5JTD0_2_TJAP1.pdf", "Melting_Curves/meltCurve_Q5JTD0_2_TJAP1.pdf")</f>
        <v>Melting_Curves/meltCurve_Q5JTD0_2_TJAP1.pdf</v>
      </c>
    </row>
    <row r="3791" spans="1:28" x14ac:dyDescent="0.25">
      <c r="A3791" t="s">
        <v>3795</v>
      </c>
      <c r="B3791">
        <v>0.99193492352474899</v>
      </c>
      <c r="C3791">
        <v>0.46410311845429503</v>
      </c>
      <c r="D3791">
        <v>0.56895262969926796</v>
      </c>
      <c r="E3791">
        <v>0.27224052221199402</v>
      </c>
      <c r="F3791">
        <v>0.217158725046386</v>
      </c>
      <c r="G3791">
        <v>0.118990117804967</v>
      </c>
      <c r="H3791">
        <v>7.1474733215512606E-2</v>
      </c>
      <c r="I3791">
        <v>4.1986868458325097E-2</v>
      </c>
      <c r="J3791">
        <v>7.6105838219013594E-2</v>
      </c>
      <c r="K3791">
        <v>7.1009288663852699E-2</v>
      </c>
      <c r="L3791">
        <v>545.35295305020099</v>
      </c>
      <c r="M3791">
        <v>12.077081712626301</v>
      </c>
      <c r="N3791">
        <v>45.534990837715597</v>
      </c>
      <c r="O3791">
        <v>43.971425786863698</v>
      </c>
      <c r="P3791">
        <v>-6.5396678415589798E-2</v>
      </c>
      <c r="Q3791">
        <v>4.7813258448286197E-2</v>
      </c>
      <c r="R3791">
        <v>0.90449963941372402</v>
      </c>
      <c r="S3791" t="s">
        <v>10461</v>
      </c>
      <c r="T3791" t="s">
        <v>13338</v>
      </c>
      <c r="U3791" t="s">
        <v>13338</v>
      </c>
      <c r="V3791" t="s">
        <v>13338</v>
      </c>
      <c r="W3791" t="s">
        <v>17078</v>
      </c>
      <c r="X3791">
        <v>5</v>
      </c>
      <c r="Y3791" t="s">
        <v>23593</v>
      </c>
      <c r="Z3791" t="s">
        <v>30206</v>
      </c>
      <c r="AA3791">
        <v>0.25773977564267381</v>
      </c>
      <c r="AB3791" t="str">
        <f>HYPERLINK("Melting_Curves/meltCurve_Q5JTH9_2_RRP12.pdf", "Melting_Curves/meltCurve_Q5JTH9_2_RRP12.pdf")</f>
        <v>Melting_Curves/meltCurve_Q5JTH9_2_RRP12.pdf</v>
      </c>
    </row>
    <row r="3792" spans="1:28" x14ac:dyDescent="0.25">
      <c r="A3792" t="s">
        <v>3796</v>
      </c>
      <c r="B3792">
        <v>0.99193492352474899</v>
      </c>
      <c r="C3792">
        <v>0.79905982572303103</v>
      </c>
      <c r="D3792">
        <v>0.89694541781775405</v>
      </c>
      <c r="E3792">
        <v>0.75713797733824795</v>
      </c>
      <c r="F3792">
        <v>0.680890264242623</v>
      </c>
      <c r="G3792">
        <v>0.48365293400039999</v>
      </c>
      <c r="H3792">
        <v>0.45200467888964302</v>
      </c>
      <c r="I3792">
        <v>0.570727679029012</v>
      </c>
      <c r="J3792">
        <v>0.61985571288144703</v>
      </c>
      <c r="K3792">
        <v>0.92276621750066001</v>
      </c>
      <c r="L3792">
        <v>729.30137323310305</v>
      </c>
      <c r="M3792">
        <v>15.7365983890442</v>
      </c>
      <c r="O3792">
        <v>45.615257077368298</v>
      </c>
      <c r="P3792">
        <v>-3.3100402089315001E-2</v>
      </c>
      <c r="Q3792">
        <v>0.61624312407498505</v>
      </c>
      <c r="R3792">
        <v>0.45904064320023502</v>
      </c>
      <c r="S3792" t="s">
        <v>10462</v>
      </c>
      <c r="T3792" t="s">
        <v>13338</v>
      </c>
      <c r="U3792" t="s">
        <v>13338</v>
      </c>
      <c r="V3792" t="s">
        <v>13338</v>
      </c>
      <c r="W3792" t="s">
        <v>17079</v>
      </c>
      <c r="X3792">
        <v>9</v>
      </c>
      <c r="Y3792" t="s">
        <v>23594</v>
      </c>
      <c r="Z3792" t="s">
        <v>30207</v>
      </c>
      <c r="AA3792">
        <v>0.7072543628471164</v>
      </c>
      <c r="AB3792" t="str">
        <f>HYPERLINK("Melting_Curves/meltCurve_Q5JTJ3_3_COA6.pdf", "Melting_Curves/meltCurve_Q5JTJ3_3_COA6.pdf")</f>
        <v>Melting_Curves/meltCurve_Q5JTJ3_3_COA6.pdf</v>
      </c>
    </row>
    <row r="3793" spans="1:28" x14ac:dyDescent="0.25">
      <c r="A3793" t="s">
        <v>3797</v>
      </c>
      <c r="B3793">
        <v>0.99193492352474899</v>
      </c>
      <c r="C3793">
        <v>0.85846648672365</v>
      </c>
      <c r="D3793">
        <v>0.56150793339444105</v>
      </c>
      <c r="E3793">
        <v>0.27491219785301502</v>
      </c>
      <c r="F3793">
        <v>0.1383926935393</v>
      </c>
      <c r="G3793">
        <v>8.8123159826957301E-2</v>
      </c>
      <c r="H3793">
        <v>5.6175719425504103E-2</v>
      </c>
      <c r="I3793">
        <v>6.91615672429092E-2</v>
      </c>
      <c r="J3793">
        <v>6.1021004317182097E-2</v>
      </c>
      <c r="K3793">
        <v>8.4241924294097895E-2</v>
      </c>
      <c r="L3793">
        <v>954.94852431985601</v>
      </c>
      <c r="M3793">
        <v>20.575394526090601</v>
      </c>
      <c r="N3793">
        <v>46.740246252472502</v>
      </c>
      <c r="O3793">
        <v>45.980416231372899</v>
      </c>
      <c r="P3793">
        <v>-0.10435127727122</v>
      </c>
      <c r="Q3793">
        <v>6.7240104168339296E-2</v>
      </c>
      <c r="R3793">
        <v>0.99848989021182799</v>
      </c>
      <c r="S3793" t="s">
        <v>10463</v>
      </c>
      <c r="T3793" t="s">
        <v>13338</v>
      </c>
      <c r="U3793" t="s">
        <v>13338</v>
      </c>
      <c r="V3793" t="s">
        <v>13338</v>
      </c>
      <c r="W3793" t="s">
        <v>17080</v>
      </c>
      <c r="X3793">
        <v>3</v>
      </c>
      <c r="Y3793" t="s">
        <v>23595</v>
      </c>
      <c r="Z3793" t="s">
        <v>30208</v>
      </c>
      <c r="AA3793">
        <v>0.27978056619052338</v>
      </c>
      <c r="AB3793" t="str">
        <f>HYPERLINK("Melting_Curves/meltCurve_Q5JTV1_GMEB2.pdf", "Melting_Curves/meltCurve_Q5JTV1_GMEB2.pdf")</f>
        <v>Melting_Curves/meltCurve_Q5JTV1_GMEB2.pdf</v>
      </c>
    </row>
    <row r="3794" spans="1:28" x14ac:dyDescent="0.25">
      <c r="A3794" t="s">
        <v>3798</v>
      </c>
      <c r="B3794">
        <v>0.99193492352474899</v>
      </c>
      <c r="C3794">
        <v>0.95078105862582296</v>
      </c>
      <c r="D3794">
        <v>1.0078205576238</v>
      </c>
      <c r="E3794">
        <v>0.88425004145172403</v>
      </c>
      <c r="F3794">
        <v>0.59771621870077996</v>
      </c>
      <c r="G3794">
        <v>0.359170109502779</v>
      </c>
      <c r="H3794">
        <v>0.14783303100207801</v>
      </c>
      <c r="I3794">
        <v>0.15378674113820301</v>
      </c>
      <c r="J3794">
        <v>0.16357311397723301</v>
      </c>
      <c r="K3794">
        <v>0.21856982634125799</v>
      </c>
      <c r="L3794">
        <v>1300.81287251854</v>
      </c>
      <c r="M3794">
        <v>24.327362373133401</v>
      </c>
      <c r="N3794">
        <v>54.340293966577299</v>
      </c>
      <c r="O3794">
        <v>53.113802150668498</v>
      </c>
      <c r="P3794">
        <v>-9.6052942905393901E-2</v>
      </c>
      <c r="Q3794">
        <v>0.16116503777527399</v>
      </c>
      <c r="R3794">
        <v>0.99162140640669205</v>
      </c>
      <c r="S3794" t="s">
        <v>10464</v>
      </c>
      <c r="T3794" t="s">
        <v>13338</v>
      </c>
      <c r="U3794" t="s">
        <v>13338</v>
      </c>
      <c r="V3794" t="s">
        <v>13338</v>
      </c>
      <c r="W3794" t="s">
        <v>14347</v>
      </c>
      <c r="X3794">
        <v>20</v>
      </c>
      <c r="Y3794" t="s">
        <v>20949</v>
      </c>
      <c r="Z3794" t="s">
        <v>30209</v>
      </c>
      <c r="AA3794">
        <v>0.54598017491181206</v>
      </c>
      <c r="AB3794" t="str">
        <f>HYPERLINK("Melting_Curves/meltCurve_Q5JTV8_TOR1AIP1.pdf", "Melting_Curves/meltCurve_Q5JTV8_TOR1AIP1.pdf")</f>
        <v>Melting_Curves/meltCurve_Q5JTV8_TOR1AIP1.pdf</v>
      </c>
    </row>
    <row r="3795" spans="1:28" x14ac:dyDescent="0.25">
      <c r="A3795" t="s">
        <v>3799</v>
      </c>
      <c r="B3795">
        <v>0.99193492352474899</v>
      </c>
      <c r="C3795">
        <v>1.1407997180839</v>
      </c>
      <c r="D3795">
        <v>0.89670881493716903</v>
      </c>
      <c r="E3795">
        <v>0.51692318607985999</v>
      </c>
      <c r="F3795">
        <v>0.212489421089398</v>
      </c>
      <c r="G3795">
        <v>0.137198113040611</v>
      </c>
      <c r="H3795">
        <v>7.2822926943963501E-2</v>
      </c>
      <c r="I3795">
        <v>8.9217908840368204E-2</v>
      </c>
      <c r="J3795">
        <v>0.100728175148526</v>
      </c>
      <c r="K3795">
        <v>9.1855837306683993E-2</v>
      </c>
      <c r="L3795">
        <v>1462.2000774124699</v>
      </c>
      <c r="M3795">
        <v>29.573605906147598</v>
      </c>
      <c r="N3795">
        <v>49.799727490485601</v>
      </c>
      <c r="O3795">
        <v>49.218319752186602</v>
      </c>
      <c r="P3795">
        <v>-0.13586831034860999</v>
      </c>
      <c r="Q3795">
        <v>9.5522695584142503E-2</v>
      </c>
      <c r="R3795">
        <v>0.98503668774383002</v>
      </c>
      <c r="S3795" t="s">
        <v>10465</v>
      </c>
      <c r="T3795" t="s">
        <v>13338</v>
      </c>
      <c r="U3795" t="s">
        <v>13338</v>
      </c>
      <c r="V3795" t="s">
        <v>13338</v>
      </c>
      <c r="W3795" t="s">
        <v>17081</v>
      </c>
      <c r="X3795">
        <v>23</v>
      </c>
      <c r="Y3795" t="s">
        <v>23596</v>
      </c>
      <c r="Z3795" t="s">
        <v>30210</v>
      </c>
      <c r="AA3795">
        <v>0.38592341499040328</v>
      </c>
      <c r="AB3795" t="str">
        <f>HYPERLINK("Melting_Curves/meltCurve_Q5JTZ9_AARS2.pdf", "Melting_Curves/meltCurve_Q5JTZ9_AARS2.pdf")</f>
        <v>Melting_Curves/meltCurve_Q5JTZ9_AARS2.pdf</v>
      </c>
    </row>
    <row r="3796" spans="1:28" x14ac:dyDescent="0.25">
      <c r="A3796" t="s">
        <v>3800</v>
      </c>
      <c r="B3796">
        <v>0.99193492352474899</v>
      </c>
      <c r="C3796">
        <v>1.32833376688321</v>
      </c>
      <c r="D3796">
        <v>0.82865323096996302</v>
      </c>
      <c r="E3796">
        <v>0.707154172220823</v>
      </c>
      <c r="F3796">
        <v>0.55151305904606596</v>
      </c>
      <c r="G3796">
        <v>0.39078609334714098</v>
      </c>
      <c r="H3796">
        <v>0.199000217363097</v>
      </c>
      <c r="I3796">
        <v>0.14371506060527001</v>
      </c>
      <c r="J3796">
        <v>0.26228249137741599</v>
      </c>
      <c r="K3796">
        <v>0.30476137923027902</v>
      </c>
      <c r="L3796">
        <v>959.79595151333297</v>
      </c>
      <c r="M3796">
        <v>18.576339588797399</v>
      </c>
      <c r="N3796">
        <v>53.340307302364003</v>
      </c>
      <c r="O3796">
        <v>51.080070421730902</v>
      </c>
      <c r="P3796">
        <v>-7.0850280920568401E-2</v>
      </c>
      <c r="Q3796">
        <v>0.22075505861660799</v>
      </c>
      <c r="R3796">
        <v>0.88439218900720895</v>
      </c>
      <c r="S3796" t="s">
        <v>10466</v>
      </c>
      <c r="T3796" t="s">
        <v>13338</v>
      </c>
      <c r="U3796" t="s">
        <v>13338</v>
      </c>
      <c r="V3796" t="s">
        <v>13338</v>
      </c>
      <c r="W3796" t="s">
        <v>17082</v>
      </c>
      <c r="X3796">
        <v>2</v>
      </c>
      <c r="Y3796" t="s">
        <v>23597</v>
      </c>
      <c r="Z3796" t="s">
        <v>30211</v>
      </c>
      <c r="AA3796">
        <v>0.53614538092623509</v>
      </c>
      <c r="AB3796" t="str">
        <f>HYPERLINK("Melting_Curves/meltCurve_Q5JU69_TOR2A.pdf", "Melting_Curves/meltCurve_Q5JU69_TOR2A.pdf")</f>
        <v>Melting_Curves/meltCurve_Q5JU69_TOR2A.pdf</v>
      </c>
    </row>
    <row r="3797" spans="1:28" x14ac:dyDescent="0.25">
      <c r="A3797" t="s">
        <v>3801</v>
      </c>
      <c r="B3797">
        <v>0.99193492352474899</v>
      </c>
      <c r="C3797">
        <v>1.00088993215003</v>
      </c>
      <c r="D3797">
        <v>0.81529252487399395</v>
      </c>
      <c r="E3797">
        <v>0.58072264446650002</v>
      </c>
      <c r="F3797">
        <v>0.657886657902093</v>
      </c>
      <c r="G3797">
        <v>0.395078353172095</v>
      </c>
      <c r="H3797">
        <v>0.26674932369138499</v>
      </c>
      <c r="I3797">
        <v>0.26799061910989502</v>
      </c>
      <c r="J3797">
        <v>0.542985828744878</v>
      </c>
      <c r="K3797">
        <v>0.62624612927843903</v>
      </c>
      <c r="L3797">
        <v>960.45068180009503</v>
      </c>
      <c r="M3797">
        <v>19.996592690081702</v>
      </c>
      <c r="N3797">
        <v>53.4051008962034</v>
      </c>
      <c r="O3797">
        <v>47.558105848659402</v>
      </c>
      <c r="P3797">
        <v>-5.9586000065438703E-2</v>
      </c>
      <c r="Q3797">
        <v>0.433162431621956</v>
      </c>
      <c r="R3797">
        <v>0.77711307543445596</v>
      </c>
      <c r="S3797" t="s">
        <v>10467</v>
      </c>
      <c r="T3797" t="s">
        <v>13338</v>
      </c>
      <c r="U3797" t="s">
        <v>13338</v>
      </c>
      <c r="V3797" t="s">
        <v>13338</v>
      </c>
      <c r="W3797" t="s">
        <v>17083</v>
      </c>
      <c r="X3797">
        <v>2</v>
      </c>
      <c r="Y3797" t="s">
        <v>23598</v>
      </c>
      <c r="Z3797" t="s">
        <v>30212</v>
      </c>
      <c r="AA3797">
        <v>0.59295287610144232</v>
      </c>
      <c r="AB3797" t="str">
        <f>HYPERLINK("Melting_Curves/meltCurve_Q5JUL1_PAGE5.pdf", "Melting_Curves/meltCurve_Q5JUL1_PAGE5.pdf")</f>
        <v>Melting_Curves/meltCurve_Q5JUL1_PAGE5.pdf</v>
      </c>
    </row>
    <row r="3798" spans="1:28" x14ac:dyDescent="0.25">
      <c r="A3798" t="s">
        <v>3802</v>
      </c>
      <c r="B3798">
        <v>0.99193492352474899</v>
      </c>
      <c r="C3798">
        <v>0.74524850642109097</v>
      </c>
      <c r="D3798">
        <v>0.64413266777286204</v>
      </c>
      <c r="E3798">
        <v>0.25308713567788399</v>
      </c>
      <c r="F3798">
        <v>0.19502235327484699</v>
      </c>
      <c r="G3798">
        <v>0.11268252113895499</v>
      </c>
      <c r="H3798">
        <v>6.0064332392361398E-2</v>
      </c>
      <c r="I3798">
        <v>5.5708678558751903E-2</v>
      </c>
      <c r="J3798">
        <v>5.5033810797090001E-2</v>
      </c>
      <c r="K3798">
        <v>9.3157239692261695E-2</v>
      </c>
      <c r="L3798">
        <v>778.67703227685297</v>
      </c>
      <c r="M3798">
        <v>16.7237169287515</v>
      </c>
      <c r="N3798">
        <v>46.921314313354998</v>
      </c>
      <c r="O3798">
        <v>45.910783590037603</v>
      </c>
      <c r="P3798">
        <v>-8.5587879362918895E-2</v>
      </c>
      <c r="Q3798">
        <v>6.0221592889798198E-2</v>
      </c>
      <c r="R3798">
        <v>0.98328318915458102</v>
      </c>
      <c r="S3798" t="s">
        <v>10468</v>
      </c>
      <c r="T3798" t="s">
        <v>13338</v>
      </c>
      <c r="U3798" t="s">
        <v>13338</v>
      </c>
      <c r="V3798" t="s">
        <v>13338</v>
      </c>
      <c r="W3798" t="s">
        <v>17084</v>
      </c>
      <c r="X3798">
        <v>1</v>
      </c>
      <c r="Y3798" t="s">
        <v>23599</v>
      </c>
      <c r="Z3798" t="s">
        <v>30213</v>
      </c>
      <c r="AA3798">
        <v>0.28661838245159971</v>
      </c>
      <c r="AB3798" t="str">
        <f>HYPERLINK("Melting_Curves/meltCurve_Q5JUR7_TEX30.pdf", "Melting_Curves/meltCurve_Q5JUR7_TEX30.pdf")</f>
        <v>Melting_Curves/meltCurve_Q5JUR7_TEX30.pdf</v>
      </c>
    </row>
    <row r="3799" spans="1:28" x14ac:dyDescent="0.25">
      <c r="A3799" t="s">
        <v>3803</v>
      </c>
      <c r="B3799">
        <v>0.99193492352474899</v>
      </c>
      <c r="C3799">
        <v>1.2606311401185799</v>
      </c>
      <c r="D3799">
        <v>0.84483645957340203</v>
      </c>
      <c r="E3799">
        <v>1.47905794889607</v>
      </c>
      <c r="F3799">
        <v>0.79424119852923702</v>
      </c>
      <c r="G3799">
        <v>0.63581965612667302</v>
      </c>
      <c r="H3799">
        <v>0.27642695623434899</v>
      </c>
      <c r="I3799">
        <v>0.35927274197173997</v>
      </c>
      <c r="J3799">
        <v>0.469029040871699</v>
      </c>
      <c r="K3799">
        <v>1.1908499577226599</v>
      </c>
      <c r="L3799">
        <v>13300.566529907899</v>
      </c>
      <c r="M3799">
        <v>250</v>
      </c>
      <c r="O3799">
        <v>53.198844295463502</v>
      </c>
      <c r="P3799">
        <v>-0.48605404043061301</v>
      </c>
      <c r="Q3799">
        <v>0.58627965433791795</v>
      </c>
      <c r="R3799">
        <v>0.41752472411261299</v>
      </c>
      <c r="S3799" t="s">
        <v>10469</v>
      </c>
      <c r="T3799" t="s">
        <v>13338</v>
      </c>
      <c r="U3799" t="s">
        <v>13338</v>
      </c>
      <c r="V3799" t="s">
        <v>13338</v>
      </c>
      <c r="W3799" t="s">
        <v>17085</v>
      </c>
      <c r="X3799">
        <v>4</v>
      </c>
      <c r="Y3799" t="s">
        <v>23600</v>
      </c>
      <c r="Z3799" t="s">
        <v>30214</v>
      </c>
      <c r="AA3799">
        <v>0.76838648647242136</v>
      </c>
      <c r="AB3799" t="str">
        <f>HYPERLINK("Melting_Curves/meltCurve_Q5JUW8_DLG3.pdf", "Melting_Curves/meltCurve_Q5JUW8_DLG3.pdf")</f>
        <v>Melting_Curves/meltCurve_Q5JUW8_DLG3.pdf</v>
      </c>
    </row>
    <row r="3800" spans="1:28" x14ac:dyDescent="0.25">
      <c r="A3800" t="s">
        <v>3804</v>
      </c>
      <c r="B3800">
        <v>0.99193492352474899</v>
      </c>
      <c r="C3800">
        <v>0.88212785830877505</v>
      </c>
      <c r="D3800">
        <v>0.82928426699164104</v>
      </c>
      <c r="E3800">
        <v>0.26715751454318698</v>
      </c>
      <c r="F3800">
        <v>0.15002005684580999</v>
      </c>
      <c r="G3800">
        <v>7.94981905971123E-2</v>
      </c>
      <c r="H3800">
        <v>5.8953290699235703E-2</v>
      </c>
      <c r="I3800">
        <v>6.6070260730352395E-2</v>
      </c>
      <c r="J3800">
        <v>7.7011853422011306E-2</v>
      </c>
      <c r="K3800">
        <v>8.5566868086908998E-2</v>
      </c>
      <c r="L3800">
        <v>1548.54493109284</v>
      </c>
      <c r="M3800">
        <v>32.4019789879953</v>
      </c>
      <c r="N3800">
        <v>48.038901095781299</v>
      </c>
      <c r="O3800">
        <v>47.610742753326399</v>
      </c>
      <c r="P3800">
        <v>-0.15707493460526201</v>
      </c>
      <c r="Q3800">
        <v>7.6794858764014706E-2</v>
      </c>
      <c r="R3800">
        <v>0.99032052454366204</v>
      </c>
      <c r="S3800" t="s">
        <v>10470</v>
      </c>
      <c r="T3800" t="s">
        <v>13338</v>
      </c>
      <c r="U3800" t="s">
        <v>13338</v>
      </c>
      <c r="V3800" t="s">
        <v>13338</v>
      </c>
      <c r="W3800" t="s">
        <v>17086</v>
      </c>
      <c r="X3800">
        <v>9</v>
      </c>
      <c r="Y3800" t="s">
        <v>23601</v>
      </c>
      <c r="Z3800" t="s">
        <v>30215</v>
      </c>
      <c r="AA3800">
        <v>0.32129439509593011</v>
      </c>
      <c r="AB3800" t="str">
        <f>HYPERLINK("Melting_Curves/meltCurve_Q5JVF3_3_PCID2.pdf", "Melting_Curves/meltCurve_Q5JVF3_3_PCID2.pdf")</f>
        <v>Melting_Curves/meltCurve_Q5JVF3_3_PCID2.pdf</v>
      </c>
    </row>
    <row r="3801" spans="1:28" x14ac:dyDescent="0.25">
      <c r="A3801" t="s">
        <v>3805</v>
      </c>
      <c r="B3801">
        <v>0.99193492352474899</v>
      </c>
      <c r="C3801">
        <v>0.871005985505517</v>
      </c>
      <c r="D3801">
        <v>0.79226036842608705</v>
      </c>
      <c r="E3801">
        <v>0.71742451127913998</v>
      </c>
      <c r="F3801">
        <v>0.56584882825596405</v>
      </c>
      <c r="G3801">
        <v>0.33555256300254799</v>
      </c>
      <c r="H3801">
        <v>0.31564997205422901</v>
      </c>
      <c r="I3801">
        <v>0.38979917166154698</v>
      </c>
      <c r="J3801">
        <v>0.33981278981679403</v>
      </c>
      <c r="K3801">
        <v>0.61816056705650502</v>
      </c>
      <c r="L3801">
        <v>750.93480959131705</v>
      </c>
      <c r="M3801">
        <v>15.4662614332207</v>
      </c>
      <c r="N3801">
        <v>53.938584159454997</v>
      </c>
      <c r="O3801">
        <v>47.763110372704197</v>
      </c>
      <c r="P3801">
        <v>-4.9121675144837999E-2</v>
      </c>
      <c r="Q3801">
        <v>0.39326157401102702</v>
      </c>
      <c r="R3801">
        <v>0.83745680815301504</v>
      </c>
      <c r="S3801" t="s">
        <v>10471</v>
      </c>
      <c r="T3801" t="s">
        <v>13338</v>
      </c>
      <c r="U3801" t="s">
        <v>13338</v>
      </c>
      <c r="V3801" t="s">
        <v>13338</v>
      </c>
      <c r="W3801" t="s">
        <v>17087</v>
      </c>
      <c r="X3801">
        <v>7</v>
      </c>
      <c r="Y3801" t="s">
        <v>23602</v>
      </c>
      <c r="Z3801" t="s">
        <v>30216</v>
      </c>
      <c r="AA3801">
        <v>0.5806051938321688</v>
      </c>
      <c r="AB3801" t="str">
        <f>HYPERLINK("Melting_Curves/meltCurve_Q5JVS0_HABP4.pdf", "Melting_Curves/meltCurve_Q5JVS0_HABP4.pdf")</f>
        <v>Melting_Curves/meltCurve_Q5JVS0_HABP4.pdf</v>
      </c>
    </row>
    <row r="3802" spans="1:28" x14ac:dyDescent="0.25">
      <c r="A3802" t="s">
        <v>3806</v>
      </c>
      <c r="B3802">
        <v>0.99193492352474899</v>
      </c>
      <c r="C3802">
        <v>0.89270411342408995</v>
      </c>
      <c r="D3802">
        <v>0.68493157345496503</v>
      </c>
      <c r="E3802">
        <v>0.27473584148494101</v>
      </c>
      <c r="F3802">
        <v>0.18856508785572501</v>
      </c>
      <c r="G3802">
        <v>0.11692858686492399</v>
      </c>
      <c r="H3802">
        <v>6.4554498645519598E-2</v>
      </c>
      <c r="I3802">
        <v>0.10376347259233</v>
      </c>
      <c r="J3802">
        <v>0.114611013214513</v>
      </c>
      <c r="K3802">
        <v>0.156848154099406</v>
      </c>
      <c r="L3802">
        <v>1148.5513188733901</v>
      </c>
      <c r="M3802">
        <v>24.470340361614898</v>
      </c>
      <c r="N3802">
        <v>47.422155468370597</v>
      </c>
      <c r="O3802">
        <v>46.626387604113901</v>
      </c>
      <c r="P3802">
        <v>-0.11666335599439499</v>
      </c>
      <c r="Q3802">
        <v>0.110840354872276</v>
      </c>
      <c r="R3802">
        <v>0.99353281200759203</v>
      </c>
      <c r="S3802" t="s">
        <v>10472</v>
      </c>
      <c r="T3802" t="s">
        <v>13338</v>
      </c>
      <c r="U3802" t="s">
        <v>13338</v>
      </c>
      <c r="V3802" t="s">
        <v>13338</v>
      </c>
      <c r="W3802" t="s">
        <v>17088</v>
      </c>
      <c r="X3802">
        <v>14</v>
      </c>
      <c r="Y3802" t="s">
        <v>23603</v>
      </c>
      <c r="Z3802" t="s">
        <v>30217</v>
      </c>
      <c r="AA3802">
        <v>0.32476290664069141</v>
      </c>
      <c r="AB3802" t="str">
        <f>HYPERLINK("Melting_Curves/meltCurve_Q5JVZ5_ELMO2.pdf", "Melting_Curves/meltCurve_Q5JVZ5_ELMO2.pdf")</f>
        <v>Melting_Curves/meltCurve_Q5JVZ5_ELMO2.pdf</v>
      </c>
    </row>
    <row r="3803" spans="1:28" x14ac:dyDescent="0.25">
      <c r="A3803" t="s">
        <v>3807</v>
      </c>
      <c r="B3803">
        <v>0.99193492352474899</v>
      </c>
      <c r="C3803">
        <v>0.86432022144922505</v>
      </c>
      <c r="D3803">
        <v>1.13589508319983</v>
      </c>
      <c r="E3803">
        <v>1.0446239104483499</v>
      </c>
      <c r="F3803">
        <v>0.83656509854656003</v>
      </c>
      <c r="G3803">
        <v>0.59860203013718405</v>
      </c>
      <c r="H3803">
        <v>0.63125457371638005</v>
      </c>
      <c r="I3803">
        <v>0.64250205074933298</v>
      </c>
      <c r="J3803">
        <v>0.90642169882915802</v>
      </c>
      <c r="K3803">
        <v>1.1399226071273101</v>
      </c>
      <c r="L3803">
        <v>13239.913770122899</v>
      </c>
      <c r="M3803">
        <v>250</v>
      </c>
      <c r="O3803">
        <v>52.956264663556802</v>
      </c>
      <c r="P3803">
        <v>-0.25523349213185198</v>
      </c>
      <c r="Q3803">
        <v>0.783740596971644</v>
      </c>
      <c r="R3803">
        <v>0.30736559492489501</v>
      </c>
      <c r="S3803" t="s">
        <v>10473</v>
      </c>
      <c r="T3803" t="s">
        <v>13338</v>
      </c>
      <c r="U3803" t="s">
        <v>13338</v>
      </c>
      <c r="V3803" t="s">
        <v>13338</v>
      </c>
      <c r="W3803" t="s">
        <v>17089</v>
      </c>
      <c r="X3803">
        <v>1</v>
      </c>
      <c r="Y3803" t="s">
        <v>23604</v>
      </c>
      <c r="Z3803" t="s">
        <v>30218</v>
      </c>
      <c r="AA3803">
        <v>0.87718227255479986</v>
      </c>
      <c r="AB3803" t="str">
        <f>HYPERLINK("Melting_Curves/meltCurve_Q5JWB9_TMEM230.pdf", "Melting_Curves/meltCurve_Q5JWB9_TMEM230.pdf")</f>
        <v>Melting_Curves/meltCurve_Q5JWB9_TMEM230.pdf</v>
      </c>
    </row>
    <row r="3804" spans="1:28" x14ac:dyDescent="0.25">
      <c r="A3804" t="s">
        <v>3808</v>
      </c>
      <c r="B3804">
        <v>0.99193492352474899</v>
      </c>
      <c r="C3804">
        <v>1.0327443965287599</v>
      </c>
      <c r="D3804">
        <v>0.991446291451203</v>
      </c>
      <c r="E3804">
        <v>0.75188989991163602</v>
      </c>
      <c r="F3804">
        <v>0.60858864069479701</v>
      </c>
      <c r="G3804">
        <v>0.19327508826473</v>
      </c>
      <c r="H3804">
        <v>7.2095479325465298E-2</v>
      </c>
      <c r="I3804">
        <v>9.3687158030999806E-2</v>
      </c>
      <c r="J3804">
        <v>0.10831894133414199</v>
      </c>
      <c r="K3804">
        <v>0.13759965978300301</v>
      </c>
      <c r="L3804">
        <v>1200.1691591270601</v>
      </c>
      <c r="M3804">
        <v>22.649992914761299</v>
      </c>
      <c r="N3804">
        <v>53.406602372151497</v>
      </c>
      <c r="O3804">
        <v>52.579775334779796</v>
      </c>
      <c r="P3804">
        <v>-9.8929326462522796E-2</v>
      </c>
      <c r="Q3804">
        <v>8.1398851239999806E-2</v>
      </c>
      <c r="R3804">
        <v>0.98316661869657695</v>
      </c>
      <c r="S3804" t="s">
        <v>10474</v>
      </c>
      <c r="T3804" t="s">
        <v>13338</v>
      </c>
      <c r="U3804" t="s">
        <v>13338</v>
      </c>
      <c r="V3804" t="s">
        <v>13338</v>
      </c>
      <c r="W3804" t="s">
        <v>17090</v>
      </c>
      <c r="X3804">
        <v>9</v>
      </c>
      <c r="Y3804" t="s">
        <v>23605</v>
      </c>
      <c r="Z3804" t="s">
        <v>30219</v>
      </c>
      <c r="AA3804">
        <v>0.4892282023156318</v>
      </c>
      <c r="AB3804" t="str">
        <f>HYPERLINK("Melting_Curves/meltCurve_Q5JWT2_MED23.pdf", "Melting_Curves/meltCurve_Q5JWT2_MED23.pdf")</f>
        <v>Melting_Curves/meltCurve_Q5JWT2_MED23.pdf</v>
      </c>
    </row>
    <row r="3805" spans="1:28" x14ac:dyDescent="0.25">
      <c r="A3805" t="s">
        <v>3809</v>
      </c>
      <c r="B3805">
        <v>0.99193492352474899</v>
      </c>
      <c r="C3805">
        <v>0.80707499733208199</v>
      </c>
      <c r="D3805">
        <v>0.51611759411786995</v>
      </c>
      <c r="E3805">
        <v>0.28968977098526999</v>
      </c>
      <c r="F3805">
        <v>0.23986045019379701</v>
      </c>
      <c r="G3805">
        <v>0.12753589379557201</v>
      </c>
      <c r="H3805">
        <v>6.7613783457643101E-2</v>
      </c>
      <c r="I3805">
        <v>7.3967599629762695E-2</v>
      </c>
      <c r="J3805">
        <v>9.0361026601782399E-2</v>
      </c>
      <c r="K3805">
        <v>9.0137799402315602E-2</v>
      </c>
      <c r="L3805">
        <v>792.88240634865394</v>
      </c>
      <c r="M3805">
        <v>17.202951004607701</v>
      </c>
      <c r="N3805">
        <v>46.606972258265998</v>
      </c>
      <c r="O3805">
        <v>45.480626470750401</v>
      </c>
      <c r="P3805">
        <v>-8.6352202897211794E-2</v>
      </c>
      <c r="Q3805">
        <v>8.6872797308881103E-2</v>
      </c>
      <c r="R3805">
        <v>0.989384016370491</v>
      </c>
      <c r="S3805" t="s">
        <v>10475</v>
      </c>
      <c r="T3805" t="s">
        <v>13338</v>
      </c>
      <c r="U3805" t="s">
        <v>13338</v>
      </c>
      <c r="V3805" t="s">
        <v>13338</v>
      </c>
      <c r="W3805" t="s">
        <v>17091</v>
      </c>
      <c r="X3805">
        <v>16</v>
      </c>
      <c r="Y3805" t="s">
        <v>23606</v>
      </c>
      <c r="Z3805" t="s">
        <v>30220</v>
      </c>
      <c r="AA3805">
        <v>0.29192818806476428</v>
      </c>
      <c r="AB3805" t="str">
        <f>HYPERLINK("Melting_Curves/meltCurve_Q5JY65_CRNKL1.pdf", "Melting_Curves/meltCurve_Q5JY65_CRNKL1.pdf")</f>
        <v>Melting_Curves/meltCurve_Q5JY65_CRNKL1.pdf</v>
      </c>
    </row>
    <row r="3806" spans="1:28" x14ac:dyDescent="0.25">
      <c r="A3806" t="s">
        <v>3810</v>
      </c>
      <c r="B3806">
        <v>0.99193492352474899</v>
      </c>
      <c r="C3806">
        <v>0.47675059596699798</v>
      </c>
      <c r="D3806">
        <v>0.25375038650488801</v>
      </c>
      <c r="E3806">
        <v>0.167150692139309</v>
      </c>
      <c r="F3806">
        <v>8.8553121705640198E-2</v>
      </c>
      <c r="G3806">
        <v>6.4001903939237006E-2</v>
      </c>
      <c r="H3806">
        <v>3.4316745747858299E-2</v>
      </c>
      <c r="I3806">
        <v>5.1352407787507E-2</v>
      </c>
      <c r="J3806">
        <v>5.8316383965658698E-2</v>
      </c>
      <c r="K3806">
        <v>6.4995623800878602E-2</v>
      </c>
      <c r="L3806">
        <v>1231.62658290593</v>
      </c>
      <c r="M3806">
        <v>28.680831689722499</v>
      </c>
      <c r="N3806">
        <v>43.190011210454898</v>
      </c>
      <c r="O3806">
        <v>42.735371666611698</v>
      </c>
      <c r="P3806">
        <v>-0.15506780113989199</v>
      </c>
      <c r="Q3806">
        <v>7.5783201664075095E-2</v>
      </c>
      <c r="R3806">
        <v>0.96996244010514698</v>
      </c>
      <c r="S3806" t="s">
        <v>10476</v>
      </c>
      <c r="T3806" t="s">
        <v>13338</v>
      </c>
      <c r="U3806" t="s">
        <v>13338</v>
      </c>
      <c r="V3806" t="s">
        <v>13338</v>
      </c>
      <c r="W3806" t="s">
        <v>17092</v>
      </c>
      <c r="X3806">
        <v>5</v>
      </c>
      <c r="Y3806" t="s">
        <v>23607</v>
      </c>
      <c r="Z3806" t="s">
        <v>30221</v>
      </c>
      <c r="AA3806">
        <v>0.17611598675876591</v>
      </c>
      <c r="AB3806" t="str">
        <f>HYPERLINK("Melting_Curves/meltCurve_Q5K651_SAMD9.pdf", "Melting_Curves/meltCurve_Q5K651_SAMD9.pdf")</f>
        <v>Melting_Curves/meltCurve_Q5K651_SAMD9.pdf</v>
      </c>
    </row>
    <row r="3807" spans="1:28" x14ac:dyDescent="0.25">
      <c r="A3807" t="s">
        <v>3811</v>
      </c>
      <c r="B3807">
        <v>0.99193492352474899</v>
      </c>
      <c r="C3807">
        <v>0.774506334209354</v>
      </c>
      <c r="D3807">
        <v>0.89525149105167801</v>
      </c>
      <c r="E3807">
        <v>0.51174695739054799</v>
      </c>
      <c r="F3807">
        <v>0.20809188320594099</v>
      </c>
      <c r="G3807">
        <v>0.13678923883475799</v>
      </c>
      <c r="H3807">
        <v>6.2779368594257895E-2</v>
      </c>
      <c r="I3807">
        <v>5.9767503533902602E-2</v>
      </c>
      <c r="J3807">
        <v>8.35070974272486E-2</v>
      </c>
      <c r="K3807">
        <v>3.6373612861523699E-2</v>
      </c>
      <c r="L3807">
        <v>917.87946221636196</v>
      </c>
      <c r="M3807">
        <v>18.566265033246701</v>
      </c>
      <c r="N3807">
        <v>49.689421610662897</v>
      </c>
      <c r="O3807">
        <v>48.875193118145603</v>
      </c>
      <c r="P3807">
        <v>-9.0714438888502003E-2</v>
      </c>
      <c r="Q3807">
        <v>4.4828395973790201E-2</v>
      </c>
      <c r="R3807">
        <v>0.96941611251784598</v>
      </c>
      <c r="S3807" t="s">
        <v>10477</v>
      </c>
      <c r="T3807" t="s">
        <v>13338</v>
      </c>
      <c r="U3807" t="s">
        <v>13338</v>
      </c>
      <c r="V3807" t="s">
        <v>13338</v>
      </c>
      <c r="W3807" t="s">
        <v>17093</v>
      </c>
      <c r="X3807">
        <v>2</v>
      </c>
      <c r="Y3807" t="s">
        <v>23608</v>
      </c>
      <c r="Z3807" t="s">
        <v>30222</v>
      </c>
      <c r="AA3807">
        <v>0.36077925434176511</v>
      </c>
      <c r="AB3807" t="str">
        <f>HYPERLINK("Melting_Curves/meltCurve_Q5M775_5_SPECC1.pdf", "Melting_Curves/meltCurve_Q5M775_5_SPECC1.pdf")</f>
        <v>Melting_Curves/meltCurve_Q5M775_5_SPECC1.pdf</v>
      </c>
    </row>
    <row r="3808" spans="1:28" x14ac:dyDescent="0.25">
      <c r="A3808" t="s">
        <v>3812</v>
      </c>
      <c r="B3808">
        <v>0.99193492352474899</v>
      </c>
      <c r="C3808">
        <v>0.78257610280184897</v>
      </c>
      <c r="D3808">
        <v>0.91245444578903501</v>
      </c>
      <c r="E3808">
        <v>0.505522873348065</v>
      </c>
      <c r="F3808">
        <v>0.57205378655304995</v>
      </c>
      <c r="G3808">
        <v>0.285971904064029</v>
      </c>
      <c r="H3808">
        <v>0.15200136274715301</v>
      </c>
      <c r="I3808">
        <v>0.14832105274264701</v>
      </c>
      <c r="J3808">
        <v>0.156983628328485</v>
      </c>
      <c r="K3808">
        <v>0.121556800067012</v>
      </c>
      <c r="L3808">
        <v>536.65095531163399</v>
      </c>
      <c r="M3808">
        <v>10.3923592757828</v>
      </c>
      <c r="N3808">
        <v>52.138475978336999</v>
      </c>
      <c r="O3808">
        <v>49.836709871774097</v>
      </c>
      <c r="P3808">
        <v>-4.9682804371126502E-2</v>
      </c>
      <c r="Q3808">
        <v>4.7381414756721599E-2</v>
      </c>
      <c r="R3808">
        <v>0.938834254230689</v>
      </c>
      <c r="S3808" t="s">
        <v>10478</v>
      </c>
      <c r="T3808" t="s">
        <v>13338</v>
      </c>
      <c r="U3808" t="s">
        <v>13338</v>
      </c>
      <c r="V3808" t="s">
        <v>13338</v>
      </c>
      <c r="W3808" t="s">
        <v>17094</v>
      </c>
      <c r="X3808">
        <v>10</v>
      </c>
      <c r="Y3808" t="s">
        <v>23609</v>
      </c>
      <c r="Z3808" t="s">
        <v>30223</v>
      </c>
      <c r="AA3808">
        <v>0.45275225668330882</v>
      </c>
      <c r="AB3808" t="str">
        <f>HYPERLINK("Melting_Curves/meltCurve_Q5MIZ7_3_SMEK2.pdf", "Melting_Curves/meltCurve_Q5MIZ7_3_SMEK2.pdf")</f>
        <v>Melting_Curves/meltCurve_Q5MIZ7_3_SMEK2.pdf</v>
      </c>
    </row>
    <row r="3809" spans="1:28" x14ac:dyDescent="0.25">
      <c r="A3809" t="s">
        <v>3813</v>
      </c>
      <c r="B3809">
        <v>0.99193492352474899</v>
      </c>
      <c r="C3809">
        <v>0.814762585724502</v>
      </c>
      <c r="D3809">
        <v>0.92513141381969799</v>
      </c>
      <c r="E3809">
        <v>0.69260031303626501</v>
      </c>
      <c r="F3809">
        <v>0.689999424459802</v>
      </c>
      <c r="G3809">
        <v>0.49757956828372302</v>
      </c>
      <c r="H3809">
        <v>0.379735860215415</v>
      </c>
      <c r="I3809">
        <v>0.39970833374701797</v>
      </c>
      <c r="J3809">
        <v>0.38814743497283299</v>
      </c>
      <c r="K3809">
        <v>0.204419207056243</v>
      </c>
      <c r="L3809">
        <v>382.84581739590902</v>
      </c>
      <c r="M3809">
        <v>6.7337986580044902</v>
      </c>
      <c r="N3809">
        <v>57.986725137433702</v>
      </c>
      <c r="O3809">
        <v>52.470526839228398</v>
      </c>
      <c r="P3809">
        <v>-3.0171381741661799E-2</v>
      </c>
      <c r="Q3809">
        <v>6.1609305364041501E-2</v>
      </c>
      <c r="R3809">
        <v>0.93857163540543798</v>
      </c>
      <c r="S3809" t="s">
        <v>10479</v>
      </c>
      <c r="T3809" t="s">
        <v>13338</v>
      </c>
      <c r="U3809" t="s">
        <v>13338</v>
      </c>
      <c r="V3809" t="s">
        <v>13338</v>
      </c>
      <c r="W3809" t="s">
        <v>17095</v>
      </c>
      <c r="X3809">
        <v>6</v>
      </c>
      <c r="Y3809" t="s">
        <v>23610</v>
      </c>
      <c r="Z3809" t="s">
        <v>30224</v>
      </c>
      <c r="AA3809">
        <v>0.59701093500388136</v>
      </c>
      <c r="AB3809" t="str">
        <f>HYPERLINK("Melting_Curves/meltCurve_Q5MNZ6_WDR45B.pdf", "Melting_Curves/meltCurve_Q5MNZ6_WDR45B.pdf")</f>
        <v>Melting_Curves/meltCurve_Q5MNZ6_WDR45B.pdf</v>
      </c>
    </row>
    <row r="3810" spans="1:28" x14ac:dyDescent="0.25">
      <c r="A3810" t="s">
        <v>3814</v>
      </c>
      <c r="B3810">
        <v>0.99193492352474899</v>
      </c>
      <c r="C3810">
        <v>0.52466085362048498</v>
      </c>
      <c r="D3810">
        <v>0.63241912991282301</v>
      </c>
      <c r="E3810">
        <v>0.26541363610091201</v>
      </c>
      <c r="F3810">
        <v>0.175031931675485</v>
      </c>
      <c r="G3810">
        <v>0.10261063171977799</v>
      </c>
      <c r="H3810">
        <v>0.12171234609548599</v>
      </c>
      <c r="I3810">
        <v>0.219567251240253</v>
      </c>
      <c r="J3810">
        <v>0.31776342571984301</v>
      </c>
      <c r="K3810">
        <v>0.35819120222106798</v>
      </c>
      <c r="L3810">
        <v>796.13231363019497</v>
      </c>
      <c r="M3810">
        <v>18.0931406656231</v>
      </c>
      <c r="N3810">
        <v>45.393374352214103</v>
      </c>
      <c r="O3810">
        <v>43.4749083616096</v>
      </c>
      <c r="P3810">
        <v>-8.1901118541862702E-2</v>
      </c>
      <c r="Q3810">
        <v>0.21285677687693899</v>
      </c>
      <c r="R3810">
        <v>0.80721347878518102</v>
      </c>
      <c r="S3810" t="s">
        <v>10480</v>
      </c>
      <c r="T3810" t="s">
        <v>13338</v>
      </c>
      <c r="U3810" t="s">
        <v>13338</v>
      </c>
      <c r="V3810" t="s">
        <v>13338</v>
      </c>
      <c r="W3810" t="s">
        <v>17096</v>
      </c>
      <c r="X3810">
        <v>4</v>
      </c>
      <c r="Y3810" t="s">
        <v>23611</v>
      </c>
      <c r="Z3810" t="s">
        <v>30225</v>
      </c>
      <c r="AA3810">
        <v>0.33702945022282699</v>
      </c>
      <c r="AB3810" t="str">
        <f>HYPERLINK("Melting_Curves/meltCurve_Q5QJE6_DNTTIP2.pdf", "Melting_Curves/meltCurve_Q5QJE6_DNTTIP2.pdf")</f>
        <v>Melting_Curves/meltCurve_Q5QJE6_DNTTIP2.pdf</v>
      </c>
    </row>
    <row r="3811" spans="1:28" x14ac:dyDescent="0.25">
      <c r="A3811" t="s">
        <v>3815</v>
      </c>
      <c r="B3811">
        <v>0.99193492352474899</v>
      </c>
      <c r="C3811">
        <v>0.94180500070122297</v>
      </c>
      <c r="D3811">
        <v>0.83232894566953797</v>
      </c>
      <c r="E3811">
        <v>0.78567634464371106</v>
      </c>
      <c r="F3811">
        <v>0.473749792076405</v>
      </c>
      <c r="G3811">
        <v>0.31432050551637702</v>
      </c>
      <c r="H3811">
        <v>0.21603212155576801</v>
      </c>
      <c r="I3811">
        <v>0.36689016098847599</v>
      </c>
      <c r="J3811">
        <v>0.47737825103963</v>
      </c>
      <c r="K3811">
        <v>0.61901208262619201</v>
      </c>
      <c r="L3811">
        <v>1314.551131509</v>
      </c>
      <c r="M3811">
        <v>26.390960225288602</v>
      </c>
      <c r="N3811">
        <v>52.948370865790302</v>
      </c>
      <c r="O3811">
        <v>49.527310230540202</v>
      </c>
      <c r="P3811">
        <v>-8.0549725200625602E-2</v>
      </c>
      <c r="Q3811">
        <v>0.39534341274472201</v>
      </c>
      <c r="R3811">
        <v>0.81980002165838906</v>
      </c>
      <c r="S3811" t="s">
        <v>10481</v>
      </c>
      <c r="T3811" t="s">
        <v>13338</v>
      </c>
      <c r="U3811" t="s">
        <v>13338</v>
      </c>
      <c r="V3811" t="s">
        <v>13338</v>
      </c>
      <c r="W3811" t="s">
        <v>17097</v>
      </c>
      <c r="X3811">
        <v>17</v>
      </c>
      <c r="Y3811" t="s">
        <v>23612</v>
      </c>
      <c r="Z3811" t="s">
        <v>30226</v>
      </c>
      <c r="AA3811">
        <v>0.59791410112181542</v>
      </c>
      <c r="AB3811" t="str">
        <f>HYPERLINK("Melting_Curves/meltCurve_Q5QNY5_PEX19.pdf", "Melting_Curves/meltCurve_Q5QNY5_PEX19.pdf")</f>
        <v>Melting_Curves/meltCurve_Q5QNY5_PEX19.pdf</v>
      </c>
    </row>
    <row r="3812" spans="1:28" x14ac:dyDescent="0.25">
      <c r="A3812" t="s">
        <v>3816</v>
      </c>
      <c r="B3812">
        <v>0.99193492352474899</v>
      </c>
      <c r="C3812">
        <v>0.78628745088984198</v>
      </c>
      <c r="D3812">
        <v>0.91965813125249596</v>
      </c>
      <c r="E3812">
        <v>0.59921885569345401</v>
      </c>
      <c r="F3812">
        <v>0.62095568955182301</v>
      </c>
      <c r="G3812">
        <v>0.46271687355305302</v>
      </c>
      <c r="H3812">
        <v>0.31521853369254099</v>
      </c>
      <c r="I3812">
        <v>0.15943421458677801</v>
      </c>
      <c r="J3812">
        <v>0.14161755377638799</v>
      </c>
      <c r="K3812">
        <v>0.12485911556852899</v>
      </c>
      <c r="L3812">
        <v>464.87146335349797</v>
      </c>
      <c r="M3812">
        <v>8.52310592794759</v>
      </c>
      <c r="N3812">
        <v>54.542495042269103</v>
      </c>
      <c r="O3812">
        <v>51.788618859442302</v>
      </c>
      <c r="P3812">
        <v>-4.1180415013391897E-2</v>
      </c>
      <c r="Q3812">
        <v>0</v>
      </c>
      <c r="R3812">
        <v>0.95058613888687504</v>
      </c>
      <c r="S3812" t="s">
        <v>10482</v>
      </c>
      <c r="T3812" t="s">
        <v>13338</v>
      </c>
      <c r="U3812" t="s">
        <v>13338</v>
      </c>
      <c r="V3812" t="s">
        <v>13338</v>
      </c>
      <c r="W3812" t="s">
        <v>17098</v>
      </c>
      <c r="X3812">
        <v>14</v>
      </c>
      <c r="Y3812" t="s">
        <v>23613</v>
      </c>
      <c r="Z3812" t="s">
        <v>30227</v>
      </c>
      <c r="AA3812">
        <v>0.51460265000592409</v>
      </c>
      <c r="AB3812" t="str">
        <f>HYPERLINK("Melting_Curves/meltCurve_Q5QNZ2_ATP5F1.pdf", "Melting_Curves/meltCurve_Q5QNZ2_ATP5F1.pdf")</f>
        <v>Melting_Curves/meltCurve_Q5QNZ2_ATP5F1.pdf</v>
      </c>
    </row>
    <row r="3813" spans="1:28" x14ac:dyDescent="0.25">
      <c r="A3813" t="s">
        <v>3817</v>
      </c>
      <c r="B3813">
        <v>0.99193492352474899</v>
      </c>
      <c r="C3813">
        <v>1.1864706684366799</v>
      </c>
      <c r="D3813">
        <v>0.93423697513040005</v>
      </c>
      <c r="E3813">
        <v>0.87677378796933503</v>
      </c>
      <c r="F3813">
        <v>0.59986163005458804</v>
      </c>
      <c r="G3813">
        <v>0.52858520946599097</v>
      </c>
      <c r="H3813">
        <v>0.424609210371311</v>
      </c>
      <c r="I3813">
        <v>0.42975018279694399</v>
      </c>
      <c r="J3813">
        <v>0.509556729137293</v>
      </c>
      <c r="K3813">
        <v>0.41294575946303502</v>
      </c>
      <c r="L3813">
        <v>1407.9082618254499</v>
      </c>
      <c r="M3813">
        <v>27.270794187498801</v>
      </c>
      <c r="N3813">
        <v>56.275157602849703</v>
      </c>
      <c r="O3813">
        <v>51.351755561817399</v>
      </c>
      <c r="P3813">
        <v>-7.3362194674888803E-2</v>
      </c>
      <c r="Q3813">
        <v>0.44743214071005399</v>
      </c>
      <c r="R3813">
        <v>0.93528152103670004</v>
      </c>
      <c r="S3813" t="s">
        <v>10483</v>
      </c>
      <c r="T3813" t="s">
        <v>13338</v>
      </c>
      <c r="U3813" t="s">
        <v>13338</v>
      </c>
      <c r="V3813" t="s">
        <v>13338</v>
      </c>
      <c r="W3813" t="s">
        <v>17099</v>
      </c>
      <c r="X3813">
        <v>2</v>
      </c>
      <c r="Y3813" t="s">
        <v>23614</v>
      </c>
      <c r="Z3813" t="s">
        <v>30228</v>
      </c>
      <c r="AA3813">
        <v>0.66582793045194122</v>
      </c>
      <c r="AB3813" t="str">
        <f>HYPERLINK("Melting_Curves/meltCurve_Q5QP56_BCL2L1.pdf", "Melting_Curves/meltCurve_Q5QP56_BCL2L1.pdf")</f>
        <v>Melting_Curves/meltCurve_Q5QP56_BCL2L1.pdf</v>
      </c>
    </row>
    <row r="3814" spans="1:28" x14ac:dyDescent="0.25">
      <c r="A3814" t="s">
        <v>3818</v>
      </c>
      <c r="B3814">
        <v>0.99193492352474899</v>
      </c>
      <c r="C3814">
        <v>0.87643450563905501</v>
      </c>
      <c r="D3814">
        <v>0.63726490542634995</v>
      </c>
      <c r="E3814">
        <v>0.58911598674215104</v>
      </c>
      <c r="F3814">
        <v>0.40511879279510399</v>
      </c>
      <c r="G3814">
        <v>0.26765231483011798</v>
      </c>
      <c r="H3814">
        <v>0.122151214056929</v>
      </c>
      <c r="I3814">
        <v>0.152475893963776</v>
      </c>
      <c r="J3814">
        <v>5.7776715808148499E-2</v>
      </c>
      <c r="K3814">
        <v>0.30419315987642098</v>
      </c>
      <c r="L3814">
        <v>591.56259177564095</v>
      </c>
      <c r="M3814">
        <v>12.0731855424992</v>
      </c>
      <c r="N3814">
        <v>50.1951148272842</v>
      </c>
      <c r="O3814">
        <v>47.7118772592667</v>
      </c>
      <c r="P3814">
        <v>-5.5360600538393201E-2</v>
      </c>
      <c r="Q3814">
        <v>0.125090421928684</v>
      </c>
      <c r="R3814">
        <v>0.94001142108386704</v>
      </c>
      <c r="S3814" t="s">
        <v>10484</v>
      </c>
      <c r="T3814" t="s">
        <v>13338</v>
      </c>
      <c r="U3814" t="s">
        <v>13338</v>
      </c>
      <c r="V3814" t="s">
        <v>13338</v>
      </c>
      <c r="W3814" t="s">
        <v>17100</v>
      </c>
      <c r="X3814">
        <v>4</v>
      </c>
      <c r="Y3814" t="s">
        <v>23615</v>
      </c>
      <c r="Z3814" t="s">
        <v>30229</v>
      </c>
      <c r="AA3814">
        <v>0.41932653292752781</v>
      </c>
      <c r="AB3814" t="str">
        <f>HYPERLINK("Melting_Curves/meltCurve_Q5QP82_2_DCAF10.pdf", "Melting_Curves/meltCurve_Q5QP82_2_DCAF10.pdf")</f>
        <v>Melting_Curves/meltCurve_Q5QP82_2_DCAF10.pdf</v>
      </c>
    </row>
    <row r="3815" spans="1:28" x14ac:dyDescent="0.25">
      <c r="A3815" t="s">
        <v>3819</v>
      </c>
      <c r="B3815">
        <v>0.99193492352474899</v>
      </c>
      <c r="C3815">
        <v>0.97655340653060996</v>
      </c>
      <c r="D3815">
        <v>1.1128674575497299</v>
      </c>
      <c r="E3815">
        <v>0.944788900387874</v>
      </c>
      <c r="F3815">
        <v>0.63150040423452902</v>
      </c>
      <c r="G3815">
        <v>0.38362497102047399</v>
      </c>
      <c r="H3815">
        <v>0.140540514078695</v>
      </c>
      <c r="I3815">
        <v>0.10417015520936999</v>
      </c>
      <c r="J3815">
        <v>0.123463570118476</v>
      </c>
      <c r="K3815">
        <v>0.13674049136497601</v>
      </c>
      <c r="L3815">
        <v>1362.7319755718399</v>
      </c>
      <c r="M3815">
        <v>25.074140074954901</v>
      </c>
      <c r="N3815">
        <v>54.894889733685503</v>
      </c>
      <c r="O3815">
        <v>54.005956874639502</v>
      </c>
      <c r="P3815">
        <v>-0.10324628153099399</v>
      </c>
      <c r="Q3815">
        <v>0.110503546476047</v>
      </c>
      <c r="R3815">
        <v>0.98635542484418304</v>
      </c>
      <c r="S3815" t="s">
        <v>10485</v>
      </c>
      <c r="T3815" t="s">
        <v>13338</v>
      </c>
      <c r="U3815" t="s">
        <v>13338</v>
      </c>
      <c r="V3815" t="s">
        <v>13338</v>
      </c>
      <c r="W3815" t="s">
        <v>17101</v>
      </c>
      <c r="X3815">
        <v>10</v>
      </c>
      <c r="Y3815" t="s">
        <v>23616</v>
      </c>
      <c r="Z3815" t="s">
        <v>30230</v>
      </c>
      <c r="AA3815">
        <v>0.54411566888723784</v>
      </c>
      <c r="AB3815" t="str">
        <f>HYPERLINK("Melting_Curves/meltCurve_Q5QPK2_DPM1.pdf", "Melting_Curves/meltCurve_Q5QPK2_DPM1.pdf")</f>
        <v>Melting_Curves/meltCurve_Q5QPK2_DPM1.pdf</v>
      </c>
    </row>
    <row r="3816" spans="1:28" x14ac:dyDescent="0.25">
      <c r="A3816" t="s">
        <v>3820</v>
      </c>
      <c r="B3816">
        <v>0.99193492352474899</v>
      </c>
      <c r="C3816">
        <v>1.0091782029340699</v>
      </c>
      <c r="D3816">
        <v>0.96422334572061796</v>
      </c>
      <c r="E3816">
        <v>0.77461120458726396</v>
      </c>
      <c r="F3816">
        <v>0.39379740421995002</v>
      </c>
      <c r="G3816">
        <v>0.23380895439677399</v>
      </c>
      <c r="H3816">
        <v>0.14285428706153899</v>
      </c>
      <c r="I3816">
        <v>0.12899749717195799</v>
      </c>
      <c r="J3816">
        <v>0.140098029036785</v>
      </c>
      <c r="K3816">
        <v>0.13155534468462601</v>
      </c>
      <c r="L3816">
        <v>1312.9398820932299</v>
      </c>
      <c r="M3816">
        <v>25.451483575181602</v>
      </c>
      <c r="N3816">
        <v>52.219118080460298</v>
      </c>
      <c r="O3816">
        <v>51.270692466835499</v>
      </c>
      <c r="P3816">
        <v>-0.107629101107258</v>
      </c>
      <c r="Q3816">
        <v>0.132758038686661</v>
      </c>
      <c r="R3816">
        <v>0.99911208761427395</v>
      </c>
      <c r="S3816" t="s">
        <v>10486</v>
      </c>
      <c r="T3816" t="s">
        <v>13338</v>
      </c>
      <c r="U3816" t="s">
        <v>13338</v>
      </c>
      <c r="V3816" t="s">
        <v>13338</v>
      </c>
      <c r="W3816" t="s">
        <v>17102</v>
      </c>
      <c r="X3816">
        <v>6</v>
      </c>
      <c r="Y3816" t="s">
        <v>23617</v>
      </c>
      <c r="Z3816" t="s">
        <v>30231</v>
      </c>
      <c r="AA3816">
        <v>0.47530059493540011</v>
      </c>
      <c r="AB3816" t="str">
        <f>HYPERLINK("Melting_Curves/meltCurve_Q5QPM7_PSMF1.pdf", "Melting_Curves/meltCurve_Q5QPM7_PSMF1.pdf")</f>
        <v>Melting_Curves/meltCurve_Q5QPM7_PSMF1.pdf</v>
      </c>
    </row>
    <row r="3817" spans="1:28" x14ac:dyDescent="0.25">
      <c r="A3817" t="s">
        <v>3821</v>
      </c>
      <c r="B3817">
        <v>0.99193492352474899</v>
      </c>
      <c r="C3817">
        <v>0.85987116129796204</v>
      </c>
      <c r="D3817">
        <v>0.88008371779849204</v>
      </c>
      <c r="E3817">
        <v>0.596142364227633</v>
      </c>
      <c r="F3817">
        <v>0.16513944608645301</v>
      </c>
      <c r="G3817">
        <v>8.1460683604912307E-2</v>
      </c>
      <c r="H3817">
        <v>5.6850968097965297E-2</v>
      </c>
      <c r="I3817">
        <v>6.0743353295209801E-2</v>
      </c>
      <c r="J3817">
        <v>6.4571327380475801E-2</v>
      </c>
      <c r="K3817">
        <v>8.6017651596448502E-2</v>
      </c>
      <c r="L3817">
        <v>1293.42863851327</v>
      </c>
      <c r="M3817">
        <v>25.961062914284</v>
      </c>
      <c r="N3817">
        <v>50.049626016601103</v>
      </c>
      <c r="O3817">
        <v>49.529078932355802</v>
      </c>
      <c r="P3817">
        <v>-0.123740225094727</v>
      </c>
      <c r="Q3817">
        <v>5.5713949538853502E-2</v>
      </c>
      <c r="R3817">
        <v>0.98526044806496305</v>
      </c>
      <c r="S3817" t="s">
        <v>10487</v>
      </c>
      <c r="T3817" t="s">
        <v>13338</v>
      </c>
      <c r="U3817" t="s">
        <v>13338</v>
      </c>
      <c r="V3817" t="s">
        <v>13338</v>
      </c>
      <c r="W3817" t="s">
        <v>17103</v>
      </c>
      <c r="X3817">
        <v>18</v>
      </c>
      <c r="Y3817" t="s">
        <v>20624</v>
      </c>
      <c r="Z3817" t="s">
        <v>30232</v>
      </c>
      <c r="AA3817">
        <v>0.37267549975475922</v>
      </c>
      <c r="AB3817" t="str">
        <f>HYPERLINK("Melting_Curves/meltCurve_Q5R372_4_RABGAP1L.pdf", "Melting_Curves/meltCurve_Q5R372_4_RABGAP1L.pdf")</f>
        <v>Melting_Curves/meltCurve_Q5R372_4_RABGAP1L.pdf</v>
      </c>
    </row>
    <row r="3818" spans="1:28" x14ac:dyDescent="0.25">
      <c r="A3818" t="s">
        <v>3822</v>
      </c>
      <c r="B3818">
        <v>0.99193492352474899</v>
      </c>
      <c r="C3818">
        <v>0.86317000141667999</v>
      </c>
      <c r="D3818">
        <v>0.77059580345679102</v>
      </c>
      <c r="E3818">
        <v>0.62766587902561499</v>
      </c>
      <c r="F3818">
        <v>0.455236342211711</v>
      </c>
      <c r="G3818">
        <v>0.32043247265095798</v>
      </c>
      <c r="H3818">
        <v>0.221928880893488</v>
      </c>
      <c r="I3818">
        <v>0.226607325487027</v>
      </c>
      <c r="J3818">
        <v>0.152878100058539</v>
      </c>
      <c r="K3818">
        <v>0.100990400229516</v>
      </c>
      <c r="L3818">
        <v>508.12867425850698</v>
      </c>
      <c r="M3818">
        <v>9.8739794208328497</v>
      </c>
      <c r="N3818">
        <v>52.194148855934003</v>
      </c>
      <c r="O3818">
        <v>49.483933730363297</v>
      </c>
      <c r="P3818">
        <v>-4.6679970923510297E-2</v>
      </c>
      <c r="Q3818">
        <v>6.4721636546492503E-2</v>
      </c>
      <c r="R3818">
        <v>0.99402943142213496</v>
      </c>
      <c r="S3818" t="s">
        <v>10488</v>
      </c>
      <c r="T3818" t="s">
        <v>13338</v>
      </c>
      <c r="U3818" t="s">
        <v>13338</v>
      </c>
      <c r="V3818" t="s">
        <v>13338</v>
      </c>
      <c r="W3818" t="s">
        <v>17104</v>
      </c>
      <c r="X3818">
        <v>3</v>
      </c>
      <c r="Y3818" t="s">
        <v>23618</v>
      </c>
      <c r="Z3818" t="s">
        <v>30233</v>
      </c>
      <c r="AA3818">
        <v>0.45993917412454832</v>
      </c>
      <c r="AB3818" t="str">
        <f>HYPERLINK("Melting_Curves/meltCurve_Q5R3B4_MPC2.pdf", "Melting_Curves/meltCurve_Q5R3B4_MPC2.pdf")</f>
        <v>Melting_Curves/meltCurve_Q5R3B4_MPC2.pdf</v>
      </c>
    </row>
    <row r="3819" spans="1:28" x14ac:dyDescent="0.25">
      <c r="A3819" t="s">
        <v>3823</v>
      </c>
      <c r="B3819">
        <v>0.99193492352474899</v>
      </c>
      <c r="C3819">
        <v>1.0614677892500699</v>
      </c>
      <c r="D3819">
        <v>0.99027767373027897</v>
      </c>
      <c r="E3819">
        <v>0.99240909097075902</v>
      </c>
      <c r="F3819">
        <v>0.67574543082919802</v>
      </c>
      <c r="G3819">
        <v>0.540354053410808</v>
      </c>
      <c r="H3819">
        <v>0.42116952969730398</v>
      </c>
      <c r="I3819">
        <v>0.59696034988581503</v>
      </c>
      <c r="J3819">
        <v>0.61720984532637502</v>
      </c>
      <c r="K3819">
        <v>0.88202784470872897</v>
      </c>
      <c r="L3819">
        <v>5263.9764857259097</v>
      </c>
      <c r="M3819">
        <v>100.573761597397</v>
      </c>
      <c r="O3819">
        <v>52.318768859123303</v>
      </c>
      <c r="P3819">
        <v>-0.18666896720442699</v>
      </c>
      <c r="Q3819">
        <v>0.611576958602016</v>
      </c>
      <c r="R3819">
        <v>0.753121669698537</v>
      </c>
      <c r="S3819" t="s">
        <v>10489</v>
      </c>
      <c r="T3819" t="s">
        <v>13338</v>
      </c>
      <c r="U3819" t="s">
        <v>13338</v>
      </c>
      <c r="V3819" t="s">
        <v>13338</v>
      </c>
      <c r="W3819" t="s">
        <v>17105</v>
      </c>
      <c r="X3819">
        <v>6</v>
      </c>
      <c r="Y3819" t="s">
        <v>23619</v>
      </c>
      <c r="Z3819" t="s">
        <v>30234</v>
      </c>
      <c r="AA3819">
        <v>0.77156203330386319</v>
      </c>
      <c r="AB3819" t="str">
        <f>HYPERLINK("Melting_Curves/meltCurve_Q5RI15_COX20.pdf", "Melting_Curves/meltCurve_Q5RI15_COX20.pdf")</f>
        <v>Melting_Curves/meltCurve_Q5RI15_COX20.pdf</v>
      </c>
    </row>
    <row r="3820" spans="1:28" x14ac:dyDescent="0.25">
      <c r="A3820" t="s">
        <v>3824</v>
      </c>
      <c r="B3820">
        <v>0.99193492352474899</v>
      </c>
      <c r="C3820">
        <v>0.50292812212670102</v>
      </c>
      <c r="D3820">
        <v>0.78395157138343297</v>
      </c>
      <c r="E3820">
        <v>0.46835285107765701</v>
      </c>
      <c r="F3820">
        <v>0.656367343744513</v>
      </c>
      <c r="G3820">
        <v>0.27936947147365598</v>
      </c>
      <c r="H3820">
        <v>0.22963702607257799</v>
      </c>
      <c r="I3820">
        <v>0.19084236349637099</v>
      </c>
      <c r="J3820">
        <v>0.27331561730225701</v>
      </c>
      <c r="K3820">
        <v>0.24121266233556199</v>
      </c>
      <c r="L3820">
        <v>321.21739114805001</v>
      </c>
      <c r="M3820">
        <v>6.4358244218273999</v>
      </c>
      <c r="N3820">
        <v>51.222533569828698</v>
      </c>
      <c r="O3820">
        <v>45.746457443820901</v>
      </c>
      <c r="P3820">
        <v>-3.25809570414618E-2</v>
      </c>
      <c r="Q3820">
        <v>7.5971996338352193E-2</v>
      </c>
      <c r="R3820">
        <v>0.74042352910792697</v>
      </c>
      <c r="S3820" t="s">
        <v>10490</v>
      </c>
      <c r="T3820" t="s">
        <v>13338</v>
      </c>
      <c r="U3820" t="s">
        <v>13338</v>
      </c>
      <c r="V3820" t="s">
        <v>13338</v>
      </c>
      <c r="W3820" t="s">
        <v>17106</v>
      </c>
      <c r="X3820">
        <v>2</v>
      </c>
      <c r="Y3820" t="s">
        <v>23620</v>
      </c>
      <c r="Z3820" t="s">
        <v>30235</v>
      </c>
      <c r="AA3820">
        <v>0.45063227401313272</v>
      </c>
      <c r="AB3820" t="str">
        <f>HYPERLINK("Melting_Curves/meltCurve_Q5RJ85_HLA_G.pdf", "Melting_Curves/meltCurve_Q5RJ85_HLA_G.pdf")</f>
        <v>Melting_Curves/meltCurve_Q5RJ85_HLA_G.pdf</v>
      </c>
    </row>
    <row r="3821" spans="1:28" x14ac:dyDescent="0.25">
      <c r="A3821" t="s">
        <v>3825</v>
      </c>
      <c r="B3821">
        <v>0.99193492352474899</v>
      </c>
      <c r="C3821">
        <v>0.86519804596297301</v>
      </c>
      <c r="D3821">
        <v>0.88303788022789997</v>
      </c>
      <c r="E3821">
        <v>0.88093939639695895</v>
      </c>
      <c r="F3821">
        <v>0.96240926177046804</v>
      </c>
      <c r="G3821">
        <v>0.58280954577325295</v>
      </c>
      <c r="H3821">
        <v>0.32753555513078098</v>
      </c>
      <c r="I3821">
        <v>0.18225242856781901</v>
      </c>
      <c r="J3821">
        <v>0.18284708671475799</v>
      </c>
      <c r="K3821">
        <v>0.124892727473604</v>
      </c>
      <c r="L3821">
        <v>1414.6763075446299</v>
      </c>
      <c r="M3821">
        <v>24.670603040496498</v>
      </c>
      <c r="N3821">
        <v>58.082661958690899</v>
      </c>
      <c r="O3821">
        <v>56.969809993101698</v>
      </c>
      <c r="P3821">
        <v>-9.3662188820186995E-2</v>
      </c>
      <c r="Q3821">
        <v>0.134866473601125</v>
      </c>
      <c r="R3821">
        <v>0.957120488843615</v>
      </c>
      <c r="S3821" t="s">
        <v>10491</v>
      </c>
      <c r="T3821" t="s">
        <v>13338</v>
      </c>
      <c r="U3821" t="s">
        <v>13338</v>
      </c>
      <c r="V3821" t="s">
        <v>13338</v>
      </c>
      <c r="W3821" t="s">
        <v>17107</v>
      </c>
      <c r="X3821">
        <v>12</v>
      </c>
      <c r="Y3821" t="s">
        <v>23621</v>
      </c>
      <c r="Z3821" t="s">
        <v>30236</v>
      </c>
      <c r="AA3821">
        <v>0.64285936221750284</v>
      </c>
      <c r="AB3821" t="str">
        <f>HYPERLINK("Melting_Curves/meltCurve_Q5RKV6_EXOSC6.pdf", "Melting_Curves/meltCurve_Q5RKV6_EXOSC6.pdf")</f>
        <v>Melting_Curves/meltCurve_Q5RKV6_EXOSC6.pdf</v>
      </c>
    </row>
    <row r="3822" spans="1:28" x14ac:dyDescent="0.25">
      <c r="A3822" t="s">
        <v>3826</v>
      </c>
      <c r="B3822">
        <v>0.99193492352474899</v>
      </c>
      <c r="C3822">
        <v>0.88081967474643796</v>
      </c>
      <c r="D3822">
        <v>0.93053398368523998</v>
      </c>
      <c r="E3822">
        <v>0.60006747421116102</v>
      </c>
      <c r="F3822">
        <v>0.33547251438217601</v>
      </c>
      <c r="G3822">
        <v>0.16232247913186701</v>
      </c>
      <c r="H3822">
        <v>0.106978410817557</v>
      </c>
      <c r="I3822">
        <v>0.12385946057757199</v>
      </c>
      <c r="J3822">
        <v>0.244109158056668</v>
      </c>
      <c r="K3822">
        <v>0.123909033495865</v>
      </c>
      <c r="L3822">
        <v>1153.9612895784701</v>
      </c>
      <c r="M3822">
        <v>23.078558544656101</v>
      </c>
      <c r="N3822">
        <v>50.729338503940902</v>
      </c>
      <c r="O3822">
        <v>49.630565863703097</v>
      </c>
      <c r="P3822">
        <v>-9.9867763659115205E-2</v>
      </c>
      <c r="Q3822">
        <v>0.14095118500958301</v>
      </c>
      <c r="R3822">
        <v>0.97833268014331998</v>
      </c>
      <c r="S3822" t="s">
        <v>10492</v>
      </c>
      <c r="T3822" t="s">
        <v>13338</v>
      </c>
      <c r="U3822" t="s">
        <v>13338</v>
      </c>
      <c r="V3822" t="s">
        <v>13338</v>
      </c>
      <c r="W3822" t="s">
        <v>17108</v>
      </c>
      <c r="X3822">
        <v>3</v>
      </c>
      <c r="Y3822" t="s">
        <v>23622</v>
      </c>
      <c r="Z3822" t="s">
        <v>30237</v>
      </c>
      <c r="AA3822">
        <v>0.43635487157986141</v>
      </c>
      <c r="AB3822" t="str">
        <f>HYPERLINK("Melting_Curves/meltCurve_Q5SGD2_PPM1L.pdf", "Melting_Curves/meltCurve_Q5SGD2_PPM1L.pdf")</f>
        <v>Melting_Curves/meltCurve_Q5SGD2_PPM1L.pdf</v>
      </c>
    </row>
    <row r="3823" spans="1:28" x14ac:dyDescent="0.25">
      <c r="A3823" t="s">
        <v>3827</v>
      </c>
      <c r="B3823">
        <v>0.99193492352474899</v>
      </c>
      <c r="C3823">
        <v>0.79322266111554995</v>
      </c>
      <c r="D3823">
        <v>0.96359092157936199</v>
      </c>
      <c r="E3823">
        <v>0.66437398556766603</v>
      </c>
      <c r="F3823">
        <v>0.543766882576601</v>
      </c>
      <c r="G3823">
        <v>0.36904549148969101</v>
      </c>
      <c r="H3823">
        <v>0.241514181904254</v>
      </c>
      <c r="I3823">
        <v>0.24429046861911299</v>
      </c>
      <c r="J3823">
        <v>0.353639425540411</v>
      </c>
      <c r="K3823">
        <v>0.32339773205911099</v>
      </c>
      <c r="L3823">
        <v>794.31673999053305</v>
      </c>
      <c r="M3823">
        <v>15.6991768173897</v>
      </c>
      <c r="N3823">
        <v>53.233444410605799</v>
      </c>
      <c r="O3823">
        <v>49.796466489123603</v>
      </c>
      <c r="P3823">
        <v>-5.7518194585175597E-2</v>
      </c>
      <c r="Q3823">
        <v>0.270290189146773</v>
      </c>
      <c r="R3823">
        <v>0.92867625109512097</v>
      </c>
      <c r="S3823" t="s">
        <v>10493</v>
      </c>
      <c r="T3823" t="s">
        <v>13338</v>
      </c>
      <c r="U3823" t="s">
        <v>13338</v>
      </c>
      <c r="V3823" t="s">
        <v>13338</v>
      </c>
      <c r="W3823" t="s">
        <v>17109</v>
      </c>
      <c r="X3823">
        <v>2</v>
      </c>
      <c r="Y3823" t="s">
        <v>23623</v>
      </c>
      <c r="Z3823" t="s">
        <v>30238</v>
      </c>
      <c r="AA3823">
        <v>0.54381267449516912</v>
      </c>
      <c r="AB3823" t="str">
        <f>HYPERLINK("Melting_Curves/meltCurve_Q5SPT7_HLA_F.pdf", "Melting_Curves/meltCurve_Q5SPT7_HLA_F.pdf")</f>
        <v>Melting_Curves/meltCurve_Q5SPT7_HLA_F.pdf</v>
      </c>
    </row>
    <row r="3824" spans="1:28" x14ac:dyDescent="0.25">
      <c r="A3824" t="s">
        <v>3828</v>
      </c>
      <c r="B3824">
        <v>0.99193492352474899</v>
      </c>
      <c r="C3824">
        <v>0.88538482001581398</v>
      </c>
      <c r="D3824">
        <v>0.81579677956127095</v>
      </c>
      <c r="E3824">
        <v>0.40370036364364997</v>
      </c>
      <c r="F3824">
        <v>0.239444271747381</v>
      </c>
      <c r="G3824">
        <v>0.153224071870627</v>
      </c>
      <c r="H3824">
        <v>9.3412061159719798E-2</v>
      </c>
      <c r="I3824">
        <v>0.121144074842419</v>
      </c>
      <c r="J3824">
        <v>0.12698706452217901</v>
      </c>
      <c r="K3824">
        <v>8.8768216214180504E-2</v>
      </c>
      <c r="L3824">
        <v>1012.10336821805</v>
      </c>
      <c r="M3824">
        <v>20.939551992297599</v>
      </c>
      <c r="N3824">
        <v>48.888894634386602</v>
      </c>
      <c r="O3824">
        <v>47.9001733998698</v>
      </c>
      <c r="P3824">
        <v>-9.7740835196655204E-2</v>
      </c>
      <c r="Q3824">
        <v>0.105677918000597</v>
      </c>
      <c r="R3824">
        <v>0.99320663959444899</v>
      </c>
      <c r="S3824" t="s">
        <v>10494</v>
      </c>
      <c r="T3824" t="s">
        <v>13338</v>
      </c>
      <c r="U3824" t="s">
        <v>13338</v>
      </c>
      <c r="V3824" t="s">
        <v>13338</v>
      </c>
      <c r="W3824" t="s">
        <v>17110</v>
      </c>
      <c r="X3824">
        <v>2</v>
      </c>
      <c r="Y3824" t="s">
        <v>23624</v>
      </c>
      <c r="Z3824" t="s">
        <v>30239</v>
      </c>
      <c r="AA3824">
        <v>0.36560993728784769</v>
      </c>
      <c r="AB3824" t="str">
        <f>HYPERLINK("Melting_Curves/meltCurve_Q5SQI0_5_ATAT1.pdf", "Melting_Curves/meltCurve_Q5SQI0_5_ATAT1.pdf")</f>
        <v>Melting_Curves/meltCurve_Q5SQI0_5_ATAT1.pdf</v>
      </c>
    </row>
    <row r="3825" spans="1:28" x14ac:dyDescent="0.25">
      <c r="A3825" t="s">
        <v>3829</v>
      </c>
      <c r="B3825">
        <v>0.99193492352474899</v>
      </c>
      <c r="C3825">
        <v>0.81066347827797003</v>
      </c>
      <c r="D3825">
        <v>0.82656530038139397</v>
      </c>
      <c r="E3825">
        <v>0.61611842426907004</v>
      </c>
      <c r="F3825">
        <v>0.53834631043729297</v>
      </c>
      <c r="G3825">
        <v>0.31661115364049802</v>
      </c>
      <c r="H3825">
        <v>0.24811616566775499</v>
      </c>
      <c r="I3825">
        <v>0.25954492505154197</v>
      </c>
      <c r="J3825">
        <v>0.32324580005918901</v>
      </c>
      <c r="K3825">
        <v>0.248645192939005</v>
      </c>
      <c r="L3825">
        <v>580.87505686580903</v>
      </c>
      <c r="M3825">
        <v>11.641822834546501</v>
      </c>
      <c r="N3825">
        <v>52.487243771192297</v>
      </c>
      <c r="O3825">
        <v>48.4915250390967</v>
      </c>
      <c r="P3825">
        <v>-4.6912031209328499E-2</v>
      </c>
      <c r="Q3825">
        <v>0.21860368415669501</v>
      </c>
      <c r="R3825">
        <v>0.96400192077965297</v>
      </c>
      <c r="S3825" t="s">
        <v>10495</v>
      </c>
      <c r="T3825" t="s">
        <v>13338</v>
      </c>
      <c r="U3825" t="s">
        <v>13338</v>
      </c>
      <c r="V3825" t="s">
        <v>13338</v>
      </c>
      <c r="W3825" t="s">
        <v>17111</v>
      </c>
      <c r="X3825">
        <v>1</v>
      </c>
      <c r="Y3825" t="s">
        <v>23625</v>
      </c>
      <c r="Z3825" t="s">
        <v>30240</v>
      </c>
      <c r="AA3825">
        <v>0.50488003555823235</v>
      </c>
      <c r="AB3825" t="str">
        <f>HYPERLINK("Melting_Curves/meltCurve_Q5SR47_CR2.pdf", "Melting_Curves/meltCurve_Q5SR47_CR2.pdf")</f>
        <v>Melting_Curves/meltCurve_Q5SR47_CR2.pdf</v>
      </c>
    </row>
    <row r="3826" spans="1:28" x14ac:dyDescent="0.25">
      <c r="A3826" t="s">
        <v>3830</v>
      </c>
      <c r="B3826">
        <v>0.99193492352474899</v>
      </c>
      <c r="C3826">
        <v>0.99925159317447798</v>
      </c>
      <c r="D3826">
        <v>0.91958613984501703</v>
      </c>
      <c r="E3826">
        <v>0.72433819802226296</v>
      </c>
      <c r="F3826">
        <v>0.79106787577950299</v>
      </c>
      <c r="G3826">
        <v>0.61131509192289601</v>
      </c>
      <c r="H3826">
        <v>0.40438901832733098</v>
      </c>
      <c r="I3826">
        <v>0.38633305361007603</v>
      </c>
      <c r="J3826">
        <v>0.48295331429274502</v>
      </c>
      <c r="K3826">
        <v>0.27853290456504998</v>
      </c>
      <c r="L3826">
        <v>530.60050099336502</v>
      </c>
      <c r="M3826">
        <v>9.5012627304040098</v>
      </c>
      <c r="N3826">
        <v>59.926455003285902</v>
      </c>
      <c r="O3826">
        <v>53.539245955451001</v>
      </c>
      <c r="P3826">
        <v>-3.38174168975931E-2</v>
      </c>
      <c r="Q3826">
        <v>0.238210745705104</v>
      </c>
      <c r="R3826">
        <v>0.93372221231911001</v>
      </c>
      <c r="S3826" t="s">
        <v>10496</v>
      </c>
      <c r="T3826" t="s">
        <v>13338</v>
      </c>
      <c r="U3826" t="s">
        <v>13338</v>
      </c>
      <c r="V3826" t="s">
        <v>13338</v>
      </c>
      <c r="W3826" t="s">
        <v>17112</v>
      </c>
      <c r="X3826">
        <v>1</v>
      </c>
      <c r="Y3826" t="s">
        <v>23626</v>
      </c>
      <c r="Z3826" t="s">
        <v>30241</v>
      </c>
      <c r="AA3826">
        <v>0.65723183147053754</v>
      </c>
      <c r="AB3826" t="str">
        <f>HYPERLINK("Melting_Curves/meltCurve_Q5SR56_HIATL1.pdf", "Melting_Curves/meltCurve_Q5SR56_HIATL1.pdf")</f>
        <v>Melting_Curves/meltCurve_Q5SR56_HIATL1.pdf</v>
      </c>
    </row>
    <row r="3827" spans="1:28" x14ac:dyDescent="0.25">
      <c r="A3827" t="s">
        <v>3831</v>
      </c>
      <c r="B3827">
        <v>0.99193492352474899</v>
      </c>
      <c r="C3827">
        <v>0.813772005696487</v>
      </c>
      <c r="D3827">
        <v>0.86941244253613303</v>
      </c>
      <c r="E3827">
        <v>0.53153978386898704</v>
      </c>
      <c r="F3827">
        <v>0.239263764742567</v>
      </c>
      <c r="G3827">
        <v>0.10810285741846801</v>
      </c>
      <c r="H3827">
        <v>6.5009159455851701E-2</v>
      </c>
      <c r="I3827">
        <v>7.8637893096525802E-2</v>
      </c>
      <c r="J3827">
        <v>8.7422526380993099E-2</v>
      </c>
      <c r="K3827">
        <v>9.4027423253685599E-2</v>
      </c>
      <c r="L3827">
        <v>952.86640280247605</v>
      </c>
      <c r="M3827">
        <v>19.274807483632301</v>
      </c>
      <c r="N3827">
        <v>49.786274556348197</v>
      </c>
      <c r="O3827">
        <v>48.9129464959533</v>
      </c>
      <c r="P3827">
        <v>-9.2270085069037999E-2</v>
      </c>
      <c r="Q3827">
        <v>6.3434137626053197E-2</v>
      </c>
      <c r="R3827">
        <v>0.98079767916350002</v>
      </c>
      <c r="S3827" t="s">
        <v>10497</v>
      </c>
      <c r="T3827" t="s">
        <v>13338</v>
      </c>
      <c r="U3827" t="s">
        <v>13338</v>
      </c>
      <c r="V3827" t="s">
        <v>13338</v>
      </c>
      <c r="W3827" t="s">
        <v>17113</v>
      </c>
      <c r="X3827">
        <v>10</v>
      </c>
      <c r="Y3827" t="s">
        <v>23627</v>
      </c>
      <c r="Z3827" t="s">
        <v>30242</v>
      </c>
      <c r="AA3827">
        <v>0.37208247599407801</v>
      </c>
      <c r="AB3827" t="str">
        <f>HYPERLINK("Melting_Curves/meltCurve_Q5SRE5_NUP188.pdf", "Melting_Curves/meltCurve_Q5SRE5_NUP188.pdf")</f>
        <v>Melting_Curves/meltCurve_Q5SRE5_NUP188.pdf</v>
      </c>
    </row>
    <row r="3828" spans="1:28" x14ac:dyDescent="0.25">
      <c r="A3828" t="s">
        <v>3832</v>
      </c>
      <c r="B3828">
        <v>0.99193492352474899</v>
      </c>
      <c r="C3828">
        <v>1.0774745061094599</v>
      </c>
      <c r="D3828">
        <v>0.89622191418408703</v>
      </c>
      <c r="E3828">
        <v>0.86323398222207404</v>
      </c>
      <c r="F3828">
        <v>0.647001397222701</v>
      </c>
      <c r="G3828">
        <v>0.51473999691684302</v>
      </c>
      <c r="H3828">
        <v>0.39420278514769302</v>
      </c>
      <c r="I3828">
        <v>0.39816211631460102</v>
      </c>
      <c r="J3828">
        <v>0.40813610761165398</v>
      </c>
      <c r="K3828">
        <v>0.40064644385252002</v>
      </c>
      <c r="L3828">
        <v>999.83509239080297</v>
      </c>
      <c r="M3828">
        <v>19.0655564972025</v>
      </c>
      <c r="N3828">
        <v>56.814325003732698</v>
      </c>
      <c r="O3828">
        <v>51.875237045701603</v>
      </c>
      <c r="P3828">
        <v>-5.6534976141902699E-2</v>
      </c>
      <c r="Q3828">
        <v>0.38472292371170802</v>
      </c>
      <c r="R3828">
        <v>0.97996329636951396</v>
      </c>
      <c r="S3828" t="s">
        <v>10498</v>
      </c>
      <c r="T3828" t="s">
        <v>13338</v>
      </c>
      <c r="U3828" t="s">
        <v>13338</v>
      </c>
      <c r="V3828" t="s">
        <v>13338</v>
      </c>
      <c r="W3828" t="s">
        <v>17114</v>
      </c>
      <c r="X3828">
        <v>24</v>
      </c>
      <c r="Y3828" t="s">
        <v>23628</v>
      </c>
      <c r="Z3828" t="s">
        <v>30243</v>
      </c>
      <c r="AA3828">
        <v>0.64912943027798919</v>
      </c>
      <c r="AB3828" t="str">
        <f>HYPERLINK("Melting_Curves/meltCurve_Q5SRN5_HLA_A.pdf", "Melting_Curves/meltCurve_Q5SRN5_HLA_A.pdf")</f>
        <v>Melting_Curves/meltCurve_Q5SRN5_HLA_A.pdf</v>
      </c>
    </row>
    <row r="3829" spans="1:28" x14ac:dyDescent="0.25">
      <c r="A3829" t="s">
        <v>3833</v>
      </c>
      <c r="B3829">
        <v>0.99193492352474899</v>
      </c>
      <c r="C3829">
        <v>1.0330176754346501</v>
      </c>
      <c r="D3829">
        <v>1.0443740586171899</v>
      </c>
      <c r="E3829">
        <v>0.94491290513288795</v>
      </c>
      <c r="F3829">
        <v>0.73372975800974305</v>
      </c>
      <c r="G3829">
        <v>0.31189590649019699</v>
      </c>
      <c r="H3829">
        <v>0.13312627943250999</v>
      </c>
      <c r="I3829">
        <v>0.148955782281364</v>
      </c>
      <c r="J3829">
        <v>0.151261298424721</v>
      </c>
      <c r="K3829">
        <v>0.19861422385366201</v>
      </c>
      <c r="L3829">
        <v>1918.9357970661099</v>
      </c>
      <c r="M3829">
        <v>35.308418649021696</v>
      </c>
      <c r="N3829">
        <v>54.918124911621199</v>
      </c>
      <c r="O3829">
        <v>54.1743783090363</v>
      </c>
      <c r="P3829">
        <v>-0.13793168259365099</v>
      </c>
      <c r="Q3829">
        <v>0.153478081764055</v>
      </c>
      <c r="R3829">
        <v>0.99495262557276198</v>
      </c>
      <c r="S3829" t="s">
        <v>10499</v>
      </c>
      <c r="T3829" t="s">
        <v>13338</v>
      </c>
      <c r="U3829" t="s">
        <v>13338</v>
      </c>
      <c r="V3829" t="s">
        <v>13338</v>
      </c>
      <c r="W3829" t="s">
        <v>17115</v>
      </c>
      <c r="X3829">
        <v>9</v>
      </c>
      <c r="Y3829" t="s">
        <v>23629</v>
      </c>
      <c r="Z3829" t="s">
        <v>30244</v>
      </c>
      <c r="AA3829">
        <v>0.56240032900425774</v>
      </c>
      <c r="AB3829" t="str">
        <f>HYPERLINK("Melting_Curves/meltCurve_Q5SRQ6_CSNK2B.pdf", "Melting_Curves/meltCurve_Q5SRQ6_CSNK2B.pdf")</f>
        <v>Melting_Curves/meltCurve_Q5SRQ6_CSNK2B.pdf</v>
      </c>
    </row>
    <row r="3830" spans="1:28" x14ac:dyDescent="0.25">
      <c r="A3830" t="s">
        <v>3834</v>
      </c>
      <c r="B3830">
        <v>0.99193492352474899</v>
      </c>
      <c r="C3830">
        <v>0.82779341175536103</v>
      </c>
      <c r="D3830">
        <v>0.67559438871386102</v>
      </c>
      <c r="E3830">
        <v>0.31091105816692</v>
      </c>
      <c r="F3830">
        <v>0.16943032373476599</v>
      </c>
      <c r="G3830">
        <v>9.6881111112801302E-2</v>
      </c>
      <c r="H3830">
        <v>7.6594400316465805E-2</v>
      </c>
      <c r="I3830">
        <v>7.9144419769247798E-2</v>
      </c>
      <c r="J3830">
        <v>0.22551067271616099</v>
      </c>
      <c r="K3830">
        <v>7.6792436428258698E-2</v>
      </c>
      <c r="L3830">
        <v>962.58130546915197</v>
      </c>
      <c r="M3830">
        <v>20.536327577416898</v>
      </c>
      <c r="N3830">
        <v>47.402332989324101</v>
      </c>
      <c r="O3830">
        <v>46.434467694047797</v>
      </c>
      <c r="P3830">
        <v>-9.9223259180989495E-2</v>
      </c>
      <c r="Q3830">
        <v>0.102615763064785</v>
      </c>
      <c r="R3830">
        <v>0.97861724124004201</v>
      </c>
      <c r="S3830" t="s">
        <v>10500</v>
      </c>
      <c r="T3830" t="s">
        <v>13338</v>
      </c>
      <c r="U3830" t="s">
        <v>13338</v>
      </c>
      <c r="V3830" t="s">
        <v>13338</v>
      </c>
      <c r="W3830" t="s">
        <v>17116</v>
      </c>
      <c r="X3830">
        <v>3</v>
      </c>
      <c r="Y3830" t="s">
        <v>23630</v>
      </c>
      <c r="Z3830" t="s">
        <v>30245</v>
      </c>
      <c r="AA3830">
        <v>0.32063303458565789</v>
      </c>
      <c r="AB3830" t="str">
        <f>HYPERLINK("Melting_Curves/meltCurve_Q5SSJ5_HP1BP3.pdf", "Melting_Curves/meltCurve_Q5SSJ5_HP1BP3.pdf")</f>
        <v>Melting_Curves/meltCurve_Q5SSJ5_HP1BP3.pdf</v>
      </c>
    </row>
    <row r="3831" spans="1:28" x14ac:dyDescent="0.25">
      <c r="A3831" t="s">
        <v>3835</v>
      </c>
      <c r="B3831">
        <v>0.99193492352474899</v>
      </c>
      <c r="C3831">
        <v>0.79762084670615996</v>
      </c>
      <c r="D3831">
        <v>0.90129488365849297</v>
      </c>
      <c r="E3831">
        <v>0.587439190279893</v>
      </c>
      <c r="F3831">
        <v>0.24580680051122</v>
      </c>
      <c r="G3831">
        <v>0.123058679200128</v>
      </c>
      <c r="H3831">
        <v>7.8444860998490906E-2</v>
      </c>
      <c r="I3831">
        <v>0.18605990797185101</v>
      </c>
      <c r="J3831">
        <v>9.6806639910305498E-2</v>
      </c>
      <c r="K3831">
        <v>9.9108700780723993E-2</v>
      </c>
      <c r="L3831">
        <v>1091.8193954619501</v>
      </c>
      <c r="M3831">
        <v>21.965528170751899</v>
      </c>
      <c r="N3831">
        <v>50.211366066752298</v>
      </c>
      <c r="O3831">
        <v>49.299559525668002</v>
      </c>
      <c r="P3831">
        <v>-0.100344475074693</v>
      </c>
      <c r="Q3831">
        <v>9.9165335444864597E-2</v>
      </c>
      <c r="R3831">
        <v>0.96569250456997602</v>
      </c>
      <c r="S3831" t="s">
        <v>10501</v>
      </c>
      <c r="T3831" t="s">
        <v>13338</v>
      </c>
      <c r="U3831" t="s">
        <v>13338</v>
      </c>
      <c r="V3831" t="s">
        <v>13338</v>
      </c>
      <c r="W3831" t="s">
        <v>17117</v>
      </c>
      <c r="X3831">
        <v>11</v>
      </c>
      <c r="Y3831" t="s">
        <v>23631</v>
      </c>
      <c r="Z3831" t="s">
        <v>30246</v>
      </c>
      <c r="AA3831">
        <v>0.40103682790104211</v>
      </c>
      <c r="AB3831" t="str">
        <f>HYPERLINK("Melting_Curves/meltCurve_Q5ST30_VARS2.pdf", "Melting_Curves/meltCurve_Q5ST30_VARS2.pdf")</f>
        <v>Melting_Curves/meltCurve_Q5ST30_VARS2.pdf</v>
      </c>
    </row>
    <row r="3832" spans="1:28" x14ac:dyDescent="0.25">
      <c r="A3832" t="s">
        <v>3836</v>
      </c>
      <c r="B3832">
        <v>0.99193492352474899</v>
      </c>
      <c r="C3832">
        <v>0.83705941942709805</v>
      </c>
      <c r="D3832">
        <v>0.703332645835964</v>
      </c>
      <c r="E3832">
        <v>0.63321743219753102</v>
      </c>
      <c r="F3832">
        <v>0.41879976603826402</v>
      </c>
      <c r="G3832">
        <v>0.291595465053062</v>
      </c>
      <c r="H3832">
        <v>0.22622951774841299</v>
      </c>
      <c r="I3832">
        <v>0.27132479907871299</v>
      </c>
      <c r="J3832">
        <v>0.33683163773585401</v>
      </c>
      <c r="K3832">
        <v>0.324789192045283</v>
      </c>
      <c r="L3832">
        <v>654.07158327927402</v>
      </c>
      <c r="M3832">
        <v>13.6281697340563</v>
      </c>
      <c r="N3832">
        <v>50.808258591186799</v>
      </c>
      <c r="O3832">
        <v>46.996055402815898</v>
      </c>
      <c r="P3832">
        <v>-5.3295780686110898E-2</v>
      </c>
      <c r="Q3832">
        <v>0.26495652105265999</v>
      </c>
      <c r="R3832">
        <v>0.96043036728308595</v>
      </c>
      <c r="S3832" t="s">
        <v>10502</v>
      </c>
      <c r="T3832" t="s">
        <v>13338</v>
      </c>
      <c r="U3832" t="s">
        <v>13338</v>
      </c>
      <c r="V3832" t="s">
        <v>13338</v>
      </c>
      <c r="W3832" t="s">
        <v>17118</v>
      </c>
      <c r="X3832">
        <v>3</v>
      </c>
      <c r="Y3832" t="s">
        <v>23632</v>
      </c>
      <c r="Z3832" t="s">
        <v>30247</v>
      </c>
      <c r="AA3832">
        <v>0.48361213185480439</v>
      </c>
      <c r="AB3832" t="str">
        <f>HYPERLINK("Melting_Curves/meltCurve_Q5STX8_AIF1.pdf", "Melting_Curves/meltCurve_Q5STX8_AIF1.pdf")</f>
        <v>Melting_Curves/meltCurve_Q5STX8_AIF1.pdf</v>
      </c>
    </row>
    <row r="3833" spans="1:28" x14ac:dyDescent="0.25">
      <c r="A3833" t="s">
        <v>3837</v>
      </c>
      <c r="B3833">
        <v>0.99193492352474899</v>
      </c>
      <c r="C3833">
        <v>0.83902129773280798</v>
      </c>
      <c r="D3833">
        <v>0.45452201725845698</v>
      </c>
      <c r="E3833">
        <v>0.18454470332533299</v>
      </c>
      <c r="F3833">
        <v>0.103708251619162</v>
      </c>
      <c r="G3833">
        <v>0</v>
      </c>
      <c r="H3833">
        <v>0</v>
      </c>
      <c r="I3833">
        <v>0</v>
      </c>
      <c r="J3833">
        <v>4.6924053804262698E-2</v>
      </c>
      <c r="K3833">
        <v>0</v>
      </c>
      <c r="L3833">
        <v>1022.73656216748</v>
      </c>
      <c r="M3833">
        <v>22.328496715851401</v>
      </c>
      <c r="N3833">
        <v>45.867468546340497</v>
      </c>
      <c r="O3833">
        <v>45.441440867762701</v>
      </c>
      <c r="P3833">
        <v>-0.12097881103855999</v>
      </c>
      <c r="Q3833">
        <v>1.5189212929138199E-2</v>
      </c>
      <c r="R3833">
        <v>0.994317277351769</v>
      </c>
      <c r="S3833" t="s">
        <v>10503</v>
      </c>
      <c r="T3833" t="s">
        <v>13338</v>
      </c>
      <c r="U3833" t="s">
        <v>13338</v>
      </c>
      <c r="V3833" t="s">
        <v>13338</v>
      </c>
      <c r="W3833" t="s">
        <v>17119</v>
      </c>
      <c r="X3833">
        <v>1</v>
      </c>
      <c r="Y3833" t="s">
        <v>23633</v>
      </c>
      <c r="Z3833" t="s">
        <v>30248</v>
      </c>
      <c r="AA3833">
        <v>0.21768776237458309</v>
      </c>
      <c r="AB3833" t="str">
        <f>HYPERLINK("Melting_Curves/meltCurve_Q5SVK8_DNMBP.pdf", "Melting_Curves/meltCurve_Q5SVK8_DNMBP.pdf")</f>
        <v>Melting_Curves/meltCurve_Q5SVK8_DNMBP.pdf</v>
      </c>
    </row>
    <row r="3834" spans="1:28" x14ac:dyDescent="0.25">
      <c r="A3834" t="s">
        <v>3838</v>
      </c>
      <c r="B3834">
        <v>0.99193492352474899</v>
      </c>
      <c r="C3834">
        <v>0.53025695276678997</v>
      </c>
      <c r="D3834">
        <v>0.71252630603650902</v>
      </c>
      <c r="E3834">
        <v>0.41862322677093</v>
      </c>
      <c r="F3834">
        <v>0.26491314598108201</v>
      </c>
      <c r="G3834">
        <v>0.14561180707846799</v>
      </c>
      <c r="H3834">
        <v>0.122303981216347</v>
      </c>
      <c r="I3834">
        <v>0.16559479560875801</v>
      </c>
      <c r="J3834">
        <v>0.238079486333894</v>
      </c>
      <c r="K3834">
        <v>0.334515648397541</v>
      </c>
      <c r="L3834">
        <v>600.75314419668996</v>
      </c>
      <c r="M3834">
        <v>13.2188427695269</v>
      </c>
      <c r="N3834">
        <v>47.099611480371401</v>
      </c>
      <c r="O3834">
        <v>44.444427073323602</v>
      </c>
      <c r="P3834">
        <v>-6.05667145229647E-2</v>
      </c>
      <c r="Q3834">
        <v>0.185584858271825</v>
      </c>
      <c r="R3834">
        <v>0.82766563981499097</v>
      </c>
      <c r="S3834" t="s">
        <v>10504</v>
      </c>
      <c r="T3834" t="s">
        <v>13338</v>
      </c>
      <c r="U3834" t="s">
        <v>13338</v>
      </c>
      <c r="V3834" t="s">
        <v>13338</v>
      </c>
      <c r="W3834" t="s">
        <v>17120</v>
      </c>
      <c r="X3834">
        <v>9</v>
      </c>
      <c r="Y3834" t="s">
        <v>23634</v>
      </c>
      <c r="Z3834" t="s">
        <v>30249</v>
      </c>
      <c r="AA3834">
        <v>0.36580627990855519</v>
      </c>
      <c r="AB3834" t="str">
        <f>HYPERLINK("Melting_Curves/meltCurve_Q5SW79_CEP170.pdf", "Melting_Curves/meltCurve_Q5SW79_CEP170.pdf")</f>
        <v>Melting_Curves/meltCurve_Q5SW79_CEP170.pdf</v>
      </c>
    </row>
    <row r="3835" spans="1:28" x14ac:dyDescent="0.25">
      <c r="A3835" t="s">
        <v>3839</v>
      </c>
      <c r="B3835">
        <v>0.99193492352474899</v>
      </c>
      <c r="C3835">
        <v>0.89372130234415803</v>
      </c>
      <c r="D3835">
        <v>0.77287130205649501</v>
      </c>
      <c r="E3835">
        <v>0.52741927799851995</v>
      </c>
      <c r="F3835">
        <v>0.29045158529940701</v>
      </c>
      <c r="G3835">
        <v>0.267902381707114</v>
      </c>
      <c r="H3835">
        <v>0.13850064134353901</v>
      </c>
      <c r="I3835">
        <v>0.18787722936780199</v>
      </c>
      <c r="J3835">
        <v>0.20670390359638599</v>
      </c>
      <c r="K3835">
        <v>0.32509614898880201</v>
      </c>
      <c r="L3835">
        <v>921.65856227820996</v>
      </c>
      <c r="M3835">
        <v>19.137618484503399</v>
      </c>
      <c r="N3835">
        <v>49.568973437209998</v>
      </c>
      <c r="O3835">
        <v>47.642920934273697</v>
      </c>
      <c r="P3835">
        <v>-7.9352808731287999E-2</v>
      </c>
      <c r="Q3835">
        <v>0.20983829273997101</v>
      </c>
      <c r="R3835">
        <v>0.97263155666274403</v>
      </c>
      <c r="S3835" t="s">
        <v>10505</v>
      </c>
      <c r="T3835" t="s">
        <v>13338</v>
      </c>
      <c r="U3835" t="s">
        <v>13338</v>
      </c>
      <c r="V3835" t="s">
        <v>13338</v>
      </c>
      <c r="W3835" t="s">
        <v>17121</v>
      </c>
      <c r="X3835">
        <v>1</v>
      </c>
      <c r="Y3835" t="s">
        <v>23635</v>
      </c>
      <c r="Z3835" t="s">
        <v>30250</v>
      </c>
      <c r="AA3835">
        <v>0.43703020972657919</v>
      </c>
      <c r="AB3835" t="str">
        <f>HYPERLINK("Melting_Curves/meltCurve_Q5SW96_LDLRAP1.pdf", "Melting_Curves/meltCurve_Q5SW96_LDLRAP1.pdf")</f>
        <v>Melting_Curves/meltCurve_Q5SW96_LDLRAP1.pdf</v>
      </c>
    </row>
    <row r="3836" spans="1:28" x14ac:dyDescent="0.25">
      <c r="A3836" t="s">
        <v>3840</v>
      </c>
      <c r="B3836">
        <v>0.99193492352474899</v>
      </c>
      <c r="C3836">
        <v>1.08863130166968</v>
      </c>
      <c r="D3836">
        <v>1.4478165076138201</v>
      </c>
      <c r="E3836">
        <v>0.72233423348580195</v>
      </c>
      <c r="F3836">
        <v>0.29791442094223902</v>
      </c>
      <c r="G3836">
        <v>0.14519075037679099</v>
      </c>
      <c r="H3836">
        <v>9.4659602056052297E-2</v>
      </c>
      <c r="I3836">
        <v>7.8777267971760906E-2</v>
      </c>
      <c r="J3836">
        <v>8.5950896680084501E-2</v>
      </c>
      <c r="K3836">
        <v>6.0369169419975298E-2</v>
      </c>
      <c r="L3836">
        <v>1976.7439280475601</v>
      </c>
      <c r="M3836">
        <v>38.641840113629002</v>
      </c>
      <c r="N3836">
        <v>51.428434016343601</v>
      </c>
      <c r="O3836">
        <v>51.0191078023336</v>
      </c>
      <c r="P3836">
        <v>-0.171799110919896</v>
      </c>
      <c r="Q3836">
        <v>9.2691650425056296E-2</v>
      </c>
      <c r="R3836">
        <v>0.90540626261363</v>
      </c>
      <c r="S3836" t="s">
        <v>10506</v>
      </c>
      <c r="T3836" t="s">
        <v>13338</v>
      </c>
      <c r="U3836" t="s">
        <v>13338</v>
      </c>
      <c r="V3836" t="s">
        <v>13338</v>
      </c>
      <c r="W3836" t="s">
        <v>17122</v>
      </c>
      <c r="X3836">
        <v>1</v>
      </c>
      <c r="Y3836" t="s">
        <v>23636</v>
      </c>
      <c r="Z3836" t="s">
        <v>30251</v>
      </c>
      <c r="AA3836">
        <v>0.433514225917072</v>
      </c>
      <c r="AB3836" t="str">
        <f>HYPERLINK("Melting_Curves/meltCurve_Q5SWX3_CAMK2G.pdf", "Melting_Curves/meltCurve_Q5SWX3_CAMK2G.pdf")</f>
        <v>Melting_Curves/meltCurve_Q5SWX3_CAMK2G.pdf</v>
      </c>
    </row>
    <row r="3837" spans="1:28" x14ac:dyDescent="0.25">
      <c r="A3837" t="s">
        <v>3841</v>
      </c>
      <c r="B3837">
        <v>0.99193492352474899</v>
      </c>
      <c r="C3837">
        <v>0.801582967738105</v>
      </c>
      <c r="D3837">
        <v>1.0736729199192601</v>
      </c>
      <c r="E3837">
        <v>0.54003103416283504</v>
      </c>
      <c r="F3837">
        <v>0.42417656346013699</v>
      </c>
      <c r="G3837">
        <v>0.152301903896786</v>
      </c>
      <c r="H3837">
        <v>0.10164456101388</v>
      </c>
      <c r="I3837">
        <v>0.16248413331134701</v>
      </c>
      <c r="J3837">
        <v>0.186900683441797</v>
      </c>
      <c r="K3837">
        <v>0.17844278562288901</v>
      </c>
      <c r="L3837">
        <v>1224.6292827978</v>
      </c>
      <c r="M3837">
        <v>24.403859275122802</v>
      </c>
      <c r="N3837">
        <v>50.951856900192602</v>
      </c>
      <c r="O3837">
        <v>49.848465319951202</v>
      </c>
      <c r="P3837">
        <v>-0.10351561679275301</v>
      </c>
      <c r="Q3837">
        <v>0.154229115921834</v>
      </c>
      <c r="R3837">
        <v>0.930817513244941</v>
      </c>
      <c r="S3837" t="s">
        <v>10507</v>
      </c>
      <c r="T3837" t="s">
        <v>13338</v>
      </c>
      <c r="U3837" t="s">
        <v>13338</v>
      </c>
      <c r="V3837" t="s">
        <v>13338</v>
      </c>
      <c r="W3837" t="s">
        <v>17123</v>
      </c>
      <c r="X3837">
        <v>1</v>
      </c>
      <c r="Y3837" t="s">
        <v>23637</v>
      </c>
      <c r="Z3837" t="s">
        <v>30252</v>
      </c>
      <c r="AA3837">
        <v>0.44922584197791898</v>
      </c>
      <c r="AB3837" t="str">
        <f>HYPERLINK("Melting_Curves/meltCurve_Q5SWX8_3_ODR4.pdf", "Melting_Curves/meltCurve_Q5SWX8_3_ODR4.pdf")</f>
        <v>Melting_Curves/meltCurve_Q5SWX8_3_ODR4.pdf</v>
      </c>
    </row>
    <row r="3838" spans="1:28" x14ac:dyDescent="0.25">
      <c r="A3838" t="s">
        <v>3842</v>
      </c>
      <c r="B3838">
        <v>0.99193492352474899</v>
      </c>
      <c r="C3838">
        <v>0.486533252463074</v>
      </c>
      <c r="D3838">
        <v>0.67986413322164496</v>
      </c>
      <c r="E3838">
        <v>0.27466597732383102</v>
      </c>
      <c r="F3838">
        <v>9.0397430859468497E-2</v>
      </c>
      <c r="G3838">
        <v>6.0107397052587899E-2</v>
      </c>
      <c r="H3838">
        <v>3.9162088540640599E-2</v>
      </c>
      <c r="I3838">
        <v>7.2450834421998497E-2</v>
      </c>
      <c r="J3838">
        <v>9.6765703256175797E-2</v>
      </c>
      <c r="K3838">
        <v>9.4163428001155597E-2</v>
      </c>
      <c r="L3838">
        <v>624.06319912636502</v>
      </c>
      <c r="M3838">
        <v>13.6853669723587</v>
      </c>
      <c r="N3838">
        <v>45.901911664369003</v>
      </c>
      <c r="O3838">
        <v>44.660160040618997</v>
      </c>
      <c r="P3838">
        <v>-7.3329696662482194E-2</v>
      </c>
      <c r="Q3838">
        <v>4.29361868278723E-2</v>
      </c>
      <c r="R3838">
        <v>0.88309523512260801</v>
      </c>
      <c r="S3838" t="s">
        <v>10508</v>
      </c>
      <c r="T3838" t="s">
        <v>13338</v>
      </c>
      <c r="U3838" t="s">
        <v>13338</v>
      </c>
      <c r="V3838" t="s">
        <v>13338</v>
      </c>
      <c r="W3838" t="s">
        <v>17124</v>
      </c>
      <c r="X3838">
        <v>1</v>
      </c>
      <c r="Y3838" t="s">
        <v>23638</v>
      </c>
      <c r="Z3838" t="s">
        <v>30253</v>
      </c>
      <c r="AA3838">
        <v>0.25658778773963498</v>
      </c>
      <c r="AB3838" t="str">
        <f>HYPERLINK("Melting_Curves/meltCurve_Q5SXM2_SNAPC4.pdf", "Melting_Curves/meltCurve_Q5SXM2_SNAPC4.pdf")</f>
        <v>Melting_Curves/meltCurve_Q5SXM2_SNAPC4.pdf</v>
      </c>
    </row>
    <row r="3839" spans="1:28" x14ac:dyDescent="0.25">
      <c r="A3839" t="s">
        <v>3843</v>
      </c>
      <c r="B3839">
        <v>0.99193492352474899</v>
      </c>
      <c r="C3839">
        <v>0.69898627378312606</v>
      </c>
      <c r="D3839">
        <v>0.78360944082665396</v>
      </c>
      <c r="E3839">
        <v>1.9582380434115301</v>
      </c>
      <c r="F3839">
        <v>1.5513969873018501</v>
      </c>
      <c r="G3839">
        <v>1.40704369083133</v>
      </c>
      <c r="H3839">
        <v>0.86963322429203105</v>
      </c>
      <c r="I3839">
        <v>2.15284245644188</v>
      </c>
      <c r="J3839">
        <v>1.7272611026935401</v>
      </c>
      <c r="K3839">
        <v>4.6258047831834599</v>
      </c>
      <c r="L3839">
        <v>11916.932232311699</v>
      </c>
      <c r="M3839">
        <v>250</v>
      </c>
      <c r="O3839">
        <v>47.664678414631801</v>
      </c>
      <c r="P3839">
        <v>0.65562175206042805</v>
      </c>
      <c r="Q3839">
        <v>1.5</v>
      </c>
      <c r="R3839">
        <v>8.0487931318981701E-2</v>
      </c>
      <c r="S3839" t="s">
        <v>10509</v>
      </c>
      <c r="T3839" t="s">
        <v>13338</v>
      </c>
      <c r="U3839" t="s">
        <v>13338</v>
      </c>
      <c r="V3839" t="s">
        <v>13338</v>
      </c>
      <c r="W3839" t="s">
        <v>17125</v>
      </c>
      <c r="X3839">
        <v>1</v>
      </c>
      <c r="Y3839" t="s">
        <v>23639</v>
      </c>
      <c r="Z3839" t="s">
        <v>30254</v>
      </c>
      <c r="AA3839">
        <v>1.372162689784687</v>
      </c>
      <c r="AB3839" t="str">
        <f>HYPERLINK("Melting_Curves/meltCurve_Q5SXM8_DNLZ.pdf", "Melting_Curves/meltCurve_Q5SXM8_DNLZ.pdf")</f>
        <v>Melting_Curves/meltCurve_Q5SXM8_DNLZ.pdf</v>
      </c>
    </row>
    <row r="3840" spans="1:28" x14ac:dyDescent="0.25">
      <c r="A3840" t="s">
        <v>3844</v>
      </c>
      <c r="B3840">
        <v>0.99193492352474899</v>
      </c>
      <c r="C3840">
        <v>0.88292414053753099</v>
      </c>
      <c r="D3840">
        <v>0.99278702697839205</v>
      </c>
      <c r="E3840">
        <v>0.64402875105127899</v>
      </c>
      <c r="F3840">
        <v>0.39252529199838498</v>
      </c>
      <c r="G3840">
        <v>0.20329459543095699</v>
      </c>
      <c r="H3840">
        <v>0.10776701270528601</v>
      </c>
      <c r="I3840">
        <v>9.6703684026267001E-2</v>
      </c>
      <c r="J3840">
        <v>8.7572621133586007E-2</v>
      </c>
      <c r="K3840">
        <v>9.6780722333196706E-2</v>
      </c>
      <c r="L3840">
        <v>1017.1239480638</v>
      </c>
      <c r="M3840">
        <v>19.8711023837513</v>
      </c>
      <c r="N3840">
        <v>51.6576970648957</v>
      </c>
      <c r="O3840">
        <v>50.676149394201502</v>
      </c>
      <c r="P3840">
        <v>-8.9901108028668505E-2</v>
      </c>
      <c r="Q3840">
        <v>8.29517454176565E-2</v>
      </c>
      <c r="R3840">
        <v>0.986768127364957</v>
      </c>
      <c r="S3840" t="s">
        <v>10510</v>
      </c>
      <c r="T3840" t="s">
        <v>13338</v>
      </c>
      <c r="U3840" t="s">
        <v>13338</v>
      </c>
      <c r="V3840" t="s">
        <v>13338</v>
      </c>
      <c r="W3840" t="s">
        <v>17126</v>
      </c>
      <c r="X3840">
        <v>3</v>
      </c>
      <c r="Y3840" t="s">
        <v>23640</v>
      </c>
      <c r="Z3840" t="s">
        <v>30255</v>
      </c>
      <c r="AA3840">
        <v>0.43776875874827759</v>
      </c>
      <c r="AB3840" t="str">
        <f>HYPERLINK("Melting_Curves/meltCurve_Q5SZE3_CERS2.pdf", "Melting_Curves/meltCurve_Q5SZE3_CERS2.pdf")</f>
        <v>Melting_Curves/meltCurve_Q5SZE3_CERS2.pdf</v>
      </c>
    </row>
    <row r="3841" spans="1:28" x14ac:dyDescent="0.25">
      <c r="A3841" t="s">
        <v>3845</v>
      </c>
      <c r="B3841">
        <v>0.99193492352474899</v>
      </c>
      <c r="C3841">
        <v>1.0739705782134701</v>
      </c>
      <c r="D3841">
        <v>0.76916914340877895</v>
      </c>
      <c r="E3841">
        <v>0.55872811553630197</v>
      </c>
      <c r="F3841">
        <v>0.43786284539714898</v>
      </c>
      <c r="G3841">
        <v>0.42779990074698199</v>
      </c>
      <c r="H3841">
        <v>0.318954410891017</v>
      </c>
      <c r="I3841">
        <v>0.37766736108794702</v>
      </c>
      <c r="J3841">
        <v>0.41975176587585</v>
      </c>
      <c r="K3841">
        <v>0.57570097445634805</v>
      </c>
      <c r="L3841">
        <v>1464.6692020298599</v>
      </c>
      <c r="M3841">
        <v>31.129758051815799</v>
      </c>
      <c r="N3841">
        <v>50.141981526269603</v>
      </c>
      <c r="O3841">
        <v>46.857567946086597</v>
      </c>
      <c r="P3841">
        <v>-9.5227112829566904E-2</v>
      </c>
      <c r="Q3841">
        <v>0.42664690303899699</v>
      </c>
      <c r="R3841">
        <v>0.92066885808371901</v>
      </c>
      <c r="S3841" t="s">
        <v>10511</v>
      </c>
      <c r="T3841" t="s">
        <v>13338</v>
      </c>
      <c r="U3841" t="s">
        <v>13338</v>
      </c>
      <c r="V3841" t="s">
        <v>13338</v>
      </c>
      <c r="W3841" t="s">
        <v>17127</v>
      </c>
      <c r="X3841">
        <v>1</v>
      </c>
      <c r="Y3841" t="s">
        <v>23641</v>
      </c>
      <c r="Z3841" t="s">
        <v>30256</v>
      </c>
      <c r="AA3841">
        <v>0.5645705693057167</v>
      </c>
      <c r="AB3841" t="str">
        <f>HYPERLINK("Melting_Curves/meltCurve_Q5SZG2_GABPB2.pdf", "Melting_Curves/meltCurve_Q5SZG2_GABPB2.pdf")</f>
        <v>Melting_Curves/meltCurve_Q5SZG2_GABPB2.pdf</v>
      </c>
    </row>
    <row r="3842" spans="1:28" x14ac:dyDescent="0.25">
      <c r="A3842" t="s">
        <v>3846</v>
      </c>
      <c r="B3842">
        <v>0.99193492352474899</v>
      </c>
      <c r="C3842">
        <v>0.71202820796848598</v>
      </c>
      <c r="D3842">
        <v>0.88771298001209697</v>
      </c>
      <c r="E3842">
        <v>0.386809675380621</v>
      </c>
      <c r="F3842">
        <v>0.35556520935425701</v>
      </c>
      <c r="G3842">
        <v>9.7716787492222595E-2</v>
      </c>
      <c r="H3842">
        <v>6.95247857011531E-2</v>
      </c>
      <c r="I3842">
        <v>8.9443976432609304E-2</v>
      </c>
      <c r="J3842">
        <v>0.10574875703649</v>
      </c>
      <c r="K3842">
        <v>9.1747744670125198E-2</v>
      </c>
      <c r="L3842">
        <v>709.144619698714</v>
      </c>
      <c r="M3842">
        <v>14.5191340286502</v>
      </c>
      <c r="N3842">
        <v>49.247716362690703</v>
      </c>
      <c r="O3842">
        <v>47.943607383240803</v>
      </c>
      <c r="P3842">
        <v>-7.1450817841334099E-2</v>
      </c>
      <c r="Q3842">
        <v>5.6358283465801899E-2</v>
      </c>
      <c r="R3842">
        <v>0.93135295397308404</v>
      </c>
      <c r="S3842" t="s">
        <v>10512</v>
      </c>
      <c r="T3842" t="s">
        <v>13338</v>
      </c>
      <c r="U3842" t="s">
        <v>13338</v>
      </c>
      <c r="V3842" t="s">
        <v>13338</v>
      </c>
      <c r="W3842" t="s">
        <v>17128</v>
      </c>
      <c r="X3842">
        <v>8</v>
      </c>
      <c r="Y3842" t="s">
        <v>23642</v>
      </c>
      <c r="Z3842" t="s">
        <v>30257</v>
      </c>
      <c r="AA3842">
        <v>0.35939620870757322</v>
      </c>
      <c r="AB3842" t="str">
        <f>HYPERLINK("Melting_Curves/meltCurve_Q5SZR4_TDRKH.pdf", "Melting_Curves/meltCurve_Q5SZR4_TDRKH.pdf")</f>
        <v>Melting_Curves/meltCurve_Q5SZR4_TDRKH.pdf</v>
      </c>
    </row>
    <row r="3843" spans="1:28" x14ac:dyDescent="0.25">
      <c r="A3843" t="s">
        <v>3847</v>
      </c>
      <c r="B3843">
        <v>0.99193492352474899</v>
      </c>
      <c r="C3843">
        <v>0.89626148292199803</v>
      </c>
      <c r="D3843">
        <v>0.84414828280549203</v>
      </c>
      <c r="E3843">
        <v>0.188290159273546</v>
      </c>
      <c r="F3843">
        <v>6.3758824864649996E-2</v>
      </c>
      <c r="G3843">
        <v>0</v>
      </c>
      <c r="H3843">
        <v>0</v>
      </c>
      <c r="I3843">
        <v>0</v>
      </c>
      <c r="J3843">
        <v>0</v>
      </c>
      <c r="K3843">
        <v>6.5574178607509498E-2</v>
      </c>
      <c r="L3843">
        <v>1920.0617263525701</v>
      </c>
      <c r="M3843">
        <v>40.187152596249497</v>
      </c>
      <c r="N3843">
        <v>47.819644270087601</v>
      </c>
      <c r="O3843">
        <v>47.660150645847999</v>
      </c>
      <c r="P3843">
        <v>-0.207176809337944</v>
      </c>
      <c r="Q3843">
        <v>1.7192603251106799E-2</v>
      </c>
      <c r="R3843">
        <v>0.99148685533524905</v>
      </c>
      <c r="S3843" t="s">
        <v>10513</v>
      </c>
      <c r="T3843" t="s">
        <v>13338</v>
      </c>
      <c r="U3843" t="s">
        <v>13338</v>
      </c>
      <c r="V3843" t="s">
        <v>13338</v>
      </c>
      <c r="W3843" t="s">
        <v>17129</v>
      </c>
      <c r="X3843">
        <v>2</v>
      </c>
      <c r="Y3843" t="s">
        <v>23643</v>
      </c>
      <c r="Z3843" t="s">
        <v>30258</v>
      </c>
      <c r="AA3843">
        <v>0.27522836265621903</v>
      </c>
      <c r="AB3843" t="str">
        <f>HYPERLINK("Melting_Curves/meltCurve_Q5T0D9_TPRG1L.pdf", "Melting_Curves/meltCurve_Q5T0D9_TPRG1L.pdf")</f>
        <v>Melting_Curves/meltCurve_Q5T0D9_TPRG1L.pdf</v>
      </c>
    </row>
    <row r="3844" spans="1:28" x14ac:dyDescent="0.25">
      <c r="A3844" t="s">
        <v>3848</v>
      </c>
      <c r="B3844">
        <v>0.99193492352474899</v>
      </c>
      <c r="C3844">
        <v>0.84341267771129402</v>
      </c>
      <c r="D3844">
        <v>0.73447037129552695</v>
      </c>
      <c r="E3844">
        <v>0.61942363840792503</v>
      </c>
      <c r="F3844">
        <v>0.21127672700372099</v>
      </c>
      <c r="G3844">
        <v>0.13367944022747499</v>
      </c>
      <c r="H3844">
        <v>0.101872271742129</v>
      </c>
      <c r="I3844">
        <v>0.14385169382778401</v>
      </c>
      <c r="J3844">
        <v>0.14756082680309701</v>
      </c>
      <c r="K3844">
        <v>0.234110679176494</v>
      </c>
      <c r="L3844">
        <v>847.55738017205601</v>
      </c>
      <c r="M3844">
        <v>17.403872459478102</v>
      </c>
      <c r="N3844">
        <v>49.539801997079202</v>
      </c>
      <c r="O3844">
        <v>48.070042254575803</v>
      </c>
      <c r="P3844">
        <v>-7.8947238157776795E-2</v>
      </c>
      <c r="Q3844">
        <v>0.12783013516661301</v>
      </c>
      <c r="R3844">
        <v>0.955940594123313</v>
      </c>
      <c r="S3844" t="s">
        <v>10514</v>
      </c>
      <c r="T3844" t="s">
        <v>13338</v>
      </c>
      <c r="U3844" t="s">
        <v>13338</v>
      </c>
      <c r="V3844" t="s">
        <v>13338</v>
      </c>
      <c r="W3844" t="s">
        <v>17130</v>
      </c>
      <c r="X3844">
        <v>20</v>
      </c>
      <c r="Y3844" t="s">
        <v>23644</v>
      </c>
      <c r="Z3844" t="s">
        <v>30259</v>
      </c>
      <c r="AA3844">
        <v>0.39700651666261039</v>
      </c>
      <c r="AB3844" t="str">
        <f>HYPERLINK("Melting_Curves/meltCurve_Q5T0N5_3_FNBP1L.pdf", "Melting_Curves/meltCurve_Q5T0N5_3_FNBP1L.pdf")</f>
        <v>Melting_Curves/meltCurve_Q5T0N5_3_FNBP1L.pdf</v>
      </c>
    </row>
    <row r="3845" spans="1:28" x14ac:dyDescent="0.25">
      <c r="A3845" t="s">
        <v>3849</v>
      </c>
      <c r="B3845">
        <v>0.99193492352474899</v>
      </c>
      <c r="C3845">
        <v>0.86361194706873801</v>
      </c>
      <c r="D3845">
        <v>1.0427442909626099</v>
      </c>
      <c r="E3845">
        <v>0.89416035147790296</v>
      </c>
      <c r="F3845">
        <v>1.0314585951872299</v>
      </c>
      <c r="G3845">
        <v>0.614003801529583</v>
      </c>
      <c r="H3845">
        <v>0.39581015795275198</v>
      </c>
      <c r="I3845">
        <v>2.4142229137558601E-2</v>
      </c>
      <c r="J3845">
        <v>4.7819590620423402E-2</v>
      </c>
      <c r="K3845">
        <v>0</v>
      </c>
      <c r="L3845">
        <v>1458.6924992716999</v>
      </c>
      <c r="M3845">
        <v>24.851553736815902</v>
      </c>
      <c r="N3845">
        <v>58.696229684305102</v>
      </c>
      <c r="O3845">
        <v>58.320123238774599</v>
      </c>
      <c r="P3845">
        <v>-0.10653224622893</v>
      </c>
      <c r="Q3845">
        <v>0</v>
      </c>
      <c r="R3845">
        <v>0.96244944358344697</v>
      </c>
      <c r="S3845" t="s">
        <v>10515</v>
      </c>
      <c r="T3845" t="s">
        <v>13338</v>
      </c>
      <c r="U3845" t="s">
        <v>13338</v>
      </c>
      <c r="V3845" t="s">
        <v>13338</v>
      </c>
      <c r="W3845" t="s">
        <v>17131</v>
      </c>
      <c r="X3845">
        <v>1</v>
      </c>
      <c r="Y3845" t="s">
        <v>23645</v>
      </c>
      <c r="Z3845" t="s">
        <v>30260</v>
      </c>
      <c r="AA3845">
        <v>0.63164178991836784</v>
      </c>
      <c r="AB3845" t="str">
        <f>HYPERLINK("Melting_Curves/meltCurve_Q5T0Q6_DPYSL4.pdf", "Melting_Curves/meltCurve_Q5T0Q6_DPYSL4.pdf")</f>
        <v>Melting_Curves/meltCurve_Q5T0Q6_DPYSL4.pdf</v>
      </c>
    </row>
    <row r="3846" spans="1:28" x14ac:dyDescent="0.25">
      <c r="A3846" t="s">
        <v>3850</v>
      </c>
      <c r="B3846">
        <v>0.99193492352474899</v>
      </c>
      <c r="C3846">
        <v>0.85884831013737795</v>
      </c>
      <c r="D3846">
        <v>0.79207376670619001</v>
      </c>
      <c r="E3846">
        <v>0.63936244462853198</v>
      </c>
      <c r="F3846">
        <v>0.445939753055966</v>
      </c>
      <c r="G3846">
        <v>0.25218667628418401</v>
      </c>
      <c r="H3846">
        <v>0.16692897486692601</v>
      </c>
      <c r="I3846">
        <v>0.142546142618657</v>
      </c>
      <c r="J3846">
        <v>0.19452049028468099</v>
      </c>
      <c r="K3846">
        <v>0.178393019081585</v>
      </c>
      <c r="L3846">
        <v>649.95809458582596</v>
      </c>
      <c r="M3846">
        <v>12.8975675855558</v>
      </c>
      <c r="N3846">
        <v>51.508346311272597</v>
      </c>
      <c r="O3846">
        <v>49.228516687192702</v>
      </c>
      <c r="P3846">
        <v>-5.7534168817641097E-2</v>
      </c>
      <c r="Q3846">
        <v>0.121755303428978</v>
      </c>
      <c r="R3846">
        <v>0.98699207862260396</v>
      </c>
      <c r="S3846" t="s">
        <v>10516</v>
      </c>
      <c r="T3846" t="s">
        <v>13338</v>
      </c>
      <c r="U3846" t="s">
        <v>13338</v>
      </c>
      <c r="V3846" t="s">
        <v>13338</v>
      </c>
      <c r="W3846" t="s">
        <v>17132</v>
      </c>
      <c r="X3846">
        <v>5</v>
      </c>
      <c r="Y3846" t="s">
        <v>23646</v>
      </c>
      <c r="Z3846" t="s">
        <v>30261</v>
      </c>
      <c r="AA3846">
        <v>0.45259687961382339</v>
      </c>
      <c r="AB3846" t="str">
        <f>HYPERLINK("Melting_Curves/meltCurve_Q5T0V0_SLIT1.pdf", "Melting_Curves/meltCurve_Q5T0V0_SLIT1.pdf")</f>
        <v>Melting_Curves/meltCurve_Q5T0V0_SLIT1.pdf</v>
      </c>
    </row>
    <row r="3847" spans="1:28" x14ac:dyDescent="0.25">
      <c r="A3847" t="s">
        <v>3851</v>
      </c>
      <c r="B3847">
        <v>0.99193492352474899</v>
      </c>
      <c r="C3847">
        <v>0.95316310507374102</v>
      </c>
      <c r="D3847">
        <v>1.0152269855723399</v>
      </c>
      <c r="E3847">
        <v>0.72410325125269703</v>
      </c>
      <c r="F3847">
        <v>0.79867816700105398</v>
      </c>
      <c r="G3847">
        <v>0.77241123678270696</v>
      </c>
      <c r="H3847">
        <v>0.42610762779343297</v>
      </c>
      <c r="I3847">
        <v>0.34638618899870199</v>
      </c>
      <c r="J3847">
        <v>0.20590047569536499</v>
      </c>
      <c r="K3847">
        <v>0.25019950808639302</v>
      </c>
      <c r="L3847">
        <v>581.39391204079698</v>
      </c>
      <c r="M3847">
        <v>9.6637588697228693</v>
      </c>
      <c r="N3847">
        <v>60.162282321641499</v>
      </c>
      <c r="O3847">
        <v>57.755452281484096</v>
      </c>
      <c r="P3847">
        <v>-4.1853673867937702E-2</v>
      </c>
      <c r="Q3847">
        <v>0</v>
      </c>
      <c r="R3847">
        <v>0.934482870228317</v>
      </c>
      <c r="S3847" t="s">
        <v>10517</v>
      </c>
      <c r="T3847" t="s">
        <v>13338</v>
      </c>
      <c r="U3847" t="s">
        <v>13338</v>
      </c>
      <c r="V3847" t="s">
        <v>13338</v>
      </c>
      <c r="W3847" t="s">
        <v>17133</v>
      </c>
      <c r="X3847">
        <v>1</v>
      </c>
      <c r="Y3847" t="s">
        <v>23647</v>
      </c>
      <c r="Z3847" t="s">
        <v>30262</v>
      </c>
      <c r="AA3847">
        <v>0.66528987467900302</v>
      </c>
      <c r="AB3847" t="str">
        <f>HYPERLINK("Melting_Curves/meltCurve_Q5T114_C9orf156.pdf", "Melting_Curves/meltCurve_Q5T114_C9orf156.pdf")</f>
        <v>Melting_Curves/meltCurve_Q5T114_C9orf156.pdf</v>
      </c>
    </row>
    <row r="3848" spans="1:28" x14ac:dyDescent="0.25">
      <c r="A3848" t="s">
        <v>3852</v>
      </c>
      <c r="B3848">
        <v>0.99193492352474899</v>
      </c>
      <c r="C3848">
        <v>0.91775396681937305</v>
      </c>
      <c r="D3848">
        <v>0.96818362458645402</v>
      </c>
      <c r="E3848">
        <v>0.74593262861825904</v>
      </c>
      <c r="F3848">
        <v>0.55004229674335203</v>
      </c>
      <c r="G3848">
        <v>0.29506091689605202</v>
      </c>
      <c r="H3848">
        <v>0.17238008788265599</v>
      </c>
      <c r="I3848">
        <v>0.19404781743681301</v>
      </c>
      <c r="J3848">
        <v>0.23668449915475301</v>
      </c>
      <c r="K3848">
        <v>0.25159842590137099</v>
      </c>
      <c r="L3848">
        <v>1066.4959810330199</v>
      </c>
      <c r="M3848">
        <v>20.545198558187401</v>
      </c>
      <c r="N3848">
        <v>53.224818444332797</v>
      </c>
      <c r="O3848">
        <v>51.4254608751313</v>
      </c>
      <c r="P3848">
        <v>-8.0001082648741895E-2</v>
      </c>
      <c r="Q3848">
        <v>0.19903969206061001</v>
      </c>
      <c r="R3848">
        <v>0.98372579361778401</v>
      </c>
      <c r="S3848" t="s">
        <v>10518</v>
      </c>
      <c r="T3848" t="s">
        <v>13338</v>
      </c>
      <c r="U3848" t="s">
        <v>13338</v>
      </c>
      <c r="V3848" t="s">
        <v>13338</v>
      </c>
      <c r="W3848" t="s">
        <v>17134</v>
      </c>
      <c r="X3848">
        <v>6</v>
      </c>
      <c r="Y3848" t="s">
        <v>23648</v>
      </c>
      <c r="Z3848" t="s">
        <v>30263</v>
      </c>
      <c r="AA3848">
        <v>0.52757579469167903</v>
      </c>
      <c r="AB3848" t="str">
        <f>HYPERLINK("Melting_Curves/meltCurve_Q5T123_SH3BGRL3.pdf", "Melting_Curves/meltCurve_Q5T123_SH3BGRL3.pdf")</f>
        <v>Melting_Curves/meltCurve_Q5T123_SH3BGRL3.pdf</v>
      </c>
    </row>
    <row r="3849" spans="1:28" x14ac:dyDescent="0.25">
      <c r="A3849" t="s">
        <v>3853</v>
      </c>
      <c r="B3849">
        <v>0.99193492352474899</v>
      </c>
      <c r="C3849">
        <v>1.12032392974536</v>
      </c>
      <c r="D3849">
        <v>1.1501125731506501</v>
      </c>
      <c r="E3849">
        <v>0.82565395915039397</v>
      </c>
      <c r="F3849">
        <v>0.41300713440291198</v>
      </c>
      <c r="G3849">
        <v>0.23106425584408899</v>
      </c>
      <c r="H3849">
        <v>0.14848604935769699</v>
      </c>
      <c r="I3849">
        <v>0.178676803009436</v>
      </c>
      <c r="J3849">
        <v>0.18651072884998399</v>
      </c>
      <c r="K3849">
        <v>0.17232748545724599</v>
      </c>
      <c r="L3849">
        <v>1812.50915784839</v>
      </c>
      <c r="M3849">
        <v>35.013288187847301</v>
      </c>
      <c r="N3849">
        <v>52.412947188919802</v>
      </c>
      <c r="O3849">
        <v>51.598326397714999</v>
      </c>
      <c r="P3849">
        <v>-0.13989164607764101</v>
      </c>
      <c r="Q3849">
        <v>0.17538165296084701</v>
      </c>
      <c r="R3849">
        <v>0.97413672388430095</v>
      </c>
      <c r="S3849" t="s">
        <v>10519</v>
      </c>
      <c r="T3849" t="s">
        <v>13338</v>
      </c>
      <c r="U3849" t="s">
        <v>13338</v>
      </c>
      <c r="V3849" t="s">
        <v>13338</v>
      </c>
      <c r="W3849" t="s">
        <v>17135</v>
      </c>
      <c r="X3849">
        <v>6</v>
      </c>
      <c r="Y3849" t="s">
        <v>23649</v>
      </c>
      <c r="Z3849" t="s">
        <v>30264</v>
      </c>
      <c r="AA3849">
        <v>0.50266044208526905</v>
      </c>
      <c r="AB3849" t="str">
        <f>HYPERLINK("Melting_Curves/meltCurve_Q5T160_RARS2.pdf", "Melting_Curves/meltCurve_Q5T160_RARS2.pdf")</f>
        <v>Melting_Curves/meltCurve_Q5T160_RARS2.pdf</v>
      </c>
    </row>
    <row r="3850" spans="1:28" x14ac:dyDescent="0.25">
      <c r="A3850" t="s">
        <v>3854</v>
      </c>
      <c r="B3850">
        <v>0.99193492352474899</v>
      </c>
      <c r="C3850">
        <v>0.82700419692877503</v>
      </c>
      <c r="D3850">
        <v>0.73092893040584195</v>
      </c>
      <c r="E3850">
        <v>0.51693927997052902</v>
      </c>
      <c r="F3850">
        <v>0.17517660506213301</v>
      </c>
      <c r="G3850">
        <v>0.124747708518173</v>
      </c>
      <c r="H3850">
        <v>6.4509637408314793E-2</v>
      </c>
      <c r="I3850">
        <v>0.11957782930147901</v>
      </c>
      <c r="J3850">
        <v>0.17693655402851899</v>
      </c>
      <c r="K3850">
        <v>0.24846487166570999</v>
      </c>
      <c r="L3850">
        <v>890.88803733190502</v>
      </c>
      <c r="M3850">
        <v>18.5813808607857</v>
      </c>
      <c r="N3850">
        <v>48.726761508027202</v>
      </c>
      <c r="O3850">
        <v>47.400232614915303</v>
      </c>
      <c r="P3850">
        <v>-8.5377268243056997E-2</v>
      </c>
      <c r="Q3850">
        <v>0.12886417073584699</v>
      </c>
      <c r="R3850">
        <v>0.95722139753755997</v>
      </c>
      <c r="S3850" t="s">
        <v>10520</v>
      </c>
      <c r="T3850" t="s">
        <v>13338</v>
      </c>
      <c r="U3850" t="s">
        <v>13338</v>
      </c>
      <c r="V3850" t="s">
        <v>13338</v>
      </c>
      <c r="W3850" t="s">
        <v>17136</v>
      </c>
      <c r="X3850">
        <v>1</v>
      </c>
      <c r="Y3850" t="s">
        <v>23650</v>
      </c>
      <c r="Z3850" t="s">
        <v>30265</v>
      </c>
      <c r="AA3850">
        <v>0.37405840284593511</v>
      </c>
      <c r="AB3850" t="str">
        <f>HYPERLINK("Melting_Curves/meltCurve_Q5T171_PYGO2.pdf", "Melting_Curves/meltCurve_Q5T171_PYGO2.pdf")</f>
        <v>Melting_Curves/meltCurve_Q5T171_PYGO2.pdf</v>
      </c>
    </row>
    <row r="3851" spans="1:28" x14ac:dyDescent="0.25">
      <c r="A3851" t="s">
        <v>3855</v>
      </c>
      <c r="B3851">
        <v>0.99193492352474899</v>
      </c>
      <c r="C3851">
        <v>0.87588797486672698</v>
      </c>
      <c r="D3851">
        <v>0.69491392194943302</v>
      </c>
      <c r="E3851">
        <v>0.21935563483625301</v>
      </c>
      <c r="F3851">
        <v>0.141506590773019</v>
      </c>
      <c r="G3851">
        <v>8.0354702135331205E-2</v>
      </c>
      <c r="H3851">
        <v>5.0323802095031997E-2</v>
      </c>
      <c r="I3851">
        <v>5.7915783552197599E-2</v>
      </c>
      <c r="J3851">
        <v>7.5429636216883797E-2</v>
      </c>
      <c r="K3851">
        <v>7.6747051339974906E-2</v>
      </c>
      <c r="L3851">
        <v>1214.3894491097999</v>
      </c>
      <c r="M3851">
        <v>25.8488784913242</v>
      </c>
      <c r="N3851">
        <v>47.243437717210199</v>
      </c>
      <c r="O3851">
        <v>46.701869111236803</v>
      </c>
      <c r="P3851">
        <v>-0.12909791833916101</v>
      </c>
      <c r="Q3851">
        <v>6.7031990294310298E-2</v>
      </c>
      <c r="R3851">
        <v>0.994548279838251</v>
      </c>
      <c r="S3851" t="s">
        <v>10521</v>
      </c>
      <c r="T3851" t="s">
        <v>13338</v>
      </c>
      <c r="U3851" t="s">
        <v>13338</v>
      </c>
      <c r="V3851" t="s">
        <v>13338</v>
      </c>
      <c r="W3851" t="s">
        <v>17137</v>
      </c>
      <c r="X3851">
        <v>17</v>
      </c>
      <c r="Y3851" t="s">
        <v>23651</v>
      </c>
      <c r="Z3851" t="s">
        <v>30266</v>
      </c>
      <c r="AA3851">
        <v>0.29185540399478632</v>
      </c>
      <c r="AB3851" t="str">
        <f>HYPERLINK("Melting_Curves/meltCurve_Q5T1M5_FKBP15.pdf", "Melting_Curves/meltCurve_Q5T1M5_FKBP15.pdf")</f>
        <v>Melting_Curves/meltCurve_Q5T1M5_FKBP15.pdf</v>
      </c>
    </row>
    <row r="3852" spans="1:28" x14ac:dyDescent="0.25">
      <c r="A3852" t="s">
        <v>3856</v>
      </c>
      <c r="B3852">
        <v>0.99193492352474899</v>
      </c>
      <c r="C3852">
        <v>0.79085442785974103</v>
      </c>
      <c r="D3852">
        <v>0.89030608864239602</v>
      </c>
      <c r="E3852">
        <v>0.65042175314317296</v>
      </c>
      <c r="F3852">
        <v>0.19972190404965201</v>
      </c>
      <c r="G3852">
        <v>0.113066672061736</v>
      </c>
      <c r="H3852">
        <v>7.4718319302832903E-2</v>
      </c>
      <c r="I3852">
        <v>8.3570004017198093E-2</v>
      </c>
      <c r="J3852">
        <v>9.2160276154963597E-2</v>
      </c>
      <c r="K3852">
        <v>0.109147417169373</v>
      </c>
      <c r="L3852">
        <v>1274.0274224806201</v>
      </c>
      <c r="M3852">
        <v>25.425108375738699</v>
      </c>
      <c r="N3852">
        <v>50.445657988405699</v>
      </c>
      <c r="O3852">
        <v>49.8021216880975</v>
      </c>
      <c r="P3852">
        <v>-0.117673602723307</v>
      </c>
      <c r="Q3852">
        <v>7.8026104899603502E-2</v>
      </c>
      <c r="R3852">
        <v>0.96523736961490003</v>
      </c>
      <c r="S3852" t="s">
        <v>10522</v>
      </c>
      <c r="T3852" t="s">
        <v>13338</v>
      </c>
      <c r="U3852" t="s">
        <v>13338</v>
      </c>
      <c r="V3852" t="s">
        <v>13338</v>
      </c>
      <c r="W3852" t="s">
        <v>17138</v>
      </c>
      <c r="X3852">
        <v>11</v>
      </c>
      <c r="Y3852" t="s">
        <v>23652</v>
      </c>
      <c r="Z3852" t="s">
        <v>30267</v>
      </c>
      <c r="AA3852">
        <v>0.39667641991828201</v>
      </c>
      <c r="AB3852" t="str">
        <f>HYPERLINK("Melting_Curves/meltCurve_Q5T1V6_DDX59.pdf", "Melting_Curves/meltCurve_Q5T1V6_DDX59.pdf")</f>
        <v>Melting_Curves/meltCurve_Q5T1V6_DDX59.pdf</v>
      </c>
    </row>
    <row r="3853" spans="1:28" x14ac:dyDescent="0.25">
      <c r="A3853" t="s">
        <v>3857</v>
      </c>
      <c r="B3853">
        <v>0.99193492352474899</v>
      </c>
      <c r="C3853">
        <v>0.82114438742076401</v>
      </c>
      <c r="D3853">
        <v>0.77000157513184797</v>
      </c>
      <c r="E3853">
        <v>0.477033090922514</v>
      </c>
      <c r="F3853">
        <v>0.20861326425240501</v>
      </c>
      <c r="G3853">
        <v>0.15559637179411601</v>
      </c>
      <c r="H3853">
        <v>0.124120231045801</v>
      </c>
      <c r="I3853">
        <v>0.149005552296754</v>
      </c>
      <c r="J3853">
        <v>0.15906494397589699</v>
      </c>
      <c r="K3853">
        <v>0.168572790218455</v>
      </c>
      <c r="L3853">
        <v>877.09983983015502</v>
      </c>
      <c r="M3853">
        <v>18.257065152150201</v>
      </c>
      <c r="N3853">
        <v>48.8553956281769</v>
      </c>
      <c r="O3853">
        <v>47.476416035623103</v>
      </c>
      <c r="P3853">
        <v>-8.3537529489959697E-2</v>
      </c>
      <c r="Q3853">
        <v>0.13110296065325999</v>
      </c>
      <c r="R3853">
        <v>0.98383735969864805</v>
      </c>
      <c r="S3853" t="s">
        <v>10523</v>
      </c>
      <c r="T3853" t="s">
        <v>13338</v>
      </c>
      <c r="U3853" t="s">
        <v>13338</v>
      </c>
      <c r="V3853" t="s">
        <v>13338</v>
      </c>
      <c r="W3853" t="s">
        <v>17139</v>
      </c>
      <c r="X3853">
        <v>14</v>
      </c>
      <c r="Y3853" t="s">
        <v>23653</v>
      </c>
      <c r="Z3853" t="s">
        <v>30268</v>
      </c>
      <c r="AA3853">
        <v>0.37896372549695362</v>
      </c>
      <c r="AB3853" t="str">
        <f>HYPERLINK("Melting_Curves/meltCurve_Q5T1Z4_PUM1.pdf", "Melting_Curves/meltCurve_Q5T1Z4_PUM1.pdf")</f>
        <v>Melting_Curves/meltCurve_Q5T1Z4_PUM1.pdf</v>
      </c>
    </row>
    <row r="3854" spans="1:28" x14ac:dyDescent="0.25">
      <c r="A3854" t="s">
        <v>3858</v>
      </c>
      <c r="B3854">
        <v>0.99193492352474899</v>
      </c>
      <c r="C3854">
        <v>0.56167150605195604</v>
      </c>
      <c r="D3854">
        <v>0.80229317476079398</v>
      </c>
      <c r="E3854">
        <v>0.33088416277128102</v>
      </c>
      <c r="F3854">
        <v>0.229756949113543</v>
      </c>
      <c r="G3854">
        <v>0.143851203906702</v>
      </c>
      <c r="H3854">
        <v>0.140929214958425</v>
      </c>
      <c r="I3854">
        <v>0.18600491481322801</v>
      </c>
      <c r="J3854">
        <v>0.20309244699251799</v>
      </c>
      <c r="K3854">
        <v>0.29221944062528898</v>
      </c>
      <c r="L3854">
        <v>675.29121017107002</v>
      </c>
      <c r="M3854">
        <v>14.6922178829104</v>
      </c>
      <c r="N3854">
        <v>47.320473032970703</v>
      </c>
      <c r="O3854">
        <v>45.136209115240597</v>
      </c>
      <c r="P3854">
        <v>-6.7386819008153298E-2</v>
      </c>
      <c r="Q3854">
        <v>0.172010040515193</v>
      </c>
      <c r="R3854">
        <v>0.83730854936990695</v>
      </c>
      <c r="S3854" t="s">
        <v>10524</v>
      </c>
      <c r="T3854" t="s">
        <v>13338</v>
      </c>
      <c r="U3854" t="s">
        <v>13338</v>
      </c>
      <c r="V3854" t="s">
        <v>13338</v>
      </c>
      <c r="W3854" t="s">
        <v>17140</v>
      </c>
      <c r="X3854">
        <v>8</v>
      </c>
      <c r="Y3854" t="s">
        <v>23654</v>
      </c>
      <c r="Z3854" t="s">
        <v>30269</v>
      </c>
      <c r="AA3854">
        <v>0.36190728573602432</v>
      </c>
      <c r="AB3854" t="str">
        <f>HYPERLINK("Melting_Curves/meltCurve_Q5T200_ZC3H13.pdf", "Melting_Curves/meltCurve_Q5T200_ZC3H13.pdf")</f>
        <v>Melting_Curves/meltCurve_Q5T200_ZC3H13.pdf</v>
      </c>
    </row>
    <row r="3855" spans="1:28" x14ac:dyDescent="0.25">
      <c r="A3855" t="s">
        <v>3859</v>
      </c>
      <c r="B3855">
        <v>0.99193492352474899</v>
      </c>
      <c r="C3855">
        <v>0.41913059929062901</v>
      </c>
      <c r="D3855">
        <v>0.69068225133286398</v>
      </c>
      <c r="E3855">
        <v>0.30328578598488698</v>
      </c>
      <c r="F3855">
        <v>0.186520061979217</v>
      </c>
      <c r="G3855">
        <v>6.1886312203355102E-2</v>
      </c>
      <c r="H3855">
        <v>4.6643677283153301E-2</v>
      </c>
      <c r="I3855">
        <v>0.117945204920573</v>
      </c>
      <c r="J3855">
        <v>0.20770354160749699</v>
      </c>
      <c r="K3855">
        <v>0.24918417353966299</v>
      </c>
      <c r="L3855">
        <v>610.91044675267403</v>
      </c>
      <c r="M3855">
        <v>13.6668473156452</v>
      </c>
      <c r="N3855">
        <v>45.6555623309807</v>
      </c>
      <c r="O3855">
        <v>43.775728810932002</v>
      </c>
      <c r="P3855">
        <v>-6.8353452306635795E-2</v>
      </c>
      <c r="Q3855">
        <v>0.124366523884473</v>
      </c>
      <c r="R3855">
        <v>0.78328992211591697</v>
      </c>
      <c r="S3855" t="s">
        <v>10525</v>
      </c>
      <c r="T3855" t="s">
        <v>13338</v>
      </c>
      <c r="U3855" t="s">
        <v>13338</v>
      </c>
      <c r="V3855" t="s">
        <v>13338</v>
      </c>
      <c r="W3855" t="s">
        <v>17141</v>
      </c>
      <c r="X3855">
        <v>2</v>
      </c>
      <c r="Y3855" t="s">
        <v>23655</v>
      </c>
      <c r="Z3855" t="s">
        <v>30270</v>
      </c>
      <c r="AA3855">
        <v>0.29671675739657888</v>
      </c>
      <c r="AB3855" t="str">
        <f>HYPERLINK("Melting_Curves/meltCurve_Q5T280_C9orf114.pdf", "Melting_Curves/meltCurve_Q5T280_C9orf114.pdf")</f>
        <v>Melting_Curves/meltCurve_Q5T280_C9orf114.pdf</v>
      </c>
    </row>
    <row r="3856" spans="1:28" x14ac:dyDescent="0.25">
      <c r="A3856" t="s">
        <v>3860</v>
      </c>
      <c r="B3856">
        <v>0.99193492352474899</v>
      </c>
      <c r="C3856">
        <v>1.07217637763299</v>
      </c>
      <c r="D3856">
        <v>1.3287314657569</v>
      </c>
      <c r="E3856">
        <v>1.0254200458274101</v>
      </c>
      <c r="F3856">
        <v>0.93982441884200996</v>
      </c>
      <c r="G3856">
        <v>0.59300935834553803</v>
      </c>
      <c r="H3856">
        <v>0.209209874736979</v>
      </c>
      <c r="I3856">
        <v>0.19373185862252901</v>
      </c>
      <c r="J3856">
        <v>0.20118171062405901</v>
      </c>
      <c r="K3856">
        <v>0.18690040938160199</v>
      </c>
      <c r="L3856">
        <v>2508.7187930309501</v>
      </c>
      <c r="M3856">
        <v>44.203571416409901</v>
      </c>
      <c r="N3856">
        <v>57.360810704888998</v>
      </c>
      <c r="O3856">
        <v>56.637945718649</v>
      </c>
      <c r="P3856">
        <v>-0.158664770042378</v>
      </c>
      <c r="Q3856">
        <v>0.186813391750588</v>
      </c>
      <c r="R3856">
        <v>0.93596687326567696</v>
      </c>
      <c r="S3856" t="s">
        <v>10526</v>
      </c>
      <c r="T3856" t="s">
        <v>13338</v>
      </c>
      <c r="U3856" t="s">
        <v>13338</v>
      </c>
      <c r="V3856" t="s">
        <v>13338</v>
      </c>
      <c r="W3856" t="s">
        <v>17142</v>
      </c>
      <c r="X3856">
        <v>5</v>
      </c>
      <c r="Y3856" t="s">
        <v>23656</v>
      </c>
      <c r="Z3856" t="s">
        <v>30271</v>
      </c>
      <c r="AA3856">
        <v>0.64354014355523803</v>
      </c>
      <c r="AB3856" t="str">
        <f>HYPERLINK("Melting_Curves/meltCurve_Q5T2E6_C10orf76.pdf", "Melting_Curves/meltCurve_Q5T2E6_C10orf76.pdf")</f>
        <v>Melting_Curves/meltCurve_Q5T2E6_C10orf76.pdf</v>
      </c>
    </row>
    <row r="3857" spans="1:28" x14ac:dyDescent="0.25">
      <c r="A3857" t="s">
        <v>3861</v>
      </c>
      <c r="B3857">
        <v>0.99193492352474899</v>
      </c>
      <c r="C3857">
        <v>0.70238791792533695</v>
      </c>
      <c r="D3857">
        <v>0.60823379217431095</v>
      </c>
      <c r="E3857">
        <v>0.45699677052694299</v>
      </c>
      <c r="F3857">
        <v>0.36292706590217699</v>
      </c>
      <c r="G3857">
        <v>0.19537888068739501</v>
      </c>
      <c r="H3857">
        <v>9.3894495563252703E-2</v>
      </c>
      <c r="I3857">
        <v>7.2143808582933094E-2</v>
      </c>
      <c r="J3857">
        <v>8.2449256982987898E-2</v>
      </c>
      <c r="K3857">
        <v>9.2433639049711802E-2</v>
      </c>
      <c r="L3857">
        <v>476.49174629191299</v>
      </c>
      <c r="M3857">
        <v>9.8534486740044898</v>
      </c>
      <c r="N3857">
        <v>48.541982134920502</v>
      </c>
      <c r="O3857">
        <v>46.492380430975302</v>
      </c>
      <c r="P3857">
        <v>-5.2039127465113202E-2</v>
      </c>
      <c r="Q3857">
        <v>1.8341780843093899E-2</v>
      </c>
      <c r="R3857">
        <v>0.97336460220278798</v>
      </c>
      <c r="S3857" t="s">
        <v>10527</v>
      </c>
      <c r="T3857" t="s">
        <v>13338</v>
      </c>
      <c r="U3857" t="s">
        <v>13338</v>
      </c>
      <c r="V3857" t="s">
        <v>13338</v>
      </c>
      <c r="W3857" t="s">
        <v>17143</v>
      </c>
      <c r="X3857">
        <v>8</v>
      </c>
      <c r="Y3857" t="s">
        <v>23657</v>
      </c>
      <c r="Z3857" t="s">
        <v>30272</v>
      </c>
      <c r="AA3857">
        <v>0.34351399359609952</v>
      </c>
      <c r="AB3857" t="str">
        <f>HYPERLINK("Melting_Curves/meltCurve_Q5T2R2_3_PDSS1.pdf", "Melting_Curves/meltCurve_Q5T2R2_3_PDSS1.pdf")</f>
        <v>Melting_Curves/meltCurve_Q5T2R2_3_PDSS1.pdf</v>
      </c>
    </row>
    <row r="3858" spans="1:28" x14ac:dyDescent="0.25">
      <c r="A3858" t="s">
        <v>3862</v>
      </c>
      <c r="B3858">
        <v>0.99193492352474899</v>
      </c>
      <c r="C3858">
        <v>0.75417098544732797</v>
      </c>
      <c r="D3858">
        <v>0.841896062404621</v>
      </c>
      <c r="E3858">
        <v>0.76940515332736303</v>
      </c>
      <c r="F3858">
        <v>0.52131245055551501</v>
      </c>
      <c r="G3858">
        <v>0.344632966335707</v>
      </c>
      <c r="H3858">
        <v>0.30999677068786302</v>
      </c>
      <c r="I3858">
        <v>0.40431524272198299</v>
      </c>
      <c r="J3858">
        <v>0.53491360190809401</v>
      </c>
      <c r="K3858">
        <v>0.70398810964930902</v>
      </c>
      <c r="L3858">
        <v>717.816586497098</v>
      </c>
      <c r="M3858">
        <v>15.106776161884801</v>
      </c>
      <c r="N3858">
        <v>56.712799565431297</v>
      </c>
      <c r="O3858">
        <v>46.706917700569399</v>
      </c>
      <c r="P3858">
        <v>-4.3923794374327398E-2</v>
      </c>
      <c r="Q3858">
        <v>0.45684164888716</v>
      </c>
      <c r="R3858">
        <v>0.65341784949752602</v>
      </c>
      <c r="S3858" t="s">
        <v>10528</v>
      </c>
      <c r="T3858" t="s">
        <v>13338</v>
      </c>
      <c r="U3858" t="s">
        <v>13338</v>
      </c>
      <c r="V3858" t="s">
        <v>13338</v>
      </c>
      <c r="W3858" t="s">
        <v>17144</v>
      </c>
      <c r="X3858">
        <v>8</v>
      </c>
      <c r="Y3858" t="s">
        <v>23658</v>
      </c>
      <c r="Z3858" t="s">
        <v>30273</v>
      </c>
      <c r="AA3858">
        <v>0.60704267476995077</v>
      </c>
      <c r="AB3858" t="str">
        <f>HYPERLINK("Melting_Curves/meltCurve_Q5T3J3_2_LRIF1.pdf", "Melting_Curves/meltCurve_Q5T3J3_2_LRIF1.pdf")</f>
        <v>Melting_Curves/meltCurve_Q5T3J3_2_LRIF1.pdf</v>
      </c>
    </row>
    <row r="3859" spans="1:28" x14ac:dyDescent="0.25">
      <c r="A3859" t="s">
        <v>3863</v>
      </c>
      <c r="B3859">
        <v>0.99193492352474899</v>
      </c>
      <c r="C3859">
        <v>0.74966665720838499</v>
      </c>
      <c r="D3859">
        <v>0.67487294520463403</v>
      </c>
      <c r="E3859">
        <v>0.60521200792058105</v>
      </c>
      <c r="F3859">
        <v>0.29018780393924198</v>
      </c>
      <c r="G3859">
        <v>0.19232401392113499</v>
      </c>
      <c r="H3859">
        <v>0.100398518637354</v>
      </c>
      <c r="I3859">
        <v>0.126101935509501</v>
      </c>
      <c r="J3859">
        <v>0.105878000915896</v>
      </c>
      <c r="K3859">
        <v>0</v>
      </c>
      <c r="L3859">
        <v>514.26697622752101</v>
      </c>
      <c r="M3859">
        <v>10.3528263683822</v>
      </c>
      <c r="N3859">
        <v>49.674070719927798</v>
      </c>
      <c r="O3859">
        <v>47.927860943225497</v>
      </c>
      <c r="P3859">
        <v>-5.4025131580889701E-2</v>
      </c>
      <c r="Q3859">
        <v>0</v>
      </c>
      <c r="R3859">
        <v>0.970026228417047</v>
      </c>
      <c r="S3859" t="s">
        <v>10529</v>
      </c>
      <c r="T3859" t="s">
        <v>13338</v>
      </c>
      <c r="U3859" t="s">
        <v>13338</v>
      </c>
      <c r="V3859" t="s">
        <v>13338</v>
      </c>
      <c r="W3859" t="s">
        <v>17145</v>
      </c>
      <c r="X3859">
        <v>1</v>
      </c>
      <c r="Y3859" t="s">
        <v>23659</v>
      </c>
      <c r="Z3859" t="s">
        <v>30274</v>
      </c>
      <c r="AA3859">
        <v>0.36664194081369123</v>
      </c>
      <c r="AB3859" t="str">
        <f>HYPERLINK("Melting_Curves/meltCurve_Q5T427_ZNF438.pdf", "Melting_Curves/meltCurve_Q5T427_ZNF438.pdf")</f>
        <v>Melting_Curves/meltCurve_Q5T427_ZNF438.pdf</v>
      </c>
    </row>
    <row r="3860" spans="1:28" x14ac:dyDescent="0.25">
      <c r="A3860" t="s">
        <v>3864</v>
      </c>
      <c r="B3860">
        <v>0.99193492352474899</v>
      </c>
      <c r="C3860">
        <v>0.87749982525348302</v>
      </c>
      <c r="D3860">
        <v>0.97666712685672497</v>
      </c>
      <c r="E3860">
        <v>0.80216938237180402</v>
      </c>
      <c r="F3860">
        <v>0.563557729854678</v>
      </c>
      <c r="G3860">
        <v>0.15127798998181</v>
      </c>
      <c r="H3860">
        <v>9.4043583656381893E-2</v>
      </c>
      <c r="I3860">
        <v>0.122512878708097</v>
      </c>
      <c r="J3860">
        <v>0.16155960480767401</v>
      </c>
      <c r="K3860">
        <v>0.14451010976213</v>
      </c>
      <c r="L3860">
        <v>1399.9463998838901</v>
      </c>
      <c r="M3860">
        <v>26.590342307757599</v>
      </c>
      <c r="N3860">
        <v>53.161919017186001</v>
      </c>
      <c r="O3860">
        <v>52.353616080451197</v>
      </c>
      <c r="P3860">
        <v>-0.112602307037727</v>
      </c>
      <c r="Q3860">
        <v>0.113200619922655</v>
      </c>
      <c r="R3860">
        <v>0.97660536668100495</v>
      </c>
      <c r="S3860" t="s">
        <v>10530</v>
      </c>
      <c r="T3860" t="s">
        <v>13338</v>
      </c>
      <c r="U3860" t="s">
        <v>13338</v>
      </c>
      <c r="V3860" t="s">
        <v>13338</v>
      </c>
      <c r="W3860" t="s">
        <v>17146</v>
      </c>
      <c r="X3860">
        <v>8</v>
      </c>
      <c r="Y3860" t="s">
        <v>23660</v>
      </c>
      <c r="Z3860" t="s">
        <v>30275</v>
      </c>
      <c r="AA3860">
        <v>0.49433336936186367</v>
      </c>
      <c r="AB3860" t="str">
        <f>HYPERLINK("Melting_Curves/meltCurve_Q5T440_IBA57.pdf", "Melting_Curves/meltCurve_Q5T440_IBA57.pdf")</f>
        <v>Melting_Curves/meltCurve_Q5T440_IBA57.pdf</v>
      </c>
    </row>
    <row r="3861" spans="1:28" x14ac:dyDescent="0.25">
      <c r="A3861" t="s">
        <v>3865</v>
      </c>
      <c r="B3861">
        <v>0.99193492352474899</v>
      </c>
      <c r="C3861">
        <v>0.88803825191007801</v>
      </c>
      <c r="D3861">
        <v>0.84324354102224797</v>
      </c>
      <c r="E3861">
        <v>0.49215724524406701</v>
      </c>
      <c r="F3861">
        <v>0.25563327268705899</v>
      </c>
      <c r="G3861">
        <v>0.14574129813509601</v>
      </c>
      <c r="H3861">
        <v>0.100553235878464</v>
      </c>
      <c r="I3861">
        <v>0.13380786732189301</v>
      </c>
      <c r="J3861">
        <v>0.13543163524849999</v>
      </c>
      <c r="K3861">
        <v>0.14591874468730001</v>
      </c>
      <c r="L3861">
        <v>1034.95878727677</v>
      </c>
      <c r="M3861">
        <v>21.169306043619699</v>
      </c>
      <c r="N3861">
        <v>49.529215211735803</v>
      </c>
      <c r="O3861">
        <v>48.459606794975599</v>
      </c>
      <c r="P3861">
        <v>-9.6152155987219601E-2</v>
      </c>
      <c r="Q3861">
        <v>0.11959820847215299</v>
      </c>
      <c r="R3861">
        <v>0.993450349878231</v>
      </c>
      <c r="S3861" t="s">
        <v>10531</v>
      </c>
      <c r="T3861" t="s">
        <v>13338</v>
      </c>
      <c r="U3861" t="s">
        <v>13338</v>
      </c>
      <c r="V3861" t="s">
        <v>13338</v>
      </c>
      <c r="W3861" t="s">
        <v>17147</v>
      </c>
      <c r="X3861">
        <v>7</v>
      </c>
      <c r="Y3861" t="s">
        <v>23661</v>
      </c>
      <c r="Z3861" t="s">
        <v>30276</v>
      </c>
      <c r="AA3861">
        <v>0.39146761501656591</v>
      </c>
      <c r="AB3861" t="str">
        <f>HYPERLINK("Melting_Curves/meltCurve_Q5T447_HECTD3.pdf", "Melting_Curves/meltCurve_Q5T447_HECTD3.pdf")</f>
        <v>Melting_Curves/meltCurve_Q5T447_HECTD3.pdf</v>
      </c>
    </row>
    <row r="3862" spans="1:28" x14ac:dyDescent="0.25">
      <c r="A3862" t="s">
        <v>3866</v>
      </c>
      <c r="B3862">
        <v>0.99193492352474899</v>
      </c>
      <c r="C3862">
        <v>0.75085603729707695</v>
      </c>
      <c r="D3862">
        <v>0.77948075336465095</v>
      </c>
      <c r="E3862">
        <v>0.40059595705280598</v>
      </c>
      <c r="F3862">
        <v>0.33855026125607202</v>
      </c>
      <c r="G3862">
        <v>0.180043476026856</v>
      </c>
      <c r="H3862">
        <v>0.120553276478066</v>
      </c>
      <c r="I3862">
        <v>0.14954849061665099</v>
      </c>
      <c r="J3862">
        <v>0.17764090424968301</v>
      </c>
      <c r="K3862">
        <v>0.32363232312165102</v>
      </c>
      <c r="L3862">
        <v>767.06235018729001</v>
      </c>
      <c r="M3862">
        <v>16.211467961626099</v>
      </c>
      <c r="N3862">
        <v>48.634821759341797</v>
      </c>
      <c r="O3862">
        <v>46.613608736774303</v>
      </c>
      <c r="P3862">
        <v>-7.1488091459095293E-2</v>
      </c>
      <c r="Q3862">
        <v>0.177848327222003</v>
      </c>
      <c r="R3862">
        <v>0.93202373900385804</v>
      </c>
      <c r="S3862" t="s">
        <v>10532</v>
      </c>
      <c r="T3862" t="s">
        <v>13338</v>
      </c>
      <c r="U3862" t="s">
        <v>13338</v>
      </c>
      <c r="V3862" t="s">
        <v>13338</v>
      </c>
      <c r="W3862" t="s">
        <v>17148</v>
      </c>
      <c r="X3862">
        <v>2</v>
      </c>
      <c r="Y3862" t="s">
        <v>23662</v>
      </c>
      <c r="Z3862" t="s">
        <v>30277</v>
      </c>
      <c r="AA3862">
        <v>0.39701623385429791</v>
      </c>
      <c r="AB3862" t="str">
        <f>HYPERLINK("Melting_Curves/meltCurve_Q5T4F4_7_ZFYVE27.pdf", "Melting_Curves/meltCurve_Q5T4F4_7_ZFYVE27.pdf")</f>
        <v>Melting_Curves/meltCurve_Q5T4F4_7_ZFYVE27.pdf</v>
      </c>
    </row>
    <row r="3863" spans="1:28" x14ac:dyDescent="0.25">
      <c r="A3863" t="s">
        <v>3867</v>
      </c>
      <c r="B3863">
        <v>0.99193492352474899</v>
      </c>
      <c r="C3863">
        <v>0.92335173128460502</v>
      </c>
      <c r="D3863">
        <v>1.0738884713744901</v>
      </c>
      <c r="E3863">
        <v>0.62850702646267897</v>
      </c>
      <c r="F3863">
        <v>0.64281653406720696</v>
      </c>
      <c r="G3863">
        <v>0.42260417251923899</v>
      </c>
      <c r="H3863">
        <v>0.26577837940063098</v>
      </c>
      <c r="I3863">
        <v>0.337250392988517</v>
      </c>
      <c r="J3863">
        <v>0.47134438913268201</v>
      </c>
      <c r="K3863">
        <v>0.45921532498391698</v>
      </c>
      <c r="L3863">
        <v>1150.7138902950901</v>
      </c>
      <c r="M3863">
        <v>22.865448128710799</v>
      </c>
      <c r="N3863">
        <v>53.9028209207789</v>
      </c>
      <c r="O3863">
        <v>49.945261126911198</v>
      </c>
      <c r="P3863">
        <v>-6.9774832369061193E-2</v>
      </c>
      <c r="Q3863">
        <v>0.39037181065820398</v>
      </c>
      <c r="R3863">
        <v>0.88617643787848899</v>
      </c>
      <c r="S3863" t="s">
        <v>10533</v>
      </c>
      <c r="T3863" t="s">
        <v>13338</v>
      </c>
      <c r="U3863" t="s">
        <v>13338</v>
      </c>
      <c r="V3863" t="s">
        <v>13338</v>
      </c>
      <c r="W3863" t="s">
        <v>17149</v>
      </c>
      <c r="X3863">
        <v>1</v>
      </c>
      <c r="Y3863" t="s">
        <v>23663</v>
      </c>
      <c r="Z3863" t="s">
        <v>30278</v>
      </c>
      <c r="AA3863">
        <v>0.60672228886212165</v>
      </c>
      <c r="AB3863" t="str">
        <f>HYPERLINK("Melting_Curves/meltCurve_Q5T4K2_SLC39A1.pdf", "Melting_Curves/meltCurve_Q5T4K2_SLC39A1.pdf")</f>
        <v>Melting_Curves/meltCurve_Q5T4K2_SLC39A1.pdf</v>
      </c>
    </row>
    <row r="3864" spans="1:28" x14ac:dyDescent="0.25">
      <c r="A3864" t="s">
        <v>3868</v>
      </c>
      <c r="B3864">
        <v>0.99193492352474899</v>
      </c>
      <c r="C3864">
        <v>0.998032309718206</v>
      </c>
      <c r="D3864">
        <v>1.3356834203088901</v>
      </c>
      <c r="E3864">
        <v>0.79360394365173803</v>
      </c>
      <c r="F3864">
        <v>0.24176156621358399</v>
      </c>
      <c r="G3864">
        <v>0.137316560864437</v>
      </c>
      <c r="H3864">
        <v>8.4960833197608499E-2</v>
      </c>
      <c r="I3864">
        <v>0.121803085705735</v>
      </c>
      <c r="J3864">
        <v>0.139958171264355</v>
      </c>
      <c r="K3864">
        <v>0.14692586520590301</v>
      </c>
      <c r="L3864">
        <v>2520.5959609035999</v>
      </c>
      <c r="M3864">
        <v>49.503211610419797</v>
      </c>
      <c r="N3864">
        <v>51.2242740960519</v>
      </c>
      <c r="O3864">
        <v>50.834940762448099</v>
      </c>
      <c r="P3864">
        <v>-0.21224882230261899</v>
      </c>
      <c r="Q3864">
        <v>0.128165923442425</v>
      </c>
      <c r="R3864">
        <v>0.94171699319089897</v>
      </c>
      <c r="S3864" t="s">
        <v>10534</v>
      </c>
      <c r="T3864" t="s">
        <v>13338</v>
      </c>
      <c r="U3864" t="s">
        <v>13338</v>
      </c>
      <c r="V3864" t="s">
        <v>13338</v>
      </c>
      <c r="W3864" t="s">
        <v>17150</v>
      </c>
      <c r="X3864">
        <v>21</v>
      </c>
      <c r="Y3864" t="s">
        <v>23664</v>
      </c>
      <c r="Z3864" t="s">
        <v>30279</v>
      </c>
      <c r="AA3864">
        <v>0.44744818963409261</v>
      </c>
      <c r="AB3864" t="str">
        <f>HYPERLINK("Melting_Curves/meltCurve_Q5T4S7_3_UBR4.pdf", "Melting_Curves/meltCurve_Q5T4S7_3_UBR4.pdf")</f>
        <v>Melting_Curves/meltCurve_Q5T4S7_3_UBR4.pdf</v>
      </c>
    </row>
    <row r="3865" spans="1:28" x14ac:dyDescent="0.25">
      <c r="A3865" t="s">
        <v>3869</v>
      </c>
      <c r="B3865">
        <v>0.99193492352474899</v>
      </c>
      <c r="C3865">
        <v>1.1928978719100201</v>
      </c>
      <c r="D3865">
        <v>1.0616036195798</v>
      </c>
      <c r="E3865">
        <v>1.0176585716911899</v>
      </c>
      <c r="F3865">
        <v>0.71955264567952204</v>
      </c>
      <c r="G3865">
        <v>0.36705262930878901</v>
      </c>
      <c r="H3865">
        <v>0.10770904485675099</v>
      </c>
      <c r="I3865">
        <v>0.10250858003220201</v>
      </c>
      <c r="J3865">
        <v>0.111593546708827</v>
      </c>
      <c r="K3865">
        <v>0.129438347921803</v>
      </c>
      <c r="L3865">
        <v>1688.4186056082301</v>
      </c>
      <c r="M3865">
        <v>30.779061389795</v>
      </c>
      <c r="N3865">
        <v>55.2710045979223</v>
      </c>
      <c r="O3865">
        <v>54.626076308553102</v>
      </c>
      <c r="P3865">
        <v>-0.126332534233391</v>
      </c>
      <c r="Q3865">
        <v>0.103155229227033</v>
      </c>
      <c r="R3865">
        <v>0.97469840386512696</v>
      </c>
      <c r="S3865" t="s">
        <v>10535</v>
      </c>
      <c r="T3865" t="s">
        <v>13338</v>
      </c>
      <c r="U3865" t="s">
        <v>13338</v>
      </c>
      <c r="V3865" t="s">
        <v>13338</v>
      </c>
      <c r="W3865" t="s">
        <v>17151</v>
      </c>
      <c r="X3865">
        <v>24</v>
      </c>
      <c r="Y3865" t="s">
        <v>23665</v>
      </c>
      <c r="Z3865" t="s">
        <v>30280</v>
      </c>
      <c r="AA3865">
        <v>0.55293448283614721</v>
      </c>
      <c r="AB3865" t="str">
        <f>HYPERLINK("Melting_Curves/meltCurve_Q5T4U5_ACADM.pdf", "Melting_Curves/meltCurve_Q5T4U5_ACADM.pdf")</f>
        <v>Melting_Curves/meltCurve_Q5T4U5_ACADM.pdf</v>
      </c>
    </row>
    <row r="3866" spans="1:28" x14ac:dyDescent="0.25">
      <c r="A3866" t="s">
        <v>3870</v>
      </c>
      <c r="B3866">
        <v>0.99193492352474899</v>
      </c>
      <c r="C3866">
        <v>0.68762535976851202</v>
      </c>
      <c r="D3866">
        <v>1.0290039413515899</v>
      </c>
      <c r="E3866">
        <v>0.80384885859533595</v>
      </c>
      <c r="F3866">
        <v>0.77648855935288996</v>
      </c>
      <c r="G3866">
        <v>0.467154463651622</v>
      </c>
      <c r="H3866">
        <v>0.49884960797155398</v>
      </c>
      <c r="I3866">
        <v>0.48154118194301399</v>
      </c>
      <c r="J3866">
        <v>0.77864033524151099</v>
      </c>
      <c r="K3866">
        <v>0.91829834647658204</v>
      </c>
      <c r="L3866">
        <v>635.96676893535005</v>
      </c>
      <c r="M3866">
        <v>13.4481665678017</v>
      </c>
      <c r="O3866">
        <v>46.281275179791898</v>
      </c>
      <c r="P3866">
        <v>-2.60954882560143E-2</v>
      </c>
      <c r="Q3866">
        <v>0.64082970198785305</v>
      </c>
      <c r="R3866">
        <v>0.267414348242137</v>
      </c>
      <c r="S3866" t="s">
        <v>10536</v>
      </c>
      <c r="T3866" t="s">
        <v>13338</v>
      </c>
      <c r="U3866" t="s">
        <v>13338</v>
      </c>
      <c r="V3866" t="s">
        <v>13338</v>
      </c>
      <c r="W3866" t="s">
        <v>17152</v>
      </c>
      <c r="X3866">
        <v>3</v>
      </c>
      <c r="Y3866" t="s">
        <v>23666</v>
      </c>
      <c r="Z3866" t="s">
        <v>30281</v>
      </c>
      <c r="AA3866">
        <v>0.74002843350286374</v>
      </c>
      <c r="AB3866" t="str">
        <f>HYPERLINK("Melting_Curves/meltCurve_Q5T593_FAM219A.pdf", "Melting_Curves/meltCurve_Q5T593_FAM219A.pdf")</f>
        <v>Melting_Curves/meltCurve_Q5T593_FAM219A.pdf</v>
      </c>
    </row>
    <row r="3867" spans="1:28" x14ac:dyDescent="0.25">
      <c r="A3867" t="s">
        <v>3871</v>
      </c>
      <c r="B3867">
        <v>0.99193492352474899</v>
      </c>
      <c r="C3867">
        <v>0.93922373175367202</v>
      </c>
      <c r="D3867">
        <v>0.87709999968969699</v>
      </c>
      <c r="E3867">
        <v>0.83319547801238503</v>
      </c>
      <c r="F3867">
        <v>0.392456690368299</v>
      </c>
      <c r="G3867">
        <v>0.18230482307465201</v>
      </c>
      <c r="H3867">
        <v>5.8665748124372398E-2</v>
      </c>
      <c r="I3867">
        <v>5.4895642181853201E-2</v>
      </c>
      <c r="J3867">
        <v>6.9707183155565997E-2</v>
      </c>
      <c r="K3867">
        <v>4.7709260407582797E-2</v>
      </c>
      <c r="L3867">
        <v>1231.36167464856</v>
      </c>
      <c r="M3867">
        <v>23.595815404623099</v>
      </c>
      <c r="N3867">
        <v>52.399802095642201</v>
      </c>
      <c r="O3867">
        <v>51.815103765137302</v>
      </c>
      <c r="P3867">
        <v>-0.108613870151177</v>
      </c>
      <c r="Q3867">
        <v>4.5975997695260701E-2</v>
      </c>
      <c r="R3867">
        <v>0.99085006167947298</v>
      </c>
      <c r="S3867" t="s">
        <v>10537</v>
      </c>
      <c r="T3867" t="s">
        <v>13338</v>
      </c>
      <c r="U3867" t="s">
        <v>13338</v>
      </c>
      <c r="V3867" t="s">
        <v>13338</v>
      </c>
      <c r="W3867" t="s">
        <v>17153</v>
      </c>
      <c r="X3867">
        <v>6</v>
      </c>
      <c r="Y3867" t="s">
        <v>23667</v>
      </c>
      <c r="Z3867" t="s">
        <v>30282</v>
      </c>
      <c r="AA3867">
        <v>0.4432265836117345</v>
      </c>
      <c r="AB3867" t="str">
        <f>HYPERLINK("Melting_Curves/meltCurve_Q5T5C0_3_STXBP5.pdf", "Melting_Curves/meltCurve_Q5T5C0_3_STXBP5.pdf")</f>
        <v>Melting_Curves/meltCurve_Q5T5C0_3_STXBP5.pdf</v>
      </c>
    </row>
    <row r="3868" spans="1:28" x14ac:dyDescent="0.25">
      <c r="A3868" t="s">
        <v>3872</v>
      </c>
      <c r="B3868">
        <v>0.99193492352474899</v>
      </c>
      <c r="C3868">
        <v>0.67562835174821501</v>
      </c>
      <c r="D3868">
        <v>0.76426869208746395</v>
      </c>
      <c r="E3868">
        <v>0.37056098132649601</v>
      </c>
      <c r="F3868">
        <v>0.21245420935013601</v>
      </c>
      <c r="G3868">
        <v>0.117203681661862</v>
      </c>
      <c r="H3868">
        <v>7.2103460106227799E-2</v>
      </c>
      <c r="I3868">
        <v>0.100838933110093</v>
      </c>
      <c r="J3868">
        <v>0.10070140007632</v>
      </c>
      <c r="K3868">
        <v>0.13309291326325601</v>
      </c>
      <c r="L3868">
        <v>690.89332014955096</v>
      </c>
      <c r="M3868">
        <v>14.5832603452059</v>
      </c>
      <c r="N3868">
        <v>47.904343362172298</v>
      </c>
      <c r="O3868">
        <v>46.511690095683399</v>
      </c>
      <c r="P3868">
        <v>-7.2567960868232001E-2</v>
      </c>
      <c r="Q3868">
        <v>7.4314809839654203E-2</v>
      </c>
      <c r="R3868">
        <v>0.95055142659997904</v>
      </c>
      <c r="S3868" t="s">
        <v>10538</v>
      </c>
      <c r="T3868" t="s">
        <v>13338</v>
      </c>
      <c r="U3868" t="s">
        <v>13338</v>
      </c>
      <c r="V3868" t="s">
        <v>13338</v>
      </c>
      <c r="W3868" t="s">
        <v>17154</v>
      </c>
      <c r="X3868">
        <v>10</v>
      </c>
      <c r="Y3868" t="s">
        <v>23668</v>
      </c>
      <c r="Z3868" t="s">
        <v>30283</v>
      </c>
      <c r="AA3868">
        <v>0.32794114928246648</v>
      </c>
      <c r="AB3868" t="str">
        <f>HYPERLINK("Melting_Curves/meltCurve_Q5T5Y3_CAMSAP1.pdf", "Melting_Curves/meltCurve_Q5T5Y3_CAMSAP1.pdf")</f>
        <v>Melting_Curves/meltCurve_Q5T5Y3_CAMSAP1.pdf</v>
      </c>
    </row>
    <row r="3869" spans="1:28" x14ac:dyDescent="0.25">
      <c r="A3869" t="s">
        <v>3873</v>
      </c>
      <c r="B3869">
        <v>0.99193492352474899</v>
      </c>
      <c r="C3869">
        <v>0.80680454009858704</v>
      </c>
      <c r="D3869">
        <v>0.99770675339703896</v>
      </c>
      <c r="E3869">
        <v>0.74048568909974799</v>
      </c>
      <c r="F3869">
        <v>0.61709078307179099</v>
      </c>
      <c r="G3869">
        <v>0.38749391665287802</v>
      </c>
      <c r="H3869">
        <v>0.38138253541324002</v>
      </c>
      <c r="I3869">
        <v>0.474080590753305</v>
      </c>
      <c r="J3869">
        <v>0.61342773870852596</v>
      </c>
      <c r="K3869">
        <v>0.85778622497247603</v>
      </c>
      <c r="L3869">
        <v>1931.86330381941</v>
      </c>
      <c r="M3869">
        <v>39.189820311533502</v>
      </c>
      <c r="O3869">
        <v>49.167178832168297</v>
      </c>
      <c r="P3869">
        <v>-8.9680976275313795E-2</v>
      </c>
      <c r="Q3869">
        <v>0.54994921605358205</v>
      </c>
      <c r="R3869">
        <v>0.57942064399695303</v>
      </c>
      <c r="S3869" t="s">
        <v>10539</v>
      </c>
      <c r="T3869" t="s">
        <v>13338</v>
      </c>
      <c r="U3869" t="s">
        <v>13338</v>
      </c>
      <c r="V3869" t="s">
        <v>13338</v>
      </c>
      <c r="W3869" t="s">
        <v>17155</v>
      </c>
      <c r="X3869">
        <v>14</v>
      </c>
      <c r="Y3869" t="s">
        <v>23669</v>
      </c>
      <c r="Z3869" t="s">
        <v>30284</v>
      </c>
      <c r="AA3869">
        <v>0.69098994586056317</v>
      </c>
      <c r="AB3869" t="str">
        <f>HYPERLINK("Melting_Curves/meltCurve_Q5T6F2_UBAP2.pdf", "Melting_Curves/meltCurve_Q5T6F2_UBAP2.pdf")</f>
        <v>Melting_Curves/meltCurve_Q5T6F2_UBAP2.pdf</v>
      </c>
    </row>
    <row r="3870" spans="1:28" x14ac:dyDescent="0.25">
      <c r="A3870" t="s">
        <v>3874</v>
      </c>
      <c r="B3870">
        <v>0.99193492352474899</v>
      </c>
      <c r="C3870">
        <v>1.1527997876810301</v>
      </c>
      <c r="D3870">
        <v>1.4690433868578501</v>
      </c>
      <c r="E3870">
        <v>0.55746949336861096</v>
      </c>
      <c r="F3870">
        <v>0.34079397300497</v>
      </c>
      <c r="G3870">
        <v>0.25139000592585198</v>
      </c>
      <c r="H3870">
        <v>7.3578176475799006E-2</v>
      </c>
      <c r="I3870">
        <v>0.130697033313908</v>
      </c>
      <c r="J3870">
        <v>0.247835418303259</v>
      </c>
      <c r="K3870">
        <v>0</v>
      </c>
      <c r="L3870">
        <v>6863.4890886705898</v>
      </c>
      <c r="M3870">
        <v>138.51967186105699</v>
      </c>
      <c r="N3870">
        <v>49.702340576464699</v>
      </c>
      <c r="O3870">
        <v>49.538516861443199</v>
      </c>
      <c r="P3870">
        <v>-0.57739445949892798</v>
      </c>
      <c r="Q3870">
        <v>0.17403028708249199</v>
      </c>
      <c r="R3870">
        <v>0.86024298402201105</v>
      </c>
      <c r="S3870" t="s">
        <v>10540</v>
      </c>
      <c r="T3870" t="s">
        <v>13338</v>
      </c>
      <c r="U3870" t="s">
        <v>13338</v>
      </c>
      <c r="V3870" t="s">
        <v>13338</v>
      </c>
      <c r="W3870" t="s">
        <v>17156</v>
      </c>
      <c r="X3870">
        <v>1</v>
      </c>
      <c r="Y3870" t="s">
        <v>23670</v>
      </c>
      <c r="Z3870" t="s">
        <v>30285</v>
      </c>
      <c r="AA3870">
        <v>0.43716611728825239</v>
      </c>
      <c r="AB3870" t="str">
        <f>HYPERLINK("Melting_Curves/meltCurve_Q5T6J7_IDNK.pdf", "Melting_Curves/meltCurve_Q5T6J7_IDNK.pdf")</f>
        <v>Melting_Curves/meltCurve_Q5T6J7_IDNK.pdf</v>
      </c>
    </row>
    <row r="3871" spans="1:28" x14ac:dyDescent="0.25">
      <c r="A3871" t="s">
        <v>3875</v>
      </c>
      <c r="B3871">
        <v>0.99193492352474899</v>
      </c>
      <c r="C3871">
        <v>0.85091557824419495</v>
      </c>
      <c r="D3871">
        <v>0.76825691046526501</v>
      </c>
      <c r="E3871">
        <v>0.64248785515617002</v>
      </c>
      <c r="F3871">
        <v>0.425632936676891</v>
      </c>
      <c r="G3871">
        <v>0.31923091370742301</v>
      </c>
      <c r="H3871">
        <v>0.25381609865065102</v>
      </c>
      <c r="I3871">
        <v>0.28331343703224399</v>
      </c>
      <c r="J3871">
        <v>0.346931906092798</v>
      </c>
      <c r="K3871">
        <v>0.43329060687235699</v>
      </c>
      <c r="L3871">
        <v>753.17181806149495</v>
      </c>
      <c r="M3871">
        <v>15.6502412322104</v>
      </c>
      <c r="N3871">
        <v>51.313857725500199</v>
      </c>
      <c r="O3871">
        <v>47.360056799418601</v>
      </c>
      <c r="P3871">
        <v>-5.6931014757511902E-2</v>
      </c>
      <c r="Q3871">
        <v>0.31093067889883902</v>
      </c>
      <c r="R3871">
        <v>0.94528810616716497</v>
      </c>
      <c r="S3871" t="s">
        <v>10541</v>
      </c>
      <c r="T3871" t="s">
        <v>13338</v>
      </c>
      <c r="U3871" t="s">
        <v>13338</v>
      </c>
      <c r="V3871" t="s">
        <v>13338</v>
      </c>
      <c r="W3871" t="s">
        <v>17157</v>
      </c>
      <c r="X3871">
        <v>13</v>
      </c>
      <c r="Y3871" t="s">
        <v>23671</v>
      </c>
      <c r="Z3871" t="s">
        <v>30286</v>
      </c>
      <c r="AA3871">
        <v>0.5137656036353051</v>
      </c>
      <c r="AB3871" t="str">
        <f>HYPERLINK("Melting_Curves/meltCurve_Q5T6N4_ABLIM1.pdf", "Melting_Curves/meltCurve_Q5T6N4_ABLIM1.pdf")</f>
        <v>Melting_Curves/meltCurve_Q5T6N4_ABLIM1.pdf</v>
      </c>
    </row>
    <row r="3872" spans="1:28" x14ac:dyDescent="0.25">
      <c r="A3872" t="s">
        <v>3876</v>
      </c>
      <c r="B3872">
        <v>0.99193492352474899</v>
      </c>
      <c r="C3872">
        <v>0.89542712857464801</v>
      </c>
      <c r="D3872">
        <v>0.792357439567828</v>
      </c>
      <c r="E3872">
        <v>0.374133900658213</v>
      </c>
      <c r="F3872">
        <v>0.22726874962007701</v>
      </c>
      <c r="G3872">
        <v>0.13879435538600299</v>
      </c>
      <c r="H3872">
        <v>9.0073921007338603E-2</v>
      </c>
      <c r="I3872">
        <v>9.0879617280539601E-2</v>
      </c>
      <c r="J3872">
        <v>9.5927104891910697E-2</v>
      </c>
      <c r="K3872">
        <v>9.9208031783307699E-2</v>
      </c>
      <c r="L3872">
        <v>1020.20141690405</v>
      </c>
      <c r="M3872">
        <v>21.1946355973351</v>
      </c>
      <c r="N3872">
        <v>48.612300131857602</v>
      </c>
      <c r="O3872">
        <v>47.712526548083801</v>
      </c>
      <c r="P3872">
        <v>-0.10062178007094499</v>
      </c>
      <c r="Q3872">
        <v>9.3960331451235404E-2</v>
      </c>
      <c r="R3872">
        <v>0.99539245882105398</v>
      </c>
      <c r="S3872" t="s">
        <v>10542</v>
      </c>
      <c r="T3872" t="s">
        <v>13338</v>
      </c>
      <c r="U3872" t="s">
        <v>13338</v>
      </c>
      <c r="V3872" t="s">
        <v>13338</v>
      </c>
      <c r="W3872" t="s">
        <v>17158</v>
      </c>
      <c r="X3872">
        <v>10</v>
      </c>
      <c r="Y3872" t="s">
        <v>23672</v>
      </c>
      <c r="Z3872" t="s">
        <v>30287</v>
      </c>
      <c r="AA3872">
        <v>0.35100482171236569</v>
      </c>
      <c r="AB3872" t="str">
        <f>HYPERLINK("Melting_Curves/meltCurve_Q5T6V5_C9orf64.pdf", "Melting_Curves/meltCurve_Q5T6V5_C9orf64.pdf")</f>
        <v>Melting_Curves/meltCurve_Q5T6V5_C9orf64.pdf</v>
      </c>
    </row>
    <row r="3873" spans="1:28" x14ac:dyDescent="0.25">
      <c r="A3873" t="s">
        <v>3877</v>
      </c>
      <c r="B3873">
        <v>0.99193492352474899</v>
      </c>
      <c r="C3873">
        <v>0.97361937333947002</v>
      </c>
      <c r="D3873">
        <v>1.02101342017292</v>
      </c>
      <c r="E3873">
        <v>0.68099135040644998</v>
      </c>
      <c r="F3873">
        <v>0.255870783785624</v>
      </c>
      <c r="G3873">
        <v>0.12148776380873</v>
      </c>
      <c r="H3873">
        <v>5.81065654134491E-2</v>
      </c>
      <c r="I3873">
        <v>0.10311897959067701</v>
      </c>
      <c r="J3873">
        <v>0.15207953928778001</v>
      </c>
      <c r="K3873">
        <v>9.63055682543945E-2</v>
      </c>
      <c r="L3873">
        <v>1747.42975374926</v>
      </c>
      <c r="M3873">
        <v>34.564058551989902</v>
      </c>
      <c r="N3873">
        <v>50.898182190818602</v>
      </c>
      <c r="O3873">
        <v>50.387937394107098</v>
      </c>
      <c r="P3873">
        <v>-0.15372266758131201</v>
      </c>
      <c r="Q3873">
        <v>0.103607728497008</v>
      </c>
      <c r="R3873">
        <v>0.99476333699397201</v>
      </c>
      <c r="S3873" t="s">
        <v>10543</v>
      </c>
      <c r="T3873" t="s">
        <v>13338</v>
      </c>
      <c r="U3873" t="s">
        <v>13338</v>
      </c>
      <c r="V3873" t="s">
        <v>13338</v>
      </c>
      <c r="W3873" t="s">
        <v>17159</v>
      </c>
      <c r="X3873">
        <v>2</v>
      </c>
      <c r="Y3873" t="s">
        <v>23673</v>
      </c>
      <c r="Z3873" t="s">
        <v>30288</v>
      </c>
      <c r="AA3873">
        <v>0.42323223679753752</v>
      </c>
      <c r="AB3873" t="str">
        <f>HYPERLINK("Melting_Curves/meltCurve_Q5T7A4_ADCK3.pdf", "Melting_Curves/meltCurve_Q5T7A4_ADCK3.pdf")</f>
        <v>Melting_Curves/meltCurve_Q5T7A4_ADCK3.pdf</v>
      </c>
    </row>
    <row r="3874" spans="1:28" x14ac:dyDescent="0.25">
      <c r="A3874" t="s">
        <v>3878</v>
      </c>
      <c r="B3874">
        <v>0.99193492352474899</v>
      </c>
      <c r="C3874">
        <v>0.87666416596184504</v>
      </c>
      <c r="D3874">
        <v>0.36428304952757101</v>
      </c>
      <c r="E3874">
        <v>0.118468402680001</v>
      </c>
      <c r="F3874">
        <v>6.7416095794891398E-2</v>
      </c>
      <c r="G3874">
        <v>4.9393276849619999E-2</v>
      </c>
      <c r="H3874">
        <v>2.7210642683264001E-2</v>
      </c>
      <c r="I3874">
        <v>4.54766143555871E-2</v>
      </c>
      <c r="J3874">
        <v>5.5460726727506203E-2</v>
      </c>
      <c r="K3874">
        <v>0.104097346962083</v>
      </c>
      <c r="L3874">
        <v>1611.9865265671399</v>
      </c>
      <c r="M3874">
        <v>35.7457043488902</v>
      </c>
      <c r="N3874">
        <v>45.2589027308547</v>
      </c>
      <c r="O3874">
        <v>44.955521718218002</v>
      </c>
      <c r="P3874">
        <v>-0.18678051783163799</v>
      </c>
      <c r="Q3874">
        <v>6.03865298087395E-2</v>
      </c>
      <c r="R3874">
        <v>0.99662286430577296</v>
      </c>
      <c r="S3874" t="s">
        <v>10544</v>
      </c>
      <c r="T3874" t="s">
        <v>13338</v>
      </c>
      <c r="U3874" t="s">
        <v>13338</v>
      </c>
      <c r="V3874" t="s">
        <v>13338</v>
      </c>
      <c r="W3874" t="s">
        <v>17160</v>
      </c>
      <c r="X3874">
        <v>4</v>
      </c>
      <c r="Y3874" t="s">
        <v>23674</v>
      </c>
      <c r="Z3874" t="s">
        <v>30289</v>
      </c>
      <c r="AA3874">
        <v>0.22398102792790531</v>
      </c>
      <c r="AB3874" t="str">
        <f>HYPERLINK("Melting_Curves/meltCurve_Q5T8D3_2_ACBD5.pdf", "Melting_Curves/meltCurve_Q5T8D3_2_ACBD5.pdf")</f>
        <v>Melting_Curves/meltCurve_Q5T8D3_2_ACBD5.pdf</v>
      </c>
    </row>
    <row r="3875" spans="1:28" x14ac:dyDescent="0.25">
      <c r="A3875" t="s">
        <v>3879</v>
      </c>
      <c r="B3875">
        <v>0.99193492352474899</v>
      </c>
      <c r="C3875">
        <v>0.819821610988966</v>
      </c>
      <c r="D3875">
        <v>0.52698959137577195</v>
      </c>
      <c r="E3875">
        <v>0.48709595715234399</v>
      </c>
      <c r="F3875">
        <v>0.28450529408946801</v>
      </c>
      <c r="G3875">
        <v>0.212040208001326</v>
      </c>
      <c r="H3875">
        <v>7.8986443309284907E-2</v>
      </c>
      <c r="I3875">
        <v>3.8686419697992802E-2</v>
      </c>
      <c r="J3875">
        <v>3.2543288938883003E-2</v>
      </c>
      <c r="K3875">
        <v>5.7260643488147502E-2</v>
      </c>
      <c r="L3875">
        <v>522.803751338094</v>
      </c>
      <c r="M3875">
        <v>10.790581220581799</v>
      </c>
      <c r="N3875">
        <v>48.451004728991499</v>
      </c>
      <c r="O3875">
        <v>46.875008742151799</v>
      </c>
      <c r="P3875">
        <v>-5.7564277614854699E-2</v>
      </c>
      <c r="Q3875">
        <v>1.10913435524599E-4</v>
      </c>
      <c r="R3875">
        <v>0.97500776365962905</v>
      </c>
      <c r="S3875" t="s">
        <v>10545</v>
      </c>
      <c r="T3875" t="s">
        <v>13338</v>
      </c>
      <c r="U3875" t="s">
        <v>13338</v>
      </c>
      <c r="V3875" t="s">
        <v>13338</v>
      </c>
      <c r="W3875" t="s">
        <v>17161</v>
      </c>
      <c r="X3875">
        <v>2</v>
      </c>
      <c r="Y3875" t="s">
        <v>23675</v>
      </c>
      <c r="Z3875" t="s">
        <v>30290</v>
      </c>
      <c r="AA3875">
        <v>0.32712247721891308</v>
      </c>
      <c r="AB3875" t="str">
        <f>HYPERLINK("Melting_Curves/meltCurve_Q5T8I0_COX6A1P2.pdf", "Melting_Curves/meltCurve_Q5T8I0_COX6A1P2.pdf")</f>
        <v>Melting_Curves/meltCurve_Q5T8I0_COX6A1P2.pdf</v>
      </c>
    </row>
    <row r="3876" spans="1:28" x14ac:dyDescent="0.25">
      <c r="A3876" t="s">
        <v>3880</v>
      </c>
      <c r="B3876">
        <v>0.99193492352474899</v>
      </c>
      <c r="C3876">
        <v>0.65420855281728696</v>
      </c>
      <c r="D3876">
        <v>0.54313407638357603</v>
      </c>
      <c r="E3876">
        <v>0.17780252136578201</v>
      </c>
      <c r="F3876">
        <v>0.12121552322523101</v>
      </c>
      <c r="G3876">
        <v>6.4002527631895401E-2</v>
      </c>
      <c r="H3876">
        <v>4.52515932824199E-2</v>
      </c>
      <c r="I3876">
        <v>5.5172603420188003E-2</v>
      </c>
      <c r="J3876">
        <v>6.1309281338175002E-2</v>
      </c>
      <c r="K3876">
        <v>6.9185503303537801E-2</v>
      </c>
      <c r="L3876">
        <v>803.69528335419102</v>
      </c>
      <c r="M3876">
        <v>17.715449761976998</v>
      </c>
      <c r="N3876">
        <v>45.631539423383003</v>
      </c>
      <c r="O3876">
        <v>44.800681462742098</v>
      </c>
      <c r="P3876">
        <v>-9.4036032644690806E-2</v>
      </c>
      <c r="Q3876">
        <v>4.8817371992699199E-2</v>
      </c>
      <c r="R3876">
        <v>0.97741432115934701</v>
      </c>
      <c r="S3876" t="s">
        <v>10546</v>
      </c>
      <c r="T3876" t="s">
        <v>13338</v>
      </c>
      <c r="U3876" t="s">
        <v>13338</v>
      </c>
      <c r="V3876" t="s">
        <v>13338</v>
      </c>
      <c r="W3876" t="s">
        <v>17162</v>
      </c>
      <c r="X3876">
        <v>24</v>
      </c>
      <c r="Y3876" t="s">
        <v>23676</v>
      </c>
      <c r="Z3876" t="s">
        <v>30291</v>
      </c>
      <c r="AA3876">
        <v>0.2394388597002737</v>
      </c>
      <c r="AB3876" t="str">
        <f>HYPERLINK("Melting_Curves/meltCurve_Q5T8P6_3_RBM26.pdf", "Melting_Curves/meltCurve_Q5T8P6_3_RBM26.pdf")</f>
        <v>Melting_Curves/meltCurve_Q5T8P6_3_RBM26.pdf</v>
      </c>
    </row>
    <row r="3877" spans="1:28" x14ac:dyDescent="0.25">
      <c r="A3877" t="s">
        <v>3881</v>
      </c>
      <c r="B3877">
        <v>0.99193492352474899</v>
      </c>
      <c r="C3877">
        <v>0.93174113447649898</v>
      </c>
      <c r="D3877">
        <v>0.81091808215292305</v>
      </c>
      <c r="E3877">
        <v>0.65513274722834203</v>
      </c>
      <c r="F3877">
        <v>0.41886578150210901</v>
      </c>
      <c r="G3877">
        <v>0.241851184128102</v>
      </c>
      <c r="H3877">
        <v>0.14473432045984599</v>
      </c>
      <c r="I3877">
        <v>0.18438723300656101</v>
      </c>
      <c r="J3877">
        <v>0.21170022652022699</v>
      </c>
      <c r="K3877">
        <v>0.22851451783642099</v>
      </c>
      <c r="L3877">
        <v>833.90955681278797</v>
      </c>
      <c r="M3877">
        <v>16.6432129994942</v>
      </c>
      <c r="N3877">
        <v>51.397360452958999</v>
      </c>
      <c r="O3877">
        <v>49.398479536040199</v>
      </c>
      <c r="P3877">
        <v>-6.9833543621729999E-2</v>
      </c>
      <c r="Q3877">
        <v>0.17096797667473901</v>
      </c>
      <c r="R3877">
        <v>0.98762581352722301</v>
      </c>
      <c r="S3877" t="s">
        <v>10547</v>
      </c>
      <c r="T3877" t="s">
        <v>13338</v>
      </c>
      <c r="U3877" t="s">
        <v>13338</v>
      </c>
      <c r="V3877" t="s">
        <v>13338</v>
      </c>
      <c r="W3877" t="s">
        <v>17163</v>
      </c>
      <c r="X3877">
        <v>8</v>
      </c>
      <c r="Y3877" t="s">
        <v>23677</v>
      </c>
      <c r="Z3877" t="s">
        <v>30292</v>
      </c>
      <c r="AA3877">
        <v>0.46655604362665459</v>
      </c>
      <c r="AB3877" t="str">
        <f>HYPERLINK("Melting_Curves/meltCurve_Q5T8T7_MED22.pdf", "Melting_Curves/meltCurve_Q5T8T7_MED22.pdf")</f>
        <v>Melting_Curves/meltCurve_Q5T8T7_MED22.pdf</v>
      </c>
    </row>
    <row r="3878" spans="1:28" x14ac:dyDescent="0.25">
      <c r="A3878" t="s">
        <v>3882</v>
      </c>
      <c r="B3878">
        <v>0.99193492352474899</v>
      </c>
      <c r="C3878">
        <v>1.00527344650771</v>
      </c>
      <c r="D3878">
        <v>0.96745037614466201</v>
      </c>
      <c r="E3878">
        <v>0.81862347855400197</v>
      </c>
      <c r="F3878">
        <v>0.67886811538443903</v>
      </c>
      <c r="G3878">
        <v>0.43509262330596399</v>
      </c>
      <c r="H3878">
        <v>0.25011935275202402</v>
      </c>
      <c r="I3878">
        <v>0.11742528258080499</v>
      </c>
      <c r="J3878">
        <v>0.109712090676578</v>
      </c>
      <c r="K3878">
        <v>3.9923772300779301E-2</v>
      </c>
      <c r="L3878">
        <v>779.44682478591506</v>
      </c>
      <c r="M3878">
        <v>13.9753447935461</v>
      </c>
      <c r="N3878">
        <v>55.772976700339299</v>
      </c>
      <c r="O3878">
        <v>54.668289374252701</v>
      </c>
      <c r="P3878">
        <v>-6.3918281482528302E-2</v>
      </c>
      <c r="Q3878">
        <v>0</v>
      </c>
      <c r="R3878">
        <v>0.99752964185116499</v>
      </c>
      <c r="S3878" t="s">
        <v>10548</v>
      </c>
      <c r="T3878" t="s">
        <v>13338</v>
      </c>
      <c r="U3878" t="s">
        <v>13338</v>
      </c>
      <c r="V3878" t="s">
        <v>13338</v>
      </c>
      <c r="W3878" t="s">
        <v>17164</v>
      </c>
      <c r="X3878">
        <v>1</v>
      </c>
      <c r="Y3878" t="s">
        <v>23678</v>
      </c>
      <c r="Z3878" t="s">
        <v>30293</v>
      </c>
      <c r="AA3878">
        <v>0.54499094222284072</v>
      </c>
      <c r="AB3878" t="str">
        <f>HYPERLINK("Melting_Curves/meltCurve_Q5T8U5_SURF4.pdf", "Melting_Curves/meltCurve_Q5T8U5_SURF4.pdf")</f>
        <v>Melting_Curves/meltCurve_Q5T8U5_SURF4.pdf</v>
      </c>
    </row>
    <row r="3879" spans="1:28" x14ac:dyDescent="0.25">
      <c r="A3879" t="s">
        <v>3883</v>
      </c>
      <c r="B3879">
        <v>0.99193492352474899</v>
      </c>
      <c r="C3879">
        <v>0.67930407305151497</v>
      </c>
      <c r="D3879">
        <v>0.73740908142959105</v>
      </c>
      <c r="E3879">
        <v>0.49626992622891503</v>
      </c>
      <c r="F3879">
        <v>0.32115785793124302</v>
      </c>
      <c r="G3879">
        <v>0.174406208024008</v>
      </c>
      <c r="H3879">
        <v>0.142473386650914</v>
      </c>
      <c r="I3879">
        <v>0.177011295685431</v>
      </c>
      <c r="J3879">
        <v>0.21756587455228099</v>
      </c>
      <c r="K3879">
        <v>0.21881638318721899</v>
      </c>
      <c r="L3879">
        <v>603.88831361223004</v>
      </c>
      <c r="M3879">
        <v>12.736706499620199</v>
      </c>
      <c r="N3879">
        <v>48.812826785102601</v>
      </c>
      <c r="O3879">
        <v>46.2900202848503</v>
      </c>
      <c r="P3879">
        <v>-5.8276219810201597E-2</v>
      </c>
      <c r="Q3879">
        <v>0.152970535827094</v>
      </c>
      <c r="R3879">
        <v>0.94168343385040798</v>
      </c>
      <c r="S3879" t="s">
        <v>10549</v>
      </c>
      <c r="T3879" t="s">
        <v>13338</v>
      </c>
      <c r="U3879" t="s">
        <v>13338</v>
      </c>
      <c r="V3879" t="s">
        <v>13338</v>
      </c>
      <c r="W3879" t="s">
        <v>17165</v>
      </c>
      <c r="X3879">
        <v>9</v>
      </c>
      <c r="Y3879" t="s">
        <v>23679</v>
      </c>
      <c r="Z3879" t="s">
        <v>30294</v>
      </c>
      <c r="AA3879">
        <v>0.39319869058558088</v>
      </c>
      <c r="AB3879" t="str">
        <f>HYPERLINK("Melting_Curves/meltCurve_Q5T911_MED4.pdf", "Melting_Curves/meltCurve_Q5T911_MED4.pdf")</f>
        <v>Melting_Curves/meltCurve_Q5T911_MED4.pdf</v>
      </c>
    </row>
    <row r="3880" spans="1:28" x14ac:dyDescent="0.25">
      <c r="A3880" t="s">
        <v>3884</v>
      </c>
      <c r="B3880">
        <v>0.99193492352474899</v>
      </c>
      <c r="C3880">
        <v>0.90831679189577896</v>
      </c>
      <c r="D3880">
        <v>1.7537671814505</v>
      </c>
      <c r="E3880">
        <v>0.66301887019879202</v>
      </c>
      <c r="F3880">
        <v>0.41414904768516098</v>
      </c>
      <c r="G3880">
        <v>0.26726522519863699</v>
      </c>
      <c r="H3880">
        <v>0.189731405465386</v>
      </c>
      <c r="I3880">
        <v>0.28216964000813999</v>
      </c>
      <c r="J3880">
        <v>1.27695244251095</v>
      </c>
      <c r="K3880">
        <v>0.262905999622915</v>
      </c>
      <c r="L3880">
        <v>12377.515356968601</v>
      </c>
      <c r="M3880">
        <v>250</v>
      </c>
      <c r="N3880">
        <v>49.965766852701996</v>
      </c>
      <c r="O3880">
        <v>49.506904173957999</v>
      </c>
      <c r="P3880">
        <v>-0.69578405416189204</v>
      </c>
      <c r="Q3880">
        <v>0.44886229143820999</v>
      </c>
      <c r="R3880">
        <v>0.422237152953582</v>
      </c>
      <c r="S3880" t="s">
        <v>10550</v>
      </c>
      <c r="T3880" t="s">
        <v>13338</v>
      </c>
      <c r="U3880" t="s">
        <v>13338</v>
      </c>
      <c r="V3880" t="s">
        <v>13338</v>
      </c>
      <c r="W3880" t="s">
        <v>17166</v>
      </c>
      <c r="X3880">
        <v>14</v>
      </c>
      <c r="Y3880" t="s">
        <v>23680</v>
      </c>
      <c r="Z3880" t="s">
        <v>30295</v>
      </c>
      <c r="AA3880">
        <v>0.62362196157735517</v>
      </c>
      <c r="AB3880" t="str">
        <f>HYPERLINK("Melting_Curves/meltCurve_Q5T9A4_ATAD3B.pdf", "Melting_Curves/meltCurve_Q5T9A4_ATAD3B.pdf")</f>
        <v>Melting_Curves/meltCurve_Q5T9A4_ATAD3B.pdf</v>
      </c>
    </row>
    <row r="3881" spans="1:28" x14ac:dyDescent="0.25">
      <c r="A3881" t="s">
        <v>3885</v>
      </c>
      <c r="B3881">
        <v>0.99193492352474899</v>
      </c>
      <c r="C3881">
        <v>0.62654345026881897</v>
      </c>
      <c r="D3881">
        <v>0.68095873276526298</v>
      </c>
      <c r="E3881">
        <v>0.35528514729365002</v>
      </c>
      <c r="F3881">
        <v>0.40304076354727097</v>
      </c>
      <c r="G3881">
        <v>0.93123962254906101</v>
      </c>
      <c r="H3881">
        <v>0.26757498574761102</v>
      </c>
      <c r="I3881">
        <v>0.231352392313982</v>
      </c>
      <c r="J3881">
        <v>0.32060059216963499</v>
      </c>
      <c r="K3881">
        <v>0.22232890307895301</v>
      </c>
      <c r="L3881">
        <v>231.296853489445</v>
      </c>
      <c r="M3881">
        <v>4.3260526391795704</v>
      </c>
      <c r="N3881">
        <v>53.466028431035902</v>
      </c>
      <c r="O3881">
        <v>44.9434261373844</v>
      </c>
      <c r="P3881">
        <v>-2.4303674973085498E-2</v>
      </c>
      <c r="Q3881">
        <v>0</v>
      </c>
      <c r="R3881">
        <v>0.49262674961915998</v>
      </c>
      <c r="S3881" t="s">
        <v>10551</v>
      </c>
      <c r="T3881" t="s">
        <v>13338</v>
      </c>
      <c r="U3881" t="s">
        <v>13338</v>
      </c>
      <c r="V3881" t="s">
        <v>13338</v>
      </c>
      <c r="W3881" t="s">
        <v>17167</v>
      </c>
      <c r="X3881">
        <v>20</v>
      </c>
      <c r="Y3881" t="s">
        <v>22884</v>
      </c>
      <c r="Z3881" t="s">
        <v>30296</v>
      </c>
      <c r="AA3881">
        <v>0.49515846185025431</v>
      </c>
      <c r="AB3881" t="str">
        <f>HYPERLINK("Melting_Curves/meltCurve_Q5TA02_GSTO1.pdf", "Melting_Curves/meltCurve_Q5TA02_GSTO1.pdf")</f>
        <v>Melting_Curves/meltCurve_Q5TA02_GSTO1.pdf</v>
      </c>
    </row>
    <row r="3882" spans="1:28" x14ac:dyDescent="0.25">
      <c r="A3882" t="s">
        <v>3886</v>
      </c>
      <c r="B3882">
        <v>0.99193492352474899</v>
      </c>
      <c r="C3882">
        <v>0.92022704658272703</v>
      </c>
      <c r="D3882">
        <v>0.99034158973167896</v>
      </c>
      <c r="E3882">
        <v>0.74217090143271602</v>
      </c>
      <c r="F3882">
        <v>0.60680036788235703</v>
      </c>
      <c r="G3882">
        <v>0.21920639140175699</v>
      </c>
      <c r="H3882">
        <v>0.10839788999262499</v>
      </c>
      <c r="I3882">
        <v>0.12112534201075099</v>
      </c>
      <c r="J3882">
        <v>0.139980998893766</v>
      </c>
      <c r="K3882">
        <v>0.14917060069224899</v>
      </c>
      <c r="L3882">
        <v>1093.8337106965801</v>
      </c>
      <c r="M3882">
        <v>20.712547872984899</v>
      </c>
      <c r="N3882">
        <v>53.411559746496401</v>
      </c>
      <c r="O3882">
        <v>52.325306109917598</v>
      </c>
      <c r="P3882">
        <v>-8.8670705710990005E-2</v>
      </c>
      <c r="Q3882">
        <v>0.104003678378999</v>
      </c>
      <c r="R3882">
        <v>0.98007959968140002</v>
      </c>
      <c r="S3882" t="s">
        <v>10552</v>
      </c>
      <c r="T3882" t="s">
        <v>13338</v>
      </c>
      <c r="U3882" t="s">
        <v>13338</v>
      </c>
      <c r="V3882" t="s">
        <v>13338</v>
      </c>
      <c r="W3882" t="s">
        <v>17168</v>
      </c>
      <c r="X3882">
        <v>7</v>
      </c>
      <c r="Y3882" t="s">
        <v>23681</v>
      </c>
      <c r="Z3882" t="s">
        <v>30297</v>
      </c>
      <c r="AA3882">
        <v>0.49821320716041573</v>
      </c>
      <c r="AB3882" t="str">
        <f>HYPERLINK("Melting_Curves/meltCurve_Q5TA45_3_CPSF3L.pdf", "Melting_Curves/meltCurve_Q5TA45_3_CPSF3L.pdf")</f>
        <v>Melting_Curves/meltCurve_Q5TA45_3_CPSF3L.pdf</v>
      </c>
    </row>
    <row r="3883" spans="1:28" x14ac:dyDescent="0.25">
      <c r="A3883" t="s">
        <v>3887</v>
      </c>
      <c r="B3883">
        <v>0.99193492352474899</v>
      </c>
      <c r="C3883">
        <v>0.79077187750203703</v>
      </c>
      <c r="D3883">
        <v>0.82591213965458898</v>
      </c>
      <c r="E3883">
        <v>0.56765339472429199</v>
      </c>
      <c r="F3883">
        <v>0.77538438049541603</v>
      </c>
      <c r="G3883">
        <v>0.55535165162767597</v>
      </c>
      <c r="H3883">
        <v>0.62598971344514298</v>
      </c>
      <c r="I3883">
        <v>0.97715270070761195</v>
      </c>
      <c r="J3883">
        <v>1.9964818453823301</v>
      </c>
      <c r="K3883">
        <v>2.6720260965115901</v>
      </c>
      <c r="L3883">
        <v>15000</v>
      </c>
      <c r="M3883">
        <v>230.35262686479899</v>
      </c>
      <c r="O3883">
        <v>65.112647162149898</v>
      </c>
      <c r="P3883">
        <v>0.442219438358263</v>
      </c>
      <c r="Q3883">
        <v>1.5</v>
      </c>
      <c r="R3883">
        <v>0.48127283852315</v>
      </c>
      <c r="S3883" t="s">
        <v>10553</v>
      </c>
      <c r="T3883" t="s">
        <v>13338</v>
      </c>
      <c r="U3883" t="s">
        <v>13338</v>
      </c>
      <c r="V3883" t="s">
        <v>13338</v>
      </c>
      <c r="W3883" t="s">
        <v>15285</v>
      </c>
      <c r="X3883">
        <v>1</v>
      </c>
      <c r="Y3883" t="s">
        <v>21869</v>
      </c>
      <c r="Z3883" t="s">
        <v>30298</v>
      </c>
      <c r="AA3883">
        <v>1.081306767260803</v>
      </c>
      <c r="AB3883" t="str">
        <f>HYPERLINK("Melting_Curves/meltCurve_Q5TAL2_SNRPC.pdf", "Melting_Curves/meltCurve_Q5TAL2_SNRPC.pdf")</f>
        <v>Melting_Curves/meltCurve_Q5TAL2_SNRPC.pdf</v>
      </c>
    </row>
    <row r="3884" spans="1:28" x14ac:dyDescent="0.25">
      <c r="A3884" t="s">
        <v>3888</v>
      </c>
      <c r="B3884">
        <v>0.99193492352474899</v>
      </c>
      <c r="C3884">
        <v>1.7622926195920501</v>
      </c>
      <c r="D3884">
        <v>0.48321502762098401</v>
      </c>
      <c r="E3884">
        <v>0.46825038063463797</v>
      </c>
      <c r="F3884">
        <v>0.12330080518726599</v>
      </c>
      <c r="G3884">
        <v>0.15833071320843201</v>
      </c>
      <c r="H3884">
        <v>0.12947731776341501</v>
      </c>
      <c r="I3884">
        <v>0.227509893719301</v>
      </c>
      <c r="J3884">
        <v>0.28300854337822601</v>
      </c>
      <c r="K3884">
        <v>0.47989749524271902</v>
      </c>
      <c r="L3884">
        <v>11459.8942223339</v>
      </c>
      <c r="M3884">
        <v>250</v>
      </c>
      <c r="N3884">
        <v>45.980106733207798</v>
      </c>
      <c r="O3884">
        <v>45.836631927574899</v>
      </c>
      <c r="P3884">
        <v>-0.99932229264930394</v>
      </c>
      <c r="Q3884">
        <v>0.26711072604876701</v>
      </c>
      <c r="R3884">
        <v>0.69396066868503803</v>
      </c>
      <c r="S3884" t="s">
        <v>10554</v>
      </c>
      <c r="T3884" t="s">
        <v>13338</v>
      </c>
      <c r="U3884" t="s">
        <v>13338</v>
      </c>
      <c r="V3884" t="s">
        <v>13338</v>
      </c>
      <c r="W3884" t="s">
        <v>17169</v>
      </c>
      <c r="X3884">
        <v>2</v>
      </c>
      <c r="Y3884" t="s">
        <v>23682</v>
      </c>
      <c r="Z3884" t="s">
        <v>30299</v>
      </c>
      <c r="AA3884">
        <v>0.4098284608910579</v>
      </c>
      <c r="AB3884" t="str">
        <f>HYPERLINK("Melting_Curves/meltCurve_Q5TAX3_ZCCHC11.pdf", "Melting_Curves/meltCurve_Q5TAX3_ZCCHC11.pdf")</f>
        <v>Melting_Curves/meltCurve_Q5TAX3_ZCCHC11.pdf</v>
      </c>
    </row>
    <row r="3885" spans="1:28" x14ac:dyDescent="0.25">
      <c r="A3885" t="s">
        <v>3889</v>
      </c>
      <c r="B3885">
        <v>0.99193492352474899</v>
      </c>
      <c r="C3885">
        <v>0.812750184842981</v>
      </c>
      <c r="D3885">
        <v>0.72994595909123094</v>
      </c>
      <c r="E3885">
        <v>0.34440201201878101</v>
      </c>
      <c r="F3885">
        <v>0.110114492955513</v>
      </c>
      <c r="G3885">
        <v>6.07890631898741E-2</v>
      </c>
      <c r="H3885">
        <v>4.0026985900365901E-2</v>
      </c>
      <c r="I3885">
        <v>4.8236216382056503E-2</v>
      </c>
      <c r="J3885">
        <v>5.8981474914029997E-2</v>
      </c>
      <c r="K3885">
        <v>6.5620006366609696E-2</v>
      </c>
      <c r="L3885">
        <v>935.52985901480304</v>
      </c>
      <c r="M3885">
        <v>19.643093990297199</v>
      </c>
      <c r="N3885">
        <v>47.8181717595712</v>
      </c>
      <c r="O3885">
        <v>47.141045983080602</v>
      </c>
      <c r="P3885">
        <v>-0.100229712075819</v>
      </c>
      <c r="Q3885">
        <v>3.78771548793208E-2</v>
      </c>
      <c r="R3885">
        <v>0.98946758368875598</v>
      </c>
      <c r="S3885" t="s">
        <v>10555</v>
      </c>
      <c r="T3885" t="s">
        <v>13338</v>
      </c>
      <c r="U3885" t="s">
        <v>13338</v>
      </c>
      <c r="V3885" t="s">
        <v>13338</v>
      </c>
      <c r="W3885" t="s">
        <v>17170</v>
      </c>
      <c r="X3885">
        <v>14</v>
      </c>
      <c r="Y3885" t="s">
        <v>23683</v>
      </c>
      <c r="Z3885" t="s">
        <v>30300</v>
      </c>
      <c r="AA3885">
        <v>0.29680136563191589</v>
      </c>
      <c r="AB3885" t="str">
        <f>HYPERLINK("Melting_Curves/meltCurve_Q5TBB1_RNASEH2B.pdf", "Melting_Curves/meltCurve_Q5TBB1_RNASEH2B.pdf")</f>
        <v>Melting_Curves/meltCurve_Q5TBB1_RNASEH2B.pdf</v>
      </c>
    </row>
    <row r="3886" spans="1:28" x14ac:dyDescent="0.25">
      <c r="A3886" t="s">
        <v>3890</v>
      </c>
      <c r="B3886">
        <v>0.99193492352474899</v>
      </c>
      <c r="C3886">
        <v>0.60658708807859296</v>
      </c>
      <c r="D3886">
        <v>0.62552669246424597</v>
      </c>
      <c r="E3886">
        <v>0.31632681380446798</v>
      </c>
      <c r="F3886">
        <v>0.15497558204762099</v>
      </c>
      <c r="G3886">
        <v>9.7969655579637202E-2</v>
      </c>
      <c r="H3886">
        <v>7.3365226232708303E-2</v>
      </c>
      <c r="I3886">
        <v>9.8245028776356796E-2</v>
      </c>
      <c r="J3886">
        <v>0.121156456743993</v>
      </c>
      <c r="K3886">
        <v>0.13078270846221601</v>
      </c>
      <c r="L3886">
        <v>669.19229685850303</v>
      </c>
      <c r="M3886">
        <v>14.6086795719315</v>
      </c>
      <c r="N3886">
        <v>46.384522022749202</v>
      </c>
      <c r="O3886">
        <v>44.975194485990698</v>
      </c>
      <c r="P3886">
        <v>-7.4469229203394896E-2</v>
      </c>
      <c r="Q3886">
        <v>8.3040680721074803E-2</v>
      </c>
      <c r="R3886">
        <v>0.94927099863296704</v>
      </c>
      <c r="S3886" t="s">
        <v>10556</v>
      </c>
      <c r="T3886" t="s">
        <v>13338</v>
      </c>
      <c r="U3886" t="s">
        <v>13338</v>
      </c>
      <c r="V3886" t="s">
        <v>13338</v>
      </c>
      <c r="W3886" t="s">
        <v>17171</v>
      </c>
      <c r="X3886">
        <v>8</v>
      </c>
      <c r="Y3886" t="s">
        <v>23684</v>
      </c>
      <c r="Z3886" t="s">
        <v>30301</v>
      </c>
      <c r="AA3886">
        <v>0.28933140632581011</v>
      </c>
      <c r="AB3886" t="str">
        <f>HYPERLINK("Melting_Curves/meltCurve_Q5TBP5_TAF4.pdf", "Melting_Curves/meltCurve_Q5TBP5_TAF4.pdf")</f>
        <v>Melting_Curves/meltCurve_Q5TBP5_TAF4.pdf</v>
      </c>
    </row>
    <row r="3887" spans="1:28" x14ac:dyDescent="0.25">
      <c r="A3887" t="s">
        <v>3891</v>
      </c>
      <c r="B3887">
        <v>0.99193492352474899</v>
      </c>
      <c r="C3887">
        <v>0.89289301548137201</v>
      </c>
      <c r="D3887">
        <v>0.89574872671654704</v>
      </c>
      <c r="E3887">
        <v>0.77728477705520205</v>
      </c>
      <c r="F3887">
        <v>0.72184372987657897</v>
      </c>
      <c r="G3887">
        <v>0.61277610610386601</v>
      </c>
      <c r="H3887">
        <v>0.46892596877797299</v>
      </c>
      <c r="I3887">
        <v>0.52372159216248504</v>
      </c>
      <c r="J3887">
        <v>0.441623541822737</v>
      </c>
      <c r="K3887">
        <v>0.27857720119203999</v>
      </c>
      <c r="L3887">
        <v>346.10737513817998</v>
      </c>
      <c r="M3887">
        <v>5.5980754727870998</v>
      </c>
      <c r="N3887">
        <v>61.826136460365497</v>
      </c>
      <c r="O3887">
        <v>55.286889142795701</v>
      </c>
      <c r="P3887">
        <v>-2.5418553871665101E-2</v>
      </c>
      <c r="Q3887">
        <v>0</v>
      </c>
      <c r="R3887">
        <v>0.96322684079685195</v>
      </c>
      <c r="S3887" t="s">
        <v>10557</v>
      </c>
      <c r="T3887" t="s">
        <v>13338</v>
      </c>
      <c r="U3887" t="s">
        <v>13338</v>
      </c>
      <c r="V3887" t="s">
        <v>13338</v>
      </c>
      <c r="W3887" t="s">
        <v>17172</v>
      </c>
      <c r="X3887">
        <v>9</v>
      </c>
      <c r="Y3887" t="s">
        <v>23685</v>
      </c>
      <c r="Z3887" t="s">
        <v>30302</v>
      </c>
      <c r="AA3887">
        <v>0.66217310158514298</v>
      </c>
      <c r="AB3887" t="str">
        <f>HYPERLINK("Melting_Curves/meltCurve_Q5TD07_NQO2.pdf", "Melting_Curves/meltCurve_Q5TD07_NQO2.pdf")</f>
        <v>Melting_Curves/meltCurve_Q5TD07_NQO2.pdf</v>
      </c>
    </row>
    <row r="3888" spans="1:28" x14ac:dyDescent="0.25">
      <c r="A3888" t="s">
        <v>3892</v>
      </c>
      <c r="B3888">
        <v>0.99193492352474899</v>
      </c>
      <c r="C3888">
        <v>0.37875136979495999</v>
      </c>
      <c r="D3888">
        <v>1.3013169430195</v>
      </c>
      <c r="E3888">
        <v>0.54888921351738995</v>
      </c>
      <c r="F3888">
        <v>0.213510733097801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1915.1140013663401</v>
      </c>
      <c r="M3888">
        <v>38.128025071311598</v>
      </c>
      <c r="N3888">
        <v>50.257578767890401</v>
      </c>
      <c r="O3888">
        <v>50.090940059024703</v>
      </c>
      <c r="P3888">
        <v>-0.18822036550815599</v>
      </c>
      <c r="Q3888">
        <v>1.0899598793372999E-2</v>
      </c>
      <c r="R3888">
        <v>0.74388896321944198</v>
      </c>
      <c r="S3888" t="s">
        <v>10558</v>
      </c>
      <c r="T3888" t="s">
        <v>13338</v>
      </c>
      <c r="U3888" t="s">
        <v>13338</v>
      </c>
      <c r="V3888" t="s">
        <v>13338</v>
      </c>
      <c r="W3888" t="s">
        <v>17173</v>
      </c>
      <c r="X3888">
        <v>1</v>
      </c>
      <c r="Y3888" t="s">
        <v>23686</v>
      </c>
      <c r="Z3888" t="s">
        <v>30303</v>
      </c>
      <c r="AA3888">
        <v>0.3519174991775248</v>
      </c>
      <c r="AB3888" t="str">
        <f>HYPERLINK("Melting_Curves/meltCurve_Q5TDG9_DNAJC16.pdf", "Melting_Curves/meltCurve_Q5TDG9_DNAJC16.pdf")</f>
        <v>Melting_Curves/meltCurve_Q5TDG9_DNAJC16.pdf</v>
      </c>
    </row>
    <row r="3889" spans="1:28" x14ac:dyDescent="0.25">
      <c r="A3889" t="s">
        <v>3893</v>
      </c>
      <c r="B3889">
        <v>0.99193492352474899</v>
      </c>
      <c r="C3889">
        <v>0.92986636217775598</v>
      </c>
      <c r="D3889">
        <v>0.89617478384442995</v>
      </c>
      <c r="E3889">
        <v>0.60508360180408005</v>
      </c>
      <c r="F3889">
        <v>0.23673655232905599</v>
      </c>
      <c r="G3889">
        <v>0.14568976087787899</v>
      </c>
      <c r="H3889">
        <v>9.6227186219489294E-2</v>
      </c>
      <c r="I3889">
        <v>0.137588966236254</v>
      </c>
      <c r="J3889">
        <v>0.158605733959889</v>
      </c>
      <c r="K3889">
        <v>0.16465199759098101</v>
      </c>
      <c r="L3889">
        <v>1369.38157409262</v>
      </c>
      <c r="M3889">
        <v>27.529395122490001</v>
      </c>
      <c r="N3889">
        <v>50.301253219079001</v>
      </c>
      <c r="O3889">
        <v>49.482270125159602</v>
      </c>
      <c r="P3889">
        <v>-0.120766533496261</v>
      </c>
      <c r="Q3889">
        <v>0.131728480817011</v>
      </c>
      <c r="R3889">
        <v>0.99331000775119205</v>
      </c>
      <c r="S3889" t="s">
        <v>10559</v>
      </c>
      <c r="T3889" t="s">
        <v>13338</v>
      </c>
      <c r="U3889" t="s">
        <v>13338</v>
      </c>
      <c r="V3889" t="s">
        <v>13338</v>
      </c>
      <c r="W3889" t="s">
        <v>17174</v>
      </c>
      <c r="X3889">
        <v>17</v>
      </c>
      <c r="Y3889" t="s">
        <v>23687</v>
      </c>
      <c r="Z3889" t="s">
        <v>30304</v>
      </c>
      <c r="AA3889">
        <v>0.42006774877235331</v>
      </c>
      <c r="AB3889" t="str">
        <f>HYPERLINK("Melting_Curves/meltCurve_Q5TDH0_DDI2.pdf", "Melting_Curves/meltCurve_Q5TDH0_DDI2.pdf")</f>
        <v>Melting_Curves/meltCurve_Q5TDH0_DDI2.pdf</v>
      </c>
    </row>
    <row r="3890" spans="1:28" x14ac:dyDescent="0.25">
      <c r="A3890" t="s">
        <v>3894</v>
      </c>
      <c r="B3890">
        <v>0.99193492352474899</v>
      </c>
      <c r="C3890">
        <v>1.08152790535885</v>
      </c>
      <c r="D3890">
        <v>0.92066610315484099</v>
      </c>
      <c r="E3890">
        <v>0.70908791685166705</v>
      </c>
      <c r="F3890">
        <v>0.51987909507615704</v>
      </c>
      <c r="G3890">
        <v>0.31213476424576803</v>
      </c>
      <c r="H3890">
        <v>0.21760041672945399</v>
      </c>
      <c r="I3890">
        <v>0.32993250538732599</v>
      </c>
      <c r="J3890">
        <v>0.151820561779138</v>
      </c>
      <c r="K3890">
        <v>0.30110009714742603</v>
      </c>
      <c r="L3890">
        <v>1044.6907738897801</v>
      </c>
      <c r="M3890">
        <v>20.406452730803</v>
      </c>
      <c r="N3890">
        <v>52.874362441654903</v>
      </c>
      <c r="O3890">
        <v>50.710115234305398</v>
      </c>
      <c r="P3890">
        <v>-7.6604081359316401E-2</v>
      </c>
      <c r="Q3890">
        <v>0.23857707382732901</v>
      </c>
      <c r="R3890">
        <v>0.96936082909238697</v>
      </c>
      <c r="S3890" t="s">
        <v>10560</v>
      </c>
      <c r="T3890" t="s">
        <v>13338</v>
      </c>
      <c r="U3890" t="s">
        <v>13338</v>
      </c>
      <c r="V3890" t="s">
        <v>13338</v>
      </c>
      <c r="W3890" t="s">
        <v>17175</v>
      </c>
      <c r="X3890">
        <v>1</v>
      </c>
      <c r="Y3890" t="s">
        <v>23688</v>
      </c>
      <c r="Z3890" t="s">
        <v>30305</v>
      </c>
      <c r="AA3890">
        <v>0.53286889323739395</v>
      </c>
      <c r="AB3890" t="str">
        <f>HYPERLINK("Melting_Curves/meltCurve_Q5TE25_SMOX.pdf", "Melting_Curves/meltCurve_Q5TE25_SMOX.pdf")</f>
        <v>Melting_Curves/meltCurve_Q5TE25_SMOX.pdf</v>
      </c>
    </row>
    <row r="3891" spans="1:28" x14ac:dyDescent="0.25">
      <c r="A3891" t="s">
        <v>3895</v>
      </c>
      <c r="B3891">
        <v>0.99193492352474899</v>
      </c>
      <c r="C3891">
        <v>0.90525768530308304</v>
      </c>
      <c r="D3891">
        <v>0.97729824726782799</v>
      </c>
      <c r="E3891">
        <v>0.87989329427156904</v>
      </c>
      <c r="F3891">
        <v>0.57285701961025903</v>
      </c>
      <c r="G3891">
        <v>0.208208826292093</v>
      </c>
      <c r="H3891">
        <v>9.1485227004101194E-2</v>
      </c>
      <c r="I3891">
        <v>0.134640947719671</v>
      </c>
      <c r="J3891">
        <v>8.7971176904076104E-2</v>
      </c>
      <c r="K3891">
        <v>0.13152958034562201</v>
      </c>
      <c r="L3891">
        <v>1543.13852375534</v>
      </c>
      <c r="M3891">
        <v>28.999831499123999</v>
      </c>
      <c r="N3891">
        <v>53.631369907303998</v>
      </c>
      <c r="O3891">
        <v>52.960878690153201</v>
      </c>
      <c r="P3891">
        <v>-0.12300667547859601</v>
      </c>
      <c r="Q3891">
        <v>0.101444016384081</v>
      </c>
      <c r="R3891">
        <v>0.99102598480589699</v>
      </c>
      <c r="S3891" t="s">
        <v>10561</v>
      </c>
      <c r="T3891" t="s">
        <v>13338</v>
      </c>
      <c r="U3891" t="s">
        <v>13338</v>
      </c>
      <c r="V3891" t="s">
        <v>13338</v>
      </c>
      <c r="W3891" t="s">
        <v>17176</v>
      </c>
      <c r="X3891">
        <v>3</v>
      </c>
      <c r="Y3891" t="s">
        <v>23689</v>
      </c>
      <c r="Z3891" t="s">
        <v>30306</v>
      </c>
      <c r="AA3891">
        <v>0.50341060256722325</v>
      </c>
      <c r="AB3891" t="str">
        <f>HYPERLINK("Melting_Curves/meltCurve_Q5TEU4_NDUFAF5.pdf", "Melting_Curves/meltCurve_Q5TEU4_NDUFAF5.pdf")</f>
        <v>Melting_Curves/meltCurve_Q5TEU4_NDUFAF5.pdf</v>
      </c>
    </row>
    <row r="3892" spans="1:28" x14ac:dyDescent="0.25">
      <c r="A3892" t="s">
        <v>3896</v>
      </c>
      <c r="B3892">
        <v>0.99193492352474899</v>
      </c>
      <c r="C3892">
        <v>2.0618410669568301</v>
      </c>
      <c r="D3892">
        <v>1.3557665669222101</v>
      </c>
      <c r="E3892">
        <v>1.0141582063563399</v>
      </c>
      <c r="F3892">
        <v>0.70403209115249699</v>
      </c>
      <c r="G3892">
        <v>0.57330640733404803</v>
      </c>
      <c r="H3892">
        <v>0.366676850394759</v>
      </c>
      <c r="I3892">
        <v>0.39645675254720403</v>
      </c>
      <c r="J3892">
        <v>0.46147182842163198</v>
      </c>
      <c r="K3892">
        <v>0.19397361832366</v>
      </c>
      <c r="L3892">
        <v>1478.37355275202</v>
      </c>
      <c r="M3892">
        <v>27.094599577285599</v>
      </c>
      <c r="N3892">
        <v>57.054499770147302</v>
      </c>
      <c r="O3892">
        <v>54.268774054891303</v>
      </c>
      <c r="P3892">
        <v>-8.1528371962322294E-2</v>
      </c>
      <c r="Q3892">
        <v>0.34682163251769099</v>
      </c>
      <c r="R3892">
        <v>0.54493013878074104</v>
      </c>
      <c r="S3892" t="s">
        <v>10562</v>
      </c>
      <c r="T3892" t="s">
        <v>13338</v>
      </c>
      <c r="U3892" t="s">
        <v>13338</v>
      </c>
      <c r="V3892" t="s">
        <v>13338</v>
      </c>
      <c r="W3892" t="s">
        <v>17177</v>
      </c>
      <c r="X3892">
        <v>1</v>
      </c>
      <c r="Y3892" t="s">
        <v>23690</v>
      </c>
      <c r="Z3892" t="s">
        <v>30307</v>
      </c>
      <c r="AA3892">
        <v>0.66913117665129163</v>
      </c>
      <c r="AB3892" t="str">
        <f>HYPERLINK("Melting_Curves/meltCurve_Q5TF39_NAGLT1.pdf", "Melting_Curves/meltCurve_Q5TF39_NAGLT1.pdf")</f>
        <v>Melting_Curves/meltCurve_Q5TF39_NAGLT1.pdf</v>
      </c>
    </row>
    <row r="3893" spans="1:28" x14ac:dyDescent="0.25">
      <c r="A3893" t="s">
        <v>3897</v>
      </c>
      <c r="B3893">
        <v>0.99193492352474899</v>
      </c>
      <c r="C3893">
        <v>0.91254800759272903</v>
      </c>
      <c r="D3893">
        <v>0.95751452518110103</v>
      </c>
      <c r="E3893">
        <v>0.63650034386625298</v>
      </c>
      <c r="F3893">
        <v>0.50187854238485197</v>
      </c>
      <c r="G3893">
        <v>0.23115384449581</v>
      </c>
      <c r="H3893">
        <v>0.12865583862369401</v>
      </c>
      <c r="I3893">
        <v>0.12939950478117501</v>
      </c>
      <c r="J3893">
        <v>0.17288885249938199</v>
      </c>
      <c r="K3893">
        <v>0.153045889945254</v>
      </c>
      <c r="L3893">
        <v>904.88676219915396</v>
      </c>
      <c r="M3893">
        <v>17.611274247989702</v>
      </c>
      <c r="N3893">
        <v>52.211923868359598</v>
      </c>
      <c r="O3893">
        <v>50.732359923814798</v>
      </c>
      <c r="P3893">
        <v>-7.6184231999929394E-2</v>
      </c>
      <c r="Q3893">
        <v>0.122199109842104</v>
      </c>
      <c r="R3893">
        <v>0.98304814032083698</v>
      </c>
      <c r="S3893" t="s">
        <v>10563</v>
      </c>
      <c r="T3893" t="s">
        <v>13338</v>
      </c>
      <c r="U3893" t="s">
        <v>13338</v>
      </c>
      <c r="V3893" t="s">
        <v>13338</v>
      </c>
      <c r="W3893" t="s">
        <v>17178</v>
      </c>
      <c r="X3893">
        <v>1</v>
      </c>
      <c r="Y3893" t="s">
        <v>23691</v>
      </c>
      <c r="Z3893" t="s">
        <v>30308</v>
      </c>
      <c r="AA3893">
        <v>0.47051066151548471</v>
      </c>
      <c r="AB3893" t="str">
        <f>HYPERLINK("Melting_Curves/meltCurve_Q5TFA5_GINM1.pdf", "Melting_Curves/meltCurve_Q5TFA5_GINM1.pdf")</f>
        <v>Melting_Curves/meltCurve_Q5TFA5_GINM1.pdf</v>
      </c>
    </row>
    <row r="3894" spans="1:28" x14ac:dyDescent="0.25">
      <c r="A3894" t="s">
        <v>3898</v>
      </c>
      <c r="B3894">
        <v>0.99193492352474899</v>
      </c>
      <c r="C3894">
        <v>1.0724483794517099</v>
      </c>
      <c r="D3894">
        <v>0.94029777967894601</v>
      </c>
      <c r="E3894">
        <v>0.90647451304113003</v>
      </c>
      <c r="F3894">
        <v>0.67555177356965801</v>
      </c>
      <c r="G3894">
        <v>0.412634624653686</v>
      </c>
      <c r="H3894">
        <v>0.16293702579108099</v>
      </c>
      <c r="I3894">
        <v>0.119950380499351</v>
      </c>
      <c r="J3894">
        <v>0.149335318634917</v>
      </c>
      <c r="K3894">
        <v>0.15188715717819501</v>
      </c>
      <c r="L3894">
        <v>1188.6975081063499</v>
      </c>
      <c r="M3894">
        <v>21.769922884743099</v>
      </c>
      <c r="N3894">
        <v>55.271355432253301</v>
      </c>
      <c r="O3894">
        <v>54.148271535854903</v>
      </c>
      <c r="P3894">
        <v>-8.8877212548363602E-2</v>
      </c>
      <c r="Q3894">
        <v>0.11576435854205901</v>
      </c>
      <c r="R3894">
        <v>0.99140807319900004</v>
      </c>
      <c r="S3894" t="s">
        <v>10564</v>
      </c>
      <c r="T3894" t="s">
        <v>13338</v>
      </c>
      <c r="U3894" t="s">
        <v>13338</v>
      </c>
      <c r="V3894" t="s">
        <v>13338</v>
      </c>
      <c r="W3894" t="s">
        <v>17179</v>
      </c>
      <c r="X3894">
        <v>15</v>
      </c>
      <c r="Y3894" t="s">
        <v>23692</v>
      </c>
      <c r="Z3894" t="s">
        <v>30309</v>
      </c>
      <c r="AA3894">
        <v>0.55655418459482398</v>
      </c>
      <c r="AB3894" t="str">
        <f>HYPERLINK("Melting_Curves/meltCurve_Q5TFE4_NT5DC1.pdf", "Melting_Curves/meltCurve_Q5TFE4_NT5DC1.pdf")</f>
        <v>Melting_Curves/meltCurve_Q5TFE4_NT5DC1.pdf</v>
      </c>
    </row>
    <row r="3895" spans="1:28" x14ac:dyDescent="0.25">
      <c r="A3895" t="s">
        <v>3899</v>
      </c>
      <c r="B3895">
        <v>0.99193492352474899</v>
      </c>
      <c r="C3895">
        <v>0.77946879722378903</v>
      </c>
      <c r="D3895">
        <v>1.0459635246194501</v>
      </c>
      <c r="E3895">
        <v>0.53007621552324302</v>
      </c>
      <c r="F3895">
        <v>0.103539843620676</v>
      </c>
      <c r="G3895">
        <v>4.3177957440792399E-2</v>
      </c>
      <c r="H3895">
        <v>0</v>
      </c>
      <c r="I3895">
        <v>0</v>
      </c>
      <c r="J3895">
        <v>0</v>
      </c>
      <c r="K3895">
        <v>3.6769396161141298E-2</v>
      </c>
      <c r="L3895">
        <v>2203.1283375647499</v>
      </c>
      <c r="M3895">
        <v>44.281915482520603</v>
      </c>
      <c r="N3895">
        <v>49.798371808914901</v>
      </c>
      <c r="O3895">
        <v>49.651181332204203</v>
      </c>
      <c r="P3895">
        <v>-0.21849435076500301</v>
      </c>
      <c r="Q3895">
        <v>2.0052540469749799E-2</v>
      </c>
      <c r="R3895">
        <v>0.96742698875978195</v>
      </c>
      <c r="S3895" t="s">
        <v>10565</v>
      </c>
      <c r="T3895" t="s">
        <v>13338</v>
      </c>
      <c r="U3895" t="s">
        <v>13338</v>
      </c>
      <c r="V3895" t="s">
        <v>13338</v>
      </c>
      <c r="W3895" t="s">
        <v>17180</v>
      </c>
      <c r="X3895">
        <v>1</v>
      </c>
      <c r="Y3895" t="s">
        <v>23693</v>
      </c>
      <c r="Z3895" t="s">
        <v>30310</v>
      </c>
      <c r="AA3895">
        <v>0.34135785407580982</v>
      </c>
      <c r="AB3895" t="str">
        <f>HYPERLINK("Melting_Curves/meltCurve_Q5THJ4_2_VPS13D.pdf", "Melting_Curves/meltCurve_Q5THJ4_2_VPS13D.pdf")</f>
        <v>Melting_Curves/meltCurve_Q5THJ4_2_VPS13D.pdf</v>
      </c>
    </row>
    <row r="3896" spans="1:28" x14ac:dyDescent="0.25">
      <c r="A3896" t="s">
        <v>3900</v>
      </c>
      <c r="B3896">
        <v>0.99193492352474899</v>
      </c>
      <c r="C3896">
        <v>0.78932668680811002</v>
      </c>
      <c r="D3896">
        <v>0.81255110324658297</v>
      </c>
      <c r="E3896">
        <v>0.57952738012787997</v>
      </c>
      <c r="F3896">
        <v>0.43700356949701702</v>
      </c>
      <c r="G3896">
        <v>0.36450978077810697</v>
      </c>
      <c r="H3896">
        <v>0.42489741064053499</v>
      </c>
      <c r="I3896">
        <v>0.94543134379202798</v>
      </c>
      <c r="J3896">
        <v>1.39961015477465</v>
      </c>
      <c r="K3896">
        <v>2.2359855601785399</v>
      </c>
      <c r="L3896">
        <v>15000</v>
      </c>
      <c r="M3896">
        <v>224.92940216394601</v>
      </c>
      <c r="O3896">
        <v>66.682318489428795</v>
      </c>
      <c r="P3896">
        <v>0.421643632102639</v>
      </c>
      <c r="Q3896">
        <v>1.5</v>
      </c>
      <c r="R3896">
        <v>0.35992834092664899</v>
      </c>
      <c r="S3896" t="s">
        <v>10566</v>
      </c>
      <c r="T3896" t="s">
        <v>13338</v>
      </c>
      <c r="U3896" t="s">
        <v>13338</v>
      </c>
      <c r="V3896" t="s">
        <v>13338</v>
      </c>
      <c r="W3896" t="s">
        <v>17181</v>
      </c>
      <c r="X3896">
        <v>2</v>
      </c>
      <c r="Y3896" t="s">
        <v>23694</v>
      </c>
      <c r="Z3896" t="s">
        <v>30311</v>
      </c>
      <c r="AA3896">
        <v>1.0551346525538849</v>
      </c>
      <c r="AB3896" t="str">
        <f>HYPERLINK("Melting_Curves/meltCurve_Q5THK1_3_PRR14L.pdf", "Melting_Curves/meltCurve_Q5THK1_3_PRR14L.pdf")</f>
        <v>Melting_Curves/meltCurve_Q5THK1_3_PRR14L.pdf</v>
      </c>
    </row>
    <row r="3897" spans="1:28" x14ac:dyDescent="0.25">
      <c r="A3897" t="s">
        <v>3901</v>
      </c>
      <c r="B3897">
        <v>0.99193492352474899</v>
      </c>
      <c r="C3897">
        <v>0.74206508836255203</v>
      </c>
      <c r="D3897">
        <v>0.76629202771113902</v>
      </c>
      <c r="E3897">
        <v>0.44808803922077001</v>
      </c>
      <c r="F3897">
        <v>0.22924297350807299</v>
      </c>
      <c r="G3897">
        <v>0.107973416435695</v>
      </c>
      <c r="H3897">
        <v>5.6016309764369797E-2</v>
      </c>
      <c r="I3897">
        <v>8.5977323906358497E-2</v>
      </c>
      <c r="J3897">
        <v>8.6852293517586096E-2</v>
      </c>
      <c r="K3897">
        <v>6.2086993700080702E-2</v>
      </c>
      <c r="L3897">
        <v>691.43731971548505</v>
      </c>
      <c r="M3897">
        <v>14.291646454256099</v>
      </c>
      <c r="N3897">
        <v>48.659249394921403</v>
      </c>
      <c r="O3897">
        <v>47.462858179372297</v>
      </c>
      <c r="P3897">
        <v>-7.2328509725445106E-2</v>
      </c>
      <c r="Q3897">
        <v>3.9299286584681299E-2</v>
      </c>
      <c r="R3897">
        <v>0.97621721464086098</v>
      </c>
      <c r="S3897" t="s">
        <v>10567</v>
      </c>
      <c r="T3897" t="s">
        <v>13338</v>
      </c>
      <c r="U3897" t="s">
        <v>13338</v>
      </c>
      <c r="V3897" t="s">
        <v>13338</v>
      </c>
      <c r="W3897" t="s">
        <v>17182</v>
      </c>
      <c r="X3897">
        <v>5</v>
      </c>
      <c r="Y3897" t="s">
        <v>23695</v>
      </c>
      <c r="Z3897" t="s">
        <v>30312</v>
      </c>
      <c r="AA3897">
        <v>0.33434596714071152</v>
      </c>
      <c r="AB3897" t="str">
        <f>HYPERLINK("Melting_Curves/meltCurve_Q5THR1_DHX35.pdf", "Melting_Curves/meltCurve_Q5THR1_DHX35.pdf")</f>
        <v>Melting_Curves/meltCurve_Q5THR1_DHX35.pdf</v>
      </c>
    </row>
    <row r="3898" spans="1:28" x14ac:dyDescent="0.25">
      <c r="A3898" t="s">
        <v>3902</v>
      </c>
      <c r="B3898">
        <v>0.99193492352474899</v>
      </c>
      <c r="C3898">
        <v>1.0473836442420601</v>
      </c>
      <c r="D3898">
        <v>0.83081710142203902</v>
      </c>
      <c r="E3898">
        <v>0.92040964419147997</v>
      </c>
      <c r="F3898">
        <v>0.75082788448414495</v>
      </c>
      <c r="G3898">
        <v>0.69044016083581505</v>
      </c>
      <c r="H3898">
        <v>0.35071480876258898</v>
      </c>
      <c r="I3898">
        <v>0.36092503333375398</v>
      </c>
      <c r="J3898">
        <v>0.19422439929410801</v>
      </c>
      <c r="K3898">
        <v>0.342244682824483</v>
      </c>
      <c r="L3898">
        <v>769.11901238675296</v>
      </c>
      <c r="M3898">
        <v>13.5369258641012</v>
      </c>
      <c r="N3898">
        <v>58.976040014719203</v>
      </c>
      <c r="O3898">
        <v>55.619476318014797</v>
      </c>
      <c r="P3898">
        <v>-4.8962246267553203E-2</v>
      </c>
      <c r="Q3898">
        <v>0.19543221073691</v>
      </c>
      <c r="R3898">
        <v>0.93756828240005496</v>
      </c>
      <c r="S3898" t="s">
        <v>10568</v>
      </c>
      <c r="T3898" t="s">
        <v>13338</v>
      </c>
      <c r="U3898" t="s">
        <v>13338</v>
      </c>
      <c r="V3898" t="s">
        <v>13338</v>
      </c>
      <c r="W3898" t="s">
        <v>17183</v>
      </c>
      <c r="X3898">
        <v>1</v>
      </c>
      <c r="Y3898" t="s">
        <v>23696</v>
      </c>
      <c r="Z3898" t="s">
        <v>30313</v>
      </c>
      <c r="AA3898">
        <v>0.66016034512581723</v>
      </c>
      <c r="AB3898" t="str">
        <f>HYPERLINK("Melting_Curves/meltCurve_Q5TIE1_SLC19A2.pdf", "Melting_Curves/meltCurve_Q5TIE1_SLC19A2.pdf")</f>
        <v>Melting_Curves/meltCurve_Q5TIE1_SLC19A2.pdf</v>
      </c>
    </row>
    <row r="3899" spans="1:28" x14ac:dyDescent="0.25">
      <c r="A3899" t="s">
        <v>3903</v>
      </c>
      <c r="B3899">
        <v>0.99193492352474899</v>
      </c>
      <c r="C3899">
        <v>0.83909795184321101</v>
      </c>
      <c r="D3899">
        <v>0.82198812978251601</v>
      </c>
      <c r="E3899">
        <v>0.51877765213425298</v>
      </c>
      <c r="F3899">
        <v>0.48370627740536698</v>
      </c>
      <c r="G3899">
        <v>0.29906531073659598</v>
      </c>
      <c r="H3899">
        <v>0.33753973195305598</v>
      </c>
      <c r="I3899">
        <v>0.41676172782074</v>
      </c>
      <c r="J3899">
        <v>0.54093836923235505</v>
      </c>
      <c r="K3899">
        <v>0.63949281413338699</v>
      </c>
      <c r="L3899">
        <v>1096.6925554960201</v>
      </c>
      <c r="M3899">
        <v>23.599208040817398</v>
      </c>
      <c r="N3899">
        <v>51.306490660345702</v>
      </c>
      <c r="O3899">
        <v>46.141750127402403</v>
      </c>
      <c r="P3899">
        <v>-7.0849096141899798E-2</v>
      </c>
      <c r="Q3899">
        <v>0.445905807600394</v>
      </c>
      <c r="R3899">
        <v>0.79625930157422098</v>
      </c>
      <c r="S3899" t="s">
        <v>10569</v>
      </c>
      <c r="T3899" t="s">
        <v>13338</v>
      </c>
      <c r="U3899" t="s">
        <v>13338</v>
      </c>
      <c r="V3899" t="s">
        <v>13338</v>
      </c>
      <c r="W3899" t="s">
        <v>17184</v>
      </c>
      <c r="X3899">
        <v>1</v>
      </c>
      <c r="Y3899" t="s">
        <v>23697</v>
      </c>
      <c r="Z3899" t="s">
        <v>30314</v>
      </c>
      <c r="AA3899">
        <v>0.57115105942723965</v>
      </c>
      <c r="AB3899" t="str">
        <f>HYPERLINK("Melting_Curves/meltCurve_Q5TIH2_SFT2D2.pdf", "Melting_Curves/meltCurve_Q5TIH2_SFT2D2.pdf")</f>
        <v>Melting_Curves/meltCurve_Q5TIH2_SFT2D2.pdf</v>
      </c>
    </row>
    <row r="3900" spans="1:28" x14ac:dyDescent="0.25">
      <c r="A3900" t="s">
        <v>3904</v>
      </c>
      <c r="B3900">
        <v>0.99193492352474899</v>
      </c>
      <c r="C3900">
        <v>0.84843228073723098</v>
      </c>
      <c r="D3900">
        <v>0.94877217820026205</v>
      </c>
      <c r="E3900">
        <v>0.75346891340010502</v>
      </c>
      <c r="F3900">
        <v>0.38110385039201</v>
      </c>
      <c r="G3900">
        <v>0.23025791213689401</v>
      </c>
      <c r="H3900">
        <v>8.2952469458814099E-2</v>
      </c>
      <c r="I3900">
        <v>7.1612862156715695E-2</v>
      </c>
      <c r="J3900">
        <v>8.1164329727435897E-2</v>
      </c>
      <c r="K3900">
        <v>0.11467297420558301</v>
      </c>
      <c r="L3900">
        <v>1074.06937509762</v>
      </c>
      <c r="M3900">
        <v>20.769003627448399</v>
      </c>
      <c r="N3900">
        <v>52.122014223815597</v>
      </c>
      <c r="O3900">
        <v>51.242757303274203</v>
      </c>
      <c r="P3900">
        <v>-9.3744599007896695E-2</v>
      </c>
      <c r="Q3900">
        <v>7.4853046543641596E-2</v>
      </c>
      <c r="R3900">
        <v>0.98226365601473797</v>
      </c>
      <c r="S3900" t="s">
        <v>10570</v>
      </c>
      <c r="T3900" t="s">
        <v>13338</v>
      </c>
      <c r="U3900" t="s">
        <v>13338</v>
      </c>
      <c r="V3900" t="s">
        <v>13338</v>
      </c>
      <c r="W3900" t="s">
        <v>17185</v>
      </c>
      <c r="X3900">
        <v>3</v>
      </c>
      <c r="Y3900" t="s">
        <v>23698</v>
      </c>
      <c r="Z3900" t="s">
        <v>30315</v>
      </c>
      <c r="AA3900">
        <v>0.44808591852570429</v>
      </c>
      <c r="AB3900" t="str">
        <f>HYPERLINK("Melting_Curves/meltCurve_Q5TZA2_CROCC.pdf", "Melting_Curves/meltCurve_Q5TZA2_CROCC.pdf")</f>
        <v>Melting_Curves/meltCurve_Q5TZA2_CROCC.pdf</v>
      </c>
    </row>
    <row r="3901" spans="1:28" x14ac:dyDescent="0.25">
      <c r="A3901" t="s">
        <v>3905</v>
      </c>
      <c r="B3901">
        <v>0.99193492352474899</v>
      </c>
      <c r="C3901">
        <v>0.72189910702888305</v>
      </c>
      <c r="D3901">
        <v>0.723477252211295</v>
      </c>
      <c r="E3901">
        <v>0.50361791649848098</v>
      </c>
      <c r="F3901">
        <v>0.39363096236141698</v>
      </c>
      <c r="G3901">
        <v>0.38990576161380602</v>
      </c>
      <c r="H3901">
        <v>0.29853570179569899</v>
      </c>
      <c r="I3901">
        <v>0.32264606103752103</v>
      </c>
      <c r="J3901">
        <v>0.37031636518009498</v>
      </c>
      <c r="K3901">
        <v>0.43438772781712598</v>
      </c>
      <c r="L3901">
        <v>682.87641147808699</v>
      </c>
      <c r="M3901">
        <v>14.9554658468703</v>
      </c>
      <c r="N3901">
        <v>49.634448019542901</v>
      </c>
      <c r="O3901">
        <v>44.867610714191002</v>
      </c>
      <c r="P3901">
        <v>-5.4253795919188302E-2</v>
      </c>
      <c r="Q3901">
        <v>0.349003472603922</v>
      </c>
      <c r="R3901">
        <v>0.93157900190756004</v>
      </c>
      <c r="S3901" t="s">
        <v>10571</v>
      </c>
      <c r="T3901" t="s">
        <v>13338</v>
      </c>
      <c r="U3901" t="s">
        <v>13338</v>
      </c>
      <c r="V3901" t="s">
        <v>13338</v>
      </c>
      <c r="W3901" t="s">
        <v>17186</v>
      </c>
      <c r="X3901">
        <v>1</v>
      </c>
      <c r="Y3901" t="s">
        <v>23699</v>
      </c>
      <c r="Z3901" t="s">
        <v>30316</v>
      </c>
      <c r="AA3901">
        <v>0.49154423631710542</v>
      </c>
      <c r="AB3901" t="str">
        <f>HYPERLINK("Melting_Curves/meltCurve_Q5U5Q3_MEX3C.pdf", "Melting_Curves/meltCurve_Q5U5Q3_MEX3C.pdf")</f>
        <v>Melting_Curves/meltCurve_Q5U5Q3_MEX3C.pdf</v>
      </c>
    </row>
    <row r="3902" spans="1:28" x14ac:dyDescent="0.25">
      <c r="A3902" t="s">
        <v>3906</v>
      </c>
      <c r="B3902">
        <v>0.99193492352474899</v>
      </c>
      <c r="C3902">
        <v>0.84133125268260101</v>
      </c>
      <c r="D3902">
        <v>0.82872917570747695</v>
      </c>
      <c r="E3902">
        <v>0.71207226083100295</v>
      </c>
      <c r="F3902">
        <v>0.34944793395650298</v>
      </c>
      <c r="G3902">
        <v>0.17082821722323299</v>
      </c>
      <c r="H3902">
        <v>7.3066536054805606E-2</v>
      </c>
      <c r="I3902">
        <v>7.7360216042120997E-2</v>
      </c>
      <c r="J3902">
        <v>9.6610884824230206E-2</v>
      </c>
      <c r="K3902">
        <v>0.105335085188464</v>
      </c>
      <c r="L3902">
        <v>836.59472251110901</v>
      </c>
      <c r="M3902">
        <v>16.419618143448201</v>
      </c>
      <c r="N3902">
        <v>51.306406674653601</v>
      </c>
      <c r="O3902">
        <v>50.213162958236801</v>
      </c>
      <c r="P3902">
        <v>-7.7359683700542498E-2</v>
      </c>
      <c r="Q3902">
        <v>5.3766255309241902E-2</v>
      </c>
      <c r="R3902">
        <v>0.97874799402615298</v>
      </c>
      <c r="S3902" t="s">
        <v>10572</v>
      </c>
      <c r="T3902" t="s">
        <v>13338</v>
      </c>
      <c r="U3902" t="s">
        <v>13338</v>
      </c>
      <c r="V3902" t="s">
        <v>13338</v>
      </c>
      <c r="W3902" t="s">
        <v>17187</v>
      </c>
      <c r="X3902">
        <v>4</v>
      </c>
      <c r="Y3902" t="s">
        <v>23700</v>
      </c>
      <c r="Z3902" t="s">
        <v>30317</v>
      </c>
      <c r="AA3902">
        <v>0.41794793204507169</v>
      </c>
      <c r="AB3902" t="str">
        <f>HYPERLINK("Melting_Curves/meltCurve_Q5U5X0_LYRM7.pdf", "Melting_Curves/meltCurve_Q5U5X0_LYRM7.pdf")</f>
        <v>Melting_Curves/meltCurve_Q5U5X0_LYRM7.pdf</v>
      </c>
    </row>
    <row r="3903" spans="1:28" x14ac:dyDescent="0.25">
      <c r="A3903" t="s">
        <v>3907</v>
      </c>
      <c r="B3903">
        <v>0.99193492352474899</v>
      </c>
      <c r="C3903">
        <v>0.27764670847672701</v>
      </c>
      <c r="D3903">
        <v>0.30407268713164698</v>
      </c>
      <c r="E3903">
        <v>0.102280959085902</v>
      </c>
      <c r="F3903">
        <v>7.4721885339545505E-2</v>
      </c>
      <c r="G3903">
        <v>4.0865924171989497E-2</v>
      </c>
      <c r="H3903">
        <v>3.8302868791828502E-2</v>
      </c>
      <c r="I3903">
        <v>5.0928280071467699E-2</v>
      </c>
      <c r="J3903">
        <v>6.8214502177232905E-2</v>
      </c>
      <c r="K3903">
        <v>7.3429597099301594E-2</v>
      </c>
      <c r="L3903">
        <v>2795.6501280904199</v>
      </c>
      <c r="M3903">
        <v>66.477045030423596</v>
      </c>
      <c r="N3903">
        <v>42.1848464148689</v>
      </c>
      <c r="O3903">
        <v>42.016385302011898</v>
      </c>
      <c r="P3903">
        <v>-0.35878418899574299</v>
      </c>
      <c r="Q3903">
        <v>9.2931903611085706E-2</v>
      </c>
      <c r="R3903">
        <v>0.93213747411403802</v>
      </c>
      <c r="S3903" t="s">
        <v>10573</v>
      </c>
      <c r="T3903" t="s">
        <v>13338</v>
      </c>
      <c r="U3903" t="s">
        <v>13338</v>
      </c>
      <c r="V3903" t="s">
        <v>13338</v>
      </c>
      <c r="W3903" t="s">
        <v>17188</v>
      </c>
      <c r="X3903">
        <v>17</v>
      </c>
      <c r="Y3903" t="s">
        <v>23701</v>
      </c>
      <c r="Z3903" t="s">
        <v>30318</v>
      </c>
      <c r="AA3903">
        <v>0.1565412311257606</v>
      </c>
      <c r="AB3903" t="str">
        <f>HYPERLINK("Melting_Curves/meltCurve_Q5UIP0_2_RIF1.pdf", "Melting_Curves/meltCurve_Q5UIP0_2_RIF1.pdf")</f>
        <v>Melting_Curves/meltCurve_Q5UIP0_2_RIF1.pdf</v>
      </c>
    </row>
    <row r="3904" spans="1:28" x14ac:dyDescent="0.25">
      <c r="A3904" t="s">
        <v>3908</v>
      </c>
      <c r="B3904">
        <v>0.99193492352474899</v>
      </c>
      <c r="C3904">
        <v>0.774463776227027</v>
      </c>
      <c r="D3904">
        <v>0.78568499718558504</v>
      </c>
      <c r="E3904">
        <v>0.291830902635</v>
      </c>
      <c r="F3904">
        <v>0.13018539026585399</v>
      </c>
      <c r="G3904">
        <v>5.6224240220734897E-2</v>
      </c>
      <c r="H3904">
        <v>3.5889864501498198E-2</v>
      </c>
      <c r="I3904">
        <v>3.9414833694027901E-2</v>
      </c>
      <c r="J3904">
        <v>4.9480547472605801E-2</v>
      </c>
      <c r="K3904">
        <v>4.7313381456584903E-2</v>
      </c>
      <c r="L3904">
        <v>973.11957783214598</v>
      </c>
      <c r="M3904">
        <v>20.408224710822399</v>
      </c>
      <c r="N3904">
        <v>47.835093137830498</v>
      </c>
      <c r="O3904">
        <v>47.231971247425697</v>
      </c>
      <c r="P3904">
        <v>-0.10462484691761099</v>
      </c>
      <c r="Q3904">
        <v>3.14710211011053E-2</v>
      </c>
      <c r="R3904">
        <v>0.976498249529413</v>
      </c>
      <c r="S3904" t="s">
        <v>10574</v>
      </c>
      <c r="T3904" t="s">
        <v>13338</v>
      </c>
      <c r="U3904" t="s">
        <v>13338</v>
      </c>
      <c r="V3904" t="s">
        <v>13338</v>
      </c>
      <c r="W3904" t="s">
        <v>17189</v>
      </c>
      <c r="X3904">
        <v>9</v>
      </c>
      <c r="Y3904" t="s">
        <v>23702</v>
      </c>
      <c r="Z3904" t="s">
        <v>30319</v>
      </c>
      <c r="AA3904">
        <v>0.29277823633283317</v>
      </c>
      <c r="AB3904" t="str">
        <f>HYPERLINK("Melting_Curves/meltCurve_Q5VIR6_4_VPS53.pdf", "Melting_Curves/meltCurve_Q5VIR6_4_VPS53.pdf")</f>
        <v>Melting_Curves/meltCurve_Q5VIR6_4_VPS53.pdf</v>
      </c>
    </row>
    <row r="3905" spans="1:28" x14ac:dyDescent="0.25">
      <c r="A3905" t="s">
        <v>3909</v>
      </c>
      <c r="B3905">
        <v>0.99193492352474899</v>
      </c>
      <c r="C3905">
        <v>1.1128659697649499</v>
      </c>
      <c r="D3905">
        <v>1.11938795962672</v>
      </c>
      <c r="E3905">
        <v>0.97986075451935795</v>
      </c>
      <c r="F3905">
        <v>0.72457987484209196</v>
      </c>
      <c r="G3905">
        <v>0.33409555311793898</v>
      </c>
      <c r="H3905">
        <v>0.159757914419425</v>
      </c>
      <c r="I3905">
        <v>0.17976685132073</v>
      </c>
      <c r="J3905">
        <v>0.192981737340435</v>
      </c>
      <c r="K3905">
        <v>0.178401778776444</v>
      </c>
      <c r="L3905">
        <v>1921.2058041569101</v>
      </c>
      <c r="M3905">
        <v>35.372964139195098</v>
      </c>
      <c r="N3905">
        <v>54.9798954530958</v>
      </c>
      <c r="O3905">
        <v>54.140124650944998</v>
      </c>
      <c r="P3905">
        <v>-0.134841232758698</v>
      </c>
      <c r="Q3905">
        <v>0.17447731150122101</v>
      </c>
      <c r="R3905">
        <v>0.98210024360169901</v>
      </c>
      <c r="S3905" t="s">
        <v>10575</v>
      </c>
      <c r="T3905" t="s">
        <v>13338</v>
      </c>
      <c r="U3905" t="s">
        <v>13338</v>
      </c>
      <c r="V3905" t="s">
        <v>13338</v>
      </c>
      <c r="W3905" t="s">
        <v>17190</v>
      </c>
      <c r="X3905">
        <v>11</v>
      </c>
      <c r="Y3905" t="s">
        <v>23703</v>
      </c>
      <c r="Z3905" t="s">
        <v>30320</v>
      </c>
      <c r="AA3905">
        <v>0.57227629657223611</v>
      </c>
      <c r="AB3905" t="str">
        <f>HYPERLINK("Melting_Curves/meltCurve_Q5VSL9_STRIP1.pdf", "Melting_Curves/meltCurve_Q5VSL9_STRIP1.pdf")</f>
        <v>Melting_Curves/meltCurve_Q5VSL9_STRIP1.pdf</v>
      </c>
    </row>
    <row r="3906" spans="1:28" x14ac:dyDescent="0.25">
      <c r="A3906" t="s">
        <v>3910</v>
      </c>
      <c r="B3906">
        <v>0.99193492352474899</v>
      </c>
      <c r="C3906">
        <v>0.95478771284419395</v>
      </c>
      <c r="D3906">
        <v>0.883355021342207</v>
      </c>
      <c r="E3906">
        <v>0.78571358596393004</v>
      </c>
      <c r="F3906">
        <v>0.53767525882338296</v>
      </c>
      <c r="G3906">
        <v>0.29346354196027402</v>
      </c>
      <c r="H3906">
        <v>0.11154550877396401</v>
      </c>
      <c r="I3906">
        <v>0.119344209017512</v>
      </c>
      <c r="J3906">
        <v>0.141572871327733</v>
      </c>
      <c r="K3906">
        <v>0.165549184137772</v>
      </c>
      <c r="L3906">
        <v>947.67329834825398</v>
      </c>
      <c r="M3906">
        <v>18.008621742810799</v>
      </c>
      <c r="N3906">
        <v>53.3234589730436</v>
      </c>
      <c r="O3906">
        <v>51.987318042373303</v>
      </c>
      <c r="P3906">
        <v>-7.7486676558633602E-2</v>
      </c>
      <c r="Q3906">
        <v>0.105289792265789</v>
      </c>
      <c r="R3906">
        <v>0.990025748473226</v>
      </c>
      <c r="S3906" t="s">
        <v>10576</v>
      </c>
      <c r="T3906" t="s">
        <v>13338</v>
      </c>
      <c r="U3906" t="s">
        <v>13338</v>
      </c>
      <c r="V3906" t="s">
        <v>13338</v>
      </c>
      <c r="W3906" t="s">
        <v>17191</v>
      </c>
      <c r="X3906">
        <v>13</v>
      </c>
      <c r="Y3906" t="s">
        <v>23704</v>
      </c>
      <c r="Z3906" t="s">
        <v>30321</v>
      </c>
      <c r="AA3906">
        <v>0.49650053558266988</v>
      </c>
      <c r="AB3906" t="str">
        <f>HYPERLINK("Melting_Curves/meltCurve_Q5VST6_ABHD17B.pdf", "Melting_Curves/meltCurve_Q5VST6_ABHD17B.pdf")</f>
        <v>Melting_Curves/meltCurve_Q5VST6_ABHD17B.pdf</v>
      </c>
    </row>
    <row r="3907" spans="1:28" x14ac:dyDescent="0.25">
      <c r="A3907" t="s">
        <v>3911</v>
      </c>
      <c r="B3907">
        <v>0.99193492352474899</v>
      </c>
      <c r="C3907">
        <v>0.31303465996996299</v>
      </c>
      <c r="D3907">
        <v>1.1962273122844</v>
      </c>
      <c r="E3907">
        <v>0.50045644598056704</v>
      </c>
      <c r="F3907">
        <v>0.61389230953964502</v>
      </c>
      <c r="G3907">
        <v>0.21675538220616899</v>
      </c>
      <c r="H3907">
        <v>8.4294530102684798E-2</v>
      </c>
      <c r="I3907">
        <v>9.8732880177600096E-2</v>
      </c>
      <c r="J3907">
        <v>0.111137197129263</v>
      </c>
      <c r="K3907">
        <v>0.142602223224195</v>
      </c>
      <c r="L3907">
        <v>479.56502054375898</v>
      </c>
      <c r="M3907">
        <v>9.2627895551772603</v>
      </c>
      <c r="N3907">
        <v>51.773275736404102</v>
      </c>
      <c r="O3907">
        <v>49.531809509926099</v>
      </c>
      <c r="P3907">
        <v>-4.6782165498958701E-2</v>
      </c>
      <c r="Q3907">
        <v>0</v>
      </c>
      <c r="R3907">
        <v>0.59551427238427401</v>
      </c>
      <c r="S3907" t="s">
        <v>10577</v>
      </c>
      <c r="T3907" t="s">
        <v>13338</v>
      </c>
      <c r="U3907" t="s">
        <v>13338</v>
      </c>
      <c r="V3907" t="s">
        <v>13338</v>
      </c>
      <c r="W3907" t="s">
        <v>17192</v>
      </c>
      <c r="X3907">
        <v>2</v>
      </c>
      <c r="Y3907" t="s">
        <v>23705</v>
      </c>
      <c r="Z3907" t="s">
        <v>30322</v>
      </c>
      <c r="AA3907">
        <v>0.4345810338693924</v>
      </c>
      <c r="AB3907" t="str">
        <f>HYPERLINK("Melting_Curves/meltCurve_Q5VSY0_2_GKAP1.pdf", "Melting_Curves/meltCurve_Q5VSY0_2_GKAP1.pdf")</f>
        <v>Melting_Curves/meltCurve_Q5VSY0_2_GKAP1.pdf</v>
      </c>
    </row>
    <row r="3908" spans="1:28" x14ac:dyDescent="0.25">
      <c r="A3908" t="s">
        <v>3912</v>
      </c>
      <c r="B3908">
        <v>0.99193492352474899</v>
      </c>
      <c r="C3908">
        <v>1.0394733575055899</v>
      </c>
      <c r="D3908">
        <v>0.77653516845610304</v>
      </c>
      <c r="E3908">
        <v>0.55506615985562702</v>
      </c>
      <c r="F3908">
        <v>0.341519705918987</v>
      </c>
      <c r="G3908">
        <v>0.35846436842358698</v>
      </c>
      <c r="H3908">
        <v>0.43643976970863702</v>
      </c>
      <c r="I3908">
        <v>0.74847642711968598</v>
      </c>
      <c r="J3908">
        <v>0.784039771599367</v>
      </c>
      <c r="K3908">
        <v>0.551720466674541</v>
      </c>
      <c r="L3908">
        <v>11502.7333415335</v>
      </c>
      <c r="M3908">
        <v>250</v>
      </c>
      <c r="O3908">
        <v>46.007988885804998</v>
      </c>
      <c r="P3908">
        <v>-0.625720782048652</v>
      </c>
      <c r="Q3908">
        <v>0.53938952310332</v>
      </c>
      <c r="R3908">
        <v>0.66174199797181299</v>
      </c>
      <c r="S3908" t="s">
        <v>10578</v>
      </c>
      <c r="T3908" t="s">
        <v>13338</v>
      </c>
      <c r="U3908" t="s">
        <v>13338</v>
      </c>
      <c r="V3908" t="s">
        <v>13338</v>
      </c>
      <c r="W3908" t="s">
        <v>17193</v>
      </c>
      <c r="X3908">
        <v>2</v>
      </c>
      <c r="Y3908" t="s">
        <v>23706</v>
      </c>
      <c r="Z3908" t="s">
        <v>30323</v>
      </c>
      <c r="AA3908">
        <v>0.6317166795078073</v>
      </c>
      <c r="AB3908" t="str">
        <f>HYPERLINK("Melting_Curves/meltCurve_Q5VT06_CEP350.pdf", "Melting_Curves/meltCurve_Q5VT06_CEP350.pdf")</f>
        <v>Melting_Curves/meltCurve_Q5VT06_CEP350.pdf</v>
      </c>
    </row>
    <row r="3909" spans="1:28" x14ac:dyDescent="0.25">
      <c r="A3909" t="s">
        <v>3913</v>
      </c>
      <c r="B3909">
        <v>0.99193492352474899</v>
      </c>
      <c r="C3909">
        <v>0.72736396927713998</v>
      </c>
      <c r="D3909">
        <v>0.63734577421729199</v>
      </c>
      <c r="E3909">
        <v>0.18157395697180201</v>
      </c>
      <c r="F3909">
        <v>0.13767492426400499</v>
      </c>
      <c r="G3909">
        <v>0.103523680975584</v>
      </c>
      <c r="H3909">
        <v>0.10689840862427701</v>
      </c>
      <c r="I3909">
        <v>0.16403197429951399</v>
      </c>
      <c r="J3909">
        <v>0.214945122548894</v>
      </c>
      <c r="K3909">
        <v>0.27967496197810698</v>
      </c>
      <c r="L3909">
        <v>1043.10310513369</v>
      </c>
      <c r="M3909">
        <v>22.9260128304918</v>
      </c>
      <c r="N3909">
        <v>46.253083450298298</v>
      </c>
      <c r="O3909">
        <v>45.1567420965401</v>
      </c>
      <c r="P3909">
        <v>-0.107127813457712</v>
      </c>
      <c r="Q3909">
        <v>0.15598911613979199</v>
      </c>
      <c r="R3909">
        <v>0.93398683444527797</v>
      </c>
      <c r="S3909" t="s">
        <v>10579</v>
      </c>
      <c r="T3909" t="s">
        <v>13338</v>
      </c>
      <c r="U3909" t="s">
        <v>13338</v>
      </c>
      <c r="V3909" t="s">
        <v>13338</v>
      </c>
      <c r="W3909" t="s">
        <v>17194</v>
      </c>
      <c r="X3909">
        <v>16</v>
      </c>
      <c r="Y3909" t="s">
        <v>23707</v>
      </c>
      <c r="Z3909" t="s">
        <v>30324</v>
      </c>
      <c r="AA3909">
        <v>0.32055515396278472</v>
      </c>
      <c r="AB3909" t="str">
        <f>HYPERLINK("Melting_Curves/meltCurve_Q5VT52_RPRD2.pdf", "Melting_Curves/meltCurve_Q5VT52_RPRD2.pdf")</f>
        <v>Melting_Curves/meltCurve_Q5VT52_RPRD2.pdf</v>
      </c>
    </row>
    <row r="3910" spans="1:28" x14ac:dyDescent="0.25">
      <c r="A3910" t="s">
        <v>3914</v>
      </c>
      <c r="B3910">
        <v>0.99193492352474899</v>
      </c>
      <c r="C3910">
        <v>0.81119996313162201</v>
      </c>
      <c r="D3910">
        <v>1.02418518174474</v>
      </c>
      <c r="E3910">
        <v>0.74581426163532205</v>
      </c>
      <c r="F3910">
        <v>0.65515609752936599</v>
      </c>
      <c r="G3910">
        <v>0.41512308110915402</v>
      </c>
      <c r="H3910">
        <v>0.29786221461224899</v>
      </c>
      <c r="I3910">
        <v>0.30827549911725499</v>
      </c>
      <c r="J3910">
        <v>0.34710219434625</v>
      </c>
      <c r="K3910">
        <v>0.33810049704095702</v>
      </c>
      <c r="L3910">
        <v>902.80626696584898</v>
      </c>
      <c r="M3910">
        <v>17.293442579513201</v>
      </c>
      <c r="N3910">
        <v>55.1045565786659</v>
      </c>
      <c r="O3910">
        <v>51.522056776867203</v>
      </c>
      <c r="P3910">
        <v>-5.8849511680053798E-2</v>
      </c>
      <c r="Q3910">
        <v>0.29872326326495802</v>
      </c>
      <c r="R3910">
        <v>0.93283765122613105</v>
      </c>
      <c r="S3910" t="s">
        <v>10580</v>
      </c>
      <c r="T3910" t="s">
        <v>13338</v>
      </c>
      <c r="U3910" t="s">
        <v>13338</v>
      </c>
      <c r="V3910" t="s">
        <v>13338</v>
      </c>
      <c r="W3910" t="s">
        <v>17195</v>
      </c>
      <c r="X3910">
        <v>6</v>
      </c>
      <c r="Y3910" t="s">
        <v>23708</v>
      </c>
      <c r="Z3910" t="s">
        <v>30325</v>
      </c>
      <c r="AA3910">
        <v>0.59646768280174911</v>
      </c>
      <c r="AB3910" t="str">
        <f>HYPERLINK("Melting_Curves/meltCurve_Q5VT94_GHITM.pdf", "Melting_Curves/meltCurve_Q5VT94_GHITM.pdf")</f>
        <v>Melting_Curves/meltCurve_Q5VT94_GHITM.pdf</v>
      </c>
    </row>
    <row r="3911" spans="1:28" x14ac:dyDescent="0.25">
      <c r="A3911" t="s">
        <v>3915</v>
      </c>
      <c r="B3911">
        <v>0.99193492352474899</v>
      </c>
      <c r="C3911">
        <v>0.96980843285333596</v>
      </c>
      <c r="D3911">
        <v>0.97173452120986703</v>
      </c>
      <c r="E3911">
        <v>0.62368202037597498</v>
      </c>
      <c r="F3911">
        <v>0.50041189102698003</v>
      </c>
      <c r="G3911">
        <v>0.20924870801609</v>
      </c>
      <c r="H3911">
        <v>0.12852808661922699</v>
      </c>
      <c r="I3911">
        <v>9.3291137873969504E-2</v>
      </c>
      <c r="J3911">
        <v>0.182836033558716</v>
      </c>
      <c r="K3911">
        <v>4.7245072138191499E-2</v>
      </c>
      <c r="L3911">
        <v>904.04605114274</v>
      </c>
      <c r="M3911">
        <v>17.4912884223309</v>
      </c>
      <c r="N3911">
        <v>52.2300888068565</v>
      </c>
      <c r="O3911">
        <v>51.024119858083502</v>
      </c>
      <c r="P3911">
        <v>-7.8561781284340299E-2</v>
      </c>
      <c r="Q3911">
        <v>8.3355274340691399E-2</v>
      </c>
      <c r="R3911">
        <v>0.98095219329030803</v>
      </c>
      <c r="S3911" t="s">
        <v>10581</v>
      </c>
      <c r="T3911" t="s">
        <v>13338</v>
      </c>
      <c r="U3911" t="s">
        <v>13338</v>
      </c>
      <c r="V3911" t="s">
        <v>13338</v>
      </c>
      <c r="W3911" t="s">
        <v>17196</v>
      </c>
      <c r="X3911">
        <v>2</v>
      </c>
      <c r="Y3911" t="s">
        <v>23709</v>
      </c>
      <c r="Z3911" t="s">
        <v>30326</v>
      </c>
      <c r="AA3911">
        <v>0.45649778965609972</v>
      </c>
      <c r="AB3911" t="str">
        <f>HYPERLINK("Melting_Curves/meltCurve_Q5VT99_LRRC38.pdf", "Melting_Curves/meltCurve_Q5VT99_LRRC38.pdf")</f>
        <v>Melting_Curves/meltCurve_Q5VT99_LRRC38.pdf</v>
      </c>
    </row>
    <row r="3912" spans="1:28" x14ac:dyDescent="0.25">
      <c r="A3912" t="s">
        <v>3916</v>
      </c>
      <c r="B3912">
        <v>0.99193492352474899</v>
      </c>
      <c r="C3912">
        <v>0.68521429699596903</v>
      </c>
      <c r="D3912">
        <v>0.80325350396891104</v>
      </c>
      <c r="E3912">
        <v>0.61146260625569104</v>
      </c>
      <c r="F3912">
        <v>0.30937418995648203</v>
      </c>
      <c r="G3912">
        <v>0.11839289147878899</v>
      </c>
      <c r="H3912">
        <v>8.6089185530451404E-2</v>
      </c>
      <c r="I3912">
        <v>0.104934500282686</v>
      </c>
      <c r="J3912">
        <v>0.13160618137619701</v>
      </c>
      <c r="K3912">
        <v>0.19302252555260799</v>
      </c>
      <c r="L3912">
        <v>646.61172941585801</v>
      </c>
      <c r="M3912">
        <v>13.1486616031604</v>
      </c>
      <c r="N3912">
        <v>49.828178284958298</v>
      </c>
      <c r="O3912">
        <v>48.081209243122601</v>
      </c>
      <c r="P3912">
        <v>-6.2980666911300207E-2</v>
      </c>
      <c r="Q3912">
        <v>7.8940087558988098E-2</v>
      </c>
      <c r="R3912">
        <v>0.92429637228927197</v>
      </c>
      <c r="S3912" t="s">
        <v>10582</v>
      </c>
      <c r="T3912" t="s">
        <v>13338</v>
      </c>
      <c r="U3912" t="s">
        <v>13338</v>
      </c>
      <c r="V3912" t="s">
        <v>13338</v>
      </c>
      <c r="W3912" t="s">
        <v>17197</v>
      </c>
      <c r="X3912">
        <v>7</v>
      </c>
      <c r="Y3912" t="s">
        <v>23710</v>
      </c>
      <c r="Z3912" t="s">
        <v>30327</v>
      </c>
      <c r="AA3912">
        <v>0.38934642027890631</v>
      </c>
      <c r="AB3912" t="str">
        <f>HYPERLINK("Melting_Curves/meltCurve_Q5VTL8_PRPF38B.pdf", "Melting_Curves/meltCurve_Q5VTL8_PRPF38B.pdf")</f>
        <v>Melting_Curves/meltCurve_Q5VTL8_PRPF38B.pdf</v>
      </c>
    </row>
    <row r="3913" spans="1:28" x14ac:dyDescent="0.25">
      <c r="A3913" t="s">
        <v>3917</v>
      </c>
      <c r="B3913">
        <v>0.99193492352474899</v>
      </c>
      <c r="C3913">
        <v>0.91232880993838406</v>
      </c>
      <c r="D3913">
        <v>0.56523923819008504</v>
      </c>
      <c r="E3913">
        <v>0.218758796905304</v>
      </c>
      <c r="F3913">
        <v>0.151537610970995</v>
      </c>
      <c r="G3913">
        <v>0.10418389287440399</v>
      </c>
      <c r="H3913">
        <v>7.2061595938090195E-2</v>
      </c>
      <c r="I3913">
        <v>8.3268959879210194E-2</v>
      </c>
      <c r="J3913">
        <v>9.5686220959469701E-2</v>
      </c>
      <c r="K3913">
        <v>9.7460548202586594E-2</v>
      </c>
      <c r="L3913">
        <v>1241.5769010008901</v>
      </c>
      <c r="M3913">
        <v>26.870274969691501</v>
      </c>
      <c r="N3913">
        <v>46.569169161236601</v>
      </c>
      <c r="O3913">
        <v>45.952686468244799</v>
      </c>
      <c r="P3913">
        <v>-0.13237921839640199</v>
      </c>
      <c r="Q3913">
        <v>9.4446294978384096E-2</v>
      </c>
      <c r="R3913">
        <v>0.99826700247003797</v>
      </c>
      <c r="S3913" t="s">
        <v>10583</v>
      </c>
      <c r="T3913" t="s">
        <v>13338</v>
      </c>
      <c r="U3913" t="s">
        <v>13338</v>
      </c>
      <c r="V3913" t="s">
        <v>13338</v>
      </c>
      <c r="W3913" t="s">
        <v>17198</v>
      </c>
      <c r="X3913">
        <v>33</v>
      </c>
      <c r="Y3913" t="s">
        <v>23711</v>
      </c>
      <c r="Z3913" t="s">
        <v>30328</v>
      </c>
      <c r="AA3913">
        <v>0.28881485999924811</v>
      </c>
      <c r="AB3913" t="str">
        <f>HYPERLINK("Melting_Curves/meltCurve_Q5VTR2_RNF20.pdf", "Melting_Curves/meltCurve_Q5VTR2_RNF20.pdf")</f>
        <v>Melting_Curves/meltCurve_Q5VTR2_RNF20.pdf</v>
      </c>
    </row>
    <row r="3914" spans="1:28" x14ac:dyDescent="0.25">
      <c r="A3914" t="s">
        <v>3918</v>
      </c>
      <c r="B3914">
        <v>0.99193492352474899</v>
      </c>
      <c r="C3914">
        <v>0.75707168281441395</v>
      </c>
      <c r="D3914">
        <v>0.97396205963218796</v>
      </c>
      <c r="E3914">
        <v>0.98203645663724903</v>
      </c>
      <c r="F3914">
        <v>0.83216667068154704</v>
      </c>
      <c r="G3914">
        <v>0.70158523004769702</v>
      </c>
      <c r="H3914">
        <v>0.62663972107284605</v>
      </c>
      <c r="I3914">
        <v>0.91628747531342702</v>
      </c>
      <c r="J3914">
        <v>1.27731729243638</v>
      </c>
      <c r="K3914">
        <v>1.4358283506524701</v>
      </c>
      <c r="L3914">
        <v>15000</v>
      </c>
      <c r="M3914">
        <v>224.105976942127</v>
      </c>
      <c r="O3914">
        <v>66.9272891064372</v>
      </c>
      <c r="P3914">
        <v>0.36486680596803001</v>
      </c>
      <c r="Q3914">
        <v>1.4358571149641</v>
      </c>
      <c r="R3914">
        <v>0.42710339985418899</v>
      </c>
      <c r="S3914" t="s">
        <v>10584</v>
      </c>
      <c r="T3914" t="s">
        <v>13338</v>
      </c>
      <c r="U3914" t="s">
        <v>13338</v>
      </c>
      <c r="V3914" t="s">
        <v>13338</v>
      </c>
      <c r="W3914" t="s">
        <v>17199</v>
      </c>
      <c r="X3914">
        <v>48</v>
      </c>
      <c r="Y3914" t="s">
        <v>20950</v>
      </c>
      <c r="Z3914" t="s">
        <v>30329</v>
      </c>
      <c r="AA3914">
        <v>1.044501203015763</v>
      </c>
      <c r="AB3914" t="str">
        <f>HYPERLINK("Melting_Curves/meltCurve_Q5VU58_TPM3.pdf", "Melting_Curves/meltCurve_Q5VU58_TPM3.pdf")</f>
        <v>Melting_Curves/meltCurve_Q5VU58_TPM3.pdf</v>
      </c>
    </row>
    <row r="3915" spans="1:28" x14ac:dyDescent="0.25">
      <c r="A3915" t="s">
        <v>3919</v>
      </c>
      <c r="B3915">
        <v>0.99193492352474899</v>
      </c>
      <c r="C3915">
        <v>1.09459427655619</v>
      </c>
      <c r="D3915">
        <v>1.1261280470801001</v>
      </c>
      <c r="E3915">
        <v>0.717439085440159</v>
      </c>
      <c r="F3915">
        <v>0.24870431618312999</v>
      </c>
      <c r="G3915">
        <v>0.18602343943664201</v>
      </c>
      <c r="H3915">
        <v>0.124743998025208</v>
      </c>
      <c r="I3915">
        <v>0.143061526158798</v>
      </c>
      <c r="J3915">
        <v>0.13595968255993199</v>
      </c>
      <c r="K3915">
        <v>0.158187281307068</v>
      </c>
      <c r="L3915">
        <v>2271.8897055256698</v>
      </c>
      <c r="M3915">
        <v>45.019131364262599</v>
      </c>
      <c r="N3915">
        <v>50.872755140705898</v>
      </c>
      <c r="O3915">
        <v>50.365717518630397</v>
      </c>
      <c r="P3915">
        <v>-0.18961625682430699</v>
      </c>
      <c r="Q3915">
        <v>0.15145896139097001</v>
      </c>
      <c r="R3915">
        <v>0.98224859693709199</v>
      </c>
      <c r="S3915" t="s">
        <v>10585</v>
      </c>
      <c r="T3915" t="s">
        <v>13338</v>
      </c>
      <c r="U3915" t="s">
        <v>13338</v>
      </c>
      <c r="V3915" t="s">
        <v>13338</v>
      </c>
      <c r="W3915" t="s">
        <v>17200</v>
      </c>
      <c r="X3915">
        <v>1</v>
      </c>
      <c r="Y3915" t="s">
        <v>23712</v>
      </c>
      <c r="Z3915" t="s">
        <v>30330</v>
      </c>
      <c r="AA3915">
        <v>0.44979085015026421</v>
      </c>
      <c r="AB3915" t="str">
        <f>HYPERLINK("Melting_Curves/meltCurve_Q5VUD6_2_FAM69B.pdf", "Melting_Curves/meltCurve_Q5VUD6_2_FAM69B.pdf")</f>
        <v>Melting_Curves/meltCurve_Q5VUD6_2_FAM69B.pdf</v>
      </c>
    </row>
    <row r="3916" spans="1:28" x14ac:dyDescent="0.25">
      <c r="A3916" t="s">
        <v>3920</v>
      </c>
      <c r="B3916">
        <v>0.99193492352474899</v>
      </c>
      <c r="C3916">
        <v>1.02874751049347</v>
      </c>
      <c r="D3916">
        <v>0.63392240283032097</v>
      </c>
      <c r="E3916">
        <v>0.584873139353147</v>
      </c>
      <c r="F3916">
        <v>0.34125379404411699</v>
      </c>
      <c r="G3916">
        <v>0.18017758269056999</v>
      </c>
      <c r="H3916">
        <v>8.3232572492050197E-2</v>
      </c>
      <c r="I3916">
        <v>0.100251039340952</v>
      </c>
      <c r="J3916">
        <v>0.12996753847138201</v>
      </c>
      <c r="K3916">
        <v>0</v>
      </c>
      <c r="L3916">
        <v>680.65801184308998</v>
      </c>
      <c r="M3916">
        <v>13.646345669756</v>
      </c>
      <c r="N3916">
        <v>50.167318335029996</v>
      </c>
      <c r="O3916">
        <v>48.8438772964479</v>
      </c>
      <c r="P3916">
        <v>-6.7217096296059597E-2</v>
      </c>
      <c r="Q3916">
        <v>3.7789699037067498E-2</v>
      </c>
      <c r="R3916">
        <v>0.96558503857772404</v>
      </c>
      <c r="S3916" t="s">
        <v>10586</v>
      </c>
      <c r="T3916" t="s">
        <v>13338</v>
      </c>
      <c r="U3916" t="s">
        <v>13338</v>
      </c>
      <c r="V3916" t="s">
        <v>13338</v>
      </c>
      <c r="W3916" t="s">
        <v>17201</v>
      </c>
      <c r="X3916">
        <v>1</v>
      </c>
      <c r="Y3916" t="s">
        <v>23713</v>
      </c>
      <c r="Z3916" t="s">
        <v>30331</v>
      </c>
      <c r="AA3916">
        <v>0.38179514762581179</v>
      </c>
      <c r="AB3916" t="str">
        <f>HYPERLINK("Melting_Curves/meltCurve_Q5VUE5_C1orf53.pdf", "Melting_Curves/meltCurve_Q5VUE5_C1orf53.pdf")</f>
        <v>Melting_Curves/meltCurve_Q5VUE5_C1orf53.pdf</v>
      </c>
    </row>
    <row r="3917" spans="1:28" x14ac:dyDescent="0.25">
      <c r="A3917" t="s">
        <v>3921</v>
      </c>
      <c r="B3917">
        <v>0.99193492352474899</v>
      </c>
      <c r="C3917">
        <v>1.6432018502914501</v>
      </c>
      <c r="D3917">
        <v>0.67506329796949704</v>
      </c>
      <c r="E3917">
        <v>1.2691056531048199</v>
      </c>
      <c r="F3917">
        <v>0.51906809212128402</v>
      </c>
      <c r="G3917">
        <v>0.69638869780198598</v>
      </c>
      <c r="H3917">
        <v>0.55183446634308697</v>
      </c>
      <c r="I3917">
        <v>1.18757182934296</v>
      </c>
      <c r="J3917">
        <v>0.54893946869009602</v>
      </c>
      <c r="K3917">
        <v>0.68860869445272699</v>
      </c>
      <c r="L3917">
        <v>12846.402117371599</v>
      </c>
      <c r="M3917">
        <v>250</v>
      </c>
      <c r="O3917">
        <v>51.3823201378042</v>
      </c>
      <c r="P3917">
        <v>-0.36644811608892702</v>
      </c>
      <c r="Q3917">
        <v>0.69873672975437895</v>
      </c>
      <c r="R3917">
        <v>0.30261518009775901</v>
      </c>
      <c r="S3917" t="s">
        <v>10587</v>
      </c>
      <c r="T3917" t="s">
        <v>13338</v>
      </c>
      <c r="U3917" t="s">
        <v>13338</v>
      </c>
      <c r="V3917" t="s">
        <v>13338</v>
      </c>
      <c r="W3917" t="s">
        <v>17202</v>
      </c>
      <c r="X3917">
        <v>1</v>
      </c>
      <c r="Y3917" t="s">
        <v>23714</v>
      </c>
      <c r="Z3917" t="s">
        <v>30332</v>
      </c>
      <c r="AA3917">
        <v>0.81309941933534313</v>
      </c>
      <c r="AB3917" t="str">
        <f>HYPERLINK("Melting_Curves/meltCurve_Q5VUM1_C6orf57.pdf", "Melting_Curves/meltCurve_Q5VUM1_C6orf57.pdf")</f>
        <v>Melting_Curves/meltCurve_Q5VUM1_C6orf57.pdf</v>
      </c>
    </row>
    <row r="3918" spans="1:28" x14ac:dyDescent="0.25">
      <c r="A3918" t="s">
        <v>3922</v>
      </c>
      <c r="B3918">
        <v>0.99193492352474899</v>
      </c>
      <c r="C3918">
        <v>0.66025104415775304</v>
      </c>
      <c r="D3918">
        <v>0.76495870641845698</v>
      </c>
      <c r="E3918">
        <v>0.389059955571947</v>
      </c>
      <c r="F3918">
        <v>0.24371496767526801</v>
      </c>
      <c r="G3918">
        <v>9.7436266048694695E-2</v>
      </c>
      <c r="H3918">
        <v>6.7514560866684101E-2</v>
      </c>
      <c r="I3918">
        <v>6.0985733808032599E-2</v>
      </c>
      <c r="J3918">
        <v>9.1696930372829805E-2</v>
      </c>
      <c r="K3918">
        <v>5.90688050718381E-2</v>
      </c>
      <c r="L3918">
        <v>616.18512086317605</v>
      </c>
      <c r="M3918">
        <v>12.863291623946401</v>
      </c>
      <c r="N3918">
        <v>48.123230280418198</v>
      </c>
      <c r="O3918">
        <v>46.789177737895102</v>
      </c>
      <c r="P3918">
        <v>-6.67743362354703E-2</v>
      </c>
      <c r="Q3918">
        <v>2.8633932408391401E-2</v>
      </c>
      <c r="R3918">
        <v>0.95285138627028898</v>
      </c>
      <c r="S3918" t="s">
        <v>10588</v>
      </c>
      <c r="T3918" t="s">
        <v>13338</v>
      </c>
      <c r="U3918" t="s">
        <v>13338</v>
      </c>
      <c r="V3918" t="s">
        <v>13338</v>
      </c>
      <c r="W3918" t="s">
        <v>17203</v>
      </c>
      <c r="X3918">
        <v>9</v>
      </c>
      <c r="Y3918" t="s">
        <v>23715</v>
      </c>
      <c r="Z3918" t="s">
        <v>30333</v>
      </c>
      <c r="AA3918">
        <v>0.31824748613506271</v>
      </c>
      <c r="AB3918" t="str">
        <f>HYPERLINK("Melting_Curves/meltCurve_Q5VV42_CDKAL1.pdf", "Melting_Curves/meltCurve_Q5VV42_CDKAL1.pdf")</f>
        <v>Melting_Curves/meltCurve_Q5VV42_CDKAL1.pdf</v>
      </c>
    </row>
    <row r="3919" spans="1:28" x14ac:dyDescent="0.25">
      <c r="A3919" t="s">
        <v>3923</v>
      </c>
      <c r="B3919">
        <v>0.99193492352474899</v>
      </c>
      <c r="C3919">
        <v>0.92780198973538397</v>
      </c>
      <c r="D3919">
        <v>0.79637126330406305</v>
      </c>
      <c r="E3919">
        <v>0.73766776460999495</v>
      </c>
      <c r="F3919">
        <v>0.47674760006309802</v>
      </c>
      <c r="G3919">
        <v>0.44412784778105002</v>
      </c>
      <c r="H3919">
        <v>0.30205108907079298</v>
      </c>
      <c r="I3919">
        <v>0.47814272458906698</v>
      </c>
      <c r="J3919">
        <v>0.40182561949253398</v>
      </c>
      <c r="K3919">
        <v>0.61374369333335699</v>
      </c>
      <c r="L3919">
        <v>899.43391075319505</v>
      </c>
      <c r="M3919">
        <v>18.628658975055401</v>
      </c>
      <c r="N3919">
        <v>54.368310288650697</v>
      </c>
      <c r="O3919">
        <v>47.7362038209004</v>
      </c>
      <c r="P3919">
        <v>-5.4844431487802998E-2</v>
      </c>
      <c r="Q3919">
        <v>0.43786567930957598</v>
      </c>
      <c r="R3919">
        <v>0.86412372742965005</v>
      </c>
      <c r="S3919" t="s">
        <v>10589</v>
      </c>
      <c r="T3919" t="s">
        <v>13338</v>
      </c>
      <c r="U3919" t="s">
        <v>13338</v>
      </c>
      <c r="V3919" t="s">
        <v>13338</v>
      </c>
      <c r="W3919" t="s">
        <v>17204</v>
      </c>
      <c r="X3919">
        <v>4</v>
      </c>
      <c r="Y3919" t="s">
        <v>23716</v>
      </c>
      <c r="Z3919" t="s">
        <v>30334</v>
      </c>
      <c r="AA3919">
        <v>0.60227315537785253</v>
      </c>
      <c r="AB3919" t="str">
        <f>HYPERLINK("Melting_Curves/meltCurve_Q5VV50_ZNF691.pdf", "Melting_Curves/meltCurve_Q5VV50_ZNF691.pdf")</f>
        <v>Melting_Curves/meltCurve_Q5VV50_ZNF691.pdf</v>
      </c>
    </row>
    <row r="3920" spans="1:28" x14ac:dyDescent="0.25">
      <c r="A3920" t="s">
        <v>3924</v>
      </c>
      <c r="B3920">
        <v>0.99193492352474899</v>
      </c>
      <c r="C3920">
        <v>1.26604837993855</v>
      </c>
      <c r="D3920">
        <v>0.90564968606371399</v>
      </c>
      <c r="E3920">
        <v>0.77043698934636196</v>
      </c>
      <c r="F3920">
        <v>0.28047804992977998</v>
      </c>
      <c r="G3920">
        <v>0.33883696010994502</v>
      </c>
      <c r="H3920">
        <v>0.15372826670945899</v>
      </c>
      <c r="I3920">
        <v>0.161551936971081</v>
      </c>
      <c r="J3920">
        <v>8.6790206147295407E-2</v>
      </c>
      <c r="K3920">
        <v>0.110852868290451</v>
      </c>
      <c r="L3920">
        <v>1427.2952427543401</v>
      </c>
      <c r="M3920">
        <v>27.968402588681698</v>
      </c>
      <c r="N3920">
        <v>51.677119435938998</v>
      </c>
      <c r="O3920">
        <v>50.7736640736141</v>
      </c>
      <c r="P3920">
        <v>-0.11743068748030901</v>
      </c>
      <c r="Q3920">
        <v>0.147275595092415</v>
      </c>
      <c r="R3920">
        <v>0.93580032100994104</v>
      </c>
      <c r="S3920" t="s">
        <v>10590</v>
      </c>
      <c r="T3920" t="s">
        <v>13338</v>
      </c>
      <c r="U3920" t="s">
        <v>13338</v>
      </c>
      <c r="V3920" t="s">
        <v>13338</v>
      </c>
      <c r="W3920" t="s">
        <v>17205</v>
      </c>
      <c r="X3920">
        <v>4</v>
      </c>
      <c r="Y3920" t="s">
        <v>23717</v>
      </c>
      <c r="Z3920" t="s">
        <v>30335</v>
      </c>
      <c r="AA3920">
        <v>0.46703357121291622</v>
      </c>
      <c r="AB3920" t="str">
        <f>HYPERLINK("Melting_Curves/meltCurve_Q5VVD7_PLEKHM2.pdf", "Melting_Curves/meltCurve_Q5VVD7_PLEKHM2.pdf")</f>
        <v>Melting_Curves/meltCurve_Q5VVD7_PLEKHM2.pdf</v>
      </c>
    </row>
    <row r="3921" spans="1:28" x14ac:dyDescent="0.25">
      <c r="A3921" t="s">
        <v>3925</v>
      </c>
      <c r="B3921">
        <v>0.99193492352474899</v>
      </c>
      <c r="C3921">
        <v>0.85457281538219498</v>
      </c>
      <c r="D3921">
        <v>0.70723219799501602</v>
      </c>
      <c r="E3921">
        <v>0.374944405300011</v>
      </c>
      <c r="F3921">
        <v>0.231121869265353</v>
      </c>
      <c r="G3921">
        <v>0.165896479279173</v>
      </c>
      <c r="H3921">
        <v>9.2163296470670994E-2</v>
      </c>
      <c r="I3921">
        <v>0.121835712993176</v>
      </c>
      <c r="J3921">
        <v>0.105318786591679</v>
      </c>
      <c r="K3921">
        <v>0.108494046832447</v>
      </c>
      <c r="L3921">
        <v>839.56404493856996</v>
      </c>
      <c r="M3921">
        <v>17.649015220417301</v>
      </c>
      <c r="N3921">
        <v>48.190586036936097</v>
      </c>
      <c r="O3921">
        <v>46.971925653815099</v>
      </c>
      <c r="P3921">
        <v>-8.4390219371591302E-2</v>
      </c>
      <c r="Q3921">
        <v>0.101647732949022</v>
      </c>
      <c r="R3921">
        <v>0.99648383476782199</v>
      </c>
      <c r="S3921" t="s">
        <v>10591</v>
      </c>
      <c r="T3921" t="s">
        <v>13338</v>
      </c>
      <c r="U3921" t="s">
        <v>13338</v>
      </c>
      <c r="V3921" t="s">
        <v>13338</v>
      </c>
      <c r="W3921" t="s">
        <v>17206</v>
      </c>
      <c r="X3921">
        <v>7</v>
      </c>
      <c r="Y3921" t="s">
        <v>23718</v>
      </c>
      <c r="Z3921" t="s">
        <v>30336</v>
      </c>
      <c r="AA3921">
        <v>0.34519537644473408</v>
      </c>
      <c r="AB3921" t="str">
        <f>HYPERLINK("Melting_Curves/meltCurve_Q5VVQ6_2_YOD1.pdf", "Melting_Curves/meltCurve_Q5VVQ6_2_YOD1.pdf")</f>
        <v>Melting_Curves/meltCurve_Q5VVQ6_2_YOD1.pdf</v>
      </c>
    </row>
    <row r="3922" spans="1:28" x14ac:dyDescent="0.25">
      <c r="A3922" t="s">
        <v>3926</v>
      </c>
      <c r="B3922">
        <v>0.99193492352474899</v>
      </c>
      <c r="C3922">
        <v>0.88316982961682999</v>
      </c>
      <c r="D3922">
        <v>0.83546262680021399</v>
      </c>
      <c r="E3922">
        <v>0.44815213266494203</v>
      </c>
      <c r="F3922">
        <v>0.14684949963798599</v>
      </c>
      <c r="G3922">
        <v>8.3164494622581797E-2</v>
      </c>
      <c r="H3922">
        <v>5.1153206204646598E-2</v>
      </c>
      <c r="I3922">
        <v>5.5085442923015399E-2</v>
      </c>
      <c r="J3922">
        <v>6.9401226788324305E-2</v>
      </c>
      <c r="K3922">
        <v>7.1105601667917198E-2</v>
      </c>
      <c r="L3922">
        <v>1140.1195505185899</v>
      </c>
      <c r="M3922">
        <v>23.371178090187399</v>
      </c>
      <c r="N3922">
        <v>49.019719149584702</v>
      </c>
      <c r="O3922">
        <v>48.430221492937498</v>
      </c>
      <c r="P3922">
        <v>-0.114211497479119</v>
      </c>
      <c r="Q3922">
        <v>5.3331732753679403E-2</v>
      </c>
      <c r="R3922">
        <v>0.99404797883672802</v>
      </c>
      <c r="S3922" t="s">
        <v>10592</v>
      </c>
      <c r="T3922" t="s">
        <v>13338</v>
      </c>
      <c r="U3922" t="s">
        <v>13338</v>
      </c>
      <c r="V3922" t="s">
        <v>13338</v>
      </c>
      <c r="W3922" t="s">
        <v>17207</v>
      </c>
      <c r="X3922">
        <v>9</v>
      </c>
      <c r="Y3922" t="s">
        <v>23719</v>
      </c>
      <c r="Z3922" t="s">
        <v>30337</v>
      </c>
      <c r="AA3922">
        <v>0.34012360258791502</v>
      </c>
      <c r="AB3922" t="str">
        <f>HYPERLINK("Melting_Curves/meltCurve_Q5VW32_BROX.pdf", "Melting_Curves/meltCurve_Q5VW32_BROX.pdf")</f>
        <v>Melting_Curves/meltCurve_Q5VW32_BROX.pdf</v>
      </c>
    </row>
    <row r="3923" spans="1:28" x14ac:dyDescent="0.25">
      <c r="A3923" t="s">
        <v>3927</v>
      </c>
      <c r="B3923">
        <v>0.99193492352474899</v>
      </c>
      <c r="C3923">
        <v>0.95402146789814801</v>
      </c>
      <c r="D3923">
        <v>1.1195196513305099</v>
      </c>
      <c r="E3923">
        <v>0.79382842285396804</v>
      </c>
      <c r="F3923">
        <v>0.49392949881114201</v>
      </c>
      <c r="G3923">
        <v>0.110678924703907</v>
      </c>
      <c r="H3923">
        <v>6.0794800981385698E-2</v>
      </c>
      <c r="I3923">
        <v>5.3471541518011201E-2</v>
      </c>
      <c r="J3923">
        <v>6.6573714532776301E-2</v>
      </c>
      <c r="K3923">
        <v>5.8607439817081802E-2</v>
      </c>
      <c r="L3923">
        <v>1497.7425923875601</v>
      </c>
      <c r="M3923">
        <v>28.456411298092299</v>
      </c>
      <c r="N3923">
        <v>52.817862444165002</v>
      </c>
      <c r="O3923">
        <v>52.375017098049199</v>
      </c>
      <c r="P3923">
        <v>-0.12938862609855001</v>
      </c>
      <c r="Q3923">
        <v>4.7430856220369501E-2</v>
      </c>
      <c r="R3923">
        <v>0.98458159386740496</v>
      </c>
      <c r="S3923" t="s">
        <v>10593</v>
      </c>
      <c r="T3923" t="s">
        <v>13338</v>
      </c>
      <c r="U3923" t="s">
        <v>13338</v>
      </c>
      <c r="V3923" t="s">
        <v>13338</v>
      </c>
      <c r="W3923" t="s">
        <v>17208</v>
      </c>
      <c r="X3923">
        <v>9</v>
      </c>
      <c r="Y3923" t="s">
        <v>23720</v>
      </c>
      <c r="Z3923" t="s">
        <v>30338</v>
      </c>
      <c r="AA3923">
        <v>0.45536903535062401</v>
      </c>
      <c r="AB3923" t="str">
        <f>HYPERLINK("Melting_Curves/meltCurve_Q5VW36_FOCAD.pdf", "Melting_Curves/meltCurve_Q5VW36_FOCAD.pdf")</f>
        <v>Melting_Curves/meltCurve_Q5VW36_FOCAD.pdf</v>
      </c>
    </row>
    <row r="3924" spans="1:28" x14ac:dyDescent="0.25">
      <c r="A3924" t="s">
        <v>3928</v>
      </c>
      <c r="B3924">
        <v>0.99193492352474899</v>
      </c>
      <c r="C3924">
        <v>0.86773013546687405</v>
      </c>
      <c r="D3924">
        <v>0.65139803655954498</v>
      </c>
      <c r="E3924">
        <v>0.70430489441837196</v>
      </c>
      <c r="F3924">
        <v>0.57596492009133105</v>
      </c>
      <c r="G3924">
        <v>0.202270727394366</v>
      </c>
      <c r="H3924">
        <v>8.0383804234512204E-2</v>
      </c>
      <c r="I3924">
        <v>8.9374753391810294E-2</v>
      </c>
      <c r="J3924">
        <v>9.9249221991082798E-2</v>
      </c>
      <c r="K3924">
        <v>0.120084998618002</v>
      </c>
      <c r="L3924">
        <v>543.73656309667797</v>
      </c>
      <c r="M3924">
        <v>10.4811727463923</v>
      </c>
      <c r="N3924">
        <v>51.8774445190843</v>
      </c>
      <c r="O3924">
        <v>50.095669004218202</v>
      </c>
      <c r="P3924">
        <v>-5.2327014850647599E-2</v>
      </c>
      <c r="Q3924">
        <v>0</v>
      </c>
      <c r="R3924">
        <v>0.93866010899003904</v>
      </c>
      <c r="S3924" t="s">
        <v>10594</v>
      </c>
      <c r="T3924" t="s">
        <v>13338</v>
      </c>
      <c r="U3924" t="s">
        <v>13338</v>
      </c>
      <c r="V3924" t="s">
        <v>13338</v>
      </c>
      <c r="W3924" t="s">
        <v>16114</v>
      </c>
      <c r="X3924">
        <v>16</v>
      </c>
      <c r="Y3924" t="s">
        <v>22669</v>
      </c>
      <c r="Z3924" t="s">
        <v>30339</v>
      </c>
      <c r="AA3924">
        <v>0.43234696535986611</v>
      </c>
      <c r="AB3924" t="str">
        <f>HYPERLINK("Melting_Curves/meltCurve_Q5VWC4_PSMD4.pdf", "Melting_Curves/meltCurve_Q5VWC4_PSMD4.pdf")</f>
        <v>Melting_Curves/meltCurve_Q5VWC4_PSMD4.pdf</v>
      </c>
    </row>
    <row r="3925" spans="1:28" x14ac:dyDescent="0.25">
      <c r="A3925" t="s">
        <v>3929</v>
      </c>
      <c r="B3925">
        <v>0.99193492352474899</v>
      </c>
      <c r="C3925">
        <v>0.43009365716710901</v>
      </c>
      <c r="D3925">
        <v>0.61337878051884298</v>
      </c>
      <c r="E3925">
        <v>0.26567529675568302</v>
      </c>
      <c r="F3925">
        <v>0.18293175427847999</v>
      </c>
      <c r="G3925">
        <v>9.6083337189931103E-2</v>
      </c>
      <c r="H3925">
        <v>7.1841839626187301E-2</v>
      </c>
      <c r="I3925">
        <v>0.10645819371023001</v>
      </c>
      <c r="J3925">
        <v>0.127404765389213</v>
      </c>
      <c r="K3925">
        <v>0.17816011411266899</v>
      </c>
      <c r="L3925">
        <v>616.02294881822399</v>
      </c>
      <c r="M3925">
        <v>13.8479442571363</v>
      </c>
      <c r="N3925">
        <v>45.241543647508401</v>
      </c>
      <c r="O3925">
        <v>43.587915162092401</v>
      </c>
      <c r="P3925">
        <v>-7.12240845493195E-2</v>
      </c>
      <c r="Q3925">
        <v>0.103381547111811</v>
      </c>
      <c r="R3925">
        <v>0.85514766801074704</v>
      </c>
      <c r="S3925" t="s">
        <v>10595</v>
      </c>
      <c r="T3925" t="s">
        <v>13338</v>
      </c>
      <c r="U3925" t="s">
        <v>13338</v>
      </c>
      <c r="V3925" t="s">
        <v>13338</v>
      </c>
      <c r="W3925" t="s">
        <v>17209</v>
      </c>
      <c r="X3925">
        <v>3</v>
      </c>
      <c r="Y3925" t="s">
        <v>23721</v>
      </c>
      <c r="Z3925" t="s">
        <v>30340</v>
      </c>
      <c r="AA3925">
        <v>0.27336476894977918</v>
      </c>
      <c r="AB3925" t="str">
        <f>HYPERLINK("Melting_Curves/meltCurve_Q5VWG9_TAF3.pdf", "Melting_Curves/meltCurve_Q5VWG9_TAF3.pdf")</f>
        <v>Melting_Curves/meltCurve_Q5VWG9_TAF3.pdf</v>
      </c>
    </row>
    <row r="3926" spans="1:28" x14ac:dyDescent="0.25">
      <c r="A3926" t="s">
        <v>3930</v>
      </c>
      <c r="B3926">
        <v>0.99193492352474899</v>
      </c>
      <c r="C3926">
        <v>0.732418183803064</v>
      </c>
      <c r="D3926">
        <v>1.0405010343057299</v>
      </c>
      <c r="E3926">
        <v>0.76449912324132696</v>
      </c>
      <c r="F3926">
        <v>0.74302914437993095</v>
      </c>
      <c r="G3926">
        <v>0.51603298841945699</v>
      </c>
      <c r="H3926">
        <v>0.37133218683118902</v>
      </c>
      <c r="I3926">
        <v>0.26102429056864301</v>
      </c>
      <c r="J3926">
        <v>0.45531408605767698</v>
      </c>
      <c r="K3926">
        <v>0.48632350324588203</v>
      </c>
      <c r="L3926">
        <v>846.11241281009904</v>
      </c>
      <c r="M3926">
        <v>16.079234443954501</v>
      </c>
      <c r="N3926">
        <v>57.465706273794197</v>
      </c>
      <c r="O3926">
        <v>51.8276985937623</v>
      </c>
      <c r="P3926">
        <v>-4.8783039883988799E-2</v>
      </c>
      <c r="Q3926">
        <v>0.37108493616416099</v>
      </c>
      <c r="R3926">
        <v>0.79594055483165804</v>
      </c>
      <c r="S3926" t="s">
        <v>10596</v>
      </c>
      <c r="T3926" t="s">
        <v>13338</v>
      </c>
      <c r="U3926" t="s">
        <v>13338</v>
      </c>
      <c r="V3926" t="s">
        <v>13338</v>
      </c>
      <c r="W3926" t="s">
        <v>17210</v>
      </c>
      <c r="X3926">
        <v>1</v>
      </c>
      <c r="Y3926" t="s">
        <v>23722</v>
      </c>
      <c r="Z3926" t="s">
        <v>30341</v>
      </c>
      <c r="AA3926">
        <v>0.64807463954920397</v>
      </c>
      <c r="AB3926" t="str">
        <f>HYPERLINK("Melting_Curves/meltCurve_Q5VWP2_FAM46C.pdf", "Melting_Curves/meltCurve_Q5VWP2_FAM46C.pdf")</f>
        <v>Melting_Curves/meltCurve_Q5VWP2_FAM46C.pdf</v>
      </c>
    </row>
    <row r="3927" spans="1:28" x14ac:dyDescent="0.25">
      <c r="A3927" t="s">
        <v>3931</v>
      </c>
      <c r="B3927">
        <v>0.99193492352474899</v>
      </c>
      <c r="C3927">
        <v>0.39119068496812798</v>
      </c>
      <c r="D3927">
        <v>0.73785845615270795</v>
      </c>
      <c r="E3927">
        <v>0.35375823319306099</v>
      </c>
      <c r="F3927">
        <v>0.420966627956051</v>
      </c>
      <c r="G3927">
        <v>0.18879664733461099</v>
      </c>
      <c r="H3927">
        <v>0.11736028112868099</v>
      </c>
      <c r="I3927">
        <v>0.11567111219628699</v>
      </c>
      <c r="J3927">
        <v>0.13505654292168001</v>
      </c>
      <c r="K3927">
        <v>0.110984878552651</v>
      </c>
      <c r="L3927">
        <v>371.69184874542299</v>
      </c>
      <c r="M3927">
        <v>7.8658520841494397</v>
      </c>
      <c r="N3927">
        <v>47.553272600286199</v>
      </c>
      <c r="O3927">
        <v>44.491963357636898</v>
      </c>
      <c r="P3927">
        <v>-4.3182277691782497E-2</v>
      </c>
      <c r="Q3927">
        <v>2.41600392779109E-2</v>
      </c>
      <c r="R3927">
        <v>0.77840443920180102</v>
      </c>
      <c r="S3927" t="s">
        <v>10597</v>
      </c>
      <c r="T3927" t="s">
        <v>13338</v>
      </c>
      <c r="U3927" t="s">
        <v>13338</v>
      </c>
      <c r="V3927" t="s">
        <v>13338</v>
      </c>
      <c r="W3927" t="s">
        <v>17211</v>
      </c>
      <c r="X3927">
        <v>7</v>
      </c>
      <c r="Y3927" t="s">
        <v>23723</v>
      </c>
      <c r="Z3927" t="s">
        <v>30342</v>
      </c>
      <c r="AA3927">
        <v>0.33774600768893148</v>
      </c>
      <c r="AB3927" t="str">
        <f>HYPERLINK("Melting_Curves/meltCurve_Q5VWQ0_RSBN1.pdf", "Melting_Curves/meltCurve_Q5VWQ0_RSBN1.pdf")</f>
        <v>Melting_Curves/meltCurve_Q5VWQ0_RSBN1.pdf</v>
      </c>
    </row>
    <row r="3928" spans="1:28" x14ac:dyDescent="0.25">
      <c r="A3928" t="s">
        <v>3932</v>
      </c>
      <c r="B3928">
        <v>0.99193492352474899</v>
      </c>
      <c r="C3928">
        <v>2.8178056306161801</v>
      </c>
      <c r="D3928">
        <v>4.39349817540859</v>
      </c>
      <c r="E3928">
        <v>3.9199339613297099</v>
      </c>
      <c r="F3928">
        <v>2.5015762941455302</v>
      </c>
      <c r="G3928">
        <v>0.60512363025661597</v>
      </c>
      <c r="H3928">
        <v>0.42961165180090499</v>
      </c>
      <c r="I3928">
        <v>0.68018791636905296</v>
      </c>
      <c r="J3928">
        <v>0.77612329664492397</v>
      </c>
      <c r="K3928">
        <v>1.2190460591879699</v>
      </c>
      <c r="L3928">
        <v>70.039727542200197</v>
      </c>
      <c r="M3928">
        <v>24.262863728979301</v>
      </c>
      <c r="Q3928">
        <v>1.5</v>
      </c>
      <c r="R3928">
        <v>-5.7516089236111699E-2</v>
      </c>
      <c r="S3928" t="s">
        <v>10598</v>
      </c>
      <c r="T3928" t="s">
        <v>13338</v>
      </c>
      <c r="U3928" t="s">
        <v>13338</v>
      </c>
      <c r="V3928" t="s">
        <v>13338</v>
      </c>
      <c r="W3928" t="s">
        <v>17212</v>
      </c>
      <c r="X3928">
        <v>5</v>
      </c>
      <c r="Y3928" t="s">
        <v>23724</v>
      </c>
      <c r="Z3928" t="s">
        <v>30343</v>
      </c>
      <c r="AA3928">
        <v>1.499999999945153</v>
      </c>
      <c r="AB3928" t="str">
        <f>HYPERLINK("Melting_Curves/meltCurve_Q5VWZ2_LYPLAL1.pdf", "Melting_Curves/meltCurve_Q5VWZ2_LYPLAL1.pdf")</f>
        <v>Melting_Curves/meltCurve_Q5VWZ2_LYPLAL1.pdf</v>
      </c>
    </row>
    <row r="3929" spans="1:28" x14ac:dyDescent="0.25">
      <c r="A3929" t="s">
        <v>3933</v>
      </c>
      <c r="B3929">
        <v>0.99193492352474899</v>
      </c>
      <c r="C3929">
        <v>0.59940146154182905</v>
      </c>
      <c r="D3929">
        <v>0.48947886961307902</v>
      </c>
      <c r="E3929">
        <v>0.22067503304076699</v>
      </c>
      <c r="F3929">
        <v>0.15682965562218501</v>
      </c>
      <c r="G3929">
        <v>0.104557404850513</v>
      </c>
      <c r="H3929">
        <v>7.2426994422051402E-2</v>
      </c>
      <c r="I3929">
        <v>9.8868018986596903E-2</v>
      </c>
      <c r="J3929">
        <v>0.128305048747341</v>
      </c>
      <c r="K3929">
        <v>0.16633266190794799</v>
      </c>
      <c r="L3929">
        <v>810.48372964539794</v>
      </c>
      <c r="M3929">
        <v>18.217980306226</v>
      </c>
      <c r="N3929">
        <v>45.109319062704103</v>
      </c>
      <c r="O3929">
        <v>43.962470423785199</v>
      </c>
      <c r="P3929">
        <v>-9.21107751072716E-2</v>
      </c>
      <c r="Q3929">
        <v>0.110938257518822</v>
      </c>
      <c r="R3929">
        <v>0.96415302023622396</v>
      </c>
      <c r="S3929" t="s">
        <v>10599</v>
      </c>
      <c r="T3929" t="s">
        <v>13338</v>
      </c>
      <c r="U3929" t="s">
        <v>13338</v>
      </c>
      <c r="V3929" t="s">
        <v>13338</v>
      </c>
      <c r="W3929" t="s">
        <v>17213</v>
      </c>
      <c r="X3929">
        <v>21</v>
      </c>
      <c r="Y3929" t="s">
        <v>23725</v>
      </c>
      <c r="Z3929" t="s">
        <v>30344</v>
      </c>
      <c r="AA3929">
        <v>0.26382074516372389</v>
      </c>
      <c r="AB3929" t="str">
        <f>HYPERLINK("Melting_Curves/meltCurve_Q5VY93_ARHGEF2.pdf", "Melting_Curves/meltCurve_Q5VY93_ARHGEF2.pdf")</f>
        <v>Melting_Curves/meltCurve_Q5VY93_ARHGEF2.pdf</v>
      </c>
    </row>
    <row r="3930" spans="1:28" x14ac:dyDescent="0.25">
      <c r="A3930" t="s">
        <v>3934</v>
      </c>
      <c r="B3930">
        <v>0.99193492352474899</v>
      </c>
      <c r="C3930">
        <v>0.96120425738820903</v>
      </c>
      <c r="D3930">
        <v>0.868492217847597</v>
      </c>
      <c r="E3930">
        <v>0.90600201740879605</v>
      </c>
      <c r="F3930">
        <v>0.70544877276309303</v>
      </c>
      <c r="G3930">
        <v>0.59994919283090098</v>
      </c>
      <c r="H3930">
        <v>0.38952858613818597</v>
      </c>
      <c r="I3930">
        <v>0.37931842632514001</v>
      </c>
      <c r="J3930">
        <v>0.42763983582336601</v>
      </c>
      <c r="K3930">
        <v>0.35165007368074902</v>
      </c>
      <c r="L3930">
        <v>739.52521123068004</v>
      </c>
      <c r="M3930">
        <v>13.609068094587199</v>
      </c>
      <c r="N3930">
        <v>58.878828679012202</v>
      </c>
      <c r="O3930">
        <v>53.207543173939797</v>
      </c>
      <c r="P3930">
        <v>-4.3177898380195701E-2</v>
      </c>
      <c r="Q3930">
        <v>0.32484680217718198</v>
      </c>
      <c r="R3930">
        <v>0.970369464620089</v>
      </c>
      <c r="S3930" t="s">
        <v>10600</v>
      </c>
      <c r="T3930" t="s">
        <v>13338</v>
      </c>
      <c r="U3930" t="s">
        <v>13338</v>
      </c>
      <c r="V3930" t="s">
        <v>13338</v>
      </c>
      <c r="W3930" t="s">
        <v>17214</v>
      </c>
      <c r="X3930">
        <v>3</v>
      </c>
      <c r="Y3930" t="s">
        <v>23726</v>
      </c>
      <c r="Z3930" t="s">
        <v>30345</v>
      </c>
      <c r="AA3930">
        <v>0.66272311323522348</v>
      </c>
      <c r="AB3930" t="str">
        <f>HYPERLINK("Melting_Curves/meltCurve_Q5VYH8_LY9.pdf", "Melting_Curves/meltCurve_Q5VYH8_LY9.pdf")</f>
        <v>Melting_Curves/meltCurve_Q5VYH8_LY9.pdf</v>
      </c>
    </row>
    <row r="3931" spans="1:28" x14ac:dyDescent="0.25">
      <c r="A3931" t="s">
        <v>3935</v>
      </c>
      <c r="B3931">
        <v>0.99193492352474899</v>
      </c>
      <c r="C3931">
        <v>0.44653415662357998</v>
      </c>
      <c r="D3931">
        <v>0.60852066084031498</v>
      </c>
      <c r="E3931">
        <v>0.17728746788450001</v>
      </c>
      <c r="F3931">
        <v>0.15793777890416799</v>
      </c>
      <c r="G3931">
        <v>6.7347947107736103E-2</v>
      </c>
      <c r="H3931">
        <v>3.6781842025189998E-2</v>
      </c>
      <c r="I3931">
        <v>6.2537345305313005E-2</v>
      </c>
      <c r="J3931">
        <v>5.8567622094908602E-2</v>
      </c>
      <c r="K3931">
        <v>6.5367225976652205E-2</v>
      </c>
      <c r="L3931">
        <v>622.18868147783303</v>
      </c>
      <c r="M3931">
        <v>13.8707256313009</v>
      </c>
      <c r="N3931">
        <v>45.1276960785396</v>
      </c>
      <c r="O3931">
        <v>43.954744312198997</v>
      </c>
      <c r="P3931">
        <v>-7.5744876009252601E-2</v>
      </c>
      <c r="Q3931">
        <v>4.0024252173089997E-2</v>
      </c>
      <c r="R3931">
        <v>0.88596505242419299</v>
      </c>
      <c r="S3931" t="s">
        <v>10601</v>
      </c>
      <c r="T3931" t="s">
        <v>13338</v>
      </c>
      <c r="U3931" t="s">
        <v>13338</v>
      </c>
      <c r="V3931" t="s">
        <v>13338</v>
      </c>
      <c r="W3931" t="s">
        <v>17215</v>
      </c>
      <c r="X3931">
        <v>3</v>
      </c>
      <c r="Y3931" t="s">
        <v>23727</v>
      </c>
      <c r="Z3931" t="s">
        <v>30346</v>
      </c>
      <c r="AA3931">
        <v>0.2322096391123093</v>
      </c>
      <c r="AB3931" t="str">
        <f>HYPERLINK("Melting_Curves/meltCurve_Q5VYS8_6_ZCCHC6.pdf", "Melting_Curves/meltCurve_Q5VYS8_6_ZCCHC6.pdf")</f>
        <v>Melting_Curves/meltCurve_Q5VYS8_6_ZCCHC6.pdf</v>
      </c>
    </row>
    <row r="3932" spans="1:28" x14ac:dyDescent="0.25">
      <c r="A3932" t="s">
        <v>3936</v>
      </c>
      <c r="B3932">
        <v>0.99193492352474899</v>
      </c>
      <c r="C3932">
        <v>0.62529527834106702</v>
      </c>
      <c r="D3932">
        <v>0.61749691357439496</v>
      </c>
      <c r="E3932">
        <v>0.61809962313125599</v>
      </c>
      <c r="F3932">
        <v>0.50442435885326797</v>
      </c>
      <c r="G3932">
        <v>0.17399412129906999</v>
      </c>
      <c r="H3932">
        <v>0.10206952108667899</v>
      </c>
      <c r="I3932">
        <v>0.222443106062227</v>
      </c>
      <c r="J3932">
        <v>0.200153760652025</v>
      </c>
      <c r="K3932">
        <v>0.226262691181218</v>
      </c>
      <c r="L3932">
        <v>421.59276990710498</v>
      </c>
      <c r="M3932">
        <v>8.7043969766075708</v>
      </c>
      <c r="N3932">
        <v>49.761061248814798</v>
      </c>
      <c r="O3932">
        <v>46.081831259904597</v>
      </c>
      <c r="P3932">
        <v>-4.2367562786223001E-2</v>
      </c>
      <c r="Q3932">
        <v>0.103548407843351</v>
      </c>
      <c r="R3932">
        <v>0.86039286969764694</v>
      </c>
      <c r="S3932" t="s">
        <v>10602</v>
      </c>
      <c r="T3932" t="s">
        <v>13338</v>
      </c>
      <c r="U3932" t="s">
        <v>13338</v>
      </c>
      <c r="V3932" t="s">
        <v>13338</v>
      </c>
      <c r="W3932" t="s">
        <v>17216</v>
      </c>
      <c r="X3932">
        <v>1</v>
      </c>
      <c r="Y3932" t="s">
        <v>23728</v>
      </c>
      <c r="Z3932" t="s">
        <v>30347</v>
      </c>
      <c r="AA3932">
        <v>0.41157839909990601</v>
      </c>
      <c r="AB3932" t="str">
        <f>HYPERLINK("Melting_Curves/meltCurve_Q5VZ66_JAKMIP3.pdf", "Melting_Curves/meltCurve_Q5VZ66_JAKMIP3.pdf")</f>
        <v>Melting_Curves/meltCurve_Q5VZ66_JAKMIP3.pdf</v>
      </c>
    </row>
    <row r="3933" spans="1:28" x14ac:dyDescent="0.25">
      <c r="A3933" t="s">
        <v>3937</v>
      </c>
      <c r="B3933">
        <v>0.99193492352474899</v>
      </c>
      <c r="C3933">
        <v>0.91088703959175499</v>
      </c>
      <c r="D3933">
        <v>1.1059352773636699</v>
      </c>
      <c r="E3933">
        <v>0.83732556080319298</v>
      </c>
      <c r="F3933">
        <v>0.33507684031798901</v>
      </c>
      <c r="G3933">
        <v>0.144555131184712</v>
      </c>
      <c r="H3933">
        <v>9.2351170535378099E-2</v>
      </c>
      <c r="I3933">
        <v>0.123431229316229</v>
      </c>
      <c r="J3933">
        <v>0.107925163798458</v>
      </c>
      <c r="K3933">
        <v>0.14170693440933199</v>
      </c>
      <c r="L3933">
        <v>2014.71380575277</v>
      </c>
      <c r="M3933">
        <v>39.0212940221111</v>
      </c>
      <c r="N3933">
        <v>51.986424423267501</v>
      </c>
      <c r="O3933">
        <v>51.496108829247902</v>
      </c>
      <c r="P3933">
        <v>-0.167265650174615</v>
      </c>
      <c r="Q3933">
        <v>0.117045369145498</v>
      </c>
      <c r="R3933">
        <v>0.98620886521947504</v>
      </c>
      <c r="S3933" t="s">
        <v>10603</v>
      </c>
      <c r="T3933" t="s">
        <v>13338</v>
      </c>
      <c r="U3933" t="s">
        <v>13338</v>
      </c>
      <c r="V3933" t="s">
        <v>13338</v>
      </c>
      <c r="W3933" t="s">
        <v>17217</v>
      </c>
      <c r="X3933">
        <v>14</v>
      </c>
      <c r="Y3933" t="s">
        <v>23729</v>
      </c>
      <c r="Z3933" t="s">
        <v>30348</v>
      </c>
      <c r="AA3933">
        <v>0.46268212138047171</v>
      </c>
      <c r="AB3933" t="str">
        <f>HYPERLINK("Melting_Curves/meltCurve_Q5VZE5_NAA35.pdf", "Melting_Curves/meltCurve_Q5VZE5_NAA35.pdf")</f>
        <v>Melting_Curves/meltCurve_Q5VZE5_NAA35.pdf</v>
      </c>
    </row>
    <row r="3934" spans="1:28" x14ac:dyDescent="0.25">
      <c r="A3934" t="s">
        <v>3938</v>
      </c>
      <c r="B3934">
        <v>0.99193492352474899</v>
      </c>
      <c r="C3934">
        <v>0.99750639213607095</v>
      </c>
      <c r="D3934">
        <v>0.92792658478814904</v>
      </c>
      <c r="E3934">
        <v>0.927385057905737</v>
      </c>
      <c r="F3934">
        <v>0.79836720517725102</v>
      </c>
      <c r="G3934">
        <v>0.63011011375887505</v>
      </c>
      <c r="H3934">
        <v>0.45880416694161602</v>
      </c>
      <c r="I3934">
        <v>0.596639729167315</v>
      </c>
      <c r="J3934">
        <v>0.61445321302951295</v>
      </c>
      <c r="K3934">
        <v>0.50990268535088301</v>
      </c>
      <c r="L3934">
        <v>1347.5130264220099</v>
      </c>
      <c r="M3934">
        <v>25.254811723535099</v>
      </c>
      <c r="O3934">
        <v>53.025523816985498</v>
      </c>
      <c r="P3934">
        <v>-5.4619902679410602E-2</v>
      </c>
      <c r="Q3934">
        <v>0.54128170966081102</v>
      </c>
      <c r="R3934">
        <v>0.93831477923780304</v>
      </c>
      <c r="S3934" t="s">
        <v>10604</v>
      </c>
      <c r="T3934" t="s">
        <v>13338</v>
      </c>
      <c r="U3934" t="s">
        <v>13338</v>
      </c>
      <c r="V3934" t="s">
        <v>13338</v>
      </c>
      <c r="W3934" t="s">
        <v>17218</v>
      </c>
      <c r="X3934">
        <v>2</v>
      </c>
      <c r="Y3934" t="s">
        <v>23730</v>
      </c>
      <c r="Z3934" t="s">
        <v>30349</v>
      </c>
      <c r="AA3934">
        <v>0.74966754196727525</v>
      </c>
      <c r="AB3934" t="str">
        <f>HYPERLINK("Melting_Curves/meltCurve_Q5VZI3_2_C9orf91.pdf", "Melting_Curves/meltCurve_Q5VZI3_2_C9orf91.pdf")</f>
        <v>Melting_Curves/meltCurve_Q5VZI3_2_C9orf91.pdf</v>
      </c>
    </row>
    <row r="3935" spans="1:28" x14ac:dyDescent="0.25">
      <c r="A3935" t="s">
        <v>3939</v>
      </c>
      <c r="B3935">
        <v>0.99193492352474899</v>
      </c>
      <c r="C3935">
        <v>0.72360794254572403</v>
      </c>
      <c r="D3935">
        <v>0.99491259219385897</v>
      </c>
      <c r="E3935">
        <v>0.64881910469692305</v>
      </c>
      <c r="F3935">
        <v>0.62093844141502597</v>
      </c>
      <c r="G3935">
        <v>0.34656078767300802</v>
      </c>
      <c r="H3935">
        <v>0.17241313884443499</v>
      </c>
      <c r="I3935">
        <v>0.116715331924359</v>
      </c>
      <c r="J3935">
        <v>0.16415921315842</v>
      </c>
      <c r="K3935">
        <v>0.16324952602057399</v>
      </c>
      <c r="L3935">
        <v>603.44501080378302</v>
      </c>
      <c r="M3935">
        <v>11.3399000259361</v>
      </c>
      <c r="N3935">
        <v>53.725659104185802</v>
      </c>
      <c r="O3935">
        <v>51.640012435334299</v>
      </c>
      <c r="P3935">
        <v>-5.2106035524348802E-2</v>
      </c>
      <c r="Q3935">
        <v>5.1155472674698103E-2</v>
      </c>
      <c r="R3935">
        <v>0.91702854619445495</v>
      </c>
      <c r="S3935" t="s">
        <v>10605</v>
      </c>
      <c r="T3935" t="s">
        <v>13338</v>
      </c>
      <c r="U3935" t="s">
        <v>13338</v>
      </c>
      <c r="V3935" t="s">
        <v>13338</v>
      </c>
      <c r="W3935" t="s">
        <v>17219</v>
      </c>
      <c r="X3935">
        <v>2</v>
      </c>
      <c r="Y3935" t="s">
        <v>23731</v>
      </c>
      <c r="Z3935" t="s">
        <v>30350</v>
      </c>
      <c r="AA3935">
        <v>0.49726993436431649</v>
      </c>
      <c r="AB3935" t="str">
        <f>HYPERLINK("Melting_Curves/meltCurve_Q5VZK9_LRRC16A.pdf", "Melting_Curves/meltCurve_Q5VZK9_LRRC16A.pdf")</f>
        <v>Melting_Curves/meltCurve_Q5VZK9_LRRC16A.pdf</v>
      </c>
    </row>
    <row r="3936" spans="1:28" x14ac:dyDescent="0.25">
      <c r="A3936" t="s">
        <v>3940</v>
      </c>
      <c r="B3936">
        <v>0.99193492352474899</v>
      </c>
      <c r="C3936">
        <v>0.82739404011110995</v>
      </c>
      <c r="D3936">
        <v>0.87382237269135798</v>
      </c>
      <c r="E3936">
        <v>0.59672232824234706</v>
      </c>
      <c r="F3936">
        <v>0.41858234606702499</v>
      </c>
      <c r="G3936">
        <v>0.21113291937505299</v>
      </c>
      <c r="H3936">
        <v>0.132192629280767</v>
      </c>
      <c r="I3936">
        <v>0.106410585269613</v>
      </c>
      <c r="J3936">
        <v>9.1196673596883701E-2</v>
      </c>
      <c r="K3936">
        <v>7.1206951360559406E-2</v>
      </c>
      <c r="L3936">
        <v>664.79907762383505</v>
      </c>
      <c r="M3936">
        <v>13.024819840334301</v>
      </c>
      <c r="N3936">
        <v>51.3565005354492</v>
      </c>
      <c r="O3936">
        <v>49.882707316787297</v>
      </c>
      <c r="P3936">
        <v>-6.2777919950111005E-2</v>
      </c>
      <c r="Q3936">
        <v>3.8455929849098798E-2</v>
      </c>
      <c r="R3936">
        <v>0.98699956349126405</v>
      </c>
      <c r="S3936" t="s">
        <v>10606</v>
      </c>
      <c r="T3936" t="s">
        <v>13338</v>
      </c>
      <c r="U3936" t="s">
        <v>13338</v>
      </c>
      <c r="V3936" t="s">
        <v>13338</v>
      </c>
      <c r="W3936" t="s">
        <v>17220</v>
      </c>
      <c r="X3936">
        <v>10</v>
      </c>
      <c r="Y3936" t="s">
        <v>23732</v>
      </c>
      <c r="Z3936" t="s">
        <v>30351</v>
      </c>
      <c r="AA3936">
        <v>0.42007043409231598</v>
      </c>
      <c r="AB3936" t="str">
        <f>HYPERLINK("Melting_Curves/meltCurve_Q5W015_PFKFB3.pdf", "Melting_Curves/meltCurve_Q5W015_PFKFB3.pdf")</f>
        <v>Melting_Curves/meltCurve_Q5W015_PFKFB3.pdf</v>
      </c>
    </row>
    <row r="3937" spans="1:28" x14ac:dyDescent="0.25">
      <c r="A3937" t="s">
        <v>3941</v>
      </c>
      <c r="B3937">
        <v>0.99193492352474899</v>
      </c>
      <c r="C3937">
        <v>0.89645811773615303</v>
      </c>
      <c r="D3937">
        <v>0.97233871755600498</v>
      </c>
      <c r="E3937">
        <v>0.57199910825064604</v>
      </c>
      <c r="F3937">
        <v>0.25140598674569797</v>
      </c>
      <c r="G3937">
        <v>0.115290649542537</v>
      </c>
      <c r="H3937">
        <v>7.5050951375743705E-2</v>
      </c>
      <c r="I3937">
        <v>8.7978366331390306E-2</v>
      </c>
      <c r="J3937">
        <v>0.10229658742438499</v>
      </c>
      <c r="K3937">
        <v>0.106036752727987</v>
      </c>
      <c r="L3937">
        <v>1405.14984425497</v>
      </c>
      <c r="M3937">
        <v>28.126983913835801</v>
      </c>
      <c r="N3937">
        <v>50.321264195093597</v>
      </c>
      <c r="O3937">
        <v>49.706869778215697</v>
      </c>
      <c r="P3937">
        <v>-0.12844745117940001</v>
      </c>
      <c r="Q3937">
        <v>9.2022350100880695E-2</v>
      </c>
      <c r="R3937">
        <v>0.99099114154376999</v>
      </c>
      <c r="S3937" t="s">
        <v>10607</v>
      </c>
      <c r="T3937" t="s">
        <v>13338</v>
      </c>
      <c r="U3937" t="s">
        <v>13338</v>
      </c>
      <c r="V3937" t="s">
        <v>13338</v>
      </c>
      <c r="W3937" t="s">
        <v>17221</v>
      </c>
      <c r="X3937">
        <v>16</v>
      </c>
      <c r="Y3937" t="s">
        <v>23733</v>
      </c>
      <c r="Z3937" t="s">
        <v>30352</v>
      </c>
      <c r="AA3937">
        <v>0.39978529172350719</v>
      </c>
      <c r="AB3937" t="str">
        <f>HYPERLINK("Melting_Curves/meltCurve_Q5W0V3_FAM160B1.pdf", "Melting_Curves/meltCurve_Q5W0V3_FAM160B1.pdf")</f>
        <v>Melting_Curves/meltCurve_Q5W0V3_FAM160B1.pdf</v>
      </c>
    </row>
    <row r="3938" spans="1:28" x14ac:dyDescent="0.25">
      <c r="A3938" t="s">
        <v>3942</v>
      </c>
      <c r="B3938">
        <v>0.99193492352474899</v>
      </c>
      <c r="C3938">
        <v>0.99941765131914095</v>
      </c>
      <c r="D3938">
        <v>1.04994065773899</v>
      </c>
      <c r="E3938">
        <v>0.99831644087897597</v>
      </c>
      <c r="F3938">
        <v>0.65369297623545897</v>
      </c>
      <c r="G3938">
        <v>0.46105436899479402</v>
      </c>
      <c r="H3938">
        <v>0.26473428326283499</v>
      </c>
      <c r="I3938">
        <v>0.15709846840223199</v>
      </c>
      <c r="J3938">
        <v>0.19641257391768799</v>
      </c>
      <c r="K3938">
        <v>0.24606244206790601</v>
      </c>
      <c r="L3938">
        <v>1344.1607714716399</v>
      </c>
      <c r="M3938">
        <v>24.6760300587564</v>
      </c>
      <c r="N3938">
        <v>55.6176820095816</v>
      </c>
      <c r="O3938">
        <v>54.118359583994199</v>
      </c>
      <c r="P3938">
        <v>-9.1284956289973504E-2</v>
      </c>
      <c r="Q3938">
        <v>0.19920310704401101</v>
      </c>
      <c r="R3938">
        <v>0.98497838685678296</v>
      </c>
      <c r="S3938" t="s">
        <v>10608</v>
      </c>
      <c r="T3938" t="s">
        <v>13338</v>
      </c>
      <c r="U3938" t="s">
        <v>13338</v>
      </c>
      <c r="V3938" t="s">
        <v>13338</v>
      </c>
      <c r="W3938" t="s">
        <v>17222</v>
      </c>
      <c r="X3938">
        <v>4</v>
      </c>
      <c r="Y3938" t="s">
        <v>23734</v>
      </c>
      <c r="Z3938" t="s">
        <v>30353</v>
      </c>
      <c r="AA3938">
        <v>0.59310627134698346</v>
      </c>
      <c r="AB3938" t="str">
        <f>HYPERLINK("Melting_Curves/meltCurve_Q5W0Z9_3_ZDHHC20.pdf", "Melting_Curves/meltCurve_Q5W0Z9_3_ZDHHC20.pdf")</f>
        <v>Melting_Curves/meltCurve_Q5W0Z9_3_ZDHHC20.pdf</v>
      </c>
    </row>
    <row r="3939" spans="1:28" x14ac:dyDescent="0.25">
      <c r="A3939" t="s">
        <v>3943</v>
      </c>
      <c r="B3939">
        <v>0.99193492352474899</v>
      </c>
      <c r="C3939">
        <v>0.98012278645207895</v>
      </c>
      <c r="D3939">
        <v>0.87090251133053398</v>
      </c>
      <c r="E3939">
        <v>0.83093772100539198</v>
      </c>
      <c r="F3939">
        <v>0.55395382251550795</v>
      </c>
      <c r="G3939">
        <v>0.51819391373444701</v>
      </c>
      <c r="H3939">
        <v>0.42382841662235599</v>
      </c>
      <c r="I3939">
        <v>0.47173490940138701</v>
      </c>
      <c r="J3939">
        <v>0.452877784932183</v>
      </c>
      <c r="K3939">
        <v>0.48528254101630097</v>
      </c>
      <c r="L3939">
        <v>1015.11169005904</v>
      </c>
      <c r="M3939">
        <v>20.124345288213998</v>
      </c>
      <c r="N3939">
        <v>57.036008393678699</v>
      </c>
      <c r="O3939">
        <v>49.951816485583102</v>
      </c>
      <c r="P3939">
        <v>-5.5277523395880802E-2</v>
      </c>
      <c r="Q3939">
        <v>0.45118711319990501</v>
      </c>
      <c r="R3939">
        <v>0.97473271115886595</v>
      </c>
      <c r="S3939" t="s">
        <v>10609</v>
      </c>
      <c r="T3939" t="s">
        <v>13338</v>
      </c>
      <c r="U3939" t="s">
        <v>13338</v>
      </c>
      <c r="V3939" t="s">
        <v>13338</v>
      </c>
      <c r="W3939" t="s">
        <v>17223</v>
      </c>
      <c r="X3939">
        <v>6</v>
      </c>
      <c r="Y3939" t="s">
        <v>23735</v>
      </c>
      <c r="Z3939" t="s">
        <v>30354</v>
      </c>
      <c r="AA3939">
        <v>0.64974918433190465</v>
      </c>
      <c r="AB3939" t="str">
        <f>HYPERLINK("Melting_Curves/meltCurve_Q5W145_NDUFB8.pdf", "Melting_Curves/meltCurve_Q5W145_NDUFB8.pdf")</f>
        <v>Melting_Curves/meltCurve_Q5W145_NDUFB8.pdf</v>
      </c>
    </row>
    <row r="3940" spans="1:28" x14ac:dyDescent="0.25">
      <c r="A3940" t="s">
        <v>3944</v>
      </c>
      <c r="B3940">
        <v>0.99193492352474899</v>
      </c>
      <c r="C3940">
        <v>1.2929123973405301</v>
      </c>
      <c r="D3940">
        <v>1.1751463237475399</v>
      </c>
      <c r="E3940">
        <v>0.993873766569076</v>
      </c>
      <c r="F3940">
        <v>0.62856573732433996</v>
      </c>
      <c r="G3940">
        <v>0.501576716967567</v>
      </c>
      <c r="H3940">
        <v>0.470748181061661</v>
      </c>
      <c r="I3940">
        <v>0.48996235468455801</v>
      </c>
      <c r="J3940">
        <v>0.50920466855376401</v>
      </c>
      <c r="K3940">
        <v>0.73972978096311504</v>
      </c>
      <c r="L3940">
        <v>5544.3759354029598</v>
      </c>
      <c r="M3940">
        <v>105.67911683382</v>
      </c>
      <c r="O3940">
        <v>52.445469599314002</v>
      </c>
      <c r="P3940">
        <v>-0.230599060624923</v>
      </c>
      <c r="Q3940">
        <v>0.54224157893127001</v>
      </c>
      <c r="R3940">
        <v>0.80790643827363895</v>
      </c>
      <c r="S3940" t="s">
        <v>10610</v>
      </c>
      <c r="T3940" t="s">
        <v>13338</v>
      </c>
      <c r="U3940" t="s">
        <v>13338</v>
      </c>
      <c r="V3940" t="s">
        <v>13338</v>
      </c>
      <c r="W3940" t="s">
        <v>17224</v>
      </c>
      <c r="X3940">
        <v>2</v>
      </c>
      <c r="Y3940" t="s">
        <v>23736</v>
      </c>
      <c r="Z3940" t="s">
        <v>30355</v>
      </c>
      <c r="AA3940">
        <v>0.73266491812305601</v>
      </c>
      <c r="AB3940" t="str">
        <f>HYPERLINK("Melting_Curves/meltCurve_Q5XKP0_QIL1.pdf", "Melting_Curves/meltCurve_Q5XKP0_QIL1.pdf")</f>
        <v>Melting_Curves/meltCurve_Q5XKP0_QIL1.pdf</v>
      </c>
    </row>
    <row r="3941" spans="1:28" x14ac:dyDescent="0.25">
      <c r="A3941" t="s">
        <v>3945</v>
      </c>
      <c r="B3941">
        <v>0.99193492352474899</v>
      </c>
      <c r="C3941">
        <v>1.1680480103336801</v>
      </c>
      <c r="D3941">
        <v>1.0699170354682801</v>
      </c>
      <c r="E3941">
        <v>0.95640606446064502</v>
      </c>
      <c r="F3941">
        <v>0.87674406257867399</v>
      </c>
      <c r="G3941">
        <v>0.455197813820785</v>
      </c>
      <c r="H3941">
        <v>0.16231608693756699</v>
      </c>
      <c r="I3941">
        <v>0.12738836519983801</v>
      </c>
      <c r="J3941">
        <v>0.18268058830457101</v>
      </c>
      <c r="K3941">
        <v>0.135045313185162</v>
      </c>
      <c r="L3941">
        <v>2026.04021100976</v>
      </c>
      <c r="M3941">
        <v>36.257203085671598</v>
      </c>
      <c r="N3941">
        <v>56.388897566187403</v>
      </c>
      <c r="O3941">
        <v>55.710489453002097</v>
      </c>
      <c r="P3941">
        <v>-0.13998844168445901</v>
      </c>
      <c r="Q3941">
        <v>0.13961366257534</v>
      </c>
      <c r="R3941">
        <v>0.97848090375462304</v>
      </c>
      <c r="S3941" t="s">
        <v>10611</v>
      </c>
      <c r="T3941" t="s">
        <v>13338</v>
      </c>
      <c r="U3941" t="s">
        <v>13338</v>
      </c>
      <c r="V3941" t="s">
        <v>13338</v>
      </c>
      <c r="W3941" t="s">
        <v>17225</v>
      </c>
      <c r="X3941">
        <v>5</v>
      </c>
      <c r="Y3941" t="s">
        <v>23737</v>
      </c>
      <c r="Z3941" t="s">
        <v>30356</v>
      </c>
      <c r="AA3941">
        <v>0.59903919900905411</v>
      </c>
      <c r="AB3941" t="str">
        <f>HYPERLINK("Melting_Curves/meltCurve_Q5XUX1_3_FBXW9.pdf", "Melting_Curves/meltCurve_Q5XUX1_3_FBXW9.pdf")</f>
        <v>Melting_Curves/meltCurve_Q5XUX1_3_FBXW9.pdf</v>
      </c>
    </row>
    <row r="3942" spans="1:28" x14ac:dyDescent="0.25">
      <c r="A3942" t="s">
        <v>3946</v>
      </c>
      <c r="B3942">
        <v>0.99193492352474899</v>
      </c>
      <c r="C3942">
        <v>1.0001515881515599</v>
      </c>
      <c r="D3942">
        <v>0.83412746892576095</v>
      </c>
      <c r="E3942">
        <v>0.31987109468010799</v>
      </c>
      <c r="F3942">
        <v>0.215698865151222</v>
      </c>
      <c r="G3942">
        <v>0.11922307224169899</v>
      </c>
      <c r="H3942">
        <v>8.2316838386712707E-2</v>
      </c>
      <c r="I3942">
        <v>9.43218843066643E-2</v>
      </c>
      <c r="J3942">
        <v>0.11132977509674299</v>
      </c>
      <c r="K3942">
        <v>0.137602897731089</v>
      </c>
      <c r="L3942">
        <v>1579.08591810194</v>
      </c>
      <c r="M3942">
        <v>32.921480046854697</v>
      </c>
      <c r="N3942">
        <v>48.358686964854499</v>
      </c>
      <c r="O3942">
        <v>47.789279097357998</v>
      </c>
      <c r="P3942">
        <v>-0.151987479869715</v>
      </c>
      <c r="Q3942">
        <v>0.11749546431411401</v>
      </c>
      <c r="R3942">
        <v>0.99460204479303904</v>
      </c>
      <c r="S3942" t="s">
        <v>10612</v>
      </c>
      <c r="T3942" t="s">
        <v>13338</v>
      </c>
      <c r="U3942" t="s">
        <v>13338</v>
      </c>
      <c r="V3942" t="s">
        <v>13338</v>
      </c>
      <c r="W3942" t="s">
        <v>17226</v>
      </c>
      <c r="X3942">
        <v>30</v>
      </c>
      <c r="Y3942" t="s">
        <v>23738</v>
      </c>
      <c r="Z3942" t="s">
        <v>30357</v>
      </c>
      <c r="AA3942">
        <v>0.35618316931953869</v>
      </c>
      <c r="AB3942" t="str">
        <f>HYPERLINK("Melting_Curves/meltCurve_Q63HN8_RNF213.pdf", "Melting_Curves/meltCurve_Q63HN8_RNF213.pdf")</f>
        <v>Melting_Curves/meltCurve_Q63HN8_RNF213.pdf</v>
      </c>
    </row>
    <row r="3943" spans="1:28" x14ac:dyDescent="0.25">
      <c r="A3943" t="s">
        <v>3947</v>
      </c>
      <c r="B3943">
        <v>0.99193492352474899</v>
      </c>
      <c r="C3943">
        <v>1.08781989921519</v>
      </c>
      <c r="D3943">
        <v>0.89386694920245202</v>
      </c>
      <c r="E3943">
        <v>0.85315003123771904</v>
      </c>
      <c r="F3943">
        <v>0.65570108637250701</v>
      </c>
      <c r="G3943">
        <v>0.53537033693111802</v>
      </c>
      <c r="H3943">
        <v>0.42315547714252799</v>
      </c>
      <c r="I3943">
        <v>0.56446999537467901</v>
      </c>
      <c r="J3943">
        <v>0.54832424455569595</v>
      </c>
      <c r="K3943">
        <v>0.63875790940190702</v>
      </c>
      <c r="L3943">
        <v>1344.3535516243301</v>
      </c>
      <c r="M3943">
        <v>26.515054531896499</v>
      </c>
      <c r="O3943">
        <v>50.415778535943403</v>
      </c>
      <c r="P3943">
        <v>-6.06833877942193E-2</v>
      </c>
      <c r="Q3943">
        <v>0.538471030005229</v>
      </c>
      <c r="R3943">
        <v>0.90758068255612501</v>
      </c>
      <c r="S3943" t="s">
        <v>10613</v>
      </c>
      <c r="T3943" t="s">
        <v>13338</v>
      </c>
      <c r="U3943" t="s">
        <v>13338</v>
      </c>
      <c r="V3943" t="s">
        <v>13338</v>
      </c>
      <c r="W3943" t="s">
        <v>17227</v>
      </c>
      <c r="X3943">
        <v>5</v>
      </c>
      <c r="Y3943" t="s">
        <v>23739</v>
      </c>
      <c r="Z3943" t="s">
        <v>30358</v>
      </c>
      <c r="AA3943">
        <v>0.70680379775074897</v>
      </c>
      <c r="AB3943" t="str">
        <f>HYPERLINK("Melting_Curves/meltCurve_Q63HQ0_AP1AR.pdf", "Melting_Curves/meltCurve_Q63HQ0_AP1AR.pdf")</f>
        <v>Melting_Curves/meltCurve_Q63HQ0_AP1AR.pdf</v>
      </c>
    </row>
    <row r="3944" spans="1:28" x14ac:dyDescent="0.25">
      <c r="A3944" t="s">
        <v>3948</v>
      </c>
      <c r="B3944">
        <v>0.99193492352474899</v>
      </c>
      <c r="C3944">
        <v>0.90906023553945203</v>
      </c>
      <c r="D3944">
        <v>0.77307320482938102</v>
      </c>
      <c r="E3944">
        <v>0.55705781327734905</v>
      </c>
      <c r="F3944">
        <v>0.31118238489454902</v>
      </c>
      <c r="G3944">
        <v>0.231176077747443</v>
      </c>
      <c r="H3944">
        <v>0.29867640595882999</v>
      </c>
      <c r="I3944">
        <v>0.37567461254097201</v>
      </c>
      <c r="J3944">
        <v>0.52160249121469904</v>
      </c>
      <c r="K3944">
        <v>0.67544186771827097</v>
      </c>
      <c r="L3944">
        <v>1303.3832422207499</v>
      </c>
      <c r="M3944">
        <v>27.884122894777999</v>
      </c>
      <c r="N3944">
        <v>49.720397904295602</v>
      </c>
      <c r="O3944">
        <v>46.504416771297699</v>
      </c>
      <c r="P3944">
        <v>-8.9062087346495705E-2</v>
      </c>
      <c r="Q3944">
        <v>0.40586342179005502</v>
      </c>
      <c r="R3944">
        <v>0.76824210953671801</v>
      </c>
      <c r="S3944" t="s">
        <v>10614</v>
      </c>
      <c r="T3944" t="s">
        <v>13338</v>
      </c>
      <c r="U3944" t="s">
        <v>13338</v>
      </c>
      <c r="V3944" t="s">
        <v>13338</v>
      </c>
      <c r="W3944" t="s">
        <v>17228</v>
      </c>
      <c r="X3944">
        <v>25</v>
      </c>
      <c r="Y3944" t="s">
        <v>23740</v>
      </c>
      <c r="Z3944" t="s">
        <v>30359</v>
      </c>
      <c r="AA3944">
        <v>0.54359164040846608</v>
      </c>
      <c r="AB3944" t="str">
        <f>HYPERLINK("Melting_Curves/meltCurve_Q641Q2_FAM21A.pdf", "Melting_Curves/meltCurve_Q641Q2_FAM21A.pdf")</f>
        <v>Melting_Curves/meltCurve_Q641Q2_FAM21A.pdf</v>
      </c>
    </row>
    <row r="3945" spans="1:28" x14ac:dyDescent="0.25">
      <c r="A3945" t="s">
        <v>3949</v>
      </c>
      <c r="B3945">
        <v>0.99193492352474899</v>
      </c>
      <c r="C3945">
        <v>0.92299255861612195</v>
      </c>
      <c r="D3945">
        <v>0.88701866137535301</v>
      </c>
      <c r="E3945">
        <v>0.75961576860684199</v>
      </c>
      <c r="F3945">
        <v>0.46799430909665901</v>
      </c>
      <c r="G3945">
        <v>0.209557825259514</v>
      </c>
      <c r="H3945">
        <v>9.3229634625542096E-2</v>
      </c>
      <c r="I3945">
        <v>9.5976478979956301E-2</v>
      </c>
      <c r="J3945">
        <v>9.8475078241179598E-2</v>
      </c>
      <c r="K3945">
        <v>9.0756594296650103E-2</v>
      </c>
      <c r="L3945">
        <v>958.23984000650103</v>
      </c>
      <c r="M3945">
        <v>18.375516547728498</v>
      </c>
      <c r="N3945">
        <v>52.539453838737302</v>
      </c>
      <c r="O3945">
        <v>51.541830766573199</v>
      </c>
      <c r="P3945">
        <v>-8.3426005722836094E-2</v>
      </c>
      <c r="Q3945">
        <v>6.4030225360176801E-2</v>
      </c>
      <c r="R3945">
        <v>0.99380558534010199</v>
      </c>
      <c r="S3945" t="s">
        <v>10615</v>
      </c>
      <c r="T3945" t="s">
        <v>13338</v>
      </c>
      <c r="U3945" t="s">
        <v>13338</v>
      </c>
      <c r="V3945" t="s">
        <v>13338</v>
      </c>
      <c r="W3945" t="s">
        <v>17229</v>
      </c>
      <c r="X3945">
        <v>13</v>
      </c>
      <c r="Y3945" t="s">
        <v>23741</v>
      </c>
      <c r="Z3945" t="s">
        <v>30360</v>
      </c>
      <c r="AA3945">
        <v>0.45803127002766381</v>
      </c>
      <c r="AB3945" t="str">
        <f>HYPERLINK("Melting_Curves/meltCurve_Q658Y4_FAM91A1.pdf", "Melting_Curves/meltCurve_Q658Y4_FAM91A1.pdf")</f>
        <v>Melting_Curves/meltCurve_Q658Y4_FAM91A1.pdf</v>
      </c>
    </row>
    <row r="3946" spans="1:28" x14ac:dyDescent="0.25">
      <c r="A3946" t="s">
        <v>3950</v>
      </c>
      <c r="B3946">
        <v>0.99193492352474899</v>
      </c>
      <c r="C3946">
        <v>0.70075427760555598</v>
      </c>
      <c r="D3946">
        <v>0.57795852402815495</v>
      </c>
      <c r="E3946">
        <v>0.39725436565248801</v>
      </c>
      <c r="F3946">
        <v>0.33615115800359302</v>
      </c>
      <c r="G3946">
        <v>0.32462823044495898</v>
      </c>
      <c r="H3946">
        <v>0.19364854823779601</v>
      </c>
      <c r="I3946">
        <v>0.16855106607692499</v>
      </c>
      <c r="J3946">
        <v>0.19714238915541199</v>
      </c>
      <c r="K3946">
        <v>0.199955924140266</v>
      </c>
      <c r="L3946">
        <v>596.16964104961403</v>
      </c>
      <c r="M3946">
        <v>13.0070783943662</v>
      </c>
      <c r="N3946">
        <v>47.591978474368602</v>
      </c>
      <c r="O3946">
        <v>44.791453508764498</v>
      </c>
      <c r="P3946">
        <v>-5.8761706937613498E-2</v>
      </c>
      <c r="Q3946">
        <v>0.19073053092078199</v>
      </c>
      <c r="R3946">
        <v>0.96555107841864296</v>
      </c>
      <c r="S3946" t="s">
        <v>10616</v>
      </c>
      <c r="T3946" t="s">
        <v>13338</v>
      </c>
      <c r="U3946" t="s">
        <v>13338</v>
      </c>
      <c r="V3946" t="s">
        <v>13338</v>
      </c>
      <c r="W3946" t="s">
        <v>17230</v>
      </c>
      <c r="X3946">
        <v>3</v>
      </c>
      <c r="Y3946" t="s">
        <v>23742</v>
      </c>
      <c r="Z3946" t="s">
        <v>30361</v>
      </c>
      <c r="AA3946">
        <v>0.38014605050564748</v>
      </c>
      <c r="AB3946" t="str">
        <f>HYPERLINK("Melting_Curves/meltCurve_Q659C4_LARP1B.pdf", "Melting_Curves/meltCurve_Q659C4_LARP1B.pdf")</f>
        <v>Melting_Curves/meltCurve_Q659C4_LARP1B.pdf</v>
      </c>
    </row>
    <row r="3947" spans="1:28" x14ac:dyDescent="0.25">
      <c r="A3947" t="s">
        <v>3951</v>
      </c>
      <c r="B3947">
        <v>0.99193492352474899</v>
      </c>
      <c r="C3947">
        <v>0.80926355252894799</v>
      </c>
      <c r="D3947">
        <v>0.71028777056391501</v>
      </c>
      <c r="E3947">
        <v>0.39771020570101301</v>
      </c>
      <c r="F3947">
        <v>0.200694045233653</v>
      </c>
      <c r="G3947">
        <v>0.15469898277446401</v>
      </c>
      <c r="H3947">
        <v>9.7132417789939904E-2</v>
      </c>
      <c r="I3947">
        <v>0.15924431367559699</v>
      </c>
      <c r="J3947">
        <v>0.13249438015815601</v>
      </c>
      <c r="K3947">
        <v>0.18176832271226201</v>
      </c>
      <c r="L3947">
        <v>854.26739323688605</v>
      </c>
      <c r="M3947">
        <v>18.081427189951299</v>
      </c>
      <c r="N3947">
        <v>48.037632156596402</v>
      </c>
      <c r="O3947">
        <v>46.679052967621203</v>
      </c>
      <c r="P3947">
        <v>-8.4360779184899995E-2</v>
      </c>
      <c r="Q3947">
        <v>0.128898316084573</v>
      </c>
      <c r="R3947">
        <v>0.98604712561960695</v>
      </c>
      <c r="S3947" t="s">
        <v>10617</v>
      </c>
      <c r="T3947" t="s">
        <v>13338</v>
      </c>
      <c r="U3947" t="s">
        <v>13338</v>
      </c>
      <c r="V3947" t="s">
        <v>13338</v>
      </c>
      <c r="W3947" t="s">
        <v>17231</v>
      </c>
      <c r="X3947">
        <v>7</v>
      </c>
      <c r="Y3947" t="s">
        <v>23743</v>
      </c>
      <c r="Z3947" t="s">
        <v>30362</v>
      </c>
      <c r="AA3947">
        <v>0.35502130870517229</v>
      </c>
      <c r="AB3947" t="str">
        <f>HYPERLINK("Melting_Curves/meltCurve_Q66GS9_CEP135.pdf", "Melting_Curves/meltCurve_Q66GS9_CEP135.pdf")</f>
        <v>Melting_Curves/meltCurve_Q66GS9_CEP135.pdf</v>
      </c>
    </row>
    <row r="3948" spans="1:28" x14ac:dyDescent="0.25">
      <c r="A3948" t="s">
        <v>3952</v>
      </c>
      <c r="B3948">
        <v>0.99193492352474899</v>
      </c>
      <c r="C3948">
        <v>1.08200032672695</v>
      </c>
      <c r="D3948">
        <v>0.86114425348146495</v>
      </c>
      <c r="E3948">
        <v>0.40828865953087201</v>
      </c>
      <c r="F3948">
        <v>0.117068154691969</v>
      </c>
      <c r="G3948">
        <v>5.3306148279923901E-2</v>
      </c>
      <c r="H3948">
        <v>3.1971632136991397E-2</v>
      </c>
      <c r="I3948">
        <v>4.1651165426323002E-2</v>
      </c>
      <c r="J3948">
        <v>4.29080169399772E-2</v>
      </c>
      <c r="K3948">
        <v>3.4891367771183797E-2</v>
      </c>
      <c r="L3948">
        <v>1525.67257220293</v>
      </c>
      <c r="M3948">
        <v>31.234653840813799</v>
      </c>
      <c r="N3948">
        <v>48.974286808169403</v>
      </c>
      <c r="O3948">
        <v>48.646600470315299</v>
      </c>
      <c r="P3948">
        <v>-0.154190769998031</v>
      </c>
      <c r="Q3948">
        <v>3.9423967344801102E-2</v>
      </c>
      <c r="R3948">
        <v>0.99455642967038704</v>
      </c>
      <c r="S3948" t="s">
        <v>10618</v>
      </c>
      <c r="T3948" t="s">
        <v>13338</v>
      </c>
      <c r="U3948" t="s">
        <v>13338</v>
      </c>
      <c r="V3948" t="s">
        <v>13338</v>
      </c>
      <c r="W3948" t="s">
        <v>17232</v>
      </c>
      <c r="X3948">
        <v>7</v>
      </c>
      <c r="Y3948" t="s">
        <v>23744</v>
      </c>
      <c r="Z3948" t="s">
        <v>30363</v>
      </c>
      <c r="AA3948">
        <v>0.32802423570833911</v>
      </c>
      <c r="AB3948" t="str">
        <f>HYPERLINK("Melting_Curves/meltCurve_Q66K14_2_TBC1D9B.pdf", "Melting_Curves/meltCurve_Q66K14_2_TBC1D9B.pdf")</f>
        <v>Melting_Curves/meltCurve_Q66K14_2_TBC1D9B.pdf</v>
      </c>
    </row>
    <row r="3949" spans="1:28" x14ac:dyDescent="0.25">
      <c r="A3949" t="s">
        <v>3953</v>
      </c>
      <c r="B3949">
        <v>0.99193492352474899</v>
      </c>
      <c r="C3949">
        <v>1.0524397995514101</v>
      </c>
      <c r="D3949">
        <v>1.0986504771796</v>
      </c>
      <c r="E3949">
        <v>0.77721589277122105</v>
      </c>
      <c r="F3949">
        <v>0.46417269528342397</v>
      </c>
      <c r="G3949">
        <v>0.21805513754977501</v>
      </c>
      <c r="H3949">
        <v>0.160014130833003</v>
      </c>
      <c r="I3949">
        <v>0.16879528001050401</v>
      </c>
      <c r="J3949">
        <v>0.240290467897319</v>
      </c>
      <c r="K3949">
        <v>0.330151866701555</v>
      </c>
      <c r="L3949">
        <v>1651.1390249661699</v>
      </c>
      <c r="M3949">
        <v>32.067716166059398</v>
      </c>
      <c r="N3949">
        <v>52.432911910589802</v>
      </c>
      <c r="O3949">
        <v>51.2901616601876</v>
      </c>
      <c r="P3949">
        <v>-0.122033214041444</v>
      </c>
      <c r="Q3949">
        <v>0.21926838827919901</v>
      </c>
      <c r="R3949">
        <v>0.96990905129065497</v>
      </c>
      <c r="S3949" t="s">
        <v>10619</v>
      </c>
      <c r="T3949" t="s">
        <v>13338</v>
      </c>
      <c r="U3949" t="s">
        <v>13338</v>
      </c>
      <c r="V3949" t="s">
        <v>13338</v>
      </c>
      <c r="W3949" t="s">
        <v>17233</v>
      </c>
      <c r="X3949">
        <v>3</v>
      </c>
      <c r="Y3949" t="s">
        <v>23745</v>
      </c>
      <c r="Z3949" t="s">
        <v>30364</v>
      </c>
      <c r="AA3949">
        <v>0.52259724713115396</v>
      </c>
      <c r="AB3949" t="str">
        <f>HYPERLINK("Melting_Curves/meltCurve_Q66K64_DCAF15.pdf", "Melting_Curves/meltCurve_Q66K64_DCAF15.pdf")</f>
        <v>Melting_Curves/meltCurve_Q66K64_DCAF15.pdf</v>
      </c>
    </row>
    <row r="3950" spans="1:28" x14ac:dyDescent="0.25">
      <c r="A3950" t="s">
        <v>3954</v>
      </c>
      <c r="B3950">
        <v>0.99193492352474899</v>
      </c>
      <c r="C3950">
        <v>0.91428140631676502</v>
      </c>
      <c r="D3950">
        <v>0.893865681386667</v>
      </c>
      <c r="E3950">
        <v>0.66136705370953497</v>
      </c>
      <c r="F3950">
        <v>0.42345615388441499</v>
      </c>
      <c r="G3950">
        <v>0.12293178312071799</v>
      </c>
      <c r="H3950">
        <v>8.9113225264571994E-2</v>
      </c>
      <c r="I3950">
        <v>0.11915590094417899</v>
      </c>
      <c r="J3950">
        <v>0.13244122857606799</v>
      </c>
      <c r="K3950">
        <v>0.14117017297859899</v>
      </c>
      <c r="L3950">
        <v>1014.49330284017</v>
      </c>
      <c r="M3950">
        <v>19.9276271409814</v>
      </c>
      <c r="N3950">
        <v>51.471154625128896</v>
      </c>
      <c r="O3950">
        <v>50.404540295651003</v>
      </c>
      <c r="P3950">
        <v>-8.9173828073903699E-2</v>
      </c>
      <c r="Q3950">
        <v>9.7811856884523499E-2</v>
      </c>
      <c r="R3950">
        <v>0.98647919036716603</v>
      </c>
      <c r="S3950" t="s">
        <v>10620</v>
      </c>
      <c r="T3950" t="s">
        <v>13338</v>
      </c>
      <c r="U3950" t="s">
        <v>13338</v>
      </c>
      <c r="V3950" t="s">
        <v>13338</v>
      </c>
      <c r="W3950" t="s">
        <v>17234</v>
      </c>
      <c r="X3950">
        <v>8</v>
      </c>
      <c r="Y3950" t="s">
        <v>23746</v>
      </c>
      <c r="Z3950" t="s">
        <v>30365</v>
      </c>
      <c r="AA3950">
        <v>0.43848625992539869</v>
      </c>
      <c r="AB3950" t="str">
        <f>HYPERLINK("Melting_Curves/meltCurve_Q66LE6_PPP2R2D.pdf", "Melting_Curves/meltCurve_Q66LE6_PPP2R2D.pdf")</f>
        <v>Melting_Curves/meltCurve_Q66LE6_PPP2R2D.pdf</v>
      </c>
    </row>
    <row r="3951" spans="1:28" x14ac:dyDescent="0.25">
      <c r="A3951" t="s">
        <v>3955</v>
      </c>
      <c r="B3951">
        <v>0.99193492352474899</v>
      </c>
      <c r="C3951">
        <v>1.08823339024872</v>
      </c>
      <c r="D3951">
        <v>0.86034262347756796</v>
      </c>
      <c r="E3951">
        <v>0.83718850836768899</v>
      </c>
      <c r="F3951">
        <v>0.55960612115569797</v>
      </c>
      <c r="G3951">
        <v>0.55343692541566403</v>
      </c>
      <c r="H3951">
        <v>0.42256276001509602</v>
      </c>
      <c r="I3951">
        <v>0.55685378218840997</v>
      </c>
      <c r="J3951">
        <v>0.53069525884358604</v>
      </c>
      <c r="K3951">
        <v>0.77734969141073795</v>
      </c>
      <c r="L3951">
        <v>1517.8917911207</v>
      </c>
      <c r="M3951">
        <v>30.563221648201999</v>
      </c>
      <c r="O3951">
        <v>49.452835630838599</v>
      </c>
      <c r="P3951">
        <v>-6.7907224469136496E-2</v>
      </c>
      <c r="Q3951">
        <v>0.56049339263988995</v>
      </c>
      <c r="R3951">
        <v>0.79481781013455799</v>
      </c>
      <c r="S3951" t="s">
        <v>10621</v>
      </c>
      <c r="T3951" t="s">
        <v>13338</v>
      </c>
      <c r="U3951" t="s">
        <v>13338</v>
      </c>
      <c r="V3951" t="s">
        <v>13338</v>
      </c>
      <c r="W3951" t="s">
        <v>17235</v>
      </c>
      <c r="X3951">
        <v>9</v>
      </c>
      <c r="Y3951" t="s">
        <v>23747</v>
      </c>
      <c r="Z3951" t="s">
        <v>30366</v>
      </c>
      <c r="AA3951">
        <v>0.70467668819423512</v>
      </c>
      <c r="AB3951" t="str">
        <f>HYPERLINK("Melting_Curves/meltCurve_Q66PJ3_ARL6IP4.pdf", "Melting_Curves/meltCurve_Q66PJ3_ARL6IP4.pdf")</f>
        <v>Melting_Curves/meltCurve_Q66PJ3_ARL6IP4.pdf</v>
      </c>
    </row>
    <row r="3952" spans="1:28" x14ac:dyDescent="0.25">
      <c r="A3952" t="s">
        <v>3956</v>
      </c>
      <c r="B3952">
        <v>0.99193492352474899</v>
      </c>
      <c r="C3952">
        <v>0.93384915729670803</v>
      </c>
      <c r="D3952">
        <v>0.90286252384383603</v>
      </c>
      <c r="E3952">
        <v>0.66183733080118201</v>
      </c>
      <c r="F3952">
        <v>0.22303623732950201</v>
      </c>
      <c r="G3952">
        <v>0.118759138315586</v>
      </c>
      <c r="H3952">
        <v>8.1275720986051903E-2</v>
      </c>
      <c r="I3952">
        <v>0.10830721680716</v>
      </c>
      <c r="J3952">
        <v>0.13788968889908401</v>
      </c>
      <c r="K3952">
        <v>0.144371136689911</v>
      </c>
      <c r="L3952">
        <v>1551.3254047903399</v>
      </c>
      <c r="M3952">
        <v>30.902352443225102</v>
      </c>
      <c r="N3952">
        <v>50.6091394322263</v>
      </c>
      <c r="O3952">
        <v>49.992041675907799</v>
      </c>
      <c r="P3952">
        <v>-0.137488522241242</v>
      </c>
      <c r="Q3952">
        <v>0.110320766048611</v>
      </c>
      <c r="R3952">
        <v>0.992530816071023</v>
      </c>
      <c r="S3952" t="s">
        <v>10622</v>
      </c>
      <c r="T3952" t="s">
        <v>13338</v>
      </c>
      <c r="U3952" t="s">
        <v>13338</v>
      </c>
      <c r="V3952" t="s">
        <v>13338</v>
      </c>
      <c r="W3952" t="s">
        <v>17236</v>
      </c>
      <c r="X3952">
        <v>6</v>
      </c>
      <c r="Y3952" t="s">
        <v>23748</v>
      </c>
      <c r="Z3952" t="s">
        <v>30367</v>
      </c>
      <c r="AA3952">
        <v>0.41803799195451918</v>
      </c>
      <c r="AB3952" t="str">
        <f>HYPERLINK("Melting_Curves/meltCurve_Q66S35_PFKFB4.pdf", "Melting_Curves/meltCurve_Q66S35_PFKFB4.pdf")</f>
        <v>Melting_Curves/meltCurve_Q66S35_PFKFB4.pdf</v>
      </c>
    </row>
    <row r="3953" spans="1:28" x14ac:dyDescent="0.25">
      <c r="A3953" t="s">
        <v>3957</v>
      </c>
      <c r="B3953">
        <v>0.99193492352474899</v>
      </c>
      <c r="C3953">
        <v>1.0288405407544801</v>
      </c>
      <c r="D3953">
        <v>0.83641537828533796</v>
      </c>
      <c r="E3953">
        <v>0.759876583834171</v>
      </c>
      <c r="F3953">
        <v>0.58701628150427398</v>
      </c>
      <c r="G3953">
        <v>0.31848179619699701</v>
      </c>
      <c r="H3953">
        <v>0.244384641313207</v>
      </c>
      <c r="I3953">
        <v>0.32053912594908202</v>
      </c>
      <c r="J3953">
        <v>0.413527115677639</v>
      </c>
      <c r="K3953">
        <v>0.65026572509745795</v>
      </c>
      <c r="L3953">
        <v>1134.9499194350201</v>
      </c>
      <c r="M3953">
        <v>22.649159589375898</v>
      </c>
      <c r="N3953">
        <v>53.7243580241446</v>
      </c>
      <c r="O3953">
        <v>49.724292969333902</v>
      </c>
      <c r="P3953">
        <v>-6.9344589589991595E-2</v>
      </c>
      <c r="Q3953">
        <v>0.39105164560404199</v>
      </c>
      <c r="R3953">
        <v>0.82938206946500703</v>
      </c>
      <c r="S3953" t="s">
        <v>10623</v>
      </c>
      <c r="T3953" t="s">
        <v>13338</v>
      </c>
      <c r="U3953" t="s">
        <v>13338</v>
      </c>
      <c r="V3953" t="s">
        <v>13338</v>
      </c>
      <c r="W3953" t="s">
        <v>17237</v>
      </c>
      <c r="X3953">
        <v>2</v>
      </c>
      <c r="Y3953" t="s">
        <v>23749</v>
      </c>
      <c r="Z3953" t="s">
        <v>30368</v>
      </c>
      <c r="AA3953">
        <v>0.60290390185104881</v>
      </c>
      <c r="AB3953" t="str">
        <f>HYPERLINK("Melting_Curves/meltCurve_Q674X7_3_KAZN.pdf", "Melting_Curves/meltCurve_Q674X7_3_KAZN.pdf")</f>
        <v>Melting_Curves/meltCurve_Q674X7_3_KAZN.pdf</v>
      </c>
    </row>
    <row r="3954" spans="1:28" x14ac:dyDescent="0.25">
      <c r="A3954" t="s">
        <v>3958</v>
      </c>
      <c r="B3954">
        <v>0.99193492352474899</v>
      </c>
      <c r="C3954">
        <v>1.0124788467892201</v>
      </c>
      <c r="D3954">
        <v>0.88885108895664899</v>
      </c>
      <c r="E3954">
        <v>0.50422485382252702</v>
      </c>
      <c r="F3954">
        <v>0.15432622312571201</v>
      </c>
      <c r="G3954">
        <v>0.100284954926496</v>
      </c>
      <c r="H3954">
        <v>5.9829954172342097E-2</v>
      </c>
      <c r="I3954">
        <v>7.6926635458499704E-2</v>
      </c>
      <c r="J3954">
        <v>7.0703991502031605E-2</v>
      </c>
      <c r="K3954">
        <v>7.2952695134445703E-2</v>
      </c>
      <c r="L3954">
        <v>1458.44893688458</v>
      </c>
      <c r="M3954">
        <v>29.569216037804399</v>
      </c>
      <c r="N3954">
        <v>49.575327673594799</v>
      </c>
      <c r="O3954">
        <v>49.099278173285903</v>
      </c>
      <c r="P3954">
        <v>-0.140049827533197</v>
      </c>
      <c r="Q3954">
        <v>6.9803160251557195E-2</v>
      </c>
      <c r="R3954">
        <v>0.99914093284497696</v>
      </c>
      <c r="S3954" t="s">
        <v>10624</v>
      </c>
      <c r="T3954" t="s">
        <v>13338</v>
      </c>
      <c r="U3954" t="s">
        <v>13338</v>
      </c>
      <c r="V3954" t="s">
        <v>13338</v>
      </c>
      <c r="W3954" t="s">
        <v>17238</v>
      </c>
      <c r="X3954">
        <v>12</v>
      </c>
      <c r="Y3954" t="s">
        <v>23750</v>
      </c>
      <c r="Z3954" t="s">
        <v>30369</v>
      </c>
      <c r="AA3954">
        <v>0.36474712923164421</v>
      </c>
      <c r="AB3954" t="str">
        <f>HYPERLINK("Melting_Curves/meltCurve_Q684P5_3_RAP1GAP2.pdf", "Melting_Curves/meltCurve_Q684P5_3_RAP1GAP2.pdf")</f>
        <v>Melting_Curves/meltCurve_Q684P5_3_RAP1GAP2.pdf</v>
      </c>
    </row>
    <row r="3955" spans="1:28" x14ac:dyDescent="0.25">
      <c r="A3955" t="s">
        <v>3959</v>
      </c>
      <c r="B3955">
        <v>0.99193492352474899</v>
      </c>
      <c r="C3955">
        <v>0.66423762538973596</v>
      </c>
      <c r="D3955">
        <v>0.56280317944531999</v>
      </c>
      <c r="E3955">
        <v>0.347098597601595</v>
      </c>
      <c r="F3955">
        <v>0.13591330513918101</v>
      </c>
      <c r="G3955">
        <v>8.1910925493623804E-2</v>
      </c>
      <c r="H3955">
        <v>6.1340995830242301E-2</v>
      </c>
      <c r="I3955">
        <v>0.100945363778338</v>
      </c>
      <c r="J3955">
        <v>0.115780555597656</v>
      </c>
      <c r="K3955">
        <v>0.1402978745755</v>
      </c>
      <c r="L3955">
        <v>711.00766368502502</v>
      </c>
      <c r="M3955">
        <v>15.528646732606999</v>
      </c>
      <c r="N3955">
        <v>46.336312376708101</v>
      </c>
      <c r="O3955">
        <v>45.047664492418697</v>
      </c>
      <c r="P3955">
        <v>-7.8938940445136996E-2</v>
      </c>
      <c r="Q3955">
        <v>8.4092086096054397E-2</v>
      </c>
      <c r="R3955">
        <v>0.96843033599199002</v>
      </c>
      <c r="S3955" t="s">
        <v>10625</v>
      </c>
      <c r="T3955" t="s">
        <v>13338</v>
      </c>
      <c r="U3955" t="s">
        <v>13338</v>
      </c>
      <c r="V3955" t="s">
        <v>13338</v>
      </c>
      <c r="W3955" t="s">
        <v>17239</v>
      </c>
      <c r="X3955">
        <v>6</v>
      </c>
      <c r="Y3955" t="s">
        <v>23751</v>
      </c>
      <c r="Z3955" t="s">
        <v>30370</v>
      </c>
      <c r="AA3955">
        <v>0.28607523871713031</v>
      </c>
      <c r="AB3955" t="str">
        <f>HYPERLINK("Melting_Curves/meltCurve_Q68CP9_3_ARID2.pdf", "Melting_Curves/meltCurve_Q68CP9_3_ARID2.pdf")</f>
        <v>Melting_Curves/meltCurve_Q68CP9_3_ARID2.pdf</v>
      </c>
    </row>
    <row r="3956" spans="1:28" x14ac:dyDescent="0.25">
      <c r="A3956" t="s">
        <v>3960</v>
      </c>
      <c r="B3956">
        <v>0.99193492352474899</v>
      </c>
      <c r="C3956">
        <v>0.90376378612270702</v>
      </c>
      <c r="D3956">
        <v>0.71056547650322399</v>
      </c>
      <c r="E3956">
        <v>0.228704840008747</v>
      </c>
      <c r="F3956">
        <v>0.231205258551512</v>
      </c>
      <c r="G3956">
        <v>0.14677414758975299</v>
      </c>
      <c r="H3956">
        <v>0.10208824227067401</v>
      </c>
      <c r="I3956">
        <v>0.124100840049785</v>
      </c>
      <c r="J3956">
        <v>0.13121388164106301</v>
      </c>
      <c r="K3956">
        <v>0.133693427872906</v>
      </c>
      <c r="L3956">
        <v>1387.06502281961</v>
      </c>
      <c r="M3956">
        <v>29.610935915815801</v>
      </c>
      <c r="N3956">
        <v>47.343313000485999</v>
      </c>
      <c r="O3956">
        <v>46.630896105212599</v>
      </c>
      <c r="P3956">
        <v>-0.13742559533606699</v>
      </c>
      <c r="Q3956">
        <v>0.134341884368642</v>
      </c>
      <c r="R3956">
        <v>0.98995165894095905</v>
      </c>
      <c r="S3956" t="s">
        <v>10626</v>
      </c>
      <c r="T3956" t="s">
        <v>13338</v>
      </c>
      <c r="U3956" t="s">
        <v>13338</v>
      </c>
      <c r="V3956" t="s">
        <v>13338</v>
      </c>
      <c r="W3956" t="s">
        <v>17240</v>
      </c>
      <c r="X3956">
        <v>4</v>
      </c>
      <c r="Y3956" t="s">
        <v>23752</v>
      </c>
      <c r="Z3956" t="s">
        <v>30371</v>
      </c>
      <c r="AA3956">
        <v>0.33714485779831782</v>
      </c>
      <c r="AB3956" t="str">
        <f>HYPERLINK("Melting_Curves/meltCurve_Q68CQ4_DIEXF.pdf", "Melting_Curves/meltCurve_Q68CQ4_DIEXF.pdf")</f>
        <v>Melting_Curves/meltCurve_Q68CQ4_DIEXF.pdf</v>
      </c>
    </row>
    <row r="3957" spans="1:28" x14ac:dyDescent="0.25">
      <c r="A3957" t="s">
        <v>3961</v>
      </c>
      <c r="B3957">
        <v>0.99193492352474899</v>
      </c>
      <c r="C3957">
        <v>0.46457659439368099</v>
      </c>
      <c r="D3957">
        <v>0.85716295051059299</v>
      </c>
      <c r="E3957">
        <v>0.39290057244008197</v>
      </c>
      <c r="F3957">
        <v>0.33509238236641797</v>
      </c>
      <c r="G3957">
        <v>0.24603238933389401</v>
      </c>
      <c r="H3957">
        <v>0.44418996998692101</v>
      </c>
      <c r="I3957">
        <v>0.56955520711673502</v>
      </c>
      <c r="J3957">
        <v>0.88836427516834005</v>
      </c>
      <c r="K3957">
        <v>0.83438083286947295</v>
      </c>
      <c r="L3957">
        <v>10159.262480335899</v>
      </c>
      <c r="M3957">
        <v>250</v>
      </c>
      <c r="O3957">
        <v>40.634449518907402</v>
      </c>
      <c r="P3957">
        <v>-0.67808933733349197</v>
      </c>
      <c r="Q3957">
        <v>0.55913941043819204</v>
      </c>
      <c r="R3957">
        <v>0.26353971462063303</v>
      </c>
      <c r="S3957" t="s">
        <v>10627</v>
      </c>
      <c r="T3957" t="s">
        <v>13338</v>
      </c>
      <c r="U3957" t="s">
        <v>13338</v>
      </c>
      <c r="V3957" t="s">
        <v>13338</v>
      </c>
      <c r="W3957" t="s">
        <v>17241</v>
      </c>
      <c r="X3957">
        <v>10</v>
      </c>
      <c r="Y3957" t="s">
        <v>23753</v>
      </c>
      <c r="Z3957" t="s">
        <v>30372</v>
      </c>
      <c r="AA3957">
        <v>0.56857497108110555</v>
      </c>
      <c r="AB3957" t="str">
        <f>HYPERLINK("Melting_Curves/meltCurve_Q68D10_2_SPTY2D1.pdf", "Melting_Curves/meltCurve_Q68D10_2_SPTY2D1.pdf")</f>
        <v>Melting_Curves/meltCurve_Q68D10_2_SPTY2D1.pdf</v>
      </c>
    </row>
    <row r="3958" spans="1:28" x14ac:dyDescent="0.25">
      <c r="A3958" t="s">
        <v>3962</v>
      </c>
      <c r="B3958">
        <v>0.99193492352474899</v>
      </c>
      <c r="C3958">
        <v>1.0279240418748301</v>
      </c>
      <c r="D3958">
        <v>1.0487724409754799</v>
      </c>
      <c r="E3958">
        <v>0.94962607453183501</v>
      </c>
      <c r="F3958">
        <v>0.83941796253414502</v>
      </c>
      <c r="G3958">
        <v>0.53477296004791397</v>
      </c>
      <c r="H3958">
        <v>0.57377663520439703</v>
      </c>
      <c r="I3958">
        <v>0.63241377586631897</v>
      </c>
      <c r="J3958">
        <v>0.65736623040690301</v>
      </c>
      <c r="K3958">
        <v>0.78975162557935696</v>
      </c>
      <c r="L3958">
        <v>13312.155133128501</v>
      </c>
      <c r="M3958">
        <v>250</v>
      </c>
      <c r="O3958">
        <v>53.245212989608099</v>
      </c>
      <c r="P3958">
        <v>-0.42537128865958801</v>
      </c>
      <c r="Q3958">
        <v>0.63761624270155604</v>
      </c>
      <c r="R3958">
        <v>0.87233659357664495</v>
      </c>
      <c r="S3958" t="s">
        <v>10628</v>
      </c>
      <c r="T3958" t="s">
        <v>13338</v>
      </c>
      <c r="U3958" t="s">
        <v>13338</v>
      </c>
      <c r="V3958" t="s">
        <v>13338</v>
      </c>
      <c r="W3958" t="s">
        <v>17242</v>
      </c>
      <c r="X3958">
        <v>14</v>
      </c>
      <c r="Y3958" t="s">
        <v>23754</v>
      </c>
      <c r="Z3958" t="s">
        <v>30373</v>
      </c>
      <c r="AA3958">
        <v>0.79768627056476837</v>
      </c>
      <c r="AB3958" t="str">
        <f>HYPERLINK("Melting_Curves/meltCurve_Q68D91_MBLAC2.pdf", "Melting_Curves/meltCurve_Q68D91_MBLAC2.pdf")</f>
        <v>Melting_Curves/meltCurve_Q68D91_MBLAC2.pdf</v>
      </c>
    </row>
    <row r="3959" spans="1:28" x14ac:dyDescent="0.25">
      <c r="A3959" t="s">
        <v>3963</v>
      </c>
      <c r="B3959">
        <v>0.99193492352474899</v>
      </c>
      <c r="C3959">
        <v>0.95273476101565202</v>
      </c>
      <c r="D3959">
        <v>0.92478198278205503</v>
      </c>
      <c r="E3959">
        <v>0.80771900122751905</v>
      </c>
      <c r="F3959">
        <v>0.66962091113458799</v>
      </c>
      <c r="G3959">
        <v>0.40336756072353502</v>
      </c>
      <c r="H3959">
        <v>0.16736660759607799</v>
      </c>
      <c r="I3959">
        <v>0.18686914725352799</v>
      </c>
      <c r="J3959">
        <v>0.160611486846017</v>
      </c>
      <c r="K3959">
        <v>0.216633085093308</v>
      </c>
      <c r="L3959">
        <v>936.22240525971802</v>
      </c>
      <c r="M3959">
        <v>17.374366472571001</v>
      </c>
      <c r="N3959">
        <v>54.933990418702201</v>
      </c>
      <c r="O3959">
        <v>53.186619206862296</v>
      </c>
      <c r="P3959">
        <v>-7.0144174229674602E-2</v>
      </c>
      <c r="Q3959">
        <v>0.14114388121097299</v>
      </c>
      <c r="R3959">
        <v>0.985581431794463</v>
      </c>
      <c r="S3959" t="s">
        <v>10629</v>
      </c>
      <c r="T3959" t="s">
        <v>13338</v>
      </c>
      <c r="U3959" t="s">
        <v>13338</v>
      </c>
      <c r="V3959" t="s">
        <v>13338</v>
      </c>
      <c r="W3959" t="s">
        <v>17243</v>
      </c>
      <c r="X3959">
        <v>3</v>
      </c>
      <c r="Y3959" t="s">
        <v>23755</v>
      </c>
      <c r="Z3959" t="s">
        <v>30374</v>
      </c>
      <c r="AA3959">
        <v>0.55318231404343698</v>
      </c>
      <c r="AB3959" t="str">
        <f>HYPERLINK("Melting_Curves/meltCurve_Q68DH5_LMBRD2.pdf", "Melting_Curves/meltCurve_Q68DH5_LMBRD2.pdf")</f>
        <v>Melting_Curves/meltCurve_Q68DH5_LMBRD2.pdf</v>
      </c>
    </row>
    <row r="3960" spans="1:28" x14ac:dyDescent="0.25">
      <c r="A3960" t="s">
        <v>3964</v>
      </c>
      <c r="B3960">
        <v>0.99193492352474899</v>
      </c>
      <c r="C3960">
        <v>0.711129992096594</v>
      </c>
      <c r="D3960">
        <v>0.75673728319449995</v>
      </c>
      <c r="E3960">
        <v>0.33025035863115199</v>
      </c>
      <c r="F3960">
        <v>0.17125274792912701</v>
      </c>
      <c r="G3960">
        <v>8.7270208705327604E-2</v>
      </c>
      <c r="H3960">
        <v>5.5258309693748099E-2</v>
      </c>
      <c r="I3960">
        <v>6.18004042739679E-2</v>
      </c>
      <c r="J3960">
        <v>8.3768068642332896E-2</v>
      </c>
      <c r="K3960">
        <v>8.32239975899325E-2</v>
      </c>
      <c r="L3960">
        <v>765.82925130138801</v>
      </c>
      <c r="M3960">
        <v>16.154558936266199</v>
      </c>
      <c r="N3960">
        <v>47.712076027093502</v>
      </c>
      <c r="O3960">
        <v>46.697822919193598</v>
      </c>
      <c r="P3960">
        <v>-8.2238963807912305E-2</v>
      </c>
      <c r="Q3960">
        <v>4.9162873806283897E-2</v>
      </c>
      <c r="R3960">
        <v>0.96517905343338795</v>
      </c>
      <c r="S3960" t="s">
        <v>10630</v>
      </c>
      <c r="T3960" t="s">
        <v>13338</v>
      </c>
      <c r="U3960" t="s">
        <v>13338</v>
      </c>
      <c r="V3960" t="s">
        <v>13338</v>
      </c>
      <c r="W3960" t="s">
        <v>17244</v>
      </c>
      <c r="X3960">
        <v>16</v>
      </c>
      <c r="Y3960" t="s">
        <v>23756</v>
      </c>
      <c r="Z3960" t="s">
        <v>30375</v>
      </c>
      <c r="AA3960">
        <v>0.30555972009989107</v>
      </c>
      <c r="AB3960" t="str">
        <f>HYPERLINK("Melting_Curves/meltCurve_Q68E01_2_INTS3.pdf", "Melting_Curves/meltCurve_Q68E01_2_INTS3.pdf")</f>
        <v>Melting_Curves/meltCurve_Q68E01_2_INTS3.pdf</v>
      </c>
    </row>
    <row r="3961" spans="1:28" x14ac:dyDescent="0.25">
      <c r="A3961" t="s">
        <v>3965</v>
      </c>
      <c r="B3961">
        <v>0.99193492352474899</v>
      </c>
      <c r="C3961">
        <v>1.0274588447466999</v>
      </c>
      <c r="D3961">
        <v>0.84090365430879199</v>
      </c>
      <c r="E3961">
        <v>0.521423666411439</v>
      </c>
      <c r="F3961">
        <v>0.37160054672349002</v>
      </c>
      <c r="G3961">
        <v>0.238586071698561</v>
      </c>
      <c r="H3961">
        <v>0.20311433737624399</v>
      </c>
      <c r="I3961">
        <v>0.16356225149998399</v>
      </c>
      <c r="J3961">
        <v>0.233661000838018</v>
      </c>
      <c r="K3961">
        <v>0.21721947943662101</v>
      </c>
      <c r="L3961">
        <v>1074.7847295960801</v>
      </c>
      <c r="M3961">
        <v>21.934498824451602</v>
      </c>
      <c r="N3961">
        <v>50.208433133606</v>
      </c>
      <c r="O3961">
        <v>48.5979216889694</v>
      </c>
      <c r="P3961">
        <v>-8.9693521879833399E-2</v>
      </c>
      <c r="Q3961">
        <v>0.20512067997508501</v>
      </c>
      <c r="R3961">
        <v>0.99071433112816198</v>
      </c>
      <c r="S3961" t="s">
        <v>10631</v>
      </c>
      <c r="T3961" t="s">
        <v>13338</v>
      </c>
      <c r="U3961" t="s">
        <v>13338</v>
      </c>
      <c r="V3961" t="s">
        <v>13338</v>
      </c>
      <c r="W3961" t="s">
        <v>17245</v>
      </c>
      <c r="X3961">
        <v>5</v>
      </c>
      <c r="Y3961" t="s">
        <v>23757</v>
      </c>
      <c r="Z3961" t="s">
        <v>30376</v>
      </c>
      <c r="AA3961">
        <v>0.45279743413990498</v>
      </c>
      <c r="AB3961" t="str">
        <f>HYPERLINK("Melting_Curves/meltCurve_Q68EM7_ARHGAP17.pdf", "Melting_Curves/meltCurve_Q68EM7_ARHGAP17.pdf")</f>
        <v>Melting_Curves/meltCurve_Q68EM7_ARHGAP17.pdf</v>
      </c>
    </row>
    <row r="3962" spans="1:28" x14ac:dyDescent="0.25">
      <c r="A3962" t="s">
        <v>3966</v>
      </c>
      <c r="B3962">
        <v>0.99193492352474899</v>
      </c>
      <c r="C3962">
        <v>0.44518399372051098</v>
      </c>
      <c r="D3962">
        <v>0.55379922108096602</v>
      </c>
      <c r="E3962">
        <v>0.187531412184225</v>
      </c>
      <c r="F3962">
        <v>0.142744383882142</v>
      </c>
      <c r="G3962">
        <v>8.8397627664445894E-2</v>
      </c>
      <c r="H3962">
        <v>0.19033273637859999</v>
      </c>
      <c r="I3962">
        <v>0.43481168855161501</v>
      </c>
      <c r="J3962">
        <v>0.74576554210038504</v>
      </c>
      <c r="K3962">
        <v>1.05401663998933</v>
      </c>
      <c r="L3962">
        <v>4438.2895463354898</v>
      </c>
      <c r="M3962">
        <v>106.740209407045</v>
      </c>
      <c r="N3962">
        <v>42.330777422152302</v>
      </c>
      <c r="O3962">
        <v>41.565696474701902</v>
      </c>
      <c r="P3962">
        <v>-0.36937795958885</v>
      </c>
      <c r="Q3962">
        <v>0.42464210992429702</v>
      </c>
      <c r="R3962">
        <v>0.259781589646505</v>
      </c>
      <c r="S3962" t="s">
        <v>10632</v>
      </c>
      <c r="T3962" t="s">
        <v>13338</v>
      </c>
      <c r="U3962" t="s">
        <v>13338</v>
      </c>
      <c r="V3962" t="s">
        <v>13338</v>
      </c>
      <c r="W3962" t="s">
        <v>17246</v>
      </c>
      <c r="X3962">
        <v>1</v>
      </c>
      <c r="Y3962" t="s">
        <v>23758</v>
      </c>
      <c r="Z3962" t="s">
        <v>30377</v>
      </c>
      <c r="AA3962">
        <v>0.45527992154721603</v>
      </c>
      <c r="AB3962" t="str">
        <f>HYPERLINK("Melting_Curves/meltCurve_Q69YH5_CDCA2.pdf", "Melting_Curves/meltCurve_Q69YH5_CDCA2.pdf")</f>
        <v>Melting_Curves/meltCurve_Q69YH5_CDCA2.pdf</v>
      </c>
    </row>
    <row r="3963" spans="1:28" x14ac:dyDescent="0.25">
      <c r="A3963" t="s">
        <v>3967</v>
      </c>
      <c r="B3963">
        <v>0.99193492352474899</v>
      </c>
      <c r="C3963">
        <v>0.75735817285996199</v>
      </c>
      <c r="D3963">
        <v>0.83413173372662297</v>
      </c>
      <c r="E3963">
        <v>0.52884874128530002</v>
      </c>
      <c r="F3963">
        <v>0.36595688685550698</v>
      </c>
      <c r="G3963">
        <v>0.24502424450108601</v>
      </c>
      <c r="H3963">
        <v>0.10557347853848099</v>
      </c>
      <c r="I3963">
        <v>0.18534853573785201</v>
      </c>
      <c r="J3963">
        <v>0.15416702887450601</v>
      </c>
      <c r="K3963">
        <v>5.6995259980145901E-2</v>
      </c>
      <c r="L3963">
        <v>581.25878383129896</v>
      </c>
      <c r="M3963">
        <v>11.6638123902712</v>
      </c>
      <c r="N3963">
        <v>50.442663114613502</v>
      </c>
      <c r="O3963">
        <v>48.437117379630401</v>
      </c>
      <c r="P3963">
        <v>-5.6266453649423703E-2</v>
      </c>
      <c r="Q3963">
        <v>6.5605171367753207E-2</v>
      </c>
      <c r="R3963">
        <v>0.96565469665414005</v>
      </c>
      <c r="S3963" t="s">
        <v>10633</v>
      </c>
      <c r="T3963" t="s">
        <v>13338</v>
      </c>
      <c r="U3963" t="s">
        <v>13338</v>
      </c>
      <c r="V3963" t="s">
        <v>13338</v>
      </c>
      <c r="W3963" t="s">
        <v>17247</v>
      </c>
      <c r="X3963">
        <v>2</v>
      </c>
      <c r="Z3963" t="s">
        <v>30378</v>
      </c>
      <c r="AA3963">
        <v>0.40606035823455622</v>
      </c>
      <c r="AB3963" t="str">
        <f>HYPERLINK("Melting_Curves/meltCurve_Q69YL0_.pdf", "Melting_Curves/meltCurve_Q69YL0_.pdf")</f>
        <v>Melting_Curves/meltCurve_Q69YL0_.pdf</v>
      </c>
    </row>
    <row r="3964" spans="1:28" x14ac:dyDescent="0.25">
      <c r="A3964" t="s">
        <v>3968</v>
      </c>
      <c r="B3964">
        <v>0.99193492352474899</v>
      </c>
      <c r="C3964">
        <v>0.89338456641344399</v>
      </c>
      <c r="D3964">
        <v>0.99481526324064595</v>
      </c>
      <c r="E3964">
        <v>0.586511658097566</v>
      </c>
      <c r="F3964">
        <v>0.217779621928964</v>
      </c>
      <c r="G3964">
        <v>0.119996699343124</v>
      </c>
      <c r="H3964">
        <v>8.2834076709839097E-2</v>
      </c>
      <c r="I3964">
        <v>8.76356445046267E-2</v>
      </c>
      <c r="J3964">
        <v>0.100889333671137</v>
      </c>
      <c r="K3964">
        <v>0.11680778891142</v>
      </c>
      <c r="L3964">
        <v>1672.2688878282099</v>
      </c>
      <c r="M3964">
        <v>33.490292110990602</v>
      </c>
      <c r="N3964">
        <v>50.267476282481702</v>
      </c>
      <c r="O3964">
        <v>49.755902747499597</v>
      </c>
      <c r="P3964">
        <v>-0.15146405062645099</v>
      </c>
      <c r="Q3964">
        <v>9.9894242373793699E-2</v>
      </c>
      <c r="R3964">
        <v>0.99051946381454004</v>
      </c>
      <c r="S3964" t="s">
        <v>10634</v>
      </c>
      <c r="T3964" t="s">
        <v>13338</v>
      </c>
      <c r="U3964" t="s">
        <v>13338</v>
      </c>
      <c r="V3964" t="s">
        <v>13338</v>
      </c>
      <c r="W3964" t="s">
        <v>17248</v>
      </c>
      <c r="X3964">
        <v>22</v>
      </c>
      <c r="Y3964" t="s">
        <v>23759</v>
      </c>
      <c r="Z3964" t="s">
        <v>30379</v>
      </c>
      <c r="AA3964">
        <v>0.40236789592800548</v>
      </c>
      <c r="AB3964" t="str">
        <f>HYPERLINK("Melting_Curves/meltCurve_Q69YN2_CWF19L1.pdf", "Melting_Curves/meltCurve_Q69YN2_CWF19L1.pdf")</f>
        <v>Melting_Curves/meltCurve_Q69YN2_CWF19L1.pdf</v>
      </c>
    </row>
    <row r="3965" spans="1:28" x14ac:dyDescent="0.25">
      <c r="A3965" t="s">
        <v>3969</v>
      </c>
      <c r="B3965">
        <v>0.99193492352474899</v>
      </c>
      <c r="C3965">
        <v>0.50589582043981496</v>
      </c>
      <c r="D3965">
        <v>0.93138152238507099</v>
      </c>
      <c r="E3965">
        <v>0.25875674857020903</v>
      </c>
      <c r="F3965">
        <v>0.162759670360378</v>
      </c>
      <c r="G3965">
        <v>8.7868276367885204E-2</v>
      </c>
      <c r="H3965">
        <v>6.08625122138357E-2</v>
      </c>
      <c r="I3965">
        <v>7.3647519921687304E-2</v>
      </c>
      <c r="J3965">
        <v>7.25761840367109E-2</v>
      </c>
      <c r="K3965">
        <v>7.6221173164361306E-2</v>
      </c>
      <c r="L3965">
        <v>661.15352460198301</v>
      </c>
      <c r="M3965">
        <v>13.964210725489</v>
      </c>
      <c r="N3965">
        <v>47.573747328702503</v>
      </c>
      <c r="O3965">
        <v>46.407030629593102</v>
      </c>
      <c r="P3965">
        <v>-7.2807467132237999E-2</v>
      </c>
      <c r="Q3965">
        <v>3.2290041289355302E-2</v>
      </c>
      <c r="R3965">
        <v>0.81748285720566904</v>
      </c>
      <c r="S3965" t="s">
        <v>10635</v>
      </c>
      <c r="T3965" t="s">
        <v>13338</v>
      </c>
      <c r="U3965" t="s">
        <v>13338</v>
      </c>
      <c r="V3965" t="s">
        <v>13338</v>
      </c>
      <c r="W3965" t="s">
        <v>17249</v>
      </c>
      <c r="X3965">
        <v>8</v>
      </c>
      <c r="Y3965" t="s">
        <v>23760</v>
      </c>
      <c r="Z3965" t="s">
        <v>30380</v>
      </c>
      <c r="AA3965">
        <v>0.29898502723139109</v>
      </c>
      <c r="AB3965" t="str">
        <f>HYPERLINK("Melting_Curves/meltCurve_Q69YN4_KIAA1429.pdf", "Melting_Curves/meltCurve_Q69YN4_KIAA1429.pdf")</f>
        <v>Melting_Curves/meltCurve_Q69YN4_KIAA1429.pdf</v>
      </c>
    </row>
    <row r="3966" spans="1:28" x14ac:dyDescent="0.25">
      <c r="A3966" t="s">
        <v>3970</v>
      </c>
      <c r="B3966">
        <v>0.99193492352474899</v>
      </c>
      <c r="C3966">
        <v>0.793412089460234</v>
      </c>
      <c r="D3966">
        <v>0.68250510298052303</v>
      </c>
      <c r="E3966">
        <v>0.28806451999329302</v>
      </c>
      <c r="F3966">
        <v>0.29687476811754099</v>
      </c>
      <c r="G3966">
        <v>0.181340075654574</v>
      </c>
      <c r="H3966">
        <v>0.13461767422022899</v>
      </c>
      <c r="I3966">
        <v>0.121286836192249</v>
      </c>
      <c r="J3966">
        <v>0.14935793774916301</v>
      </c>
      <c r="K3966">
        <v>0.16854246089858399</v>
      </c>
      <c r="L3966">
        <v>825.09946656783097</v>
      </c>
      <c r="M3966">
        <v>17.700235513243701</v>
      </c>
      <c r="N3966">
        <v>47.5239018832659</v>
      </c>
      <c r="O3966">
        <v>46.032378907765803</v>
      </c>
      <c r="P3966">
        <v>-8.2332784907486897E-2</v>
      </c>
      <c r="Q3966">
        <v>0.14356529538305099</v>
      </c>
      <c r="R3966">
        <v>0.97830213221870999</v>
      </c>
      <c r="S3966" t="s">
        <v>10636</v>
      </c>
      <c r="T3966" t="s">
        <v>13338</v>
      </c>
      <c r="U3966" t="s">
        <v>13338</v>
      </c>
      <c r="V3966" t="s">
        <v>13338</v>
      </c>
      <c r="W3966" t="s">
        <v>17250</v>
      </c>
      <c r="X3966">
        <v>4</v>
      </c>
      <c r="Y3966" t="s">
        <v>23761</v>
      </c>
      <c r="Z3966" t="s">
        <v>30381</v>
      </c>
      <c r="AA3966">
        <v>0.34915276340451867</v>
      </c>
      <c r="AB3966" t="str">
        <f>HYPERLINK("Melting_Curves/meltCurve_Q69YQ0_2_SPECC1L.pdf", "Melting_Curves/meltCurve_Q69YQ0_2_SPECC1L.pdf")</f>
        <v>Melting_Curves/meltCurve_Q69YQ0_2_SPECC1L.pdf</v>
      </c>
    </row>
    <row r="3967" spans="1:28" x14ac:dyDescent="0.25">
      <c r="A3967" t="s">
        <v>3971</v>
      </c>
      <c r="B3967">
        <v>0.99193492352474899</v>
      </c>
      <c r="C3967">
        <v>0.85854480765124097</v>
      </c>
      <c r="D3967">
        <v>1.1314788879581199</v>
      </c>
      <c r="E3967">
        <v>0.78851473656160198</v>
      </c>
      <c r="F3967">
        <v>0.80742635618320102</v>
      </c>
      <c r="G3967">
        <v>0.489448525307218</v>
      </c>
      <c r="H3967">
        <v>0.43139327423820401</v>
      </c>
      <c r="I3967">
        <v>0.41219762416396799</v>
      </c>
      <c r="J3967">
        <v>0.65266192209174001</v>
      </c>
      <c r="K3967">
        <v>0.78463576780772104</v>
      </c>
      <c r="L3967">
        <v>1418.0011427238201</v>
      </c>
      <c r="M3967">
        <v>27.4865947624554</v>
      </c>
      <c r="O3967">
        <v>51.318101188114802</v>
      </c>
      <c r="P3967">
        <v>-5.9007307910710002E-2</v>
      </c>
      <c r="Q3967">
        <v>0.55933228382556999</v>
      </c>
      <c r="R3967">
        <v>0.65920035212028205</v>
      </c>
      <c r="S3967" t="s">
        <v>10637</v>
      </c>
      <c r="T3967" t="s">
        <v>13338</v>
      </c>
      <c r="U3967" t="s">
        <v>13338</v>
      </c>
      <c r="V3967" t="s">
        <v>13338</v>
      </c>
      <c r="W3967" t="s">
        <v>17251</v>
      </c>
      <c r="X3967">
        <v>3</v>
      </c>
      <c r="Y3967" t="s">
        <v>23762</v>
      </c>
      <c r="Z3967" t="s">
        <v>30382</v>
      </c>
      <c r="AA3967">
        <v>0.73288684379041102</v>
      </c>
      <c r="AB3967" t="str">
        <f>HYPERLINK("Melting_Curves/meltCurve_Q69YU5_C12orf73.pdf", "Melting_Curves/meltCurve_Q69YU5_C12orf73.pdf")</f>
        <v>Melting_Curves/meltCurve_Q69YU5_C12orf73.pdf</v>
      </c>
    </row>
    <row r="3968" spans="1:28" x14ac:dyDescent="0.25">
      <c r="A3968" t="s">
        <v>3972</v>
      </c>
      <c r="B3968">
        <v>0.99193492352474899</v>
      </c>
      <c r="C3968">
        <v>0.91156750435310197</v>
      </c>
      <c r="D3968">
        <v>0.91976995366487702</v>
      </c>
      <c r="E3968">
        <v>0.66953279716561998</v>
      </c>
      <c r="F3968">
        <v>0.72119693276456798</v>
      </c>
      <c r="G3968">
        <v>0.41304343208919703</v>
      </c>
      <c r="H3968">
        <v>0.31829965054099901</v>
      </c>
      <c r="I3968">
        <v>0.47736291978184903</v>
      </c>
      <c r="J3968">
        <v>0.40028654130701002</v>
      </c>
      <c r="K3968">
        <v>0.81789724301668199</v>
      </c>
      <c r="L3968">
        <v>972.30236173489698</v>
      </c>
      <c r="M3968">
        <v>19.859879598836301</v>
      </c>
      <c r="N3968">
        <v>64.853169384316303</v>
      </c>
      <c r="O3968">
        <v>48.469838729142701</v>
      </c>
      <c r="P3968">
        <v>-5.1612819484184301E-2</v>
      </c>
      <c r="Q3968">
        <v>0.49615378840073299</v>
      </c>
      <c r="R3968">
        <v>0.658485287428342</v>
      </c>
      <c r="S3968" t="s">
        <v>10638</v>
      </c>
      <c r="T3968" t="s">
        <v>13338</v>
      </c>
      <c r="U3968" t="s">
        <v>13338</v>
      </c>
      <c r="V3968" t="s">
        <v>13338</v>
      </c>
      <c r="W3968" t="s">
        <v>17252</v>
      </c>
      <c r="X3968">
        <v>4</v>
      </c>
      <c r="Y3968" t="s">
        <v>23763</v>
      </c>
      <c r="Z3968" t="s">
        <v>30383</v>
      </c>
      <c r="AA3968">
        <v>0.65376658963141687</v>
      </c>
      <c r="AB3968" t="str">
        <f>HYPERLINK("Melting_Curves/meltCurve_Q6BDS2_UHRF1BP1.pdf", "Melting_Curves/meltCurve_Q6BDS2_UHRF1BP1.pdf")</f>
        <v>Melting_Curves/meltCurve_Q6BDS2_UHRF1BP1.pdf</v>
      </c>
    </row>
    <row r="3969" spans="1:28" x14ac:dyDescent="0.25">
      <c r="A3969" t="s">
        <v>3973</v>
      </c>
      <c r="B3969">
        <v>0.99193492352474899</v>
      </c>
      <c r="C3969">
        <v>0.62505636867899705</v>
      </c>
      <c r="D3969">
        <v>0.43494744529352702</v>
      </c>
      <c r="E3969">
        <v>0.268860171669556</v>
      </c>
      <c r="F3969">
        <v>0.22883315567554599</v>
      </c>
      <c r="G3969">
        <v>0.14565832835126</v>
      </c>
      <c r="H3969">
        <v>9.7662715447642504E-2</v>
      </c>
      <c r="I3969">
        <v>7.8930340315389896E-2</v>
      </c>
      <c r="J3969">
        <v>7.2681367610357803E-2</v>
      </c>
      <c r="K3969">
        <v>4.04058864058238E-2</v>
      </c>
      <c r="L3969">
        <v>682.48480627411504</v>
      </c>
      <c r="M3969">
        <v>15.206130298316801</v>
      </c>
      <c r="N3969">
        <v>45.421322183634402</v>
      </c>
      <c r="O3969">
        <v>44.127446130514002</v>
      </c>
      <c r="P3969">
        <v>-7.9043456265328896E-2</v>
      </c>
      <c r="Q3969">
        <v>8.2566557891796899E-2</v>
      </c>
      <c r="R3969">
        <v>0.96781612374174697</v>
      </c>
      <c r="S3969" t="s">
        <v>10639</v>
      </c>
      <c r="T3969" t="s">
        <v>13338</v>
      </c>
      <c r="U3969" t="s">
        <v>13338</v>
      </c>
      <c r="V3969" t="s">
        <v>13338</v>
      </c>
      <c r="W3969" t="s">
        <v>17253</v>
      </c>
      <c r="X3969">
        <v>2</v>
      </c>
      <c r="Y3969" t="s">
        <v>23764</v>
      </c>
      <c r="Z3969" t="s">
        <v>30384</v>
      </c>
      <c r="AA3969">
        <v>0.26087835079148453</v>
      </c>
      <c r="AB3969" t="str">
        <f>HYPERLINK("Melting_Curves/meltCurve_Q6DCA0_AMMECR1L.pdf", "Melting_Curves/meltCurve_Q6DCA0_AMMECR1L.pdf")</f>
        <v>Melting_Curves/meltCurve_Q6DCA0_AMMECR1L.pdf</v>
      </c>
    </row>
    <row r="3970" spans="1:28" x14ac:dyDescent="0.25">
      <c r="A3970" t="s">
        <v>3974</v>
      </c>
      <c r="B3970">
        <v>0.99193492352474899</v>
      </c>
      <c r="C3970">
        <v>0.87162300349219002</v>
      </c>
      <c r="D3970">
        <v>0.64205400406857305</v>
      </c>
      <c r="E3970">
        <v>0.54955718393910502</v>
      </c>
      <c r="F3970">
        <v>0.430756767856876</v>
      </c>
      <c r="G3970">
        <v>0.34935038530397899</v>
      </c>
      <c r="H3970">
        <v>0.36553654682815301</v>
      </c>
      <c r="I3970">
        <v>0.488021694612706</v>
      </c>
      <c r="J3970">
        <v>0.39200468913071401</v>
      </c>
      <c r="K3970">
        <v>0.80265342716834198</v>
      </c>
      <c r="L3970">
        <v>1220.57444985762</v>
      </c>
      <c r="M3970">
        <v>27.2702175832321</v>
      </c>
      <c r="N3970">
        <v>50.342333540561803</v>
      </c>
      <c r="O3970">
        <v>44.519905952925498</v>
      </c>
      <c r="P3970">
        <v>-8.0287206050493401E-2</v>
      </c>
      <c r="Q3970">
        <v>0.475714514520506</v>
      </c>
      <c r="R3970">
        <v>0.68950801986607602</v>
      </c>
      <c r="S3970" t="s">
        <v>10640</v>
      </c>
      <c r="T3970" t="s">
        <v>13338</v>
      </c>
      <c r="U3970" t="s">
        <v>13338</v>
      </c>
      <c r="V3970" t="s">
        <v>13338</v>
      </c>
      <c r="W3970" t="s">
        <v>17254</v>
      </c>
      <c r="X3970">
        <v>7</v>
      </c>
      <c r="Y3970" t="s">
        <v>23765</v>
      </c>
      <c r="Z3970" t="s">
        <v>30385</v>
      </c>
      <c r="AA3970">
        <v>0.56322209645297605</v>
      </c>
      <c r="AB3970" t="str">
        <f>HYPERLINK("Melting_Curves/meltCurve_Q6DD87_ZNF787.pdf", "Melting_Curves/meltCurve_Q6DD87_ZNF787.pdf")</f>
        <v>Melting_Curves/meltCurve_Q6DD87_ZNF787.pdf</v>
      </c>
    </row>
    <row r="3971" spans="1:28" x14ac:dyDescent="0.25">
      <c r="A3971" t="s">
        <v>3975</v>
      </c>
      <c r="B3971">
        <v>0.99193492352474899</v>
      </c>
      <c r="C3971">
        <v>0.84574879227353505</v>
      </c>
      <c r="D3971">
        <v>0.90667710572505</v>
      </c>
      <c r="E3971">
        <v>0.78925456498371604</v>
      </c>
      <c r="F3971">
        <v>0.198695965009451</v>
      </c>
      <c r="G3971">
        <v>9.3571368729502696E-2</v>
      </c>
      <c r="H3971">
        <v>5.4615242224599403E-2</v>
      </c>
      <c r="I3971">
        <v>5.8505187703069103E-2</v>
      </c>
      <c r="J3971">
        <v>5.31737863848789E-2</v>
      </c>
      <c r="K3971">
        <v>5.35192873380771E-2</v>
      </c>
      <c r="L3971">
        <v>2033.63192104059</v>
      </c>
      <c r="M3971">
        <v>39.844752066449402</v>
      </c>
      <c r="N3971">
        <v>51.194600255700799</v>
      </c>
      <c r="O3971">
        <v>50.9108391032605</v>
      </c>
      <c r="P3971">
        <v>-0.184494202311342</v>
      </c>
      <c r="Q3971">
        <v>5.7066894529711497E-2</v>
      </c>
      <c r="R3971">
        <v>0.98007930315042502</v>
      </c>
      <c r="S3971" t="s">
        <v>10641</v>
      </c>
      <c r="T3971" t="s">
        <v>13338</v>
      </c>
      <c r="U3971" t="s">
        <v>13338</v>
      </c>
      <c r="V3971" t="s">
        <v>13338</v>
      </c>
      <c r="W3971" t="s">
        <v>17255</v>
      </c>
      <c r="X3971">
        <v>20</v>
      </c>
      <c r="Y3971" t="s">
        <v>23766</v>
      </c>
      <c r="Z3971" t="s">
        <v>30386</v>
      </c>
      <c r="AA3971">
        <v>0.40738391347041553</v>
      </c>
      <c r="AB3971" t="str">
        <f>HYPERLINK("Melting_Curves/meltCurve_Q6DD88_ATL3.pdf", "Melting_Curves/meltCurve_Q6DD88_ATL3.pdf")</f>
        <v>Melting_Curves/meltCurve_Q6DD88_ATL3.pdf</v>
      </c>
    </row>
    <row r="3972" spans="1:28" x14ac:dyDescent="0.25">
      <c r="A3972" t="s">
        <v>3976</v>
      </c>
      <c r="B3972">
        <v>0.99193492352474899</v>
      </c>
      <c r="C3972">
        <v>1.0097393578576499</v>
      </c>
      <c r="D3972">
        <v>1.28914746884026</v>
      </c>
      <c r="E3972">
        <v>1.05307575437166</v>
      </c>
      <c r="F3972">
        <v>1.28724552933954</v>
      </c>
      <c r="G3972">
        <v>0.77354879387254005</v>
      </c>
      <c r="H3972">
        <v>0.56824343126551602</v>
      </c>
      <c r="I3972">
        <v>0.41046420240074999</v>
      </c>
      <c r="J3972">
        <v>0.27534470507334402</v>
      </c>
      <c r="K3972">
        <v>0.16212082022833199</v>
      </c>
      <c r="L3972">
        <v>1504.22770376776</v>
      </c>
      <c r="M3972">
        <v>24.752327652093499</v>
      </c>
      <c r="N3972">
        <v>61.873846022164301</v>
      </c>
      <c r="O3972">
        <v>60.378676349286103</v>
      </c>
      <c r="P3972">
        <v>-8.4211034903920401E-2</v>
      </c>
      <c r="Q3972">
        <v>0.178343300271463</v>
      </c>
      <c r="R3972">
        <v>0.86741700473094396</v>
      </c>
      <c r="S3972" t="s">
        <v>10642</v>
      </c>
      <c r="T3972" t="s">
        <v>13338</v>
      </c>
      <c r="U3972" t="s">
        <v>13338</v>
      </c>
      <c r="V3972" t="s">
        <v>13338</v>
      </c>
      <c r="W3972" t="s">
        <v>17256</v>
      </c>
      <c r="X3972">
        <v>4</v>
      </c>
      <c r="Y3972" t="s">
        <v>23767</v>
      </c>
      <c r="Z3972" t="s">
        <v>30387</v>
      </c>
      <c r="AA3972">
        <v>0.75266632197393724</v>
      </c>
      <c r="AB3972" t="str">
        <f>HYPERLINK("Melting_Curves/meltCurve_Q6DHV7_ADAL.pdf", "Melting_Curves/meltCurve_Q6DHV7_ADAL.pdf")</f>
        <v>Melting_Curves/meltCurve_Q6DHV7_ADAL.pdf</v>
      </c>
    </row>
    <row r="3973" spans="1:28" x14ac:dyDescent="0.25">
      <c r="A3973" t="s">
        <v>3977</v>
      </c>
      <c r="B3973">
        <v>0.99193492352474899</v>
      </c>
      <c r="C3973">
        <v>0.60436564328624998</v>
      </c>
      <c r="D3973">
        <v>0.86352648154503897</v>
      </c>
      <c r="E3973">
        <v>0.49488082861142801</v>
      </c>
      <c r="F3973">
        <v>0.44451756754642902</v>
      </c>
      <c r="G3973">
        <v>0.210616431411701</v>
      </c>
      <c r="H3973">
        <v>0.13521207981400099</v>
      </c>
      <c r="I3973">
        <v>0.124167629045091</v>
      </c>
      <c r="J3973">
        <v>0.16534730801846301</v>
      </c>
      <c r="K3973">
        <v>0.20529738111267701</v>
      </c>
      <c r="L3973">
        <v>498.034684177131</v>
      </c>
      <c r="M3973">
        <v>10.122390006250299</v>
      </c>
      <c r="N3973">
        <v>50.127845803272002</v>
      </c>
      <c r="O3973">
        <v>47.396843740389102</v>
      </c>
      <c r="P3973">
        <v>-4.8859003615410401E-2</v>
      </c>
      <c r="Q3973">
        <v>8.5319606707673204E-2</v>
      </c>
      <c r="R3973">
        <v>0.88018979072372505</v>
      </c>
      <c r="S3973" t="s">
        <v>10643</v>
      </c>
      <c r="T3973" t="s">
        <v>13338</v>
      </c>
      <c r="U3973" t="s">
        <v>13338</v>
      </c>
      <c r="V3973" t="s">
        <v>13338</v>
      </c>
      <c r="W3973" t="s">
        <v>17257</v>
      </c>
      <c r="X3973">
        <v>1</v>
      </c>
      <c r="Y3973" t="s">
        <v>23768</v>
      </c>
      <c r="Z3973" t="s">
        <v>30388</v>
      </c>
      <c r="AA3973">
        <v>0.40915235309696102</v>
      </c>
      <c r="AB3973" t="str">
        <f>HYPERLINK("Melting_Curves/meltCurve_Q6DKI7_PVRIG.pdf", "Melting_Curves/meltCurve_Q6DKI7_PVRIG.pdf")</f>
        <v>Melting_Curves/meltCurve_Q6DKI7_PVRIG.pdf</v>
      </c>
    </row>
    <row r="3974" spans="1:28" x14ac:dyDescent="0.25">
      <c r="A3974" t="s">
        <v>3978</v>
      </c>
      <c r="B3974">
        <v>0.99193492352474899</v>
      </c>
      <c r="C3974">
        <v>0.95252433953054105</v>
      </c>
      <c r="D3974">
        <v>0.83100389349694204</v>
      </c>
      <c r="E3974">
        <v>0.50678499830436796</v>
      </c>
      <c r="F3974">
        <v>0.185744606056675</v>
      </c>
      <c r="G3974">
        <v>0.121248846157651</v>
      </c>
      <c r="H3974">
        <v>8.0529837564639203E-2</v>
      </c>
      <c r="I3974">
        <v>0.100222717398132</v>
      </c>
      <c r="J3974">
        <v>0.105131460183622</v>
      </c>
      <c r="K3974">
        <v>8.5100548656017905E-2</v>
      </c>
      <c r="L3974">
        <v>1156.4704492816099</v>
      </c>
      <c r="M3974">
        <v>23.5708715081803</v>
      </c>
      <c r="N3974">
        <v>49.4580316756496</v>
      </c>
      <c r="O3974">
        <v>48.714498419831301</v>
      </c>
      <c r="P3974">
        <v>-0.110600199298912</v>
      </c>
      <c r="Q3974">
        <v>8.5695200601924301E-2</v>
      </c>
      <c r="R3974">
        <v>0.99832709545698195</v>
      </c>
      <c r="S3974" t="s">
        <v>10644</v>
      </c>
      <c r="T3974" t="s">
        <v>13338</v>
      </c>
      <c r="U3974" t="s">
        <v>13338</v>
      </c>
      <c r="V3974" t="s">
        <v>13338</v>
      </c>
      <c r="W3974" t="s">
        <v>17258</v>
      </c>
      <c r="X3974">
        <v>10</v>
      </c>
      <c r="Y3974" t="s">
        <v>23769</v>
      </c>
      <c r="Z3974" t="s">
        <v>30389</v>
      </c>
      <c r="AA3974">
        <v>0.37107163890604239</v>
      </c>
      <c r="AB3974" t="str">
        <f>HYPERLINK("Melting_Curves/meltCurve_Q6DKJ4_NXN.pdf", "Melting_Curves/meltCurve_Q6DKJ4_NXN.pdf")</f>
        <v>Melting_Curves/meltCurve_Q6DKJ4_NXN.pdf</v>
      </c>
    </row>
    <row r="3975" spans="1:28" x14ac:dyDescent="0.25">
      <c r="A3975" t="s">
        <v>3979</v>
      </c>
      <c r="B3975">
        <v>0.99193492352474899</v>
      </c>
      <c r="C3975">
        <v>0.85428515319530096</v>
      </c>
      <c r="D3975">
        <v>0.90866973535384499</v>
      </c>
      <c r="E3975">
        <v>0.62440922646168096</v>
      </c>
      <c r="F3975">
        <v>0.30830207872445797</v>
      </c>
      <c r="G3975">
        <v>0.19741625319605699</v>
      </c>
      <c r="H3975">
        <v>0.122265805070221</v>
      </c>
      <c r="I3975">
        <v>0.13715457323093</v>
      </c>
      <c r="J3975">
        <v>0.14883276556397801</v>
      </c>
      <c r="K3975">
        <v>0.12785839428318099</v>
      </c>
      <c r="L3975">
        <v>1026.55182608877</v>
      </c>
      <c r="M3975">
        <v>20.479706184996001</v>
      </c>
      <c r="N3975">
        <v>50.822410332973803</v>
      </c>
      <c r="O3975">
        <v>49.654736010264998</v>
      </c>
      <c r="P3975">
        <v>-9.0487534351910495E-2</v>
      </c>
      <c r="Q3975">
        <v>0.122448061017342</v>
      </c>
      <c r="R3975">
        <v>0.98589937692455298</v>
      </c>
      <c r="S3975" t="s">
        <v>10645</v>
      </c>
      <c r="T3975" t="s">
        <v>13338</v>
      </c>
      <c r="U3975" t="s">
        <v>13338</v>
      </c>
      <c r="V3975" t="s">
        <v>13338</v>
      </c>
      <c r="W3975" t="s">
        <v>17259</v>
      </c>
      <c r="X3975">
        <v>7</v>
      </c>
      <c r="Y3975" t="s">
        <v>23770</v>
      </c>
      <c r="Z3975" t="s">
        <v>30390</v>
      </c>
      <c r="AA3975">
        <v>0.43029192991469978</v>
      </c>
      <c r="AB3975" t="str">
        <f>HYPERLINK("Melting_Curves/meltCurve_Q6DKK2_TTC19.pdf", "Melting_Curves/meltCurve_Q6DKK2_TTC19.pdf")</f>
        <v>Melting_Curves/meltCurve_Q6DKK2_TTC19.pdf</v>
      </c>
    </row>
    <row r="3976" spans="1:28" x14ac:dyDescent="0.25">
      <c r="A3976" t="s">
        <v>3980</v>
      </c>
      <c r="B3976">
        <v>0.99193492352474899</v>
      </c>
      <c r="C3976">
        <v>1.1307201694290401</v>
      </c>
      <c r="D3976">
        <v>0.64931612929819604</v>
      </c>
      <c r="E3976">
        <v>0.89592259848231104</v>
      </c>
      <c r="F3976">
        <v>0.67997563485615997</v>
      </c>
      <c r="G3976">
        <v>0.51946894833609003</v>
      </c>
      <c r="H3976">
        <v>0.43627059197780399</v>
      </c>
      <c r="I3976">
        <v>0.62453456784330796</v>
      </c>
      <c r="J3976">
        <v>0.35985194216770899</v>
      </c>
      <c r="K3976">
        <v>0.93997858969605996</v>
      </c>
      <c r="L3976">
        <v>830.73341106901796</v>
      </c>
      <c r="M3976">
        <v>17.224798822521301</v>
      </c>
      <c r="O3976">
        <v>47.592942078419199</v>
      </c>
      <c r="P3976">
        <v>-3.7855660538485901E-2</v>
      </c>
      <c r="Q3976">
        <v>0.58163655724723995</v>
      </c>
      <c r="R3976">
        <v>0.46050706601422298</v>
      </c>
      <c r="S3976" t="s">
        <v>10646</v>
      </c>
      <c r="T3976" t="s">
        <v>13338</v>
      </c>
      <c r="U3976" t="s">
        <v>13338</v>
      </c>
      <c r="V3976" t="s">
        <v>13338</v>
      </c>
      <c r="W3976" t="s">
        <v>17260</v>
      </c>
      <c r="X3976">
        <v>3</v>
      </c>
      <c r="Y3976" t="s">
        <v>21893</v>
      </c>
      <c r="Z3976" t="s">
        <v>30391</v>
      </c>
      <c r="AA3976">
        <v>0.70446573172713256</v>
      </c>
      <c r="AB3976" t="str">
        <f>HYPERLINK("Melting_Curves/meltCurve_Q6EEV4_2_POLR2M.pdf", "Melting_Curves/meltCurve_Q6EEV4_2_POLR2M.pdf")</f>
        <v>Melting_Curves/meltCurve_Q6EEV4_2_POLR2M.pdf</v>
      </c>
    </row>
    <row r="3977" spans="1:28" x14ac:dyDescent="0.25">
      <c r="A3977" t="s">
        <v>3981</v>
      </c>
      <c r="B3977">
        <v>0.99193492352474899</v>
      </c>
      <c r="C3977">
        <v>0.83035992385588697</v>
      </c>
      <c r="D3977">
        <v>0.94144373666658698</v>
      </c>
      <c r="E3977">
        <v>0.63049690983865503</v>
      </c>
      <c r="F3977">
        <v>0.223768331050305</v>
      </c>
      <c r="G3977">
        <v>0.100932652928151</v>
      </c>
      <c r="H3977">
        <v>6.2627536008779294E-2</v>
      </c>
      <c r="I3977">
        <v>7.7510295361635395E-2</v>
      </c>
      <c r="J3977">
        <v>9.3142308789791295E-2</v>
      </c>
      <c r="K3977">
        <v>0.123181337230981</v>
      </c>
      <c r="L3977">
        <v>1443.30365060243</v>
      </c>
      <c r="M3977">
        <v>28.758561591467899</v>
      </c>
      <c r="N3977">
        <v>50.504958646137503</v>
      </c>
      <c r="O3977">
        <v>49.946131519537303</v>
      </c>
      <c r="P3977">
        <v>-0.13202687861495599</v>
      </c>
      <c r="Q3977">
        <v>8.2821825334034593E-2</v>
      </c>
      <c r="R3977">
        <v>0.97885664786568805</v>
      </c>
      <c r="S3977" t="s">
        <v>10647</v>
      </c>
      <c r="T3977" t="s">
        <v>13338</v>
      </c>
      <c r="U3977" t="s">
        <v>13338</v>
      </c>
      <c r="V3977" t="s">
        <v>13338</v>
      </c>
      <c r="W3977" t="s">
        <v>17261</v>
      </c>
      <c r="X3977">
        <v>19</v>
      </c>
      <c r="Y3977" t="s">
        <v>23771</v>
      </c>
      <c r="Z3977" t="s">
        <v>30392</v>
      </c>
      <c r="AA3977">
        <v>0.40045944148698809</v>
      </c>
      <c r="AB3977" t="str">
        <f>HYPERLINK("Melting_Curves/meltCurve_Q6FI81_CIAPIN1.pdf", "Melting_Curves/meltCurve_Q6FI81_CIAPIN1.pdf")</f>
        <v>Melting_Curves/meltCurve_Q6FI81_CIAPIN1.pdf</v>
      </c>
    </row>
    <row r="3978" spans="1:28" x14ac:dyDescent="0.25">
      <c r="A3978" t="s">
        <v>3982</v>
      </c>
      <c r="B3978">
        <v>0.99193492352474899</v>
      </c>
      <c r="C3978">
        <v>0.80766986742088798</v>
      </c>
      <c r="D3978">
        <v>0.88669400880552296</v>
      </c>
      <c r="E3978">
        <v>0.75682868660465197</v>
      </c>
      <c r="F3978">
        <v>0.72395729964394795</v>
      </c>
      <c r="G3978">
        <v>0.57089442806083102</v>
      </c>
      <c r="H3978">
        <v>0.472920020724034</v>
      </c>
      <c r="I3978">
        <v>0.67839955266250596</v>
      </c>
      <c r="J3978">
        <v>0.75344527190101396</v>
      </c>
      <c r="K3978">
        <v>1.00339654116961</v>
      </c>
      <c r="L3978">
        <v>751.71054498076205</v>
      </c>
      <c r="M3978">
        <v>16.976609833131999</v>
      </c>
      <c r="O3978">
        <v>43.678487660003398</v>
      </c>
      <c r="P3978">
        <v>-2.8885887981082201E-2</v>
      </c>
      <c r="Q3978">
        <v>0.70274076806864705</v>
      </c>
      <c r="R3978">
        <v>0.29502012530464999</v>
      </c>
      <c r="S3978" t="s">
        <v>10648</v>
      </c>
      <c r="T3978" t="s">
        <v>13338</v>
      </c>
      <c r="U3978" t="s">
        <v>13338</v>
      </c>
      <c r="V3978" t="s">
        <v>13338</v>
      </c>
      <c r="W3978" t="s">
        <v>17262</v>
      </c>
      <c r="X3978">
        <v>9</v>
      </c>
      <c r="Y3978" t="s">
        <v>23772</v>
      </c>
      <c r="Z3978" t="s">
        <v>30393</v>
      </c>
      <c r="AA3978">
        <v>0.75313736261730924</v>
      </c>
      <c r="AB3978" t="str">
        <f>HYPERLINK("Melting_Curves/meltCurve_Q6FIF0_2_ZFAND6.pdf", "Melting_Curves/meltCurve_Q6FIF0_2_ZFAND6.pdf")</f>
        <v>Melting_Curves/meltCurve_Q6FIF0_2_ZFAND6.pdf</v>
      </c>
    </row>
    <row r="3979" spans="1:28" x14ac:dyDescent="0.25">
      <c r="A3979" t="s">
        <v>3983</v>
      </c>
      <c r="B3979">
        <v>0.99193492352474899</v>
      </c>
      <c r="C3979">
        <v>0.59324422326181403</v>
      </c>
      <c r="D3979">
        <v>0.87176366482905199</v>
      </c>
      <c r="E3979">
        <v>0.77957130981074296</v>
      </c>
      <c r="F3979">
        <v>0.49239594996860397</v>
      </c>
      <c r="G3979">
        <v>6.5920898780383902E-2</v>
      </c>
      <c r="H3979">
        <v>4.7446653822409202E-2</v>
      </c>
      <c r="I3979">
        <v>9.1897071679406694E-2</v>
      </c>
      <c r="J3979">
        <v>0.117821150346037</v>
      </c>
      <c r="K3979">
        <v>0.115870143516806</v>
      </c>
      <c r="S3979" t="s">
        <v>10649</v>
      </c>
      <c r="T3979" t="s">
        <v>13338</v>
      </c>
      <c r="U3979" t="s">
        <v>13339</v>
      </c>
      <c r="V3979" t="s">
        <v>13338</v>
      </c>
      <c r="W3979" t="s">
        <v>17263</v>
      </c>
      <c r="X3979">
        <v>1</v>
      </c>
      <c r="Y3979" t="s">
        <v>23773</v>
      </c>
      <c r="Z3979" t="s">
        <v>30394</v>
      </c>
      <c r="AB3979" t="str">
        <f>HYPERLINK("Melting_Curves/meltCurve_Q6GMR7_FAAH2.pdf", "Melting_Curves/meltCurve_Q6GMR7_FAAH2.pdf")</f>
        <v>Melting_Curves/meltCurve_Q6GMR7_FAAH2.pdf</v>
      </c>
    </row>
    <row r="3980" spans="1:28" x14ac:dyDescent="0.25">
      <c r="A3980" t="s">
        <v>3984</v>
      </c>
      <c r="B3980">
        <v>0.99193492352474899</v>
      </c>
      <c r="C3980">
        <v>1.04086877491875</v>
      </c>
      <c r="D3980">
        <v>1.00300429124123</v>
      </c>
      <c r="E3980">
        <v>0.87475348697992605</v>
      </c>
      <c r="F3980">
        <v>0.49401378691109299</v>
      </c>
      <c r="G3980">
        <v>0.189934360996562</v>
      </c>
      <c r="H3980">
        <v>7.7893819514663704E-2</v>
      </c>
      <c r="I3980">
        <v>0.101715404255841</v>
      </c>
      <c r="J3980">
        <v>0.11085631595197599</v>
      </c>
      <c r="K3980">
        <v>9.6823869638474405E-2</v>
      </c>
      <c r="L3980">
        <v>1592.30218785236</v>
      </c>
      <c r="M3980">
        <v>30.1806669694063</v>
      </c>
      <c r="N3980">
        <v>53.117771170344596</v>
      </c>
      <c r="O3980">
        <v>52.529008857999798</v>
      </c>
      <c r="P3980">
        <v>-0.130394937867856</v>
      </c>
      <c r="Q3980">
        <v>9.2203861393249098E-2</v>
      </c>
      <c r="R3980">
        <v>0.99797359188352697</v>
      </c>
      <c r="S3980" t="s">
        <v>10650</v>
      </c>
      <c r="T3980" t="s">
        <v>13338</v>
      </c>
      <c r="U3980" t="s">
        <v>13338</v>
      </c>
      <c r="V3980" t="s">
        <v>13338</v>
      </c>
      <c r="W3980" t="s">
        <v>17264</v>
      </c>
      <c r="X3980">
        <v>11</v>
      </c>
      <c r="Y3980" t="s">
        <v>23774</v>
      </c>
      <c r="Z3980" t="s">
        <v>30395</v>
      </c>
      <c r="AA3980">
        <v>0.48408800533586382</v>
      </c>
      <c r="AB3980" t="str">
        <f>HYPERLINK("Melting_Curves/meltCurve_Q6GMV2_SMYD5.pdf", "Melting_Curves/meltCurve_Q6GMV2_SMYD5.pdf")</f>
        <v>Melting_Curves/meltCurve_Q6GMV2_SMYD5.pdf</v>
      </c>
    </row>
    <row r="3981" spans="1:28" x14ac:dyDescent="0.25">
      <c r="A3981" t="s">
        <v>3985</v>
      </c>
      <c r="B3981">
        <v>0.99193492352474899</v>
      </c>
      <c r="C3981">
        <v>0.77007906916775803</v>
      </c>
      <c r="D3981">
        <v>0.91390620433649705</v>
      </c>
      <c r="E3981">
        <v>0.72341251370832704</v>
      </c>
      <c r="F3981">
        <v>0.68413515702497396</v>
      </c>
      <c r="G3981">
        <v>0.40360218083265997</v>
      </c>
      <c r="H3981">
        <v>0.364280237914406</v>
      </c>
      <c r="I3981">
        <v>0.27489790292285299</v>
      </c>
      <c r="J3981">
        <v>0.29712115637944803</v>
      </c>
      <c r="K3981">
        <v>0.27830056370161699</v>
      </c>
      <c r="L3981">
        <v>481.79347692770801</v>
      </c>
      <c r="M3981">
        <v>8.9724817191196706</v>
      </c>
      <c r="N3981">
        <v>56.015275575483997</v>
      </c>
      <c r="O3981">
        <v>51.230626333729703</v>
      </c>
      <c r="P3981">
        <v>-3.7020605577297201E-2</v>
      </c>
      <c r="Q3981">
        <v>0.15510739794214301</v>
      </c>
      <c r="R3981">
        <v>0.93574673052708801</v>
      </c>
      <c r="S3981" t="s">
        <v>10651</v>
      </c>
      <c r="T3981" t="s">
        <v>13338</v>
      </c>
      <c r="U3981" t="s">
        <v>13338</v>
      </c>
      <c r="V3981" t="s">
        <v>13338</v>
      </c>
      <c r="W3981" t="s">
        <v>17265</v>
      </c>
      <c r="X3981">
        <v>9</v>
      </c>
      <c r="Y3981" t="s">
        <v>23775</v>
      </c>
      <c r="Z3981" t="s">
        <v>30396</v>
      </c>
      <c r="AA3981">
        <v>0.56947926230762347</v>
      </c>
      <c r="AB3981" t="str">
        <f>HYPERLINK("Melting_Curves/meltCurve_Q6GMV3_PTRHD1.pdf", "Melting_Curves/meltCurve_Q6GMV3_PTRHD1.pdf")</f>
        <v>Melting_Curves/meltCurve_Q6GMV3_PTRHD1.pdf</v>
      </c>
    </row>
    <row r="3982" spans="1:28" x14ac:dyDescent="0.25">
      <c r="A3982" t="s">
        <v>3986</v>
      </c>
      <c r="B3982">
        <v>0.99193492352474899</v>
      </c>
      <c r="C3982">
        <v>0.95265065252353598</v>
      </c>
      <c r="D3982">
        <v>0.753789562767745</v>
      </c>
      <c r="E3982">
        <v>0.35234545475710499</v>
      </c>
      <c r="F3982">
        <v>0.206135346785153</v>
      </c>
      <c r="G3982">
        <v>0.167696120943743</v>
      </c>
      <c r="H3982">
        <v>0.10174840071762301</v>
      </c>
      <c r="I3982">
        <v>0.14357495589031699</v>
      </c>
      <c r="J3982">
        <v>9.4011868913878305E-2</v>
      </c>
      <c r="K3982">
        <v>0.131278229637069</v>
      </c>
      <c r="L3982">
        <v>1183.00013084839</v>
      </c>
      <c r="M3982">
        <v>24.810080736610299</v>
      </c>
      <c r="N3982">
        <v>48.240741754594097</v>
      </c>
      <c r="O3982">
        <v>47.375694631281199</v>
      </c>
      <c r="P3982">
        <v>-0.114579789991915</v>
      </c>
      <c r="Q3982">
        <v>0.12483607581892101</v>
      </c>
      <c r="R3982">
        <v>0.99712821251809103</v>
      </c>
      <c r="S3982" t="s">
        <v>10652</v>
      </c>
      <c r="T3982" t="s">
        <v>13338</v>
      </c>
      <c r="U3982" t="s">
        <v>13338</v>
      </c>
      <c r="V3982" t="s">
        <v>13338</v>
      </c>
      <c r="W3982" t="s">
        <v>17266</v>
      </c>
      <c r="X3982">
        <v>2</v>
      </c>
      <c r="Y3982" t="s">
        <v>23776</v>
      </c>
      <c r="Z3982" t="s">
        <v>30397</v>
      </c>
      <c r="AA3982">
        <v>0.35681733912328922</v>
      </c>
      <c r="AB3982" t="str">
        <f>HYPERLINK("Melting_Curves/meltCurve_Q6GQQ9_2_OTUD7B.pdf", "Melting_Curves/meltCurve_Q6GQQ9_2_OTUD7B.pdf")</f>
        <v>Melting_Curves/meltCurve_Q6GQQ9_2_OTUD7B.pdf</v>
      </c>
    </row>
    <row r="3983" spans="1:28" x14ac:dyDescent="0.25">
      <c r="A3983" t="s">
        <v>3987</v>
      </c>
      <c r="B3983">
        <v>0.99193492352474899</v>
      </c>
      <c r="C3983">
        <v>0.84463714878757601</v>
      </c>
      <c r="D3983">
        <v>1.0105256711816299</v>
      </c>
      <c r="E3983">
        <v>0.80260084677131505</v>
      </c>
      <c r="F3983">
        <v>0.71152860590719003</v>
      </c>
      <c r="G3983">
        <v>0.45450205005468403</v>
      </c>
      <c r="H3983">
        <v>0.45151467821894498</v>
      </c>
      <c r="I3983">
        <v>0.50274271344604204</v>
      </c>
      <c r="J3983">
        <v>0.70912365593840099</v>
      </c>
      <c r="K3983">
        <v>0.876771480006726</v>
      </c>
      <c r="L3983">
        <v>1703.7554218519299</v>
      </c>
      <c r="M3983">
        <v>34.192119112248598</v>
      </c>
      <c r="O3983">
        <v>49.659372185643797</v>
      </c>
      <c r="P3983">
        <v>-6.7459625055323602E-2</v>
      </c>
      <c r="Q3983">
        <v>0.60809803706866195</v>
      </c>
      <c r="R3983">
        <v>0.56032518243762597</v>
      </c>
      <c r="S3983" t="s">
        <v>10653</v>
      </c>
      <c r="T3983" t="s">
        <v>13338</v>
      </c>
      <c r="U3983" t="s">
        <v>13338</v>
      </c>
      <c r="V3983" t="s">
        <v>13338</v>
      </c>
      <c r="W3983" t="s">
        <v>17267</v>
      </c>
      <c r="X3983">
        <v>9</v>
      </c>
      <c r="Y3983" t="s">
        <v>23777</v>
      </c>
      <c r="Z3983" t="s">
        <v>30398</v>
      </c>
      <c r="AA3983">
        <v>0.73835124452972845</v>
      </c>
      <c r="AB3983" t="str">
        <f>HYPERLINK("Melting_Curves/meltCurve_Q6GYA4_SELS.pdf", "Melting_Curves/meltCurve_Q6GYA4_SELS.pdf")</f>
        <v>Melting_Curves/meltCurve_Q6GYA4_SELS.pdf</v>
      </c>
    </row>
    <row r="3984" spans="1:28" x14ac:dyDescent="0.25">
      <c r="A3984" t="s">
        <v>3988</v>
      </c>
      <c r="B3984">
        <v>0.99193492352474899</v>
      </c>
      <c r="C3984">
        <v>0.841829525995891</v>
      </c>
      <c r="D3984">
        <v>0.93876690715147904</v>
      </c>
      <c r="E3984">
        <v>0.49767837812759502</v>
      </c>
      <c r="F3984">
        <v>0.26454463079582102</v>
      </c>
      <c r="G3984">
        <v>0.14214956695860101</v>
      </c>
      <c r="H3984">
        <v>9.2830774328231294E-2</v>
      </c>
      <c r="I3984">
        <v>0.107519108867333</v>
      </c>
      <c r="J3984">
        <v>0.12963424128912299</v>
      </c>
      <c r="K3984">
        <v>0.128221678239332</v>
      </c>
      <c r="L3984">
        <v>1210.9440643755199</v>
      </c>
      <c r="M3984">
        <v>24.543918484064999</v>
      </c>
      <c r="N3984">
        <v>49.857081672428201</v>
      </c>
      <c r="O3984">
        <v>49.0138005490358</v>
      </c>
      <c r="P3984">
        <v>-0.11107195042541</v>
      </c>
      <c r="Q3984">
        <v>0.11277708028125399</v>
      </c>
      <c r="R3984">
        <v>0.97934996778467898</v>
      </c>
      <c r="S3984" t="s">
        <v>10654</v>
      </c>
      <c r="T3984" t="s">
        <v>13338</v>
      </c>
      <c r="U3984" t="s">
        <v>13338</v>
      </c>
      <c r="V3984" t="s">
        <v>13338</v>
      </c>
      <c r="W3984" t="s">
        <v>17268</v>
      </c>
      <c r="X3984">
        <v>8</v>
      </c>
      <c r="Y3984" t="s">
        <v>23778</v>
      </c>
      <c r="Z3984" t="s">
        <v>30399</v>
      </c>
      <c r="AA3984">
        <v>0.39711886025243132</v>
      </c>
      <c r="AB3984" t="str">
        <f>HYPERLINK("Melting_Curves/meltCurve_Q6GYQ0_4_RALGAPA1.pdf", "Melting_Curves/meltCurve_Q6GYQ0_4_RALGAPA1.pdf")</f>
        <v>Melting_Curves/meltCurve_Q6GYQ0_4_RALGAPA1.pdf</v>
      </c>
    </row>
    <row r="3985" spans="1:28" x14ac:dyDescent="0.25">
      <c r="A3985" t="s">
        <v>3989</v>
      </c>
      <c r="B3985">
        <v>0.99193492352474899</v>
      </c>
      <c r="C3985">
        <v>0.74511315444054904</v>
      </c>
      <c r="D3985">
        <v>0.74000336295777402</v>
      </c>
      <c r="E3985">
        <v>0.50830600483024801</v>
      </c>
      <c r="F3985">
        <v>0.19181019057492299</v>
      </c>
      <c r="G3985">
        <v>0.110868984004609</v>
      </c>
      <c r="H3985">
        <v>7.4723631707280899E-2</v>
      </c>
      <c r="I3985">
        <v>8.4238538917173394E-2</v>
      </c>
      <c r="J3985">
        <v>0.103382289090929</v>
      </c>
      <c r="K3985">
        <v>0.104022368817865</v>
      </c>
      <c r="L3985">
        <v>702.86098431482696</v>
      </c>
      <c r="M3985">
        <v>14.5535260549554</v>
      </c>
      <c r="N3985">
        <v>48.696228658670499</v>
      </c>
      <c r="O3985">
        <v>47.410522103843597</v>
      </c>
      <c r="P3985">
        <v>-7.2413345218712497E-2</v>
      </c>
      <c r="Q3985">
        <v>5.6513146611671797E-2</v>
      </c>
      <c r="R3985">
        <v>0.97045704766899099</v>
      </c>
      <c r="S3985" t="s">
        <v>10655</v>
      </c>
      <c r="T3985" t="s">
        <v>13338</v>
      </c>
      <c r="U3985" t="s">
        <v>13338</v>
      </c>
      <c r="V3985" t="s">
        <v>13338</v>
      </c>
      <c r="W3985" t="s">
        <v>17269</v>
      </c>
      <c r="X3985">
        <v>10</v>
      </c>
      <c r="Y3985" t="s">
        <v>23779</v>
      </c>
      <c r="Z3985" t="s">
        <v>30400</v>
      </c>
      <c r="AA3985">
        <v>0.34278647370893561</v>
      </c>
      <c r="AB3985" t="str">
        <f>HYPERLINK("Melting_Curves/meltCurve_Q6I9Y2_THOC7.pdf", "Melting_Curves/meltCurve_Q6I9Y2_THOC7.pdf")</f>
        <v>Melting_Curves/meltCurve_Q6I9Y2_THOC7.pdf</v>
      </c>
    </row>
    <row r="3986" spans="1:28" x14ac:dyDescent="0.25">
      <c r="A3986" t="s">
        <v>3990</v>
      </c>
      <c r="B3986">
        <v>0.99193492352474899</v>
      </c>
      <c r="C3986">
        <v>0.90923895985014902</v>
      </c>
      <c r="D3986">
        <v>0.90050913578251401</v>
      </c>
      <c r="E3986">
        <v>0.63981615471008202</v>
      </c>
      <c r="F3986">
        <v>0.29591137714457699</v>
      </c>
      <c r="G3986">
        <v>0.16706881430144599</v>
      </c>
      <c r="H3986">
        <v>0.105304321490644</v>
      </c>
      <c r="I3986">
        <v>0.13962741646322599</v>
      </c>
      <c r="J3986">
        <v>0.119680515869082</v>
      </c>
      <c r="K3986">
        <v>0.27948849267375703</v>
      </c>
      <c r="L3986">
        <v>1280.67207033</v>
      </c>
      <c r="M3986">
        <v>25.6156913573056</v>
      </c>
      <c r="N3986">
        <v>50.7164723792743</v>
      </c>
      <c r="O3986">
        <v>49.693893738712703</v>
      </c>
      <c r="P3986">
        <v>-0.10920535137671</v>
      </c>
      <c r="Q3986">
        <v>0.15258615499301201</v>
      </c>
      <c r="R3986">
        <v>0.97664016206563697</v>
      </c>
      <c r="S3986" t="s">
        <v>10656</v>
      </c>
      <c r="T3986" t="s">
        <v>13338</v>
      </c>
      <c r="U3986" t="s">
        <v>13338</v>
      </c>
      <c r="V3986" t="s">
        <v>13338</v>
      </c>
      <c r="W3986" t="s">
        <v>17270</v>
      </c>
      <c r="X3986">
        <v>3</v>
      </c>
      <c r="Y3986" t="s">
        <v>23780</v>
      </c>
      <c r="Z3986" t="s">
        <v>30401</v>
      </c>
      <c r="AA3986">
        <v>0.44214509664566171</v>
      </c>
      <c r="AB3986" t="str">
        <f>HYPERLINK("Melting_Curves/meltCurve_Q6IA17_SIGIRR.pdf", "Melting_Curves/meltCurve_Q6IA17_SIGIRR.pdf")</f>
        <v>Melting_Curves/meltCurve_Q6IA17_SIGIRR.pdf</v>
      </c>
    </row>
    <row r="3987" spans="1:28" x14ac:dyDescent="0.25">
      <c r="A3987" t="s">
        <v>3991</v>
      </c>
      <c r="B3987">
        <v>0.99193492352474899</v>
      </c>
      <c r="C3987">
        <v>1.06179671992362</v>
      </c>
      <c r="D3987">
        <v>0.86856070722534295</v>
      </c>
      <c r="E3987">
        <v>0.83454498841175695</v>
      </c>
      <c r="F3987">
        <v>0.71313717888736705</v>
      </c>
      <c r="G3987">
        <v>0.60407501921850304</v>
      </c>
      <c r="H3987">
        <v>0.304199645708851</v>
      </c>
      <c r="I3987">
        <v>0.22250049167526301</v>
      </c>
      <c r="J3987">
        <v>0.17882602080380999</v>
      </c>
      <c r="K3987">
        <v>0.12511462756966099</v>
      </c>
      <c r="L3987">
        <v>645.430450054424</v>
      </c>
      <c r="M3987">
        <v>11.2241802436798</v>
      </c>
      <c r="N3987">
        <v>57.503569139972399</v>
      </c>
      <c r="O3987">
        <v>55.768888455324102</v>
      </c>
      <c r="P3987">
        <v>-5.0331305167198102E-2</v>
      </c>
      <c r="Q3987">
        <v>0</v>
      </c>
      <c r="R3987">
        <v>0.98184346261880295</v>
      </c>
      <c r="S3987" t="s">
        <v>10657</v>
      </c>
      <c r="T3987" t="s">
        <v>13338</v>
      </c>
      <c r="U3987" t="s">
        <v>13338</v>
      </c>
      <c r="V3987" t="s">
        <v>13338</v>
      </c>
      <c r="W3987" t="s">
        <v>17271</v>
      </c>
      <c r="X3987">
        <v>9</v>
      </c>
      <c r="Y3987" t="s">
        <v>23781</v>
      </c>
      <c r="Z3987" t="s">
        <v>30402</v>
      </c>
      <c r="AA3987">
        <v>0.59781334729357027</v>
      </c>
      <c r="AB3987" t="str">
        <f>HYPERLINK("Melting_Curves/meltCurve_Q6IA69_NADSYN1.pdf", "Melting_Curves/meltCurve_Q6IA69_NADSYN1.pdf")</f>
        <v>Melting_Curves/meltCurve_Q6IA69_NADSYN1.pdf</v>
      </c>
    </row>
    <row r="3988" spans="1:28" x14ac:dyDescent="0.25">
      <c r="A3988" t="s">
        <v>3992</v>
      </c>
      <c r="B3988">
        <v>0.99193492352474899</v>
      </c>
      <c r="C3988">
        <v>0.94334257465411298</v>
      </c>
      <c r="D3988">
        <v>0.88010270365541299</v>
      </c>
      <c r="E3988">
        <v>0.73922413563187195</v>
      </c>
      <c r="F3988">
        <v>0.55119366280509796</v>
      </c>
      <c r="G3988">
        <v>0.26364456693140298</v>
      </c>
      <c r="H3988">
        <v>0.131544451281987</v>
      </c>
      <c r="I3988">
        <v>0.10407519149210499</v>
      </c>
      <c r="J3988">
        <v>0.113415458916885</v>
      </c>
      <c r="K3988">
        <v>0.140873932804158</v>
      </c>
      <c r="L3988">
        <v>840.29029283647606</v>
      </c>
      <c r="M3988">
        <v>15.980123897397</v>
      </c>
      <c r="N3988">
        <v>53.135054881934302</v>
      </c>
      <c r="O3988">
        <v>51.7806803326582</v>
      </c>
      <c r="P3988">
        <v>-7.1261789684724006E-2</v>
      </c>
      <c r="Q3988">
        <v>7.64294083490802E-2</v>
      </c>
      <c r="R3988">
        <v>0.99157018151520204</v>
      </c>
      <c r="S3988" t="s">
        <v>10658</v>
      </c>
      <c r="T3988" t="s">
        <v>13338</v>
      </c>
      <c r="U3988" t="s">
        <v>13338</v>
      </c>
      <c r="V3988" t="s">
        <v>13338</v>
      </c>
      <c r="W3988" t="s">
        <v>17272</v>
      </c>
      <c r="X3988">
        <v>14</v>
      </c>
      <c r="Y3988" t="s">
        <v>23782</v>
      </c>
      <c r="Z3988" t="s">
        <v>30403</v>
      </c>
      <c r="AA3988">
        <v>0.48221680793682181</v>
      </c>
      <c r="AB3988" t="str">
        <f>HYPERLINK("Melting_Curves/meltCurve_Q6IA86_3_ELP2.pdf", "Melting_Curves/meltCurve_Q6IA86_3_ELP2.pdf")</f>
        <v>Melting_Curves/meltCurve_Q6IA86_3_ELP2.pdf</v>
      </c>
    </row>
    <row r="3989" spans="1:28" x14ac:dyDescent="0.25">
      <c r="A3989" t="s">
        <v>3993</v>
      </c>
      <c r="B3989">
        <v>0.99193492352474899</v>
      </c>
      <c r="C3989">
        <v>1.0603226260537799</v>
      </c>
      <c r="D3989">
        <v>0.98276382370041404</v>
      </c>
      <c r="E3989">
        <v>0.90548331181347697</v>
      </c>
      <c r="F3989">
        <v>0.71045514358202999</v>
      </c>
      <c r="G3989">
        <v>0.54837814037806198</v>
      </c>
      <c r="H3989">
        <v>0.415389453925332</v>
      </c>
      <c r="I3989">
        <v>0.29161306938814702</v>
      </c>
      <c r="J3989">
        <v>0.27784041291341999</v>
      </c>
      <c r="K3989">
        <v>0.17909758743200399</v>
      </c>
      <c r="L3989">
        <v>774.50629373568097</v>
      </c>
      <c r="M3989">
        <v>13.744895871067801</v>
      </c>
      <c r="N3989">
        <v>58.001240494213597</v>
      </c>
      <c r="O3989">
        <v>55.196073378741303</v>
      </c>
      <c r="P3989">
        <v>-5.2175696083870397E-2</v>
      </c>
      <c r="Q3989">
        <v>0.16202113960134801</v>
      </c>
      <c r="R3989">
        <v>0.98996777461086405</v>
      </c>
      <c r="S3989" t="s">
        <v>10659</v>
      </c>
      <c r="T3989" t="s">
        <v>13338</v>
      </c>
      <c r="U3989" t="s">
        <v>13338</v>
      </c>
      <c r="V3989" t="s">
        <v>13338</v>
      </c>
      <c r="W3989" t="s">
        <v>17273</v>
      </c>
      <c r="X3989">
        <v>6</v>
      </c>
      <c r="Y3989" t="s">
        <v>23783</v>
      </c>
      <c r="Z3989" t="s">
        <v>30404</v>
      </c>
      <c r="AA3989">
        <v>0.63388825779168845</v>
      </c>
      <c r="AB3989" t="str">
        <f>HYPERLINK("Melting_Curves/meltCurve_Q6IAA8_LAMTOR1.pdf", "Melting_Curves/meltCurve_Q6IAA8_LAMTOR1.pdf")</f>
        <v>Melting_Curves/meltCurve_Q6IAA8_LAMTOR1.pdf</v>
      </c>
    </row>
    <row r="3990" spans="1:28" x14ac:dyDescent="0.25">
      <c r="A3990" t="s">
        <v>3994</v>
      </c>
      <c r="B3990">
        <v>0.99193492352474899</v>
      </c>
      <c r="C3990">
        <v>1.02440617639341</v>
      </c>
      <c r="D3990">
        <v>0.82625044829686201</v>
      </c>
      <c r="E3990">
        <v>0.50065228858634003</v>
      </c>
      <c r="F3990">
        <v>0.172838045465152</v>
      </c>
      <c r="G3990">
        <v>5.2207840167578297E-2</v>
      </c>
      <c r="H3990">
        <v>3.1936914586120399E-2</v>
      </c>
      <c r="I3990">
        <v>8.8107945736167204E-2</v>
      </c>
      <c r="J3990">
        <v>8.2099011382348597E-2</v>
      </c>
      <c r="K3990">
        <v>0.15553904646616901</v>
      </c>
      <c r="L3990">
        <v>1304.68547078546</v>
      </c>
      <c r="M3990">
        <v>26.5813472875126</v>
      </c>
      <c r="N3990">
        <v>49.390340031635901</v>
      </c>
      <c r="O3990">
        <v>48.807472220712597</v>
      </c>
      <c r="P3990">
        <v>-0.12576913687653801</v>
      </c>
      <c r="Q3990">
        <v>7.6283246837570401E-2</v>
      </c>
      <c r="R3990">
        <v>0.98962042800239203</v>
      </c>
      <c r="S3990" t="s">
        <v>10660</v>
      </c>
      <c r="T3990" t="s">
        <v>13338</v>
      </c>
      <c r="U3990" t="s">
        <v>13338</v>
      </c>
      <c r="V3990" t="s">
        <v>13338</v>
      </c>
      <c r="W3990" t="s">
        <v>17274</v>
      </c>
      <c r="X3990">
        <v>3</v>
      </c>
      <c r="Y3990" t="s">
        <v>23784</v>
      </c>
      <c r="Z3990" t="s">
        <v>30405</v>
      </c>
      <c r="AA3990">
        <v>0.36316572612549358</v>
      </c>
      <c r="AB3990" t="str">
        <f>HYPERLINK("Melting_Curves/meltCurve_Q6IAN0_DHRS7B.pdf", "Melting_Curves/meltCurve_Q6IAN0_DHRS7B.pdf")</f>
        <v>Melting_Curves/meltCurve_Q6IAN0_DHRS7B.pdf</v>
      </c>
    </row>
    <row r="3991" spans="1:28" x14ac:dyDescent="0.25">
      <c r="A3991" t="s">
        <v>3995</v>
      </c>
      <c r="B3991">
        <v>0.99193492352474899</v>
      </c>
      <c r="C3991">
        <v>0.91560140790766897</v>
      </c>
      <c r="D3991">
        <v>0.97358614328705295</v>
      </c>
      <c r="E3991">
        <v>0.779882338105788</v>
      </c>
      <c r="F3991">
        <v>0.38977169173411302</v>
      </c>
      <c r="G3991">
        <v>0.143877680279269</v>
      </c>
      <c r="H3991">
        <v>8.7639280252421098E-2</v>
      </c>
      <c r="I3991">
        <v>8.9214479527413806E-2</v>
      </c>
      <c r="J3991">
        <v>9.2522150497701294E-2</v>
      </c>
      <c r="K3991">
        <v>9.9095898595898693E-2</v>
      </c>
      <c r="L3991">
        <v>1399.8102564903299</v>
      </c>
      <c r="M3991">
        <v>27.051845751104501</v>
      </c>
      <c r="N3991">
        <v>52.099743496812401</v>
      </c>
      <c r="O3991">
        <v>51.465173177083201</v>
      </c>
      <c r="P3991">
        <v>-0.120369592942162</v>
      </c>
      <c r="Q3991">
        <v>8.4013543197485094E-2</v>
      </c>
      <c r="R3991">
        <v>0.99508562981816895</v>
      </c>
      <c r="S3991" t="s">
        <v>10661</v>
      </c>
      <c r="T3991" t="s">
        <v>13338</v>
      </c>
      <c r="U3991" t="s">
        <v>13338</v>
      </c>
      <c r="V3991" t="s">
        <v>13338</v>
      </c>
      <c r="W3991" t="s">
        <v>17275</v>
      </c>
      <c r="X3991">
        <v>16</v>
      </c>
      <c r="Y3991" t="s">
        <v>23785</v>
      </c>
      <c r="Z3991" t="s">
        <v>30406</v>
      </c>
      <c r="AA3991">
        <v>0.44978790377123928</v>
      </c>
      <c r="AB3991" t="str">
        <f>HYPERLINK("Melting_Curves/meltCurve_Q6IBS0_TWF2.pdf", "Melting_Curves/meltCurve_Q6IBS0_TWF2.pdf")</f>
        <v>Melting_Curves/meltCurve_Q6IBS0_TWF2.pdf</v>
      </c>
    </row>
    <row r="3992" spans="1:28" x14ac:dyDescent="0.25">
      <c r="A3992" t="s">
        <v>3996</v>
      </c>
      <c r="B3992">
        <v>0.99193492352474899</v>
      </c>
      <c r="C3992">
        <v>0.69682884969718195</v>
      </c>
      <c r="D3992">
        <v>0.72660041642460005</v>
      </c>
      <c r="E3992">
        <v>0.28192063013663199</v>
      </c>
      <c r="F3992">
        <v>0.159288502832544</v>
      </c>
      <c r="G3992">
        <v>8.9176746293672296E-2</v>
      </c>
      <c r="H3992">
        <v>5.1493128602747497E-2</v>
      </c>
      <c r="I3992">
        <v>6.0073023003457397E-2</v>
      </c>
      <c r="J3992">
        <v>6.4405956141556503E-2</v>
      </c>
      <c r="K3992">
        <v>5.2776149711372698E-2</v>
      </c>
      <c r="L3992">
        <v>748.40008897821303</v>
      </c>
      <c r="M3992">
        <v>15.907041575067501</v>
      </c>
      <c r="N3992">
        <v>47.284511295753198</v>
      </c>
      <c r="O3992">
        <v>46.323638774304101</v>
      </c>
      <c r="P3992">
        <v>-8.25757783370515E-2</v>
      </c>
      <c r="Q3992">
        <v>3.8186373425523001E-2</v>
      </c>
      <c r="R3992">
        <v>0.96593620912802702</v>
      </c>
      <c r="S3992" t="s">
        <v>10662</v>
      </c>
      <c r="T3992" t="s">
        <v>13338</v>
      </c>
      <c r="U3992" t="s">
        <v>13338</v>
      </c>
      <c r="V3992" t="s">
        <v>13338</v>
      </c>
      <c r="W3992" t="s">
        <v>17276</v>
      </c>
      <c r="X3992">
        <v>7</v>
      </c>
      <c r="Y3992" t="s">
        <v>23786</v>
      </c>
      <c r="Z3992" t="s">
        <v>30407</v>
      </c>
      <c r="AA3992">
        <v>0.28722128390928497</v>
      </c>
      <c r="AB3992" t="str">
        <f>HYPERLINK("Melting_Curves/meltCurve_Q6IBW4_2_NCAPH2.pdf", "Melting_Curves/meltCurve_Q6IBW4_2_NCAPH2.pdf")</f>
        <v>Melting_Curves/meltCurve_Q6IBW4_2_NCAPH2.pdf</v>
      </c>
    </row>
    <row r="3993" spans="1:28" x14ac:dyDescent="0.25">
      <c r="A3993" t="s">
        <v>3997</v>
      </c>
      <c r="B3993">
        <v>0.99193492352474899</v>
      </c>
      <c r="C3993">
        <v>0.70341939839730006</v>
      </c>
      <c r="D3993">
        <v>0.51810840462086805</v>
      </c>
      <c r="E3993">
        <v>0.24806748834321801</v>
      </c>
      <c r="F3993">
        <v>0.13954902254745699</v>
      </c>
      <c r="G3993">
        <v>8.3636481606433499E-2</v>
      </c>
      <c r="H3993">
        <v>5.3147181353400803E-2</v>
      </c>
      <c r="I3993">
        <v>7.3289628934517306E-2</v>
      </c>
      <c r="J3993">
        <v>7.4036395103391994E-2</v>
      </c>
      <c r="K3993">
        <v>8.8775119887245804E-2</v>
      </c>
      <c r="L3993">
        <v>797.02256810598703</v>
      </c>
      <c r="M3993">
        <v>17.499734072692799</v>
      </c>
      <c r="N3993">
        <v>45.917719415015497</v>
      </c>
      <c r="O3993">
        <v>44.9626083712485</v>
      </c>
      <c r="P3993">
        <v>-9.0861661974952906E-2</v>
      </c>
      <c r="Q3993">
        <v>6.6237281102445797E-2</v>
      </c>
      <c r="R3993">
        <v>0.98974605380506497</v>
      </c>
      <c r="S3993" t="s">
        <v>10663</v>
      </c>
      <c r="T3993" t="s">
        <v>13338</v>
      </c>
      <c r="U3993" t="s">
        <v>13338</v>
      </c>
      <c r="V3993" t="s">
        <v>13338</v>
      </c>
      <c r="W3993" t="s">
        <v>17277</v>
      </c>
      <c r="X3993">
        <v>8</v>
      </c>
      <c r="Y3993" t="s">
        <v>23787</v>
      </c>
      <c r="Z3993" t="s">
        <v>30408</v>
      </c>
      <c r="AA3993">
        <v>0.2591175700637946</v>
      </c>
      <c r="AB3993" t="str">
        <f>HYPERLINK("Melting_Curves/meltCurve_Q6IC98_GRAMD4.pdf", "Melting_Curves/meltCurve_Q6IC98_GRAMD4.pdf")</f>
        <v>Melting_Curves/meltCurve_Q6IC98_GRAMD4.pdf</v>
      </c>
    </row>
    <row r="3994" spans="1:28" x14ac:dyDescent="0.25">
      <c r="A3994" t="s">
        <v>3998</v>
      </c>
      <c r="B3994">
        <v>0.99193492352474899</v>
      </c>
      <c r="C3994">
        <v>1.1284016329995901</v>
      </c>
      <c r="D3994">
        <v>0.67529037555020599</v>
      </c>
      <c r="E3994">
        <v>0.49279162318908498</v>
      </c>
      <c r="F3994">
        <v>0.319901481096313</v>
      </c>
      <c r="G3994">
        <v>0.180925034361964</v>
      </c>
      <c r="H3994">
        <v>0.116728537873662</v>
      </c>
      <c r="I3994">
        <v>0.17731449713438199</v>
      </c>
      <c r="J3994">
        <v>0.16305536725994599</v>
      </c>
      <c r="K3994">
        <v>0.14905289790072501</v>
      </c>
      <c r="L3994">
        <v>985.99538655325296</v>
      </c>
      <c r="M3994">
        <v>20.362707278551699</v>
      </c>
      <c r="N3994">
        <v>49.3034864038883</v>
      </c>
      <c r="O3994">
        <v>47.961877818179801</v>
      </c>
      <c r="P3994">
        <v>-8.9942720860157796E-2</v>
      </c>
      <c r="Q3994">
        <v>0.15262914358372001</v>
      </c>
      <c r="R3994">
        <v>0.95840010299141698</v>
      </c>
      <c r="S3994" t="s">
        <v>10664</v>
      </c>
      <c r="T3994" t="s">
        <v>13338</v>
      </c>
      <c r="U3994" t="s">
        <v>13338</v>
      </c>
      <c r="V3994" t="s">
        <v>13338</v>
      </c>
      <c r="W3994" t="s">
        <v>17278</v>
      </c>
      <c r="X3994">
        <v>1</v>
      </c>
      <c r="Y3994" t="s">
        <v>23788</v>
      </c>
      <c r="Z3994" t="s">
        <v>30409</v>
      </c>
      <c r="AA3994">
        <v>0.40201673167102409</v>
      </c>
      <c r="AB3994" t="str">
        <f>HYPERLINK("Melting_Curves/meltCurve_Q6ICB0_DESI1.pdf", "Melting_Curves/meltCurve_Q6ICB0_DESI1.pdf")</f>
        <v>Melting_Curves/meltCurve_Q6ICB0_DESI1.pdf</v>
      </c>
    </row>
    <row r="3995" spans="1:28" x14ac:dyDescent="0.25">
      <c r="A3995" t="s">
        <v>3999</v>
      </c>
      <c r="B3995">
        <v>0.99193492352474899</v>
      </c>
      <c r="C3995">
        <v>0.78655324826072703</v>
      </c>
      <c r="D3995">
        <v>0.78006760805664499</v>
      </c>
      <c r="E3995">
        <v>0.36237203117432198</v>
      </c>
      <c r="F3995">
        <v>0.246062512695534</v>
      </c>
      <c r="G3995">
        <v>0.14226454951225001</v>
      </c>
      <c r="H3995">
        <v>7.4711464874993097E-2</v>
      </c>
      <c r="I3995">
        <v>8.6337438440904302E-2</v>
      </c>
      <c r="J3995">
        <v>0</v>
      </c>
      <c r="K3995">
        <v>0</v>
      </c>
      <c r="L3995">
        <v>684.41601537612405</v>
      </c>
      <c r="M3995">
        <v>14.1019003417191</v>
      </c>
      <c r="N3995">
        <v>48.615598408070703</v>
      </c>
      <c r="O3995">
        <v>47.588895488752797</v>
      </c>
      <c r="P3995">
        <v>-7.3220715618478302E-2</v>
      </c>
      <c r="Q3995">
        <v>1.17516828993209E-2</v>
      </c>
      <c r="R3995">
        <v>0.97979582225036999</v>
      </c>
      <c r="S3995" t="s">
        <v>10665</v>
      </c>
      <c r="T3995" t="s">
        <v>13338</v>
      </c>
      <c r="U3995" t="s">
        <v>13338</v>
      </c>
      <c r="V3995" t="s">
        <v>13338</v>
      </c>
      <c r="W3995" t="s">
        <v>17279</v>
      </c>
      <c r="X3995">
        <v>2</v>
      </c>
      <c r="Y3995" t="s">
        <v>23789</v>
      </c>
      <c r="Z3995" t="s">
        <v>30410</v>
      </c>
      <c r="AA3995">
        <v>0.32080042090090771</v>
      </c>
      <c r="AB3995" t="str">
        <f>HYPERLINK("Melting_Curves/meltCurve_Q6ICH7_ASPHD2.pdf", "Melting_Curves/meltCurve_Q6ICH7_ASPHD2.pdf")</f>
        <v>Melting_Curves/meltCurve_Q6ICH7_ASPHD2.pdf</v>
      </c>
    </row>
    <row r="3996" spans="1:28" x14ac:dyDescent="0.25">
      <c r="A3996" t="s">
        <v>4000</v>
      </c>
      <c r="B3996">
        <v>0.99193492352474899</v>
      </c>
      <c r="C3996">
        <v>0.84723041313648495</v>
      </c>
      <c r="D3996">
        <v>0.92732780708462303</v>
      </c>
      <c r="E3996">
        <v>0.567882444281543</v>
      </c>
      <c r="F3996">
        <v>0.23981816324503299</v>
      </c>
      <c r="G3996">
        <v>8.9008460942855694E-2</v>
      </c>
      <c r="H3996">
        <v>5.2444484233956097E-2</v>
      </c>
      <c r="I3996">
        <v>6.3364773565096802E-2</v>
      </c>
      <c r="J3996">
        <v>7.4594769593730806E-2</v>
      </c>
      <c r="K3996">
        <v>7.5200397152400303E-2</v>
      </c>
      <c r="L3996">
        <v>1186.1107577057301</v>
      </c>
      <c r="M3996">
        <v>23.7419795112427</v>
      </c>
      <c r="N3996">
        <v>50.215587588465702</v>
      </c>
      <c r="O3996">
        <v>49.607998444365599</v>
      </c>
      <c r="P3996">
        <v>-0.112799610357806</v>
      </c>
      <c r="Q3996">
        <v>5.7252906614179103E-2</v>
      </c>
      <c r="R3996">
        <v>0.98558328615660795</v>
      </c>
      <c r="S3996" t="s">
        <v>10666</v>
      </c>
      <c r="T3996" t="s">
        <v>13338</v>
      </c>
      <c r="U3996" t="s">
        <v>13338</v>
      </c>
      <c r="V3996" t="s">
        <v>13338</v>
      </c>
      <c r="W3996" t="s">
        <v>17280</v>
      </c>
      <c r="X3996">
        <v>20</v>
      </c>
      <c r="Y3996" t="s">
        <v>23790</v>
      </c>
      <c r="Z3996" t="s">
        <v>30411</v>
      </c>
      <c r="AA3996">
        <v>0.37953688280434578</v>
      </c>
      <c r="AB3996" t="str">
        <f>HYPERLINK("Melting_Curves/meltCurve_Q6IN85_SMEK1.pdf", "Melting_Curves/meltCurve_Q6IN85_SMEK1.pdf")</f>
        <v>Melting_Curves/meltCurve_Q6IN85_SMEK1.pdf</v>
      </c>
    </row>
    <row r="3997" spans="1:28" x14ac:dyDescent="0.25">
      <c r="A3997" t="s">
        <v>4001</v>
      </c>
      <c r="B3997">
        <v>0.99193492352474899</v>
      </c>
      <c r="C3997">
        <v>0.77535026913784799</v>
      </c>
      <c r="D3997">
        <v>0.91984712112720901</v>
      </c>
      <c r="E3997">
        <v>0.65469962094723499</v>
      </c>
      <c r="F3997">
        <v>0.54053647493389601</v>
      </c>
      <c r="G3997">
        <v>0.23110151157384701</v>
      </c>
      <c r="H3997">
        <v>0.117476266216619</v>
      </c>
      <c r="I3997">
        <v>0.13122912059849701</v>
      </c>
      <c r="J3997">
        <v>0.14634171382453201</v>
      </c>
      <c r="K3997">
        <v>0.194090672518101</v>
      </c>
      <c r="L3997">
        <v>725.31329886963601</v>
      </c>
      <c r="M3997">
        <v>14.069883666895601</v>
      </c>
      <c r="N3997">
        <v>52.361949461669802</v>
      </c>
      <c r="O3997">
        <v>50.542907636237999</v>
      </c>
      <c r="P3997">
        <v>-6.2786995255731906E-2</v>
      </c>
      <c r="Q3997">
        <v>9.7924170054383697E-2</v>
      </c>
      <c r="R3997">
        <v>0.94676002310079799</v>
      </c>
      <c r="S3997" t="s">
        <v>10667</v>
      </c>
      <c r="T3997" t="s">
        <v>13338</v>
      </c>
      <c r="U3997" t="s">
        <v>13338</v>
      </c>
      <c r="V3997" t="s">
        <v>13338</v>
      </c>
      <c r="W3997" t="s">
        <v>17281</v>
      </c>
      <c r="X3997">
        <v>6</v>
      </c>
      <c r="Y3997" t="s">
        <v>23791</v>
      </c>
      <c r="Z3997" t="s">
        <v>30412</v>
      </c>
      <c r="AA3997">
        <v>0.46786381791690962</v>
      </c>
      <c r="AB3997" t="str">
        <f>HYPERLINK("Melting_Curves/meltCurve_Q6IPR3_TYW3.pdf", "Melting_Curves/meltCurve_Q6IPR3_TYW3.pdf")</f>
        <v>Melting_Curves/meltCurve_Q6IPR3_TYW3.pdf</v>
      </c>
    </row>
    <row r="3998" spans="1:28" x14ac:dyDescent="0.25">
      <c r="A3998" t="s">
        <v>4002</v>
      </c>
      <c r="B3998">
        <v>0.99193492352474899</v>
      </c>
      <c r="C3998">
        <v>0.67833207050952904</v>
      </c>
      <c r="D3998">
        <v>0.83095273710294404</v>
      </c>
      <c r="E3998">
        <v>0.547749408912938</v>
      </c>
      <c r="F3998">
        <v>0.451929171263175</v>
      </c>
      <c r="G3998">
        <v>0.33812772026275301</v>
      </c>
      <c r="H3998">
        <v>0.102388017926824</v>
      </c>
      <c r="I3998">
        <v>0.114068236186933</v>
      </c>
      <c r="J3998">
        <v>0.103123632238171</v>
      </c>
      <c r="K3998">
        <v>0.15105631411923501</v>
      </c>
      <c r="L3998">
        <v>452.30157094671</v>
      </c>
      <c r="M3998">
        <v>8.8351710114165805</v>
      </c>
      <c r="N3998">
        <v>51.193291096993299</v>
      </c>
      <c r="O3998">
        <v>48.7741166430351</v>
      </c>
      <c r="P3998">
        <v>-4.5321435520186401E-2</v>
      </c>
      <c r="Q3998">
        <v>0</v>
      </c>
      <c r="R3998">
        <v>0.93550873280980895</v>
      </c>
      <c r="S3998" t="s">
        <v>10668</v>
      </c>
      <c r="T3998" t="s">
        <v>13338</v>
      </c>
      <c r="U3998" t="s">
        <v>13338</v>
      </c>
      <c r="V3998" t="s">
        <v>13338</v>
      </c>
      <c r="W3998" t="s">
        <v>17282</v>
      </c>
      <c r="X3998">
        <v>1</v>
      </c>
      <c r="Y3998" t="s">
        <v>23792</v>
      </c>
      <c r="Z3998" t="s">
        <v>30413</v>
      </c>
      <c r="AA3998">
        <v>0.42022257425707549</v>
      </c>
      <c r="AB3998" t="str">
        <f>HYPERLINK("Melting_Curves/meltCurve_Q6IPU0_CENPP.pdf", "Melting_Curves/meltCurve_Q6IPU0_CENPP.pdf")</f>
        <v>Melting_Curves/meltCurve_Q6IPU0_CENPP.pdf</v>
      </c>
    </row>
    <row r="3999" spans="1:28" x14ac:dyDescent="0.25">
      <c r="A3999" t="s">
        <v>4003</v>
      </c>
      <c r="B3999">
        <v>0.99193492352474899</v>
      </c>
      <c r="C3999">
        <v>0.89987408349701403</v>
      </c>
      <c r="D3999">
        <v>1.0619802251988599</v>
      </c>
      <c r="E3999">
        <v>0.78103353900031003</v>
      </c>
      <c r="F3999">
        <v>0.84160357042878697</v>
      </c>
      <c r="G3999">
        <v>0.55001119562857104</v>
      </c>
      <c r="H3999">
        <v>0.26448672315427002</v>
      </c>
      <c r="I3999">
        <v>0.115798100042453</v>
      </c>
      <c r="J3999">
        <v>0.158326147145288</v>
      </c>
      <c r="K3999">
        <v>0.14971064156557501</v>
      </c>
      <c r="L3999">
        <v>1033.8366098208101</v>
      </c>
      <c r="M3999">
        <v>18.275772164078901</v>
      </c>
      <c r="N3999">
        <v>57.152795564532603</v>
      </c>
      <c r="O3999">
        <v>55.904453460064197</v>
      </c>
      <c r="P3999">
        <v>-7.4768882746863594E-2</v>
      </c>
      <c r="Q3999">
        <v>8.5189011693533004E-2</v>
      </c>
      <c r="R3999">
        <v>0.96120851938987095</v>
      </c>
      <c r="S3999" t="s">
        <v>10669</v>
      </c>
      <c r="T3999" t="s">
        <v>13338</v>
      </c>
      <c r="U3999" t="s">
        <v>13338</v>
      </c>
      <c r="V3999" t="s">
        <v>13338</v>
      </c>
      <c r="W3999" t="s">
        <v>17283</v>
      </c>
      <c r="X3999">
        <v>5</v>
      </c>
      <c r="Y3999" t="s">
        <v>23793</v>
      </c>
      <c r="Z3999" t="s">
        <v>30414</v>
      </c>
      <c r="AA3999">
        <v>0.60320227656422054</v>
      </c>
      <c r="AB3999" t="str">
        <f>HYPERLINK("Melting_Curves/meltCurve_Q6IQ22_RAB12.pdf", "Melting_Curves/meltCurve_Q6IQ22_RAB12.pdf")</f>
        <v>Melting_Curves/meltCurve_Q6IQ22_RAB12.pdf</v>
      </c>
    </row>
    <row r="4000" spans="1:28" x14ac:dyDescent="0.25">
      <c r="A4000" t="s">
        <v>4004</v>
      </c>
      <c r="B4000">
        <v>0.99193492352474899</v>
      </c>
      <c r="C4000">
        <v>0.89503881237905802</v>
      </c>
      <c r="D4000">
        <v>0.87337886691097999</v>
      </c>
      <c r="E4000">
        <v>0.57030444545174797</v>
      </c>
      <c r="F4000">
        <v>0.28491841184563299</v>
      </c>
      <c r="G4000">
        <v>0.15930376974898899</v>
      </c>
      <c r="H4000">
        <v>0.11172215294988</v>
      </c>
      <c r="I4000">
        <v>0.17887458623757299</v>
      </c>
      <c r="J4000">
        <v>0.2060531347058</v>
      </c>
      <c r="K4000">
        <v>0.27772972808305002</v>
      </c>
      <c r="L4000">
        <v>1217.0907544169399</v>
      </c>
      <c r="M4000">
        <v>24.739008104817099</v>
      </c>
      <c r="N4000">
        <v>50.101231192504699</v>
      </c>
      <c r="O4000">
        <v>48.879151687565603</v>
      </c>
      <c r="P4000">
        <v>-0.103753463084021</v>
      </c>
      <c r="Q4000">
        <v>0.18003015399559499</v>
      </c>
      <c r="R4000">
        <v>0.97599542136468798</v>
      </c>
      <c r="S4000" t="s">
        <v>10670</v>
      </c>
      <c r="T4000" t="s">
        <v>13338</v>
      </c>
      <c r="U4000" t="s">
        <v>13338</v>
      </c>
      <c r="V4000" t="s">
        <v>13338</v>
      </c>
      <c r="W4000" t="s">
        <v>17284</v>
      </c>
      <c r="X4000">
        <v>10</v>
      </c>
      <c r="Y4000" t="s">
        <v>23794</v>
      </c>
      <c r="Z4000" t="s">
        <v>30415</v>
      </c>
      <c r="AA4000">
        <v>0.43884621957146902</v>
      </c>
      <c r="AB4000" t="str">
        <f>HYPERLINK("Melting_Curves/meltCurve_Q6IQ49_2_SDE2.pdf", "Melting_Curves/meltCurve_Q6IQ49_2_SDE2.pdf")</f>
        <v>Melting_Curves/meltCurve_Q6IQ49_2_SDE2.pdf</v>
      </c>
    </row>
    <row r="4001" spans="1:28" x14ac:dyDescent="0.25">
      <c r="A4001" t="s">
        <v>4005</v>
      </c>
      <c r="B4001">
        <v>0.99193492352474899</v>
      </c>
      <c r="C4001">
        <v>0.460159014581077</v>
      </c>
      <c r="D4001">
        <v>1.85319739922881</v>
      </c>
      <c r="E4001">
        <v>0.483646173536872</v>
      </c>
      <c r="F4001">
        <v>0.85486902860217795</v>
      </c>
      <c r="G4001">
        <v>0.86380824829143299</v>
      </c>
      <c r="H4001">
        <v>0.431479629302291</v>
      </c>
      <c r="I4001">
        <v>0.206207751485741</v>
      </c>
      <c r="J4001">
        <v>0.21364141077693599</v>
      </c>
      <c r="K4001">
        <v>0.121403497846854</v>
      </c>
      <c r="L4001">
        <v>922.18295858454803</v>
      </c>
      <c r="M4001">
        <v>15.325874964461701</v>
      </c>
      <c r="N4001">
        <v>60.197678333037402</v>
      </c>
      <c r="O4001">
        <v>59.175089190640797</v>
      </c>
      <c r="P4001">
        <v>-6.4540053096529201E-2</v>
      </c>
      <c r="Q4001">
        <v>3.30419659612679E-3</v>
      </c>
      <c r="R4001">
        <v>0.4671401461452</v>
      </c>
      <c r="S4001" t="s">
        <v>10671</v>
      </c>
      <c r="T4001" t="s">
        <v>13338</v>
      </c>
      <c r="U4001" t="s">
        <v>13338</v>
      </c>
      <c r="V4001" t="s">
        <v>13338</v>
      </c>
      <c r="W4001" t="s">
        <v>17285</v>
      </c>
      <c r="X4001">
        <v>1</v>
      </c>
      <c r="Y4001" t="s">
        <v>23795</v>
      </c>
      <c r="Z4001" t="s">
        <v>30416</v>
      </c>
      <c r="AA4001">
        <v>0.67991644665897166</v>
      </c>
      <c r="AB4001" t="str">
        <f>HYPERLINK("Melting_Curves/meltCurve_Q6J164_GRM5.pdf", "Melting_Curves/meltCurve_Q6J164_GRM5.pdf")</f>
        <v>Melting_Curves/meltCurve_Q6J164_GRM5.pdf</v>
      </c>
    </row>
    <row r="4002" spans="1:28" x14ac:dyDescent="0.25">
      <c r="A4002" t="s">
        <v>4006</v>
      </c>
      <c r="B4002">
        <v>0.99193492352474899</v>
      </c>
      <c r="C4002">
        <v>0.843809960435288</v>
      </c>
      <c r="D4002">
        <v>0.93436574797652805</v>
      </c>
      <c r="E4002">
        <v>0.77809798780539097</v>
      </c>
      <c r="F4002">
        <v>0.77625371798422904</v>
      </c>
      <c r="G4002">
        <v>0.57377957222502496</v>
      </c>
      <c r="H4002">
        <v>0.48128112030915099</v>
      </c>
      <c r="I4002">
        <v>0.58908897649098901</v>
      </c>
      <c r="J4002">
        <v>0.67201118683786198</v>
      </c>
      <c r="K4002">
        <v>0.96737708351819396</v>
      </c>
      <c r="L4002">
        <v>793.31977762778001</v>
      </c>
      <c r="M4002">
        <v>16.753554506703999</v>
      </c>
      <c r="O4002">
        <v>46.693090528056402</v>
      </c>
      <c r="P4002">
        <v>-3.00212126940669E-2</v>
      </c>
      <c r="Q4002">
        <v>0.665338597627116</v>
      </c>
      <c r="R4002">
        <v>0.417866493825372</v>
      </c>
      <c r="S4002" t="s">
        <v>10672</v>
      </c>
      <c r="T4002" t="s">
        <v>13338</v>
      </c>
      <c r="U4002" t="s">
        <v>13338</v>
      </c>
      <c r="V4002" t="s">
        <v>13338</v>
      </c>
      <c r="W4002" t="s">
        <v>17286</v>
      </c>
      <c r="X4002">
        <v>23</v>
      </c>
      <c r="Y4002" t="s">
        <v>23796</v>
      </c>
      <c r="Z4002" t="s">
        <v>30417</v>
      </c>
      <c r="AA4002">
        <v>0.75443656546689652</v>
      </c>
      <c r="AB4002" t="str">
        <f>HYPERLINK("Melting_Curves/meltCurve_Q6JBY9_RCSD1.pdf", "Melting_Curves/meltCurve_Q6JBY9_RCSD1.pdf")</f>
        <v>Melting_Curves/meltCurve_Q6JBY9_RCSD1.pdf</v>
      </c>
    </row>
    <row r="4003" spans="1:28" x14ac:dyDescent="0.25">
      <c r="A4003" t="s">
        <v>4007</v>
      </c>
      <c r="B4003">
        <v>0.99193492352474899</v>
      </c>
      <c r="C4003">
        <v>0.77855197347029403</v>
      </c>
      <c r="D4003">
        <v>0.81053721600683204</v>
      </c>
      <c r="E4003">
        <v>0.32802479772589299</v>
      </c>
      <c r="F4003">
        <v>0.206093133883469</v>
      </c>
      <c r="G4003">
        <v>0.11386401469705</v>
      </c>
      <c r="H4003">
        <v>8.1527385478679507E-2</v>
      </c>
      <c r="I4003">
        <v>9.3137917548796703E-2</v>
      </c>
      <c r="J4003">
        <v>0.11106445990618199</v>
      </c>
      <c r="K4003">
        <v>0.12811794113501099</v>
      </c>
      <c r="L4003">
        <v>961.21305535349802</v>
      </c>
      <c r="M4003">
        <v>20.1502952445205</v>
      </c>
      <c r="N4003">
        <v>48.1979932422555</v>
      </c>
      <c r="O4003">
        <v>47.239802013406702</v>
      </c>
      <c r="P4003">
        <v>-9.6659345556112095E-2</v>
      </c>
      <c r="Q4003">
        <v>9.3606127054055493E-2</v>
      </c>
      <c r="R4003">
        <v>0.96993784538302097</v>
      </c>
      <c r="S4003" t="s">
        <v>10673</v>
      </c>
      <c r="T4003" t="s">
        <v>13338</v>
      </c>
      <c r="U4003" t="s">
        <v>13338</v>
      </c>
      <c r="V4003" t="s">
        <v>13338</v>
      </c>
      <c r="W4003" t="s">
        <v>13566</v>
      </c>
      <c r="X4003">
        <v>12</v>
      </c>
      <c r="Y4003" t="s">
        <v>23797</v>
      </c>
      <c r="Z4003" t="s">
        <v>30418</v>
      </c>
      <c r="AA4003">
        <v>0.33907603424879268</v>
      </c>
      <c r="AB4003" t="str">
        <f>HYPERLINK("Melting_Curves/meltCurve_Q6JHV3_USP3.pdf", "Melting_Curves/meltCurve_Q6JHV3_USP3.pdf")</f>
        <v>Melting_Curves/meltCurve_Q6JHV3_USP3.pdf</v>
      </c>
    </row>
    <row r="4004" spans="1:28" x14ac:dyDescent="0.25">
      <c r="A4004" t="s">
        <v>4008</v>
      </c>
      <c r="B4004">
        <v>0.99193492352474899</v>
      </c>
      <c r="C4004">
        <v>1.0953881459161501</v>
      </c>
      <c r="D4004">
        <v>1.0425929786592201</v>
      </c>
      <c r="E4004">
        <v>0.79384853921672005</v>
      </c>
      <c r="F4004">
        <v>0.40298175819787801</v>
      </c>
      <c r="G4004">
        <v>0.21448528690207599</v>
      </c>
      <c r="H4004">
        <v>0.103918368154633</v>
      </c>
      <c r="I4004">
        <v>9.6335361543438094E-2</v>
      </c>
      <c r="J4004">
        <v>0.13327177425109299</v>
      </c>
      <c r="K4004">
        <v>0.16416809806056001</v>
      </c>
      <c r="L4004">
        <v>1525.9479683219599</v>
      </c>
      <c r="M4004">
        <v>29.462137111976698</v>
      </c>
      <c r="N4004">
        <v>52.312217056361398</v>
      </c>
      <c r="O4004">
        <v>51.556670079242103</v>
      </c>
      <c r="P4004">
        <v>-0.12476834622834999</v>
      </c>
      <c r="Q4004">
        <v>0.126662785968185</v>
      </c>
      <c r="R4004">
        <v>0.98877536067808303</v>
      </c>
      <c r="S4004" t="s">
        <v>10674</v>
      </c>
      <c r="T4004" t="s">
        <v>13338</v>
      </c>
      <c r="U4004" t="s">
        <v>13338</v>
      </c>
      <c r="V4004" t="s">
        <v>13338</v>
      </c>
      <c r="W4004" t="s">
        <v>17287</v>
      </c>
      <c r="X4004">
        <v>5</v>
      </c>
      <c r="Y4004" t="s">
        <v>23798</v>
      </c>
      <c r="Z4004" t="s">
        <v>30419</v>
      </c>
      <c r="AA4004">
        <v>0.47575230687558667</v>
      </c>
      <c r="AB4004" t="str">
        <f>HYPERLINK("Melting_Curves/meltCurve_Q6JQN1_ACAD10.pdf", "Melting_Curves/meltCurve_Q6JQN1_ACAD10.pdf")</f>
        <v>Melting_Curves/meltCurve_Q6JQN1_ACAD10.pdf</v>
      </c>
    </row>
    <row r="4005" spans="1:28" x14ac:dyDescent="0.25">
      <c r="A4005" t="s">
        <v>4009</v>
      </c>
      <c r="B4005">
        <v>0.99193492352474899</v>
      </c>
      <c r="C4005">
        <v>0.64558990656259196</v>
      </c>
      <c r="D4005">
        <v>0.48311619235555398</v>
      </c>
      <c r="E4005">
        <v>0.17421000227462699</v>
      </c>
      <c r="F4005">
        <v>0.14330620280363501</v>
      </c>
      <c r="G4005">
        <v>8.9205063498987797E-2</v>
      </c>
      <c r="H4005">
        <v>6.3123797925390995E-2</v>
      </c>
      <c r="I4005">
        <v>7.8550429191605195E-2</v>
      </c>
      <c r="J4005">
        <v>9.5447595328643206E-2</v>
      </c>
      <c r="K4005">
        <v>9.8274994483775899E-2</v>
      </c>
      <c r="L4005">
        <v>854.69653917869698</v>
      </c>
      <c r="M4005">
        <v>19.082599239891799</v>
      </c>
      <c r="N4005">
        <v>45.209629154548097</v>
      </c>
      <c r="O4005">
        <v>44.306142567419897</v>
      </c>
      <c r="P4005">
        <v>-9.8926118564330201E-2</v>
      </c>
      <c r="Q4005">
        <v>8.1285959753850806E-2</v>
      </c>
      <c r="R4005">
        <v>0.98066002290679699</v>
      </c>
      <c r="S4005" t="s">
        <v>10675</v>
      </c>
      <c r="T4005" t="s">
        <v>13338</v>
      </c>
      <c r="U4005" t="s">
        <v>13338</v>
      </c>
      <c r="V4005" t="s">
        <v>13338</v>
      </c>
      <c r="W4005" t="s">
        <v>17288</v>
      </c>
      <c r="X4005">
        <v>15</v>
      </c>
      <c r="Y4005" t="s">
        <v>23799</v>
      </c>
      <c r="Z4005" t="s">
        <v>30420</v>
      </c>
      <c r="AA4005">
        <v>0.24572934130578589</v>
      </c>
      <c r="AB4005" t="str">
        <f>HYPERLINK("Melting_Curves/meltCurve_Q6KC79_2_NIPBL.pdf", "Melting_Curves/meltCurve_Q6KC79_2_NIPBL.pdf")</f>
        <v>Melting_Curves/meltCurve_Q6KC79_2_NIPBL.pdf</v>
      </c>
    </row>
    <row r="4006" spans="1:28" x14ac:dyDescent="0.25">
      <c r="A4006" t="s">
        <v>4010</v>
      </c>
      <c r="B4006">
        <v>0.99193492352474899</v>
      </c>
      <c r="C4006">
        <v>1.17880284016595</v>
      </c>
      <c r="D4006">
        <v>0.95453712178159</v>
      </c>
      <c r="E4006">
        <v>0.933124760368921</v>
      </c>
      <c r="F4006">
        <v>0.62860258187040297</v>
      </c>
      <c r="G4006">
        <v>0.472071233076573</v>
      </c>
      <c r="H4006">
        <v>0.25266435593602499</v>
      </c>
      <c r="I4006">
        <v>0.15476443682942001</v>
      </c>
      <c r="J4006">
        <v>0.15168503237629299</v>
      </c>
      <c r="K4006">
        <v>0.12562146503365501</v>
      </c>
      <c r="L4006">
        <v>996.77192182722695</v>
      </c>
      <c r="M4006">
        <v>18.117446635006399</v>
      </c>
      <c r="N4006">
        <v>55.791161626246499</v>
      </c>
      <c r="O4006">
        <v>54.360107829143502</v>
      </c>
      <c r="P4006">
        <v>-7.40669642340121E-2</v>
      </c>
      <c r="Q4006">
        <v>0.111112292209257</v>
      </c>
      <c r="R4006">
        <v>0.97183546033758295</v>
      </c>
      <c r="S4006" t="s">
        <v>10676</v>
      </c>
      <c r="T4006" t="s">
        <v>13338</v>
      </c>
      <c r="U4006" t="s">
        <v>13338</v>
      </c>
      <c r="V4006" t="s">
        <v>13338</v>
      </c>
      <c r="W4006" t="s">
        <v>17289</v>
      </c>
      <c r="X4006">
        <v>4</v>
      </c>
      <c r="Y4006" t="s">
        <v>23800</v>
      </c>
      <c r="Z4006" t="s">
        <v>30421</v>
      </c>
      <c r="AA4006">
        <v>0.56968833277102049</v>
      </c>
      <c r="AB4006" t="str">
        <f>HYPERLINK("Melting_Curves/meltCurve_Q6KCM7_2_SLC25A25.pdf", "Melting_Curves/meltCurve_Q6KCM7_2_SLC25A25.pdf")</f>
        <v>Melting_Curves/meltCurve_Q6KCM7_2_SLC25A25.pdf</v>
      </c>
    </row>
    <row r="4007" spans="1:28" x14ac:dyDescent="0.25">
      <c r="A4007" t="s">
        <v>4011</v>
      </c>
      <c r="B4007">
        <v>0.99193492352474899</v>
      </c>
      <c r="C4007">
        <v>0.63711772664839195</v>
      </c>
      <c r="D4007">
        <v>0.45733775344073702</v>
      </c>
      <c r="E4007">
        <v>0.31798578135735101</v>
      </c>
      <c r="F4007">
        <v>0.22800975320700001</v>
      </c>
      <c r="G4007">
        <v>0.15746971508994501</v>
      </c>
      <c r="H4007">
        <v>0.12926514818170701</v>
      </c>
      <c r="I4007">
        <v>0.19773373451951701</v>
      </c>
      <c r="J4007">
        <v>0.24377942630382499</v>
      </c>
      <c r="K4007">
        <v>0.270186341212375</v>
      </c>
      <c r="L4007">
        <v>907.836942105655</v>
      </c>
      <c r="M4007">
        <v>20.639619154992399</v>
      </c>
      <c r="N4007">
        <v>45.1423386711093</v>
      </c>
      <c r="O4007">
        <v>43.578489914721601</v>
      </c>
      <c r="P4007">
        <v>-9.4084169728151104E-2</v>
      </c>
      <c r="Q4007">
        <v>0.20542548645082301</v>
      </c>
      <c r="R4007">
        <v>0.95596544308166398</v>
      </c>
      <c r="S4007" t="s">
        <v>10677</v>
      </c>
      <c r="T4007" t="s">
        <v>13338</v>
      </c>
      <c r="U4007" t="s">
        <v>13338</v>
      </c>
      <c r="V4007" t="s">
        <v>13338</v>
      </c>
      <c r="W4007" t="s">
        <v>17290</v>
      </c>
      <c r="X4007">
        <v>3</v>
      </c>
      <c r="Y4007" t="s">
        <v>23801</v>
      </c>
      <c r="Z4007" t="s">
        <v>30422</v>
      </c>
      <c r="AA4007">
        <v>0.32537644966827323</v>
      </c>
      <c r="AB4007" t="str">
        <f>HYPERLINK("Melting_Curves/meltCurve_Q6MZP7_LIN54.pdf", "Melting_Curves/meltCurve_Q6MZP7_LIN54.pdf")</f>
        <v>Melting_Curves/meltCurve_Q6MZP7_LIN54.pdf</v>
      </c>
    </row>
    <row r="4008" spans="1:28" x14ac:dyDescent="0.25">
      <c r="A4008" t="s">
        <v>4012</v>
      </c>
      <c r="B4008">
        <v>0.99193492352474899</v>
      </c>
      <c r="C4008">
        <v>1.1434992062607801</v>
      </c>
      <c r="D4008">
        <v>0.92849446089644005</v>
      </c>
      <c r="E4008">
        <v>0.91948597688215905</v>
      </c>
      <c r="F4008">
        <v>0.73603467819235702</v>
      </c>
      <c r="G4008">
        <v>0.41088669355080498</v>
      </c>
      <c r="H4008">
        <v>0.288316215469195</v>
      </c>
      <c r="I4008">
        <v>0.22135971912594599</v>
      </c>
      <c r="J4008">
        <v>0.23181226406990699</v>
      </c>
      <c r="K4008">
        <v>0.178913394851765</v>
      </c>
      <c r="L4008">
        <v>1245.2733400293901</v>
      </c>
      <c r="M4008">
        <v>22.8015994717593</v>
      </c>
      <c r="N4008">
        <v>55.849294868628803</v>
      </c>
      <c r="O4008">
        <v>54.198556331053901</v>
      </c>
      <c r="P4008">
        <v>-8.4340724060613007E-2</v>
      </c>
      <c r="Q4008">
        <v>0.19811644166953701</v>
      </c>
      <c r="R4008">
        <v>0.978551715346208</v>
      </c>
      <c r="S4008" t="s">
        <v>10678</v>
      </c>
      <c r="T4008" t="s">
        <v>13338</v>
      </c>
      <c r="U4008" t="s">
        <v>13338</v>
      </c>
      <c r="V4008" t="s">
        <v>13338</v>
      </c>
      <c r="W4008" t="s">
        <v>17291</v>
      </c>
      <c r="X4008">
        <v>1</v>
      </c>
      <c r="Y4008" t="s">
        <v>23802</v>
      </c>
      <c r="Z4008" t="s">
        <v>30423</v>
      </c>
      <c r="AA4008">
        <v>0.59743821517389839</v>
      </c>
      <c r="AB4008" t="str">
        <f>HYPERLINK("Melting_Curves/meltCurve_Q6MZW2_2_FSTL4.pdf", "Melting_Curves/meltCurve_Q6MZW2_2_FSTL4.pdf")</f>
        <v>Melting_Curves/meltCurve_Q6MZW2_2_FSTL4.pdf</v>
      </c>
    </row>
    <row r="4009" spans="1:28" x14ac:dyDescent="0.25">
      <c r="A4009" t="s">
        <v>4013</v>
      </c>
      <c r="B4009">
        <v>0.99193492352474899</v>
      </c>
      <c r="C4009">
        <v>0.76190858760088898</v>
      </c>
      <c r="D4009">
        <v>0.95641596818714203</v>
      </c>
      <c r="E4009">
        <v>0.55130321143425698</v>
      </c>
      <c r="F4009">
        <v>0.260716759499664</v>
      </c>
      <c r="G4009">
        <v>0.231837608083134</v>
      </c>
      <c r="H4009">
        <v>0.182700543169835</v>
      </c>
      <c r="I4009">
        <v>0.246284258722718</v>
      </c>
      <c r="J4009">
        <v>0.37492028947471101</v>
      </c>
      <c r="K4009">
        <v>0.44379949085374898</v>
      </c>
      <c r="L4009">
        <v>2273.1482922055902</v>
      </c>
      <c r="M4009">
        <v>46.4137321411621</v>
      </c>
      <c r="N4009">
        <v>49.8976952661749</v>
      </c>
      <c r="O4009">
        <v>48.885112476686999</v>
      </c>
      <c r="P4009">
        <v>-0.16902560245846099</v>
      </c>
      <c r="Q4009">
        <v>0.28789815237128602</v>
      </c>
      <c r="R4009">
        <v>0.87249368147293305</v>
      </c>
      <c r="S4009" t="s">
        <v>10679</v>
      </c>
      <c r="T4009" t="s">
        <v>13338</v>
      </c>
      <c r="U4009" t="s">
        <v>13338</v>
      </c>
      <c r="V4009" t="s">
        <v>13338</v>
      </c>
      <c r="W4009" t="s">
        <v>17292</v>
      </c>
      <c r="X4009">
        <v>2</v>
      </c>
      <c r="Y4009" t="s">
        <v>23803</v>
      </c>
      <c r="Z4009" t="s">
        <v>30424</v>
      </c>
      <c r="AA4009">
        <v>0.50274093473698056</v>
      </c>
      <c r="AB4009" t="str">
        <f>HYPERLINK("Melting_Curves/meltCurve_Q6N043_2_ZNF280D.pdf", "Melting_Curves/meltCurve_Q6N043_2_ZNF280D.pdf")</f>
        <v>Melting_Curves/meltCurve_Q6N043_2_ZNF280D.pdf</v>
      </c>
    </row>
    <row r="4010" spans="1:28" x14ac:dyDescent="0.25">
      <c r="A4010" t="s">
        <v>4014</v>
      </c>
      <c r="B4010">
        <v>0.99193492352474899</v>
      </c>
      <c r="C4010">
        <v>0.80616054351370003</v>
      </c>
      <c r="D4010">
        <v>0.98238373716942295</v>
      </c>
      <c r="E4010">
        <v>0.66132662645939</v>
      </c>
      <c r="F4010">
        <v>0.19562116286400599</v>
      </c>
      <c r="G4010">
        <v>0.12679660954091801</v>
      </c>
      <c r="H4010">
        <v>7.7096507672635595E-2</v>
      </c>
      <c r="I4010">
        <v>6.3924670792370505E-2</v>
      </c>
      <c r="J4010">
        <v>9.1743464016543E-2</v>
      </c>
      <c r="K4010">
        <v>0.107340201353836</v>
      </c>
      <c r="L4010">
        <v>1783.1366366505299</v>
      </c>
      <c r="M4010">
        <v>35.437050584169697</v>
      </c>
      <c r="N4010">
        <v>50.595660539378699</v>
      </c>
      <c r="O4010">
        <v>50.158995326000998</v>
      </c>
      <c r="P4010">
        <v>-0.16103918607441001</v>
      </c>
      <c r="Q4010">
        <v>8.8238267175513002E-2</v>
      </c>
      <c r="R4010">
        <v>0.972949848293306</v>
      </c>
      <c r="S4010" t="s">
        <v>10680</v>
      </c>
      <c r="T4010" t="s">
        <v>13338</v>
      </c>
      <c r="U4010" t="s">
        <v>13338</v>
      </c>
      <c r="V4010" t="s">
        <v>13338</v>
      </c>
      <c r="W4010" t="s">
        <v>17293</v>
      </c>
      <c r="X4010">
        <v>15</v>
      </c>
      <c r="Y4010" t="s">
        <v>23804</v>
      </c>
      <c r="Z4010" t="s">
        <v>30425</v>
      </c>
      <c r="AA4010">
        <v>0.40588660229425971</v>
      </c>
      <c r="AB4010" t="str">
        <f>HYPERLINK("Melting_Curves/meltCurve_Q6N069_NAA16.pdf", "Melting_Curves/meltCurve_Q6N069_NAA16.pdf")</f>
        <v>Melting_Curves/meltCurve_Q6N069_NAA16.pdf</v>
      </c>
    </row>
    <row r="4011" spans="1:28" x14ac:dyDescent="0.25">
      <c r="A4011" t="s">
        <v>4015</v>
      </c>
      <c r="B4011">
        <v>0.99193492352474899</v>
      </c>
      <c r="C4011">
        <v>0.44920939512826702</v>
      </c>
      <c r="D4011">
        <v>0.85244824625624804</v>
      </c>
      <c r="E4011">
        <v>0.363420030369277</v>
      </c>
      <c r="F4011">
        <v>0.43652801930333601</v>
      </c>
      <c r="G4011">
        <v>0.21015264705418099</v>
      </c>
      <c r="H4011">
        <v>0.27025216897503201</v>
      </c>
      <c r="I4011">
        <v>0.21681187765412899</v>
      </c>
      <c r="J4011">
        <v>0.32695973567981401</v>
      </c>
      <c r="K4011">
        <v>0.30308813592635903</v>
      </c>
      <c r="L4011">
        <v>501.379313151384</v>
      </c>
      <c r="M4011">
        <v>11.044372541675299</v>
      </c>
      <c r="N4011">
        <v>48.288132185761697</v>
      </c>
      <c r="O4011">
        <v>43.984686770703</v>
      </c>
      <c r="P4011">
        <v>-4.7604160507337297E-2</v>
      </c>
      <c r="Q4011">
        <v>0.241909353255989</v>
      </c>
      <c r="R4011">
        <v>0.68596829836003703</v>
      </c>
      <c r="S4011" t="s">
        <v>10681</v>
      </c>
      <c r="T4011" t="s">
        <v>13338</v>
      </c>
      <c r="U4011" t="s">
        <v>13338</v>
      </c>
      <c r="V4011" t="s">
        <v>13338</v>
      </c>
      <c r="W4011" t="s">
        <v>17294</v>
      </c>
      <c r="X4011">
        <v>3</v>
      </c>
      <c r="Y4011" t="s">
        <v>23805</v>
      </c>
      <c r="Z4011" t="s">
        <v>30426</v>
      </c>
      <c r="AA4011">
        <v>0.4206140269451808</v>
      </c>
      <c r="AB4011" t="str">
        <f>HYPERLINK("Melting_Curves/meltCurve_Q6NS38_ALKBH2.pdf", "Melting_Curves/meltCurve_Q6NS38_ALKBH2.pdf")</f>
        <v>Melting_Curves/meltCurve_Q6NS38_ALKBH2.pdf</v>
      </c>
    </row>
    <row r="4012" spans="1:28" x14ac:dyDescent="0.25">
      <c r="A4012" t="s">
        <v>4016</v>
      </c>
      <c r="B4012">
        <v>0.99193492352474899</v>
      </c>
      <c r="C4012">
        <v>1.1027740024583199</v>
      </c>
      <c r="D4012">
        <v>1.11207520568534</v>
      </c>
      <c r="E4012">
        <v>0.85309274144400005</v>
      </c>
      <c r="F4012">
        <v>0.58149443973260595</v>
      </c>
      <c r="G4012">
        <v>0.28246699219669202</v>
      </c>
      <c r="H4012">
        <v>0.132187148227494</v>
      </c>
      <c r="I4012">
        <v>0.136109744119359</v>
      </c>
      <c r="J4012">
        <v>0.139935033455069</v>
      </c>
      <c r="K4012">
        <v>0.189086897946457</v>
      </c>
      <c r="L4012">
        <v>1465.6736642139699</v>
      </c>
      <c r="M4012">
        <v>27.552116909896299</v>
      </c>
      <c r="N4012">
        <v>53.855082594161203</v>
      </c>
      <c r="O4012">
        <v>52.918540521078498</v>
      </c>
      <c r="P4012">
        <v>-0.11154538959716399</v>
      </c>
      <c r="Q4012">
        <v>0.14304005371554199</v>
      </c>
      <c r="R4012">
        <v>0.98030436179289504</v>
      </c>
      <c r="S4012" t="s">
        <v>10682</v>
      </c>
      <c r="T4012" t="s">
        <v>13338</v>
      </c>
      <c r="U4012" t="s">
        <v>13338</v>
      </c>
      <c r="V4012" t="s">
        <v>13338</v>
      </c>
      <c r="W4012" t="s">
        <v>17295</v>
      </c>
      <c r="X4012">
        <v>3</v>
      </c>
      <c r="Y4012" t="s">
        <v>23806</v>
      </c>
      <c r="Z4012" t="s">
        <v>30427</v>
      </c>
      <c r="AA4012">
        <v>0.52657144803042266</v>
      </c>
      <c r="AB4012" t="str">
        <f>HYPERLINK("Melting_Curves/meltCurve_Q6NSJ5_LRRC8E.pdf", "Melting_Curves/meltCurve_Q6NSJ5_LRRC8E.pdf")</f>
        <v>Melting_Curves/meltCurve_Q6NSJ5_LRRC8E.pdf</v>
      </c>
    </row>
    <row r="4013" spans="1:28" x14ac:dyDescent="0.25">
      <c r="A4013" t="s">
        <v>4017</v>
      </c>
      <c r="B4013">
        <v>0.99193492352474899</v>
      </c>
      <c r="C4013">
        <v>0.86863443343803504</v>
      </c>
      <c r="D4013">
        <v>0.95481864037726505</v>
      </c>
      <c r="E4013">
        <v>0.68194391211540994</v>
      </c>
      <c r="F4013">
        <v>0.92624450767545496</v>
      </c>
      <c r="G4013">
        <v>0.48796199748358399</v>
      </c>
      <c r="H4013">
        <v>0.33733726997031399</v>
      </c>
      <c r="I4013">
        <v>0.404237083908771</v>
      </c>
      <c r="J4013">
        <v>0.62122961174214397</v>
      </c>
      <c r="K4013">
        <v>0.50731735953798696</v>
      </c>
      <c r="L4013">
        <v>703.13124263957604</v>
      </c>
      <c r="M4013">
        <v>13.5429690725756</v>
      </c>
      <c r="N4013">
        <v>61.892118901682103</v>
      </c>
      <c r="O4013">
        <v>50.825768733458503</v>
      </c>
      <c r="P4013">
        <v>-3.7069119215788197E-2</v>
      </c>
      <c r="Q4013">
        <v>0.44361307695998298</v>
      </c>
      <c r="R4013">
        <v>0.70084863875785197</v>
      </c>
      <c r="S4013" t="s">
        <v>10683</v>
      </c>
      <c r="T4013" t="s">
        <v>13338</v>
      </c>
      <c r="U4013" t="s">
        <v>13338</v>
      </c>
      <c r="V4013" t="s">
        <v>13338</v>
      </c>
      <c r="W4013" t="s">
        <v>17296</v>
      </c>
      <c r="X4013">
        <v>1</v>
      </c>
      <c r="Y4013" t="s">
        <v>23807</v>
      </c>
      <c r="Z4013" t="s">
        <v>30428</v>
      </c>
      <c r="AA4013">
        <v>0.67917475619379075</v>
      </c>
      <c r="AB4013" t="str">
        <f>HYPERLINK("Melting_Curves/meltCurve_Q6NT16_SLC18B1.pdf", "Melting_Curves/meltCurve_Q6NT16_SLC18B1.pdf")</f>
        <v>Melting_Curves/meltCurve_Q6NT16_SLC18B1.pdf</v>
      </c>
    </row>
    <row r="4014" spans="1:28" x14ac:dyDescent="0.25">
      <c r="A4014" t="s">
        <v>4018</v>
      </c>
      <c r="B4014">
        <v>0.99193492352474899</v>
      </c>
      <c r="C4014">
        <v>0.94928886820815905</v>
      </c>
      <c r="D4014">
        <v>1.0539135585672099</v>
      </c>
      <c r="E4014">
        <v>0.94822880606551097</v>
      </c>
      <c r="F4014">
        <v>0.80469232333652396</v>
      </c>
      <c r="G4014">
        <v>0.63422061808479702</v>
      </c>
      <c r="H4014">
        <v>0.531744372141702</v>
      </c>
      <c r="I4014">
        <v>0.442137972609565</v>
      </c>
      <c r="J4014">
        <v>0.225570462379863</v>
      </c>
      <c r="K4014">
        <v>0.206853451465979</v>
      </c>
      <c r="L4014">
        <v>646.96859362410203</v>
      </c>
      <c r="M4014">
        <v>10.6017812798087</v>
      </c>
      <c r="N4014">
        <v>61.024518116398298</v>
      </c>
      <c r="O4014">
        <v>58.973392398486297</v>
      </c>
      <c r="P4014">
        <v>-4.4960543964848103E-2</v>
      </c>
      <c r="Q4014">
        <v>0</v>
      </c>
      <c r="R4014">
        <v>0.97811922040323296</v>
      </c>
      <c r="S4014" t="s">
        <v>10684</v>
      </c>
      <c r="T4014" t="s">
        <v>13338</v>
      </c>
      <c r="U4014" t="s">
        <v>13338</v>
      </c>
      <c r="V4014" t="s">
        <v>13338</v>
      </c>
      <c r="W4014" t="s">
        <v>17297</v>
      </c>
      <c r="X4014">
        <v>20</v>
      </c>
      <c r="Y4014" t="s">
        <v>23808</v>
      </c>
      <c r="Z4014" t="s">
        <v>30429</v>
      </c>
      <c r="AA4014">
        <v>0.69135898298412246</v>
      </c>
      <c r="AB4014" t="str">
        <f>HYPERLINK("Melting_Curves/meltCurve_Q6NUK1_SLC25A24.pdf", "Melting_Curves/meltCurve_Q6NUK1_SLC25A24.pdf")</f>
        <v>Melting_Curves/meltCurve_Q6NUK1_SLC25A24.pdf</v>
      </c>
    </row>
    <row r="4015" spans="1:28" x14ac:dyDescent="0.25">
      <c r="A4015" t="s">
        <v>4019</v>
      </c>
      <c r="B4015">
        <v>0.99193492352474899</v>
      </c>
      <c r="C4015">
        <v>0.76753701735467805</v>
      </c>
      <c r="D4015">
        <v>0.69636851179875003</v>
      </c>
      <c r="E4015">
        <v>0.59698367023729404</v>
      </c>
      <c r="F4015">
        <v>0.35912208466044299</v>
      </c>
      <c r="G4015">
        <v>0.22434349059373501</v>
      </c>
      <c r="H4015">
        <v>0.22359744438590501</v>
      </c>
      <c r="I4015">
        <v>0.23802780747541699</v>
      </c>
      <c r="J4015">
        <v>0.30830967407179399</v>
      </c>
      <c r="K4015">
        <v>0.39416706696257697</v>
      </c>
      <c r="L4015">
        <v>675.15819804710702</v>
      </c>
      <c r="M4015">
        <v>14.348470663014099</v>
      </c>
      <c r="N4015">
        <v>49.634450878950403</v>
      </c>
      <c r="O4015">
        <v>46.168692868742703</v>
      </c>
      <c r="P4015">
        <v>-5.7281458910353703E-2</v>
      </c>
      <c r="Q4015">
        <v>0.26283650419999999</v>
      </c>
      <c r="R4015">
        <v>0.92062062196121097</v>
      </c>
      <c r="S4015" t="s">
        <v>10685</v>
      </c>
      <c r="T4015" t="s">
        <v>13338</v>
      </c>
      <c r="U4015" t="s">
        <v>13338</v>
      </c>
      <c r="V4015" t="s">
        <v>13338</v>
      </c>
      <c r="W4015" t="s">
        <v>17298</v>
      </c>
      <c r="X4015">
        <v>1</v>
      </c>
      <c r="Y4015" t="s">
        <v>23809</v>
      </c>
      <c r="Z4015" t="s">
        <v>30430</v>
      </c>
      <c r="AA4015">
        <v>0.45802618398275913</v>
      </c>
      <c r="AB4015" t="str">
        <f>HYPERLINK("Melting_Curves/meltCurve_Q6NUK4_REEP3.pdf", "Melting_Curves/meltCurve_Q6NUK4_REEP3.pdf")</f>
        <v>Melting_Curves/meltCurve_Q6NUK4_REEP3.pdf</v>
      </c>
    </row>
    <row r="4016" spans="1:28" x14ac:dyDescent="0.25">
      <c r="A4016" t="s">
        <v>4020</v>
      </c>
      <c r="B4016">
        <v>0.99193492352474899</v>
      </c>
      <c r="C4016">
        <v>1.13023112359501</v>
      </c>
      <c r="D4016">
        <v>0.99644785642357903</v>
      </c>
      <c r="E4016">
        <v>0.641679777427133</v>
      </c>
      <c r="F4016">
        <v>0.51862838562536695</v>
      </c>
      <c r="G4016">
        <v>0.34365790359516102</v>
      </c>
      <c r="H4016">
        <v>0.16405938925442501</v>
      </c>
      <c r="I4016">
        <v>0.23333562253027201</v>
      </c>
      <c r="J4016">
        <v>0.24681565997541</v>
      </c>
      <c r="K4016">
        <v>0.21420365477254999</v>
      </c>
      <c r="L4016">
        <v>1050.7618908878001</v>
      </c>
      <c r="M4016">
        <v>20.508995336146501</v>
      </c>
      <c r="N4016">
        <v>52.666938319627597</v>
      </c>
      <c r="O4016">
        <v>50.754549598859803</v>
      </c>
      <c r="P4016">
        <v>-7.9424469898455599E-2</v>
      </c>
      <c r="Q4016">
        <v>0.21380162442418699</v>
      </c>
      <c r="R4016">
        <v>0.96331825647340497</v>
      </c>
      <c r="S4016" t="s">
        <v>10686</v>
      </c>
      <c r="T4016" t="s">
        <v>13338</v>
      </c>
      <c r="U4016" t="s">
        <v>13338</v>
      </c>
      <c r="V4016" t="s">
        <v>13338</v>
      </c>
      <c r="W4016" t="s">
        <v>17299</v>
      </c>
      <c r="X4016">
        <v>5</v>
      </c>
      <c r="Y4016" t="s">
        <v>23810</v>
      </c>
      <c r="Z4016" t="s">
        <v>30431</v>
      </c>
      <c r="AA4016">
        <v>0.51862067980366655</v>
      </c>
      <c r="AB4016" t="str">
        <f>HYPERLINK("Melting_Curves/meltCurve_Q6NUM9_RETSAT.pdf", "Melting_Curves/meltCurve_Q6NUM9_RETSAT.pdf")</f>
        <v>Melting_Curves/meltCurve_Q6NUM9_RETSAT.pdf</v>
      </c>
    </row>
    <row r="4017" spans="1:28" x14ac:dyDescent="0.25">
      <c r="A4017" t="s">
        <v>4021</v>
      </c>
      <c r="B4017">
        <v>0.99193492352474899</v>
      </c>
      <c r="C4017">
        <v>0.87642473140643995</v>
      </c>
      <c r="D4017">
        <v>0.61848679960508601</v>
      </c>
      <c r="E4017">
        <v>0.16306071694900501</v>
      </c>
      <c r="F4017">
        <v>0.109091165747507</v>
      </c>
      <c r="G4017">
        <v>5.1296019488267799E-2</v>
      </c>
      <c r="H4017">
        <v>3.6201314959617599E-2</v>
      </c>
      <c r="I4017">
        <v>4.2896063532434997E-2</v>
      </c>
      <c r="J4017">
        <v>6.33966788308164E-2</v>
      </c>
      <c r="K4017">
        <v>2.35186167010085E-2</v>
      </c>
      <c r="L4017">
        <v>1237.6084469601601</v>
      </c>
      <c r="M4017">
        <v>26.604724291708202</v>
      </c>
      <c r="N4017">
        <v>46.678189931573698</v>
      </c>
      <c r="O4017">
        <v>46.257938556410501</v>
      </c>
      <c r="P4017">
        <v>-0.137526879577614</v>
      </c>
      <c r="Q4017">
        <v>4.3531877576751803E-2</v>
      </c>
      <c r="R4017">
        <v>0.99629109059940002</v>
      </c>
      <c r="S4017" t="s">
        <v>10687</v>
      </c>
      <c r="T4017" t="s">
        <v>13338</v>
      </c>
      <c r="U4017" t="s">
        <v>13338</v>
      </c>
      <c r="V4017" t="s">
        <v>13338</v>
      </c>
      <c r="W4017" t="s">
        <v>17300</v>
      </c>
      <c r="X4017">
        <v>6</v>
      </c>
      <c r="Y4017" t="s">
        <v>23811</v>
      </c>
      <c r="Z4017" t="s">
        <v>30432</v>
      </c>
      <c r="AA4017">
        <v>0.25887219851279952</v>
      </c>
      <c r="AB4017" t="str">
        <f>HYPERLINK("Melting_Curves/meltCurve_Q6NUQ1_RINT1.pdf", "Melting_Curves/meltCurve_Q6NUQ1_RINT1.pdf")</f>
        <v>Melting_Curves/meltCurve_Q6NUQ1_RINT1.pdf</v>
      </c>
    </row>
    <row r="4018" spans="1:28" x14ac:dyDescent="0.25">
      <c r="A4018" t="s">
        <v>4022</v>
      </c>
      <c r="B4018">
        <v>0.99193492352474899</v>
      </c>
      <c r="C4018">
        <v>0.67095559664388305</v>
      </c>
      <c r="D4018">
        <v>1.0070280684822099</v>
      </c>
      <c r="E4018">
        <v>0.58545231043363999</v>
      </c>
      <c r="F4018">
        <v>0.18493799449762399</v>
      </c>
      <c r="G4018">
        <v>0.111124094541962</v>
      </c>
      <c r="H4018">
        <v>6.8102738083757899E-2</v>
      </c>
      <c r="I4018">
        <v>7.3049744495686394E-2</v>
      </c>
      <c r="J4018">
        <v>7.2295142832469197E-2</v>
      </c>
      <c r="K4018">
        <v>8.7475406617922594E-2</v>
      </c>
      <c r="L4018">
        <v>1641.2223831019</v>
      </c>
      <c r="M4018">
        <v>32.855821461062803</v>
      </c>
      <c r="N4018">
        <v>50.209965114040401</v>
      </c>
      <c r="O4018">
        <v>49.768289605750702</v>
      </c>
      <c r="P4018">
        <v>-0.15223912054900099</v>
      </c>
      <c r="Q4018">
        <v>7.7588435311553697E-2</v>
      </c>
      <c r="R4018">
        <v>0.92029872870703699</v>
      </c>
      <c r="S4018" t="s">
        <v>10688</v>
      </c>
      <c r="T4018" t="s">
        <v>13338</v>
      </c>
      <c r="U4018" t="s">
        <v>13338</v>
      </c>
      <c r="V4018" t="s">
        <v>13338</v>
      </c>
      <c r="W4018" t="s">
        <v>17301</v>
      </c>
      <c r="X4018">
        <v>14</v>
      </c>
      <c r="Y4018" t="s">
        <v>23812</v>
      </c>
      <c r="Z4018" t="s">
        <v>30433</v>
      </c>
      <c r="AA4018">
        <v>0.38833320807753618</v>
      </c>
      <c r="AB4018" t="str">
        <f>HYPERLINK("Melting_Curves/meltCurve_Q6NUQ4_2_TMEM214.pdf", "Melting_Curves/meltCurve_Q6NUQ4_2_TMEM214.pdf")</f>
        <v>Melting_Curves/meltCurve_Q6NUQ4_2_TMEM214.pdf</v>
      </c>
    </row>
    <row r="4019" spans="1:28" x14ac:dyDescent="0.25">
      <c r="A4019" t="s">
        <v>4023</v>
      </c>
      <c r="B4019">
        <v>0.99193492352474899</v>
      </c>
      <c r="C4019">
        <v>0.959312469473663</v>
      </c>
      <c r="D4019">
        <v>0.88249739041853903</v>
      </c>
      <c r="E4019">
        <v>0.67065906859507196</v>
      </c>
      <c r="F4019">
        <v>0.62192446969299797</v>
      </c>
      <c r="G4019">
        <v>0.33133473168812999</v>
      </c>
      <c r="H4019">
        <v>0.120221449532497</v>
      </c>
      <c r="I4019">
        <v>9.5382897147522697E-2</v>
      </c>
      <c r="J4019">
        <v>0.13533868218759701</v>
      </c>
      <c r="K4019">
        <v>0.22156368358603901</v>
      </c>
      <c r="L4019">
        <v>755.86020757194103</v>
      </c>
      <c r="M4019">
        <v>14.3513566392612</v>
      </c>
      <c r="N4019">
        <v>53.444550759977702</v>
      </c>
      <c r="O4019">
        <v>51.677252569954497</v>
      </c>
      <c r="P4019">
        <v>-6.2903096886015294E-2</v>
      </c>
      <c r="Q4019">
        <v>9.4087366333928599E-2</v>
      </c>
      <c r="R4019">
        <v>0.96736533741278696</v>
      </c>
      <c r="S4019" t="s">
        <v>10689</v>
      </c>
      <c r="T4019" t="s">
        <v>13338</v>
      </c>
      <c r="U4019" t="s">
        <v>13338</v>
      </c>
      <c r="V4019" t="s">
        <v>13338</v>
      </c>
      <c r="W4019" t="s">
        <v>17302</v>
      </c>
      <c r="X4019">
        <v>2</v>
      </c>
      <c r="Y4019" t="s">
        <v>23813</v>
      </c>
      <c r="Z4019" t="s">
        <v>30434</v>
      </c>
      <c r="AA4019">
        <v>0.49766288716949042</v>
      </c>
      <c r="AB4019" t="str">
        <f>HYPERLINK("Melting_Curves/meltCurve_Q6NUS6_TCTN3.pdf", "Melting_Curves/meltCurve_Q6NUS6_TCTN3.pdf")</f>
        <v>Melting_Curves/meltCurve_Q6NUS6_TCTN3.pdf</v>
      </c>
    </row>
    <row r="4020" spans="1:28" x14ac:dyDescent="0.25">
      <c r="A4020" t="s">
        <v>4024</v>
      </c>
      <c r="B4020">
        <v>0.99193492352474899</v>
      </c>
      <c r="C4020">
        <v>0.86561389628076701</v>
      </c>
      <c r="D4020">
        <v>0.88735751771853</v>
      </c>
      <c r="E4020">
        <v>0.65795501626477204</v>
      </c>
      <c r="F4020">
        <v>0.20685044600173</v>
      </c>
      <c r="G4020">
        <v>0.11825613592072801</v>
      </c>
      <c r="H4020">
        <v>7.4535561983959706E-2</v>
      </c>
      <c r="I4020">
        <v>9.4759249580062793E-2</v>
      </c>
      <c r="J4020">
        <v>0.107753292464149</v>
      </c>
      <c r="K4020">
        <v>0.13470908402425499</v>
      </c>
      <c r="L4020">
        <v>1413.74197692349</v>
      </c>
      <c r="M4020">
        <v>28.188635104590301</v>
      </c>
      <c r="N4020">
        <v>50.526160767099398</v>
      </c>
      <c r="O4020">
        <v>49.902531305226198</v>
      </c>
      <c r="P4020">
        <v>-0.12794628945040201</v>
      </c>
      <c r="Q4020">
        <v>9.3990763375150596E-2</v>
      </c>
      <c r="R4020">
        <v>0.98219522746036902</v>
      </c>
      <c r="S4020" t="s">
        <v>10690</v>
      </c>
      <c r="T4020" t="s">
        <v>13338</v>
      </c>
      <c r="U4020" t="s">
        <v>13338</v>
      </c>
      <c r="V4020" t="s">
        <v>13338</v>
      </c>
      <c r="W4020" t="s">
        <v>17303</v>
      </c>
      <c r="X4020">
        <v>14</v>
      </c>
      <c r="Y4020" t="s">
        <v>23814</v>
      </c>
      <c r="Z4020" t="s">
        <v>30435</v>
      </c>
      <c r="AA4020">
        <v>0.40698210245080541</v>
      </c>
      <c r="AB4020" t="str">
        <f>HYPERLINK("Melting_Curves/meltCurve_Q6NVY1_HIBCH.pdf", "Melting_Curves/meltCurve_Q6NVY1_HIBCH.pdf")</f>
        <v>Melting_Curves/meltCurve_Q6NVY1_HIBCH.pdf</v>
      </c>
    </row>
    <row r="4021" spans="1:28" x14ac:dyDescent="0.25">
      <c r="A4021" t="s">
        <v>4025</v>
      </c>
      <c r="B4021">
        <v>0.99193492352474899</v>
      </c>
      <c r="C4021">
        <v>0.52239574698284097</v>
      </c>
      <c r="D4021">
        <v>0.19388783738687801</v>
      </c>
      <c r="E4021">
        <v>0.112808182412778</v>
      </c>
      <c r="F4021">
        <v>7.7986421067998302E-2</v>
      </c>
      <c r="G4021">
        <v>4.702756020565E-2</v>
      </c>
      <c r="H4021">
        <v>3.1608887373007197E-2</v>
      </c>
      <c r="I4021">
        <v>4.1349935142841299E-2</v>
      </c>
      <c r="J4021">
        <v>3.8452826846763599E-2</v>
      </c>
      <c r="K4021">
        <v>7.3696535776879193E-2</v>
      </c>
      <c r="L4021">
        <v>1451.7808008575901</v>
      </c>
      <c r="M4021">
        <v>33.743054982620102</v>
      </c>
      <c r="N4021">
        <v>43.193500787824902</v>
      </c>
      <c r="O4021">
        <v>42.8743121723071</v>
      </c>
      <c r="P4021">
        <v>-0.18459445006768399</v>
      </c>
      <c r="Q4021">
        <v>6.1812580878387598E-2</v>
      </c>
      <c r="R4021">
        <v>0.988479379602903</v>
      </c>
      <c r="S4021" t="s">
        <v>10691</v>
      </c>
      <c r="T4021" t="s">
        <v>13338</v>
      </c>
      <c r="U4021" t="s">
        <v>13338</v>
      </c>
      <c r="V4021" t="s">
        <v>13338</v>
      </c>
      <c r="W4021" t="s">
        <v>17304</v>
      </c>
      <c r="X4021">
        <v>9</v>
      </c>
      <c r="Y4021" t="s">
        <v>23815</v>
      </c>
      <c r="Z4021" t="s">
        <v>30436</v>
      </c>
      <c r="AA4021">
        <v>0.1627892789654114</v>
      </c>
      <c r="AB4021" t="str">
        <f>HYPERLINK("Melting_Curves/meltCurve_Q6NXE6_2_ARMC6.pdf", "Melting_Curves/meltCurve_Q6NXE6_2_ARMC6.pdf")</f>
        <v>Melting_Curves/meltCurve_Q6NXE6_2_ARMC6.pdf</v>
      </c>
    </row>
    <row r="4022" spans="1:28" x14ac:dyDescent="0.25">
      <c r="A4022" t="s">
        <v>4026</v>
      </c>
      <c r="B4022">
        <v>0.99193492352474899</v>
      </c>
      <c r="C4022">
        <v>0.781347928083724</v>
      </c>
      <c r="D4022">
        <v>0.72006913190741895</v>
      </c>
      <c r="E4022">
        <v>0.57480199023142498</v>
      </c>
      <c r="F4022">
        <v>0.44023187304514999</v>
      </c>
      <c r="G4022">
        <v>0.213523483099609</v>
      </c>
      <c r="H4022">
        <v>0.100392810617861</v>
      </c>
      <c r="I4022">
        <v>0.167198821576932</v>
      </c>
      <c r="J4022">
        <v>0.15999350383901201</v>
      </c>
      <c r="K4022">
        <v>0.128187108663222</v>
      </c>
      <c r="L4022">
        <v>532.93472076685202</v>
      </c>
      <c r="M4022">
        <v>10.7079417952108</v>
      </c>
      <c r="N4022">
        <v>50.471338642079097</v>
      </c>
      <c r="O4022">
        <v>48.128419455974701</v>
      </c>
      <c r="P4022">
        <v>-5.1796338658716801E-2</v>
      </c>
      <c r="Q4022">
        <v>6.9123298780356807E-2</v>
      </c>
      <c r="R4022">
        <v>0.97264398575546895</v>
      </c>
      <c r="S4022" t="s">
        <v>10692</v>
      </c>
      <c r="T4022" t="s">
        <v>13338</v>
      </c>
      <c r="U4022" t="s">
        <v>13338</v>
      </c>
      <c r="V4022" t="s">
        <v>13338</v>
      </c>
      <c r="W4022" t="s">
        <v>17305</v>
      </c>
      <c r="X4022">
        <v>2</v>
      </c>
      <c r="Y4022" t="s">
        <v>23816</v>
      </c>
      <c r="Z4022" t="s">
        <v>30437</v>
      </c>
      <c r="AA4022">
        <v>0.41115508105286791</v>
      </c>
      <c r="AB4022" t="str">
        <f>HYPERLINK("Melting_Curves/meltCurve_Q6NXT1_ANKRD54.pdf", "Melting_Curves/meltCurve_Q6NXT1_ANKRD54.pdf")</f>
        <v>Melting_Curves/meltCurve_Q6NXT1_ANKRD54.pdf</v>
      </c>
    </row>
    <row r="4023" spans="1:28" x14ac:dyDescent="0.25">
      <c r="A4023" t="s">
        <v>4027</v>
      </c>
      <c r="B4023">
        <v>0.99193492352474899</v>
      </c>
      <c r="C4023">
        <v>1.1888518852498</v>
      </c>
      <c r="D4023">
        <v>1.1781810185177599</v>
      </c>
      <c r="E4023">
        <v>1.09186696671116</v>
      </c>
      <c r="F4023">
        <v>0.96567887439903199</v>
      </c>
      <c r="G4023">
        <v>0.93547007385150205</v>
      </c>
      <c r="H4023">
        <v>0.68841650257684195</v>
      </c>
      <c r="I4023">
        <v>0.70108011338082699</v>
      </c>
      <c r="J4023">
        <v>0.72259410404112301</v>
      </c>
      <c r="K4023">
        <v>0.55827840320111</v>
      </c>
      <c r="L4023">
        <v>2745.3105722885298</v>
      </c>
      <c r="M4023">
        <v>46.988966199552102</v>
      </c>
      <c r="O4023">
        <v>58.319059612469502</v>
      </c>
      <c r="P4023">
        <v>-6.9568504356667699E-2</v>
      </c>
      <c r="Q4023">
        <v>0.65462828553548003</v>
      </c>
      <c r="R4023">
        <v>0.79150086184094104</v>
      </c>
      <c r="S4023" t="s">
        <v>10693</v>
      </c>
      <c r="T4023" t="s">
        <v>13338</v>
      </c>
      <c r="U4023" t="s">
        <v>13338</v>
      </c>
      <c r="V4023" t="s">
        <v>13338</v>
      </c>
      <c r="W4023" t="s">
        <v>17306</v>
      </c>
      <c r="X4023">
        <v>10</v>
      </c>
      <c r="Y4023" t="s">
        <v>23817</v>
      </c>
      <c r="Z4023" t="s">
        <v>30438</v>
      </c>
      <c r="AA4023">
        <v>0.8677386302995177</v>
      </c>
      <c r="AB4023" t="str">
        <f>HYPERLINK("Melting_Curves/meltCurve_Q6NXT6_TAPT1.pdf", "Melting_Curves/meltCurve_Q6NXT6_TAPT1.pdf")</f>
        <v>Melting_Curves/meltCurve_Q6NXT6_TAPT1.pdf</v>
      </c>
    </row>
    <row r="4024" spans="1:28" x14ac:dyDescent="0.25">
      <c r="A4024" t="s">
        <v>4028</v>
      </c>
      <c r="B4024">
        <v>0.99193492352474899</v>
      </c>
      <c r="C4024">
        <v>0.78128410851788099</v>
      </c>
      <c r="D4024">
        <v>0.707918226128044</v>
      </c>
      <c r="E4024">
        <v>0.36101802262226401</v>
      </c>
      <c r="F4024">
        <v>0.20079141779932799</v>
      </c>
      <c r="G4024">
        <v>0.12670339502272801</v>
      </c>
      <c r="H4024">
        <v>0.11032132652309901</v>
      </c>
      <c r="I4024">
        <v>0.16791378923918501</v>
      </c>
      <c r="J4024">
        <v>0.21452005814866701</v>
      </c>
      <c r="K4024">
        <v>0.39617909442514099</v>
      </c>
      <c r="L4024">
        <v>976.25230856944904</v>
      </c>
      <c r="M4024">
        <v>21.011502843423699</v>
      </c>
      <c r="N4024">
        <v>47.566494792886999</v>
      </c>
      <c r="O4024">
        <v>46.0480352836409</v>
      </c>
      <c r="P4024">
        <v>-9.2067281808260001E-2</v>
      </c>
      <c r="Q4024">
        <v>0.19293659329316301</v>
      </c>
      <c r="R4024">
        <v>0.91597175538168296</v>
      </c>
      <c r="S4024" t="s">
        <v>10694</v>
      </c>
      <c r="T4024" t="s">
        <v>13338</v>
      </c>
      <c r="U4024" t="s">
        <v>13338</v>
      </c>
      <c r="V4024" t="s">
        <v>13338</v>
      </c>
      <c r="W4024" t="s">
        <v>17307</v>
      </c>
      <c r="X4024">
        <v>12</v>
      </c>
      <c r="Y4024" t="s">
        <v>23818</v>
      </c>
      <c r="Z4024" t="s">
        <v>30439</v>
      </c>
      <c r="AA4024">
        <v>0.37763865149284648</v>
      </c>
      <c r="AB4024" t="str">
        <f>HYPERLINK("Melting_Curves/meltCurve_Q6NYC8_PPP1R18.pdf", "Melting_Curves/meltCurve_Q6NYC8_PPP1R18.pdf")</f>
        <v>Melting_Curves/meltCurve_Q6NYC8_PPP1R18.pdf</v>
      </c>
    </row>
    <row r="4025" spans="1:28" x14ac:dyDescent="0.25">
      <c r="A4025" t="s">
        <v>4029</v>
      </c>
      <c r="B4025">
        <v>0.99193492352474899</v>
      </c>
      <c r="C4025">
        <v>1.4648043031896101</v>
      </c>
      <c r="D4025">
        <v>1.080126835637</v>
      </c>
      <c r="E4025">
        <v>0.79305206191678601</v>
      </c>
      <c r="F4025">
        <v>0.59891664913895004</v>
      </c>
      <c r="G4025">
        <v>0.55320670536628902</v>
      </c>
      <c r="H4025">
        <v>0.39056816300779401</v>
      </c>
      <c r="I4025">
        <v>0.47291033656168602</v>
      </c>
      <c r="J4025">
        <v>0.39517875205360697</v>
      </c>
      <c r="K4025">
        <v>0.84354347103719096</v>
      </c>
      <c r="L4025">
        <v>2475.6908478979599</v>
      </c>
      <c r="M4025">
        <v>49.590532885414198</v>
      </c>
      <c r="O4025">
        <v>49.841645244901898</v>
      </c>
      <c r="P4025">
        <v>-0.11498054431948999</v>
      </c>
      <c r="Q4025">
        <v>0.53774909032328899</v>
      </c>
      <c r="R4025">
        <v>0.66214375971450501</v>
      </c>
      <c r="S4025" t="s">
        <v>10695</v>
      </c>
      <c r="T4025" t="s">
        <v>13338</v>
      </c>
      <c r="U4025" t="s">
        <v>13338</v>
      </c>
      <c r="V4025" t="s">
        <v>13338</v>
      </c>
      <c r="W4025" t="s">
        <v>17308</v>
      </c>
      <c r="X4025">
        <v>1</v>
      </c>
      <c r="Y4025" t="s">
        <v>23819</v>
      </c>
      <c r="Z4025" t="s">
        <v>30440</v>
      </c>
      <c r="AA4025">
        <v>0.69167582572401121</v>
      </c>
      <c r="AB4025" t="str">
        <f>HYPERLINK("Melting_Curves/meltCurve_Q6NZI2_PTRF.pdf", "Melting_Curves/meltCurve_Q6NZI2_PTRF.pdf")</f>
        <v>Melting_Curves/meltCurve_Q6NZI2_PTRF.pdf</v>
      </c>
    </row>
    <row r="4026" spans="1:28" x14ac:dyDescent="0.25">
      <c r="A4026" t="s">
        <v>4030</v>
      </c>
      <c r="B4026">
        <v>0.99193492352474899</v>
      </c>
      <c r="C4026">
        <v>0.72092822993264205</v>
      </c>
      <c r="D4026">
        <v>0.94656564458027803</v>
      </c>
      <c r="E4026">
        <v>0.91808131278155103</v>
      </c>
      <c r="F4026">
        <v>0.38946505193435199</v>
      </c>
      <c r="G4026">
        <v>0.134615920531241</v>
      </c>
      <c r="H4026">
        <v>0.141960389646417</v>
      </c>
      <c r="I4026">
        <v>0.19403439009217799</v>
      </c>
      <c r="J4026">
        <v>0.322026559748744</v>
      </c>
      <c r="K4026">
        <v>0.33970604495288598</v>
      </c>
      <c r="L4026">
        <v>2687.71439540134</v>
      </c>
      <c r="M4026">
        <v>51.935295008261697</v>
      </c>
      <c r="N4026">
        <v>52.360396400048899</v>
      </c>
      <c r="O4026">
        <v>51.674654406928802</v>
      </c>
      <c r="P4026">
        <v>-0.194286384898887</v>
      </c>
      <c r="Q4026">
        <v>0.22675518682848</v>
      </c>
      <c r="R4026">
        <v>0.88891271912007797</v>
      </c>
      <c r="S4026" t="s">
        <v>10696</v>
      </c>
      <c r="T4026" t="s">
        <v>13338</v>
      </c>
      <c r="U4026" t="s">
        <v>13338</v>
      </c>
      <c r="V4026" t="s">
        <v>13338</v>
      </c>
      <c r="W4026" t="s">
        <v>17309</v>
      </c>
      <c r="X4026">
        <v>14</v>
      </c>
      <c r="Y4026" t="s">
        <v>23820</v>
      </c>
      <c r="Z4026" t="s">
        <v>30441</v>
      </c>
      <c r="AA4026">
        <v>0.53127591483025649</v>
      </c>
      <c r="AB4026" t="str">
        <f>HYPERLINK("Melting_Curves/meltCurve_Q6NZY4_ZCCHC8.pdf", "Melting_Curves/meltCurve_Q6NZY4_ZCCHC8.pdf")</f>
        <v>Melting_Curves/meltCurve_Q6NZY4_ZCCHC8.pdf</v>
      </c>
    </row>
    <row r="4027" spans="1:28" x14ac:dyDescent="0.25">
      <c r="A4027" t="s">
        <v>4031</v>
      </c>
      <c r="B4027">
        <v>0.99193492352474899</v>
      </c>
      <c r="C4027">
        <v>0.332299545145466</v>
      </c>
      <c r="D4027">
        <v>0.805620230907795</v>
      </c>
      <c r="E4027">
        <v>0.27640532389417599</v>
      </c>
      <c r="F4027">
        <v>0.12773673689085899</v>
      </c>
      <c r="G4027">
        <v>6.7674270280337498E-2</v>
      </c>
      <c r="H4027">
        <v>4.8040236088230298E-2</v>
      </c>
      <c r="I4027">
        <v>5.0149993704565701E-2</v>
      </c>
      <c r="J4027">
        <v>6.9579215963513005E-2</v>
      </c>
      <c r="K4027">
        <v>7.7487587895247401E-2</v>
      </c>
      <c r="L4027">
        <v>507.73092865665097</v>
      </c>
      <c r="M4027">
        <v>11.0603154875035</v>
      </c>
      <c r="N4027">
        <v>45.991516032803801</v>
      </c>
      <c r="O4027">
        <v>44.481576557948301</v>
      </c>
      <c r="P4027">
        <v>-6.1547441392333799E-2</v>
      </c>
      <c r="Q4027">
        <v>1.0218288113116701E-2</v>
      </c>
      <c r="R4027">
        <v>0.756566944804825</v>
      </c>
      <c r="S4027" t="s">
        <v>10697</v>
      </c>
      <c r="T4027" t="s">
        <v>13338</v>
      </c>
      <c r="U4027" t="s">
        <v>13338</v>
      </c>
      <c r="V4027" t="s">
        <v>13338</v>
      </c>
      <c r="W4027" t="s">
        <v>17310</v>
      </c>
      <c r="X4027">
        <v>4</v>
      </c>
      <c r="Y4027" t="s">
        <v>23821</v>
      </c>
      <c r="Z4027" t="s">
        <v>30442</v>
      </c>
      <c r="AA4027">
        <v>0.25769957301215812</v>
      </c>
      <c r="AB4027" t="str">
        <f>HYPERLINK("Melting_Curves/meltCurve_Q6P087_2_RPUSD3.pdf", "Melting_Curves/meltCurve_Q6P087_2_RPUSD3.pdf")</f>
        <v>Melting_Curves/meltCurve_Q6P087_2_RPUSD3.pdf</v>
      </c>
    </row>
    <row r="4028" spans="1:28" x14ac:dyDescent="0.25">
      <c r="A4028" t="s">
        <v>4032</v>
      </c>
      <c r="B4028">
        <v>0.99193492352474899</v>
      </c>
      <c r="C4028">
        <v>0.70163919463496205</v>
      </c>
      <c r="D4028">
        <v>1.32005467875586</v>
      </c>
      <c r="E4028">
        <v>0.79072791930270903</v>
      </c>
      <c r="F4028">
        <v>0.728776250417142</v>
      </c>
      <c r="G4028">
        <v>0.239742672784579</v>
      </c>
      <c r="H4028">
        <v>0.28866741550529901</v>
      </c>
      <c r="I4028">
        <v>0.220469107315615</v>
      </c>
      <c r="J4028">
        <v>0.456491659226404</v>
      </c>
      <c r="K4028">
        <v>0.66314751627453195</v>
      </c>
      <c r="L4028">
        <v>13314.3308823199</v>
      </c>
      <c r="M4028">
        <v>250</v>
      </c>
      <c r="N4028">
        <v>53.552073154400297</v>
      </c>
      <c r="O4028">
        <v>53.253915429539099</v>
      </c>
      <c r="P4028">
        <v>-0.73503554858763998</v>
      </c>
      <c r="Q4028">
        <v>0.37370366584389503</v>
      </c>
      <c r="R4028">
        <v>0.66390931950961096</v>
      </c>
      <c r="S4028" t="s">
        <v>10698</v>
      </c>
      <c r="T4028" t="s">
        <v>13338</v>
      </c>
      <c r="U4028" t="s">
        <v>13338</v>
      </c>
      <c r="V4028" t="s">
        <v>13338</v>
      </c>
      <c r="W4028" t="s">
        <v>17311</v>
      </c>
      <c r="X4028">
        <v>2</v>
      </c>
      <c r="Y4028" t="s">
        <v>23822</v>
      </c>
      <c r="Z4028" t="s">
        <v>30443</v>
      </c>
      <c r="AA4028">
        <v>0.65052930735245096</v>
      </c>
      <c r="AB4028" t="str">
        <f>HYPERLINK("Melting_Curves/meltCurve_Q6P161_MRPL54.pdf", "Melting_Curves/meltCurve_Q6P161_MRPL54.pdf")</f>
        <v>Melting_Curves/meltCurve_Q6P161_MRPL54.pdf</v>
      </c>
    </row>
    <row r="4029" spans="1:28" x14ac:dyDescent="0.25">
      <c r="A4029" t="s">
        <v>4033</v>
      </c>
      <c r="B4029">
        <v>0.99193492352474899</v>
      </c>
      <c r="C4029">
        <v>0.92473505519492005</v>
      </c>
      <c r="D4029">
        <v>0.96847128385648096</v>
      </c>
      <c r="E4029">
        <v>0.75341495643755996</v>
      </c>
      <c r="F4029">
        <v>0.63917889074841505</v>
      </c>
      <c r="G4029">
        <v>0.20955190958491601</v>
      </c>
      <c r="H4029">
        <v>9.1241706538748898E-2</v>
      </c>
      <c r="I4029">
        <v>9.3327199515794296E-2</v>
      </c>
      <c r="J4029">
        <v>0.10900802828268399</v>
      </c>
      <c r="K4029">
        <v>0.113570648624054</v>
      </c>
      <c r="L4029">
        <v>1094.8527905375099</v>
      </c>
      <c r="M4029">
        <v>20.563876147767701</v>
      </c>
      <c r="N4029">
        <v>53.637405766667001</v>
      </c>
      <c r="O4029">
        <v>52.745737709354103</v>
      </c>
      <c r="P4029">
        <v>-9.0607757317529194E-2</v>
      </c>
      <c r="Q4029">
        <v>7.0402169463565006E-2</v>
      </c>
      <c r="R4029">
        <v>0.979956958356348</v>
      </c>
      <c r="S4029" t="s">
        <v>10699</v>
      </c>
      <c r="T4029" t="s">
        <v>13338</v>
      </c>
      <c r="U4029" t="s">
        <v>13338</v>
      </c>
      <c r="V4029" t="s">
        <v>13338</v>
      </c>
      <c r="W4029" t="s">
        <v>17312</v>
      </c>
      <c r="X4029">
        <v>18</v>
      </c>
      <c r="Y4029" t="s">
        <v>23823</v>
      </c>
      <c r="Z4029" t="s">
        <v>30444</v>
      </c>
      <c r="AA4029">
        <v>0.4928815594149904</v>
      </c>
      <c r="AB4029" t="str">
        <f>HYPERLINK("Melting_Curves/meltCurve_Q6P179_ERAP2.pdf", "Melting_Curves/meltCurve_Q6P179_ERAP2.pdf")</f>
        <v>Melting_Curves/meltCurve_Q6P179_ERAP2.pdf</v>
      </c>
    </row>
    <row r="4030" spans="1:28" x14ac:dyDescent="0.25">
      <c r="A4030" t="s">
        <v>4034</v>
      </c>
      <c r="B4030">
        <v>0.99193492352474899</v>
      </c>
      <c r="C4030">
        <v>0.68102125011502102</v>
      </c>
      <c r="D4030">
        <v>0.60016467740963797</v>
      </c>
      <c r="E4030">
        <v>0.21116073252860301</v>
      </c>
      <c r="F4030">
        <v>0.13687491614681099</v>
      </c>
      <c r="G4030">
        <v>7.9170915198838801E-2</v>
      </c>
      <c r="H4030">
        <v>5.8063180253322397E-2</v>
      </c>
      <c r="I4030">
        <v>6.6775715732283497E-2</v>
      </c>
      <c r="J4030">
        <v>6.1854281487234E-2</v>
      </c>
      <c r="K4030">
        <v>6.72715751383062E-2</v>
      </c>
      <c r="L4030">
        <v>783.53256625229096</v>
      </c>
      <c r="M4030">
        <v>17.077896935877899</v>
      </c>
      <c r="N4030">
        <v>46.178069600119599</v>
      </c>
      <c r="O4030">
        <v>45.264699565803603</v>
      </c>
      <c r="P4030">
        <v>-8.9404086636135499E-2</v>
      </c>
      <c r="Q4030">
        <v>5.2200978714691801E-2</v>
      </c>
      <c r="R4030">
        <v>0.97728797746923901</v>
      </c>
      <c r="S4030" t="s">
        <v>10700</v>
      </c>
      <c r="T4030" t="s">
        <v>13338</v>
      </c>
      <c r="U4030" t="s">
        <v>13338</v>
      </c>
      <c r="V4030" t="s">
        <v>13338</v>
      </c>
      <c r="W4030" t="s">
        <v>17313</v>
      </c>
      <c r="X4030">
        <v>18</v>
      </c>
      <c r="Y4030" t="s">
        <v>23824</v>
      </c>
      <c r="Z4030" t="s">
        <v>30445</v>
      </c>
      <c r="AA4030">
        <v>0.25908937208128452</v>
      </c>
      <c r="AB4030" t="str">
        <f>HYPERLINK("Melting_Curves/meltCurve_Q6P1J9_CDC73.pdf", "Melting_Curves/meltCurve_Q6P1J9_CDC73.pdf")</f>
        <v>Melting_Curves/meltCurve_Q6P1J9_CDC73.pdf</v>
      </c>
    </row>
    <row r="4031" spans="1:28" x14ac:dyDescent="0.25">
      <c r="A4031" t="s">
        <v>4035</v>
      </c>
      <c r="B4031">
        <v>0.99193492352474899</v>
      </c>
      <c r="C4031">
        <v>1.10069616945189</v>
      </c>
      <c r="D4031">
        <v>1.0546396149388699</v>
      </c>
      <c r="E4031">
        <v>0.60102926153834801</v>
      </c>
      <c r="F4031">
        <v>0.30980388799166197</v>
      </c>
      <c r="G4031">
        <v>0.30521701223077102</v>
      </c>
      <c r="H4031">
        <v>0.22459249102103301</v>
      </c>
      <c r="I4031">
        <v>0.111643097104708</v>
      </c>
      <c r="J4031">
        <v>0.32546857756679098</v>
      </c>
      <c r="K4031">
        <v>0.144806761225305</v>
      </c>
      <c r="L4031">
        <v>2305.2438711494101</v>
      </c>
      <c r="M4031">
        <v>46.465272929717301</v>
      </c>
      <c r="N4031">
        <v>50.278153163574302</v>
      </c>
      <c r="O4031">
        <v>49.520555163250201</v>
      </c>
      <c r="P4031">
        <v>-0.18066946533813699</v>
      </c>
      <c r="Q4031">
        <v>0.22980398440340699</v>
      </c>
      <c r="R4031">
        <v>0.96065838301111905</v>
      </c>
      <c r="S4031" t="s">
        <v>10701</v>
      </c>
      <c r="T4031" t="s">
        <v>13338</v>
      </c>
      <c r="U4031" t="s">
        <v>13338</v>
      </c>
      <c r="V4031" t="s">
        <v>13338</v>
      </c>
      <c r="W4031" t="s">
        <v>17314</v>
      </c>
      <c r="X4031">
        <v>3</v>
      </c>
      <c r="Y4031" t="s">
        <v>23825</v>
      </c>
      <c r="Z4031" t="s">
        <v>30446</v>
      </c>
      <c r="AA4031">
        <v>0.47853323568427558</v>
      </c>
      <c r="AB4031" t="str">
        <f>HYPERLINK("Melting_Curves/meltCurve_Q6P1K2_4_PMF1.pdf", "Melting_Curves/meltCurve_Q6P1K2_4_PMF1.pdf")</f>
        <v>Melting_Curves/meltCurve_Q6P1K2_4_PMF1.pdf</v>
      </c>
    </row>
    <row r="4032" spans="1:28" x14ac:dyDescent="0.25">
      <c r="A4032" t="s">
        <v>4036</v>
      </c>
      <c r="B4032">
        <v>0.99193492352474899</v>
      </c>
      <c r="C4032">
        <v>0.83643167215513903</v>
      </c>
      <c r="D4032">
        <v>0.74250404862364705</v>
      </c>
      <c r="E4032">
        <v>0.41382044425488501</v>
      </c>
      <c r="F4032">
        <v>0.199156421341041</v>
      </c>
      <c r="G4032">
        <v>0.107657323176333</v>
      </c>
      <c r="H4032">
        <v>7.5489313213498305E-2</v>
      </c>
      <c r="I4032">
        <v>0.117837006417732</v>
      </c>
      <c r="J4032">
        <v>0.14387809546194599</v>
      </c>
      <c r="K4032">
        <v>0.134473326569891</v>
      </c>
      <c r="L4032">
        <v>906.29407419971403</v>
      </c>
      <c r="M4032">
        <v>18.964698317356302</v>
      </c>
      <c r="N4032">
        <v>48.368336197490002</v>
      </c>
      <c r="O4032">
        <v>47.266647340390598</v>
      </c>
      <c r="P4032">
        <v>-9.0111250644216601E-2</v>
      </c>
      <c r="Q4032">
        <v>0.10168148363836201</v>
      </c>
      <c r="R4032">
        <v>0.988858302829418</v>
      </c>
      <c r="S4032" t="s">
        <v>10702</v>
      </c>
      <c r="T4032" t="s">
        <v>13338</v>
      </c>
      <c r="U4032" t="s">
        <v>13338</v>
      </c>
      <c r="V4032" t="s">
        <v>13338</v>
      </c>
      <c r="W4032" t="s">
        <v>17315</v>
      </c>
      <c r="X4032">
        <v>6</v>
      </c>
      <c r="Y4032" t="s">
        <v>23826</v>
      </c>
      <c r="Z4032" t="s">
        <v>30447</v>
      </c>
      <c r="AA4032">
        <v>0.34926635102000297</v>
      </c>
      <c r="AB4032" t="str">
        <f>HYPERLINK("Melting_Curves/meltCurve_Q6P1K8_GTF2H2C.pdf", "Melting_Curves/meltCurve_Q6P1K8_GTF2H2C.pdf")</f>
        <v>Melting_Curves/meltCurve_Q6P1K8_GTF2H2C.pdf</v>
      </c>
    </row>
    <row r="4033" spans="1:28" x14ac:dyDescent="0.25">
      <c r="A4033" t="s">
        <v>4037</v>
      </c>
      <c r="B4033">
        <v>0.99193492352474899</v>
      </c>
      <c r="C4033">
        <v>0.85044114788067504</v>
      </c>
      <c r="D4033">
        <v>0.64839662471632398</v>
      </c>
      <c r="E4033">
        <v>0.51023448489929601</v>
      </c>
      <c r="F4033">
        <v>0.299773879989015</v>
      </c>
      <c r="G4033">
        <v>0.19067678650466</v>
      </c>
      <c r="H4033">
        <v>0.16719368900776399</v>
      </c>
      <c r="I4033">
        <v>0.24034834977953401</v>
      </c>
      <c r="J4033">
        <v>0.258802661099374</v>
      </c>
      <c r="K4033">
        <v>0.34248250326489399</v>
      </c>
      <c r="L4033">
        <v>821.67121852802802</v>
      </c>
      <c r="M4033">
        <v>17.5565324492811</v>
      </c>
      <c r="N4033">
        <v>48.540016250725003</v>
      </c>
      <c r="O4033">
        <v>46.206938908922297</v>
      </c>
      <c r="P4033">
        <v>-7.2823225967149505E-2</v>
      </c>
      <c r="Q4033">
        <v>0.233389958822596</v>
      </c>
      <c r="R4033">
        <v>0.95917200871679198</v>
      </c>
      <c r="S4033" t="s">
        <v>10703</v>
      </c>
      <c r="T4033" t="s">
        <v>13338</v>
      </c>
      <c r="U4033" t="s">
        <v>13338</v>
      </c>
      <c r="V4033" t="s">
        <v>13338</v>
      </c>
      <c r="W4033" t="s">
        <v>17316</v>
      </c>
      <c r="X4033">
        <v>7</v>
      </c>
      <c r="Y4033" t="s">
        <v>23827</v>
      </c>
      <c r="Z4033" t="s">
        <v>30448</v>
      </c>
      <c r="AA4033">
        <v>0.42228164363888698</v>
      </c>
      <c r="AB4033" t="str">
        <f>HYPERLINK("Melting_Curves/meltCurve_Q6P1L5_FAM117B.pdf", "Melting_Curves/meltCurve_Q6P1L5_FAM117B.pdf")</f>
        <v>Melting_Curves/meltCurve_Q6P1L5_FAM117B.pdf</v>
      </c>
    </row>
    <row r="4034" spans="1:28" x14ac:dyDescent="0.25">
      <c r="A4034" t="s">
        <v>4038</v>
      </c>
      <c r="B4034">
        <v>0.99193492352474899</v>
      </c>
      <c r="C4034">
        <v>0.59709174413097199</v>
      </c>
      <c r="D4034">
        <v>0.88749047641998102</v>
      </c>
      <c r="E4034">
        <v>0.53546072890128704</v>
      </c>
      <c r="F4034">
        <v>0.21573262243982</v>
      </c>
      <c r="G4034">
        <v>9.5132311596358196E-2</v>
      </c>
      <c r="H4034">
        <v>5.1622033105910299E-2</v>
      </c>
      <c r="I4034">
        <v>5.0088669796074299E-2</v>
      </c>
      <c r="J4034">
        <v>5.65172169855368E-2</v>
      </c>
      <c r="K4034">
        <v>5.1021344542908999E-2</v>
      </c>
      <c r="L4034">
        <v>644.13143508270502</v>
      </c>
      <c r="M4034">
        <v>13.069264972072199</v>
      </c>
      <c r="N4034">
        <v>49.285972544886903</v>
      </c>
      <c r="O4034">
        <v>48.174876313195298</v>
      </c>
      <c r="P4034">
        <v>-6.7833713934054199E-2</v>
      </c>
      <c r="Q4034">
        <v>0</v>
      </c>
      <c r="R4034">
        <v>0.90299531958103096</v>
      </c>
      <c r="S4034" t="s">
        <v>10704</v>
      </c>
      <c r="T4034" t="s">
        <v>13338</v>
      </c>
      <c r="U4034" t="s">
        <v>13338</v>
      </c>
      <c r="V4034" t="s">
        <v>13338</v>
      </c>
      <c r="W4034" t="s">
        <v>17317</v>
      </c>
      <c r="X4034">
        <v>3</v>
      </c>
      <c r="Y4034" t="s">
        <v>23828</v>
      </c>
      <c r="Z4034" t="s">
        <v>30449</v>
      </c>
      <c r="AA4034">
        <v>0.34079960615066479</v>
      </c>
      <c r="AB4034" t="str">
        <f>HYPERLINK("Melting_Curves/meltCurve_Q6P1L8_MRPL14.pdf", "Melting_Curves/meltCurve_Q6P1L8_MRPL14.pdf")</f>
        <v>Melting_Curves/meltCurve_Q6P1L8_MRPL14.pdf</v>
      </c>
    </row>
    <row r="4035" spans="1:28" x14ac:dyDescent="0.25">
      <c r="A4035" t="s">
        <v>4039</v>
      </c>
      <c r="B4035">
        <v>0.99193492352474899</v>
      </c>
      <c r="C4035">
        <v>0.96044634970459697</v>
      </c>
      <c r="D4035">
        <v>0.56803284990509795</v>
      </c>
      <c r="E4035">
        <v>0.18605374345661399</v>
      </c>
      <c r="F4035">
        <v>0.11487505137469101</v>
      </c>
      <c r="G4035">
        <v>6.5703707621327795E-2</v>
      </c>
      <c r="H4035">
        <v>4.0054039449374801E-2</v>
      </c>
      <c r="I4035">
        <v>5.0046305306421297E-2</v>
      </c>
      <c r="J4035">
        <v>5.9862503725091602E-2</v>
      </c>
      <c r="K4035">
        <v>5.5590942639019002E-2</v>
      </c>
      <c r="L4035">
        <v>1413.8545952081599</v>
      </c>
      <c r="M4035">
        <v>30.499024350823099</v>
      </c>
      <c r="N4035">
        <v>46.557332212824797</v>
      </c>
      <c r="O4035">
        <v>46.159442504387101</v>
      </c>
      <c r="P4035">
        <v>-0.155043816935656</v>
      </c>
      <c r="Q4035">
        <v>6.1387351965820701E-2</v>
      </c>
      <c r="R4035">
        <v>0.99733441038394699</v>
      </c>
      <c r="S4035" t="s">
        <v>10705</v>
      </c>
      <c r="T4035" t="s">
        <v>13338</v>
      </c>
      <c r="U4035" t="s">
        <v>13338</v>
      </c>
      <c r="V4035" t="s">
        <v>13338</v>
      </c>
      <c r="W4035" t="s">
        <v>17318</v>
      </c>
      <c r="X4035">
        <v>7</v>
      </c>
      <c r="Y4035" t="s">
        <v>23829</v>
      </c>
      <c r="Z4035" t="s">
        <v>30450</v>
      </c>
      <c r="AA4035">
        <v>0.26575786235516519</v>
      </c>
      <c r="AB4035" t="str">
        <f>HYPERLINK("Melting_Curves/meltCurve_Q6P1M0_SLC27A4.pdf", "Melting_Curves/meltCurve_Q6P1M0_SLC27A4.pdf")</f>
        <v>Melting_Curves/meltCurve_Q6P1M0_SLC27A4.pdf</v>
      </c>
    </row>
    <row r="4036" spans="1:28" x14ac:dyDescent="0.25">
      <c r="A4036" t="s">
        <v>4040</v>
      </c>
      <c r="B4036">
        <v>0.99193492352474899</v>
      </c>
      <c r="C4036">
        <v>0.75663575770755997</v>
      </c>
      <c r="D4036">
        <v>0.71018012328568603</v>
      </c>
      <c r="E4036">
        <v>0.33439566011406302</v>
      </c>
      <c r="F4036">
        <v>0.18314655921666401</v>
      </c>
      <c r="G4036">
        <v>0.112364284588039</v>
      </c>
      <c r="H4036">
        <v>8.0752205714234901E-2</v>
      </c>
      <c r="I4036">
        <v>8.16479473249897E-2</v>
      </c>
      <c r="J4036">
        <v>8.6571383399193597E-2</v>
      </c>
      <c r="K4036">
        <v>8.7132189754364306E-2</v>
      </c>
      <c r="L4036">
        <v>777.939264824259</v>
      </c>
      <c r="M4036">
        <v>16.4736652356682</v>
      </c>
      <c r="N4036">
        <v>47.643345792527498</v>
      </c>
      <c r="O4036">
        <v>46.543773533340897</v>
      </c>
      <c r="P4036">
        <v>-8.2508373271601404E-2</v>
      </c>
      <c r="Q4036">
        <v>6.7606635216287195E-2</v>
      </c>
      <c r="R4036">
        <v>0.98385432780663196</v>
      </c>
      <c r="S4036" t="s">
        <v>10706</v>
      </c>
      <c r="T4036" t="s">
        <v>13338</v>
      </c>
      <c r="U4036" t="s">
        <v>13338</v>
      </c>
      <c r="V4036" t="s">
        <v>13338</v>
      </c>
      <c r="W4036" t="s">
        <v>17319</v>
      </c>
      <c r="X4036">
        <v>14</v>
      </c>
      <c r="Y4036" t="s">
        <v>23830</v>
      </c>
      <c r="Z4036" t="s">
        <v>30451</v>
      </c>
      <c r="AA4036">
        <v>0.31267289896314832</v>
      </c>
      <c r="AB4036" t="str">
        <f>HYPERLINK("Melting_Curves/meltCurve_Q6P1N0_2_CC2D1A.pdf", "Melting_Curves/meltCurve_Q6P1N0_2_CC2D1A.pdf")</f>
        <v>Melting_Curves/meltCurve_Q6P1N0_2_CC2D1A.pdf</v>
      </c>
    </row>
    <row r="4037" spans="1:28" x14ac:dyDescent="0.25">
      <c r="A4037" t="s">
        <v>4041</v>
      </c>
      <c r="B4037">
        <v>0.99193492352474899</v>
      </c>
      <c r="C4037">
        <v>0.78218616420381204</v>
      </c>
      <c r="D4037">
        <v>0.59569347842056897</v>
      </c>
      <c r="E4037">
        <v>0.23396698514782899</v>
      </c>
      <c r="F4037">
        <v>0.177288679080989</v>
      </c>
      <c r="G4037">
        <v>0.10144337964096101</v>
      </c>
      <c r="H4037">
        <v>7.7384415176341301E-2</v>
      </c>
      <c r="I4037">
        <v>0.100650289418897</v>
      </c>
      <c r="J4037">
        <v>9.78457607409942E-2</v>
      </c>
      <c r="K4037">
        <v>0.123352339065062</v>
      </c>
      <c r="L4037">
        <v>918.92802428288599</v>
      </c>
      <c r="M4037">
        <v>19.950568589131802</v>
      </c>
      <c r="N4037">
        <v>46.551022087818502</v>
      </c>
      <c r="O4037">
        <v>45.604960765292603</v>
      </c>
      <c r="P4037">
        <v>-9.8996968191020399E-2</v>
      </c>
      <c r="Q4037">
        <v>9.4841940588595394E-2</v>
      </c>
      <c r="R4037">
        <v>0.99131034143838703</v>
      </c>
      <c r="S4037" t="s">
        <v>10707</v>
      </c>
      <c r="T4037" t="s">
        <v>13338</v>
      </c>
      <c r="U4037" t="s">
        <v>13338</v>
      </c>
      <c r="V4037" t="s">
        <v>13338</v>
      </c>
      <c r="W4037" t="s">
        <v>17320</v>
      </c>
      <c r="X4037">
        <v>7</v>
      </c>
      <c r="Y4037" t="s">
        <v>23831</v>
      </c>
      <c r="Z4037" t="s">
        <v>30452</v>
      </c>
      <c r="AA4037">
        <v>0.29170441492471888</v>
      </c>
      <c r="AB4037" t="str">
        <f>HYPERLINK("Melting_Curves/meltCurve_Q6P1Q9_METTL2B.pdf", "Melting_Curves/meltCurve_Q6P1Q9_METTL2B.pdf")</f>
        <v>Melting_Curves/meltCurve_Q6P1Q9_METTL2B.pdf</v>
      </c>
    </row>
    <row r="4038" spans="1:28" x14ac:dyDescent="0.25">
      <c r="A4038" t="s">
        <v>4042</v>
      </c>
      <c r="B4038">
        <v>0.99193492352474899</v>
      </c>
      <c r="C4038">
        <v>0.79546848056914299</v>
      </c>
      <c r="D4038">
        <v>0.71372828382382003</v>
      </c>
      <c r="E4038">
        <v>0.47259401918511101</v>
      </c>
      <c r="F4038">
        <v>0.43015231718825397</v>
      </c>
      <c r="G4038">
        <v>0.28106164513225201</v>
      </c>
      <c r="H4038">
        <v>0.21046799461926899</v>
      </c>
      <c r="I4038">
        <v>0.246461632808436</v>
      </c>
      <c r="J4038">
        <v>0.28291453649215198</v>
      </c>
      <c r="K4038">
        <v>0.17481468043131501</v>
      </c>
      <c r="L4038">
        <v>598.932903160823</v>
      </c>
      <c r="M4038">
        <v>12.5548071059309</v>
      </c>
      <c r="N4038">
        <v>49.768682220150097</v>
      </c>
      <c r="O4038">
        <v>46.543675664546001</v>
      </c>
      <c r="P4038">
        <v>-5.3765192439498802E-2</v>
      </c>
      <c r="Q4038">
        <v>0.20287949933913699</v>
      </c>
      <c r="R4038">
        <v>0.97491908597694499</v>
      </c>
      <c r="S4038" t="s">
        <v>10708</v>
      </c>
      <c r="T4038" t="s">
        <v>13338</v>
      </c>
      <c r="U4038" t="s">
        <v>13338</v>
      </c>
      <c r="V4038" t="s">
        <v>13338</v>
      </c>
      <c r="W4038" t="s">
        <v>17321</v>
      </c>
      <c r="X4038">
        <v>5</v>
      </c>
      <c r="Y4038" t="s">
        <v>23832</v>
      </c>
      <c r="Z4038" t="s">
        <v>30453</v>
      </c>
      <c r="AA4038">
        <v>0.43693341594509849</v>
      </c>
      <c r="AB4038" t="str">
        <f>HYPERLINK("Melting_Curves/meltCurve_Q6P1R4_DUS1L.pdf", "Melting_Curves/meltCurve_Q6P1R4_DUS1L.pdf")</f>
        <v>Melting_Curves/meltCurve_Q6P1R4_DUS1L.pdf</v>
      </c>
    </row>
    <row r="4039" spans="1:28" x14ac:dyDescent="0.25">
      <c r="A4039" t="s">
        <v>4043</v>
      </c>
      <c r="B4039">
        <v>0.99193492352474899</v>
      </c>
      <c r="C4039">
        <v>0.83121863350280101</v>
      </c>
      <c r="D4039">
        <v>0.69686704538714195</v>
      </c>
      <c r="E4039">
        <v>0.55334831395358997</v>
      </c>
      <c r="F4039">
        <v>0.296431761705851</v>
      </c>
      <c r="G4039">
        <v>0.131955825984956</v>
      </c>
      <c r="H4039">
        <v>0.104087059998362</v>
      </c>
      <c r="I4039">
        <v>0.11165491870307</v>
      </c>
      <c r="J4039">
        <v>0.11205923351761</v>
      </c>
      <c r="K4039">
        <v>0.127685162127809</v>
      </c>
      <c r="L4039">
        <v>673.21573568411202</v>
      </c>
      <c r="M4039">
        <v>13.7976375523422</v>
      </c>
      <c r="N4039">
        <v>49.3790427446256</v>
      </c>
      <c r="O4039">
        <v>47.8014570217412</v>
      </c>
      <c r="P4039">
        <v>-6.6712929888418704E-2</v>
      </c>
      <c r="Q4039">
        <v>7.5631007767939601E-2</v>
      </c>
      <c r="R4039">
        <v>0.98619107314165499</v>
      </c>
      <c r="S4039" t="s">
        <v>10709</v>
      </c>
      <c r="T4039" t="s">
        <v>13338</v>
      </c>
      <c r="U4039" t="s">
        <v>13338</v>
      </c>
      <c r="V4039" t="s">
        <v>13338</v>
      </c>
      <c r="W4039" t="s">
        <v>17322</v>
      </c>
      <c r="X4039">
        <v>13</v>
      </c>
      <c r="Y4039" t="s">
        <v>23833</v>
      </c>
      <c r="Z4039" t="s">
        <v>30454</v>
      </c>
      <c r="AA4039">
        <v>0.37341628798904708</v>
      </c>
      <c r="AB4039" t="str">
        <f>HYPERLINK("Melting_Curves/meltCurve_Q6P275_STAG1.pdf", "Melting_Curves/meltCurve_Q6P275_STAG1.pdf")</f>
        <v>Melting_Curves/meltCurve_Q6P275_STAG1.pdf</v>
      </c>
    </row>
    <row r="4040" spans="1:28" x14ac:dyDescent="0.25">
      <c r="A4040" t="s">
        <v>4044</v>
      </c>
      <c r="B4040">
        <v>0.99193492352474899</v>
      </c>
      <c r="C4040">
        <v>0.68019268188084103</v>
      </c>
      <c r="D4040">
        <v>0.66708719995542498</v>
      </c>
      <c r="E4040">
        <v>0.33595176178555203</v>
      </c>
      <c r="F4040">
        <v>0.27496656970815803</v>
      </c>
      <c r="G4040">
        <v>0.129462175094779</v>
      </c>
      <c r="H4040">
        <v>7.9421941077003302E-2</v>
      </c>
      <c r="I4040">
        <v>8.0897833487127299E-2</v>
      </c>
      <c r="J4040">
        <v>9.7154070941137996E-2</v>
      </c>
      <c r="K4040">
        <v>8.1980259264137406E-2</v>
      </c>
      <c r="L4040">
        <v>606.50596954626496</v>
      </c>
      <c r="M4040">
        <v>12.898839469769801</v>
      </c>
      <c r="N4040">
        <v>47.4776847769553</v>
      </c>
      <c r="O4040">
        <v>45.933079409652798</v>
      </c>
      <c r="P4040">
        <v>-6.6113909088004102E-2</v>
      </c>
      <c r="Q4040">
        <v>5.84387404068843E-2</v>
      </c>
      <c r="R4040">
        <v>0.97007553532324797</v>
      </c>
      <c r="S4040" t="s">
        <v>10710</v>
      </c>
      <c r="T4040" t="s">
        <v>13338</v>
      </c>
      <c r="U4040" t="s">
        <v>13338</v>
      </c>
      <c r="V4040" t="s">
        <v>13338</v>
      </c>
      <c r="W4040" t="s">
        <v>17323</v>
      </c>
      <c r="X4040">
        <v>6</v>
      </c>
      <c r="Y4040" t="s">
        <v>23834</v>
      </c>
      <c r="Z4040" t="s">
        <v>30455</v>
      </c>
      <c r="AA4040">
        <v>0.31325133076902889</v>
      </c>
      <c r="AB4040" t="str">
        <f>HYPERLINK("Melting_Curves/meltCurve_Q6P2C8_MED27.pdf", "Melting_Curves/meltCurve_Q6P2C8_MED27.pdf")</f>
        <v>Melting_Curves/meltCurve_Q6P2C8_MED27.pdf</v>
      </c>
    </row>
    <row r="4041" spans="1:28" x14ac:dyDescent="0.25">
      <c r="A4041" t="s">
        <v>4045</v>
      </c>
      <c r="B4041">
        <v>0.99193492352474899</v>
      </c>
      <c r="C4041">
        <v>0.78354330181181797</v>
      </c>
      <c r="D4041">
        <v>0.567857141319008</v>
      </c>
      <c r="E4041">
        <v>0.30963885835030602</v>
      </c>
      <c r="F4041">
        <v>0.123672443869626</v>
      </c>
      <c r="G4041">
        <v>7.5831030804221905E-2</v>
      </c>
      <c r="H4041">
        <v>4.3299046302148002E-2</v>
      </c>
      <c r="I4041">
        <v>4.27871719445648E-2</v>
      </c>
      <c r="J4041">
        <v>4.7259206513937703E-2</v>
      </c>
      <c r="K4041">
        <v>4.15005658830516E-2</v>
      </c>
      <c r="L4041">
        <v>784.28086921134798</v>
      </c>
      <c r="M4041">
        <v>16.835972683361501</v>
      </c>
      <c r="N4041">
        <v>46.7755500286071</v>
      </c>
      <c r="O4041">
        <v>45.941315433397797</v>
      </c>
      <c r="P4041">
        <v>-8.8565028030526793E-2</v>
      </c>
      <c r="Q4041">
        <v>3.3371584805091899E-2</v>
      </c>
      <c r="R4041">
        <v>0.99621407689119501</v>
      </c>
      <c r="S4041" t="s">
        <v>10711</v>
      </c>
      <c r="T4041" t="s">
        <v>13338</v>
      </c>
      <c r="U4041" t="s">
        <v>13338</v>
      </c>
      <c r="V4041" t="s">
        <v>13338</v>
      </c>
      <c r="W4041" t="s">
        <v>17324</v>
      </c>
      <c r="X4041">
        <v>36</v>
      </c>
      <c r="Y4041" t="s">
        <v>23835</v>
      </c>
      <c r="Z4041" t="s">
        <v>30456</v>
      </c>
      <c r="AA4041">
        <v>0.26661885137914693</v>
      </c>
      <c r="AB4041" t="str">
        <f>HYPERLINK("Melting_Curves/meltCurve_Q6P2E9_EDC4.pdf", "Melting_Curves/meltCurve_Q6P2E9_EDC4.pdf")</f>
        <v>Melting_Curves/meltCurve_Q6P2E9_EDC4.pdf</v>
      </c>
    </row>
    <row r="4042" spans="1:28" x14ac:dyDescent="0.25">
      <c r="A4042" t="s">
        <v>4046</v>
      </c>
      <c r="B4042">
        <v>0.99193492352474899</v>
      </c>
      <c r="C4042">
        <v>0.61737540938900604</v>
      </c>
      <c r="D4042">
        <v>0.41548855515556399</v>
      </c>
      <c r="E4042">
        <v>0.12666105863927199</v>
      </c>
      <c r="F4042">
        <v>9.6323285398830394E-2</v>
      </c>
      <c r="G4042">
        <v>5.9053341449681898E-2</v>
      </c>
      <c r="H4042">
        <v>8.5556930498329298E-2</v>
      </c>
      <c r="I4042">
        <v>0.11129603712003799</v>
      </c>
      <c r="J4042">
        <v>0.151317235344885</v>
      </c>
      <c r="K4042">
        <v>0.230690431688893</v>
      </c>
      <c r="L4042">
        <v>1051.6215660934699</v>
      </c>
      <c r="M4042">
        <v>23.926579088691</v>
      </c>
      <c r="N4042">
        <v>44.451884005080103</v>
      </c>
      <c r="O4042">
        <v>43.648451985881998</v>
      </c>
      <c r="P4042">
        <v>-0.12087905459392401</v>
      </c>
      <c r="Q4042">
        <v>0.11795173286060701</v>
      </c>
      <c r="R4042">
        <v>0.95605297920490695</v>
      </c>
      <c r="S4042" t="s">
        <v>10712</v>
      </c>
      <c r="T4042" t="s">
        <v>13338</v>
      </c>
      <c r="U4042" t="s">
        <v>13338</v>
      </c>
      <c r="V4042" t="s">
        <v>13338</v>
      </c>
      <c r="W4042" t="s">
        <v>17325</v>
      </c>
      <c r="X4042">
        <v>6</v>
      </c>
      <c r="Y4042" t="s">
        <v>23836</v>
      </c>
      <c r="Z4042" t="s">
        <v>30457</v>
      </c>
      <c r="AA4042">
        <v>0.24548159946960221</v>
      </c>
      <c r="AB4042" t="str">
        <f>HYPERLINK("Melting_Curves/meltCurve_Q6P2H3_2_CEP85.pdf", "Melting_Curves/meltCurve_Q6P2H3_2_CEP85.pdf")</f>
        <v>Melting_Curves/meltCurve_Q6P2H3_2_CEP85.pdf</v>
      </c>
    </row>
    <row r="4043" spans="1:28" x14ac:dyDescent="0.25">
      <c r="A4043" t="s">
        <v>4047</v>
      </c>
      <c r="B4043">
        <v>0.99193492352474899</v>
      </c>
      <c r="C4043">
        <v>0.75610584099145095</v>
      </c>
      <c r="D4043">
        <v>0.97370682402124598</v>
      </c>
      <c r="E4043">
        <v>0.68697418639505503</v>
      </c>
      <c r="F4043">
        <v>0.72373350625438804</v>
      </c>
      <c r="G4043">
        <v>0.46086152313114598</v>
      </c>
      <c r="H4043">
        <v>0.20060937700322601</v>
      </c>
      <c r="I4043">
        <v>0.125250620541318</v>
      </c>
      <c r="J4043">
        <v>0.32542426076424202</v>
      </c>
      <c r="K4043">
        <v>7.1866147298625296E-2</v>
      </c>
      <c r="L4043">
        <v>535.31328958497204</v>
      </c>
      <c r="M4043">
        <v>9.6436965427955403</v>
      </c>
      <c r="N4043">
        <v>55.509138759227802</v>
      </c>
      <c r="O4043">
        <v>53.2798246092892</v>
      </c>
      <c r="P4043">
        <v>-4.5275504367562898E-2</v>
      </c>
      <c r="Q4043">
        <v>0</v>
      </c>
      <c r="R4043">
        <v>0.89239862261125202</v>
      </c>
      <c r="S4043" t="s">
        <v>10713</v>
      </c>
      <c r="T4043" t="s">
        <v>13338</v>
      </c>
      <c r="U4043" t="s">
        <v>13338</v>
      </c>
      <c r="V4043" t="s">
        <v>13338</v>
      </c>
      <c r="W4043" t="s">
        <v>17326</v>
      </c>
      <c r="X4043">
        <v>12</v>
      </c>
      <c r="Y4043" t="s">
        <v>23837</v>
      </c>
      <c r="Z4043" t="s">
        <v>30458</v>
      </c>
      <c r="AA4043">
        <v>0.54061757719291359</v>
      </c>
      <c r="AB4043" t="str">
        <f>HYPERLINK("Melting_Curves/meltCurve_Q6P2I3_FAHD2B.pdf", "Melting_Curves/meltCurve_Q6P2I3_FAHD2B.pdf")</f>
        <v>Melting_Curves/meltCurve_Q6P2I3_FAHD2B.pdf</v>
      </c>
    </row>
    <row r="4044" spans="1:28" x14ac:dyDescent="0.25">
      <c r="A4044" t="s">
        <v>4048</v>
      </c>
      <c r="B4044">
        <v>0.99193492352474899</v>
      </c>
      <c r="C4044">
        <v>1.05455610377745</v>
      </c>
      <c r="D4044">
        <v>1.01588831513361</v>
      </c>
      <c r="E4044">
        <v>0.73101677803732301</v>
      </c>
      <c r="F4044">
        <v>0.320511987839735</v>
      </c>
      <c r="G4044">
        <v>0.226091675492332</v>
      </c>
      <c r="H4044">
        <v>0.13178331221430201</v>
      </c>
      <c r="I4044">
        <v>0.15724665245654901</v>
      </c>
      <c r="J4044">
        <v>0.14396058117154301</v>
      </c>
      <c r="K4044">
        <v>0.13369974405045801</v>
      </c>
      <c r="L4044">
        <v>1602.7708115805699</v>
      </c>
      <c r="M4044">
        <v>31.4795591916521</v>
      </c>
      <c r="N4044">
        <v>51.496211909378097</v>
      </c>
      <c r="O4044">
        <v>50.710511815357599</v>
      </c>
      <c r="P4044">
        <v>-0.13197784244535701</v>
      </c>
      <c r="Q4044">
        <v>0.14959069863817501</v>
      </c>
      <c r="R4044">
        <v>0.99442087140287305</v>
      </c>
      <c r="S4044" t="s">
        <v>10714</v>
      </c>
      <c r="T4044" t="s">
        <v>13338</v>
      </c>
      <c r="U4044" t="s">
        <v>13338</v>
      </c>
      <c r="V4044" t="s">
        <v>13338</v>
      </c>
      <c r="W4044" t="s">
        <v>17327</v>
      </c>
      <c r="X4044">
        <v>9</v>
      </c>
      <c r="Y4044" t="s">
        <v>23838</v>
      </c>
      <c r="Z4044" t="s">
        <v>30459</v>
      </c>
      <c r="AA4044">
        <v>0.46383577618203659</v>
      </c>
      <c r="AB4044" t="str">
        <f>HYPERLINK("Melting_Curves/meltCurve_Q6P2P2_PRMT10.pdf", "Melting_Curves/meltCurve_Q6P2P2_PRMT10.pdf")</f>
        <v>Melting_Curves/meltCurve_Q6P2P2_PRMT10.pdf</v>
      </c>
    </row>
    <row r="4045" spans="1:28" x14ac:dyDescent="0.25">
      <c r="A4045" t="s">
        <v>4049</v>
      </c>
      <c r="B4045">
        <v>0.99193492352474899</v>
      </c>
      <c r="C4045">
        <v>0.57302065781789202</v>
      </c>
      <c r="D4045">
        <v>0.90232808847588197</v>
      </c>
      <c r="E4045">
        <v>0.42161042314586999</v>
      </c>
      <c r="F4045">
        <v>0.20811775594692</v>
      </c>
      <c r="G4045">
        <v>0.11699348654104801</v>
      </c>
      <c r="H4045">
        <v>7.2671504587015004E-2</v>
      </c>
      <c r="I4045">
        <v>8.1495014650556794E-2</v>
      </c>
      <c r="J4045">
        <v>9.7519116328651095E-2</v>
      </c>
      <c r="K4045">
        <v>9.9607585351756095E-2</v>
      </c>
      <c r="L4045">
        <v>641.89973021307298</v>
      </c>
      <c r="M4045">
        <v>13.295096024087099</v>
      </c>
      <c r="N4045">
        <v>48.610487505089601</v>
      </c>
      <c r="O4045">
        <v>47.227858702253798</v>
      </c>
      <c r="P4045">
        <v>-6.7355191081328605E-2</v>
      </c>
      <c r="Q4045">
        <v>4.30978445414682E-2</v>
      </c>
      <c r="R4045">
        <v>0.876529738385327</v>
      </c>
      <c r="S4045" t="s">
        <v>10715</v>
      </c>
      <c r="T4045" t="s">
        <v>13338</v>
      </c>
      <c r="U4045" t="s">
        <v>13338</v>
      </c>
      <c r="V4045" t="s">
        <v>13338</v>
      </c>
      <c r="W4045" t="s">
        <v>17328</v>
      </c>
      <c r="X4045">
        <v>36</v>
      </c>
      <c r="Y4045" t="s">
        <v>23839</v>
      </c>
      <c r="Z4045" t="s">
        <v>30460</v>
      </c>
      <c r="AA4045">
        <v>0.33781749495141172</v>
      </c>
      <c r="AB4045" t="str">
        <f>HYPERLINK("Melting_Curves/meltCurve_Q6P2Q9_PRPF8.pdf", "Melting_Curves/meltCurve_Q6P2Q9_PRPF8.pdf")</f>
        <v>Melting_Curves/meltCurve_Q6P2Q9_PRPF8.pdf</v>
      </c>
    </row>
    <row r="4046" spans="1:28" x14ac:dyDescent="0.25">
      <c r="A4046" t="s">
        <v>4050</v>
      </c>
      <c r="B4046">
        <v>0.99193492352474899</v>
      </c>
      <c r="C4046">
        <v>1.13827316690904</v>
      </c>
      <c r="D4046">
        <v>1.03025748638202</v>
      </c>
      <c r="E4046">
        <v>0.75180763660469696</v>
      </c>
      <c r="F4046">
        <v>0.28093013496126001</v>
      </c>
      <c r="G4046">
        <v>0.152370363543641</v>
      </c>
      <c r="H4046">
        <v>0.123558840239717</v>
      </c>
      <c r="I4046">
        <v>0.130374373155099</v>
      </c>
      <c r="J4046">
        <v>0.124995918067491</v>
      </c>
      <c r="K4046">
        <v>0.115836042654536</v>
      </c>
      <c r="L4046">
        <v>1890.0299674576099</v>
      </c>
      <c r="M4046">
        <v>37.118896619758402</v>
      </c>
      <c r="N4046">
        <v>51.319668962997298</v>
      </c>
      <c r="O4046">
        <v>50.771164246100703</v>
      </c>
      <c r="P4046">
        <v>-0.159747576275166</v>
      </c>
      <c r="Q4046">
        <v>0.12599270233882601</v>
      </c>
      <c r="R4046">
        <v>0.98728733624099196</v>
      </c>
      <c r="S4046" t="s">
        <v>10716</v>
      </c>
      <c r="T4046" t="s">
        <v>13338</v>
      </c>
      <c r="U4046" t="s">
        <v>13338</v>
      </c>
      <c r="V4046" t="s">
        <v>13338</v>
      </c>
      <c r="W4046" t="s">
        <v>17329</v>
      </c>
      <c r="X4046">
        <v>6</v>
      </c>
      <c r="Y4046" t="s">
        <v>23840</v>
      </c>
      <c r="Z4046" t="s">
        <v>30461</v>
      </c>
      <c r="AA4046">
        <v>0.44765699416378912</v>
      </c>
      <c r="AB4046" t="str">
        <f>HYPERLINK("Melting_Curves/meltCurve_Q6P3S1_5_DENND1B.pdf", "Melting_Curves/meltCurve_Q6P3S1_5_DENND1B.pdf")</f>
        <v>Melting_Curves/meltCurve_Q6P3S1_5_DENND1B.pdf</v>
      </c>
    </row>
    <row r="4047" spans="1:28" x14ac:dyDescent="0.25">
      <c r="A4047" t="s">
        <v>4051</v>
      </c>
      <c r="B4047">
        <v>0.99193492352474899</v>
      </c>
      <c r="C4047">
        <v>0.99874553976366198</v>
      </c>
      <c r="D4047">
        <v>0.90107310669683705</v>
      </c>
      <c r="E4047">
        <v>0.86480861770336603</v>
      </c>
      <c r="F4047">
        <v>0.62465280230482501</v>
      </c>
      <c r="G4047">
        <v>0.205685363525035</v>
      </c>
      <c r="H4047">
        <v>0.104351536372526</v>
      </c>
      <c r="I4047">
        <v>7.5106824708228395E-2</v>
      </c>
      <c r="J4047">
        <v>7.2193817334366098E-2</v>
      </c>
      <c r="K4047">
        <v>4.3251275739533301E-2</v>
      </c>
      <c r="L4047">
        <v>1308.07884813037</v>
      </c>
      <c r="M4047">
        <v>24.346442319106401</v>
      </c>
      <c r="N4047">
        <v>53.952076387589102</v>
      </c>
      <c r="O4047">
        <v>53.369176662646701</v>
      </c>
      <c r="P4047">
        <v>-0.10855830530423199</v>
      </c>
      <c r="Q4047">
        <v>4.8143279282307001E-2</v>
      </c>
      <c r="R4047">
        <v>0.99269371381761795</v>
      </c>
      <c r="S4047" t="s">
        <v>10717</v>
      </c>
      <c r="T4047" t="s">
        <v>13338</v>
      </c>
      <c r="U4047" t="s">
        <v>13338</v>
      </c>
      <c r="V4047" t="s">
        <v>13338</v>
      </c>
      <c r="W4047" t="s">
        <v>17330</v>
      </c>
      <c r="X4047">
        <v>3</v>
      </c>
      <c r="Y4047" t="s">
        <v>23841</v>
      </c>
      <c r="Z4047" t="s">
        <v>30462</v>
      </c>
      <c r="AA4047">
        <v>0.4929406799779103</v>
      </c>
      <c r="AB4047" t="str">
        <f>HYPERLINK("Melting_Curves/meltCurve_Q6P3S6_FBXO42.pdf", "Melting_Curves/meltCurve_Q6P3S6_FBXO42.pdf")</f>
        <v>Melting_Curves/meltCurve_Q6P3S6_FBXO42.pdf</v>
      </c>
    </row>
    <row r="4048" spans="1:28" x14ac:dyDescent="0.25">
      <c r="A4048" t="s">
        <v>4052</v>
      </c>
      <c r="B4048">
        <v>0.99193492352474899</v>
      </c>
      <c r="C4048">
        <v>0.85730237817025001</v>
      </c>
      <c r="D4048">
        <v>0.92993675992875502</v>
      </c>
      <c r="E4048">
        <v>0.74893361063766495</v>
      </c>
      <c r="F4048">
        <v>0.40902093001483603</v>
      </c>
      <c r="G4048">
        <v>0.175800362795305</v>
      </c>
      <c r="H4048">
        <v>0.123172485622845</v>
      </c>
      <c r="I4048">
        <v>0.139632862220297</v>
      </c>
      <c r="J4048">
        <v>0.149233568564686</v>
      </c>
      <c r="K4048">
        <v>0.17846360365220301</v>
      </c>
      <c r="L4048">
        <v>1225.58622960093</v>
      </c>
      <c r="M4048">
        <v>23.885649312151202</v>
      </c>
      <c r="N4048">
        <v>51.991744903984497</v>
      </c>
      <c r="O4048">
        <v>50.954972443773102</v>
      </c>
      <c r="P4048">
        <v>-0.101446725897893</v>
      </c>
      <c r="Q4048">
        <v>0.13435355948552999</v>
      </c>
      <c r="R4048">
        <v>0.98092676143281099</v>
      </c>
      <c r="S4048" t="s">
        <v>10718</v>
      </c>
      <c r="T4048" t="s">
        <v>13338</v>
      </c>
      <c r="U4048" t="s">
        <v>13338</v>
      </c>
      <c r="V4048" t="s">
        <v>13338</v>
      </c>
      <c r="W4048" t="s">
        <v>17331</v>
      </c>
      <c r="X4048">
        <v>13</v>
      </c>
      <c r="Y4048" t="s">
        <v>23842</v>
      </c>
      <c r="Z4048" t="s">
        <v>30463</v>
      </c>
      <c r="AA4048">
        <v>0.46929344908605691</v>
      </c>
      <c r="AB4048" t="str">
        <f>HYPERLINK("Melting_Curves/meltCurve_Q6P3W7_SCYL2.pdf", "Melting_Curves/meltCurve_Q6P3W7_SCYL2.pdf")</f>
        <v>Melting_Curves/meltCurve_Q6P3W7_SCYL2.pdf</v>
      </c>
    </row>
    <row r="4049" spans="1:28" x14ac:dyDescent="0.25">
      <c r="A4049" t="s">
        <v>4053</v>
      </c>
      <c r="B4049">
        <v>0.99193492352474899</v>
      </c>
      <c r="C4049">
        <v>0.95659487263313803</v>
      </c>
      <c r="D4049">
        <v>0.64861377422852695</v>
      </c>
      <c r="E4049">
        <v>0.30527060510973902</v>
      </c>
      <c r="F4049">
        <v>0.26739146695569299</v>
      </c>
      <c r="G4049">
        <v>0.16936999133821101</v>
      </c>
      <c r="H4049">
        <v>0.10821827630641601</v>
      </c>
      <c r="I4049">
        <v>0.12445932455273299</v>
      </c>
      <c r="J4049">
        <v>0.142623848453791</v>
      </c>
      <c r="K4049">
        <v>0.141124079199035</v>
      </c>
      <c r="L4049">
        <v>1119.3885428967501</v>
      </c>
      <c r="M4049">
        <v>23.8829225209298</v>
      </c>
      <c r="N4049">
        <v>47.546230171884602</v>
      </c>
      <c r="O4049">
        <v>46.544940350370602</v>
      </c>
      <c r="P4049">
        <v>-0.109805152656944</v>
      </c>
      <c r="Q4049">
        <v>0.144025762059378</v>
      </c>
      <c r="R4049">
        <v>0.99045898218037298</v>
      </c>
      <c r="S4049" t="s">
        <v>10719</v>
      </c>
      <c r="T4049" t="s">
        <v>13338</v>
      </c>
      <c r="U4049" t="s">
        <v>13338</v>
      </c>
      <c r="V4049" t="s">
        <v>13338</v>
      </c>
      <c r="W4049" t="s">
        <v>17332</v>
      </c>
      <c r="X4049">
        <v>6</v>
      </c>
      <c r="Y4049" t="s">
        <v>23843</v>
      </c>
      <c r="Z4049" t="s">
        <v>30464</v>
      </c>
      <c r="AA4049">
        <v>0.34852220332485739</v>
      </c>
      <c r="AB4049" t="str">
        <f>HYPERLINK("Melting_Curves/meltCurve_Q6P3X3_TTC27.pdf", "Melting_Curves/meltCurve_Q6P3X3_TTC27.pdf")</f>
        <v>Melting_Curves/meltCurve_Q6P3X3_TTC27.pdf</v>
      </c>
    </row>
    <row r="4050" spans="1:28" x14ac:dyDescent="0.25">
      <c r="A4050" t="s">
        <v>4054</v>
      </c>
      <c r="B4050">
        <v>0.99193492352474899</v>
      </c>
      <c r="C4050">
        <v>1.0074666689989999</v>
      </c>
      <c r="D4050">
        <v>1.0854727391140999</v>
      </c>
      <c r="E4050">
        <v>0.83492918450692799</v>
      </c>
      <c r="F4050">
        <v>0.74019288208306999</v>
      </c>
      <c r="G4050">
        <v>0.57258655631081301</v>
      </c>
      <c r="H4050">
        <v>0.407303417825984</v>
      </c>
      <c r="I4050">
        <v>0.33108724719982602</v>
      </c>
      <c r="J4050">
        <v>0.410760991596681</v>
      </c>
      <c r="K4050">
        <v>0.41960455902604299</v>
      </c>
      <c r="L4050">
        <v>1068.53077394552</v>
      </c>
      <c r="M4050">
        <v>19.823978278490902</v>
      </c>
      <c r="N4050">
        <v>57.894554172620701</v>
      </c>
      <c r="O4050">
        <v>53.361430298635398</v>
      </c>
      <c r="P4050">
        <v>-5.8269974460582498E-2</v>
      </c>
      <c r="Q4050">
        <v>0.37262554876294601</v>
      </c>
      <c r="R4050">
        <v>0.96644719838433502</v>
      </c>
      <c r="S4050" t="s">
        <v>10720</v>
      </c>
      <c r="T4050" t="s">
        <v>13338</v>
      </c>
      <c r="U4050" t="s">
        <v>13338</v>
      </c>
      <c r="V4050" t="s">
        <v>13338</v>
      </c>
      <c r="W4050" t="s">
        <v>17333</v>
      </c>
      <c r="X4050">
        <v>1</v>
      </c>
      <c r="Y4050" t="s">
        <v>23844</v>
      </c>
      <c r="Z4050" t="s">
        <v>30465</v>
      </c>
      <c r="AA4050">
        <v>0.67199102133466815</v>
      </c>
      <c r="AB4050" t="str">
        <f>HYPERLINK("Melting_Curves/meltCurve_Q6P499_2_NIPAL3.pdf", "Melting_Curves/meltCurve_Q6P499_2_NIPAL3.pdf")</f>
        <v>Melting_Curves/meltCurve_Q6P499_2_NIPAL3.pdf</v>
      </c>
    </row>
    <row r="4051" spans="1:28" x14ac:dyDescent="0.25">
      <c r="A4051" t="s">
        <v>4055</v>
      </c>
      <c r="B4051">
        <v>0.99193492352474899</v>
      </c>
      <c r="C4051">
        <v>1.27603148213616</v>
      </c>
      <c r="D4051">
        <v>1.2245268170122401</v>
      </c>
      <c r="E4051">
        <v>1.0424253160000601</v>
      </c>
      <c r="F4051">
        <v>0.91683638391991296</v>
      </c>
      <c r="G4051">
        <v>0.69156353725027797</v>
      </c>
      <c r="H4051">
        <v>0.421967943907822</v>
      </c>
      <c r="I4051">
        <v>0.28344337697780603</v>
      </c>
      <c r="J4051">
        <v>0.25747342807038498</v>
      </c>
      <c r="K4051">
        <v>0.18792203413078901</v>
      </c>
      <c r="L4051">
        <v>1387.1089717647201</v>
      </c>
      <c r="M4051">
        <v>23.867348000070901</v>
      </c>
      <c r="N4051">
        <v>59.410364935557702</v>
      </c>
      <c r="O4051">
        <v>57.7140533583609</v>
      </c>
      <c r="P4051">
        <v>-8.2444904011591102E-2</v>
      </c>
      <c r="Q4051">
        <v>0.20256702145972899</v>
      </c>
      <c r="R4051">
        <v>0.914983221157184</v>
      </c>
      <c r="S4051" t="s">
        <v>10721</v>
      </c>
      <c r="T4051" t="s">
        <v>13338</v>
      </c>
      <c r="U4051" t="s">
        <v>13338</v>
      </c>
      <c r="V4051" t="s">
        <v>13338</v>
      </c>
      <c r="W4051" t="s">
        <v>17334</v>
      </c>
      <c r="X4051">
        <v>5</v>
      </c>
      <c r="Y4051" t="s">
        <v>23845</v>
      </c>
      <c r="Z4051" t="s">
        <v>30466</v>
      </c>
      <c r="AA4051">
        <v>0.69148487907165523</v>
      </c>
      <c r="AB4051" t="str">
        <f>HYPERLINK("Melting_Curves/meltCurve_Q6P4A7_SFXN4.pdf", "Melting_Curves/meltCurve_Q6P4A7_SFXN4.pdf")</f>
        <v>Melting_Curves/meltCurve_Q6P4A7_SFXN4.pdf</v>
      </c>
    </row>
    <row r="4052" spans="1:28" x14ac:dyDescent="0.25">
      <c r="A4052" t="s">
        <v>4056</v>
      </c>
      <c r="B4052">
        <v>0.99193492352474899</v>
      </c>
      <c r="C4052">
        <v>1.26086291735956</v>
      </c>
      <c r="D4052">
        <v>0.970142841828458</v>
      </c>
      <c r="E4052">
        <v>0.83321868292420098</v>
      </c>
      <c r="F4052">
        <v>0.79147990387886102</v>
      </c>
      <c r="G4052">
        <v>0.48862073119307098</v>
      </c>
      <c r="H4052">
        <v>0.429174505207367</v>
      </c>
      <c r="I4052">
        <v>0.50434360465154604</v>
      </c>
      <c r="J4052">
        <v>0.67782681771248998</v>
      </c>
      <c r="K4052">
        <v>0.92823820524819001</v>
      </c>
      <c r="L4052">
        <v>1531.7230407432901</v>
      </c>
      <c r="M4052">
        <v>30.1435938089977</v>
      </c>
      <c r="O4052">
        <v>50.592147859691998</v>
      </c>
      <c r="P4052">
        <v>-5.7211860916526497E-2</v>
      </c>
      <c r="Q4052">
        <v>0.61591143703780304</v>
      </c>
      <c r="R4052">
        <v>0.60325100542638999</v>
      </c>
      <c r="S4052" t="s">
        <v>10722</v>
      </c>
      <c r="T4052" t="s">
        <v>13338</v>
      </c>
      <c r="U4052" t="s">
        <v>13338</v>
      </c>
      <c r="V4052" t="s">
        <v>13338</v>
      </c>
      <c r="W4052" t="s">
        <v>17335</v>
      </c>
      <c r="X4052">
        <v>10</v>
      </c>
      <c r="Y4052" t="s">
        <v>23846</v>
      </c>
      <c r="Z4052" t="s">
        <v>30467</v>
      </c>
      <c r="AA4052">
        <v>0.75674991798614033</v>
      </c>
      <c r="AB4052" t="str">
        <f>HYPERLINK("Melting_Curves/meltCurve_Q6P4E1_2_CASC4.pdf", "Melting_Curves/meltCurve_Q6P4E1_2_CASC4.pdf")</f>
        <v>Melting_Curves/meltCurve_Q6P4E1_2_CASC4.pdf</v>
      </c>
    </row>
    <row r="4053" spans="1:28" x14ac:dyDescent="0.25">
      <c r="A4053" t="s">
        <v>4057</v>
      </c>
      <c r="B4053">
        <v>0.99193492352474899</v>
      </c>
      <c r="C4053">
        <v>1.15923564611526</v>
      </c>
      <c r="D4053">
        <v>0.85723007040987598</v>
      </c>
      <c r="E4053">
        <v>0.85998658465778199</v>
      </c>
      <c r="F4053">
        <v>0.578023182663992</v>
      </c>
      <c r="G4053">
        <v>0.50651423651354699</v>
      </c>
      <c r="H4053">
        <v>0.36642647443043702</v>
      </c>
      <c r="I4053">
        <v>0.32318669555164897</v>
      </c>
      <c r="J4053">
        <v>0.30012745840001598</v>
      </c>
      <c r="K4053">
        <v>0.44088506804222699</v>
      </c>
      <c r="L4053">
        <v>1016.5530149704</v>
      </c>
      <c r="M4053">
        <v>19.5007061329196</v>
      </c>
      <c r="N4053">
        <v>55.519348803310102</v>
      </c>
      <c r="O4053">
        <v>51.590132619247498</v>
      </c>
      <c r="P4053">
        <v>-6.1613715585065197E-2</v>
      </c>
      <c r="Q4053">
        <v>0.34801429208927298</v>
      </c>
      <c r="R4053">
        <v>0.93338915301366099</v>
      </c>
      <c r="S4053" t="s">
        <v>10723</v>
      </c>
      <c r="T4053" t="s">
        <v>13338</v>
      </c>
      <c r="U4053" t="s">
        <v>13338</v>
      </c>
      <c r="V4053" t="s">
        <v>13338</v>
      </c>
      <c r="W4053" t="s">
        <v>17336</v>
      </c>
      <c r="X4053">
        <v>3</v>
      </c>
      <c r="Y4053" t="s">
        <v>23847</v>
      </c>
      <c r="Z4053" t="s">
        <v>30468</v>
      </c>
      <c r="AA4053">
        <v>0.62104351946001024</v>
      </c>
      <c r="AB4053" t="str">
        <f>HYPERLINK("Melting_Curves/meltCurve_Q6P4F2_FDX1L.pdf", "Melting_Curves/meltCurve_Q6P4F2_FDX1L.pdf")</f>
        <v>Melting_Curves/meltCurve_Q6P4F2_FDX1L.pdf</v>
      </c>
    </row>
    <row r="4054" spans="1:28" x14ac:dyDescent="0.25">
      <c r="A4054" t="s">
        <v>4058</v>
      </c>
      <c r="B4054">
        <v>0.99193492352474899</v>
      </c>
      <c r="C4054">
        <v>1.1183855993088401</v>
      </c>
      <c r="D4054">
        <v>0.91134896565857204</v>
      </c>
      <c r="E4054">
        <v>0.95949668268885602</v>
      </c>
      <c r="F4054">
        <v>0.64402520173831401</v>
      </c>
      <c r="G4054">
        <v>0.58636223946682997</v>
      </c>
      <c r="H4054">
        <v>0.21989327927088601</v>
      </c>
      <c r="I4054">
        <v>0.102632802079827</v>
      </c>
      <c r="J4054">
        <v>0.106381049883349</v>
      </c>
      <c r="K4054">
        <v>9.6796399315361201E-2</v>
      </c>
      <c r="L4054">
        <v>921.14505859058602</v>
      </c>
      <c r="M4054">
        <v>16.325904648508001</v>
      </c>
      <c r="N4054">
        <v>56.620111953092803</v>
      </c>
      <c r="O4054">
        <v>55.596124346335102</v>
      </c>
      <c r="P4054">
        <v>-7.1383052853772597E-2</v>
      </c>
      <c r="Q4054">
        <v>2.77208491593923E-2</v>
      </c>
      <c r="R4054">
        <v>0.97034909860420104</v>
      </c>
      <c r="S4054" t="s">
        <v>10724</v>
      </c>
      <c r="T4054" t="s">
        <v>13338</v>
      </c>
      <c r="U4054" t="s">
        <v>13338</v>
      </c>
      <c r="V4054" t="s">
        <v>13338</v>
      </c>
      <c r="W4054" t="s">
        <v>17337</v>
      </c>
      <c r="X4054">
        <v>8</v>
      </c>
      <c r="Y4054" t="s">
        <v>23848</v>
      </c>
      <c r="Z4054" t="s">
        <v>30469</v>
      </c>
      <c r="AA4054">
        <v>0.57534744706199004</v>
      </c>
      <c r="AB4054" t="str">
        <f>HYPERLINK("Melting_Curves/meltCurve_Q6P4I2_WDR73.pdf", "Melting_Curves/meltCurve_Q6P4I2_WDR73.pdf")</f>
        <v>Melting_Curves/meltCurve_Q6P4I2_WDR73.pdf</v>
      </c>
    </row>
    <row r="4055" spans="1:28" x14ac:dyDescent="0.25">
      <c r="A4055" t="s">
        <v>4059</v>
      </c>
      <c r="B4055">
        <v>0.99193492352474899</v>
      </c>
      <c r="C4055">
        <v>0.84481041253098399</v>
      </c>
      <c r="D4055">
        <v>1.0045177317043701</v>
      </c>
      <c r="E4055">
        <v>0.54108618270967501</v>
      </c>
      <c r="F4055">
        <v>0.244912988857447</v>
      </c>
      <c r="G4055">
        <v>9.6321717175239796E-2</v>
      </c>
      <c r="H4055">
        <v>7.4765657982939299E-2</v>
      </c>
      <c r="I4055">
        <v>9.7837814454113103E-2</v>
      </c>
      <c r="J4055">
        <v>0.122201901100257</v>
      </c>
      <c r="K4055">
        <v>9.6119769444346206E-2</v>
      </c>
      <c r="L4055">
        <v>1544.05782896646</v>
      </c>
      <c r="M4055">
        <v>31.032145848599701</v>
      </c>
      <c r="N4055">
        <v>50.108812581067802</v>
      </c>
      <c r="O4055">
        <v>49.5514656101303</v>
      </c>
      <c r="P4055">
        <v>-0.14122929638627199</v>
      </c>
      <c r="Q4055">
        <v>9.7957479000240502E-2</v>
      </c>
      <c r="R4055">
        <v>0.97777166222348799</v>
      </c>
      <c r="S4055" t="s">
        <v>10725</v>
      </c>
      <c r="T4055" t="s">
        <v>13338</v>
      </c>
      <c r="U4055" t="s">
        <v>13338</v>
      </c>
      <c r="V4055" t="s">
        <v>13338</v>
      </c>
      <c r="W4055" t="s">
        <v>17338</v>
      </c>
      <c r="X4055">
        <v>4</v>
      </c>
      <c r="Y4055" t="s">
        <v>23849</v>
      </c>
      <c r="Z4055" t="s">
        <v>30470</v>
      </c>
      <c r="AA4055">
        <v>0.3965122740492823</v>
      </c>
      <c r="AB4055" t="str">
        <f>HYPERLINK("Melting_Curves/meltCurve_Q6P4Q7_CNNM4.pdf", "Melting_Curves/meltCurve_Q6P4Q7_CNNM4.pdf")</f>
        <v>Melting_Curves/meltCurve_Q6P4Q7_CNNM4.pdf</v>
      </c>
    </row>
    <row r="4056" spans="1:28" x14ac:dyDescent="0.25">
      <c r="A4056" t="s">
        <v>4060</v>
      </c>
      <c r="B4056">
        <v>0.99193492352474899</v>
      </c>
      <c r="C4056">
        <v>1.44273151689899</v>
      </c>
      <c r="D4056">
        <v>0.92545782735763005</v>
      </c>
      <c r="E4056">
        <v>1.2999118646944401</v>
      </c>
      <c r="F4056">
        <v>1.2794857389658101</v>
      </c>
      <c r="G4056">
        <v>1.4972465005845099</v>
      </c>
      <c r="H4056">
        <v>0.85874066910862901</v>
      </c>
      <c r="I4056">
        <v>1.2374567095297899</v>
      </c>
      <c r="J4056">
        <v>1.19613846084869</v>
      </c>
      <c r="K4056">
        <v>1.53729433453063</v>
      </c>
      <c r="L4056">
        <v>134.70210528771699</v>
      </c>
      <c r="M4056">
        <v>2.33059039423103</v>
      </c>
      <c r="Q4056">
        <v>1.5</v>
      </c>
      <c r="R4056">
        <v>6.5512501543923504E-2</v>
      </c>
      <c r="S4056" t="s">
        <v>10726</v>
      </c>
      <c r="T4056" t="s">
        <v>13338</v>
      </c>
      <c r="U4056" t="s">
        <v>13338</v>
      </c>
      <c r="V4056" t="s">
        <v>13338</v>
      </c>
      <c r="W4056" t="s">
        <v>17339</v>
      </c>
      <c r="X4056">
        <v>2</v>
      </c>
      <c r="Y4056" t="s">
        <v>23850</v>
      </c>
      <c r="Z4056" t="s">
        <v>30471</v>
      </c>
      <c r="AA4056">
        <v>1.228435465399913</v>
      </c>
      <c r="AB4056" t="str">
        <f>HYPERLINK("Melting_Curves/meltCurve_Q6P4R8_3_NFRKB.pdf", "Melting_Curves/meltCurve_Q6P4R8_3_NFRKB.pdf")</f>
        <v>Melting_Curves/meltCurve_Q6P4R8_3_NFRKB.pdf</v>
      </c>
    </row>
    <row r="4057" spans="1:28" x14ac:dyDescent="0.25">
      <c r="A4057" t="s">
        <v>4061</v>
      </c>
      <c r="B4057">
        <v>0.99193492352474899</v>
      </c>
      <c r="C4057">
        <v>0.998103751956815</v>
      </c>
      <c r="D4057">
        <v>0.99583406501415594</v>
      </c>
      <c r="E4057">
        <v>1.0054122975092099</v>
      </c>
      <c r="F4057">
        <v>0.88911436909979902</v>
      </c>
      <c r="G4057">
        <v>0.62261303338949203</v>
      </c>
      <c r="H4057">
        <v>0.54593831331193099</v>
      </c>
      <c r="I4057">
        <v>0.60082295772265304</v>
      </c>
      <c r="J4057">
        <v>0.60210928294272703</v>
      </c>
      <c r="K4057">
        <v>0.66873627691489101</v>
      </c>
      <c r="L4057">
        <v>3519.0026125386898</v>
      </c>
      <c r="M4057">
        <v>65.200576872722706</v>
      </c>
      <c r="O4057">
        <v>53.921251419343399</v>
      </c>
      <c r="P4057">
        <v>-0.11940757610701901</v>
      </c>
      <c r="Q4057">
        <v>0.60499711631317898</v>
      </c>
      <c r="R4057">
        <v>0.978242793723615</v>
      </c>
      <c r="S4057" t="s">
        <v>10727</v>
      </c>
      <c r="T4057" t="s">
        <v>13338</v>
      </c>
      <c r="U4057" t="s">
        <v>13338</v>
      </c>
      <c r="V4057" t="s">
        <v>13338</v>
      </c>
      <c r="W4057" t="s">
        <v>17340</v>
      </c>
      <c r="X4057">
        <v>3</v>
      </c>
      <c r="Y4057" t="s">
        <v>23851</v>
      </c>
      <c r="Z4057" t="s">
        <v>30472</v>
      </c>
      <c r="AA4057">
        <v>0.78951427983903077</v>
      </c>
      <c r="AB4057" t="str">
        <f>HYPERLINK("Melting_Curves/meltCurve_Q6P582_MZT2A.pdf", "Melting_Curves/meltCurve_Q6P582_MZT2A.pdf")</f>
        <v>Melting_Curves/meltCurve_Q6P582_MZT2A.pdf</v>
      </c>
    </row>
    <row r="4058" spans="1:28" x14ac:dyDescent="0.25">
      <c r="A4058" t="s">
        <v>4062</v>
      </c>
      <c r="B4058">
        <v>0.99193492352474899</v>
      </c>
      <c r="C4058">
        <v>1.00771350345223</v>
      </c>
      <c r="D4058">
        <v>0.59097524093844001</v>
      </c>
      <c r="E4058">
        <v>0.84543095869586404</v>
      </c>
      <c r="F4058">
        <v>0.62738188445548604</v>
      </c>
      <c r="G4058">
        <v>0.53546408922426703</v>
      </c>
      <c r="H4058">
        <v>0.50853383254375795</v>
      </c>
      <c r="I4058">
        <v>0.40407861427262298</v>
      </c>
      <c r="J4058">
        <v>0.37091756618212302</v>
      </c>
      <c r="K4058">
        <v>0.83950127399025698</v>
      </c>
      <c r="L4058">
        <v>662.28570941470696</v>
      </c>
      <c r="M4058">
        <v>14.0875922482112</v>
      </c>
      <c r="O4058">
        <v>46.095099795760198</v>
      </c>
      <c r="P4058">
        <v>-3.59276834723928E-2</v>
      </c>
      <c r="Q4058">
        <v>0.52983412177442901</v>
      </c>
      <c r="R4058">
        <v>0.54072310490787701</v>
      </c>
      <c r="S4058" t="s">
        <v>10728</v>
      </c>
      <c r="T4058" t="s">
        <v>13338</v>
      </c>
      <c r="U4058" t="s">
        <v>13338</v>
      </c>
      <c r="V4058" t="s">
        <v>13338</v>
      </c>
      <c r="W4058" t="s">
        <v>17341</v>
      </c>
      <c r="X4058">
        <v>8</v>
      </c>
      <c r="Y4058" t="s">
        <v>23852</v>
      </c>
      <c r="Z4058" t="s">
        <v>30473</v>
      </c>
      <c r="AA4058">
        <v>0.65422574822613122</v>
      </c>
      <c r="AB4058" t="str">
        <f>HYPERLINK("Melting_Curves/meltCurve_Q6P587_FAHD1.pdf", "Melting_Curves/meltCurve_Q6P587_FAHD1.pdf")</f>
        <v>Melting_Curves/meltCurve_Q6P587_FAHD1.pdf</v>
      </c>
    </row>
    <row r="4059" spans="1:28" x14ac:dyDescent="0.25">
      <c r="A4059" t="s">
        <v>4063</v>
      </c>
      <c r="B4059">
        <v>0.99193492352474899</v>
      </c>
      <c r="C4059">
        <v>1.0042002365185001</v>
      </c>
      <c r="D4059">
        <v>0.83592603352401396</v>
      </c>
      <c r="E4059">
        <v>0.39903499160579398</v>
      </c>
      <c r="F4059">
        <v>0.26750580286342202</v>
      </c>
      <c r="G4059">
        <v>0.181446286049949</v>
      </c>
      <c r="H4059">
        <v>0.196874659268546</v>
      </c>
      <c r="I4059">
        <v>0.34242505027622799</v>
      </c>
      <c r="J4059">
        <v>0.37177950276945998</v>
      </c>
      <c r="K4059">
        <v>0.38270639976920701</v>
      </c>
      <c r="L4059">
        <v>1940.67180496216</v>
      </c>
      <c r="M4059">
        <v>40.946524502955199</v>
      </c>
      <c r="N4059">
        <v>48.422803910975503</v>
      </c>
      <c r="O4059">
        <v>47.282648849776997</v>
      </c>
      <c r="P4059">
        <v>-0.153651582431726</v>
      </c>
      <c r="Q4059">
        <v>0.29028992937806197</v>
      </c>
      <c r="R4059">
        <v>0.95661667739829304</v>
      </c>
      <c r="S4059" t="s">
        <v>10729</v>
      </c>
      <c r="T4059" t="s">
        <v>13338</v>
      </c>
      <c r="U4059" t="s">
        <v>13338</v>
      </c>
      <c r="V4059" t="s">
        <v>13338</v>
      </c>
      <c r="W4059" t="s">
        <v>17342</v>
      </c>
      <c r="X4059">
        <v>2</v>
      </c>
      <c r="Y4059" t="s">
        <v>23853</v>
      </c>
      <c r="Z4059" t="s">
        <v>30474</v>
      </c>
      <c r="AA4059">
        <v>0.4674680865167351</v>
      </c>
      <c r="AB4059" t="str">
        <f>HYPERLINK("Melting_Curves/meltCurve_Q6P5X5_C22orf39.pdf", "Melting_Curves/meltCurve_Q6P5X5_C22orf39.pdf")</f>
        <v>Melting_Curves/meltCurve_Q6P5X5_C22orf39.pdf</v>
      </c>
    </row>
    <row r="4060" spans="1:28" x14ac:dyDescent="0.25">
      <c r="A4060" t="s">
        <v>4064</v>
      </c>
      <c r="B4060">
        <v>0.99193492352474899</v>
      </c>
      <c r="C4060">
        <v>0.94385175025359203</v>
      </c>
      <c r="D4060">
        <v>0.94561974225640999</v>
      </c>
      <c r="E4060">
        <v>0.75369155955507805</v>
      </c>
      <c r="F4060">
        <v>0.61133807826960596</v>
      </c>
      <c r="G4060">
        <v>0.51993428344318005</v>
      </c>
      <c r="H4060">
        <v>0.430739405525216</v>
      </c>
      <c r="I4060">
        <v>0.54744336441085995</v>
      </c>
      <c r="J4060">
        <v>0.62611320815807103</v>
      </c>
      <c r="K4060">
        <v>0.77339018761251899</v>
      </c>
      <c r="L4060">
        <v>1568.2295595170399</v>
      </c>
      <c r="M4060">
        <v>32.0512617285695</v>
      </c>
      <c r="O4060">
        <v>48.739503292975698</v>
      </c>
      <c r="P4060">
        <v>-6.9101218267585293E-2</v>
      </c>
      <c r="Q4060">
        <v>0.57968054808666802</v>
      </c>
      <c r="R4060">
        <v>0.80112094648584897</v>
      </c>
      <c r="S4060" t="s">
        <v>10730</v>
      </c>
      <c r="T4060" t="s">
        <v>13338</v>
      </c>
      <c r="U4060" t="s">
        <v>13338</v>
      </c>
      <c r="V4060" t="s">
        <v>13338</v>
      </c>
      <c r="W4060" t="s">
        <v>17343</v>
      </c>
      <c r="X4060">
        <v>9</v>
      </c>
      <c r="Y4060" t="s">
        <v>23854</v>
      </c>
      <c r="Z4060" t="s">
        <v>30475</v>
      </c>
      <c r="AA4060">
        <v>0.7070121134272116</v>
      </c>
      <c r="AB4060" t="str">
        <f>HYPERLINK("Melting_Curves/meltCurve_Q6P6B1_C8orf47.pdf", "Melting_Curves/meltCurve_Q6P6B1_C8orf47.pdf")</f>
        <v>Melting_Curves/meltCurve_Q6P6B1_C8orf47.pdf</v>
      </c>
    </row>
    <row r="4061" spans="1:28" x14ac:dyDescent="0.25">
      <c r="A4061" t="s">
        <v>4065</v>
      </c>
      <c r="B4061">
        <v>0.99193492352474899</v>
      </c>
      <c r="C4061">
        <v>0.91367458891418996</v>
      </c>
      <c r="D4061">
        <v>0.38307104608888098</v>
      </c>
      <c r="E4061">
        <v>0.29505646384644502</v>
      </c>
      <c r="F4061">
        <v>0.180757497506599</v>
      </c>
      <c r="G4061">
        <v>9.1456712024790596E-2</v>
      </c>
      <c r="H4061">
        <v>9.5999931850654904E-2</v>
      </c>
      <c r="I4061">
        <v>9.8267485795366094E-2</v>
      </c>
      <c r="J4061">
        <v>9.2231656045978994E-2</v>
      </c>
      <c r="K4061">
        <v>8.4913871931810894E-2</v>
      </c>
      <c r="L4061">
        <v>1362.0863872822999</v>
      </c>
      <c r="M4061">
        <v>30.114491680028401</v>
      </c>
      <c r="N4061">
        <v>45.639283779908197</v>
      </c>
      <c r="O4061">
        <v>45.032220051654598</v>
      </c>
      <c r="P4061">
        <v>-0.147411737502884</v>
      </c>
      <c r="Q4061">
        <v>0.11826701485622</v>
      </c>
      <c r="R4061">
        <v>0.97391294102118597</v>
      </c>
      <c r="S4061" t="s">
        <v>10731</v>
      </c>
      <c r="T4061" t="s">
        <v>13338</v>
      </c>
      <c r="U4061" t="s">
        <v>13338</v>
      </c>
      <c r="V4061" t="s">
        <v>13338</v>
      </c>
      <c r="W4061" t="s">
        <v>17344</v>
      </c>
      <c r="X4061">
        <v>1</v>
      </c>
      <c r="Y4061" t="s">
        <v>23855</v>
      </c>
      <c r="Z4061" t="s">
        <v>30476</v>
      </c>
      <c r="AA4061">
        <v>0.27751640701806729</v>
      </c>
      <c r="AB4061" t="str">
        <f>HYPERLINK("Melting_Curves/meltCurve_Q6P6B7_2_ANKRD16.pdf", "Melting_Curves/meltCurve_Q6P6B7_2_ANKRD16.pdf")</f>
        <v>Melting_Curves/meltCurve_Q6P6B7_2_ANKRD16.pdf</v>
      </c>
    </row>
    <row r="4062" spans="1:28" x14ac:dyDescent="0.25">
      <c r="A4062" t="s">
        <v>4066</v>
      </c>
      <c r="B4062">
        <v>0.99193492352474899</v>
      </c>
      <c r="C4062">
        <v>0.77004260325005902</v>
      </c>
      <c r="D4062">
        <v>0.81426605671292496</v>
      </c>
      <c r="E4062">
        <v>0.61038431979406305</v>
      </c>
      <c r="F4062">
        <v>0.480594627150215</v>
      </c>
      <c r="G4062">
        <v>0.34664517349497498</v>
      </c>
      <c r="H4062">
        <v>0.32812323885177502</v>
      </c>
      <c r="I4062">
        <v>0.35844589430270701</v>
      </c>
      <c r="J4062">
        <v>0.37068082362592297</v>
      </c>
      <c r="K4062">
        <v>0.30425192762183001</v>
      </c>
      <c r="L4062">
        <v>584.08024717369005</v>
      </c>
      <c r="M4062">
        <v>12.0930259001714</v>
      </c>
      <c r="N4062">
        <v>52.304070557410597</v>
      </c>
      <c r="O4062">
        <v>47.035086287186502</v>
      </c>
      <c r="P4062">
        <v>-4.4879807751394697E-2</v>
      </c>
      <c r="Q4062">
        <v>0.30193422601039299</v>
      </c>
      <c r="R4062">
        <v>0.95680092519027604</v>
      </c>
      <c r="S4062" t="s">
        <v>10732</v>
      </c>
      <c r="T4062" t="s">
        <v>13338</v>
      </c>
      <c r="U4062" t="s">
        <v>13338</v>
      </c>
      <c r="V4062" t="s">
        <v>13338</v>
      </c>
      <c r="W4062" t="s">
        <v>17345</v>
      </c>
      <c r="X4062">
        <v>11</v>
      </c>
      <c r="Y4062" t="s">
        <v>23856</v>
      </c>
      <c r="Z4062" t="s">
        <v>30477</v>
      </c>
      <c r="AA4062">
        <v>0.52147261843883586</v>
      </c>
      <c r="AB4062" t="str">
        <f>HYPERLINK("Melting_Curves/meltCurve_Q6P6C2_3_ALKBH5.pdf", "Melting_Curves/meltCurve_Q6P6C2_3_ALKBH5.pdf")</f>
        <v>Melting_Curves/meltCurve_Q6P6C2_3_ALKBH5.pdf</v>
      </c>
    </row>
    <row r="4063" spans="1:28" x14ac:dyDescent="0.25">
      <c r="A4063" t="s">
        <v>4067</v>
      </c>
      <c r="B4063">
        <v>0.99193492352474899</v>
      </c>
      <c r="C4063">
        <v>0.82445104841999695</v>
      </c>
      <c r="D4063">
        <v>0.85004449660048398</v>
      </c>
      <c r="E4063">
        <v>0.499446811365509</v>
      </c>
      <c r="F4063">
        <v>0.16305565231611599</v>
      </c>
      <c r="G4063">
        <v>0.10279763652308301</v>
      </c>
      <c r="H4063">
        <v>7.9665315643215204E-2</v>
      </c>
      <c r="I4063">
        <v>0.105452031587308</v>
      </c>
      <c r="J4063">
        <v>0.11217632180815799</v>
      </c>
      <c r="K4063">
        <v>0.106052056736945</v>
      </c>
      <c r="L4063">
        <v>1101.4465892042199</v>
      </c>
      <c r="M4063">
        <v>22.533499715127899</v>
      </c>
      <c r="N4063">
        <v>49.289815246392202</v>
      </c>
      <c r="O4063">
        <v>48.500333590211198</v>
      </c>
      <c r="P4063">
        <v>-0.106240245733892</v>
      </c>
      <c r="Q4063">
        <v>8.5347400005824706E-2</v>
      </c>
      <c r="R4063">
        <v>0.97982265377453903</v>
      </c>
      <c r="S4063" t="s">
        <v>10733</v>
      </c>
      <c r="T4063" t="s">
        <v>13338</v>
      </c>
      <c r="U4063" t="s">
        <v>13338</v>
      </c>
      <c r="V4063" t="s">
        <v>13338</v>
      </c>
      <c r="W4063" t="s">
        <v>17346</v>
      </c>
      <c r="X4063">
        <v>2</v>
      </c>
      <c r="Y4063" t="s">
        <v>23857</v>
      </c>
      <c r="Z4063" t="s">
        <v>30478</v>
      </c>
      <c r="AA4063">
        <v>0.3661355100832811</v>
      </c>
      <c r="AB4063" t="str">
        <f>HYPERLINK("Melting_Curves/meltCurve_Q6P9B6_KIAA1609.pdf", "Melting_Curves/meltCurve_Q6P9B6_KIAA1609.pdf")</f>
        <v>Melting_Curves/meltCurve_Q6P9B6_KIAA1609.pdf</v>
      </c>
    </row>
    <row r="4064" spans="1:28" x14ac:dyDescent="0.25">
      <c r="A4064" t="s">
        <v>4068</v>
      </c>
      <c r="B4064">
        <v>0.99193492352474899</v>
      </c>
      <c r="C4064">
        <v>0.98059980699694205</v>
      </c>
      <c r="D4064">
        <v>0.93594636960619804</v>
      </c>
      <c r="E4064">
        <v>0.594988990859881</v>
      </c>
      <c r="F4064">
        <v>0.36183946799173999</v>
      </c>
      <c r="G4064">
        <v>0.20255020298996701</v>
      </c>
      <c r="H4064">
        <v>0.154473374624785</v>
      </c>
      <c r="I4064">
        <v>0.18768559790928299</v>
      </c>
      <c r="J4064">
        <v>0.26008233701467598</v>
      </c>
      <c r="K4064">
        <v>0.21307708299178599</v>
      </c>
      <c r="L4064">
        <v>1302.13456315949</v>
      </c>
      <c r="M4064">
        <v>26.172595453103</v>
      </c>
      <c r="N4064">
        <v>50.745411267921497</v>
      </c>
      <c r="O4064">
        <v>49.464131466049402</v>
      </c>
      <c r="P4064">
        <v>-0.105761318255833</v>
      </c>
      <c r="Q4064">
        <v>0.20048729527569001</v>
      </c>
      <c r="R4064">
        <v>0.99139806329567803</v>
      </c>
      <c r="S4064" t="s">
        <v>10734</v>
      </c>
      <c r="T4064" t="s">
        <v>13338</v>
      </c>
      <c r="U4064" t="s">
        <v>13338</v>
      </c>
      <c r="V4064" t="s">
        <v>13338</v>
      </c>
      <c r="W4064" t="s">
        <v>17347</v>
      </c>
      <c r="X4064">
        <v>5</v>
      </c>
      <c r="Y4064" t="s">
        <v>23858</v>
      </c>
      <c r="Z4064" t="s">
        <v>30479</v>
      </c>
      <c r="AA4064">
        <v>0.46687443493211878</v>
      </c>
      <c r="AB4064" t="str">
        <f>HYPERLINK("Melting_Curves/meltCurve_Q6P9B9_INTS5.pdf", "Melting_Curves/meltCurve_Q6P9B9_INTS5.pdf")</f>
        <v>Melting_Curves/meltCurve_Q6P9B9_INTS5.pdf</v>
      </c>
    </row>
    <row r="4065" spans="1:28" x14ac:dyDescent="0.25">
      <c r="A4065" t="s">
        <v>4069</v>
      </c>
      <c r="B4065">
        <v>0.99193492352474899</v>
      </c>
      <c r="C4065">
        <v>0.97332686772760701</v>
      </c>
      <c r="D4065">
        <v>0.90240728901386102</v>
      </c>
      <c r="E4065">
        <v>0.70003913395811301</v>
      </c>
      <c r="F4065">
        <v>0.17675136750286799</v>
      </c>
      <c r="G4065">
        <v>8.9723673897638495E-2</v>
      </c>
      <c r="H4065">
        <v>6.2542822265595002E-2</v>
      </c>
      <c r="I4065">
        <v>6.3106840301984393E-2</v>
      </c>
      <c r="J4065">
        <v>8.0001044806538399E-2</v>
      </c>
      <c r="K4065">
        <v>7.1051509972260896E-2</v>
      </c>
      <c r="L4065">
        <v>1801.0596297330001</v>
      </c>
      <c r="M4065">
        <v>35.661446380798999</v>
      </c>
      <c r="N4065">
        <v>50.707202104180404</v>
      </c>
      <c r="O4065">
        <v>50.346378616994301</v>
      </c>
      <c r="P4065">
        <v>-0.165312115738947</v>
      </c>
      <c r="Q4065">
        <v>6.6461056593392298E-2</v>
      </c>
      <c r="R4065">
        <v>0.99579968297681198</v>
      </c>
      <c r="S4065" t="s">
        <v>10735</v>
      </c>
      <c r="T4065" t="s">
        <v>13338</v>
      </c>
      <c r="U4065" t="s">
        <v>13338</v>
      </c>
      <c r="V4065" t="s">
        <v>13338</v>
      </c>
      <c r="W4065" t="s">
        <v>17348</v>
      </c>
      <c r="X4065">
        <v>6</v>
      </c>
      <c r="Y4065" t="s">
        <v>23859</v>
      </c>
      <c r="Z4065" t="s">
        <v>30480</v>
      </c>
      <c r="AA4065">
        <v>0.39744498913013238</v>
      </c>
      <c r="AB4065" t="str">
        <f>HYPERLINK("Melting_Curves/meltCurve_Q6P9H5_GIMAP6.pdf", "Melting_Curves/meltCurve_Q6P9H5_GIMAP6.pdf")</f>
        <v>Melting_Curves/meltCurve_Q6P9H5_GIMAP6.pdf</v>
      </c>
    </row>
    <row r="4066" spans="1:28" x14ac:dyDescent="0.25">
      <c r="A4066" t="s">
        <v>4070</v>
      </c>
      <c r="B4066">
        <v>0.99193492352474899</v>
      </c>
      <c r="C4066">
        <v>0.45809181435191498</v>
      </c>
      <c r="D4066">
        <v>0.66890563686169502</v>
      </c>
      <c r="E4066">
        <v>0.34164715905330001</v>
      </c>
      <c r="F4066">
        <v>0.377741366122539</v>
      </c>
      <c r="G4066">
        <v>0.171996045157599</v>
      </c>
      <c r="H4066">
        <v>0.13932694428041401</v>
      </c>
      <c r="I4066">
        <v>0.11534078239482699</v>
      </c>
      <c r="J4066">
        <v>0.14407627813065299</v>
      </c>
      <c r="K4066">
        <v>0.14618434955170001</v>
      </c>
      <c r="L4066">
        <v>450.01086253403997</v>
      </c>
      <c r="M4066">
        <v>9.7859048396640507</v>
      </c>
      <c r="N4066">
        <v>46.955560057422602</v>
      </c>
      <c r="O4066">
        <v>44.188654924706498</v>
      </c>
      <c r="P4066">
        <v>-5.0324449130535701E-2</v>
      </c>
      <c r="Q4066">
        <v>9.1511320497483797E-2</v>
      </c>
      <c r="R4066">
        <v>0.843840612129242</v>
      </c>
      <c r="S4066" t="s">
        <v>10736</v>
      </c>
      <c r="T4066" t="s">
        <v>13338</v>
      </c>
      <c r="U4066" t="s">
        <v>13338</v>
      </c>
      <c r="V4066" t="s">
        <v>13338</v>
      </c>
      <c r="W4066" t="s">
        <v>17349</v>
      </c>
      <c r="X4066">
        <v>10</v>
      </c>
      <c r="Y4066" t="s">
        <v>23860</v>
      </c>
      <c r="Z4066" t="s">
        <v>30481</v>
      </c>
      <c r="AA4066">
        <v>0.33171991108636811</v>
      </c>
      <c r="AB4066" t="str">
        <f>HYPERLINK("Melting_Curves/meltCurve_Q6PCB5_RSBN1L.pdf", "Melting_Curves/meltCurve_Q6PCB5_RSBN1L.pdf")</f>
        <v>Melting_Curves/meltCurve_Q6PCB5_RSBN1L.pdf</v>
      </c>
    </row>
    <row r="4067" spans="1:28" x14ac:dyDescent="0.25">
      <c r="A4067" t="s">
        <v>4071</v>
      </c>
      <c r="B4067">
        <v>0.99193492352474899</v>
      </c>
      <c r="C4067">
        <v>0.94613438697125696</v>
      </c>
      <c r="D4067">
        <v>0.97256090558181196</v>
      </c>
      <c r="E4067">
        <v>0.77124603813289005</v>
      </c>
      <c r="F4067">
        <v>0.60672312652307303</v>
      </c>
      <c r="G4067">
        <v>0.25344175034831301</v>
      </c>
      <c r="H4067">
        <v>0.16288931109735599</v>
      </c>
      <c r="I4067">
        <v>0.25864225769763499</v>
      </c>
      <c r="J4067">
        <v>0.24009044697079601</v>
      </c>
      <c r="K4067">
        <v>0.31364214675639601</v>
      </c>
      <c r="L4067">
        <v>1249.07242188641</v>
      </c>
      <c r="M4067">
        <v>23.956703285491301</v>
      </c>
      <c r="N4067">
        <v>53.506272015179199</v>
      </c>
      <c r="O4067">
        <v>51.779514068467101</v>
      </c>
      <c r="P4067">
        <v>-8.9186933039305999E-2</v>
      </c>
      <c r="Q4067">
        <v>0.22894508059240301</v>
      </c>
      <c r="R4067">
        <v>0.96902055223413297</v>
      </c>
      <c r="S4067" t="s">
        <v>10737</v>
      </c>
      <c r="T4067" t="s">
        <v>13338</v>
      </c>
      <c r="U4067" t="s">
        <v>13338</v>
      </c>
      <c r="V4067" t="s">
        <v>13338</v>
      </c>
      <c r="W4067" t="s">
        <v>17350</v>
      </c>
      <c r="X4067">
        <v>16</v>
      </c>
      <c r="Y4067" t="s">
        <v>23861</v>
      </c>
      <c r="Z4067" t="s">
        <v>30482</v>
      </c>
      <c r="AA4067">
        <v>0.54857874862667266</v>
      </c>
      <c r="AB4067" t="str">
        <f>HYPERLINK("Melting_Curves/meltCurve_Q6PCE3_PGM2L1.pdf", "Melting_Curves/meltCurve_Q6PCE3_PGM2L1.pdf")</f>
        <v>Melting_Curves/meltCurve_Q6PCE3_PGM2L1.pdf</v>
      </c>
    </row>
    <row r="4068" spans="1:28" x14ac:dyDescent="0.25">
      <c r="A4068" t="s">
        <v>4072</v>
      </c>
      <c r="B4068">
        <v>0.99193492352474899</v>
      </c>
      <c r="C4068">
        <v>0.90350412299715299</v>
      </c>
      <c r="D4068">
        <v>0.64038237383490504</v>
      </c>
      <c r="E4068">
        <v>0.29886796480262301</v>
      </c>
      <c r="F4068">
        <v>0.17470375967681701</v>
      </c>
      <c r="G4068">
        <v>0.10790798760607399</v>
      </c>
      <c r="H4068">
        <v>7.4335571066356895E-2</v>
      </c>
      <c r="I4068">
        <v>7.6942103510239099E-2</v>
      </c>
      <c r="J4068">
        <v>8.67180763368635E-2</v>
      </c>
      <c r="K4068">
        <v>8.4547175254750695E-2</v>
      </c>
      <c r="L4068">
        <v>1010.0780632152</v>
      </c>
      <c r="M4068">
        <v>21.493906624275201</v>
      </c>
      <c r="N4068">
        <v>47.390055046359898</v>
      </c>
      <c r="O4068">
        <v>46.592586718997502</v>
      </c>
      <c r="P4068">
        <v>-0.10584356968582601</v>
      </c>
      <c r="Q4068">
        <v>8.2269206004284903E-2</v>
      </c>
      <c r="R4068">
        <v>0.99900806259470099</v>
      </c>
      <c r="S4068" t="s">
        <v>10738</v>
      </c>
      <c r="T4068" t="s">
        <v>13338</v>
      </c>
      <c r="U4068" t="s">
        <v>13338</v>
      </c>
      <c r="V4068" t="s">
        <v>13338</v>
      </c>
      <c r="W4068" t="s">
        <v>17351</v>
      </c>
      <c r="X4068">
        <v>21</v>
      </c>
      <c r="Y4068" t="s">
        <v>23862</v>
      </c>
      <c r="Z4068" t="s">
        <v>30483</v>
      </c>
      <c r="AA4068">
        <v>0.30766871446687849</v>
      </c>
      <c r="AB4068" t="str">
        <f>HYPERLINK("Melting_Curves/meltCurve_Q6PD62_CTR9.pdf", "Melting_Curves/meltCurve_Q6PD62_CTR9.pdf")</f>
        <v>Melting_Curves/meltCurve_Q6PD62_CTR9.pdf</v>
      </c>
    </row>
    <row r="4069" spans="1:28" x14ac:dyDescent="0.25">
      <c r="A4069" t="s">
        <v>4073</v>
      </c>
      <c r="B4069">
        <v>0.99193492352474899</v>
      </c>
      <c r="C4069">
        <v>0.638757265132328</v>
      </c>
      <c r="D4069">
        <v>0.60889183413291703</v>
      </c>
      <c r="E4069">
        <v>0.15383696144193401</v>
      </c>
      <c r="F4069">
        <v>0.104052369549234</v>
      </c>
      <c r="G4069">
        <v>5.1646055794383201E-2</v>
      </c>
      <c r="H4069">
        <v>3.0676824583234098E-2</v>
      </c>
      <c r="I4069">
        <v>3.1835989192492802E-2</v>
      </c>
      <c r="J4069">
        <v>4.4734345913932001E-2</v>
      </c>
      <c r="K4069">
        <v>3.7192460919709902E-2</v>
      </c>
      <c r="L4069">
        <v>783.50800472339199</v>
      </c>
      <c r="M4069">
        <v>17.1274456145889</v>
      </c>
      <c r="N4069">
        <v>45.871730813355697</v>
      </c>
      <c r="O4069">
        <v>45.135802488296001</v>
      </c>
      <c r="P4069">
        <v>-9.2692391633042603E-2</v>
      </c>
      <c r="Q4069">
        <v>2.29729463248158E-2</v>
      </c>
      <c r="R4069">
        <v>0.96251302701024599</v>
      </c>
      <c r="S4069" t="s">
        <v>10739</v>
      </c>
      <c r="T4069" t="s">
        <v>13338</v>
      </c>
      <c r="U4069" t="s">
        <v>13338</v>
      </c>
      <c r="V4069" t="s">
        <v>13338</v>
      </c>
      <c r="W4069" t="s">
        <v>17352</v>
      </c>
      <c r="X4069">
        <v>3</v>
      </c>
      <c r="Y4069" t="s">
        <v>23863</v>
      </c>
      <c r="Z4069" t="s">
        <v>30484</v>
      </c>
      <c r="AA4069">
        <v>0.2319793287022186</v>
      </c>
      <c r="AB4069" t="str">
        <f>HYPERLINK("Melting_Curves/meltCurve_Q6PD74_AAGAB.pdf", "Melting_Curves/meltCurve_Q6PD74_AAGAB.pdf")</f>
        <v>Melting_Curves/meltCurve_Q6PD74_AAGAB.pdf</v>
      </c>
    </row>
    <row r="4070" spans="1:28" x14ac:dyDescent="0.25">
      <c r="A4070" t="s">
        <v>4074</v>
      </c>
      <c r="B4070">
        <v>0.99193492352474899</v>
      </c>
      <c r="C4070">
        <v>0.69606584250026404</v>
      </c>
      <c r="D4070">
        <v>0.52562453509027396</v>
      </c>
      <c r="E4070">
        <v>7.7161562695564498E-2</v>
      </c>
      <c r="F4070">
        <v>5.1271396720392798E-2</v>
      </c>
      <c r="G4070">
        <v>1.5932534172764998E-2</v>
      </c>
      <c r="H4070">
        <v>1.10763883991587E-2</v>
      </c>
      <c r="I4070">
        <v>1.0470088304598399E-2</v>
      </c>
      <c r="J4070">
        <v>2.4724417096537998E-2</v>
      </c>
      <c r="K4070">
        <v>1.8011087432610099E-2</v>
      </c>
      <c r="L4070">
        <v>953.90439056365301</v>
      </c>
      <c r="M4070">
        <v>20.990753112019199</v>
      </c>
      <c r="N4070">
        <v>45.467466424183897</v>
      </c>
      <c r="O4070">
        <v>45.037624621988201</v>
      </c>
      <c r="P4070">
        <v>-0.115894045267265</v>
      </c>
      <c r="Q4070">
        <v>5.3809914839520103E-3</v>
      </c>
      <c r="R4070">
        <v>0.98104741972656695</v>
      </c>
      <c r="S4070" t="s">
        <v>10740</v>
      </c>
      <c r="T4070" t="s">
        <v>13338</v>
      </c>
      <c r="U4070" t="s">
        <v>13338</v>
      </c>
      <c r="V4070" t="s">
        <v>13338</v>
      </c>
      <c r="W4070" t="s">
        <v>17353</v>
      </c>
      <c r="X4070">
        <v>6</v>
      </c>
      <c r="Y4070" t="s">
        <v>23864</v>
      </c>
      <c r="Z4070" t="s">
        <v>30485</v>
      </c>
      <c r="AA4070">
        <v>0.2002455816414262</v>
      </c>
      <c r="AB4070" t="str">
        <f>HYPERLINK("Melting_Curves/meltCurve_Q6PGP7_TTC37.pdf", "Melting_Curves/meltCurve_Q6PGP7_TTC37.pdf")</f>
        <v>Melting_Curves/meltCurve_Q6PGP7_TTC37.pdf</v>
      </c>
    </row>
    <row r="4071" spans="1:28" x14ac:dyDescent="0.25">
      <c r="A4071" t="s">
        <v>4075</v>
      </c>
      <c r="B4071">
        <v>0.99193492352474899</v>
      </c>
      <c r="C4071">
        <v>1.1516477797865801</v>
      </c>
      <c r="D4071">
        <v>0.848482651686567</v>
      </c>
      <c r="E4071">
        <v>0.69133071203612595</v>
      </c>
      <c r="F4071">
        <v>0.29590626247384899</v>
      </c>
      <c r="G4071">
        <v>0.16317443785657301</v>
      </c>
      <c r="H4071">
        <v>0.18823099148221401</v>
      </c>
      <c r="I4071">
        <v>0.206634377594859</v>
      </c>
      <c r="J4071">
        <v>0.29310994540387703</v>
      </c>
      <c r="K4071">
        <v>0.395655612987176</v>
      </c>
      <c r="L4071">
        <v>1725.28106280923</v>
      </c>
      <c r="M4071">
        <v>34.605055793069198</v>
      </c>
      <c r="N4071">
        <v>50.843445548329399</v>
      </c>
      <c r="O4071">
        <v>49.690717804046002</v>
      </c>
      <c r="P4071">
        <v>-0.13151407230010201</v>
      </c>
      <c r="Q4071">
        <v>0.24461852974679099</v>
      </c>
      <c r="R4071">
        <v>0.93655507811003902</v>
      </c>
      <c r="S4071" t="s">
        <v>10741</v>
      </c>
      <c r="T4071" t="s">
        <v>13338</v>
      </c>
      <c r="U4071" t="s">
        <v>13338</v>
      </c>
      <c r="V4071" t="s">
        <v>13338</v>
      </c>
      <c r="W4071" t="s">
        <v>17354</v>
      </c>
      <c r="X4071">
        <v>2</v>
      </c>
      <c r="Y4071" t="s">
        <v>23865</v>
      </c>
      <c r="Z4071" t="s">
        <v>30486</v>
      </c>
      <c r="AA4071">
        <v>0.49628519959311318</v>
      </c>
      <c r="AB4071" t="str">
        <f>HYPERLINK("Melting_Curves/meltCurve_Q6PH81_C16orf87.pdf", "Melting_Curves/meltCurve_Q6PH81_C16orf87.pdf")</f>
        <v>Melting_Curves/meltCurve_Q6PH81_C16orf87.pdf</v>
      </c>
    </row>
    <row r="4072" spans="1:28" x14ac:dyDescent="0.25">
      <c r="A4072" t="s">
        <v>4076</v>
      </c>
      <c r="B4072">
        <v>0.99193492352474899</v>
      </c>
      <c r="C4072">
        <v>0.77846770632026896</v>
      </c>
      <c r="D4072">
        <v>1.39069028963775</v>
      </c>
      <c r="E4072">
        <v>0.27379682947470901</v>
      </c>
      <c r="F4072">
        <v>0.16464176526062699</v>
      </c>
      <c r="G4072">
        <v>7.7928072273977897E-2</v>
      </c>
      <c r="H4072">
        <v>5.2773760207670398E-2</v>
      </c>
      <c r="I4072">
        <v>7.4204427916013602E-2</v>
      </c>
      <c r="J4072">
        <v>9.1115148297076606E-2</v>
      </c>
      <c r="K4072">
        <v>6.89200329597984E-2</v>
      </c>
      <c r="L4072">
        <v>12332.315991564399</v>
      </c>
      <c r="M4072">
        <v>250</v>
      </c>
      <c r="N4072">
        <v>49.367618406713099</v>
      </c>
      <c r="O4072">
        <v>49.326131851412597</v>
      </c>
      <c r="P4072">
        <v>-1.1552403341609701</v>
      </c>
      <c r="Q4072">
        <v>8.8263860105415801E-2</v>
      </c>
      <c r="R4072">
        <v>0.89933445044995897</v>
      </c>
      <c r="S4072" t="s">
        <v>10742</v>
      </c>
      <c r="T4072" t="s">
        <v>13338</v>
      </c>
      <c r="U4072" t="s">
        <v>13338</v>
      </c>
      <c r="V4072" t="s">
        <v>13338</v>
      </c>
      <c r="W4072" t="s">
        <v>17355</v>
      </c>
      <c r="X4072">
        <v>1</v>
      </c>
      <c r="Y4072" t="s">
        <v>23866</v>
      </c>
      <c r="Z4072" t="s">
        <v>30487</v>
      </c>
      <c r="AA4072">
        <v>0.3718703615641672</v>
      </c>
      <c r="AB4072" t="str">
        <f>HYPERLINK("Melting_Curves/meltCurve_Q6PHR2_ULK3.pdf", "Melting_Curves/meltCurve_Q6PHR2_ULK3.pdf")</f>
        <v>Melting_Curves/meltCurve_Q6PHR2_ULK3.pdf</v>
      </c>
    </row>
    <row r="4073" spans="1:28" x14ac:dyDescent="0.25">
      <c r="A4073" t="s">
        <v>4077</v>
      </c>
      <c r="B4073">
        <v>0.99193492352474899</v>
      </c>
      <c r="C4073">
        <v>0.76870853214307</v>
      </c>
      <c r="D4073">
        <v>0.86098992646584704</v>
      </c>
      <c r="E4073">
        <v>0.64623283054521696</v>
      </c>
      <c r="F4073">
        <v>0.66258902576751599</v>
      </c>
      <c r="G4073">
        <v>0.47996257248945201</v>
      </c>
      <c r="H4073">
        <v>0.43005728746502903</v>
      </c>
      <c r="I4073">
        <v>0.13864669645979599</v>
      </c>
      <c r="J4073">
        <v>0.11405146040311701</v>
      </c>
      <c r="K4073">
        <v>0.109009288771016</v>
      </c>
      <c r="L4073">
        <v>457.153344596556</v>
      </c>
      <c r="M4073">
        <v>8.2894598302933797</v>
      </c>
      <c r="N4073">
        <v>55.148749593821002</v>
      </c>
      <c r="O4073">
        <v>52.218833009926101</v>
      </c>
      <c r="P4073">
        <v>-3.9725465362820497E-2</v>
      </c>
      <c r="Q4073">
        <v>0</v>
      </c>
      <c r="R4073">
        <v>0.92765247117343297</v>
      </c>
      <c r="S4073" t="s">
        <v>10743</v>
      </c>
      <c r="T4073" t="s">
        <v>13338</v>
      </c>
      <c r="U4073" t="s">
        <v>13338</v>
      </c>
      <c r="V4073" t="s">
        <v>13338</v>
      </c>
      <c r="W4073" t="s">
        <v>17356</v>
      </c>
      <c r="X4073">
        <v>21</v>
      </c>
      <c r="Y4073" t="s">
        <v>23867</v>
      </c>
      <c r="Z4073" t="s">
        <v>30488</v>
      </c>
      <c r="AA4073">
        <v>0.53104529422507829</v>
      </c>
      <c r="AB4073" t="str">
        <f>HYPERLINK("Melting_Curves/meltCurve_Q6PI48_DARS2.pdf", "Melting_Curves/meltCurve_Q6PI48_DARS2.pdf")</f>
        <v>Melting_Curves/meltCurve_Q6PI48_DARS2.pdf</v>
      </c>
    </row>
    <row r="4074" spans="1:28" x14ac:dyDescent="0.25">
      <c r="A4074" t="s">
        <v>4078</v>
      </c>
      <c r="B4074">
        <v>0.99193492352474899</v>
      </c>
      <c r="C4074">
        <v>0.75128022964610996</v>
      </c>
      <c r="D4074">
        <v>0.98405234847661605</v>
      </c>
      <c r="E4074">
        <v>0.65599949789494805</v>
      </c>
      <c r="F4074">
        <v>0.66202517558191798</v>
      </c>
      <c r="G4074">
        <v>0.38692377036569298</v>
      </c>
      <c r="H4074">
        <v>0.229257860282263</v>
      </c>
      <c r="I4074">
        <v>0.17171951427856499</v>
      </c>
      <c r="J4074">
        <v>0.18909879343286501</v>
      </c>
      <c r="K4074">
        <v>0.22363307556481901</v>
      </c>
      <c r="L4074">
        <v>577.97177404555805</v>
      </c>
      <c r="M4074">
        <v>10.817744062300299</v>
      </c>
      <c r="N4074">
        <v>54.469210060830001</v>
      </c>
      <c r="O4074">
        <v>51.699547547758101</v>
      </c>
      <c r="P4074">
        <v>-4.7442140434690402E-2</v>
      </c>
      <c r="Q4074">
        <v>9.3395084558213395E-2</v>
      </c>
      <c r="R4074">
        <v>0.91960107320094897</v>
      </c>
      <c r="S4074" t="s">
        <v>10744</v>
      </c>
      <c r="T4074" t="s">
        <v>13338</v>
      </c>
      <c r="U4074" t="s">
        <v>13338</v>
      </c>
      <c r="V4074" t="s">
        <v>13338</v>
      </c>
      <c r="W4074" t="s">
        <v>17357</v>
      </c>
      <c r="X4074">
        <v>3</v>
      </c>
      <c r="Y4074" t="s">
        <v>23868</v>
      </c>
      <c r="Z4074" t="s">
        <v>30489</v>
      </c>
      <c r="AA4074">
        <v>0.52676599409726521</v>
      </c>
      <c r="AB4074" t="str">
        <f>HYPERLINK("Melting_Curves/meltCurve_Q6PI78_TMEM65.pdf", "Melting_Curves/meltCurve_Q6PI78_TMEM65.pdf")</f>
        <v>Melting_Curves/meltCurve_Q6PI78_TMEM65.pdf</v>
      </c>
    </row>
    <row r="4075" spans="1:28" x14ac:dyDescent="0.25">
      <c r="A4075" t="s">
        <v>4079</v>
      </c>
      <c r="B4075">
        <v>0.99193492352474899</v>
      </c>
      <c r="C4075">
        <v>0.90349865171472998</v>
      </c>
      <c r="D4075">
        <v>0.82238095287063895</v>
      </c>
      <c r="E4075">
        <v>0.60354156905775103</v>
      </c>
      <c r="F4075">
        <v>0.31675967706703101</v>
      </c>
      <c r="G4075">
        <v>0.19058955900258001</v>
      </c>
      <c r="H4075">
        <v>0.13069364836453201</v>
      </c>
      <c r="I4075">
        <v>9.9719711170941902E-2</v>
      </c>
      <c r="J4075">
        <v>0.12820518077152299</v>
      </c>
      <c r="K4075">
        <v>0.114086057394867</v>
      </c>
      <c r="L4075">
        <v>836.71228067686104</v>
      </c>
      <c r="M4075">
        <v>16.752770360223298</v>
      </c>
      <c r="N4075">
        <v>50.576723990381701</v>
      </c>
      <c r="O4075">
        <v>49.249340672319498</v>
      </c>
      <c r="P4075">
        <v>-7.7014220377324694E-2</v>
      </c>
      <c r="Q4075">
        <v>9.4442004530194107E-2</v>
      </c>
      <c r="R4075">
        <v>0.99658036460110599</v>
      </c>
      <c r="S4075" t="s">
        <v>10745</v>
      </c>
      <c r="T4075" t="s">
        <v>13338</v>
      </c>
      <c r="U4075" t="s">
        <v>13338</v>
      </c>
      <c r="V4075" t="s">
        <v>13338</v>
      </c>
      <c r="W4075" t="s">
        <v>17358</v>
      </c>
      <c r="X4075">
        <v>7</v>
      </c>
      <c r="Y4075" t="s">
        <v>23869</v>
      </c>
      <c r="Z4075" t="s">
        <v>30490</v>
      </c>
      <c r="AA4075">
        <v>0.41231699442851688</v>
      </c>
      <c r="AB4075" t="str">
        <f>HYPERLINK("Melting_Curves/meltCurve_Q6PID6_TTC33.pdf", "Melting_Curves/meltCurve_Q6PID6_TTC33.pdf")</f>
        <v>Melting_Curves/meltCurve_Q6PID6_TTC33.pdf</v>
      </c>
    </row>
    <row r="4076" spans="1:28" x14ac:dyDescent="0.25">
      <c r="A4076" t="s">
        <v>4080</v>
      </c>
      <c r="B4076">
        <v>0.99193492352474899</v>
      </c>
      <c r="C4076">
        <v>0.87905336802270195</v>
      </c>
      <c r="D4076">
        <v>0.86147096814495705</v>
      </c>
      <c r="E4076">
        <v>0.78576003201565003</v>
      </c>
      <c r="F4076">
        <v>0.51137201463754201</v>
      </c>
      <c r="G4076">
        <v>0.34889954244388799</v>
      </c>
      <c r="H4076">
        <v>0.26496232391277602</v>
      </c>
      <c r="I4076">
        <v>0.32358523734412697</v>
      </c>
      <c r="J4076">
        <v>0.336000634372286</v>
      </c>
      <c r="K4076">
        <v>0.49612800401805102</v>
      </c>
      <c r="L4076">
        <v>1035.7962152228299</v>
      </c>
      <c r="M4076">
        <v>20.5509331628115</v>
      </c>
      <c r="N4076">
        <v>53.369250081902997</v>
      </c>
      <c r="O4076">
        <v>49.931467536038802</v>
      </c>
      <c r="P4076">
        <v>-6.7857428849218304E-2</v>
      </c>
      <c r="Q4076">
        <v>0.34054148527616501</v>
      </c>
      <c r="R4076">
        <v>0.92005692991497401</v>
      </c>
      <c r="S4076" t="s">
        <v>10746</v>
      </c>
      <c r="T4076" t="s">
        <v>13338</v>
      </c>
      <c r="U4076" t="s">
        <v>13338</v>
      </c>
      <c r="V4076" t="s">
        <v>13338</v>
      </c>
      <c r="W4076" t="s">
        <v>17359</v>
      </c>
      <c r="X4076">
        <v>12</v>
      </c>
      <c r="Y4076" t="s">
        <v>23870</v>
      </c>
      <c r="Z4076" t="s">
        <v>30491</v>
      </c>
      <c r="AA4076">
        <v>0.57788604631267049</v>
      </c>
      <c r="AB4076" t="str">
        <f>HYPERLINK("Melting_Curves/meltCurve_Q6PII3_CCDC174.pdf", "Melting_Curves/meltCurve_Q6PII3_CCDC174.pdf")</f>
        <v>Melting_Curves/meltCurve_Q6PII3_CCDC174.pdf</v>
      </c>
    </row>
    <row r="4077" spans="1:28" x14ac:dyDescent="0.25">
      <c r="A4077" t="s">
        <v>4081</v>
      </c>
      <c r="B4077">
        <v>0.99193492352474899</v>
      </c>
      <c r="C4077">
        <v>0.91709924903374995</v>
      </c>
      <c r="D4077">
        <v>0.85307823014260797</v>
      </c>
      <c r="E4077">
        <v>0.63930280088509195</v>
      </c>
      <c r="F4077">
        <v>0.39888860653362501</v>
      </c>
      <c r="G4077">
        <v>0.14179439938856001</v>
      </c>
      <c r="H4077">
        <v>7.22983261548234E-2</v>
      </c>
      <c r="I4077">
        <v>8.3721989605507405E-2</v>
      </c>
      <c r="J4077">
        <v>8.0370164780385805E-2</v>
      </c>
      <c r="K4077">
        <v>6.7727033678041296E-2</v>
      </c>
      <c r="L4077">
        <v>846.94926755912104</v>
      </c>
      <c r="M4077">
        <v>16.611197416745501</v>
      </c>
      <c r="N4077">
        <v>51.258098707175101</v>
      </c>
      <c r="O4077">
        <v>50.264910146260199</v>
      </c>
      <c r="P4077">
        <v>-7.9145062449060499E-2</v>
      </c>
      <c r="Q4077">
        <v>4.2104062997122098E-2</v>
      </c>
      <c r="R4077">
        <v>0.99450102290364195</v>
      </c>
      <c r="S4077" t="s">
        <v>10747</v>
      </c>
      <c r="T4077" t="s">
        <v>13338</v>
      </c>
      <c r="U4077" t="s">
        <v>13338</v>
      </c>
      <c r="V4077" t="s">
        <v>13338</v>
      </c>
      <c r="W4077" t="s">
        <v>17360</v>
      </c>
      <c r="X4077">
        <v>5</v>
      </c>
      <c r="Y4077" t="s">
        <v>23871</v>
      </c>
      <c r="Z4077" t="s">
        <v>30492</v>
      </c>
      <c r="AA4077">
        <v>0.41152123449563988</v>
      </c>
      <c r="AB4077" t="str">
        <f>HYPERLINK("Melting_Curves/meltCurve_Q6PIJ6_2_FBXO38.pdf", "Melting_Curves/meltCurve_Q6PIJ6_2_FBXO38.pdf")</f>
        <v>Melting_Curves/meltCurve_Q6PIJ6_2_FBXO38.pdf</v>
      </c>
    </row>
    <row r="4078" spans="1:28" x14ac:dyDescent="0.25">
      <c r="A4078" t="s">
        <v>4082</v>
      </c>
      <c r="B4078">
        <v>0.99193492352474899</v>
      </c>
      <c r="C4078">
        <v>0.81824876545896497</v>
      </c>
      <c r="D4078">
        <v>0.40803614131771598</v>
      </c>
      <c r="E4078">
        <v>0.14980102790116601</v>
      </c>
      <c r="F4078">
        <v>0.105962550357139</v>
      </c>
      <c r="G4078">
        <v>6.3337936908453199E-2</v>
      </c>
      <c r="H4078">
        <v>5.0306594459393901E-2</v>
      </c>
      <c r="I4078">
        <v>5.68049796113856E-2</v>
      </c>
      <c r="J4078">
        <v>4.7314948086027903E-2</v>
      </c>
      <c r="K4078">
        <v>2.7607411288538102E-2</v>
      </c>
      <c r="L4078">
        <v>1189.8717766255199</v>
      </c>
      <c r="M4078">
        <v>26.329834639459399</v>
      </c>
      <c r="N4078">
        <v>45.392965310988899</v>
      </c>
      <c r="O4078">
        <v>44.932743547479298</v>
      </c>
      <c r="P4078">
        <v>-0.13840027113060199</v>
      </c>
      <c r="Q4078">
        <v>5.5271573757846901E-2</v>
      </c>
      <c r="R4078">
        <v>0.99754790718332098</v>
      </c>
      <c r="S4078" t="s">
        <v>10748</v>
      </c>
      <c r="T4078" t="s">
        <v>13338</v>
      </c>
      <c r="U4078" t="s">
        <v>13338</v>
      </c>
      <c r="V4078" t="s">
        <v>13338</v>
      </c>
      <c r="W4078" t="s">
        <v>17361</v>
      </c>
      <c r="X4078">
        <v>4</v>
      </c>
      <c r="Y4078" t="s">
        <v>23872</v>
      </c>
      <c r="Z4078" t="s">
        <v>30493</v>
      </c>
      <c r="AA4078">
        <v>0.22690554978990829</v>
      </c>
      <c r="AB4078" t="str">
        <f>HYPERLINK("Melting_Curves/meltCurve_Q6PIW4_2_FIGNL1.pdf", "Melting_Curves/meltCurve_Q6PIW4_2_FIGNL1.pdf")</f>
        <v>Melting_Curves/meltCurve_Q6PIW4_2_FIGNL1.pdf</v>
      </c>
    </row>
    <row r="4079" spans="1:28" x14ac:dyDescent="0.25">
      <c r="A4079" t="s">
        <v>4083</v>
      </c>
      <c r="B4079">
        <v>0.99193492352474899</v>
      </c>
      <c r="C4079">
        <v>0.87587537170954799</v>
      </c>
      <c r="D4079">
        <v>0.55024231996712802</v>
      </c>
      <c r="E4079">
        <v>0.38041489193093397</v>
      </c>
      <c r="F4079">
        <v>0.14139036317568901</v>
      </c>
      <c r="G4079">
        <v>8.2371468884706006E-2</v>
      </c>
      <c r="H4079">
        <v>4.8029787549854E-2</v>
      </c>
      <c r="I4079">
        <v>7.8693971363192297E-2</v>
      </c>
      <c r="J4079">
        <v>8.1349210080821396E-2</v>
      </c>
      <c r="K4079">
        <v>6.7210522966945796E-2</v>
      </c>
      <c r="L4079">
        <v>835.44884240309705</v>
      </c>
      <c r="M4079">
        <v>17.814891153618401</v>
      </c>
      <c r="N4079">
        <v>47.230742980316201</v>
      </c>
      <c r="O4079">
        <v>46.317152779969597</v>
      </c>
      <c r="P4079">
        <v>-9.0460197459313496E-2</v>
      </c>
      <c r="Q4079">
        <v>5.9293909030336503E-2</v>
      </c>
      <c r="R4079">
        <v>0.99027316958898004</v>
      </c>
      <c r="S4079" t="s">
        <v>10749</v>
      </c>
      <c r="T4079" t="s">
        <v>13338</v>
      </c>
      <c r="U4079" t="s">
        <v>13338</v>
      </c>
      <c r="V4079" t="s">
        <v>13338</v>
      </c>
      <c r="W4079" t="s">
        <v>17362</v>
      </c>
      <c r="X4079">
        <v>3</v>
      </c>
      <c r="Y4079" t="s">
        <v>23873</v>
      </c>
      <c r="Z4079" t="s">
        <v>30494</v>
      </c>
      <c r="AA4079">
        <v>0.29337849886260042</v>
      </c>
      <c r="AB4079" t="str">
        <f>HYPERLINK("Melting_Curves/meltCurve_Q6PJ61_FBXO46.pdf", "Melting_Curves/meltCurve_Q6PJ61_FBXO46.pdf")</f>
        <v>Melting_Curves/meltCurve_Q6PJ61_FBXO46.pdf</v>
      </c>
    </row>
    <row r="4080" spans="1:28" x14ac:dyDescent="0.25">
      <c r="A4080" t="s">
        <v>4084</v>
      </c>
      <c r="B4080">
        <v>0.99193492352474899</v>
      </c>
      <c r="C4080">
        <v>0.862932827049259</v>
      </c>
      <c r="D4080">
        <v>0.454027327688308</v>
      </c>
      <c r="E4080">
        <v>0.13685898667385099</v>
      </c>
      <c r="F4080">
        <v>6.4339833876542393E-2</v>
      </c>
      <c r="G4080">
        <v>6.6884256636497399E-2</v>
      </c>
      <c r="H4080">
        <v>2.3433688191709101E-2</v>
      </c>
      <c r="I4080">
        <v>4.0471362814705203E-2</v>
      </c>
      <c r="J4080">
        <v>5.2700751124074303E-2</v>
      </c>
      <c r="K4080">
        <v>3.8690916834767802E-2</v>
      </c>
      <c r="L4080">
        <v>1294.6497978479399</v>
      </c>
      <c r="M4080">
        <v>28.413922596582498</v>
      </c>
      <c r="N4080">
        <v>45.715230215082599</v>
      </c>
      <c r="O4080">
        <v>45.340026472476097</v>
      </c>
      <c r="P4080">
        <v>-0.14964136067903</v>
      </c>
      <c r="Q4080">
        <v>4.4878351991180301E-2</v>
      </c>
      <c r="R4080">
        <v>0.99907416956582096</v>
      </c>
      <c r="S4080" t="s">
        <v>10750</v>
      </c>
      <c r="T4080" t="s">
        <v>13338</v>
      </c>
      <c r="U4080" t="s">
        <v>13338</v>
      </c>
      <c r="V4080" t="s">
        <v>13338</v>
      </c>
      <c r="W4080" t="s">
        <v>17363</v>
      </c>
      <c r="X4080">
        <v>8</v>
      </c>
      <c r="Y4080" t="s">
        <v>23874</v>
      </c>
      <c r="Z4080" t="s">
        <v>30495</v>
      </c>
      <c r="AA4080">
        <v>0.2287350634434582</v>
      </c>
      <c r="AB4080" t="str">
        <f>HYPERLINK("Melting_Curves/meltCurve_Q6PJ69_TRIM65.pdf", "Melting_Curves/meltCurve_Q6PJ69_TRIM65.pdf")</f>
        <v>Melting_Curves/meltCurve_Q6PJ69_TRIM65.pdf</v>
      </c>
    </row>
    <row r="4081" spans="1:28" x14ac:dyDescent="0.25">
      <c r="A4081" t="s">
        <v>4085</v>
      </c>
      <c r="B4081">
        <v>0.99193492352474899</v>
      </c>
      <c r="C4081">
        <v>0.41305599397738701</v>
      </c>
      <c r="D4081">
        <v>0.33825074852414</v>
      </c>
      <c r="E4081">
        <v>0.18589649272669501</v>
      </c>
      <c r="F4081">
        <v>0.13396848392327401</v>
      </c>
      <c r="G4081">
        <v>0.12509694128201501</v>
      </c>
      <c r="H4081">
        <v>0.192782994940392</v>
      </c>
      <c r="I4081">
        <v>0.39006309244737802</v>
      </c>
      <c r="J4081">
        <v>0.46483939896791898</v>
      </c>
      <c r="K4081">
        <v>0.66060224849201599</v>
      </c>
      <c r="L4081">
        <v>3581.6686676921499</v>
      </c>
      <c r="M4081">
        <v>85.238849919866098</v>
      </c>
      <c r="N4081">
        <v>42.505265424175597</v>
      </c>
      <c r="O4081">
        <v>41.996092922298999</v>
      </c>
      <c r="P4081">
        <v>-0.34943211941053198</v>
      </c>
      <c r="Q4081">
        <v>0.31135710033866598</v>
      </c>
      <c r="R4081">
        <v>0.62402256490597297</v>
      </c>
      <c r="S4081" t="s">
        <v>10751</v>
      </c>
      <c r="T4081" t="s">
        <v>13338</v>
      </c>
      <c r="U4081" t="s">
        <v>13338</v>
      </c>
      <c r="V4081" t="s">
        <v>13338</v>
      </c>
      <c r="W4081" t="s">
        <v>17364</v>
      </c>
      <c r="X4081">
        <v>6</v>
      </c>
      <c r="Y4081" t="s">
        <v>23875</v>
      </c>
      <c r="Z4081" t="s">
        <v>30496</v>
      </c>
      <c r="AA4081">
        <v>0.35827985620901309</v>
      </c>
      <c r="AB4081" t="str">
        <f>HYPERLINK("Melting_Curves/meltCurve_Q6PJG2_ELMSAN1.pdf", "Melting_Curves/meltCurve_Q6PJG2_ELMSAN1.pdf")</f>
        <v>Melting_Curves/meltCurve_Q6PJG2_ELMSAN1.pdf</v>
      </c>
    </row>
    <row r="4082" spans="1:28" x14ac:dyDescent="0.25">
      <c r="A4082" t="s">
        <v>4086</v>
      </c>
      <c r="B4082">
        <v>0.99193492352474899</v>
      </c>
      <c r="C4082">
        <v>0.64093066851334701</v>
      </c>
      <c r="D4082">
        <v>0.66924586990832602</v>
      </c>
      <c r="E4082">
        <v>0.41464716923038603</v>
      </c>
      <c r="F4082">
        <v>0.26756324523227598</v>
      </c>
      <c r="G4082">
        <v>8.7814721245198596E-2</v>
      </c>
      <c r="H4082">
        <v>3.8986607428405901E-2</v>
      </c>
      <c r="I4082">
        <v>3.9247009678320503E-2</v>
      </c>
      <c r="J4082">
        <v>4.1429722845781301E-2</v>
      </c>
      <c r="K4082">
        <v>3.7035405229685098E-2</v>
      </c>
      <c r="L4082">
        <v>551.07722561191804</v>
      </c>
      <c r="M4082">
        <v>11.5405455982464</v>
      </c>
      <c r="N4082">
        <v>47.751402269005297</v>
      </c>
      <c r="O4082">
        <v>46.385143903106098</v>
      </c>
      <c r="P4082">
        <v>-6.2217019030484197E-2</v>
      </c>
      <c r="Q4082">
        <v>0</v>
      </c>
      <c r="R4082">
        <v>0.963534675714661</v>
      </c>
      <c r="S4082" t="s">
        <v>10752</v>
      </c>
      <c r="T4082" t="s">
        <v>13338</v>
      </c>
      <c r="U4082" t="s">
        <v>13338</v>
      </c>
      <c r="V4082" t="s">
        <v>13338</v>
      </c>
      <c r="W4082" t="s">
        <v>17365</v>
      </c>
      <c r="X4082">
        <v>8</v>
      </c>
      <c r="Y4082" t="s">
        <v>23876</v>
      </c>
      <c r="Z4082" t="s">
        <v>30497</v>
      </c>
      <c r="AA4082">
        <v>0.3010048011638552</v>
      </c>
      <c r="AB4082" t="str">
        <f>HYPERLINK("Melting_Curves/meltCurve_Q6PJG6_BRAT1.pdf", "Melting_Curves/meltCurve_Q6PJG6_BRAT1.pdf")</f>
        <v>Melting_Curves/meltCurve_Q6PJG6_BRAT1.pdf</v>
      </c>
    </row>
    <row r="4083" spans="1:28" x14ac:dyDescent="0.25">
      <c r="A4083" t="s">
        <v>4087</v>
      </c>
      <c r="B4083">
        <v>0.99193492352474899</v>
      </c>
      <c r="C4083">
        <v>0.51922309294287605</v>
      </c>
      <c r="D4083">
        <v>0.76257941293520304</v>
      </c>
      <c r="E4083">
        <v>0.34854814167218501</v>
      </c>
      <c r="F4083">
        <v>0.24461448445202</v>
      </c>
      <c r="G4083">
        <v>9.4302249760493104E-2</v>
      </c>
      <c r="H4083">
        <v>0.111318251404618</v>
      </c>
      <c r="I4083">
        <v>0.15921567773641801</v>
      </c>
      <c r="J4083">
        <v>0.24762373305296601</v>
      </c>
      <c r="K4083">
        <v>0.30350298119927699</v>
      </c>
      <c r="L4083">
        <v>638.78558396343794</v>
      </c>
      <c r="M4083">
        <v>14.0293536471374</v>
      </c>
      <c r="N4083">
        <v>46.906606550823902</v>
      </c>
      <c r="O4083">
        <v>44.636902021351098</v>
      </c>
      <c r="P4083">
        <v>-6.5340179535796003E-2</v>
      </c>
      <c r="Q4083">
        <v>0.168543183213958</v>
      </c>
      <c r="R4083">
        <v>0.80692743279545498</v>
      </c>
      <c r="S4083" t="s">
        <v>10753</v>
      </c>
      <c r="T4083" t="s">
        <v>13338</v>
      </c>
      <c r="U4083" t="s">
        <v>13338</v>
      </c>
      <c r="V4083" t="s">
        <v>13338</v>
      </c>
      <c r="W4083" t="s">
        <v>17366</v>
      </c>
      <c r="X4083">
        <v>18</v>
      </c>
      <c r="Y4083" t="s">
        <v>23877</v>
      </c>
      <c r="Z4083" t="s">
        <v>30498</v>
      </c>
      <c r="AA4083">
        <v>0.35094527411829829</v>
      </c>
      <c r="AB4083" t="str">
        <f>HYPERLINK("Melting_Curves/meltCurve_Q6PJT7_3_ZC3H14.pdf", "Melting_Curves/meltCurve_Q6PJT7_3_ZC3H14.pdf")</f>
        <v>Melting_Curves/meltCurve_Q6PJT7_3_ZC3H14.pdf</v>
      </c>
    </row>
    <row r="4084" spans="1:28" x14ac:dyDescent="0.25">
      <c r="A4084" t="s">
        <v>4088</v>
      </c>
      <c r="B4084">
        <v>0.99193492352474899</v>
      </c>
      <c r="C4084">
        <v>0.67983584395731</v>
      </c>
      <c r="D4084">
        <v>0.66948633332660401</v>
      </c>
      <c r="E4084">
        <v>0.35639213301960199</v>
      </c>
      <c r="F4084">
        <v>0.19659413077464299</v>
      </c>
      <c r="G4084">
        <v>0.102443378542401</v>
      </c>
      <c r="H4084">
        <v>0.100921537984669</v>
      </c>
      <c r="I4084">
        <v>0.184835021285645</v>
      </c>
      <c r="J4084">
        <v>0.247924622740225</v>
      </c>
      <c r="K4084">
        <v>0.36034530716096902</v>
      </c>
      <c r="L4084">
        <v>812.53884702948903</v>
      </c>
      <c r="M4084">
        <v>17.7937938025789</v>
      </c>
      <c r="N4084">
        <v>46.913845975282001</v>
      </c>
      <c r="O4084">
        <v>45.099133837664802</v>
      </c>
      <c r="P4084">
        <v>-8.00243153715402E-2</v>
      </c>
      <c r="Q4084">
        <v>0.188741645321685</v>
      </c>
      <c r="R4084">
        <v>0.89250625653846405</v>
      </c>
      <c r="S4084" t="s">
        <v>10754</v>
      </c>
      <c r="T4084" t="s">
        <v>13338</v>
      </c>
      <c r="U4084" t="s">
        <v>13338</v>
      </c>
      <c r="V4084" t="s">
        <v>13338</v>
      </c>
      <c r="W4084" t="s">
        <v>17367</v>
      </c>
      <c r="X4084">
        <v>20</v>
      </c>
      <c r="Y4084" t="s">
        <v>23877</v>
      </c>
      <c r="Z4084" t="s">
        <v>30499</v>
      </c>
      <c r="AA4084">
        <v>0.35871458682911678</v>
      </c>
      <c r="AB4084" t="str">
        <f>HYPERLINK("Melting_Curves/meltCurve_Q6PJT7_9_ZC3H14.pdf", "Melting_Curves/meltCurve_Q6PJT7_9_ZC3H14.pdf")</f>
        <v>Melting_Curves/meltCurve_Q6PJT7_9_ZC3H14.pdf</v>
      </c>
    </row>
    <row r="4085" spans="1:28" x14ac:dyDescent="0.25">
      <c r="A4085" t="s">
        <v>4089</v>
      </c>
      <c r="B4085">
        <v>0.99193492352474899</v>
      </c>
      <c r="C4085">
        <v>0.84683607539008399</v>
      </c>
      <c r="D4085">
        <v>0.76002961018946602</v>
      </c>
      <c r="E4085">
        <v>0.40870605766126</v>
      </c>
      <c r="F4085">
        <v>0.27325955990231898</v>
      </c>
      <c r="G4085">
        <v>0.12452814479032601</v>
      </c>
      <c r="H4085">
        <v>0.116123643293311</v>
      </c>
      <c r="I4085">
        <v>0.15141844687815001</v>
      </c>
      <c r="J4085">
        <v>0.265461045153354</v>
      </c>
      <c r="K4085">
        <v>0.25786527542231302</v>
      </c>
      <c r="L4085">
        <v>999.82149219020596</v>
      </c>
      <c r="M4085">
        <v>21.0734638362898</v>
      </c>
      <c r="N4085">
        <v>48.468127684098697</v>
      </c>
      <c r="O4085">
        <v>47.023525135552902</v>
      </c>
      <c r="P4085">
        <v>-9.1917644503299201E-2</v>
      </c>
      <c r="Q4085">
        <v>0.17959790850203</v>
      </c>
      <c r="R4085">
        <v>0.965310860823832</v>
      </c>
      <c r="S4085" t="s">
        <v>10755</v>
      </c>
      <c r="T4085" t="s">
        <v>13338</v>
      </c>
      <c r="U4085" t="s">
        <v>13338</v>
      </c>
      <c r="V4085" t="s">
        <v>13338</v>
      </c>
      <c r="W4085" t="s">
        <v>17368</v>
      </c>
      <c r="X4085">
        <v>4</v>
      </c>
      <c r="Y4085" t="s">
        <v>23878</v>
      </c>
      <c r="Z4085" t="s">
        <v>30500</v>
      </c>
      <c r="AA4085">
        <v>0.39373591504298122</v>
      </c>
      <c r="AB4085" t="str">
        <f>HYPERLINK("Melting_Curves/meltCurve_Q6PJW8_CNST.pdf", "Melting_Curves/meltCurve_Q6PJW8_CNST.pdf")</f>
        <v>Melting_Curves/meltCurve_Q6PJW8_CNST.pdf</v>
      </c>
    </row>
    <row r="4086" spans="1:28" x14ac:dyDescent="0.25">
      <c r="A4086" t="s">
        <v>4090</v>
      </c>
      <c r="B4086">
        <v>0.99193492352474899</v>
      </c>
      <c r="C4086">
        <v>1.1351139914739701</v>
      </c>
      <c r="D4086">
        <v>0.85321112597537696</v>
      </c>
      <c r="E4086">
        <v>0.823096359065278</v>
      </c>
      <c r="F4086">
        <v>0.41988679643173699</v>
      </c>
      <c r="G4086">
        <v>0.41295699138448499</v>
      </c>
      <c r="H4086">
        <v>0.22904779122782601</v>
      </c>
      <c r="I4086">
        <v>0.215800988209049</v>
      </c>
      <c r="J4086">
        <v>0.161084602256925</v>
      </c>
      <c r="K4086">
        <v>0.16512015897270099</v>
      </c>
      <c r="L4086">
        <v>924.91013059877901</v>
      </c>
      <c r="M4086">
        <v>17.740011024816798</v>
      </c>
      <c r="N4086">
        <v>53.398367511182599</v>
      </c>
      <c r="O4086">
        <v>51.487992376745098</v>
      </c>
      <c r="P4086">
        <v>-7.1396374714419106E-2</v>
      </c>
      <c r="Q4086">
        <v>0.17116996034246201</v>
      </c>
      <c r="R4086">
        <v>0.96017074998975704</v>
      </c>
      <c r="S4086" t="s">
        <v>10756</v>
      </c>
      <c r="T4086" t="s">
        <v>13338</v>
      </c>
      <c r="U4086" t="s">
        <v>13338</v>
      </c>
      <c r="V4086" t="s">
        <v>13338</v>
      </c>
      <c r="W4086" t="s">
        <v>17369</v>
      </c>
      <c r="X4086">
        <v>2</v>
      </c>
      <c r="Y4086" t="s">
        <v>23879</v>
      </c>
      <c r="Z4086" t="s">
        <v>30501</v>
      </c>
      <c r="AA4086">
        <v>0.52059333044221157</v>
      </c>
      <c r="AB4086" t="str">
        <f>HYPERLINK("Melting_Curves/meltCurve_Q6PK18_OGFOD3.pdf", "Melting_Curves/meltCurve_Q6PK18_OGFOD3.pdf")</f>
        <v>Melting_Curves/meltCurve_Q6PK18_OGFOD3.pdf</v>
      </c>
    </row>
    <row r="4087" spans="1:28" x14ac:dyDescent="0.25">
      <c r="A4087" t="s">
        <v>4091</v>
      </c>
      <c r="B4087">
        <v>0.99193492352474899</v>
      </c>
      <c r="C4087">
        <v>0.67250783088031096</v>
      </c>
      <c r="D4087">
        <v>0.80857103488029702</v>
      </c>
      <c r="E4087">
        <v>0.56106616140472498</v>
      </c>
      <c r="F4087">
        <v>0.20624510136445401</v>
      </c>
      <c r="G4087">
        <v>0.12615265143070101</v>
      </c>
      <c r="H4087">
        <v>7.8407454290900597E-2</v>
      </c>
      <c r="I4087">
        <v>9.0063363667759799E-2</v>
      </c>
      <c r="J4087">
        <v>0.118832406068912</v>
      </c>
      <c r="K4087">
        <v>0.15264800298515299</v>
      </c>
      <c r="L4087">
        <v>680.43692511608003</v>
      </c>
      <c r="M4087">
        <v>13.985570743124301</v>
      </c>
      <c r="N4087">
        <v>49.166527634753102</v>
      </c>
      <c r="O4087">
        <v>47.690450255575499</v>
      </c>
      <c r="P4087">
        <v>-6.8339474008239198E-2</v>
      </c>
      <c r="Q4087">
        <v>6.7980127614152494E-2</v>
      </c>
      <c r="R4087">
        <v>0.92794652948577305</v>
      </c>
      <c r="S4087" t="s">
        <v>10757</v>
      </c>
      <c r="T4087" t="s">
        <v>13338</v>
      </c>
      <c r="U4087" t="s">
        <v>13338</v>
      </c>
      <c r="V4087" t="s">
        <v>13338</v>
      </c>
      <c r="W4087" t="s">
        <v>17370</v>
      </c>
      <c r="X4087">
        <v>20</v>
      </c>
      <c r="Y4087" t="s">
        <v>23880</v>
      </c>
      <c r="Z4087" t="s">
        <v>30502</v>
      </c>
      <c r="AA4087">
        <v>0.36340823359644869</v>
      </c>
      <c r="AB4087" t="str">
        <f>HYPERLINK("Melting_Curves/meltCurve_Q6PKG0_LARP1.pdf", "Melting_Curves/meltCurve_Q6PKG0_LARP1.pdf")</f>
        <v>Melting_Curves/meltCurve_Q6PKG0_LARP1.pdf</v>
      </c>
    </row>
    <row r="4088" spans="1:28" x14ac:dyDescent="0.25">
      <c r="A4088" t="s">
        <v>4092</v>
      </c>
      <c r="B4088">
        <v>0.99193492352474899</v>
      </c>
      <c r="C4088">
        <v>0.74268609796235197</v>
      </c>
      <c r="D4088">
        <v>0.675536517212183</v>
      </c>
      <c r="E4088">
        <v>0.25514254194849301</v>
      </c>
      <c r="F4088">
        <v>0.14223290366386901</v>
      </c>
      <c r="G4088">
        <v>8.6893099381255001E-2</v>
      </c>
      <c r="H4088">
        <v>4.0841873945336303E-2</v>
      </c>
      <c r="I4088">
        <v>5.4633775368762599E-2</v>
      </c>
      <c r="J4088">
        <v>6.5228006786826803E-2</v>
      </c>
      <c r="K4088">
        <v>7.4244443000593893E-2</v>
      </c>
      <c r="L4088">
        <v>829.77920620214604</v>
      </c>
      <c r="M4088">
        <v>17.756974412995</v>
      </c>
      <c r="N4088">
        <v>46.995837342494298</v>
      </c>
      <c r="O4088">
        <v>46.149206024158197</v>
      </c>
      <c r="P4088">
        <v>-9.1597853971695897E-2</v>
      </c>
      <c r="Q4088">
        <v>4.7822774988674203E-2</v>
      </c>
      <c r="R4088">
        <v>0.981335543965275</v>
      </c>
      <c r="S4088" t="s">
        <v>10758</v>
      </c>
      <c r="T4088" t="s">
        <v>13338</v>
      </c>
      <c r="U4088" t="s">
        <v>13338</v>
      </c>
      <c r="V4088" t="s">
        <v>13338</v>
      </c>
      <c r="W4088" t="s">
        <v>17371</v>
      </c>
      <c r="X4088">
        <v>11</v>
      </c>
      <c r="Y4088" t="s">
        <v>23881</v>
      </c>
      <c r="Z4088" t="s">
        <v>30503</v>
      </c>
      <c r="AA4088">
        <v>0.27977725676481302</v>
      </c>
      <c r="AB4088" t="str">
        <f>HYPERLINK("Melting_Curves/meltCurve_Q6PL24_TMED8.pdf", "Melting_Curves/meltCurve_Q6PL24_TMED8.pdf")</f>
        <v>Melting_Curves/meltCurve_Q6PL24_TMED8.pdf</v>
      </c>
    </row>
    <row r="4089" spans="1:28" x14ac:dyDescent="0.25">
      <c r="A4089" t="s">
        <v>4093</v>
      </c>
      <c r="B4089">
        <v>0.99193492352474899</v>
      </c>
      <c r="C4089">
        <v>0.95854540229274898</v>
      </c>
      <c r="D4089">
        <v>0.95227262915438404</v>
      </c>
      <c r="E4089">
        <v>0.73303127071294105</v>
      </c>
      <c r="F4089">
        <v>0.42072884890588602</v>
      </c>
      <c r="G4089">
        <v>0.21635432669177501</v>
      </c>
      <c r="H4089">
        <v>0.14891593964423999</v>
      </c>
      <c r="I4089">
        <v>0.14146624666229801</v>
      </c>
      <c r="J4089">
        <v>0.14747971310452501</v>
      </c>
      <c r="K4089">
        <v>0.144556713592848</v>
      </c>
      <c r="L4089">
        <v>1164.71864990375</v>
      </c>
      <c r="M4089">
        <v>22.647542494708599</v>
      </c>
      <c r="N4089">
        <v>52.1490020424786</v>
      </c>
      <c r="O4089">
        <v>51.032119177056202</v>
      </c>
      <c r="P4089">
        <v>-9.6036613068275406E-2</v>
      </c>
      <c r="Q4089">
        <v>0.134413278484357</v>
      </c>
      <c r="R4089">
        <v>0.99876611204965104</v>
      </c>
      <c r="S4089" t="s">
        <v>10759</v>
      </c>
      <c r="T4089" t="s">
        <v>13338</v>
      </c>
      <c r="U4089" t="s">
        <v>13338</v>
      </c>
      <c r="V4089" t="s">
        <v>13338</v>
      </c>
      <c r="W4089" t="s">
        <v>17372</v>
      </c>
      <c r="X4089">
        <v>8</v>
      </c>
      <c r="Y4089" t="s">
        <v>23882</v>
      </c>
      <c r="Z4089" t="s">
        <v>30504</v>
      </c>
      <c r="AA4089">
        <v>0.4736518484539039</v>
      </c>
      <c r="AB4089" t="str">
        <f>HYPERLINK("Melting_Curves/meltCurve_Q6PML9_SLC30A9.pdf", "Melting_Curves/meltCurve_Q6PML9_SLC30A9.pdf")</f>
        <v>Melting_Curves/meltCurve_Q6PML9_SLC30A9.pdf</v>
      </c>
    </row>
    <row r="4090" spans="1:28" x14ac:dyDescent="0.25">
      <c r="A4090" t="s">
        <v>4094</v>
      </c>
      <c r="B4090">
        <v>0.99193492352474899</v>
      </c>
      <c r="C4090">
        <v>0.98936072376112605</v>
      </c>
      <c r="D4090">
        <v>0.95590620485313904</v>
      </c>
      <c r="E4090">
        <v>0.84022432313539996</v>
      </c>
      <c r="F4090">
        <v>0.66638032706585104</v>
      </c>
      <c r="G4090">
        <v>0.48869932106564101</v>
      </c>
      <c r="H4090">
        <v>0.32862064945282399</v>
      </c>
      <c r="I4090">
        <v>0.46062258827146602</v>
      </c>
      <c r="J4090">
        <v>0.47267456627499599</v>
      </c>
      <c r="K4090">
        <v>0.62236236194056205</v>
      </c>
      <c r="L4090">
        <v>1358.69388218933</v>
      </c>
      <c r="M4090">
        <v>26.394598318280998</v>
      </c>
      <c r="N4090">
        <v>57.522755434155599</v>
      </c>
      <c r="O4090">
        <v>51.183435097000803</v>
      </c>
      <c r="P4090">
        <v>-6.8482677132170003E-2</v>
      </c>
      <c r="Q4090">
        <v>0.46880920262829601</v>
      </c>
      <c r="R4090">
        <v>0.91130867148641004</v>
      </c>
      <c r="S4090" t="s">
        <v>10760</v>
      </c>
      <c r="T4090" t="s">
        <v>13338</v>
      </c>
      <c r="U4090" t="s">
        <v>13338</v>
      </c>
      <c r="V4090" t="s">
        <v>13338</v>
      </c>
      <c r="W4090" t="s">
        <v>17373</v>
      </c>
      <c r="X4090">
        <v>7</v>
      </c>
      <c r="Y4090" t="s">
        <v>23883</v>
      </c>
      <c r="Z4090" t="s">
        <v>30505</v>
      </c>
      <c r="AA4090">
        <v>0.67634851227152526</v>
      </c>
      <c r="AB4090" t="str">
        <f>HYPERLINK("Melting_Curves/meltCurve_Q6QNY0_BLOC1S3.pdf", "Melting_Curves/meltCurve_Q6QNY0_BLOC1S3.pdf")</f>
        <v>Melting_Curves/meltCurve_Q6QNY0_BLOC1S3.pdf</v>
      </c>
    </row>
    <row r="4091" spans="1:28" x14ac:dyDescent="0.25">
      <c r="A4091" t="s">
        <v>4095</v>
      </c>
      <c r="B4091">
        <v>0.99193492352474899</v>
      </c>
      <c r="C4091">
        <v>0.93673112304671502</v>
      </c>
      <c r="D4091">
        <v>0.90792283884799296</v>
      </c>
      <c r="E4091">
        <v>0.83796236749884001</v>
      </c>
      <c r="F4091">
        <v>0.52916173613883299</v>
      </c>
      <c r="G4091">
        <v>0.39585690877952401</v>
      </c>
      <c r="H4091">
        <v>0.249267297494949</v>
      </c>
      <c r="I4091">
        <v>0.121969837249227</v>
      </c>
      <c r="J4091">
        <v>0.18415119342344799</v>
      </c>
      <c r="K4091">
        <v>0.16938759835810599</v>
      </c>
      <c r="L4091">
        <v>834.684454597686</v>
      </c>
      <c r="M4091">
        <v>15.670922100408299</v>
      </c>
      <c r="N4091">
        <v>54.294631533683599</v>
      </c>
      <c r="O4091">
        <v>52.4185496177316</v>
      </c>
      <c r="P4091">
        <v>-6.5123676751074305E-2</v>
      </c>
      <c r="Q4091">
        <v>0.12873082591225099</v>
      </c>
      <c r="R4091">
        <v>0.989048051994183</v>
      </c>
      <c r="S4091" t="s">
        <v>10761</v>
      </c>
      <c r="T4091" t="s">
        <v>13338</v>
      </c>
      <c r="U4091" t="s">
        <v>13338</v>
      </c>
      <c r="V4091" t="s">
        <v>13338</v>
      </c>
      <c r="W4091" t="s">
        <v>17374</v>
      </c>
      <c r="X4091">
        <v>5</v>
      </c>
      <c r="Y4091" t="s">
        <v>23884</v>
      </c>
      <c r="Z4091" t="s">
        <v>30506</v>
      </c>
      <c r="AA4091">
        <v>0.53137503053802904</v>
      </c>
      <c r="AB4091" t="str">
        <f>HYPERLINK("Melting_Curves/meltCurve_Q6QNY1_BLOC1S2.pdf", "Melting_Curves/meltCurve_Q6QNY1_BLOC1S2.pdf")</f>
        <v>Melting_Curves/meltCurve_Q6QNY1_BLOC1S2.pdf</v>
      </c>
    </row>
    <row r="4092" spans="1:28" x14ac:dyDescent="0.25">
      <c r="A4092" t="s">
        <v>4096</v>
      </c>
      <c r="B4092">
        <v>0.99193492352474899</v>
      </c>
      <c r="C4092">
        <v>0.49228110369781802</v>
      </c>
      <c r="D4092">
        <v>0.67098282501565298</v>
      </c>
      <c r="E4092">
        <v>0.38997010679329103</v>
      </c>
      <c r="F4092">
        <v>0.349434137401057</v>
      </c>
      <c r="G4092">
        <v>0.14109365969714999</v>
      </c>
      <c r="H4092">
        <v>8.0017597067515406E-2</v>
      </c>
      <c r="I4092">
        <v>8.4478805922599404E-2</v>
      </c>
      <c r="J4092">
        <v>0.102144762404139</v>
      </c>
      <c r="K4092">
        <v>8.8318869643594894E-2</v>
      </c>
      <c r="L4092">
        <v>432.46323187600098</v>
      </c>
      <c r="M4092">
        <v>9.1587492296876096</v>
      </c>
      <c r="N4092">
        <v>47.397099556664898</v>
      </c>
      <c r="O4092">
        <v>45.130956774535903</v>
      </c>
      <c r="P4092">
        <v>-4.9908098227970099E-2</v>
      </c>
      <c r="Q4092">
        <v>1.69527494380712E-2</v>
      </c>
      <c r="R4092">
        <v>0.88640100269233502</v>
      </c>
      <c r="S4092" t="s">
        <v>10762</v>
      </c>
      <c r="T4092" t="s">
        <v>13338</v>
      </c>
      <c r="U4092" t="s">
        <v>13338</v>
      </c>
      <c r="V4092" t="s">
        <v>13338</v>
      </c>
      <c r="W4092" t="s">
        <v>17375</v>
      </c>
      <c r="X4092">
        <v>8</v>
      </c>
      <c r="Y4092" t="s">
        <v>23885</v>
      </c>
      <c r="Z4092" t="s">
        <v>30507</v>
      </c>
      <c r="AA4092">
        <v>0.31700022925429899</v>
      </c>
      <c r="AB4092" t="str">
        <f>HYPERLINK("Melting_Curves/meltCurve_Q6RFH5_WDR74.pdf", "Melting_Curves/meltCurve_Q6RFH5_WDR74.pdf")</f>
        <v>Melting_Curves/meltCurve_Q6RFH5_WDR74.pdf</v>
      </c>
    </row>
    <row r="4093" spans="1:28" x14ac:dyDescent="0.25">
      <c r="A4093" t="s">
        <v>4097</v>
      </c>
      <c r="B4093">
        <v>0.99193492352474899</v>
      </c>
      <c r="C4093">
        <v>0.933912551650804</v>
      </c>
      <c r="D4093">
        <v>0.84407834249299096</v>
      </c>
      <c r="E4093">
        <v>0.79876057852070903</v>
      </c>
      <c r="F4093">
        <v>0.67440293719408895</v>
      </c>
      <c r="G4093">
        <v>0.60588715943958105</v>
      </c>
      <c r="H4093">
        <v>0.54163408871952401</v>
      </c>
      <c r="I4093">
        <v>0.68287045202409102</v>
      </c>
      <c r="J4093">
        <v>0.829252122104982</v>
      </c>
      <c r="K4093">
        <v>0.89028038126418196</v>
      </c>
      <c r="L4093">
        <v>1044.8399579239999</v>
      </c>
      <c r="M4093">
        <v>22.820286567302599</v>
      </c>
      <c r="O4093">
        <v>45.438328347260402</v>
      </c>
      <c r="P4093">
        <v>-3.6662407559057301E-2</v>
      </c>
      <c r="Q4093">
        <v>0.70800602788577705</v>
      </c>
      <c r="R4093">
        <v>0.52806103421206696</v>
      </c>
      <c r="S4093" t="s">
        <v>10763</v>
      </c>
      <c r="T4093" t="s">
        <v>13338</v>
      </c>
      <c r="U4093" t="s">
        <v>13338</v>
      </c>
      <c r="V4093" t="s">
        <v>13338</v>
      </c>
      <c r="W4093" t="s">
        <v>17376</v>
      </c>
      <c r="X4093">
        <v>2</v>
      </c>
      <c r="Y4093" t="s">
        <v>23886</v>
      </c>
      <c r="Z4093" t="s">
        <v>30508</v>
      </c>
      <c r="AA4093">
        <v>0.76769484350177053</v>
      </c>
      <c r="AB4093" t="str">
        <f>HYPERLINK("Melting_Curves/meltCurve_Q6RW13_2_AGTRAP.pdf", "Melting_Curves/meltCurve_Q6RW13_2_AGTRAP.pdf")</f>
        <v>Melting_Curves/meltCurve_Q6RW13_2_AGTRAP.pdf</v>
      </c>
    </row>
    <row r="4094" spans="1:28" x14ac:dyDescent="0.25">
      <c r="A4094" t="s">
        <v>4098</v>
      </c>
      <c r="B4094">
        <v>0.99193492352474899</v>
      </c>
      <c r="C4094">
        <v>0.62967325947865105</v>
      </c>
      <c r="D4094">
        <v>0.90637418598340003</v>
      </c>
      <c r="E4094">
        <v>0.45300793207374102</v>
      </c>
      <c r="F4094">
        <v>0.55903299605365797</v>
      </c>
      <c r="G4094">
        <v>0.245577207022142</v>
      </c>
      <c r="H4094">
        <v>6.5422214620989405E-2</v>
      </c>
      <c r="I4094">
        <v>0</v>
      </c>
      <c r="J4094">
        <v>1.3701757346407099E-2</v>
      </c>
      <c r="K4094">
        <v>0</v>
      </c>
      <c r="L4094">
        <v>560.96232742207701</v>
      </c>
      <c r="M4094">
        <v>11.0569802147171</v>
      </c>
      <c r="N4094">
        <v>50.733773251476897</v>
      </c>
      <c r="O4094">
        <v>49.159050823159198</v>
      </c>
      <c r="P4094">
        <v>-5.6249240791991603E-2</v>
      </c>
      <c r="Q4094">
        <v>0</v>
      </c>
      <c r="R4094">
        <v>0.88193996484386905</v>
      </c>
      <c r="S4094" t="s">
        <v>10764</v>
      </c>
      <c r="T4094" t="s">
        <v>13338</v>
      </c>
      <c r="U4094" t="s">
        <v>13338</v>
      </c>
      <c r="V4094" t="s">
        <v>13338</v>
      </c>
      <c r="W4094" t="s">
        <v>17377</v>
      </c>
      <c r="X4094">
        <v>12</v>
      </c>
      <c r="Y4094" t="s">
        <v>23887</v>
      </c>
      <c r="Z4094" t="s">
        <v>30509</v>
      </c>
      <c r="AA4094">
        <v>0.39503267181969159</v>
      </c>
      <c r="AB4094" t="str">
        <f>HYPERLINK("Melting_Curves/meltCurve_Q6S8J3_POTEE.pdf", "Melting_Curves/meltCurve_Q6S8J3_POTEE.pdf")</f>
        <v>Melting_Curves/meltCurve_Q6S8J3_POTEE.pdf</v>
      </c>
    </row>
    <row r="4095" spans="1:28" x14ac:dyDescent="0.25">
      <c r="A4095" t="s">
        <v>4099</v>
      </c>
      <c r="B4095">
        <v>0.99193492352474899</v>
      </c>
      <c r="C4095">
        <v>0.48986706987422401</v>
      </c>
      <c r="D4095">
        <v>0.36982714455194898</v>
      </c>
      <c r="E4095">
        <v>0.104543297674051</v>
      </c>
      <c r="F4095">
        <v>4.3640993925522703E-2</v>
      </c>
      <c r="G4095">
        <v>9.3807694369282407E-3</v>
      </c>
      <c r="H4095">
        <v>2.2947184128031099E-2</v>
      </c>
      <c r="I4095">
        <v>3.41024626777773E-2</v>
      </c>
      <c r="J4095">
        <v>3.53030700538213E-2</v>
      </c>
      <c r="K4095">
        <v>0</v>
      </c>
      <c r="L4095">
        <v>879.02170408321194</v>
      </c>
      <c r="M4095">
        <v>20.075869456752901</v>
      </c>
      <c r="N4095">
        <v>43.878495595436597</v>
      </c>
      <c r="O4095">
        <v>43.357494902736299</v>
      </c>
      <c r="P4095">
        <v>-0.11333757166370401</v>
      </c>
      <c r="Q4095">
        <v>2.0938920226028099E-2</v>
      </c>
      <c r="R4095">
        <v>0.961183951975221</v>
      </c>
      <c r="S4095" t="s">
        <v>10765</v>
      </c>
      <c r="T4095" t="s">
        <v>13338</v>
      </c>
      <c r="U4095" t="s">
        <v>13338</v>
      </c>
      <c r="V4095" t="s">
        <v>13338</v>
      </c>
      <c r="W4095" t="s">
        <v>17378</v>
      </c>
      <c r="X4095">
        <v>5</v>
      </c>
      <c r="Y4095" t="s">
        <v>23888</v>
      </c>
      <c r="Z4095" t="s">
        <v>30510</v>
      </c>
      <c r="AA4095">
        <v>0.16403776306818099</v>
      </c>
      <c r="AB4095" t="str">
        <f>HYPERLINK("Melting_Curves/meltCurve_Q6STE5_2_SMARCD3.pdf", "Melting_Curves/meltCurve_Q6STE5_2_SMARCD3.pdf")</f>
        <v>Melting_Curves/meltCurve_Q6STE5_2_SMARCD3.pdf</v>
      </c>
    </row>
    <row r="4096" spans="1:28" x14ac:dyDescent="0.25">
      <c r="A4096" t="s">
        <v>4100</v>
      </c>
      <c r="B4096">
        <v>0.99193492352474899</v>
      </c>
      <c r="C4096">
        <v>0.62924782028534099</v>
      </c>
      <c r="D4096">
        <v>0.75894222643006504</v>
      </c>
      <c r="E4096">
        <v>0.53631712559580502</v>
      </c>
      <c r="F4096">
        <v>0.68545043667482597</v>
      </c>
      <c r="G4096">
        <v>1.0900620222587201</v>
      </c>
      <c r="H4096">
        <v>1.0668677472635</v>
      </c>
      <c r="I4096">
        <v>2.45621596955902</v>
      </c>
      <c r="J4096">
        <v>2.4979148705760799</v>
      </c>
      <c r="K4096">
        <v>1.8293537426547699</v>
      </c>
      <c r="L4096">
        <v>15000</v>
      </c>
      <c r="M4096">
        <v>244.84621988610999</v>
      </c>
      <c r="O4096">
        <v>61.258856531073199</v>
      </c>
      <c r="P4096">
        <v>0.499613927528544</v>
      </c>
      <c r="Q4096">
        <v>1.5</v>
      </c>
      <c r="R4096">
        <v>0.48531104952244097</v>
      </c>
      <c r="S4096" t="s">
        <v>10766</v>
      </c>
      <c r="T4096" t="s">
        <v>13338</v>
      </c>
      <c r="U4096" t="s">
        <v>13338</v>
      </c>
      <c r="V4096" t="s">
        <v>13338</v>
      </c>
      <c r="W4096" t="s">
        <v>17379</v>
      </c>
      <c r="X4096">
        <v>1</v>
      </c>
      <c r="Y4096" t="s">
        <v>23889</v>
      </c>
      <c r="Z4096" t="s">
        <v>30511</v>
      </c>
      <c r="AA4096">
        <v>1.145561572327078</v>
      </c>
      <c r="AB4096" t="str">
        <f>HYPERLINK("Melting_Curves/meltCurve_Q6SZW1_2_SARM1.pdf", "Melting_Curves/meltCurve_Q6SZW1_2_SARM1.pdf")</f>
        <v>Melting_Curves/meltCurve_Q6SZW1_2_SARM1.pdf</v>
      </c>
    </row>
    <row r="4097" spans="1:28" x14ac:dyDescent="0.25">
      <c r="A4097" t="s">
        <v>4101</v>
      </c>
      <c r="B4097">
        <v>0.99193492352474899</v>
      </c>
      <c r="C4097">
        <v>0.87735009606979897</v>
      </c>
      <c r="D4097">
        <v>0.92952044524689004</v>
      </c>
      <c r="E4097">
        <v>0.71117065882327801</v>
      </c>
      <c r="F4097">
        <v>0.23036012964036301</v>
      </c>
      <c r="G4097">
        <v>8.6245585044142994E-2</v>
      </c>
      <c r="H4097">
        <v>5.2544515544376801E-2</v>
      </c>
      <c r="I4097">
        <v>6.6833737588980494E-2</v>
      </c>
      <c r="J4097">
        <v>7.3326523583678097E-2</v>
      </c>
      <c r="K4097">
        <v>6.4258324370925601E-2</v>
      </c>
      <c r="L4097">
        <v>1576.84538306986</v>
      </c>
      <c r="M4097">
        <v>31.062206148739801</v>
      </c>
      <c r="N4097">
        <v>50.971458815032499</v>
      </c>
      <c r="O4097">
        <v>50.555105228253097</v>
      </c>
      <c r="P4097">
        <v>-0.144490394522335</v>
      </c>
      <c r="Q4097">
        <v>5.9347472684106797E-2</v>
      </c>
      <c r="R4097">
        <v>0.98931336178189999</v>
      </c>
      <c r="S4097" t="s">
        <v>10767</v>
      </c>
      <c r="T4097" t="s">
        <v>13338</v>
      </c>
      <c r="U4097" t="s">
        <v>13338</v>
      </c>
      <c r="V4097" t="s">
        <v>13338</v>
      </c>
      <c r="W4097" t="s">
        <v>17380</v>
      </c>
      <c r="X4097">
        <v>28</v>
      </c>
      <c r="Y4097" t="s">
        <v>20762</v>
      </c>
      <c r="Z4097" t="s">
        <v>30512</v>
      </c>
      <c r="AA4097">
        <v>0.40235081838429332</v>
      </c>
      <c r="AB4097" t="str">
        <f>HYPERLINK("Melting_Curves/meltCurve_Q6UB35_MTHFD1L.pdf", "Melting_Curves/meltCurve_Q6UB35_MTHFD1L.pdf")</f>
        <v>Melting_Curves/meltCurve_Q6UB35_MTHFD1L.pdf</v>
      </c>
    </row>
    <row r="4098" spans="1:28" x14ac:dyDescent="0.25">
      <c r="A4098" t="s">
        <v>4102</v>
      </c>
      <c r="B4098">
        <v>0.99193492352474899</v>
      </c>
      <c r="C4098">
        <v>1.23962455236975</v>
      </c>
      <c r="D4098">
        <v>0.90438816430219204</v>
      </c>
      <c r="E4098">
        <v>0.55296183423704603</v>
      </c>
      <c r="F4098">
        <v>0.199643532969209</v>
      </c>
      <c r="G4098">
        <v>0.143380838899555</v>
      </c>
      <c r="H4098">
        <v>0.13750004595509399</v>
      </c>
      <c r="I4098">
        <v>0.202302715591335</v>
      </c>
      <c r="J4098">
        <v>0.32248651594067501</v>
      </c>
      <c r="K4098">
        <v>0.38722824574166198</v>
      </c>
      <c r="L4098">
        <v>2179.3751014162699</v>
      </c>
      <c r="M4098">
        <v>44.356784740216703</v>
      </c>
      <c r="N4098">
        <v>49.8219047752332</v>
      </c>
      <c r="O4098">
        <v>49.0333065538548</v>
      </c>
      <c r="P4098">
        <v>-0.17430658755983899</v>
      </c>
      <c r="Q4098">
        <v>0.229266516535682</v>
      </c>
      <c r="R4098">
        <v>0.91960014365873799</v>
      </c>
      <c r="S4098" t="s">
        <v>10768</v>
      </c>
      <c r="T4098" t="s">
        <v>13338</v>
      </c>
      <c r="U4098" t="s">
        <v>13338</v>
      </c>
      <c r="V4098" t="s">
        <v>13338</v>
      </c>
      <c r="W4098" t="s">
        <v>17381</v>
      </c>
      <c r="X4098">
        <v>4</v>
      </c>
      <c r="Y4098" t="s">
        <v>23890</v>
      </c>
      <c r="Z4098" t="s">
        <v>30513</v>
      </c>
      <c r="AA4098">
        <v>0.46602585561681298</v>
      </c>
      <c r="AB4098" t="str">
        <f>HYPERLINK("Melting_Curves/meltCurve_Q6ULP2_5_AFTPH.pdf", "Melting_Curves/meltCurve_Q6ULP2_5_AFTPH.pdf")</f>
        <v>Melting_Curves/meltCurve_Q6ULP2_5_AFTPH.pdf</v>
      </c>
    </row>
    <row r="4099" spans="1:28" x14ac:dyDescent="0.25">
      <c r="A4099" t="s">
        <v>4103</v>
      </c>
      <c r="B4099">
        <v>0.99193492352474899</v>
      </c>
      <c r="C4099">
        <v>0.46524321255622603</v>
      </c>
      <c r="D4099">
        <v>0.66657137245048903</v>
      </c>
      <c r="E4099">
        <v>0.31863317522958701</v>
      </c>
      <c r="F4099">
        <v>0.36773849521204299</v>
      </c>
      <c r="G4099">
        <v>0.29913496527046401</v>
      </c>
      <c r="H4099">
        <v>0.354070001793929</v>
      </c>
      <c r="I4099">
        <v>0.48957612717605298</v>
      </c>
      <c r="J4099">
        <v>0.66052725843842997</v>
      </c>
      <c r="K4099">
        <v>1.0284432175623099</v>
      </c>
      <c r="L4099">
        <v>10163.023917356501</v>
      </c>
      <c r="M4099">
        <v>250</v>
      </c>
      <c r="O4099">
        <v>40.649494218563298</v>
      </c>
      <c r="P4099">
        <v>-0.74315243458688995</v>
      </c>
      <c r="Q4099">
        <v>0.51665967123648304</v>
      </c>
      <c r="R4099">
        <v>0.31425812425864202</v>
      </c>
      <c r="S4099" t="s">
        <v>10769</v>
      </c>
      <c r="T4099" t="s">
        <v>13338</v>
      </c>
      <c r="U4099" t="s">
        <v>13338</v>
      </c>
      <c r="V4099" t="s">
        <v>13338</v>
      </c>
      <c r="W4099" t="s">
        <v>17382</v>
      </c>
      <c r="X4099">
        <v>12</v>
      </c>
      <c r="Y4099" t="s">
        <v>23891</v>
      </c>
      <c r="Z4099" t="s">
        <v>30514</v>
      </c>
      <c r="AA4099">
        <v>0.52724267143732606</v>
      </c>
      <c r="AB4099" t="str">
        <f>HYPERLINK("Melting_Curves/meltCurve_Q6UN15_FIP1L1.pdf", "Melting_Curves/meltCurve_Q6UN15_FIP1L1.pdf")</f>
        <v>Melting_Curves/meltCurve_Q6UN15_FIP1L1.pdf</v>
      </c>
    </row>
    <row r="4100" spans="1:28" x14ac:dyDescent="0.25">
      <c r="A4100" t="s">
        <v>4104</v>
      </c>
      <c r="B4100">
        <v>0.99193492352474899</v>
      </c>
      <c r="C4100">
        <v>1.9451562857367499</v>
      </c>
      <c r="D4100">
        <v>0.89323617979756897</v>
      </c>
      <c r="E4100">
        <v>1.3488615619425199</v>
      </c>
      <c r="F4100">
        <v>0.438512874765696</v>
      </c>
      <c r="G4100">
        <v>0.31047301171912101</v>
      </c>
      <c r="H4100">
        <v>0.31667637522834802</v>
      </c>
      <c r="I4100">
        <v>0.31271531635097999</v>
      </c>
      <c r="J4100">
        <v>0.32633673094371302</v>
      </c>
      <c r="K4100">
        <v>0.54227674062381503</v>
      </c>
      <c r="L4100">
        <v>13194.177046000401</v>
      </c>
      <c r="M4100">
        <v>250</v>
      </c>
      <c r="N4100">
        <v>53.049421684617897</v>
      </c>
      <c r="O4100">
        <v>52.773330826678503</v>
      </c>
      <c r="P4100">
        <v>-0.75595051650324496</v>
      </c>
      <c r="Q4100">
        <v>0.361695573635261</v>
      </c>
      <c r="R4100">
        <v>0.61289321214400305</v>
      </c>
      <c r="S4100" t="s">
        <v>10770</v>
      </c>
      <c r="T4100" t="s">
        <v>13338</v>
      </c>
      <c r="U4100" t="s">
        <v>13338</v>
      </c>
      <c r="V4100" t="s">
        <v>13338</v>
      </c>
      <c r="W4100" t="s">
        <v>17383</v>
      </c>
      <c r="X4100">
        <v>1</v>
      </c>
      <c r="Y4100" t="s">
        <v>23892</v>
      </c>
      <c r="Z4100" t="s">
        <v>30515</v>
      </c>
      <c r="AA4100">
        <v>0.63360234113423342</v>
      </c>
      <c r="AB4100" t="str">
        <f>HYPERLINK("Melting_Curves/meltCurve_Q6UUV9_3_CRTC1.pdf", "Melting_Curves/meltCurve_Q6UUV9_3_CRTC1.pdf")</f>
        <v>Melting_Curves/meltCurve_Q6UUV9_3_CRTC1.pdf</v>
      </c>
    </row>
    <row r="4101" spans="1:28" x14ac:dyDescent="0.25">
      <c r="A4101" t="s">
        <v>4105</v>
      </c>
      <c r="B4101">
        <v>0.99193492352474899</v>
      </c>
      <c r="C4101">
        <v>0.800474418427089</v>
      </c>
      <c r="D4101">
        <v>0.58504137040092996</v>
      </c>
      <c r="E4101">
        <v>0.34839419967926</v>
      </c>
      <c r="F4101">
        <v>0.202673514102227</v>
      </c>
      <c r="G4101">
        <v>0.14079228123339699</v>
      </c>
      <c r="H4101">
        <v>8.9484904734040596E-2</v>
      </c>
      <c r="I4101">
        <v>0.11961373754297</v>
      </c>
      <c r="J4101">
        <v>0.158036725551645</v>
      </c>
      <c r="K4101">
        <v>0.14784108025723899</v>
      </c>
      <c r="L4101">
        <v>819.31349217955994</v>
      </c>
      <c r="M4101">
        <v>17.691922372614801</v>
      </c>
      <c r="N4101">
        <v>47.054147332091297</v>
      </c>
      <c r="O4101">
        <v>45.730522030362799</v>
      </c>
      <c r="P4101">
        <v>-8.4920749272354407E-2</v>
      </c>
      <c r="Q4101">
        <v>0.122025291391331</v>
      </c>
      <c r="R4101">
        <v>0.99269418726526404</v>
      </c>
      <c r="S4101" t="s">
        <v>10771</v>
      </c>
      <c r="T4101" t="s">
        <v>13338</v>
      </c>
      <c r="U4101" t="s">
        <v>13338</v>
      </c>
      <c r="V4101" t="s">
        <v>13338</v>
      </c>
      <c r="W4101" t="s">
        <v>17384</v>
      </c>
      <c r="X4101">
        <v>7</v>
      </c>
      <c r="Y4101" t="s">
        <v>23893</v>
      </c>
      <c r="Z4101" t="s">
        <v>30516</v>
      </c>
      <c r="AA4101">
        <v>0.32420956412749541</v>
      </c>
      <c r="AB4101" t="str">
        <f>HYPERLINK("Melting_Curves/meltCurve_Q6UVJ0_SASS6.pdf", "Melting_Curves/meltCurve_Q6UVJ0_SASS6.pdf")</f>
        <v>Melting_Curves/meltCurve_Q6UVJ0_SASS6.pdf</v>
      </c>
    </row>
    <row r="4102" spans="1:28" x14ac:dyDescent="0.25">
      <c r="A4102" t="s">
        <v>4106</v>
      </c>
      <c r="B4102">
        <v>0.99193492352474899</v>
      </c>
      <c r="C4102">
        <v>0.90135356781277398</v>
      </c>
      <c r="D4102">
        <v>0.93776286219337601</v>
      </c>
      <c r="E4102">
        <v>0.65192674341449497</v>
      </c>
      <c r="F4102">
        <v>0.58088171565709401</v>
      </c>
      <c r="G4102">
        <v>0.29538464558039301</v>
      </c>
      <c r="H4102">
        <v>0.20751983035125701</v>
      </c>
      <c r="I4102">
        <v>0.20289834890988201</v>
      </c>
      <c r="J4102">
        <v>0.29855897118887298</v>
      </c>
      <c r="K4102">
        <v>0.31736995887160202</v>
      </c>
      <c r="L4102">
        <v>887.87113724637402</v>
      </c>
      <c r="M4102">
        <v>17.431378706618499</v>
      </c>
      <c r="N4102">
        <v>52.898621132161601</v>
      </c>
      <c r="O4102">
        <v>50.279056800284899</v>
      </c>
      <c r="P4102">
        <v>-6.6032221442759803E-2</v>
      </c>
      <c r="Q4102">
        <v>0.23818963485573799</v>
      </c>
      <c r="R4102">
        <v>0.95797830096341796</v>
      </c>
      <c r="S4102" t="s">
        <v>10772</v>
      </c>
      <c r="T4102" t="s">
        <v>13338</v>
      </c>
      <c r="U4102" t="s">
        <v>13338</v>
      </c>
      <c r="V4102" t="s">
        <v>13338</v>
      </c>
      <c r="W4102" t="s">
        <v>17385</v>
      </c>
      <c r="X4102">
        <v>2</v>
      </c>
      <c r="Y4102" t="s">
        <v>23894</v>
      </c>
      <c r="Z4102" t="s">
        <v>30517</v>
      </c>
      <c r="AA4102">
        <v>0.52948418518182505</v>
      </c>
      <c r="AB4102" t="str">
        <f>HYPERLINK("Melting_Curves/meltCurve_Q6UW56_ATRAID.pdf", "Melting_Curves/meltCurve_Q6UW56_ATRAID.pdf")</f>
        <v>Melting_Curves/meltCurve_Q6UW56_ATRAID.pdf</v>
      </c>
    </row>
    <row r="4103" spans="1:28" x14ac:dyDescent="0.25">
      <c r="A4103" t="s">
        <v>4107</v>
      </c>
      <c r="B4103">
        <v>0.99193492352474899</v>
      </c>
      <c r="C4103">
        <v>1.018964619908</v>
      </c>
      <c r="D4103">
        <v>0.89464114816137497</v>
      </c>
      <c r="E4103">
        <v>0.63676126702451596</v>
      </c>
      <c r="F4103">
        <v>0.30632547821788098</v>
      </c>
      <c r="G4103">
        <v>0.189367647635833</v>
      </c>
      <c r="H4103">
        <v>9.8144222143166607E-2</v>
      </c>
      <c r="I4103">
        <v>0.14489779934024399</v>
      </c>
      <c r="J4103">
        <v>0.14407361657411699</v>
      </c>
      <c r="K4103">
        <v>0.23503356192151101</v>
      </c>
      <c r="L4103">
        <v>1288.8837781647101</v>
      </c>
      <c r="M4103">
        <v>25.744725114874502</v>
      </c>
      <c r="N4103">
        <v>50.782826003749797</v>
      </c>
      <c r="O4103">
        <v>49.764857630406397</v>
      </c>
      <c r="P4103">
        <v>-0.1095842937767</v>
      </c>
      <c r="Q4103">
        <v>0.152699192742416</v>
      </c>
      <c r="R4103">
        <v>0.99018674842229204</v>
      </c>
      <c r="S4103" t="s">
        <v>10773</v>
      </c>
      <c r="T4103" t="s">
        <v>13338</v>
      </c>
      <c r="U4103" t="s">
        <v>13338</v>
      </c>
      <c r="V4103" t="s">
        <v>13338</v>
      </c>
      <c r="W4103" t="s">
        <v>17386</v>
      </c>
      <c r="X4103">
        <v>6</v>
      </c>
      <c r="Y4103" t="s">
        <v>23895</v>
      </c>
      <c r="Z4103" t="s">
        <v>30518</v>
      </c>
      <c r="AA4103">
        <v>0.44408394228190451</v>
      </c>
      <c r="AB4103" t="str">
        <f>HYPERLINK("Melting_Curves/meltCurve_Q6UW63_KDELC1.pdf", "Melting_Curves/meltCurve_Q6UW63_KDELC1.pdf")</f>
        <v>Melting_Curves/meltCurve_Q6UW63_KDELC1.pdf</v>
      </c>
    </row>
    <row r="4104" spans="1:28" x14ac:dyDescent="0.25">
      <c r="A4104" t="s">
        <v>4108</v>
      </c>
      <c r="B4104">
        <v>0.99193492352474899</v>
      </c>
      <c r="C4104">
        <v>0.80458977986315805</v>
      </c>
      <c r="D4104">
        <v>0.98529269048507695</v>
      </c>
      <c r="E4104">
        <v>0.74401789483513803</v>
      </c>
      <c r="F4104">
        <v>0.530159966654138</v>
      </c>
      <c r="G4104">
        <v>0.21166391534792001</v>
      </c>
      <c r="H4104">
        <v>0.17787198450062899</v>
      </c>
      <c r="I4104">
        <v>0.28449787363610501</v>
      </c>
      <c r="J4104">
        <v>0.44194500373643902</v>
      </c>
      <c r="K4104">
        <v>0.39625624765526402</v>
      </c>
      <c r="L4104">
        <v>1439.5071546793799</v>
      </c>
      <c r="M4104">
        <v>28.3291792271907</v>
      </c>
      <c r="N4104">
        <v>52.560930680057297</v>
      </c>
      <c r="O4104">
        <v>50.562423110778496</v>
      </c>
      <c r="P4104">
        <v>-9.7344998558851398E-2</v>
      </c>
      <c r="Q4104">
        <v>0.30503358333392899</v>
      </c>
      <c r="R4104">
        <v>0.87663165751108596</v>
      </c>
      <c r="S4104" t="s">
        <v>10774</v>
      </c>
      <c r="T4104" t="s">
        <v>13338</v>
      </c>
      <c r="U4104" t="s">
        <v>13338</v>
      </c>
      <c r="V4104" t="s">
        <v>13338</v>
      </c>
      <c r="W4104" t="s">
        <v>17387</v>
      </c>
      <c r="X4104">
        <v>1</v>
      </c>
      <c r="Y4104" t="s">
        <v>23896</v>
      </c>
      <c r="Z4104" t="s">
        <v>30519</v>
      </c>
      <c r="AA4104">
        <v>0.56042237304750531</v>
      </c>
      <c r="AB4104" t="str">
        <f>HYPERLINK("Melting_Curves/meltCurve_Q6UWD8_C16orf54.pdf", "Melting_Curves/meltCurve_Q6UWD8_C16orf54.pdf")</f>
        <v>Melting_Curves/meltCurve_Q6UWD8_C16orf54.pdf</v>
      </c>
    </row>
    <row r="4105" spans="1:28" x14ac:dyDescent="0.25">
      <c r="A4105" t="s">
        <v>4109</v>
      </c>
      <c r="B4105">
        <v>0.99193492352474899</v>
      </c>
      <c r="C4105">
        <v>0.88943574525856595</v>
      </c>
      <c r="D4105">
        <v>0.85616844844674</v>
      </c>
      <c r="E4105">
        <v>0.41636698520134502</v>
      </c>
      <c r="F4105">
        <v>0.16034656639181299</v>
      </c>
      <c r="G4105">
        <v>9.6690761934039707E-2</v>
      </c>
      <c r="H4105">
        <v>6.3090325909947897E-2</v>
      </c>
      <c r="I4105">
        <v>6.2987860533925202E-2</v>
      </c>
      <c r="J4105">
        <v>6.4715047450361704E-2</v>
      </c>
      <c r="K4105">
        <v>5.8422338008829802E-2</v>
      </c>
      <c r="L4105">
        <v>1203.5337473498601</v>
      </c>
      <c r="M4105">
        <v>24.711006845326001</v>
      </c>
      <c r="N4105">
        <v>48.959259625425297</v>
      </c>
      <c r="O4105">
        <v>48.3887402588214</v>
      </c>
      <c r="P4105">
        <v>-0.119964572347087</v>
      </c>
      <c r="Q4105">
        <v>6.0361254917289199E-2</v>
      </c>
      <c r="R4105">
        <v>0.99453908995675799</v>
      </c>
      <c r="S4105" t="s">
        <v>10775</v>
      </c>
      <c r="T4105" t="s">
        <v>13338</v>
      </c>
      <c r="U4105" t="s">
        <v>13338</v>
      </c>
      <c r="V4105" t="s">
        <v>13338</v>
      </c>
      <c r="W4105" t="s">
        <v>17388</v>
      </c>
      <c r="X4105">
        <v>15</v>
      </c>
      <c r="Y4105" t="s">
        <v>23897</v>
      </c>
      <c r="Z4105" t="s">
        <v>30520</v>
      </c>
      <c r="AA4105">
        <v>0.34150935797816379</v>
      </c>
      <c r="AB4105" t="str">
        <f>HYPERLINK("Melting_Curves/meltCurve_Q6UWE0_LRSAM1.pdf", "Melting_Curves/meltCurve_Q6UWE0_LRSAM1.pdf")</f>
        <v>Melting_Curves/meltCurve_Q6UWE0_LRSAM1.pdf</v>
      </c>
    </row>
    <row r="4106" spans="1:28" x14ac:dyDescent="0.25">
      <c r="A4106" t="s">
        <v>4110</v>
      </c>
      <c r="B4106">
        <v>0.99193492352474899</v>
      </c>
      <c r="C4106">
        <v>0.92394845034367301</v>
      </c>
      <c r="D4106">
        <v>0.74227217147035196</v>
      </c>
      <c r="E4106">
        <v>0.70650952990154003</v>
      </c>
      <c r="F4106">
        <v>0.47293459390105003</v>
      </c>
      <c r="G4106">
        <v>0.48237721450899201</v>
      </c>
      <c r="H4106">
        <v>0.41719632587359701</v>
      </c>
      <c r="I4106">
        <v>0.57513459473176098</v>
      </c>
      <c r="J4106">
        <v>0.44609287321644397</v>
      </c>
      <c r="K4106">
        <v>0.62711639805492903</v>
      </c>
      <c r="L4106">
        <v>899.41872132844901</v>
      </c>
      <c r="M4106">
        <v>19.306419882387701</v>
      </c>
      <c r="O4106">
        <v>46.095332775454999</v>
      </c>
      <c r="P4106">
        <v>-5.2148437043879399E-2</v>
      </c>
      <c r="Q4106">
        <v>0.50198750020585103</v>
      </c>
      <c r="R4106">
        <v>0.87009644396343899</v>
      </c>
      <c r="S4106" t="s">
        <v>10776</v>
      </c>
      <c r="T4106" t="s">
        <v>13338</v>
      </c>
      <c r="U4106" t="s">
        <v>13338</v>
      </c>
      <c r="V4106" t="s">
        <v>13338</v>
      </c>
      <c r="W4106" t="s">
        <v>17389</v>
      </c>
      <c r="X4106">
        <v>2</v>
      </c>
      <c r="Y4106" t="s">
        <v>23898</v>
      </c>
      <c r="Z4106" t="s">
        <v>30521</v>
      </c>
      <c r="AA4106">
        <v>0.61936744880166439</v>
      </c>
      <c r="AB4106" t="str">
        <f>HYPERLINK("Melting_Curves/meltCurve_Q6UWI4_SHISA2.pdf", "Melting_Curves/meltCurve_Q6UWI4_SHISA2.pdf")</f>
        <v>Melting_Curves/meltCurve_Q6UWI4_SHISA2.pdf</v>
      </c>
    </row>
    <row r="4107" spans="1:28" x14ac:dyDescent="0.25">
      <c r="A4107" t="s">
        <v>4111</v>
      </c>
      <c r="B4107">
        <v>0.99193492352474899</v>
      </c>
      <c r="C4107">
        <v>1.01756781883545</v>
      </c>
      <c r="D4107">
        <v>0.93504749686844602</v>
      </c>
      <c r="E4107">
        <v>0.87931371461865404</v>
      </c>
      <c r="F4107">
        <v>0.65511346597688602</v>
      </c>
      <c r="G4107">
        <v>0.19758034950112399</v>
      </c>
      <c r="H4107">
        <v>0.124040026775628</v>
      </c>
      <c r="I4107">
        <v>0.13733521789846301</v>
      </c>
      <c r="J4107">
        <v>0.134631309004624</v>
      </c>
      <c r="K4107">
        <v>0.18124567224305899</v>
      </c>
      <c r="L4107">
        <v>1884.7345874899299</v>
      </c>
      <c r="M4107">
        <v>35.179665790689199</v>
      </c>
      <c r="N4107">
        <v>54.054510069994301</v>
      </c>
      <c r="O4107">
        <v>53.402316792887802</v>
      </c>
      <c r="P4107">
        <v>-0.14259988161961001</v>
      </c>
      <c r="Q4107">
        <v>0.13414325073449099</v>
      </c>
      <c r="R4107">
        <v>0.98974518981564297</v>
      </c>
      <c r="S4107" t="s">
        <v>10777</v>
      </c>
      <c r="T4107" t="s">
        <v>13338</v>
      </c>
      <c r="U4107" t="s">
        <v>13338</v>
      </c>
      <c r="V4107" t="s">
        <v>13338</v>
      </c>
      <c r="W4107" t="s">
        <v>17390</v>
      </c>
      <c r="X4107">
        <v>5</v>
      </c>
      <c r="Y4107" t="s">
        <v>23899</v>
      </c>
      <c r="Z4107" t="s">
        <v>30522</v>
      </c>
      <c r="AA4107">
        <v>0.53006675603513975</v>
      </c>
      <c r="AB4107" t="str">
        <f>HYPERLINK("Melting_Curves/meltCurve_Q6UWP2_DHRS11.pdf", "Melting_Curves/meltCurve_Q6UWP2_DHRS11.pdf")</f>
        <v>Melting_Curves/meltCurve_Q6UWP2_DHRS11.pdf</v>
      </c>
    </row>
    <row r="4108" spans="1:28" x14ac:dyDescent="0.25">
      <c r="A4108" t="s">
        <v>4112</v>
      </c>
      <c r="B4108">
        <v>0.99193492352474899</v>
      </c>
      <c r="C4108">
        <v>1.0816961580834099</v>
      </c>
      <c r="D4108">
        <v>1.0919437709089299</v>
      </c>
      <c r="E4108">
        <v>0.94287303221398799</v>
      </c>
      <c r="F4108">
        <v>0.74224817576917901</v>
      </c>
      <c r="G4108">
        <v>0.48747015417280298</v>
      </c>
      <c r="H4108">
        <v>0.21740040048128101</v>
      </c>
      <c r="I4108">
        <v>0.156333771946394</v>
      </c>
      <c r="J4108">
        <v>0.14299246097627399</v>
      </c>
      <c r="K4108">
        <v>0.173810423681662</v>
      </c>
      <c r="L4108">
        <v>1293.8729009292099</v>
      </c>
      <c r="M4108">
        <v>23.313918079233702</v>
      </c>
      <c r="N4108">
        <v>56.270173801500299</v>
      </c>
      <c r="O4108">
        <v>55.094415092668797</v>
      </c>
      <c r="P4108">
        <v>-9.1308083014953703E-2</v>
      </c>
      <c r="Q4108">
        <v>0.136914804262218</v>
      </c>
      <c r="R4108">
        <v>0.98669614516808801</v>
      </c>
      <c r="S4108" t="s">
        <v>10778</v>
      </c>
      <c r="T4108" t="s">
        <v>13338</v>
      </c>
      <c r="U4108" t="s">
        <v>13338</v>
      </c>
      <c r="V4108" t="s">
        <v>13338</v>
      </c>
      <c r="W4108" t="s">
        <v>17391</v>
      </c>
      <c r="X4108">
        <v>9</v>
      </c>
      <c r="Y4108" t="s">
        <v>23900</v>
      </c>
      <c r="Z4108" t="s">
        <v>30523</v>
      </c>
      <c r="AA4108">
        <v>0.59172999057915232</v>
      </c>
      <c r="AB4108" t="str">
        <f>HYPERLINK("Melting_Curves/meltCurve_Q6UWP7_3_LCLAT1.pdf", "Melting_Curves/meltCurve_Q6UWP7_3_LCLAT1.pdf")</f>
        <v>Melting_Curves/meltCurve_Q6UWP7_3_LCLAT1.pdf</v>
      </c>
    </row>
    <row r="4109" spans="1:28" x14ac:dyDescent="0.25">
      <c r="A4109" t="s">
        <v>4113</v>
      </c>
      <c r="B4109">
        <v>0.99193492352474899</v>
      </c>
      <c r="C4109">
        <v>0.72664642486176301</v>
      </c>
      <c r="D4109">
        <v>0.92065863286794702</v>
      </c>
      <c r="E4109">
        <v>0.64351388647720098</v>
      </c>
      <c r="F4109">
        <v>0.69577616319383395</v>
      </c>
      <c r="G4109">
        <v>0.29087710029981101</v>
      </c>
      <c r="H4109">
        <v>0.30005877537512099</v>
      </c>
      <c r="I4109">
        <v>0.26166320985876501</v>
      </c>
      <c r="J4109">
        <v>0.39671683081432602</v>
      </c>
      <c r="K4109">
        <v>0.39562134410705901</v>
      </c>
      <c r="L4109">
        <v>586.15460633020496</v>
      </c>
      <c r="M4109">
        <v>11.6530595437277</v>
      </c>
      <c r="N4109">
        <v>54.248797282732298</v>
      </c>
      <c r="O4109">
        <v>48.887681657141798</v>
      </c>
      <c r="P4109">
        <v>-4.2565900270137298E-2</v>
      </c>
      <c r="Q4109">
        <v>0.285891836937396</v>
      </c>
      <c r="R4109">
        <v>0.81903647458306195</v>
      </c>
      <c r="S4109" t="s">
        <v>10779</v>
      </c>
      <c r="T4109" t="s">
        <v>13338</v>
      </c>
      <c r="U4109" t="s">
        <v>13338</v>
      </c>
      <c r="V4109" t="s">
        <v>13338</v>
      </c>
      <c r="W4109" t="s">
        <v>17392</v>
      </c>
      <c r="X4109">
        <v>2</v>
      </c>
      <c r="Y4109" t="s">
        <v>23901</v>
      </c>
      <c r="Z4109" t="s">
        <v>30524</v>
      </c>
      <c r="AA4109">
        <v>0.55646530753759038</v>
      </c>
      <c r="AB4109" t="str">
        <f>HYPERLINK("Melting_Curves/meltCurve_Q6UWS5_PET117.pdf", "Melting_Curves/meltCurve_Q6UWS5_PET117.pdf")</f>
        <v>Melting_Curves/meltCurve_Q6UWS5_PET117.pdf</v>
      </c>
    </row>
    <row r="4110" spans="1:28" x14ac:dyDescent="0.25">
      <c r="A4110" t="s">
        <v>4114</v>
      </c>
      <c r="B4110">
        <v>0.99193492352474899</v>
      </c>
      <c r="C4110">
        <v>0.95987118242769598</v>
      </c>
      <c r="D4110">
        <v>0.80775804909530202</v>
      </c>
      <c r="E4110">
        <v>0.87299181452292396</v>
      </c>
      <c r="F4110">
        <v>0.54745069021044002</v>
      </c>
      <c r="G4110">
        <v>0.341964802846493</v>
      </c>
      <c r="H4110">
        <v>0.16056053872568801</v>
      </c>
      <c r="I4110">
        <v>0.14167461754197599</v>
      </c>
      <c r="J4110">
        <v>0.128345093442576</v>
      </c>
      <c r="K4110">
        <v>0.14576346783138699</v>
      </c>
      <c r="L4110">
        <v>864.14882414833005</v>
      </c>
      <c r="M4110">
        <v>16.205818305381701</v>
      </c>
      <c r="N4110">
        <v>54.010888020106002</v>
      </c>
      <c r="O4110">
        <v>52.531251361884998</v>
      </c>
      <c r="P4110">
        <v>-6.9941795620081695E-2</v>
      </c>
      <c r="Q4110">
        <v>9.3200745546103705E-2</v>
      </c>
      <c r="R4110">
        <v>0.97831710307126796</v>
      </c>
      <c r="S4110" t="s">
        <v>10780</v>
      </c>
      <c r="T4110" t="s">
        <v>13338</v>
      </c>
      <c r="U4110" t="s">
        <v>13338</v>
      </c>
      <c r="V4110" t="s">
        <v>13338</v>
      </c>
      <c r="W4110" t="s">
        <v>17393</v>
      </c>
      <c r="X4110">
        <v>2</v>
      </c>
      <c r="Y4110" t="s">
        <v>23902</v>
      </c>
      <c r="Z4110" t="s">
        <v>30525</v>
      </c>
      <c r="AA4110">
        <v>0.51319558235775586</v>
      </c>
      <c r="AB4110" t="str">
        <f>HYPERLINK("Melting_Curves/meltCurve_Q6UWU4_C6orf89.pdf", "Melting_Curves/meltCurve_Q6UWU4_C6orf89.pdf")</f>
        <v>Melting_Curves/meltCurve_Q6UWU4_C6orf89.pdf</v>
      </c>
    </row>
    <row r="4111" spans="1:28" x14ac:dyDescent="0.25">
      <c r="A4111" t="s">
        <v>4115</v>
      </c>
      <c r="B4111">
        <v>0.99193492352474899</v>
      </c>
      <c r="C4111">
        <v>0.86300193237407197</v>
      </c>
      <c r="D4111">
        <v>0.81654075923178704</v>
      </c>
      <c r="E4111">
        <v>0.35517058780137101</v>
      </c>
      <c r="F4111">
        <v>0.22764265970084699</v>
      </c>
      <c r="G4111">
        <v>0.14532976694546301</v>
      </c>
      <c r="H4111">
        <v>0.111540048522052</v>
      </c>
      <c r="I4111">
        <v>0.129593576848408</v>
      </c>
      <c r="J4111">
        <v>0.16516092622053</v>
      </c>
      <c r="K4111">
        <v>0.24406265305147601</v>
      </c>
      <c r="L4111">
        <v>1270.40895841508</v>
      </c>
      <c r="M4111">
        <v>26.6295572679978</v>
      </c>
      <c r="N4111">
        <v>48.3938134346513</v>
      </c>
      <c r="O4111">
        <v>47.440131163874398</v>
      </c>
      <c r="P4111">
        <v>-0.11824352751768299</v>
      </c>
      <c r="Q4111">
        <v>0.15741303353637101</v>
      </c>
      <c r="R4111">
        <v>0.97786282200709296</v>
      </c>
      <c r="S4111" t="s">
        <v>10781</v>
      </c>
      <c r="T4111" t="s">
        <v>13338</v>
      </c>
      <c r="U4111" t="s">
        <v>13338</v>
      </c>
      <c r="V4111" t="s">
        <v>13338</v>
      </c>
      <c r="W4111" t="s">
        <v>17394</v>
      </c>
      <c r="X4111">
        <v>12</v>
      </c>
      <c r="Y4111" t="s">
        <v>23903</v>
      </c>
      <c r="Z4111" t="s">
        <v>30526</v>
      </c>
      <c r="AA4111">
        <v>0.3803800310466684</v>
      </c>
      <c r="AB4111" t="str">
        <f>HYPERLINK("Melting_Curves/meltCurve_Q6UX04_CWC27.pdf", "Melting_Curves/meltCurve_Q6UX04_CWC27.pdf")</f>
        <v>Melting_Curves/meltCurve_Q6UX04_CWC27.pdf</v>
      </c>
    </row>
    <row r="4112" spans="1:28" x14ac:dyDescent="0.25">
      <c r="A4112" t="s">
        <v>4116</v>
      </c>
      <c r="B4112">
        <v>0.99193492352474899</v>
      </c>
      <c r="C4112">
        <v>0.83504251078150105</v>
      </c>
      <c r="D4112">
        <v>0.45949248867237202</v>
      </c>
      <c r="E4112">
        <v>0.161758307242135</v>
      </c>
      <c r="F4112">
        <v>0.15261113650800501</v>
      </c>
      <c r="G4112">
        <v>4.2297039312413597E-2</v>
      </c>
      <c r="H4112">
        <v>0</v>
      </c>
      <c r="I4112">
        <v>0</v>
      </c>
      <c r="J4112">
        <v>0</v>
      </c>
      <c r="K4112">
        <v>0</v>
      </c>
      <c r="L4112">
        <v>993.48196087107999</v>
      </c>
      <c r="M4112">
        <v>21.6908385635295</v>
      </c>
      <c r="N4112">
        <v>45.875803830029703</v>
      </c>
      <c r="O4112">
        <v>45.417948612933699</v>
      </c>
      <c r="P4112">
        <v>-0.11734902988033299</v>
      </c>
      <c r="Q4112">
        <v>1.7165438638469501E-2</v>
      </c>
      <c r="R4112">
        <v>0.990458350444128</v>
      </c>
      <c r="S4112" t="s">
        <v>10782</v>
      </c>
      <c r="T4112" t="s">
        <v>13338</v>
      </c>
      <c r="U4112" t="s">
        <v>13338</v>
      </c>
      <c r="V4112" t="s">
        <v>13338</v>
      </c>
      <c r="W4112" t="s">
        <v>17395</v>
      </c>
      <c r="X4112">
        <v>1</v>
      </c>
      <c r="Y4112" t="s">
        <v>23904</v>
      </c>
      <c r="Z4112" t="s">
        <v>30527</v>
      </c>
      <c r="AA4112">
        <v>0.220021077241911</v>
      </c>
      <c r="AB4112" t="str">
        <f>HYPERLINK("Melting_Curves/meltCurve_Q6UX07_DHRS13.pdf", "Melting_Curves/meltCurve_Q6UX07_DHRS13.pdf")</f>
        <v>Melting_Curves/meltCurve_Q6UX07_DHRS13.pdf</v>
      </c>
    </row>
    <row r="4113" spans="1:28" x14ac:dyDescent="0.25">
      <c r="A4113" t="s">
        <v>4117</v>
      </c>
      <c r="B4113">
        <v>0.99193492352474899</v>
      </c>
      <c r="C4113">
        <v>0.859905491746359</v>
      </c>
      <c r="D4113">
        <v>0.75792999881245704</v>
      </c>
      <c r="E4113">
        <v>0.74171018876572103</v>
      </c>
      <c r="F4113">
        <v>0.56834655373183396</v>
      </c>
      <c r="G4113">
        <v>0.28675127949687801</v>
      </c>
      <c r="H4113">
        <v>0.18321745168428399</v>
      </c>
      <c r="I4113">
        <v>0.110011421622923</v>
      </c>
      <c r="J4113">
        <v>8.5090544956428801E-2</v>
      </c>
      <c r="K4113">
        <v>7.8686614187115006E-2</v>
      </c>
      <c r="L4113">
        <v>570.43355724775995</v>
      </c>
      <c r="M4113">
        <v>10.745100022155301</v>
      </c>
      <c r="N4113">
        <v>53.087783025356799</v>
      </c>
      <c r="O4113">
        <v>51.348187510241097</v>
      </c>
      <c r="P4113">
        <v>-5.2334231321720499E-2</v>
      </c>
      <c r="Q4113">
        <v>0</v>
      </c>
      <c r="R4113">
        <v>0.97860352968003095</v>
      </c>
      <c r="S4113" t="s">
        <v>10783</v>
      </c>
      <c r="T4113" t="s">
        <v>13338</v>
      </c>
      <c r="U4113" t="s">
        <v>13338</v>
      </c>
      <c r="V4113" t="s">
        <v>13338</v>
      </c>
      <c r="W4113" t="s">
        <v>17396</v>
      </c>
      <c r="X4113">
        <v>1</v>
      </c>
      <c r="Y4113" t="s">
        <v>23905</v>
      </c>
      <c r="Z4113" t="s">
        <v>30528</v>
      </c>
      <c r="AA4113">
        <v>0.46795246631944631</v>
      </c>
      <c r="AB4113" t="str">
        <f>HYPERLINK("Melting_Curves/meltCurve_Q6UX98_ZDHHC24.pdf", "Melting_Curves/meltCurve_Q6UX98_ZDHHC24.pdf")</f>
        <v>Melting_Curves/meltCurve_Q6UX98_ZDHHC24.pdf</v>
      </c>
    </row>
    <row r="4114" spans="1:28" x14ac:dyDescent="0.25">
      <c r="A4114" t="s">
        <v>4118</v>
      </c>
      <c r="B4114">
        <v>0.99193492352474899</v>
      </c>
      <c r="C4114">
        <v>1.06144981052844</v>
      </c>
      <c r="D4114">
        <v>0.95642766767089105</v>
      </c>
      <c r="E4114">
        <v>0.92066936051861903</v>
      </c>
      <c r="F4114">
        <v>0.59165820576525296</v>
      </c>
      <c r="G4114">
        <v>0.47608586232231298</v>
      </c>
      <c r="H4114">
        <v>0.370078284981668</v>
      </c>
      <c r="I4114">
        <v>0.45747441212414103</v>
      </c>
      <c r="J4114">
        <v>0.41626404989146099</v>
      </c>
      <c r="K4114">
        <v>0.42857395852741498</v>
      </c>
      <c r="L4114">
        <v>1839.4357045004899</v>
      </c>
      <c r="M4114">
        <v>35.383523134115897</v>
      </c>
      <c r="N4114">
        <v>54.869953653131901</v>
      </c>
      <c r="O4114">
        <v>51.820447026113499</v>
      </c>
      <c r="P4114">
        <v>-9.8638839835815298E-2</v>
      </c>
      <c r="Q4114">
        <v>0.42216138338655801</v>
      </c>
      <c r="R4114">
        <v>0.98501611676492695</v>
      </c>
      <c r="S4114" t="s">
        <v>10784</v>
      </c>
      <c r="T4114" t="s">
        <v>13338</v>
      </c>
      <c r="U4114" t="s">
        <v>13338</v>
      </c>
      <c r="V4114" t="s">
        <v>13338</v>
      </c>
      <c r="W4114" t="s">
        <v>17397</v>
      </c>
      <c r="X4114">
        <v>10</v>
      </c>
      <c r="Y4114" t="s">
        <v>23906</v>
      </c>
      <c r="Z4114" t="s">
        <v>30529</v>
      </c>
      <c r="AA4114">
        <v>0.65567572601579893</v>
      </c>
      <c r="AB4114" t="str">
        <f>HYPERLINK("Melting_Curves/meltCurve_Q6UXB8_2_PI16.pdf", "Melting_Curves/meltCurve_Q6UXB8_2_PI16.pdf")</f>
        <v>Melting_Curves/meltCurve_Q6UXB8_2_PI16.pdf</v>
      </c>
    </row>
    <row r="4115" spans="1:28" x14ac:dyDescent="0.25">
      <c r="A4115" t="s">
        <v>4119</v>
      </c>
      <c r="B4115">
        <v>0.99193492352474899</v>
      </c>
      <c r="C4115">
        <v>1.0382651057280701</v>
      </c>
      <c r="D4115">
        <v>0.93637751255226098</v>
      </c>
      <c r="E4115">
        <v>0.79509917867792401</v>
      </c>
      <c r="F4115">
        <v>0.60245026761166598</v>
      </c>
      <c r="G4115">
        <v>0.4517082208473</v>
      </c>
      <c r="H4115">
        <v>0.273002650236501</v>
      </c>
      <c r="I4115">
        <v>0.28723471516618199</v>
      </c>
      <c r="J4115">
        <v>0.26632098389528602</v>
      </c>
      <c r="K4115">
        <v>0.25438366309586602</v>
      </c>
      <c r="L4115">
        <v>879.60144854368696</v>
      </c>
      <c r="M4115">
        <v>16.623985643547499</v>
      </c>
      <c r="N4115">
        <v>55.043389540785803</v>
      </c>
      <c r="O4115">
        <v>52.163697392179699</v>
      </c>
      <c r="P4115">
        <v>-6.07649677591212E-2</v>
      </c>
      <c r="Q4115">
        <v>0.237363933728302</v>
      </c>
      <c r="R4115">
        <v>0.99361836610028798</v>
      </c>
      <c r="S4115" t="s">
        <v>10785</v>
      </c>
      <c r="T4115" t="s">
        <v>13338</v>
      </c>
      <c r="U4115" t="s">
        <v>13338</v>
      </c>
      <c r="V4115" t="s">
        <v>13338</v>
      </c>
      <c r="W4115" t="s">
        <v>17398</v>
      </c>
      <c r="X4115">
        <v>9</v>
      </c>
      <c r="Y4115" t="s">
        <v>23907</v>
      </c>
      <c r="Z4115" t="s">
        <v>30530</v>
      </c>
      <c r="AA4115">
        <v>0.57976107390664822</v>
      </c>
      <c r="AB4115" t="str">
        <f>HYPERLINK("Melting_Curves/meltCurve_Q6UXD5_3_SEZ6L2.pdf", "Melting_Curves/meltCurve_Q6UXD5_3_SEZ6L2.pdf")</f>
        <v>Melting_Curves/meltCurve_Q6UXD5_3_SEZ6L2.pdf</v>
      </c>
    </row>
    <row r="4116" spans="1:28" x14ac:dyDescent="0.25">
      <c r="A4116" t="s">
        <v>4120</v>
      </c>
      <c r="B4116">
        <v>0.99193492352474899</v>
      </c>
      <c r="C4116">
        <v>0.80917146812922902</v>
      </c>
      <c r="D4116">
        <v>0.90523659760422504</v>
      </c>
      <c r="E4116">
        <v>0.80350921659458197</v>
      </c>
      <c r="F4116">
        <v>0.75479797538405802</v>
      </c>
      <c r="G4116">
        <v>0.51024825285489095</v>
      </c>
      <c r="H4116">
        <v>0.40012327538209802</v>
      </c>
      <c r="I4116">
        <v>0.55714327490909998</v>
      </c>
      <c r="J4116">
        <v>0.65436135103493898</v>
      </c>
      <c r="K4116">
        <v>1.02320273859885</v>
      </c>
      <c r="L4116">
        <v>717.06196110861902</v>
      </c>
      <c r="M4116">
        <v>15.308353156602999</v>
      </c>
      <c r="O4116">
        <v>46.063722651944502</v>
      </c>
      <c r="P4116">
        <v>-2.9717787600872399E-2</v>
      </c>
      <c r="Q4116">
        <v>0.64234317704498001</v>
      </c>
      <c r="R4116">
        <v>0.31972788528643997</v>
      </c>
      <c r="S4116" t="s">
        <v>10786</v>
      </c>
      <c r="T4116" t="s">
        <v>13338</v>
      </c>
      <c r="U4116" t="s">
        <v>13338</v>
      </c>
      <c r="V4116" t="s">
        <v>13338</v>
      </c>
      <c r="W4116" t="s">
        <v>17399</v>
      </c>
      <c r="X4116">
        <v>8</v>
      </c>
      <c r="Y4116" t="s">
        <v>23908</v>
      </c>
      <c r="Z4116" t="s">
        <v>30531</v>
      </c>
      <c r="AA4116">
        <v>0.73331379230230609</v>
      </c>
      <c r="AB4116" t="str">
        <f>HYPERLINK("Melting_Curves/meltCurve_Q6UXH1_4_CRELD2.pdf", "Melting_Curves/meltCurve_Q6UXH1_4_CRELD2.pdf")</f>
        <v>Melting_Curves/meltCurve_Q6UXH1_4_CRELD2.pdf</v>
      </c>
    </row>
    <row r="4117" spans="1:28" x14ac:dyDescent="0.25">
      <c r="A4117" t="s">
        <v>4121</v>
      </c>
      <c r="B4117">
        <v>0.99193492352474899</v>
      </c>
      <c r="C4117">
        <v>0.80613241952927905</v>
      </c>
      <c r="D4117">
        <v>0.86262884589251398</v>
      </c>
      <c r="E4117">
        <v>0.68685211514155198</v>
      </c>
      <c r="F4117">
        <v>0.58119721678187497</v>
      </c>
      <c r="G4117">
        <v>0.35781280563443302</v>
      </c>
      <c r="H4117">
        <v>0.14445886480838199</v>
      </c>
      <c r="I4117">
        <v>9.9373787365067398E-2</v>
      </c>
      <c r="J4117">
        <v>0.108838048033905</v>
      </c>
      <c r="K4117">
        <v>9.8667668872273101E-2</v>
      </c>
      <c r="L4117">
        <v>572.77060269726496</v>
      </c>
      <c r="M4117">
        <v>10.731505197168</v>
      </c>
      <c r="N4117">
        <v>53.372810364264701</v>
      </c>
      <c r="O4117">
        <v>51.619652314582297</v>
      </c>
      <c r="P4117">
        <v>-5.1993209687640998E-2</v>
      </c>
      <c r="Q4117">
        <v>0</v>
      </c>
      <c r="R4117">
        <v>0.97390667232478501</v>
      </c>
      <c r="S4117" t="s">
        <v>10787</v>
      </c>
      <c r="T4117" t="s">
        <v>13338</v>
      </c>
      <c r="U4117" t="s">
        <v>13338</v>
      </c>
      <c r="V4117" t="s">
        <v>13338</v>
      </c>
      <c r="W4117" t="s">
        <v>17400</v>
      </c>
      <c r="X4117">
        <v>17</v>
      </c>
      <c r="Y4117" t="s">
        <v>23909</v>
      </c>
      <c r="Z4117" t="s">
        <v>30532</v>
      </c>
      <c r="AA4117">
        <v>0.47657254877313632</v>
      </c>
      <c r="AB4117" t="str">
        <f>HYPERLINK("Melting_Curves/meltCurve_Q6UXN9_WDR82.pdf", "Melting_Curves/meltCurve_Q6UXN9_WDR82.pdf")</f>
        <v>Melting_Curves/meltCurve_Q6UXN9_WDR82.pdf</v>
      </c>
    </row>
    <row r="4118" spans="1:28" x14ac:dyDescent="0.25">
      <c r="A4118" t="s">
        <v>4122</v>
      </c>
      <c r="B4118">
        <v>0.99193492352474899</v>
      </c>
      <c r="C4118">
        <v>0.96579188023156004</v>
      </c>
      <c r="D4118">
        <v>1.10606532347826</v>
      </c>
      <c r="E4118">
        <v>0.930888683821956</v>
      </c>
      <c r="F4118">
        <v>0.88104527170663705</v>
      </c>
      <c r="G4118">
        <v>0.72177234349630703</v>
      </c>
      <c r="H4118">
        <v>0.55056836080119798</v>
      </c>
      <c r="I4118">
        <v>0.54655286120193103</v>
      </c>
      <c r="J4118">
        <v>0.64158027266908402</v>
      </c>
      <c r="K4118">
        <v>0.77195616597724304</v>
      </c>
      <c r="L4118">
        <v>1845.8884501735699</v>
      </c>
      <c r="M4118">
        <v>33.996020095358702</v>
      </c>
      <c r="O4118">
        <v>54.110348145055802</v>
      </c>
      <c r="P4118">
        <v>-5.8112816944312203E-2</v>
      </c>
      <c r="Q4118">
        <v>0.63001643550328901</v>
      </c>
      <c r="R4118">
        <v>0.84743706863846102</v>
      </c>
      <c r="S4118" t="s">
        <v>10788</v>
      </c>
      <c r="T4118" t="s">
        <v>13338</v>
      </c>
      <c r="U4118" t="s">
        <v>13338</v>
      </c>
      <c r="V4118" t="s">
        <v>13338</v>
      </c>
      <c r="W4118" t="s">
        <v>17401</v>
      </c>
      <c r="X4118">
        <v>11</v>
      </c>
      <c r="Y4118" t="s">
        <v>23910</v>
      </c>
      <c r="Z4118" t="s">
        <v>30533</v>
      </c>
      <c r="AA4118">
        <v>0.80825297278571739</v>
      </c>
      <c r="AB4118" t="str">
        <f>HYPERLINK("Melting_Curves/meltCurve_Q6UXV4_APOOL.pdf", "Melting_Curves/meltCurve_Q6UXV4_APOOL.pdf")</f>
        <v>Melting_Curves/meltCurve_Q6UXV4_APOOL.pdf</v>
      </c>
    </row>
    <row r="4119" spans="1:28" x14ac:dyDescent="0.25">
      <c r="A4119" t="s">
        <v>4123</v>
      </c>
      <c r="B4119">
        <v>0.99193492352474899</v>
      </c>
      <c r="C4119">
        <v>0.82831769029547297</v>
      </c>
      <c r="D4119">
        <v>1.0043850952565601</v>
      </c>
      <c r="E4119">
        <v>0.69403533086573699</v>
      </c>
      <c r="F4119">
        <v>0.62807164083425804</v>
      </c>
      <c r="G4119">
        <v>0.43666993665435899</v>
      </c>
      <c r="H4119">
        <v>0.15792587553666201</v>
      </c>
      <c r="I4119">
        <v>0.16827212732578101</v>
      </c>
      <c r="J4119">
        <v>0.17674819000570299</v>
      </c>
      <c r="K4119">
        <v>0.18395444887647799</v>
      </c>
      <c r="L4119">
        <v>706.93064084333605</v>
      </c>
      <c r="M4119">
        <v>13.1841780596944</v>
      </c>
      <c r="N4119">
        <v>54.531125943149</v>
      </c>
      <c r="O4119">
        <v>52.4310306484088</v>
      </c>
      <c r="P4119">
        <v>-5.66570450468174E-2</v>
      </c>
      <c r="Q4119">
        <v>9.88920469991727E-2</v>
      </c>
      <c r="R4119">
        <v>0.95200441463243102</v>
      </c>
      <c r="S4119" t="s">
        <v>10789</v>
      </c>
      <c r="T4119" t="s">
        <v>13338</v>
      </c>
      <c r="U4119" t="s">
        <v>13338</v>
      </c>
      <c r="V4119" t="s">
        <v>13338</v>
      </c>
      <c r="W4119" t="s">
        <v>17402</v>
      </c>
      <c r="X4119">
        <v>7</v>
      </c>
      <c r="Y4119" t="s">
        <v>23911</v>
      </c>
      <c r="Z4119" t="s">
        <v>30534</v>
      </c>
      <c r="AA4119">
        <v>0.53003265442837943</v>
      </c>
      <c r="AB4119" t="str">
        <f>HYPERLINK("Melting_Curves/meltCurve_Q6V1X1_3_DPP8.pdf", "Melting_Curves/meltCurve_Q6V1X1_3_DPP8.pdf")</f>
        <v>Melting_Curves/meltCurve_Q6V1X1_3_DPP8.pdf</v>
      </c>
    </row>
    <row r="4120" spans="1:28" x14ac:dyDescent="0.25">
      <c r="A4120" t="s">
        <v>4124</v>
      </c>
      <c r="B4120">
        <v>0.99193492352474899</v>
      </c>
      <c r="C4120">
        <v>0.87909478365223803</v>
      </c>
      <c r="D4120">
        <v>0.81523215638016899</v>
      </c>
      <c r="E4120">
        <v>0.57616534609859005</v>
      </c>
      <c r="F4120">
        <v>0.373957775750274</v>
      </c>
      <c r="G4120">
        <v>0.23493470573052799</v>
      </c>
      <c r="H4120">
        <v>8.0209374540376299E-2</v>
      </c>
      <c r="I4120">
        <v>8.7348066666604302E-2</v>
      </c>
      <c r="J4120">
        <v>9.7127528771305996E-2</v>
      </c>
      <c r="K4120">
        <v>8.9485242257867997E-2</v>
      </c>
      <c r="L4120">
        <v>686.16555887161701</v>
      </c>
      <c r="M4120">
        <v>13.596336862710301</v>
      </c>
      <c r="N4120">
        <v>50.836107857324798</v>
      </c>
      <c r="O4120">
        <v>49.412756216450198</v>
      </c>
      <c r="P4120">
        <v>-6.5565639117155003E-2</v>
      </c>
      <c r="Q4120">
        <v>4.7008481569981803E-2</v>
      </c>
      <c r="R4120">
        <v>0.99463416711976504</v>
      </c>
      <c r="S4120" t="s">
        <v>10790</v>
      </c>
      <c r="T4120" t="s">
        <v>13338</v>
      </c>
      <c r="U4120" t="s">
        <v>13338</v>
      </c>
      <c r="V4120" t="s">
        <v>13338</v>
      </c>
      <c r="W4120" t="s">
        <v>17403</v>
      </c>
      <c r="X4120">
        <v>7</v>
      </c>
      <c r="Y4120" t="s">
        <v>23912</v>
      </c>
      <c r="Z4120" t="s">
        <v>30535</v>
      </c>
      <c r="AA4120">
        <v>0.40589673999342862</v>
      </c>
      <c r="AB4120" t="str">
        <f>HYPERLINK("Melting_Curves/meltCurve_Q6VY07_PACS1.pdf", "Melting_Curves/meltCurve_Q6VY07_PACS1.pdf")</f>
        <v>Melting_Curves/meltCurve_Q6VY07_PACS1.pdf</v>
      </c>
    </row>
    <row r="4121" spans="1:28" x14ac:dyDescent="0.25">
      <c r="A4121" t="s">
        <v>4125</v>
      </c>
      <c r="B4121">
        <v>0.99193492352474899</v>
      </c>
      <c r="C4121">
        <v>1.3600871719401799</v>
      </c>
      <c r="D4121">
        <v>0.52139551053908795</v>
      </c>
      <c r="E4121">
        <v>0.95741417877397705</v>
      </c>
      <c r="F4121">
        <v>0.52990498345896997</v>
      </c>
      <c r="G4121">
        <v>0.34445832240296198</v>
      </c>
      <c r="H4121">
        <v>0.44556908513805998</v>
      </c>
      <c r="I4121">
        <v>0.460411318698975</v>
      </c>
      <c r="J4121">
        <v>0.51077560954036505</v>
      </c>
      <c r="K4121">
        <v>0.81872097773758101</v>
      </c>
      <c r="L4121">
        <v>1011.40110040344</v>
      </c>
      <c r="M4121">
        <v>20.871704639381299</v>
      </c>
      <c r="O4121">
        <v>48.019739934007099</v>
      </c>
      <c r="P4121">
        <v>-5.2132753314826398E-2</v>
      </c>
      <c r="Q4121">
        <v>0.52024375185615901</v>
      </c>
      <c r="R4121">
        <v>0.48460870552608798</v>
      </c>
      <c r="S4121" t="s">
        <v>10791</v>
      </c>
      <c r="T4121" t="s">
        <v>13338</v>
      </c>
      <c r="U4121" t="s">
        <v>13338</v>
      </c>
      <c r="V4121" t="s">
        <v>13338</v>
      </c>
      <c r="W4121" t="s">
        <v>17404</v>
      </c>
      <c r="X4121">
        <v>2</v>
      </c>
      <c r="Y4121" t="s">
        <v>23913</v>
      </c>
      <c r="Z4121" t="s">
        <v>30536</v>
      </c>
      <c r="AA4121">
        <v>0.6616911781714705</v>
      </c>
      <c r="AB4121" t="str">
        <f>HYPERLINK("Melting_Curves/meltCurve_Q6W2J9_4_BCOR.pdf", "Melting_Curves/meltCurve_Q6W2J9_4_BCOR.pdf")</f>
        <v>Melting_Curves/meltCurve_Q6W2J9_4_BCOR.pdf</v>
      </c>
    </row>
    <row r="4122" spans="1:28" x14ac:dyDescent="0.25">
      <c r="A4122" t="s">
        <v>4126</v>
      </c>
      <c r="B4122">
        <v>0.99193492352474899</v>
      </c>
      <c r="C4122">
        <v>0.60578032483532596</v>
      </c>
      <c r="D4122">
        <v>0.66453782299674702</v>
      </c>
      <c r="E4122">
        <v>0.373422698772437</v>
      </c>
      <c r="F4122">
        <v>0.25728819176920198</v>
      </c>
      <c r="G4122">
        <v>0.11855268420609499</v>
      </c>
      <c r="H4122">
        <v>8.2796490163281097E-2</v>
      </c>
      <c r="I4122">
        <v>0.102443764978406</v>
      </c>
      <c r="J4122">
        <v>9.9218329333450095E-2</v>
      </c>
      <c r="K4122">
        <v>9.5434362295576003E-2</v>
      </c>
      <c r="L4122">
        <v>556.883459059855</v>
      </c>
      <c r="M4122">
        <v>11.8992316530578</v>
      </c>
      <c r="N4122">
        <v>47.285887805083597</v>
      </c>
      <c r="O4122">
        <v>45.536899286595798</v>
      </c>
      <c r="P4122">
        <v>-6.1583080313801102E-2</v>
      </c>
      <c r="Q4122">
        <v>5.75511741845528E-2</v>
      </c>
      <c r="R4122">
        <v>0.948682513508596</v>
      </c>
      <c r="S4122" t="s">
        <v>10792</v>
      </c>
      <c r="T4122" t="s">
        <v>13338</v>
      </c>
      <c r="U4122" t="s">
        <v>13338</v>
      </c>
      <c r="V4122" t="s">
        <v>13338</v>
      </c>
      <c r="W4122" t="s">
        <v>17405</v>
      </c>
      <c r="X4122">
        <v>3</v>
      </c>
      <c r="Y4122" t="s">
        <v>23914</v>
      </c>
      <c r="Z4122" t="s">
        <v>30537</v>
      </c>
      <c r="AA4122">
        <v>0.31196955268782972</v>
      </c>
      <c r="AB4122" t="str">
        <f>HYPERLINK("Melting_Curves/meltCurve_Q6WCQ1_2_MPRIP.pdf", "Melting_Curves/meltCurve_Q6WCQ1_2_MPRIP.pdf")</f>
        <v>Melting_Curves/meltCurve_Q6WCQ1_2_MPRIP.pdf</v>
      </c>
    </row>
    <row r="4123" spans="1:28" x14ac:dyDescent="0.25">
      <c r="A4123" t="s">
        <v>4127</v>
      </c>
      <c r="B4123">
        <v>0.99193492352474899</v>
      </c>
      <c r="C4123">
        <v>0.92501091929450396</v>
      </c>
      <c r="D4123">
        <v>0.78855411118111396</v>
      </c>
      <c r="E4123">
        <v>0.52942751261642695</v>
      </c>
      <c r="F4123">
        <v>0.206933304802386</v>
      </c>
      <c r="G4123">
        <v>0.109000312333251</v>
      </c>
      <c r="H4123">
        <v>6.34219727803364E-2</v>
      </c>
      <c r="I4123">
        <v>7.4303222774253899E-2</v>
      </c>
      <c r="J4123">
        <v>8.6959915711010694E-2</v>
      </c>
      <c r="K4123">
        <v>0.103197213296774</v>
      </c>
      <c r="L4123">
        <v>979.14781257328104</v>
      </c>
      <c r="M4123">
        <v>19.9319733233154</v>
      </c>
      <c r="N4123">
        <v>49.484916522931599</v>
      </c>
      <c r="O4123">
        <v>48.638022011301999</v>
      </c>
      <c r="P4123">
        <v>-9.5531492123893599E-2</v>
      </c>
      <c r="Q4123">
        <v>6.7566650052182098E-2</v>
      </c>
      <c r="R4123">
        <v>0.99573141845956203</v>
      </c>
      <c r="S4123" t="s">
        <v>10793</v>
      </c>
      <c r="T4123" t="s">
        <v>13338</v>
      </c>
      <c r="U4123" t="s">
        <v>13338</v>
      </c>
      <c r="V4123" t="s">
        <v>13338</v>
      </c>
      <c r="W4123" t="s">
        <v>17406</v>
      </c>
      <c r="X4123">
        <v>20</v>
      </c>
      <c r="Y4123" t="s">
        <v>23915</v>
      </c>
      <c r="Z4123" t="s">
        <v>30538</v>
      </c>
      <c r="AA4123">
        <v>0.36430267441529518</v>
      </c>
      <c r="AB4123" t="str">
        <f>HYPERLINK("Melting_Curves/meltCurve_Q6WKZ4_RAB11FIP1.pdf", "Melting_Curves/meltCurve_Q6WKZ4_RAB11FIP1.pdf")</f>
        <v>Melting_Curves/meltCurve_Q6WKZ4_RAB11FIP1.pdf</v>
      </c>
    </row>
    <row r="4124" spans="1:28" x14ac:dyDescent="0.25">
      <c r="A4124" t="s">
        <v>4128</v>
      </c>
      <c r="B4124">
        <v>0.99193492352474899</v>
      </c>
      <c r="C4124">
        <v>0.90985523380264299</v>
      </c>
      <c r="D4124">
        <v>0.97497831576300897</v>
      </c>
      <c r="E4124">
        <v>0.81208348310443301</v>
      </c>
      <c r="F4124">
        <v>0.79651942678594001</v>
      </c>
      <c r="G4124">
        <v>0.62521619456618904</v>
      </c>
      <c r="H4124">
        <v>0.48875871698024098</v>
      </c>
      <c r="I4124">
        <v>0.27453992831264301</v>
      </c>
      <c r="J4124">
        <v>0.19888635110838501</v>
      </c>
      <c r="K4124">
        <v>0.12794674747087401</v>
      </c>
      <c r="L4124">
        <v>642.11888835924299</v>
      </c>
      <c r="M4124">
        <v>10.848690533401101</v>
      </c>
      <c r="N4124">
        <v>59.1886266844677</v>
      </c>
      <c r="O4124">
        <v>57.284001557436802</v>
      </c>
      <c r="P4124">
        <v>-4.73629306897147E-2</v>
      </c>
      <c r="Q4124">
        <v>0</v>
      </c>
      <c r="R4124">
        <v>0.98083569536459403</v>
      </c>
      <c r="S4124" t="s">
        <v>10794</v>
      </c>
      <c r="T4124" t="s">
        <v>13338</v>
      </c>
      <c r="U4124" t="s">
        <v>13338</v>
      </c>
      <c r="V4124" t="s">
        <v>13338</v>
      </c>
      <c r="W4124" t="s">
        <v>17407</v>
      </c>
      <c r="X4124">
        <v>8</v>
      </c>
      <c r="Y4124" t="s">
        <v>23916</v>
      </c>
      <c r="Z4124" t="s">
        <v>30539</v>
      </c>
      <c r="AA4124">
        <v>0.64412673061090153</v>
      </c>
      <c r="AB4124" t="str">
        <f>HYPERLINK("Melting_Curves/meltCurve_Q6XQN6_NAPRT1.pdf", "Melting_Curves/meltCurve_Q6XQN6_NAPRT1.pdf")</f>
        <v>Melting_Curves/meltCurve_Q6XQN6_NAPRT1.pdf</v>
      </c>
    </row>
    <row r="4125" spans="1:28" x14ac:dyDescent="0.25">
      <c r="A4125" t="s">
        <v>4129</v>
      </c>
      <c r="B4125">
        <v>0.99193492352474899</v>
      </c>
      <c r="C4125">
        <v>1.12683974272813</v>
      </c>
      <c r="D4125">
        <v>0.56618721901611102</v>
      </c>
      <c r="E4125">
        <v>0.84434560548506998</v>
      </c>
      <c r="F4125">
        <v>0.462363003312114</v>
      </c>
      <c r="G4125">
        <v>0.26823176262626203</v>
      </c>
      <c r="H4125">
        <v>0.13274588073527799</v>
      </c>
      <c r="I4125">
        <v>5.75726725399162E-2</v>
      </c>
      <c r="J4125">
        <v>4.2017520176289798E-2</v>
      </c>
      <c r="K4125">
        <v>0.103312666615195</v>
      </c>
      <c r="L4125">
        <v>665.52726690225199</v>
      </c>
      <c r="M4125">
        <v>12.6458572844719</v>
      </c>
      <c r="N4125">
        <v>52.628099750815203</v>
      </c>
      <c r="O4125">
        <v>51.364100074716902</v>
      </c>
      <c r="P4125">
        <v>-6.1562211244114498E-2</v>
      </c>
      <c r="Q4125">
        <v>0</v>
      </c>
      <c r="R4125">
        <v>0.89855178247024103</v>
      </c>
      <c r="S4125" t="s">
        <v>10795</v>
      </c>
      <c r="T4125" t="s">
        <v>13338</v>
      </c>
      <c r="U4125" t="s">
        <v>13338</v>
      </c>
      <c r="V4125" t="s">
        <v>13338</v>
      </c>
      <c r="W4125" t="s">
        <v>17408</v>
      </c>
      <c r="X4125">
        <v>1</v>
      </c>
      <c r="Y4125" t="s">
        <v>23917</v>
      </c>
      <c r="Z4125" t="s">
        <v>30540</v>
      </c>
      <c r="AA4125">
        <v>0.44841752537398771</v>
      </c>
      <c r="AB4125" t="str">
        <f>HYPERLINK("Melting_Curves/meltCurve_Q6Y1H2_PTPLB.pdf", "Melting_Curves/meltCurve_Q6Y1H2_PTPLB.pdf")</f>
        <v>Melting_Curves/meltCurve_Q6Y1H2_PTPLB.pdf</v>
      </c>
    </row>
    <row r="4126" spans="1:28" x14ac:dyDescent="0.25">
      <c r="A4126" t="s">
        <v>4130</v>
      </c>
      <c r="B4126">
        <v>0.99193492352474899</v>
      </c>
      <c r="C4126">
        <v>0.82170551052277496</v>
      </c>
      <c r="D4126">
        <v>0.91761746505988495</v>
      </c>
      <c r="E4126">
        <v>0.66748270320512204</v>
      </c>
      <c r="F4126">
        <v>0.419993576944374</v>
      </c>
      <c r="G4126">
        <v>0.22689886959016201</v>
      </c>
      <c r="H4126">
        <v>0.14210693359065699</v>
      </c>
      <c r="I4126">
        <v>0.17543968476446201</v>
      </c>
      <c r="J4126">
        <v>0.18066774626265</v>
      </c>
      <c r="K4126">
        <v>0.14222257635747301</v>
      </c>
      <c r="L4126">
        <v>861.44950610081196</v>
      </c>
      <c r="M4126">
        <v>16.951181804552402</v>
      </c>
      <c r="N4126">
        <v>51.759372431806497</v>
      </c>
      <c r="O4126">
        <v>50.127983732724303</v>
      </c>
      <c r="P4126">
        <v>-7.3344407234379197E-2</v>
      </c>
      <c r="Q4126">
        <v>0.132478797177733</v>
      </c>
      <c r="R4126">
        <v>0.97566611855548002</v>
      </c>
      <c r="S4126" t="s">
        <v>10796</v>
      </c>
      <c r="T4126" t="s">
        <v>13338</v>
      </c>
      <c r="U4126" t="s">
        <v>13338</v>
      </c>
      <c r="V4126" t="s">
        <v>13338</v>
      </c>
      <c r="W4126" t="s">
        <v>17409</v>
      </c>
      <c r="X4126">
        <v>5</v>
      </c>
      <c r="Y4126" t="s">
        <v>23918</v>
      </c>
      <c r="Z4126" t="s">
        <v>30541</v>
      </c>
      <c r="AA4126">
        <v>0.46166749316336292</v>
      </c>
      <c r="AB4126" t="str">
        <f>HYPERLINK("Melting_Curves/meltCurve_Q6Y288_B3GALTL.pdf", "Melting_Curves/meltCurve_Q6Y288_B3GALTL.pdf")</f>
        <v>Melting_Curves/meltCurve_Q6Y288_B3GALTL.pdf</v>
      </c>
    </row>
    <row r="4127" spans="1:28" x14ac:dyDescent="0.25">
      <c r="A4127" t="s">
        <v>4131</v>
      </c>
      <c r="B4127">
        <v>0.99193492352474899</v>
      </c>
      <c r="C4127">
        <v>0.72898458319197101</v>
      </c>
      <c r="D4127">
        <v>0.59249484587467804</v>
      </c>
      <c r="E4127">
        <v>0.30400462771168002</v>
      </c>
      <c r="F4127">
        <v>0.211144020481281</v>
      </c>
      <c r="G4127">
        <v>0.153270034619791</v>
      </c>
      <c r="H4127">
        <v>0.124924293947951</v>
      </c>
      <c r="I4127">
        <v>0.14258910394994201</v>
      </c>
      <c r="J4127">
        <v>0.14729973811104499</v>
      </c>
      <c r="K4127">
        <v>0.162322362576899</v>
      </c>
      <c r="L4127">
        <v>790.27489775475306</v>
      </c>
      <c r="M4127">
        <v>17.2590587795404</v>
      </c>
      <c r="N4127">
        <v>46.647884547246598</v>
      </c>
      <c r="O4127">
        <v>45.187532678809902</v>
      </c>
      <c r="P4127">
        <v>-8.2493421480502205E-2</v>
      </c>
      <c r="Q4127">
        <v>0.136115779372708</v>
      </c>
      <c r="R4127">
        <v>0.98720165082557698</v>
      </c>
      <c r="S4127" t="s">
        <v>10797</v>
      </c>
      <c r="T4127" t="s">
        <v>13338</v>
      </c>
      <c r="U4127" t="s">
        <v>13338</v>
      </c>
      <c r="V4127" t="s">
        <v>13338</v>
      </c>
      <c r="W4127" t="s">
        <v>17410</v>
      </c>
      <c r="X4127">
        <v>21</v>
      </c>
      <c r="Y4127" t="s">
        <v>23919</v>
      </c>
      <c r="Z4127" t="s">
        <v>30542</v>
      </c>
      <c r="AA4127">
        <v>0.32176679128112018</v>
      </c>
      <c r="AB4127" t="str">
        <f>HYPERLINK("Melting_Curves/meltCurve_Q6Y7W6_4_GIGYF2.pdf", "Melting_Curves/meltCurve_Q6Y7W6_4_GIGYF2.pdf")</f>
        <v>Melting_Curves/meltCurve_Q6Y7W6_4_GIGYF2.pdf</v>
      </c>
    </row>
    <row r="4128" spans="1:28" x14ac:dyDescent="0.25">
      <c r="A4128" t="s">
        <v>4132</v>
      </c>
      <c r="B4128">
        <v>0.99193492352474899</v>
      </c>
      <c r="C4128">
        <v>1.6195518496289301</v>
      </c>
      <c r="D4128">
        <v>1.5534726421477201</v>
      </c>
      <c r="E4128">
        <v>0.60060222154305698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12420.235560834701</v>
      </c>
      <c r="M4128">
        <v>250</v>
      </c>
      <c r="N4128">
        <v>49.680950141636998</v>
      </c>
      <c r="O4128">
        <v>49.677747340235399</v>
      </c>
      <c r="P4128">
        <v>-1.2581081798216001</v>
      </c>
      <c r="Q4128">
        <v>0</v>
      </c>
      <c r="R4128">
        <v>0.83205090043968799</v>
      </c>
      <c r="S4128" t="s">
        <v>10798</v>
      </c>
      <c r="T4128" t="s">
        <v>13338</v>
      </c>
      <c r="U4128" t="s">
        <v>13338</v>
      </c>
      <c r="V4128" t="s">
        <v>13338</v>
      </c>
      <c r="W4128" t="s">
        <v>17411</v>
      </c>
      <c r="X4128">
        <v>1</v>
      </c>
      <c r="Y4128" t="s">
        <v>23920</v>
      </c>
      <c r="Z4128" t="s">
        <v>30543</v>
      </c>
      <c r="AA4128">
        <v>0.32278526405839092</v>
      </c>
      <c r="AB4128" t="str">
        <f>HYPERLINK("Melting_Curves/meltCurve_Q6YHU6_3_THADA.pdf", "Melting_Curves/meltCurve_Q6YHU6_3_THADA.pdf")</f>
        <v>Melting_Curves/meltCurve_Q6YHU6_3_THADA.pdf</v>
      </c>
    </row>
    <row r="4129" spans="1:28" x14ac:dyDescent="0.25">
      <c r="A4129" t="s">
        <v>4133</v>
      </c>
      <c r="B4129">
        <v>0.99193492352474899</v>
      </c>
      <c r="C4129">
        <v>1.1094668173586</v>
      </c>
      <c r="D4129">
        <v>0.90615254941841605</v>
      </c>
      <c r="E4129">
        <v>0.81074276793766697</v>
      </c>
      <c r="F4129">
        <v>0.229374877123207</v>
      </c>
      <c r="G4129">
        <v>0.14840900045739799</v>
      </c>
      <c r="H4129">
        <v>7.4461341557725103E-2</v>
      </c>
      <c r="I4129">
        <v>0.120699641132751</v>
      </c>
      <c r="J4129">
        <v>0.100087295270939</v>
      </c>
      <c r="K4129">
        <v>0.14023783800336501</v>
      </c>
      <c r="L4129">
        <v>2225.3730311097902</v>
      </c>
      <c r="M4129">
        <v>43.625285341806297</v>
      </c>
      <c r="N4129">
        <v>51.312550401096999</v>
      </c>
      <c r="O4129">
        <v>50.904255092488498</v>
      </c>
      <c r="P4129">
        <v>-0.190030467877285</v>
      </c>
      <c r="Q4129">
        <v>0.113051712721221</v>
      </c>
      <c r="R4129">
        <v>0.98632245819001596</v>
      </c>
      <c r="S4129" t="s">
        <v>10799</v>
      </c>
      <c r="T4129" t="s">
        <v>13338</v>
      </c>
      <c r="U4129" t="s">
        <v>13338</v>
      </c>
      <c r="V4129" t="s">
        <v>13338</v>
      </c>
      <c r="W4129" t="s">
        <v>17412</v>
      </c>
      <c r="X4129">
        <v>16</v>
      </c>
      <c r="Y4129" t="s">
        <v>23921</v>
      </c>
      <c r="Z4129" t="s">
        <v>30544</v>
      </c>
      <c r="AA4129">
        <v>0.44121962185820279</v>
      </c>
      <c r="AB4129" t="str">
        <f>HYPERLINK("Melting_Curves/meltCurve_Q6YN16_HSDL2.pdf", "Melting_Curves/meltCurve_Q6YN16_HSDL2.pdf")</f>
        <v>Melting_Curves/meltCurve_Q6YN16_HSDL2.pdf</v>
      </c>
    </row>
    <row r="4130" spans="1:28" x14ac:dyDescent="0.25">
      <c r="A4130" t="s">
        <v>4134</v>
      </c>
      <c r="B4130">
        <v>0.99193492352474899</v>
      </c>
      <c r="C4130">
        <v>0.97151262499290403</v>
      </c>
      <c r="D4130">
        <v>1.0427524243790001</v>
      </c>
      <c r="E4130">
        <v>0.88250326731594098</v>
      </c>
      <c r="F4130">
        <v>0.81006752192229603</v>
      </c>
      <c r="G4130">
        <v>0.61417891195515995</v>
      </c>
      <c r="H4130">
        <v>0.463770994845356</v>
      </c>
      <c r="I4130">
        <v>0.43884245220645601</v>
      </c>
      <c r="J4130">
        <v>0.43405456641054502</v>
      </c>
      <c r="K4130">
        <v>0.30518133040411299</v>
      </c>
      <c r="L4130">
        <v>858.83343943162402</v>
      </c>
      <c r="M4130">
        <v>15.358170315633499</v>
      </c>
      <c r="N4130">
        <v>60.187284516136501</v>
      </c>
      <c r="O4130">
        <v>54.997951773979899</v>
      </c>
      <c r="P4130">
        <v>-4.6660441550007599E-2</v>
      </c>
      <c r="Q4130">
        <v>0.33169328374652801</v>
      </c>
      <c r="R4130">
        <v>0.98000212606871795</v>
      </c>
      <c r="S4130" t="s">
        <v>10800</v>
      </c>
      <c r="T4130" t="s">
        <v>13338</v>
      </c>
      <c r="U4130" t="s">
        <v>13338</v>
      </c>
      <c r="V4130" t="s">
        <v>13338</v>
      </c>
      <c r="W4130" t="s">
        <v>17413</v>
      </c>
      <c r="X4130">
        <v>21</v>
      </c>
      <c r="Y4130" t="s">
        <v>23922</v>
      </c>
      <c r="Z4130" t="s">
        <v>30545</v>
      </c>
      <c r="AA4130">
        <v>0.69804768602430134</v>
      </c>
      <c r="AB4130" t="str">
        <f>HYPERLINK("Melting_Curves/meltCurve_Q6YP21_3_CCBL2.pdf", "Melting_Curves/meltCurve_Q6YP21_3_CCBL2.pdf")</f>
        <v>Melting_Curves/meltCurve_Q6YP21_3_CCBL2.pdf</v>
      </c>
    </row>
    <row r="4131" spans="1:28" x14ac:dyDescent="0.25">
      <c r="A4131" t="s">
        <v>4135</v>
      </c>
      <c r="B4131">
        <v>0.99193492352474899</v>
      </c>
      <c r="C4131">
        <v>0.86489012504493101</v>
      </c>
      <c r="D4131">
        <v>1.00708861541837</v>
      </c>
      <c r="E4131">
        <v>0.785776195136902</v>
      </c>
      <c r="F4131">
        <v>0.71853593294505802</v>
      </c>
      <c r="G4131">
        <v>0.29115480673348099</v>
      </c>
      <c r="H4131">
        <v>0.147813974364113</v>
      </c>
      <c r="I4131">
        <v>0.15565094415831801</v>
      </c>
      <c r="J4131">
        <v>0.126679688039537</v>
      </c>
      <c r="K4131">
        <v>0.15562562885350101</v>
      </c>
      <c r="L4131">
        <v>1160.6698306412</v>
      </c>
      <c r="M4131">
        <v>21.5056517354164</v>
      </c>
      <c r="N4131">
        <v>54.629339236344499</v>
      </c>
      <c r="O4131">
        <v>53.510310514834202</v>
      </c>
      <c r="P4131">
        <v>-8.8999165955098297E-2</v>
      </c>
      <c r="Q4131">
        <v>0.11423183804677201</v>
      </c>
      <c r="R4131">
        <v>0.96782474936774299</v>
      </c>
      <c r="S4131" t="s">
        <v>10801</v>
      </c>
      <c r="T4131" t="s">
        <v>13338</v>
      </c>
      <c r="U4131" t="s">
        <v>13338</v>
      </c>
      <c r="V4131" t="s">
        <v>13338</v>
      </c>
      <c r="W4131" t="s">
        <v>17414</v>
      </c>
      <c r="X4131">
        <v>3</v>
      </c>
      <c r="Y4131" t="s">
        <v>23923</v>
      </c>
      <c r="Z4131" t="s">
        <v>30546</v>
      </c>
      <c r="AA4131">
        <v>0.53740085996317088</v>
      </c>
      <c r="AB4131" t="str">
        <f>HYPERLINK("Melting_Curves/meltCurve_Q6ZMG9_CERS6.pdf", "Melting_Curves/meltCurve_Q6ZMG9_CERS6.pdf")</f>
        <v>Melting_Curves/meltCurve_Q6ZMG9_CERS6.pdf</v>
      </c>
    </row>
    <row r="4132" spans="1:28" x14ac:dyDescent="0.25">
      <c r="A4132" t="s">
        <v>4136</v>
      </c>
      <c r="B4132">
        <v>0.99193492352474899</v>
      </c>
      <c r="C4132">
        <v>0.91591875230213404</v>
      </c>
      <c r="D4132">
        <v>0.92769208448887797</v>
      </c>
      <c r="E4132">
        <v>0.39681450174940203</v>
      </c>
      <c r="F4132">
        <v>0.20411201096787601</v>
      </c>
      <c r="G4132">
        <v>0.14067084681145001</v>
      </c>
      <c r="H4132">
        <v>7.3968107620319204E-2</v>
      </c>
      <c r="I4132">
        <v>0.114397946164756</v>
      </c>
      <c r="J4132">
        <v>0.117402000119935</v>
      </c>
      <c r="K4132">
        <v>9.5769152749887398E-2</v>
      </c>
      <c r="L4132">
        <v>1672.5841340786401</v>
      </c>
      <c r="M4132">
        <v>34.361306323451402</v>
      </c>
      <c r="N4132">
        <v>49.042830196666301</v>
      </c>
      <c r="O4132">
        <v>48.5124019552023</v>
      </c>
      <c r="P4132">
        <v>-0.157027338681687</v>
      </c>
      <c r="Q4132">
        <v>0.113218293801956</v>
      </c>
      <c r="R4132">
        <v>0.99129752856380404</v>
      </c>
      <c r="S4132" t="s">
        <v>10802</v>
      </c>
      <c r="T4132" t="s">
        <v>13338</v>
      </c>
      <c r="U4132" t="s">
        <v>13338</v>
      </c>
      <c r="V4132" t="s">
        <v>13338</v>
      </c>
      <c r="W4132" t="s">
        <v>17415</v>
      </c>
      <c r="X4132">
        <v>5</v>
      </c>
      <c r="Y4132" t="s">
        <v>23924</v>
      </c>
      <c r="Z4132" t="s">
        <v>30547</v>
      </c>
      <c r="AA4132">
        <v>0.37375723548834672</v>
      </c>
      <c r="AB4132" t="str">
        <f>HYPERLINK("Melting_Curves/meltCurve_Q6ZMI0_PPP1R21.pdf", "Melting_Curves/meltCurve_Q6ZMI0_PPP1R21.pdf")</f>
        <v>Melting_Curves/meltCurve_Q6ZMI0_PPP1R21.pdf</v>
      </c>
    </row>
    <row r="4133" spans="1:28" x14ac:dyDescent="0.25">
      <c r="A4133" t="s">
        <v>4137</v>
      </c>
      <c r="B4133">
        <v>0.99193492352474899</v>
      </c>
      <c r="C4133">
        <v>0.79012301458741996</v>
      </c>
      <c r="D4133">
        <v>0.72110774625678398</v>
      </c>
      <c r="E4133">
        <v>0.42522132864900303</v>
      </c>
      <c r="F4133">
        <v>0.259976343125705</v>
      </c>
      <c r="G4133">
        <v>0.187662182312578</v>
      </c>
      <c r="H4133">
        <v>0.128330092114947</v>
      </c>
      <c r="I4133">
        <v>0.15831831642039401</v>
      </c>
      <c r="J4133">
        <v>0.15810649744628599</v>
      </c>
      <c r="K4133">
        <v>0.17733063109095501</v>
      </c>
      <c r="L4133">
        <v>752.49544691483902</v>
      </c>
      <c r="M4133">
        <v>15.8654138736134</v>
      </c>
      <c r="N4133">
        <v>48.430173136400597</v>
      </c>
      <c r="O4133">
        <v>46.695602420848701</v>
      </c>
      <c r="P4133">
        <v>-7.3080327152813998E-2</v>
      </c>
      <c r="Q4133">
        <v>0.139700540465026</v>
      </c>
      <c r="R4133">
        <v>0.98714497223115605</v>
      </c>
      <c r="S4133" t="s">
        <v>10803</v>
      </c>
      <c r="T4133" t="s">
        <v>13338</v>
      </c>
      <c r="U4133" t="s">
        <v>13338</v>
      </c>
      <c r="V4133" t="s">
        <v>13338</v>
      </c>
      <c r="W4133" t="s">
        <v>17416</v>
      </c>
      <c r="X4133">
        <v>3</v>
      </c>
      <c r="Y4133" t="s">
        <v>23925</v>
      </c>
      <c r="Z4133" t="s">
        <v>30548</v>
      </c>
      <c r="AA4133">
        <v>0.37308338516254252</v>
      </c>
      <c r="AB4133" t="str">
        <f>HYPERLINK("Melting_Curves/meltCurve_Q6ZN18_2_AEBP2.pdf", "Melting_Curves/meltCurve_Q6ZN18_2_AEBP2.pdf")</f>
        <v>Melting_Curves/meltCurve_Q6ZN18_2_AEBP2.pdf</v>
      </c>
    </row>
    <row r="4134" spans="1:28" x14ac:dyDescent="0.25">
      <c r="A4134" t="s">
        <v>4138</v>
      </c>
      <c r="B4134">
        <v>0.99193492352474899</v>
      </c>
      <c r="C4134">
        <v>0.77959560622671598</v>
      </c>
      <c r="D4134">
        <v>1.3582403949481301</v>
      </c>
      <c r="E4134">
        <v>1.1192028353435199</v>
      </c>
      <c r="F4134">
        <v>0.28732007112447999</v>
      </c>
      <c r="G4134">
        <v>0.15842387036628899</v>
      </c>
      <c r="H4134">
        <v>7.5420519123383795E-2</v>
      </c>
      <c r="I4134">
        <v>0.16052796973991301</v>
      </c>
      <c r="J4134">
        <v>0.22478563360773901</v>
      </c>
      <c r="K4134">
        <v>4.7976675538366001E-2</v>
      </c>
      <c r="L4134">
        <v>13218.4564570448</v>
      </c>
      <c r="M4134">
        <v>250</v>
      </c>
      <c r="N4134">
        <v>52.939558664458801</v>
      </c>
      <c r="O4134">
        <v>52.870441946566203</v>
      </c>
      <c r="P4134">
        <v>-1.0244063648044199</v>
      </c>
      <c r="Q4134">
        <v>0.1334269201344</v>
      </c>
      <c r="R4134">
        <v>0.90266387056880404</v>
      </c>
      <c r="S4134" t="s">
        <v>10804</v>
      </c>
      <c r="T4134" t="s">
        <v>13338</v>
      </c>
      <c r="U4134" t="s">
        <v>13338</v>
      </c>
      <c r="V4134" t="s">
        <v>13338</v>
      </c>
      <c r="W4134" t="s">
        <v>17417</v>
      </c>
      <c r="X4134">
        <v>1</v>
      </c>
      <c r="Y4134" t="s">
        <v>23926</v>
      </c>
      <c r="Z4134" t="s">
        <v>30549</v>
      </c>
      <c r="AA4134">
        <v>0.50537769507874764</v>
      </c>
      <c r="AB4134" t="str">
        <f>HYPERLINK("Melting_Curves/meltCurve_Q6ZNB6_NFXL1.pdf", "Melting_Curves/meltCurve_Q6ZNB6_NFXL1.pdf")</f>
        <v>Melting_Curves/meltCurve_Q6ZNB6_NFXL1.pdf</v>
      </c>
    </row>
    <row r="4135" spans="1:28" x14ac:dyDescent="0.25">
      <c r="A4135" t="s">
        <v>4139</v>
      </c>
      <c r="B4135">
        <v>0.99193492352474899</v>
      </c>
      <c r="C4135">
        <v>1.0828238424924601</v>
      </c>
      <c r="D4135">
        <v>0.83058692812844903</v>
      </c>
      <c r="E4135">
        <v>0.63017716710961702</v>
      </c>
      <c r="F4135">
        <v>0.226193593560963</v>
      </c>
      <c r="G4135">
        <v>0.138299990966915</v>
      </c>
      <c r="H4135">
        <v>7.7783165521400799E-2</v>
      </c>
      <c r="I4135">
        <v>8.08925541808449E-2</v>
      </c>
      <c r="J4135">
        <v>0.10281448419585699</v>
      </c>
      <c r="K4135">
        <v>7.5068781800859102E-2</v>
      </c>
      <c r="L4135">
        <v>1213.21866677557</v>
      </c>
      <c r="M4135">
        <v>24.231842553989601</v>
      </c>
      <c r="N4135">
        <v>50.421492160754198</v>
      </c>
      <c r="O4135">
        <v>49.729879028953597</v>
      </c>
      <c r="P4135">
        <v>-0.112281281387468</v>
      </c>
      <c r="Q4135">
        <v>7.8295496712189105E-2</v>
      </c>
      <c r="R4135">
        <v>0.98818969581370697</v>
      </c>
      <c r="S4135" t="s">
        <v>10805</v>
      </c>
      <c r="T4135" t="s">
        <v>13338</v>
      </c>
      <c r="U4135" t="s">
        <v>13338</v>
      </c>
      <c r="V4135" t="s">
        <v>13338</v>
      </c>
      <c r="W4135" t="s">
        <v>17418</v>
      </c>
      <c r="X4135">
        <v>6</v>
      </c>
      <c r="Y4135" t="s">
        <v>23927</v>
      </c>
      <c r="Z4135" t="s">
        <v>30550</v>
      </c>
      <c r="AA4135">
        <v>0.39636858823084692</v>
      </c>
      <c r="AB4135" t="str">
        <f>HYPERLINK("Melting_Curves/meltCurve_Q6ZNW5_GDPGP1.pdf", "Melting_Curves/meltCurve_Q6ZNW5_GDPGP1.pdf")</f>
        <v>Melting_Curves/meltCurve_Q6ZNW5_GDPGP1.pdf</v>
      </c>
    </row>
    <row r="4136" spans="1:28" x14ac:dyDescent="0.25">
      <c r="A4136" t="s">
        <v>4140</v>
      </c>
      <c r="B4136">
        <v>0.99193492352474899</v>
      </c>
      <c r="C4136">
        <v>0.95305090064757203</v>
      </c>
      <c r="D4136">
        <v>0.83696630680809103</v>
      </c>
      <c r="E4136">
        <v>0.66968714735213097</v>
      </c>
      <c r="F4136">
        <v>0.28152873164805298</v>
      </c>
      <c r="G4136">
        <v>0.18506791371709699</v>
      </c>
      <c r="H4136">
        <v>0.13289254232930101</v>
      </c>
      <c r="I4136">
        <v>0.23670878866871001</v>
      </c>
      <c r="J4136">
        <v>0.226460486130897</v>
      </c>
      <c r="K4136">
        <v>0.17602246112841999</v>
      </c>
      <c r="L4136">
        <v>1205.8015144789299</v>
      </c>
      <c r="M4136">
        <v>24.213412006248301</v>
      </c>
      <c r="N4136">
        <v>50.720943314727698</v>
      </c>
      <c r="O4136">
        <v>49.462971828374599</v>
      </c>
      <c r="P4136">
        <v>-0.10059487332882899</v>
      </c>
      <c r="Q4136">
        <v>0.17803490286430601</v>
      </c>
      <c r="R4136">
        <v>0.98211570955679195</v>
      </c>
      <c r="S4136" t="s">
        <v>10806</v>
      </c>
      <c r="T4136" t="s">
        <v>13338</v>
      </c>
      <c r="U4136" t="s">
        <v>13338</v>
      </c>
      <c r="V4136" t="s">
        <v>13338</v>
      </c>
      <c r="W4136" t="s">
        <v>17419</v>
      </c>
      <c r="X4136">
        <v>1</v>
      </c>
      <c r="Y4136" t="s">
        <v>23928</v>
      </c>
      <c r="Z4136" t="s">
        <v>30551</v>
      </c>
      <c r="AA4136">
        <v>0.45433415530518328</v>
      </c>
      <c r="AB4136" t="str">
        <f>HYPERLINK("Melting_Curves/meltCurve_Q6ZPD9_DPY19L3.pdf", "Melting_Curves/meltCurve_Q6ZPD9_DPY19L3.pdf")</f>
        <v>Melting_Curves/meltCurve_Q6ZPD9_DPY19L3.pdf</v>
      </c>
    </row>
    <row r="4137" spans="1:28" x14ac:dyDescent="0.25">
      <c r="A4137" t="s">
        <v>4141</v>
      </c>
      <c r="B4137">
        <v>0.99193492352474899</v>
      </c>
      <c r="C4137">
        <v>0.481098229982374</v>
      </c>
      <c r="D4137">
        <v>0.82483076521555398</v>
      </c>
      <c r="E4137">
        <v>0.30904430011649098</v>
      </c>
      <c r="F4137">
        <v>0.34122362293915798</v>
      </c>
      <c r="G4137">
        <v>0.187534796866932</v>
      </c>
      <c r="H4137">
        <v>0.20557520612023999</v>
      </c>
      <c r="I4137">
        <v>0.31195595104687301</v>
      </c>
      <c r="J4137">
        <v>0.32777222645263798</v>
      </c>
      <c r="K4137">
        <v>0.85418414272047105</v>
      </c>
      <c r="L4137">
        <v>769.13398714488699</v>
      </c>
      <c r="M4137">
        <v>17.755919594254099</v>
      </c>
      <c r="N4137">
        <v>46.854013657135503</v>
      </c>
      <c r="O4137">
        <v>42.778814392577502</v>
      </c>
      <c r="P4137">
        <v>-6.5466474670901997E-2</v>
      </c>
      <c r="Q4137">
        <v>0.36912712006320098</v>
      </c>
      <c r="R4137">
        <v>0.39759917180391602</v>
      </c>
      <c r="S4137" t="s">
        <v>10807</v>
      </c>
      <c r="T4137" t="s">
        <v>13338</v>
      </c>
      <c r="U4137" t="s">
        <v>13338</v>
      </c>
      <c r="V4137" t="s">
        <v>13338</v>
      </c>
      <c r="W4137" t="s">
        <v>17420</v>
      </c>
      <c r="X4137">
        <v>3</v>
      </c>
      <c r="Y4137" t="s">
        <v>23929</v>
      </c>
      <c r="Z4137" t="s">
        <v>30552</v>
      </c>
      <c r="AA4137">
        <v>0.45683671536169052</v>
      </c>
      <c r="AB4137" t="str">
        <f>HYPERLINK("Melting_Curves/meltCurve_Q6ZRI6_2_C15orf39.pdf", "Melting_Curves/meltCurve_Q6ZRI6_2_C15orf39.pdf")</f>
        <v>Melting_Curves/meltCurve_Q6ZRI6_2_C15orf39.pdf</v>
      </c>
    </row>
    <row r="4138" spans="1:28" x14ac:dyDescent="0.25">
      <c r="A4138" t="s">
        <v>4142</v>
      </c>
      <c r="B4138">
        <v>0.99193492352474899</v>
      </c>
      <c r="C4138">
        <v>0.84518816884944103</v>
      </c>
      <c r="D4138">
        <v>0.82430264198802805</v>
      </c>
      <c r="E4138">
        <v>0.70073140276910695</v>
      </c>
      <c r="F4138">
        <v>0.52747742778963103</v>
      </c>
      <c r="G4138">
        <v>0.235955862880152</v>
      </c>
      <c r="H4138">
        <v>0.105300862865082</v>
      </c>
      <c r="I4138">
        <v>0.116037091118675</v>
      </c>
      <c r="J4138">
        <v>0.11684961118666599</v>
      </c>
      <c r="K4138">
        <v>0.102648396235084</v>
      </c>
      <c r="L4138">
        <v>645.77927832760997</v>
      </c>
      <c r="M4138">
        <v>12.3707009433693</v>
      </c>
      <c r="N4138">
        <v>52.458031955413297</v>
      </c>
      <c r="O4138">
        <v>50.894466897222202</v>
      </c>
      <c r="P4138">
        <v>-5.9001038082411403E-2</v>
      </c>
      <c r="Q4138">
        <v>2.9260120691909801E-2</v>
      </c>
      <c r="R4138">
        <v>0.97888385186626703</v>
      </c>
      <c r="S4138" t="s">
        <v>10808</v>
      </c>
      <c r="T4138" t="s">
        <v>13338</v>
      </c>
      <c r="U4138" t="s">
        <v>13338</v>
      </c>
      <c r="V4138" t="s">
        <v>13338</v>
      </c>
      <c r="W4138" t="s">
        <v>17421</v>
      </c>
      <c r="X4138">
        <v>11</v>
      </c>
      <c r="Y4138" t="s">
        <v>23930</v>
      </c>
      <c r="Z4138" t="s">
        <v>30553</v>
      </c>
      <c r="AA4138">
        <v>0.45229499633199949</v>
      </c>
      <c r="AB4138" t="str">
        <f>HYPERLINK("Melting_Curves/meltCurve_Q6ZRP7_QSOX2.pdf", "Melting_Curves/meltCurve_Q6ZRP7_QSOX2.pdf")</f>
        <v>Melting_Curves/meltCurve_Q6ZRP7_QSOX2.pdf</v>
      </c>
    </row>
    <row r="4139" spans="1:28" x14ac:dyDescent="0.25">
      <c r="A4139" t="s">
        <v>4143</v>
      </c>
      <c r="B4139">
        <v>0.99193492352474899</v>
      </c>
      <c r="C4139">
        <v>1.07714915834489</v>
      </c>
      <c r="D4139">
        <v>0.84746198482663404</v>
      </c>
      <c r="E4139">
        <v>0.72921366031657997</v>
      </c>
      <c r="F4139">
        <v>0.53027811489645205</v>
      </c>
      <c r="G4139">
        <v>0.46102598671051798</v>
      </c>
      <c r="H4139">
        <v>0.36011125207856098</v>
      </c>
      <c r="I4139">
        <v>0.56423850563241795</v>
      </c>
      <c r="J4139">
        <v>0.59505488527918304</v>
      </c>
      <c r="K4139">
        <v>0.56603679038246502</v>
      </c>
      <c r="L4139">
        <v>1299.31663286361</v>
      </c>
      <c r="M4139">
        <v>26.758879541952901</v>
      </c>
      <c r="O4139">
        <v>48.287713727771298</v>
      </c>
      <c r="P4139">
        <v>-6.8297829963899701E-2</v>
      </c>
      <c r="Q4139">
        <v>0.50701788846803297</v>
      </c>
      <c r="R4139">
        <v>0.88971386014729503</v>
      </c>
      <c r="S4139" t="s">
        <v>10809</v>
      </c>
      <c r="T4139" t="s">
        <v>13338</v>
      </c>
      <c r="U4139" t="s">
        <v>13338</v>
      </c>
      <c r="V4139" t="s">
        <v>13338</v>
      </c>
      <c r="W4139" t="s">
        <v>17422</v>
      </c>
      <c r="X4139">
        <v>3</v>
      </c>
      <c r="Y4139" t="s">
        <v>23931</v>
      </c>
      <c r="Z4139" t="s">
        <v>30554</v>
      </c>
      <c r="AA4139">
        <v>0.65140718899186467</v>
      </c>
      <c r="AB4139" t="str">
        <f>HYPERLINK("Melting_Curves/meltCurve_Q6ZRS2_3_SRCAP.pdf", "Melting_Curves/meltCurve_Q6ZRS2_3_SRCAP.pdf")</f>
        <v>Melting_Curves/meltCurve_Q6ZRS2_3_SRCAP.pdf</v>
      </c>
    </row>
    <row r="4140" spans="1:28" x14ac:dyDescent="0.25">
      <c r="A4140" t="s">
        <v>4144</v>
      </c>
      <c r="B4140">
        <v>0.99193492352474899</v>
      </c>
      <c r="C4140">
        <v>0.89316380537205997</v>
      </c>
      <c r="D4140">
        <v>0.88669704163691399</v>
      </c>
      <c r="E4140">
        <v>0.76791375203004597</v>
      </c>
      <c r="F4140">
        <v>0.71198491017029597</v>
      </c>
      <c r="G4140">
        <v>0.45157084810965897</v>
      </c>
      <c r="H4140">
        <v>0.236086987592079</v>
      </c>
      <c r="I4140">
        <v>0.16532521823919399</v>
      </c>
      <c r="J4140">
        <v>0.12024077188629601</v>
      </c>
      <c r="K4140">
        <v>6.3946920170429605E-2</v>
      </c>
      <c r="L4140">
        <v>652.09226995051597</v>
      </c>
      <c r="M4140">
        <v>11.7154444328621</v>
      </c>
      <c r="N4140">
        <v>55.660885528323</v>
      </c>
      <c r="O4140">
        <v>54.113382882491599</v>
      </c>
      <c r="P4140">
        <v>-5.4138842282918702E-2</v>
      </c>
      <c r="Q4140">
        <v>0</v>
      </c>
      <c r="R4140">
        <v>0.98559430524936698</v>
      </c>
      <c r="S4140" t="s">
        <v>10810</v>
      </c>
      <c r="T4140" t="s">
        <v>13338</v>
      </c>
      <c r="U4140" t="s">
        <v>13338</v>
      </c>
      <c r="V4140" t="s">
        <v>13338</v>
      </c>
      <c r="W4140" t="s">
        <v>17423</v>
      </c>
      <c r="X4140">
        <v>2</v>
      </c>
      <c r="Y4140" t="s">
        <v>23932</v>
      </c>
      <c r="Z4140" t="s">
        <v>30555</v>
      </c>
      <c r="AA4140">
        <v>0.54375256374120839</v>
      </c>
      <c r="AB4140" t="str">
        <f>HYPERLINK("Melting_Curves/meltCurve_Q6ZS86_GK5.pdf", "Melting_Curves/meltCurve_Q6ZS86_GK5.pdf")</f>
        <v>Melting_Curves/meltCurve_Q6ZS86_GK5.pdf</v>
      </c>
    </row>
    <row r="4141" spans="1:28" x14ac:dyDescent="0.25">
      <c r="A4141" t="s">
        <v>4145</v>
      </c>
      <c r="B4141">
        <v>0.99193492352474899</v>
      </c>
      <c r="C4141">
        <v>0.78445131648605804</v>
      </c>
      <c r="D4141">
        <v>0.86647721153416801</v>
      </c>
      <c r="E4141">
        <v>0.72536194688080802</v>
      </c>
      <c r="F4141">
        <v>0.542347436004325</v>
      </c>
      <c r="G4141">
        <v>0.33541099920582601</v>
      </c>
      <c r="H4141">
        <v>0.323735553014801</v>
      </c>
      <c r="I4141">
        <v>0.41674996501977801</v>
      </c>
      <c r="J4141">
        <v>0.49843931001013903</v>
      </c>
      <c r="K4141">
        <v>0.65518755844395904</v>
      </c>
      <c r="L4141">
        <v>802.65669673205298</v>
      </c>
      <c r="M4141">
        <v>16.700660382538398</v>
      </c>
      <c r="N4141">
        <v>55.303343216098497</v>
      </c>
      <c r="O4141">
        <v>47.388142896580902</v>
      </c>
      <c r="P4141">
        <v>-4.9001406596181199E-2</v>
      </c>
      <c r="Q4141">
        <v>0.44387070217216501</v>
      </c>
      <c r="R4141">
        <v>0.74888410610034895</v>
      </c>
      <c r="S4141" t="s">
        <v>10811</v>
      </c>
      <c r="T4141" t="s">
        <v>13338</v>
      </c>
      <c r="U4141" t="s">
        <v>13338</v>
      </c>
      <c r="V4141" t="s">
        <v>13338</v>
      </c>
      <c r="W4141" t="s">
        <v>17424</v>
      </c>
      <c r="X4141">
        <v>2</v>
      </c>
      <c r="Y4141" t="s">
        <v>23933</v>
      </c>
      <c r="Z4141" t="s">
        <v>30556</v>
      </c>
      <c r="AA4141">
        <v>0.60480695719565603</v>
      </c>
      <c r="AB4141" t="str">
        <f>HYPERLINK("Melting_Curves/meltCurve_Q6ZSJ8_C1orf122.pdf", "Melting_Curves/meltCurve_Q6ZSJ8_C1orf122.pdf")</f>
        <v>Melting_Curves/meltCurve_Q6ZSJ8_C1orf122.pdf</v>
      </c>
    </row>
    <row r="4142" spans="1:28" x14ac:dyDescent="0.25">
      <c r="A4142" t="s">
        <v>4146</v>
      </c>
      <c r="B4142">
        <v>0.99193492352474899</v>
      </c>
      <c r="C4142">
        <v>0.97960549868593505</v>
      </c>
      <c r="D4142">
        <v>0.87253612197806296</v>
      </c>
      <c r="E4142">
        <v>0.71987566223138999</v>
      </c>
      <c r="F4142">
        <v>0.67705179268404003</v>
      </c>
      <c r="G4142">
        <v>0.483916138320726</v>
      </c>
      <c r="H4142">
        <v>0.39030602439311202</v>
      </c>
      <c r="I4142">
        <v>0.50338015852376405</v>
      </c>
      <c r="J4142">
        <v>0.59464056598945503</v>
      </c>
      <c r="K4142">
        <v>0.843577014806978</v>
      </c>
      <c r="L4142">
        <v>1112.74666421245</v>
      </c>
      <c r="M4142">
        <v>23.144334725647099</v>
      </c>
      <c r="O4142">
        <v>47.723957662724501</v>
      </c>
      <c r="P4142">
        <v>-5.1885131317504198E-2</v>
      </c>
      <c r="Q4142">
        <v>0.57205619854414402</v>
      </c>
      <c r="R4142">
        <v>0.68635566816865001</v>
      </c>
      <c r="S4142" t="s">
        <v>10812</v>
      </c>
      <c r="T4142" t="s">
        <v>13338</v>
      </c>
      <c r="U4142" t="s">
        <v>13338</v>
      </c>
      <c r="V4142" t="s">
        <v>13338</v>
      </c>
      <c r="W4142" t="s">
        <v>17425</v>
      </c>
      <c r="X4142">
        <v>4</v>
      </c>
      <c r="Y4142" t="s">
        <v>23934</v>
      </c>
      <c r="Z4142" t="s">
        <v>30557</v>
      </c>
      <c r="AA4142">
        <v>0.69174971227750892</v>
      </c>
      <c r="AB4142" t="str">
        <f>HYPERLINK("Melting_Curves/meltCurve_Q6ZSS7_MFSD6.pdf", "Melting_Curves/meltCurve_Q6ZSS7_MFSD6.pdf")</f>
        <v>Melting_Curves/meltCurve_Q6ZSS7_MFSD6.pdf</v>
      </c>
    </row>
    <row r="4143" spans="1:28" x14ac:dyDescent="0.25">
      <c r="A4143" t="s">
        <v>4147</v>
      </c>
      <c r="B4143">
        <v>0.99193492352474899</v>
      </c>
      <c r="C4143">
        <v>1.2855880657496801</v>
      </c>
      <c r="D4143">
        <v>0.61165122937270999</v>
      </c>
      <c r="E4143">
        <v>0.25486350349610498</v>
      </c>
      <c r="F4143">
        <v>6.5936883535231403E-2</v>
      </c>
      <c r="G4143">
        <v>0</v>
      </c>
      <c r="H4143">
        <v>3.71986926433234E-2</v>
      </c>
      <c r="I4143">
        <v>4.6112941717109703E-2</v>
      </c>
      <c r="J4143">
        <v>0</v>
      </c>
      <c r="K4143">
        <v>0</v>
      </c>
      <c r="L4143">
        <v>1601.28920646663</v>
      </c>
      <c r="M4143">
        <v>33.963188604997903</v>
      </c>
      <c r="N4143">
        <v>47.228507260209597</v>
      </c>
      <c r="O4143">
        <v>46.985238080235398</v>
      </c>
      <c r="P4143">
        <v>-0.17561713206354501</v>
      </c>
      <c r="Q4143">
        <v>2.8197394995198199E-2</v>
      </c>
      <c r="R4143">
        <v>0.940299326860211</v>
      </c>
      <c r="S4143" t="s">
        <v>10813</v>
      </c>
      <c r="T4143" t="s">
        <v>13338</v>
      </c>
      <c r="U4143" t="s">
        <v>13338</v>
      </c>
      <c r="V4143" t="s">
        <v>13338</v>
      </c>
      <c r="W4143" t="s">
        <v>17426</v>
      </c>
      <c r="X4143">
        <v>1</v>
      </c>
      <c r="Y4143" t="s">
        <v>23935</v>
      </c>
      <c r="Z4143" t="s">
        <v>30558</v>
      </c>
      <c r="AA4143">
        <v>0.26421790759746211</v>
      </c>
      <c r="AB4143" t="str">
        <f>HYPERLINK("Melting_Curves/meltCurve_Q6ZT12_UBR3.pdf", "Melting_Curves/meltCurve_Q6ZT12_UBR3.pdf")</f>
        <v>Melting_Curves/meltCurve_Q6ZT12_UBR3.pdf</v>
      </c>
    </row>
    <row r="4144" spans="1:28" x14ac:dyDescent="0.25">
      <c r="A4144" t="s">
        <v>4148</v>
      </c>
      <c r="B4144">
        <v>0.99193492352474899</v>
      </c>
      <c r="C4144">
        <v>0.90757452335993305</v>
      </c>
      <c r="D4144">
        <v>0.95161520486972895</v>
      </c>
      <c r="E4144">
        <v>0.72518668688056698</v>
      </c>
      <c r="F4144">
        <v>0.690510448169391</v>
      </c>
      <c r="G4144">
        <v>0.47969676626246799</v>
      </c>
      <c r="H4144">
        <v>0.260211481727049</v>
      </c>
      <c r="I4144">
        <v>0.24060869027075399</v>
      </c>
      <c r="J4144">
        <v>0.267453264316029</v>
      </c>
      <c r="K4144">
        <v>0.45380894719876302</v>
      </c>
      <c r="L4144">
        <v>807.43183683546499</v>
      </c>
      <c r="M4144">
        <v>15.373858107312399</v>
      </c>
      <c r="N4144">
        <v>55.494431633601103</v>
      </c>
      <c r="O4144">
        <v>51.655248497641701</v>
      </c>
      <c r="P4144">
        <v>-5.3526679994364799E-2</v>
      </c>
      <c r="Q4144">
        <v>0.28068014805417002</v>
      </c>
      <c r="R4144">
        <v>0.92206704614053103</v>
      </c>
      <c r="S4144" t="s">
        <v>10814</v>
      </c>
      <c r="T4144" t="s">
        <v>13338</v>
      </c>
      <c r="U4144" t="s">
        <v>13338</v>
      </c>
      <c r="V4144" t="s">
        <v>13338</v>
      </c>
      <c r="W4144" t="s">
        <v>17427</v>
      </c>
      <c r="X4144">
        <v>2</v>
      </c>
      <c r="Y4144" t="s">
        <v>23936</v>
      </c>
      <c r="Z4144" t="s">
        <v>30559</v>
      </c>
      <c r="AA4144">
        <v>0.59608921311002705</v>
      </c>
      <c r="AB4144" t="str">
        <f>HYPERLINK("Melting_Curves/meltCurve_Q6ZT21_2_TMPPE.pdf", "Melting_Curves/meltCurve_Q6ZT21_2_TMPPE.pdf")</f>
        <v>Melting_Curves/meltCurve_Q6ZT21_2_TMPPE.pdf</v>
      </c>
    </row>
    <row r="4145" spans="1:28" x14ac:dyDescent="0.25">
      <c r="A4145" t="s">
        <v>4149</v>
      </c>
      <c r="B4145">
        <v>0.99193492352474899</v>
      </c>
      <c r="C4145">
        <v>0.91671733474733896</v>
      </c>
      <c r="D4145">
        <v>0.84290900033504601</v>
      </c>
      <c r="E4145">
        <v>0.61015002702125098</v>
      </c>
      <c r="F4145">
        <v>0.30730698262246497</v>
      </c>
      <c r="G4145">
        <v>0.114079319446497</v>
      </c>
      <c r="H4145">
        <v>7.9998486938587507E-2</v>
      </c>
      <c r="I4145">
        <v>8.0409846086170494E-2</v>
      </c>
      <c r="J4145">
        <v>8.0154551268611499E-2</v>
      </c>
      <c r="K4145">
        <v>9.3379813288659005E-2</v>
      </c>
      <c r="L4145">
        <v>948.93340837512096</v>
      </c>
      <c r="M4145">
        <v>18.9064637011044</v>
      </c>
      <c r="N4145">
        <v>50.544203837710697</v>
      </c>
      <c r="O4145">
        <v>49.639577391676397</v>
      </c>
      <c r="P4145">
        <v>-8.9329337139740603E-2</v>
      </c>
      <c r="Q4145">
        <v>6.18893836821637E-2</v>
      </c>
      <c r="R4145">
        <v>0.99557167707315397</v>
      </c>
      <c r="S4145" t="s">
        <v>10815</v>
      </c>
      <c r="T4145" t="s">
        <v>13338</v>
      </c>
      <c r="U4145" t="s">
        <v>13338</v>
      </c>
      <c r="V4145" t="s">
        <v>13338</v>
      </c>
      <c r="W4145" t="s">
        <v>17428</v>
      </c>
      <c r="X4145">
        <v>10</v>
      </c>
      <c r="Y4145" t="s">
        <v>23937</v>
      </c>
      <c r="Z4145" t="s">
        <v>30560</v>
      </c>
      <c r="AA4145">
        <v>0.39510456520483672</v>
      </c>
      <c r="AB4145" t="str">
        <f>HYPERLINK("Melting_Curves/meltCurve_Q6ZT62_SH3BP1.pdf", "Melting_Curves/meltCurve_Q6ZT62_SH3BP1.pdf")</f>
        <v>Melting_Curves/meltCurve_Q6ZT62_SH3BP1.pdf</v>
      </c>
    </row>
    <row r="4146" spans="1:28" x14ac:dyDescent="0.25">
      <c r="A4146" t="s">
        <v>4150</v>
      </c>
      <c r="B4146">
        <v>0.99193492352474899</v>
      </c>
      <c r="C4146">
        <v>1.3356891488418801</v>
      </c>
      <c r="D4146">
        <v>1.0308626378152299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12029.9744522438</v>
      </c>
      <c r="M4146">
        <v>250</v>
      </c>
      <c r="N4146">
        <v>48.119897819860697</v>
      </c>
      <c r="O4146">
        <v>48.116818257538299</v>
      </c>
      <c r="P4146">
        <v>-1.29892212495507</v>
      </c>
      <c r="Q4146">
        <v>0</v>
      </c>
      <c r="R4146">
        <v>0.95792939339749605</v>
      </c>
      <c r="S4146" t="s">
        <v>10816</v>
      </c>
      <c r="T4146" t="s">
        <v>13338</v>
      </c>
      <c r="U4146" t="s">
        <v>13338</v>
      </c>
      <c r="V4146" t="s">
        <v>13338</v>
      </c>
      <c r="W4146" t="s">
        <v>17429</v>
      </c>
      <c r="X4146">
        <v>2</v>
      </c>
      <c r="Y4146" t="s">
        <v>23938</v>
      </c>
      <c r="Z4146" t="s">
        <v>30561</v>
      </c>
      <c r="AA4146">
        <v>0.27074770997091713</v>
      </c>
      <c r="AB4146" t="str">
        <f>HYPERLINK("Melting_Curves/meltCurve_Q6ZTN6_ANKRD13D.pdf", "Melting_Curves/meltCurve_Q6ZTN6_ANKRD13D.pdf")</f>
        <v>Melting_Curves/meltCurve_Q6ZTN6_ANKRD13D.pdf</v>
      </c>
    </row>
    <row r="4147" spans="1:28" x14ac:dyDescent="0.25">
      <c r="A4147" t="s">
        <v>4151</v>
      </c>
      <c r="B4147">
        <v>0.99193492352474899</v>
      </c>
      <c r="C4147">
        <v>0.84480145129789697</v>
      </c>
      <c r="D4147">
        <v>0.84770600920125205</v>
      </c>
      <c r="E4147">
        <v>0.62845928491897396</v>
      </c>
      <c r="F4147">
        <v>0.46497852100800402</v>
      </c>
      <c r="G4147">
        <v>0.30123217024876497</v>
      </c>
      <c r="H4147">
        <v>0.37883287421129602</v>
      </c>
      <c r="I4147">
        <v>0.51190390741273195</v>
      </c>
      <c r="J4147">
        <v>0.73245852119281796</v>
      </c>
      <c r="K4147">
        <v>0.78531487521267496</v>
      </c>
      <c r="L4147">
        <v>1169.5436585203499</v>
      </c>
      <c r="M4147">
        <v>25.1810241904336</v>
      </c>
      <c r="O4147">
        <v>46.155471523393899</v>
      </c>
      <c r="P4147">
        <v>-6.4022188756531803E-2</v>
      </c>
      <c r="Q4147">
        <v>0.53060896735720098</v>
      </c>
      <c r="R4147">
        <v>0.561874272349147</v>
      </c>
      <c r="S4147" t="s">
        <v>10817</v>
      </c>
      <c r="T4147" t="s">
        <v>13338</v>
      </c>
      <c r="U4147" t="s">
        <v>13338</v>
      </c>
      <c r="V4147" t="s">
        <v>13338</v>
      </c>
      <c r="W4147" t="s">
        <v>17430</v>
      </c>
      <c r="X4147">
        <v>3</v>
      </c>
      <c r="Y4147" t="s">
        <v>23939</v>
      </c>
      <c r="Z4147" t="s">
        <v>30562</v>
      </c>
      <c r="AA4147">
        <v>0.63564197304077985</v>
      </c>
      <c r="AB4147" t="str">
        <f>HYPERLINK("Melting_Curves/meltCurve_Q6ZUT1_C11orf57.pdf", "Melting_Curves/meltCurve_Q6ZUT1_C11orf57.pdf")</f>
        <v>Melting_Curves/meltCurve_Q6ZUT1_C11orf57.pdf</v>
      </c>
    </row>
    <row r="4148" spans="1:28" x14ac:dyDescent="0.25">
      <c r="A4148" t="s">
        <v>4152</v>
      </c>
      <c r="B4148">
        <v>0.99193492352474899</v>
      </c>
      <c r="C4148">
        <v>0.99087977831652196</v>
      </c>
      <c r="D4148">
        <v>0.77637140040859398</v>
      </c>
      <c r="E4148">
        <v>0.59198050541154801</v>
      </c>
      <c r="F4148">
        <v>0.44748703576419901</v>
      </c>
      <c r="G4148">
        <v>0.278606758053634</v>
      </c>
      <c r="H4148">
        <v>0.17497924585246299</v>
      </c>
      <c r="I4148">
        <v>0.137695994679886</v>
      </c>
      <c r="J4148">
        <v>0.16799458616476601</v>
      </c>
      <c r="K4148">
        <v>0.21393328769886499</v>
      </c>
      <c r="L4148">
        <v>738.82767493412996</v>
      </c>
      <c r="M4148">
        <v>14.7433006927556</v>
      </c>
      <c r="N4148">
        <v>51.341614664536699</v>
      </c>
      <c r="O4148">
        <v>49.217909334214703</v>
      </c>
      <c r="P4148">
        <v>-6.3761414085597296E-2</v>
      </c>
      <c r="Q4148">
        <v>0.14866712859772899</v>
      </c>
      <c r="R4148">
        <v>0.98721034480162095</v>
      </c>
      <c r="S4148" t="s">
        <v>10818</v>
      </c>
      <c r="T4148" t="s">
        <v>13338</v>
      </c>
      <c r="U4148" t="s">
        <v>13338</v>
      </c>
      <c r="V4148" t="s">
        <v>13338</v>
      </c>
      <c r="W4148" t="s">
        <v>17431</v>
      </c>
      <c r="X4148">
        <v>2</v>
      </c>
      <c r="Y4148" t="s">
        <v>23940</v>
      </c>
      <c r="Z4148" t="s">
        <v>30563</v>
      </c>
      <c r="AA4148">
        <v>0.45649345806961328</v>
      </c>
      <c r="AB4148" t="str">
        <f>HYPERLINK("Melting_Curves/meltCurve_Q6ZVK8_NUDT18.pdf", "Melting_Curves/meltCurve_Q6ZVK8_NUDT18.pdf")</f>
        <v>Melting_Curves/meltCurve_Q6ZVK8_NUDT18.pdf</v>
      </c>
    </row>
    <row r="4149" spans="1:28" x14ac:dyDescent="0.25">
      <c r="A4149" t="s">
        <v>4153</v>
      </c>
      <c r="B4149">
        <v>0.99193492352474899</v>
      </c>
      <c r="C4149">
        <v>0.97662867999520797</v>
      </c>
      <c r="D4149">
        <v>0.79037647241479803</v>
      </c>
      <c r="E4149">
        <v>0.47929412419272599</v>
      </c>
      <c r="F4149">
        <v>0.33815786285937799</v>
      </c>
      <c r="G4149">
        <v>0.15498617328522299</v>
      </c>
      <c r="H4149">
        <v>0.107965035536132</v>
      </c>
      <c r="I4149">
        <v>0.11520955036373801</v>
      </c>
      <c r="J4149">
        <v>0.154638933857323</v>
      </c>
      <c r="K4149">
        <v>7.2945235043307605E-2</v>
      </c>
      <c r="L4149">
        <v>880.62887270147098</v>
      </c>
      <c r="M4149">
        <v>17.920875488110099</v>
      </c>
      <c r="N4149">
        <v>49.769483468238903</v>
      </c>
      <c r="O4149">
        <v>48.540211229498702</v>
      </c>
      <c r="P4149">
        <v>-8.2941501570461498E-2</v>
      </c>
      <c r="Q4149">
        <v>0.101428761907514</v>
      </c>
      <c r="R4149">
        <v>0.992148654263453</v>
      </c>
      <c r="S4149" t="s">
        <v>10819</v>
      </c>
      <c r="T4149" t="s">
        <v>13338</v>
      </c>
      <c r="U4149" t="s">
        <v>13338</v>
      </c>
      <c r="V4149" t="s">
        <v>13338</v>
      </c>
      <c r="W4149" t="s">
        <v>17432</v>
      </c>
      <c r="X4149">
        <v>2</v>
      </c>
      <c r="Y4149" t="s">
        <v>23941</v>
      </c>
      <c r="Z4149" t="s">
        <v>30564</v>
      </c>
      <c r="AA4149">
        <v>0.39084874001582259</v>
      </c>
      <c r="AB4149" t="str">
        <f>HYPERLINK("Melting_Curves/meltCurve_Q6ZVM7_TOM1L2.pdf", "Melting_Curves/meltCurve_Q6ZVM7_TOM1L2.pdf")</f>
        <v>Melting_Curves/meltCurve_Q6ZVM7_TOM1L2.pdf</v>
      </c>
    </row>
    <row r="4150" spans="1:28" x14ac:dyDescent="0.25">
      <c r="A4150" t="s">
        <v>4154</v>
      </c>
      <c r="B4150">
        <v>0.99193492352474899</v>
      </c>
      <c r="C4150">
        <v>1.0854464245687201</v>
      </c>
      <c r="D4150">
        <v>0.99631824726172402</v>
      </c>
      <c r="E4150">
        <v>0.51610233733706701</v>
      </c>
      <c r="F4150">
        <v>0.37031432381567497</v>
      </c>
      <c r="G4150">
        <v>0.23704564569509701</v>
      </c>
      <c r="H4150">
        <v>0.12795648140270299</v>
      </c>
      <c r="I4150">
        <v>0.214673555814586</v>
      </c>
      <c r="J4150">
        <v>0.17872756338805301</v>
      </c>
      <c r="K4150">
        <v>0</v>
      </c>
      <c r="L4150">
        <v>1208.5479090583599</v>
      </c>
      <c r="M4150">
        <v>24.1876875057768</v>
      </c>
      <c r="N4150">
        <v>50.673622738351</v>
      </c>
      <c r="O4150">
        <v>49.627644876838701</v>
      </c>
      <c r="P4150">
        <v>-0.104372612112025</v>
      </c>
      <c r="Q4150">
        <v>0.143417538452353</v>
      </c>
      <c r="R4150">
        <v>0.95860182677538597</v>
      </c>
      <c r="S4150" t="s">
        <v>10820</v>
      </c>
      <c r="T4150" t="s">
        <v>13338</v>
      </c>
      <c r="U4150" t="s">
        <v>13338</v>
      </c>
      <c r="V4150" t="s">
        <v>13338</v>
      </c>
      <c r="W4150" t="s">
        <v>17433</v>
      </c>
      <c r="X4150">
        <v>2</v>
      </c>
      <c r="Y4150" t="s">
        <v>23942</v>
      </c>
      <c r="Z4150" t="s">
        <v>30565</v>
      </c>
      <c r="AA4150">
        <v>0.43613622231568211</v>
      </c>
      <c r="AB4150" t="str">
        <f>HYPERLINK("Melting_Curves/meltCurve_Q6ZXV5_2_TMTC3.pdf", "Melting_Curves/meltCurve_Q6ZXV5_2_TMTC3.pdf")</f>
        <v>Melting_Curves/meltCurve_Q6ZXV5_2_TMTC3.pdf</v>
      </c>
    </row>
    <row r="4151" spans="1:28" x14ac:dyDescent="0.25">
      <c r="A4151" t="s">
        <v>4155</v>
      </c>
      <c r="B4151">
        <v>0.99193492352474899</v>
      </c>
      <c r="C4151">
        <v>0.57040589641952399</v>
      </c>
      <c r="D4151">
        <v>0.70729288887959996</v>
      </c>
      <c r="E4151">
        <v>0.317346772668956</v>
      </c>
      <c r="F4151">
        <v>0.39467826343983797</v>
      </c>
      <c r="G4151">
        <v>0.38205630194333001</v>
      </c>
      <c r="H4151">
        <v>0.41507848796972402</v>
      </c>
      <c r="I4151">
        <v>0.38949514867073798</v>
      </c>
      <c r="J4151">
        <v>0.39225435155155203</v>
      </c>
      <c r="K4151">
        <v>0.40982815269214401</v>
      </c>
      <c r="L4151">
        <v>846.96961161290403</v>
      </c>
      <c r="M4151">
        <v>19.589266341348399</v>
      </c>
      <c r="N4151">
        <v>46.827289255095501</v>
      </c>
      <c r="O4151">
        <v>42.793409845539699</v>
      </c>
      <c r="P4151">
        <v>-6.9962845436794305E-2</v>
      </c>
      <c r="Q4151">
        <v>0.38867694419711801</v>
      </c>
      <c r="R4151">
        <v>0.80281790398392305</v>
      </c>
      <c r="S4151" t="s">
        <v>10821</v>
      </c>
      <c r="T4151" t="s">
        <v>13338</v>
      </c>
      <c r="U4151" t="s">
        <v>13338</v>
      </c>
      <c r="V4151" t="s">
        <v>13338</v>
      </c>
      <c r="W4151" t="s">
        <v>17434</v>
      </c>
      <c r="X4151">
        <v>2</v>
      </c>
      <c r="Y4151" t="s">
        <v>23943</v>
      </c>
      <c r="Z4151" t="s">
        <v>30566</v>
      </c>
      <c r="AA4151">
        <v>0.46895143137693052</v>
      </c>
      <c r="AB4151" t="str">
        <f>HYPERLINK("Melting_Curves/meltCurve_Q6ZYL4_GTF2H5.pdf", "Melting_Curves/meltCurve_Q6ZYL4_GTF2H5.pdf")</f>
        <v>Melting_Curves/meltCurve_Q6ZYL4_GTF2H5.pdf</v>
      </c>
    </row>
    <row r="4152" spans="1:28" x14ac:dyDescent="0.25">
      <c r="A4152" t="s">
        <v>4156</v>
      </c>
      <c r="B4152">
        <v>0.99193492352474899</v>
      </c>
      <c r="C4152">
        <v>0.97385841502947801</v>
      </c>
      <c r="D4152">
        <v>1.0124264488596799</v>
      </c>
      <c r="E4152">
        <v>0.82249040737270196</v>
      </c>
      <c r="F4152">
        <v>0.37170748136986898</v>
      </c>
      <c r="G4152">
        <v>0.13736814487492299</v>
      </c>
      <c r="H4152">
        <v>8.0996668140786293E-2</v>
      </c>
      <c r="I4152">
        <v>8.9740121020159297E-2</v>
      </c>
      <c r="J4152">
        <v>9.8914190229184504E-2</v>
      </c>
      <c r="K4152">
        <v>0.116726136636483</v>
      </c>
      <c r="L4152">
        <v>1700.34768512141</v>
      </c>
      <c r="M4152">
        <v>32.809700433802298</v>
      </c>
      <c r="N4152">
        <v>52.155078906626102</v>
      </c>
      <c r="O4152">
        <v>51.633154541040597</v>
      </c>
      <c r="P4152">
        <v>-0.14394818512906701</v>
      </c>
      <c r="Q4152">
        <v>9.3869811184575797E-2</v>
      </c>
      <c r="R4152">
        <v>0.99846309340302497</v>
      </c>
      <c r="S4152" t="s">
        <v>10822</v>
      </c>
      <c r="T4152" t="s">
        <v>13338</v>
      </c>
      <c r="U4152" t="s">
        <v>13338</v>
      </c>
      <c r="V4152" t="s">
        <v>13338</v>
      </c>
      <c r="W4152" t="s">
        <v>17435</v>
      </c>
      <c r="X4152">
        <v>66</v>
      </c>
      <c r="Y4152" t="s">
        <v>23944</v>
      </c>
      <c r="Z4152" t="s">
        <v>30567</v>
      </c>
      <c r="AA4152">
        <v>0.45585208079379952</v>
      </c>
      <c r="AB4152" t="str">
        <f>HYPERLINK("Melting_Curves/meltCurve_Q709C8_3_VPS13C.pdf", "Melting_Curves/meltCurve_Q709C8_3_VPS13C.pdf")</f>
        <v>Melting_Curves/meltCurve_Q709C8_3_VPS13C.pdf</v>
      </c>
    </row>
    <row r="4153" spans="1:28" x14ac:dyDescent="0.25">
      <c r="A4153" t="s">
        <v>4157</v>
      </c>
      <c r="B4153">
        <v>0.99193492352474899</v>
      </c>
      <c r="C4153">
        <v>0.76805458758272005</v>
      </c>
      <c r="D4153">
        <v>0.75371479456847801</v>
      </c>
      <c r="E4153">
        <v>0.34219476590324399</v>
      </c>
      <c r="F4153">
        <v>0.45626374435623701</v>
      </c>
      <c r="G4153">
        <v>0.27523637542192497</v>
      </c>
      <c r="H4153">
        <v>0.20516238608304299</v>
      </c>
      <c r="I4153">
        <v>0.20855208778349199</v>
      </c>
      <c r="J4153">
        <v>0.25239702095634597</v>
      </c>
      <c r="K4153">
        <v>0.253669994496243</v>
      </c>
      <c r="L4153">
        <v>691.03818714394595</v>
      </c>
      <c r="M4153">
        <v>14.750799323930099</v>
      </c>
      <c r="N4153">
        <v>48.840811375302302</v>
      </c>
      <c r="O4153">
        <v>46.011777115307197</v>
      </c>
      <c r="P4153">
        <v>-6.2028660150258499E-2</v>
      </c>
      <c r="Q4153">
        <v>0.22614610117012701</v>
      </c>
      <c r="R4153">
        <v>0.93403560058768098</v>
      </c>
      <c r="S4153" t="s">
        <v>10823</v>
      </c>
      <c r="T4153" t="s">
        <v>13338</v>
      </c>
      <c r="U4153" t="s">
        <v>13338</v>
      </c>
      <c r="V4153" t="s">
        <v>13338</v>
      </c>
      <c r="W4153" t="s">
        <v>17436</v>
      </c>
      <c r="X4153">
        <v>1</v>
      </c>
      <c r="Y4153" t="s">
        <v>23945</v>
      </c>
      <c r="Z4153" t="s">
        <v>30568</v>
      </c>
      <c r="AA4153">
        <v>0.42475464810366031</v>
      </c>
      <c r="AB4153" t="str">
        <f>HYPERLINK("Melting_Curves/meltCurve_Q70CQ2_USP34.pdf", "Melting_Curves/meltCurve_Q70CQ2_USP34.pdf")</f>
        <v>Melting_Curves/meltCurve_Q70CQ2_USP34.pdf</v>
      </c>
    </row>
    <row r="4154" spans="1:28" x14ac:dyDescent="0.25">
      <c r="A4154" t="s">
        <v>4158</v>
      </c>
      <c r="B4154">
        <v>0.99193492352474899</v>
      </c>
      <c r="C4154">
        <v>0.85446191197673804</v>
      </c>
      <c r="D4154">
        <v>0.88090259560638595</v>
      </c>
      <c r="E4154">
        <v>0.377686093200225</v>
      </c>
      <c r="F4154">
        <v>0.21161496773367899</v>
      </c>
      <c r="G4154">
        <v>0.19738606808516701</v>
      </c>
      <c r="H4154">
        <v>5.1595001448464198E-2</v>
      </c>
      <c r="I4154">
        <v>5.1952333437707998E-2</v>
      </c>
      <c r="J4154">
        <v>5.5764547741562899E-2</v>
      </c>
      <c r="K4154">
        <v>4.3328800688570097E-2</v>
      </c>
      <c r="L4154">
        <v>1013.37458098298</v>
      </c>
      <c r="M4154">
        <v>20.7992326338412</v>
      </c>
      <c r="N4154">
        <v>49.032659426355302</v>
      </c>
      <c r="O4154">
        <v>48.278069843894798</v>
      </c>
      <c r="P4154">
        <v>-0.10105386944195099</v>
      </c>
      <c r="Q4154">
        <v>6.1782978887031402E-2</v>
      </c>
      <c r="R4154">
        <v>0.97669644774356001</v>
      </c>
      <c r="S4154" t="s">
        <v>10824</v>
      </c>
      <c r="T4154" t="s">
        <v>13338</v>
      </c>
      <c r="U4154" t="s">
        <v>13338</v>
      </c>
      <c r="V4154" t="s">
        <v>13338</v>
      </c>
      <c r="W4154" t="s">
        <v>17437</v>
      </c>
      <c r="X4154">
        <v>7</v>
      </c>
      <c r="Y4154" t="s">
        <v>23946</v>
      </c>
      <c r="Z4154" t="s">
        <v>30569</v>
      </c>
      <c r="AA4154">
        <v>0.34670364420153271</v>
      </c>
      <c r="AB4154" t="str">
        <f>HYPERLINK("Melting_Curves/meltCurve_Q70IA6_MOB2.pdf", "Melting_Curves/meltCurve_Q70IA6_MOB2.pdf")</f>
        <v>Melting_Curves/meltCurve_Q70IA6_MOB2.pdf</v>
      </c>
    </row>
    <row r="4155" spans="1:28" x14ac:dyDescent="0.25">
      <c r="A4155" t="s">
        <v>4159</v>
      </c>
      <c r="B4155">
        <v>0.99193492352474899</v>
      </c>
      <c r="C4155">
        <v>0.72184982181031399</v>
      </c>
      <c r="D4155">
        <v>0.359839699127527</v>
      </c>
      <c r="E4155">
        <v>0.15796095635990601</v>
      </c>
      <c r="F4155">
        <v>0.117867180949978</v>
      </c>
      <c r="G4155">
        <v>6.80080378453604E-2</v>
      </c>
      <c r="H4155">
        <v>4.5866718295581699E-2</v>
      </c>
      <c r="I4155">
        <v>4.9242032726752698E-2</v>
      </c>
      <c r="J4155">
        <v>6.1066040368060202E-2</v>
      </c>
      <c r="K4155">
        <v>5.7404480692223502E-2</v>
      </c>
      <c r="L4155">
        <v>1068.8874783592601</v>
      </c>
      <c r="M4155">
        <v>23.972748404626799</v>
      </c>
      <c r="N4155">
        <v>44.8424027257321</v>
      </c>
      <c r="O4155">
        <v>44.280827436262797</v>
      </c>
      <c r="P4155">
        <v>-0.126728605836506</v>
      </c>
      <c r="Q4155">
        <v>6.3677269405895395E-2</v>
      </c>
      <c r="R4155">
        <v>0.99514262356072203</v>
      </c>
      <c r="S4155" t="s">
        <v>10825</v>
      </c>
      <c r="T4155" t="s">
        <v>13338</v>
      </c>
      <c r="U4155" t="s">
        <v>13338</v>
      </c>
      <c r="V4155" t="s">
        <v>13338</v>
      </c>
      <c r="W4155" t="s">
        <v>17438</v>
      </c>
      <c r="X4155">
        <v>25</v>
      </c>
      <c r="Y4155" t="s">
        <v>23947</v>
      </c>
      <c r="Z4155" t="s">
        <v>30570</v>
      </c>
      <c r="AA4155">
        <v>0.21769997847707559</v>
      </c>
      <c r="AB4155" t="str">
        <f>HYPERLINK("Melting_Curves/meltCurve_Q70J99_UNC13D.pdf", "Melting_Curves/meltCurve_Q70J99_UNC13D.pdf")</f>
        <v>Melting_Curves/meltCurve_Q70J99_UNC13D.pdf</v>
      </c>
    </row>
    <row r="4156" spans="1:28" x14ac:dyDescent="0.25">
      <c r="A4156" t="s">
        <v>4160</v>
      </c>
      <c r="B4156">
        <v>0.99193492352474899</v>
      </c>
      <c r="C4156">
        <v>0.985439880166874</v>
      </c>
      <c r="D4156">
        <v>0.89106686632763799</v>
      </c>
      <c r="E4156">
        <v>0.82145673014880305</v>
      </c>
      <c r="F4156">
        <v>0.43502910199921502</v>
      </c>
      <c r="G4156">
        <v>0.21270792342734801</v>
      </c>
      <c r="H4156">
        <v>0.124069384493372</v>
      </c>
      <c r="I4156">
        <v>0.12371409408548301</v>
      </c>
      <c r="J4156">
        <v>0.14921381193951999</v>
      </c>
      <c r="K4156">
        <v>0.12851349717357499</v>
      </c>
      <c r="L4156">
        <v>1279.2176333631801</v>
      </c>
      <c r="M4156">
        <v>24.609243619589598</v>
      </c>
      <c r="N4156">
        <v>52.573409887675801</v>
      </c>
      <c r="O4156">
        <v>51.641588222598202</v>
      </c>
      <c r="P4156">
        <v>-0.104714467931003</v>
      </c>
      <c r="Q4156">
        <v>0.121054816618061</v>
      </c>
      <c r="R4156">
        <v>0.99438377556369895</v>
      </c>
      <c r="S4156" t="s">
        <v>10826</v>
      </c>
      <c r="T4156" t="s">
        <v>13338</v>
      </c>
      <c r="U4156" t="s">
        <v>13338</v>
      </c>
      <c r="V4156" t="s">
        <v>13338</v>
      </c>
      <c r="W4156" t="s">
        <v>17439</v>
      </c>
      <c r="X4156">
        <v>7</v>
      </c>
      <c r="Y4156" t="s">
        <v>23948</v>
      </c>
      <c r="Z4156" t="s">
        <v>30571</v>
      </c>
      <c r="AA4156">
        <v>0.48035069513453083</v>
      </c>
      <c r="AB4156" t="str">
        <f>HYPERLINK("Melting_Curves/meltCurve_Q70UQ0_IKBIP.pdf", "Melting_Curves/meltCurve_Q70UQ0_IKBIP.pdf")</f>
        <v>Melting_Curves/meltCurve_Q70UQ0_IKBIP.pdf</v>
      </c>
    </row>
    <row r="4157" spans="1:28" x14ac:dyDescent="0.25">
      <c r="A4157" t="s">
        <v>4161</v>
      </c>
      <c r="B4157">
        <v>0.99193492352474899</v>
      </c>
      <c r="C4157">
        <v>0.78704223898964698</v>
      </c>
      <c r="D4157">
        <v>0.99551491285681903</v>
      </c>
      <c r="E4157">
        <v>0.767868225589176</v>
      </c>
      <c r="F4157">
        <v>0.54574534897575999</v>
      </c>
      <c r="G4157">
        <v>0.248231910405283</v>
      </c>
      <c r="H4157">
        <v>0.14252046605497101</v>
      </c>
      <c r="I4157">
        <v>0.13498439673771201</v>
      </c>
      <c r="J4157">
        <v>0.18062102186508999</v>
      </c>
      <c r="K4157">
        <v>0.224309801356466</v>
      </c>
      <c r="L4157">
        <v>1129.2191062852501</v>
      </c>
      <c r="M4157">
        <v>21.6111080874343</v>
      </c>
      <c r="N4157">
        <v>53.154731294023399</v>
      </c>
      <c r="O4157">
        <v>51.810561509873502</v>
      </c>
      <c r="P4157">
        <v>-8.8260838675701503E-2</v>
      </c>
      <c r="Q4157">
        <v>0.153632654192038</v>
      </c>
      <c r="R4157">
        <v>0.95057172136247203</v>
      </c>
      <c r="S4157" t="s">
        <v>10827</v>
      </c>
      <c r="T4157" t="s">
        <v>13338</v>
      </c>
      <c r="U4157" t="s">
        <v>13338</v>
      </c>
      <c r="V4157" t="s">
        <v>13338</v>
      </c>
      <c r="W4157" t="s">
        <v>17440</v>
      </c>
      <c r="X4157">
        <v>7</v>
      </c>
      <c r="Y4157" t="s">
        <v>23948</v>
      </c>
      <c r="Z4157" t="s">
        <v>30572</v>
      </c>
      <c r="AA4157">
        <v>0.50945881753973021</v>
      </c>
      <c r="AB4157" t="str">
        <f>HYPERLINK("Melting_Curves/meltCurve_Q70UQ0_4_IKBIP.pdf", "Melting_Curves/meltCurve_Q70UQ0_4_IKBIP.pdf")</f>
        <v>Melting_Curves/meltCurve_Q70UQ0_4_IKBIP.pdf</v>
      </c>
    </row>
    <row r="4158" spans="1:28" x14ac:dyDescent="0.25">
      <c r="A4158" t="s">
        <v>4162</v>
      </c>
      <c r="B4158">
        <v>0.99193492352474899</v>
      </c>
      <c r="C4158">
        <v>0.70424289668954898</v>
      </c>
      <c r="D4158">
        <v>0.70151372610736995</v>
      </c>
      <c r="E4158">
        <v>0.357741946363624</v>
      </c>
      <c r="F4158">
        <v>0.20231960419137501</v>
      </c>
      <c r="G4158">
        <v>0.13500729530480601</v>
      </c>
      <c r="H4158">
        <v>8.7019022379706407E-2</v>
      </c>
      <c r="I4158">
        <v>0.10543460352624801</v>
      </c>
      <c r="J4158">
        <v>7.1624564311759994E-2</v>
      </c>
      <c r="K4158">
        <v>9.6805157048361401E-2</v>
      </c>
      <c r="L4158">
        <v>674.98208749925504</v>
      </c>
      <c r="M4158">
        <v>14.3161426255466</v>
      </c>
      <c r="N4158">
        <v>47.624959317463698</v>
      </c>
      <c r="O4158">
        <v>46.256993560901101</v>
      </c>
      <c r="P4158">
        <v>-7.2217470055974703E-2</v>
      </c>
      <c r="Q4158">
        <v>6.6743634730290893E-2</v>
      </c>
      <c r="R4158">
        <v>0.97450034048189405</v>
      </c>
      <c r="S4158" t="s">
        <v>10828</v>
      </c>
      <c r="T4158" t="s">
        <v>13338</v>
      </c>
      <c r="U4158" t="s">
        <v>13338</v>
      </c>
      <c r="V4158" t="s">
        <v>13338</v>
      </c>
      <c r="W4158" t="s">
        <v>17441</v>
      </c>
      <c r="X4158">
        <v>5</v>
      </c>
      <c r="Y4158" t="s">
        <v>23949</v>
      </c>
      <c r="Z4158" t="s">
        <v>30573</v>
      </c>
      <c r="AA4158">
        <v>0.31673872929656649</v>
      </c>
      <c r="AB4158" t="str">
        <f>HYPERLINK("Melting_Curves/meltCurve_Q70Z53_2_FRA10AC1.pdf", "Melting_Curves/meltCurve_Q70Z53_2_FRA10AC1.pdf")</f>
        <v>Melting_Curves/meltCurve_Q70Z53_2_FRA10AC1.pdf</v>
      </c>
    </row>
    <row r="4159" spans="1:28" x14ac:dyDescent="0.25">
      <c r="A4159" t="s">
        <v>4163</v>
      </c>
      <c r="B4159">
        <v>0.99193492352474899</v>
      </c>
      <c r="C4159">
        <v>0.65259332798383496</v>
      </c>
      <c r="D4159">
        <v>0.865665601676878</v>
      </c>
      <c r="E4159">
        <v>0.59923005348892699</v>
      </c>
      <c r="F4159">
        <v>0.24774998017316199</v>
      </c>
      <c r="G4159">
        <v>0.13678200663265699</v>
      </c>
      <c r="H4159">
        <v>7.5001404619361306E-2</v>
      </c>
      <c r="I4159">
        <v>7.0726591941608893E-2</v>
      </c>
      <c r="J4159">
        <v>7.6071020368678202E-2</v>
      </c>
      <c r="K4159">
        <v>7.9775852723833099E-2</v>
      </c>
      <c r="L4159">
        <v>648.762289771263</v>
      </c>
      <c r="M4159">
        <v>13.041492463949</v>
      </c>
      <c r="N4159">
        <v>49.891720059079802</v>
      </c>
      <c r="O4159">
        <v>48.619963883834302</v>
      </c>
      <c r="P4159">
        <v>-6.5816814462010195E-2</v>
      </c>
      <c r="Q4159">
        <v>1.8685167090534398E-2</v>
      </c>
      <c r="R4159">
        <v>0.92600800309882003</v>
      </c>
      <c r="S4159" t="s">
        <v>10829</v>
      </c>
      <c r="T4159" t="s">
        <v>13338</v>
      </c>
      <c r="U4159" t="s">
        <v>13338</v>
      </c>
      <c r="V4159" t="s">
        <v>13338</v>
      </c>
      <c r="W4159" t="s">
        <v>17442</v>
      </c>
      <c r="X4159">
        <v>7</v>
      </c>
      <c r="Y4159" t="s">
        <v>23950</v>
      </c>
      <c r="Z4159" t="s">
        <v>30574</v>
      </c>
      <c r="AA4159">
        <v>0.36757955181067109</v>
      </c>
      <c r="AB4159" t="str">
        <f>HYPERLINK("Melting_Curves/meltCurve_Q712K3_UBE2R2.pdf", "Melting_Curves/meltCurve_Q712K3_UBE2R2.pdf")</f>
        <v>Melting_Curves/meltCurve_Q712K3_UBE2R2.pdf</v>
      </c>
    </row>
    <row r="4160" spans="1:28" x14ac:dyDescent="0.25">
      <c r="A4160" t="s">
        <v>4164</v>
      </c>
      <c r="B4160">
        <v>0.99193492352474899</v>
      </c>
      <c r="C4160">
        <v>0.437964394704625</v>
      </c>
      <c r="D4160">
        <v>0.72646423623972001</v>
      </c>
      <c r="E4160">
        <v>0.35066562890319097</v>
      </c>
      <c r="F4160">
        <v>0.236747382901803</v>
      </c>
      <c r="G4160">
        <v>0.111610657218303</v>
      </c>
      <c r="H4160">
        <v>9.4769366210602807E-2</v>
      </c>
      <c r="I4160">
        <v>0.123824002814235</v>
      </c>
      <c r="J4160">
        <v>0.14806546801961901</v>
      </c>
      <c r="K4160">
        <v>0.101056081712359</v>
      </c>
      <c r="L4160">
        <v>504.036495808344</v>
      </c>
      <c r="M4160">
        <v>10.9613071842384</v>
      </c>
      <c r="N4160">
        <v>46.638929299634299</v>
      </c>
      <c r="O4160">
        <v>44.532223379590398</v>
      </c>
      <c r="P4160">
        <v>-5.7161207542201199E-2</v>
      </c>
      <c r="Q4160">
        <v>7.14075493564785E-2</v>
      </c>
      <c r="R4160">
        <v>0.83610544198362402</v>
      </c>
      <c r="S4160" t="s">
        <v>10830</v>
      </c>
      <c r="T4160" t="s">
        <v>13338</v>
      </c>
      <c r="U4160" t="s">
        <v>13338</v>
      </c>
      <c r="V4160" t="s">
        <v>13338</v>
      </c>
      <c r="W4160" t="s">
        <v>17443</v>
      </c>
      <c r="X4160">
        <v>4</v>
      </c>
      <c r="Y4160" t="s">
        <v>23951</v>
      </c>
      <c r="Z4160" t="s">
        <v>30575</v>
      </c>
      <c r="AA4160">
        <v>0.30643561480249421</v>
      </c>
      <c r="AB4160" t="str">
        <f>HYPERLINK("Melting_Curves/meltCurve_Q71F23_MLF1IP.pdf", "Melting_Curves/meltCurve_Q71F23_MLF1IP.pdf")</f>
        <v>Melting_Curves/meltCurve_Q71F23_MLF1IP.pdf</v>
      </c>
    </row>
    <row r="4161" spans="1:28" x14ac:dyDescent="0.25">
      <c r="A4161" t="s">
        <v>4165</v>
      </c>
      <c r="B4161">
        <v>0.99193492352474899</v>
      </c>
      <c r="C4161">
        <v>0.57744910685933304</v>
      </c>
      <c r="D4161">
        <v>0.48876885451469798</v>
      </c>
      <c r="E4161">
        <v>0.21238725869553901</v>
      </c>
      <c r="F4161">
        <v>0.139782675123242</v>
      </c>
      <c r="G4161">
        <v>7.1744597885080294E-2</v>
      </c>
      <c r="H4161">
        <v>4.96039128904215E-2</v>
      </c>
      <c r="I4161">
        <v>6.8991661897081294E-2</v>
      </c>
      <c r="J4161">
        <v>7.4935770518812603E-2</v>
      </c>
      <c r="K4161">
        <v>8.5521886236010702E-2</v>
      </c>
      <c r="L4161">
        <v>742.67153187206395</v>
      </c>
      <c r="M4161">
        <v>16.5998569278945</v>
      </c>
      <c r="N4161">
        <v>45.113659988902199</v>
      </c>
      <c r="O4161">
        <v>44.105454534224698</v>
      </c>
      <c r="P4161">
        <v>-8.8048920612932194E-2</v>
      </c>
      <c r="Q4161">
        <v>6.42869026959179E-2</v>
      </c>
      <c r="R4161">
        <v>0.96613102926317695</v>
      </c>
      <c r="S4161" t="s">
        <v>10831</v>
      </c>
      <c r="T4161" t="s">
        <v>13338</v>
      </c>
      <c r="U4161" t="s">
        <v>13338</v>
      </c>
      <c r="V4161" t="s">
        <v>13338</v>
      </c>
      <c r="W4161" t="s">
        <v>17444</v>
      </c>
      <c r="X4161">
        <v>6</v>
      </c>
      <c r="Y4161" t="s">
        <v>23952</v>
      </c>
      <c r="Z4161" t="s">
        <v>30576</v>
      </c>
      <c r="AA4161">
        <v>0.23703034827925529</v>
      </c>
      <c r="AB4161" t="str">
        <f>HYPERLINK("Melting_Curves/meltCurve_Q71RC2_6_LARP4.pdf", "Melting_Curves/meltCurve_Q71RC2_6_LARP4.pdf")</f>
        <v>Melting_Curves/meltCurve_Q71RC2_6_LARP4.pdf</v>
      </c>
    </row>
    <row r="4162" spans="1:28" x14ac:dyDescent="0.25">
      <c r="A4162" t="s">
        <v>4166</v>
      </c>
      <c r="B4162">
        <v>0.99193492352474899</v>
      </c>
      <c r="C4162">
        <v>1.00162198159313</v>
      </c>
      <c r="D4162">
        <v>0.99390253331994505</v>
      </c>
      <c r="E4162">
        <v>0.59349634203310697</v>
      </c>
      <c r="F4162">
        <v>0.28061243551363702</v>
      </c>
      <c r="G4162">
        <v>7.9811597588600403E-2</v>
      </c>
      <c r="H4162">
        <v>4.5479077821034497E-2</v>
      </c>
      <c r="I4162">
        <v>4.2943281505556999E-2</v>
      </c>
      <c r="J4162">
        <v>2.3625035113109299E-2</v>
      </c>
      <c r="K4162">
        <v>0</v>
      </c>
      <c r="L4162">
        <v>1270.3216554906301</v>
      </c>
      <c r="M4162">
        <v>25.0883358828616</v>
      </c>
      <c r="N4162">
        <v>50.735798431342701</v>
      </c>
      <c r="O4162">
        <v>50.315542242197999</v>
      </c>
      <c r="P4162">
        <v>-0.121595502470496</v>
      </c>
      <c r="Q4162">
        <v>2.45566632631605E-2</v>
      </c>
      <c r="R4162">
        <v>0.99528079660468105</v>
      </c>
      <c r="S4162" t="s">
        <v>10832</v>
      </c>
      <c r="T4162" t="s">
        <v>13338</v>
      </c>
      <c r="U4162" t="s">
        <v>13338</v>
      </c>
      <c r="V4162" t="s">
        <v>13338</v>
      </c>
      <c r="W4162" t="s">
        <v>17445</v>
      </c>
      <c r="X4162">
        <v>3</v>
      </c>
      <c r="Y4162" t="s">
        <v>23953</v>
      </c>
      <c r="Z4162" t="s">
        <v>30577</v>
      </c>
      <c r="AA4162">
        <v>0.37903311368194842</v>
      </c>
      <c r="AB4162" t="str">
        <f>HYPERLINK("Melting_Curves/meltCurve_Q71SY5_2_MED25.pdf", "Melting_Curves/meltCurve_Q71SY5_2_MED25.pdf")</f>
        <v>Melting_Curves/meltCurve_Q71SY5_2_MED25.pdf</v>
      </c>
    </row>
    <row r="4163" spans="1:28" x14ac:dyDescent="0.25">
      <c r="A4163" t="s">
        <v>4167</v>
      </c>
      <c r="B4163">
        <v>0.99193492352474899</v>
      </c>
      <c r="C4163">
        <v>1.0033435814448199</v>
      </c>
      <c r="D4163">
        <v>0.91539896294279799</v>
      </c>
      <c r="E4163">
        <v>0.79165429903455198</v>
      </c>
      <c r="F4163">
        <v>0.72785782862294801</v>
      </c>
      <c r="G4163">
        <v>0.44397708078597398</v>
      </c>
      <c r="H4163">
        <v>0.18619694385082999</v>
      </c>
      <c r="I4163">
        <v>0.110880235186404</v>
      </c>
      <c r="J4163">
        <v>0.115577912050034</v>
      </c>
      <c r="K4163">
        <v>0.11773513363591701</v>
      </c>
      <c r="L4163">
        <v>838.11871273992995</v>
      </c>
      <c r="M4163">
        <v>15.1479299794476</v>
      </c>
      <c r="N4163">
        <v>55.6314274691169</v>
      </c>
      <c r="O4163">
        <v>54.391536240256102</v>
      </c>
      <c r="P4163">
        <v>-6.6878266075952403E-2</v>
      </c>
      <c r="Q4163">
        <v>3.9536610882605301E-2</v>
      </c>
      <c r="R4163">
        <v>0.98745802827687201</v>
      </c>
      <c r="S4163" t="s">
        <v>10833</v>
      </c>
      <c r="T4163" t="s">
        <v>13338</v>
      </c>
      <c r="U4163" t="s">
        <v>13338</v>
      </c>
      <c r="V4163" t="s">
        <v>13338</v>
      </c>
      <c r="W4163" t="s">
        <v>17446</v>
      </c>
      <c r="X4163">
        <v>33</v>
      </c>
      <c r="Y4163" t="s">
        <v>23954</v>
      </c>
      <c r="Z4163" t="s">
        <v>30578</v>
      </c>
      <c r="AA4163">
        <v>0.54819098582544834</v>
      </c>
      <c r="AB4163" t="str">
        <f>HYPERLINK("Melting_Curves/meltCurve_Q71U36_2_TUBA1A.pdf", "Melting_Curves/meltCurve_Q71U36_2_TUBA1A.pdf")</f>
        <v>Melting_Curves/meltCurve_Q71U36_2_TUBA1A.pdf</v>
      </c>
    </row>
    <row r="4164" spans="1:28" x14ac:dyDescent="0.25">
      <c r="A4164" t="s">
        <v>4168</v>
      </c>
      <c r="B4164">
        <v>0.99193492352474899</v>
      </c>
      <c r="C4164">
        <v>0.61392981121943602</v>
      </c>
      <c r="D4164">
        <v>0.48745954580622097</v>
      </c>
      <c r="E4164">
        <v>0.35491632636341103</v>
      </c>
      <c r="F4164">
        <v>0.33532400504091803</v>
      </c>
      <c r="G4164">
        <v>0.19545096883746799</v>
      </c>
      <c r="H4164">
        <v>0.26626471704639099</v>
      </c>
      <c r="I4164">
        <v>0.30479771089212598</v>
      </c>
      <c r="J4164">
        <v>0.41484396582981597</v>
      </c>
      <c r="K4164">
        <v>0.63062718493576397</v>
      </c>
      <c r="L4164">
        <v>1443.1601902592499</v>
      </c>
      <c r="M4164">
        <v>33.823827415190898</v>
      </c>
      <c r="N4164">
        <v>44.373573150769303</v>
      </c>
      <c r="O4164">
        <v>42.518653897115399</v>
      </c>
      <c r="P4164">
        <v>-0.12651570432093301</v>
      </c>
      <c r="Q4164">
        <v>0.36385014828742801</v>
      </c>
      <c r="R4164">
        <v>0.74664757310100405</v>
      </c>
      <c r="S4164" t="s">
        <v>10834</v>
      </c>
      <c r="T4164" t="s">
        <v>13338</v>
      </c>
      <c r="U4164" t="s">
        <v>13338</v>
      </c>
      <c r="V4164" t="s">
        <v>13338</v>
      </c>
      <c r="W4164" t="s">
        <v>17447</v>
      </c>
      <c r="X4164">
        <v>5</v>
      </c>
      <c r="Y4164" t="s">
        <v>23955</v>
      </c>
      <c r="Z4164" t="s">
        <v>30579</v>
      </c>
      <c r="AA4164">
        <v>0.4252582425514681</v>
      </c>
      <c r="AB4164" t="str">
        <f>HYPERLINK("Melting_Curves/meltCurve_Q71UI9_H2AFV.pdf", "Melting_Curves/meltCurve_Q71UI9_H2AFV.pdf")</f>
        <v>Melting_Curves/meltCurve_Q71UI9_H2AFV.pdf</v>
      </c>
    </row>
    <row r="4165" spans="1:28" x14ac:dyDescent="0.25">
      <c r="A4165" t="s">
        <v>4169</v>
      </c>
      <c r="B4165">
        <v>0.99193492352474899</v>
      </c>
      <c r="C4165">
        <v>1.00030532911902</v>
      </c>
      <c r="D4165">
        <v>1.0007724465113901</v>
      </c>
      <c r="E4165">
        <v>0.38903877052151498</v>
      </c>
      <c r="F4165">
        <v>3.23752461282584E-2</v>
      </c>
      <c r="G4165">
        <v>2.15771928578069E-2</v>
      </c>
      <c r="H4165">
        <v>0</v>
      </c>
      <c r="I4165">
        <v>0</v>
      </c>
      <c r="J4165">
        <v>0</v>
      </c>
      <c r="K4165">
        <v>0</v>
      </c>
      <c r="L4165">
        <v>3155.6558168106399</v>
      </c>
      <c r="M4165">
        <v>64.088035122229797</v>
      </c>
      <c r="N4165">
        <v>49.250906298601102</v>
      </c>
      <c r="O4165">
        <v>49.191515772709501</v>
      </c>
      <c r="P4165">
        <v>-0.32327972000243699</v>
      </c>
      <c r="Q4165">
        <v>7.4519057191210396E-3</v>
      </c>
      <c r="R4165">
        <v>0.999545085983776</v>
      </c>
      <c r="S4165" t="s">
        <v>10835</v>
      </c>
      <c r="T4165" t="s">
        <v>13338</v>
      </c>
      <c r="U4165" t="s">
        <v>13338</v>
      </c>
      <c r="V4165" t="s">
        <v>13338</v>
      </c>
      <c r="W4165" t="s">
        <v>17448</v>
      </c>
      <c r="X4165">
        <v>3</v>
      </c>
      <c r="Y4165" t="s">
        <v>23956</v>
      </c>
      <c r="Z4165" t="s">
        <v>30580</v>
      </c>
      <c r="AA4165">
        <v>0.31444586881064018</v>
      </c>
      <c r="AB4165" t="str">
        <f>HYPERLINK("Melting_Curves/meltCurve_Q75QN2_INTS8.pdf", "Melting_Curves/meltCurve_Q75QN2_INTS8.pdf")</f>
        <v>Melting_Curves/meltCurve_Q75QN2_INTS8.pdf</v>
      </c>
    </row>
    <row r="4166" spans="1:28" x14ac:dyDescent="0.25">
      <c r="A4166" t="s">
        <v>4170</v>
      </c>
      <c r="B4166">
        <v>0.99193492352474899</v>
      </c>
      <c r="C4166">
        <v>0.43644597124769102</v>
      </c>
      <c r="D4166">
        <v>0.67688815692250104</v>
      </c>
      <c r="E4166">
        <v>0.278621826159902</v>
      </c>
      <c r="F4166">
        <v>0.26587314916050098</v>
      </c>
      <c r="G4166">
        <v>0.12738536182679</v>
      </c>
      <c r="H4166">
        <v>0.111199409770617</v>
      </c>
      <c r="I4166">
        <v>0.14963853997673199</v>
      </c>
      <c r="J4166">
        <v>0.232018181148504</v>
      </c>
      <c r="K4166">
        <v>0.235354044057735</v>
      </c>
      <c r="L4166">
        <v>612.69335458979697</v>
      </c>
      <c r="M4166">
        <v>13.7980476047463</v>
      </c>
      <c r="N4166">
        <v>45.711584044711898</v>
      </c>
      <c r="O4166">
        <v>43.502830915321198</v>
      </c>
      <c r="P4166">
        <v>-6.6376585522977594E-2</v>
      </c>
      <c r="Q4166">
        <v>0.163022304564688</v>
      </c>
      <c r="R4166">
        <v>0.80396613659689498</v>
      </c>
      <c r="S4166" t="s">
        <v>10836</v>
      </c>
      <c r="T4166" t="s">
        <v>13338</v>
      </c>
      <c r="U4166" t="s">
        <v>13338</v>
      </c>
      <c r="V4166" t="s">
        <v>13338</v>
      </c>
      <c r="W4166" t="s">
        <v>17449</v>
      </c>
      <c r="X4166">
        <v>3</v>
      </c>
      <c r="Y4166" t="s">
        <v>23957</v>
      </c>
      <c r="Z4166" t="s">
        <v>30581</v>
      </c>
      <c r="AA4166">
        <v>0.32001582546234719</v>
      </c>
      <c r="AB4166" t="str">
        <f>HYPERLINK("Melting_Curves/meltCurve_Q76FK4_4_NOL8.pdf", "Melting_Curves/meltCurve_Q76FK4_4_NOL8.pdf")</f>
        <v>Melting_Curves/meltCurve_Q76FK4_4_NOL8.pdf</v>
      </c>
    </row>
    <row r="4167" spans="1:28" x14ac:dyDescent="0.25">
      <c r="A4167" t="s">
        <v>4171</v>
      </c>
      <c r="B4167">
        <v>0.99193492352474899</v>
      </c>
      <c r="C4167">
        <v>0.92499575413997603</v>
      </c>
      <c r="D4167">
        <v>0.97234955736933404</v>
      </c>
      <c r="E4167">
        <v>0.75749699643464696</v>
      </c>
      <c r="F4167">
        <v>0.46788394560496099</v>
      </c>
      <c r="G4167">
        <v>0.20814410998254601</v>
      </c>
      <c r="H4167">
        <v>0.10561385025172</v>
      </c>
      <c r="I4167">
        <v>0.14090308659803399</v>
      </c>
      <c r="J4167">
        <v>0.170036357887906</v>
      </c>
      <c r="K4167">
        <v>0.18111105186399401</v>
      </c>
      <c r="L4167">
        <v>1243.029657216</v>
      </c>
      <c r="M4167">
        <v>24.009630618254999</v>
      </c>
      <c r="N4167">
        <v>52.486055852974403</v>
      </c>
      <c r="O4167">
        <v>51.416964704593497</v>
      </c>
      <c r="P4167">
        <v>-0.100478523691116</v>
      </c>
      <c r="Q4167">
        <v>0.13930847346091499</v>
      </c>
      <c r="R4167">
        <v>0.99023060157424203</v>
      </c>
      <c r="S4167" t="s">
        <v>10837</v>
      </c>
      <c r="T4167" t="s">
        <v>13338</v>
      </c>
      <c r="U4167" t="s">
        <v>13338</v>
      </c>
      <c r="V4167" t="s">
        <v>13338</v>
      </c>
      <c r="W4167" t="s">
        <v>17450</v>
      </c>
      <c r="X4167">
        <v>11</v>
      </c>
      <c r="Y4167" t="s">
        <v>23958</v>
      </c>
      <c r="Z4167" t="s">
        <v>30582</v>
      </c>
      <c r="AA4167">
        <v>0.48552170286307123</v>
      </c>
      <c r="AB4167" t="str">
        <f>HYPERLINK("Melting_Curves/meltCurve_Q7KYR7_BTN2A1.pdf", "Melting_Curves/meltCurve_Q7KYR7_BTN2A1.pdf")</f>
        <v>Melting_Curves/meltCurve_Q7KYR7_BTN2A1.pdf</v>
      </c>
    </row>
    <row r="4168" spans="1:28" x14ac:dyDescent="0.25">
      <c r="A4168" t="s">
        <v>4172</v>
      </c>
      <c r="B4168">
        <v>0.99193492352474899</v>
      </c>
      <c r="C4168">
        <v>0.960594899846137</v>
      </c>
      <c r="D4168">
        <v>0.80615096814684195</v>
      </c>
      <c r="E4168">
        <v>0.29902840739276798</v>
      </c>
      <c r="F4168">
        <v>0.177996062101274</v>
      </c>
      <c r="G4168">
        <v>0.10745751925840601</v>
      </c>
      <c r="H4168">
        <v>6.8845301593220401E-2</v>
      </c>
      <c r="I4168">
        <v>7.6344797367303693E-2</v>
      </c>
      <c r="J4168">
        <v>9.1333139856127898E-2</v>
      </c>
      <c r="K4168">
        <v>8.6690044879714906E-2</v>
      </c>
      <c r="L4168">
        <v>1454.1952794746301</v>
      </c>
      <c r="M4168">
        <v>30.398063421833601</v>
      </c>
      <c r="N4168">
        <v>48.154634769690396</v>
      </c>
      <c r="O4168">
        <v>47.6328169863055</v>
      </c>
      <c r="P4168">
        <v>-0.14510959147845601</v>
      </c>
      <c r="Q4168">
        <v>9.0476812594298697E-2</v>
      </c>
      <c r="R4168">
        <v>0.99712983255140897</v>
      </c>
      <c r="S4168" t="s">
        <v>10838</v>
      </c>
      <c r="T4168" t="s">
        <v>13338</v>
      </c>
      <c r="U4168" t="s">
        <v>13338</v>
      </c>
      <c r="V4168" t="s">
        <v>13338</v>
      </c>
      <c r="W4168" t="s">
        <v>17451</v>
      </c>
      <c r="X4168">
        <v>45</v>
      </c>
      <c r="Y4168" t="s">
        <v>23959</v>
      </c>
      <c r="Z4168" t="s">
        <v>30583</v>
      </c>
      <c r="AA4168">
        <v>0.33343553686291472</v>
      </c>
      <c r="AB4168" t="str">
        <f>HYPERLINK("Melting_Curves/meltCurve_Q7KZ85_SUPT6H.pdf", "Melting_Curves/meltCurve_Q7KZ85_SUPT6H.pdf")</f>
        <v>Melting_Curves/meltCurve_Q7KZ85_SUPT6H.pdf</v>
      </c>
    </row>
    <row r="4169" spans="1:28" x14ac:dyDescent="0.25">
      <c r="A4169" t="s">
        <v>4173</v>
      </c>
      <c r="B4169">
        <v>0.99193492352474899</v>
      </c>
      <c r="C4169">
        <v>0.95961222569131699</v>
      </c>
      <c r="D4169">
        <v>1.1619191429003499</v>
      </c>
      <c r="E4169">
        <v>0.81882198620840196</v>
      </c>
      <c r="F4169">
        <v>1.1272468282106101</v>
      </c>
      <c r="G4169">
        <v>0.85758517706441395</v>
      </c>
      <c r="H4169">
        <v>0.65097691847349104</v>
      </c>
      <c r="I4169">
        <v>1.1260626712284001</v>
      </c>
      <c r="J4169">
        <v>0.89461429790992997</v>
      </c>
      <c r="K4169">
        <v>1.3964057998627499</v>
      </c>
      <c r="L4169">
        <v>15000</v>
      </c>
      <c r="M4169">
        <v>215.62484285522899</v>
      </c>
      <c r="O4169">
        <v>69.559300816525393</v>
      </c>
      <c r="P4169">
        <v>0.38748393925277702</v>
      </c>
      <c r="Q4169">
        <v>1.5</v>
      </c>
      <c r="R4169">
        <v>0.389630876664467</v>
      </c>
      <c r="S4169" t="s">
        <v>10839</v>
      </c>
      <c r="T4169" t="s">
        <v>13338</v>
      </c>
      <c r="U4169" t="s">
        <v>13338</v>
      </c>
      <c r="V4169" t="s">
        <v>13338</v>
      </c>
      <c r="W4169" t="s">
        <v>17452</v>
      </c>
      <c r="X4169">
        <v>16</v>
      </c>
      <c r="Y4169" t="s">
        <v>23959</v>
      </c>
      <c r="Z4169" t="s">
        <v>30584</v>
      </c>
      <c r="AA4169">
        <v>1.00844341493539</v>
      </c>
      <c r="AB4169" t="str">
        <f>HYPERLINK("Melting_Curves/meltCurve_Q7KZ85_2_SUPT6H.pdf", "Melting_Curves/meltCurve_Q7KZ85_2_SUPT6H.pdf")</f>
        <v>Melting_Curves/meltCurve_Q7KZ85_2_SUPT6H.pdf</v>
      </c>
    </row>
    <row r="4170" spans="1:28" x14ac:dyDescent="0.25">
      <c r="A4170" t="s">
        <v>4174</v>
      </c>
      <c r="B4170">
        <v>0.99193492352474899</v>
      </c>
      <c r="C4170">
        <v>0.60154256836003495</v>
      </c>
      <c r="D4170">
        <v>0.317716952765559</v>
      </c>
      <c r="E4170">
        <v>0.13456742956968201</v>
      </c>
      <c r="F4170">
        <v>9.8033406389834002E-2</v>
      </c>
      <c r="G4170">
        <v>5.8361838526258203E-2</v>
      </c>
      <c r="H4170">
        <v>3.8955953782867599E-2</v>
      </c>
      <c r="I4170">
        <v>4.7371097394241203E-2</v>
      </c>
      <c r="J4170">
        <v>5.8218824065770898E-2</v>
      </c>
      <c r="K4170">
        <v>7.0215455186943596E-2</v>
      </c>
      <c r="L4170">
        <v>1046.4355469345201</v>
      </c>
      <c r="M4170">
        <v>23.860476948635799</v>
      </c>
      <c r="N4170">
        <v>44.101362140576903</v>
      </c>
      <c r="O4170">
        <v>43.551854836144699</v>
      </c>
      <c r="P4170">
        <v>-0.12846866071743199</v>
      </c>
      <c r="Q4170">
        <v>6.2054014401852403E-2</v>
      </c>
      <c r="R4170">
        <v>0.98795834148593298</v>
      </c>
      <c r="S4170" t="s">
        <v>10840</v>
      </c>
      <c r="T4170" t="s">
        <v>13338</v>
      </c>
      <c r="U4170" t="s">
        <v>13338</v>
      </c>
      <c r="V4170" t="s">
        <v>13338</v>
      </c>
      <c r="W4170" t="s">
        <v>17453</v>
      </c>
      <c r="X4170">
        <v>54</v>
      </c>
      <c r="Y4170" t="s">
        <v>23960</v>
      </c>
      <c r="Z4170" t="s">
        <v>30585</v>
      </c>
      <c r="AA4170">
        <v>0.19497371336172339</v>
      </c>
      <c r="AB4170" t="str">
        <f>HYPERLINK("Melting_Curves/meltCurve_Q7KZF4_SND1.pdf", "Melting_Curves/meltCurve_Q7KZF4_SND1.pdf")</f>
        <v>Melting_Curves/meltCurve_Q7KZF4_SND1.pdf</v>
      </c>
    </row>
    <row r="4171" spans="1:28" x14ac:dyDescent="0.25">
      <c r="A4171" t="s">
        <v>4175</v>
      </c>
      <c r="B4171">
        <v>0.99193492352474899</v>
      </c>
      <c r="C4171">
        <v>0.82193563570672201</v>
      </c>
      <c r="D4171">
        <v>0.94264427532943396</v>
      </c>
      <c r="E4171">
        <v>0.72769602716002701</v>
      </c>
      <c r="F4171">
        <v>0.68609572451789202</v>
      </c>
      <c r="G4171">
        <v>0.36904766099360597</v>
      </c>
      <c r="H4171">
        <v>0.171661924737844</v>
      </c>
      <c r="I4171">
        <v>0.10447820867234001</v>
      </c>
      <c r="J4171">
        <v>0.10673526256534099</v>
      </c>
      <c r="K4171">
        <v>7.4824401876390598E-2</v>
      </c>
      <c r="L4171">
        <v>687.05222142405</v>
      </c>
      <c r="M4171">
        <v>12.571434250205099</v>
      </c>
      <c r="N4171">
        <v>54.651856531701803</v>
      </c>
      <c r="O4171">
        <v>53.324277280405497</v>
      </c>
      <c r="P4171">
        <v>-5.8950468014301101E-2</v>
      </c>
      <c r="Q4171">
        <v>0</v>
      </c>
      <c r="R4171">
        <v>0.96802948178489301</v>
      </c>
      <c r="S4171" t="s">
        <v>10841</v>
      </c>
      <c r="T4171" t="s">
        <v>13338</v>
      </c>
      <c r="U4171" t="s">
        <v>13338</v>
      </c>
      <c r="V4171" t="s">
        <v>13338</v>
      </c>
      <c r="W4171" t="s">
        <v>17454</v>
      </c>
      <c r="X4171">
        <v>3</v>
      </c>
      <c r="Y4171" t="s">
        <v>23961</v>
      </c>
      <c r="Z4171" t="s">
        <v>30586</v>
      </c>
      <c r="AA4171">
        <v>0.51190883239908613</v>
      </c>
      <c r="AB4171" t="str">
        <f>HYPERLINK("Melting_Curves/meltCurve_Q7KZN9_2_COX15.pdf", "Melting_Curves/meltCurve_Q7KZN9_2_COX15.pdf")</f>
        <v>Melting_Curves/meltCurve_Q7KZN9_2_COX15.pdf</v>
      </c>
    </row>
    <row r="4172" spans="1:28" x14ac:dyDescent="0.25">
      <c r="A4172" t="s">
        <v>4176</v>
      </c>
      <c r="B4172">
        <v>0.99193492352474899</v>
      </c>
      <c r="C4172">
        <v>0.77866996634374197</v>
      </c>
      <c r="D4172">
        <v>0.79898348145439102</v>
      </c>
      <c r="E4172">
        <v>0.28195137247520502</v>
      </c>
      <c r="F4172">
        <v>0.131240307591202</v>
      </c>
      <c r="G4172">
        <v>7.0477720561892707E-2</v>
      </c>
      <c r="H4172">
        <v>4.7317598279077298E-2</v>
      </c>
      <c r="I4172">
        <v>5.3773053543171197E-2</v>
      </c>
      <c r="J4172">
        <v>6.1817297219297497E-2</v>
      </c>
      <c r="K4172">
        <v>5.8250204579513902E-2</v>
      </c>
      <c r="L4172">
        <v>1049.11385176828</v>
      </c>
      <c r="M4172">
        <v>22.017375599611299</v>
      </c>
      <c r="N4172">
        <v>47.863132262306102</v>
      </c>
      <c r="O4172">
        <v>47.261507488769702</v>
      </c>
      <c r="P4172">
        <v>-0.111014275113023</v>
      </c>
      <c r="Q4172">
        <v>4.6828224479649599E-2</v>
      </c>
      <c r="R4172">
        <v>0.97408789143121699</v>
      </c>
      <c r="S4172" t="s">
        <v>10842</v>
      </c>
      <c r="T4172" t="s">
        <v>13338</v>
      </c>
      <c r="U4172" t="s">
        <v>13338</v>
      </c>
      <c r="V4172" t="s">
        <v>13338</v>
      </c>
      <c r="W4172" t="s">
        <v>17455</v>
      </c>
      <c r="X4172">
        <v>47</v>
      </c>
      <c r="Y4172" t="s">
        <v>23962</v>
      </c>
      <c r="Z4172" t="s">
        <v>30587</v>
      </c>
      <c r="AA4172">
        <v>0.30096635449699699</v>
      </c>
      <c r="AB4172" t="str">
        <f>HYPERLINK("Melting_Curves/meltCurve_Q7L014_DDX46.pdf", "Melting_Curves/meltCurve_Q7L014_DDX46.pdf")</f>
        <v>Melting_Curves/meltCurve_Q7L014_DDX46.pdf</v>
      </c>
    </row>
    <row r="4173" spans="1:28" x14ac:dyDescent="0.25">
      <c r="A4173" t="s">
        <v>4177</v>
      </c>
      <c r="B4173">
        <v>0.99193492352474899</v>
      </c>
      <c r="C4173">
        <v>0.81039461239511101</v>
      </c>
      <c r="D4173">
        <v>0.724892955371083</v>
      </c>
      <c r="E4173">
        <v>0.216297488884865</v>
      </c>
      <c r="F4173">
        <v>0.108566628488162</v>
      </c>
      <c r="G4173">
        <v>8.1324020806070998E-2</v>
      </c>
      <c r="H4173">
        <v>5.6010531566238503E-2</v>
      </c>
      <c r="I4173">
        <v>6.9538226727540106E-2</v>
      </c>
      <c r="J4173">
        <v>5.9464302003749199E-2</v>
      </c>
      <c r="K4173">
        <v>0.13351710192251201</v>
      </c>
      <c r="L4173">
        <v>1185.78065860171</v>
      </c>
      <c r="M4173">
        <v>25.256374669788499</v>
      </c>
      <c r="N4173">
        <v>47.237324523900099</v>
      </c>
      <c r="O4173">
        <v>46.658366145380498</v>
      </c>
      <c r="P4173">
        <v>-0.12568454328120901</v>
      </c>
      <c r="Q4173">
        <v>7.1258232369563607E-2</v>
      </c>
      <c r="R4173">
        <v>0.98009580099180904</v>
      </c>
      <c r="S4173" t="s">
        <v>10843</v>
      </c>
      <c r="T4173" t="s">
        <v>13338</v>
      </c>
      <c r="U4173" t="s">
        <v>13338</v>
      </c>
      <c r="V4173" t="s">
        <v>13338</v>
      </c>
      <c r="W4173" t="s">
        <v>17456</v>
      </c>
      <c r="X4173">
        <v>6</v>
      </c>
      <c r="Y4173" t="s">
        <v>23963</v>
      </c>
      <c r="Z4173" t="s">
        <v>30588</v>
      </c>
      <c r="AA4173">
        <v>0.29452478635678231</v>
      </c>
      <c r="AB4173" t="str">
        <f>HYPERLINK("Melting_Curves/meltCurve_Q7L099_2_RUFY3.pdf", "Melting_Curves/meltCurve_Q7L099_2_RUFY3.pdf")</f>
        <v>Melting_Curves/meltCurve_Q7L099_2_RUFY3.pdf</v>
      </c>
    </row>
    <row r="4174" spans="1:28" x14ac:dyDescent="0.25">
      <c r="A4174" t="s">
        <v>4178</v>
      </c>
      <c r="B4174">
        <v>0.99193492352474899</v>
      </c>
      <c r="C4174">
        <v>0.897679043483537</v>
      </c>
      <c r="D4174">
        <v>0.76589644294540904</v>
      </c>
      <c r="E4174">
        <v>0.31541452837490702</v>
      </c>
      <c r="F4174">
        <v>0.184466976199616</v>
      </c>
      <c r="G4174">
        <v>0.110271098193426</v>
      </c>
      <c r="H4174">
        <v>6.4010399417611302E-2</v>
      </c>
      <c r="I4174">
        <v>7.1878239897609594E-2</v>
      </c>
      <c r="J4174">
        <v>8.4479213141141596E-2</v>
      </c>
      <c r="K4174">
        <v>9.5419649862654402E-2</v>
      </c>
      <c r="L4174">
        <v>1132.95385491096</v>
      </c>
      <c r="M4174">
        <v>23.741110468597402</v>
      </c>
      <c r="N4174">
        <v>48.082285633278801</v>
      </c>
      <c r="O4174">
        <v>47.386457171107999</v>
      </c>
      <c r="P4174">
        <v>-0.115027574199234</v>
      </c>
      <c r="Q4174">
        <v>8.1650251418254993E-2</v>
      </c>
      <c r="R4174">
        <v>0.99543934614982599</v>
      </c>
      <c r="S4174" t="s">
        <v>10844</v>
      </c>
      <c r="T4174" t="s">
        <v>13338</v>
      </c>
      <c r="U4174" t="s">
        <v>13338</v>
      </c>
      <c r="V4174" t="s">
        <v>13338</v>
      </c>
      <c r="W4174" t="s">
        <v>17457</v>
      </c>
      <c r="X4174">
        <v>8</v>
      </c>
      <c r="Y4174" t="s">
        <v>23963</v>
      </c>
      <c r="Z4174" t="s">
        <v>30589</v>
      </c>
      <c r="AA4174">
        <v>0.32708871293876501</v>
      </c>
      <c r="AB4174" t="str">
        <f>HYPERLINK("Melting_Curves/meltCurve_Q7L099_4_RUFY3.pdf", "Melting_Curves/meltCurve_Q7L099_4_RUFY3.pdf")</f>
        <v>Melting_Curves/meltCurve_Q7L099_4_RUFY3.pdf</v>
      </c>
    </row>
    <row r="4175" spans="1:28" x14ac:dyDescent="0.25">
      <c r="A4175" t="s">
        <v>4179</v>
      </c>
      <c r="B4175">
        <v>0.99193492352474899</v>
      </c>
      <c r="C4175">
        <v>1.23700890462816</v>
      </c>
      <c r="D4175">
        <v>1.03550105726566</v>
      </c>
      <c r="E4175">
        <v>1.0419649513611899</v>
      </c>
      <c r="F4175">
        <v>0.78048939607449797</v>
      </c>
      <c r="G4175">
        <v>0.788748437027465</v>
      </c>
      <c r="H4175">
        <v>0.54004818979434899</v>
      </c>
      <c r="I4175">
        <v>0.682785122549595</v>
      </c>
      <c r="J4175">
        <v>0.62916318977333296</v>
      </c>
      <c r="K4175">
        <v>0.52696499819797804</v>
      </c>
      <c r="L4175">
        <v>1281.85769480966</v>
      </c>
      <c r="M4175">
        <v>23.421877930701299</v>
      </c>
      <c r="O4175">
        <v>54.334800748522802</v>
      </c>
      <c r="P4175">
        <v>-4.4190274999113301E-2</v>
      </c>
      <c r="Q4175">
        <v>0.58995125054962305</v>
      </c>
      <c r="R4175">
        <v>0.81689921374851704</v>
      </c>
      <c r="S4175" t="s">
        <v>10845</v>
      </c>
      <c r="T4175" t="s">
        <v>13338</v>
      </c>
      <c r="U4175" t="s">
        <v>13338</v>
      </c>
      <c r="V4175" t="s">
        <v>13338</v>
      </c>
      <c r="W4175" t="s">
        <v>17458</v>
      </c>
      <c r="X4175">
        <v>8</v>
      </c>
      <c r="Y4175" t="s">
        <v>23964</v>
      </c>
      <c r="Z4175" t="s">
        <v>30590</v>
      </c>
      <c r="AA4175">
        <v>0.79552539224814078</v>
      </c>
      <c r="AB4175" t="str">
        <f>HYPERLINK("Melting_Curves/meltCurve_Q7L0J3_2_SV2A.pdf", "Melting_Curves/meltCurve_Q7L0J3_2_SV2A.pdf")</f>
        <v>Melting_Curves/meltCurve_Q7L0J3_2_SV2A.pdf</v>
      </c>
    </row>
    <row r="4176" spans="1:28" x14ac:dyDescent="0.25">
      <c r="A4176" t="s">
        <v>4180</v>
      </c>
      <c r="B4176">
        <v>0.99193492352474899</v>
      </c>
      <c r="C4176">
        <v>0.55768215968030999</v>
      </c>
      <c r="D4176">
        <v>0.94475132634136205</v>
      </c>
      <c r="E4176">
        <v>0.56958191326984398</v>
      </c>
      <c r="F4176">
        <v>0.30453835188967099</v>
      </c>
      <c r="G4176">
        <v>0.18002492335116299</v>
      </c>
      <c r="H4176">
        <v>0.16476726169057199</v>
      </c>
      <c r="I4176">
        <v>0.17321275551056001</v>
      </c>
      <c r="J4176">
        <v>0.248028298021089</v>
      </c>
      <c r="K4176">
        <v>0.29036467442353397</v>
      </c>
      <c r="L4176">
        <v>644.36586482119606</v>
      </c>
      <c r="M4176">
        <v>13.3146690219448</v>
      </c>
      <c r="N4176">
        <v>49.986072738036199</v>
      </c>
      <c r="O4176">
        <v>47.342579346553499</v>
      </c>
      <c r="P4176">
        <v>-5.8176291428490401E-2</v>
      </c>
      <c r="Q4176">
        <v>0.17270983145923599</v>
      </c>
      <c r="R4176">
        <v>0.79289757925833904</v>
      </c>
      <c r="S4176" t="s">
        <v>10846</v>
      </c>
      <c r="T4176" t="s">
        <v>13338</v>
      </c>
      <c r="U4176" t="s">
        <v>13338</v>
      </c>
      <c r="V4176" t="s">
        <v>13338</v>
      </c>
      <c r="W4176" t="s">
        <v>17459</v>
      </c>
      <c r="X4176">
        <v>17</v>
      </c>
      <c r="Y4176" t="s">
        <v>23965</v>
      </c>
      <c r="Z4176" t="s">
        <v>30591</v>
      </c>
      <c r="AA4176">
        <v>0.43042475157659948</v>
      </c>
      <c r="AB4176" t="str">
        <f>HYPERLINK("Melting_Curves/meltCurve_Q7L0Y3_TRMT10C.pdf", "Melting_Curves/meltCurve_Q7L0Y3_TRMT10C.pdf")</f>
        <v>Melting_Curves/meltCurve_Q7L0Y3_TRMT10C.pdf</v>
      </c>
    </row>
    <row r="4177" spans="1:28" x14ac:dyDescent="0.25">
      <c r="A4177" t="s">
        <v>4181</v>
      </c>
      <c r="B4177">
        <v>0.99193492352474899</v>
      </c>
      <c r="C4177">
        <v>0.83335585582474603</v>
      </c>
      <c r="D4177">
        <v>0.69349456417949396</v>
      </c>
      <c r="E4177">
        <v>0.22649916167186801</v>
      </c>
      <c r="F4177">
        <v>0.135820802860146</v>
      </c>
      <c r="G4177">
        <v>8.0066067178443306E-2</v>
      </c>
      <c r="H4177">
        <v>5.25894936581165E-2</v>
      </c>
      <c r="I4177">
        <v>6.0961671319726102E-2</v>
      </c>
      <c r="J4177">
        <v>7.4088096157791397E-2</v>
      </c>
      <c r="K4177">
        <v>7.6530491699505904E-2</v>
      </c>
      <c r="L4177">
        <v>1087.97309040811</v>
      </c>
      <c r="M4177">
        <v>23.1891019997739</v>
      </c>
      <c r="N4177">
        <v>47.191347826990302</v>
      </c>
      <c r="O4177">
        <v>46.572696576360002</v>
      </c>
      <c r="P4177">
        <v>-0.116642144665113</v>
      </c>
      <c r="Q4177">
        <v>6.2966609272801802E-2</v>
      </c>
      <c r="R4177">
        <v>0.99099874498403395</v>
      </c>
      <c r="S4177" t="s">
        <v>10847</v>
      </c>
      <c r="T4177" t="s">
        <v>13338</v>
      </c>
      <c r="U4177" t="s">
        <v>13338</v>
      </c>
      <c r="V4177" t="s">
        <v>13338</v>
      </c>
      <c r="W4177" t="s">
        <v>17460</v>
      </c>
      <c r="X4177">
        <v>20</v>
      </c>
      <c r="Y4177" t="s">
        <v>23966</v>
      </c>
      <c r="Z4177" t="s">
        <v>30592</v>
      </c>
      <c r="AA4177">
        <v>0.28893187660959491</v>
      </c>
      <c r="AB4177" t="str">
        <f>HYPERLINK("Melting_Curves/meltCurve_Q7L1Q6_BZW1.pdf", "Melting_Curves/meltCurve_Q7L1Q6_BZW1.pdf")</f>
        <v>Melting_Curves/meltCurve_Q7L1Q6_BZW1.pdf</v>
      </c>
    </row>
    <row r="4178" spans="1:28" x14ac:dyDescent="0.25">
      <c r="A4178" t="s">
        <v>4182</v>
      </c>
      <c r="B4178">
        <v>0.99193492352474899</v>
      </c>
      <c r="C4178">
        <v>0.85726161755247199</v>
      </c>
      <c r="D4178">
        <v>0.89747318225385997</v>
      </c>
      <c r="E4178">
        <v>0.68370814631155996</v>
      </c>
      <c r="F4178">
        <v>0.38021926824785901</v>
      </c>
      <c r="G4178">
        <v>0.13491054390128199</v>
      </c>
      <c r="H4178">
        <v>8.6548446951493094E-2</v>
      </c>
      <c r="I4178">
        <v>0.112558658598051</v>
      </c>
      <c r="J4178">
        <v>0.134869498912913</v>
      </c>
      <c r="K4178">
        <v>0.14400274239319899</v>
      </c>
      <c r="L4178">
        <v>1050.7394847435301</v>
      </c>
      <c r="M4178">
        <v>20.6706375622603</v>
      </c>
      <c r="N4178">
        <v>51.3843836891783</v>
      </c>
      <c r="O4178">
        <v>50.3638903839542</v>
      </c>
      <c r="P4178">
        <v>-9.2394503812440701E-2</v>
      </c>
      <c r="Q4178">
        <v>9.95511059936946E-2</v>
      </c>
      <c r="R4178">
        <v>0.98092569114319805</v>
      </c>
      <c r="S4178" t="s">
        <v>10848</v>
      </c>
      <c r="T4178" t="s">
        <v>13338</v>
      </c>
      <c r="U4178" t="s">
        <v>13338</v>
      </c>
      <c r="V4178" t="s">
        <v>13338</v>
      </c>
      <c r="W4178" t="s">
        <v>17461</v>
      </c>
      <c r="X4178">
        <v>10</v>
      </c>
      <c r="Y4178" t="s">
        <v>23967</v>
      </c>
      <c r="Z4178" t="s">
        <v>30593</v>
      </c>
      <c r="AA4178">
        <v>0.43643478267320113</v>
      </c>
      <c r="AB4178" t="str">
        <f>HYPERLINK("Melting_Curves/meltCurve_Q7L1T6_CYB5R4.pdf", "Melting_Curves/meltCurve_Q7L1T6_CYB5R4.pdf")</f>
        <v>Melting_Curves/meltCurve_Q7L1T6_CYB5R4.pdf</v>
      </c>
    </row>
    <row r="4179" spans="1:28" x14ac:dyDescent="0.25">
      <c r="A4179" t="s">
        <v>4183</v>
      </c>
      <c r="B4179">
        <v>0.99193492352474899</v>
      </c>
      <c r="C4179">
        <v>0.93948326866412601</v>
      </c>
      <c r="D4179">
        <v>0.90652045209074295</v>
      </c>
      <c r="E4179">
        <v>0.72886921865907695</v>
      </c>
      <c r="F4179">
        <v>0.489994495052748</v>
      </c>
      <c r="G4179">
        <v>0.22183384606752901</v>
      </c>
      <c r="H4179">
        <v>0.14800360453198599</v>
      </c>
      <c r="I4179">
        <v>0.21282960358710901</v>
      </c>
      <c r="J4179">
        <v>0.249623884145459</v>
      </c>
      <c r="K4179">
        <v>0.214843287436874</v>
      </c>
      <c r="L4179">
        <v>1089.69464701174</v>
      </c>
      <c r="M4179">
        <v>21.2766474405277</v>
      </c>
      <c r="N4179">
        <v>52.391231436843</v>
      </c>
      <c r="O4179">
        <v>50.769532100703401</v>
      </c>
      <c r="P4179">
        <v>-8.4884920636555103E-2</v>
      </c>
      <c r="Q4179">
        <v>0.18982377491784899</v>
      </c>
      <c r="R4179">
        <v>0.98428210123098303</v>
      </c>
      <c r="S4179" t="s">
        <v>10849</v>
      </c>
      <c r="T4179" t="s">
        <v>13338</v>
      </c>
      <c r="U4179" t="s">
        <v>13338</v>
      </c>
      <c r="V4179" t="s">
        <v>13338</v>
      </c>
      <c r="W4179" t="s">
        <v>17462</v>
      </c>
      <c r="X4179">
        <v>2</v>
      </c>
      <c r="Y4179" t="s">
        <v>23968</v>
      </c>
      <c r="Z4179" t="s">
        <v>30594</v>
      </c>
      <c r="AA4179">
        <v>0.50271913764104748</v>
      </c>
      <c r="AB4179" t="str">
        <f>HYPERLINK("Melting_Curves/meltCurve_Q7L211_ABHD13.pdf", "Melting_Curves/meltCurve_Q7L211_ABHD13.pdf")</f>
        <v>Melting_Curves/meltCurve_Q7L211_ABHD13.pdf</v>
      </c>
    </row>
    <row r="4180" spans="1:28" x14ac:dyDescent="0.25">
      <c r="A4180" t="s">
        <v>4184</v>
      </c>
      <c r="B4180">
        <v>0.99193492352474899</v>
      </c>
      <c r="C4180">
        <v>0.84945037144614</v>
      </c>
      <c r="D4180">
        <v>0.98670028661787801</v>
      </c>
      <c r="E4180">
        <v>0.82035038023316897</v>
      </c>
      <c r="F4180">
        <v>0.774155823891154</v>
      </c>
      <c r="G4180">
        <v>0.53394504109674001</v>
      </c>
      <c r="H4180">
        <v>0.38736850582798499</v>
      </c>
      <c r="I4180">
        <v>0.403345641710179</v>
      </c>
      <c r="J4180">
        <v>0.40787184576698299</v>
      </c>
      <c r="K4180">
        <v>0.404099081972562</v>
      </c>
      <c r="L4180">
        <v>846.52116604230605</v>
      </c>
      <c r="M4180">
        <v>15.7666285231992</v>
      </c>
      <c r="N4180">
        <v>58.441269873347501</v>
      </c>
      <c r="O4180">
        <v>52.849233059599698</v>
      </c>
      <c r="P4180">
        <v>-4.7646945596568499E-2</v>
      </c>
      <c r="Q4180">
        <v>0.36120896991155699</v>
      </c>
      <c r="R4180">
        <v>0.94432268290874399</v>
      </c>
      <c r="S4180" t="s">
        <v>10850</v>
      </c>
      <c r="T4180" t="s">
        <v>13338</v>
      </c>
      <c r="U4180" t="s">
        <v>13338</v>
      </c>
      <c r="V4180" t="s">
        <v>13338</v>
      </c>
      <c r="W4180" t="s">
        <v>17463</v>
      </c>
      <c r="X4180">
        <v>11</v>
      </c>
      <c r="Y4180" t="s">
        <v>23969</v>
      </c>
      <c r="Z4180" t="s">
        <v>30595</v>
      </c>
      <c r="AA4180">
        <v>0.6651941005368206</v>
      </c>
      <c r="AB4180" t="str">
        <f>HYPERLINK("Melting_Curves/meltCurve_Q7L266_ASRGL1.pdf", "Melting_Curves/meltCurve_Q7L266_ASRGL1.pdf")</f>
        <v>Melting_Curves/meltCurve_Q7L266_ASRGL1.pdf</v>
      </c>
    </row>
    <row r="4181" spans="1:28" x14ac:dyDescent="0.25">
      <c r="A4181" t="s">
        <v>4185</v>
      </c>
      <c r="B4181">
        <v>0.99193492352474899</v>
      </c>
      <c r="C4181">
        <v>0.92782952628398496</v>
      </c>
      <c r="D4181">
        <v>0.92916114165869301</v>
      </c>
      <c r="E4181">
        <v>0.75763685409720005</v>
      </c>
      <c r="F4181">
        <v>0.39852644131213899</v>
      </c>
      <c r="G4181">
        <v>0.16357211414730799</v>
      </c>
      <c r="H4181">
        <v>0.101754572540176</v>
      </c>
      <c r="I4181">
        <v>0.116090089714767</v>
      </c>
      <c r="J4181">
        <v>0.132695814186511</v>
      </c>
      <c r="K4181">
        <v>0.117658803933192</v>
      </c>
      <c r="L4181">
        <v>1258.8521949562901</v>
      </c>
      <c r="M4181">
        <v>24.439891888434001</v>
      </c>
      <c r="N4181">
        <v>52.011920729798298</v>
      </c>
      <c r="O4181">
        <v>51.1669581522671</v>
      </c>
      <c r="P4181">
        <v>-0.10682755572082001</v>
      </c>
      <c r="Q4181">
        <v>0.10540346378822101</v>
      </c>
      <c r="R4181">
        <v>0.99479221059229395</v>
      </c>
      <c r="S4181" t="s">
        <v>10851</v>
      </c>
      <c r="T4181" t="s">
        <v>13338</v>
      </c>
      <c r="U4181" t="s">
        <v>13338</v>
      </c>
      <c r="V4181" t="s">
        <v>13338</v>
      </c>
      <c r="W4181" t="s">
        <v>17464</v>
      </c>
      <c r="X4181">
        <v>5</v>
      </c>
      <c r="Y4181" t="s">
        <v>23970</v>
      </c>
      <c r="Z4181" t="s">
        <v>30596</v>
      </c>
      <c r="AA4181">
        <v>0.45706498691305641</v>
      </c>
      <c r="AB4181" t="str">
        <f>HYPERLINK("Melting_Curves/meltCurve_Q7L273_KCTD9.pdf", "Melting_Curves/meltCurve_Q7L273_KCTD9.pdf")</f>
        <v>Melting_Curves/meltCurve_Q7L273_KCTD9.pdf</v>
      </c>
    </row>
    <row r="4182" spans="1:28" x14ac:dyDescent="0.25">
      <c r="A4182" t="s">
        <v>4186</v>
      </c>
      <c r="B4182">
        <v>0.99193492352474899</v>
      </c>
      <c r="C4182">
        <v>0.88354778127937805</v>
      </c>
      <c r="D4182">
        <v>0.79010868029538905</v>
      </c>
      <c r="E4182">
        <v>0.400438513056317</v>
      </c>
      <c r="F4182">
        <v>0.201168638857842</v>
      </c>
      <c r="G4182">
        <v>0.12929020650763101</v>
      </c>
      <c r="H4182">
        <v>8.5500716201286797E-2</v>
      </c>
      <c r="I4182">
        <v>0.106149727670523</v>
      </c>
      <c r="J4182">
        <v>0.107765773482405</v>
      </c>
      <c r="K4182">
        <v>0.122226209669861</v>
      </c>
      <c r="L4182">
        <v>1039.9820416339901</v>
      </c>
      <c r="M4182">
        <v>21.6057178305403</v>
      </c>
      <c r="N4182">
        <v>48.6360292870162</v>
      </c>
      <c r="O4182">
        <v>47.727911600980597</v>
      </c>
      <c r="P4182">
        <v>-0.101873858267282</v>
      </c>
      <c r="Q4182">
        <v>9.9847551720330899E-2</v>
      </c>
      <c r="R4182">
        <v>0.99548999062765597</v>
      </c>
      <c r="S4182" t="s">
        <v>10852</v>
      </c>
      <c r="T4182" t="s">
        <v>13338</v>
      </c>
      <c r="U4182" t="s">
        <v>13338</v>
      </c>
      <c r="V4182" t="s">
        <v>13338</v>
      </c>
      <c r="W4182" t="s">
        <v>17465</v>
      </c>
      <c r="X4182">
        <v>11</v>
      </c>
      <c r="Y4182" t="s">
        <v>23971</v>
      </c>
      <c r="Z4182" t="s">
        <v>30597</v>
      </c>
      <c r="AA4182">
        <v>0.35476246162404018</v>
      </c>
      <c r="AB4182" t="str">
        <f>HYPERLINK("Melting_Curves/meltCurve_Q7L2H7_EIF3M.pdf", "Melting_Curves/meltCurve_Q7L2H7_EIF3M.pdf")</f>
        <v>Melting_Curves/meltCurve_Q7L2H7_EIF3M.pdf</v>
      </c>
    </row>
    <row r="4183" spans="1:28" x14ac:dyDescent="0.25">
      <c r="A4183" t="s">
        <v>4187</v>
      </c>
      <c r="B4183">
        <v>0.99193492352474899</v>
      </c>
      <c r="C4183">
        <v>0.636815655363136</v>
      </c>
      <c r="D4183">
        <v>0.50519948517798297</v>
      </c>
      <c r="E4183">
        <v>0.19644672385423201</v>
      </c>
      <c r="F4183">
        <v>0.150830772463343</v>
      </c>
      <c r="G4183">
        <v>9.7302418041672306E-2</v>
      </c>
      <c r="H4183">
        <v>6.9351488509055301E-2</v>
      </c>
      <c r="I4183">
        <v>0.106585729675836</v>
      </c>
      <c r="J4183">
        <v>0.13724973400627</v>
      </c>
      <c r="K4183">
        <v>0.143130555297141</v>
      </c>
      <c r="L4183">
        <v>849.58227067057101</v>
      </c>
      <c r="M4183">
        <v>18.995568001467898</v>
      </c>
      <c r="N4183">
        <v>45.291775094877103</v>
      </c>
      <c r="O4183">
        <v>44.238456520375799</v>
      </c>
      <c r="P4183">
        <v>-9.6001228462391397E-2</v>
      </c>
      <c r="Q4183">
        <v>0.10573314299747801</v>
      </c>
      <c r="R4183">
        <v>0.97215052647738798</v>
      </c>
      <c r="S4183" t="s">
        <v>10853</v>
      </c>
      <c r="T4183" t="s">
        <v>13338</v>
      </c>
      <c r="U4183" t="s">
        <v>13338</v>
      </c>
      <c r="V4183" t="s">
        <v>13338</v>
      </c>
      <c r="W4183" t="s">
        <v>17466</v>
      </c>
      <c r="X4183">
        <v>5</v>
      </c>
      <c r="Y4183" t="s">
        <v>23972</v>
      </c>
      <c r="Z4183" t="s">
        <v>30598</v>
      </c>
      <c r="AA4183">
        <v>0.26421426630416311</v>
      </c>
      <c r="AB4183" t="str">
        <f>HYPERLINK("Melting_Curves/meltCurve_Q7L2J0_MEPCE.pdf", "Melting_Curves/meltCurve_Q7L2J0_MEPCE.pdf")</f>
        <v>Melting_Curves/meltCurve_Q7L2J0_MEPCE.pdf</v>
      </c>
    </row>
    <row r="4184" spans="1:28" x14ac:dyDescent="0.25">
      <c r="A4184" t="s">
        <v>4188</v>
      </c>
      <c r="B4184">
        <v>0.99193492352474899</v>
      </c>
      <c r="C4184">
        <v>1.14499895554027</v>
      </c>
      <c r="D4184">
        <v>0.54464237465017895</v>
      </c>
      <c r="E4184">
        <v>0.55888206402176599</v>
      </c>
      <c r="F4184">
        <v>0.22020557095780699</v>
      </c>
      <c r="G4184">
        <v>0.16216986667413599</v>
      </c>
      <c r="H4184">
        <v>8.9415207432092303E-2</v>
      </c>
      <c r="I4184">
        <v>0.148594875432594</v>
      </c>
      <c r="J4184">
        <v>0.257779301077393</v>
      </c>
      <c r="K4184">
        <v>7.1845038510635104E-2</v>
      </c>
      <c r="L4184">
        <v>937.194297678927</v>
      </c>
      <c r="M4184">
        <v>19.519894073437001</v>
      </c>
      <c r="N4184">
        <v>48.807198192533903</v>
      </c>
      <c r="O4184">
        <v>47.516877394225403</v>
      </c>
      <c r="P4184">
        <v>-8.8717958552225806E-2</v>
      </c>
      <c r="Q4184">
        <v>0.136173733467294</v>
      </c>
      <c r="R4184">
        <v>0.90477277566025205</v>
      </c>
      <c r="S4184" t="s">
        <v>10854</v>
      </c>
      <c r="T4184" t="s">
        <v>13338</v>
      </c>
      <c r="U4184" t="s">
        <v>13338</v>
      </c>
      <c r="V4184" t="s">
        <v>13338</v>
      </c>
      <c r="W4184" t="s">
        <v>17467</v>
      </c>
      <c r="X4184">
        <v>1</v>
      </c>
      <c r="Y4184" t="s">
        <v>23973</v>
      </c>
      <c r="Z4184" t="s">
        <v>30599</v>
      </c>
      <c r="AA4184">
        <v>0.37980132379138848</v>
      </c>
      <c r="AB4184" t="str">
        <f>HYPERLINK("Melting_Curves/meltCurve_Q7L3S4_ZNF771.pdf", "Melting_Curves/meltCurve_Q7L3S4_ZNF771.pdf")</f>
        <v>Melting_Curves/meltCurve_Q7L3S4_ZNF771.pdf</v>
      </c>
    </row>
    <row r="4185" spans="1:28" x14ac:dyDescent="0.25">
      <c r="A4185" t="s">
        <v>4189</v>
      </c>
      <c r="B4185">
        <v>0.99193492352474899</v>
      </c>
      <c r="C4185">
        <v>0.96154585695560102</v>
      </c>
      <c r="D4185">
        <v>0.97606140317049095</v>
      </c>
      <c r="E4185">
        <v>0.87486820137505406</v>
      </c>
      <c r="F4185">
        <v>0.727360368091299</v>
      </c>
      <c r="G4185">
        <v>0.47933710811197999</v>
      </c>
      <c r="H4185">
        <v>0.259958294454467</v>
      </c>
      <c r="I4185">
        <v>0.165941230587446</v>
      </c>
      <c r="J4185">
        <v>0.18433442481272799</v>
      </c>
      <c r="K4185">
        <v>0.18803851610084901</v>
      </c>
      <c r="L4185">
        <v>1010.62619209593</v>
      </c>
      <c r="M4185">
        <v>18.3065433191286</v>
      </c>
      <c r="N4185">
        <v>56.227471395202002</v>
      </c>
      <c r="O4185">
        <v>54.559624475984798</v>
      </c>
      <c r="P4185">
        <v>-7.2017569245274096E-2</v>
      </c>
      <c r="Q4185">
        <v>0.141493697726715</v>
      </c>
      <c r="R4185">
        <v>0.99548651798582799</v>
      </c>
      <c r="S4185" t="s">
        <v>10855</v>
      </c>
      <c r="T4185" t="s">
        <v>13338</v>
      </c>
      <c r="U4185" t="s">
        <v>13338</v>
      </c>
      <c r="V4185" t="s">
        <v>13338</v>
      </c>
      <c r="W4185" t="s">
        <v>17468</v>
      </c>
      <c r="X4185">
        <v>8</v>
      </c>
      <c r="Y4185" t="s">
        <v>23974</v>
      </c>
      <c r="Z4185" t="s">
        <v>30600</v>
      </c>
      <c r="AA4185">
        <v>0.58950875334285102</v>
      </c>
      <c r="AB4185" t="str">
        <f>HYPERLINK("Melting_Curves/meltCurve_Q7L3T8_PARS2.pdf", "Melting_Curves/meltCurve_Q7L3T8_PARS2.pdf")</f>
        <v>Melting_Curves/meltCurve_Q7L3T8_PARS2.pdf</v>
      </c>
    </row>
    <row r="4186" spans="1:28" x14ac:dyDescent="0.25">
      <c r="A4186" t="s">
        <v>4190</v>
      </c>
      <c r="B4186">
        <v>0.99193492352474899</v>
      </c>
      <c r="C4186">
        <v>0.95587761877953403</v>
      </c>
      <c r="D4186">
        <v>0.89315782501808805</v>
      </c>
      <c r="E4186">
        <v>0.74689913783073203</v>
      </c>
      <c r="F4186">
        <v>0.52000731051754601</v>
      </c>
      <c r="G4186">
        <v>0.30112207700297899</v>
      </c>
      <c r="H4186">
        <v>0.292450243769803</v>
      </c>
      <c r="I4186">
        <v>0.42429107574835401</v>
      </c>
      <c r="J4186">
        <v>0.47246144175049398</v>
      </c>
      <c r="K4186">
        <v>0.69694922908396595</v>
      </c>
      <c r="L4186">
        <v>1467.2533467702001</v>
      </c>
      <c r="M4186">
        <v>29.5992874774341</v>
      </c>
      <c r="N4186">
        <v>53.380634288687197</v>
      </c>
      <c r="O4186">
        <v>49.345951221022098</v>
      </c>
      <c r="P4186">
        <v>-8.4045731230946899E-2</v>
      </c>
      <c r="Q4186">
        <v>0.43954217926582001</v>
      </c>
      <c r="R4186">
        <v>0.81079720758936902</v>
      </c>
      <c r="S4186" t="s">
        <v>10856</v>
      </c>
      <c r="T4186" t="s">
        <v>13338</v>
      </c>
      <c r="U4186" t="s">
        <v>13338</v>
      </c>
      <c r="V4186" t="s">
        <v>13338</v>
      </c>
      <c r="W4186" t="s">
        <v>17469</v>
      </c>
      <c r="X4186">
        <v>12</v>
      </c>
      <c r="Y4186" t="s">
        <v>23975</v>
      </c>
      <c r="Z4186" t="s">
        <v>30601</v>
      </c>
      <c r="AA4186">
        <v>0.62187708522665974</v>
      </c>
      <c r="AB4186" t="str">
        <f>HYPERLINK("Melting_Curves/meltCurve_Q7L4I2_RSRC2.pdf", "Melting_Curves/meltCurve_Q7L4I2_RSRC2.pdf")</f>
        <v>Melting_Curves/meltCurve_Q7L4I2_RSRC2.pdf</v>
      </c>
    </row>
    <row r="4187" spans="1:28" x14ac:dyDescent="0.25">
      <c r="A4187" t="s">
        <v>4191</v>
      </c>
      <c r="B4187">
        <v>0.99193492352474899</v>
      </c>
      <c r="C4187">
        <v>0.60727389909045404</v>
      </c>
      <c r="D4187">
        <v>0.52497016897821203</v>
      </c>
      <c r="E4187">
        <v>0.315753883800729</v>
      </c>
      <c r="F4187">
        <v>0.21219229409971899</v>
      </c>
      <c r="G4187">
        <v>0.17246547674092699</v>
      </c>
      <c r="H4187">
        <v>8.4492038068437095E-2</v>
      </c>
      <c r="I4187">
        <v>0.10082809110761801</v>
      </c>
      <c r="J4187">
        <v>0.12505505391990501</v>
      </c>
      <c r="K4187">
        <v>0.15827529132024301</v>
      </c>
      <c r="L4187">
        <v>665.03371274011101</v>
      </c>
      <c r="M4187">
        <v>14.753811317671699</v>
      </c>
      <c r="N4187">
        <v>45.899523181714002</v>
      </c>
      <c r="O4187">
        <v>44.271602999106101</v>
      </c>
      <c r="P4187">
        <v>-7.3627530631110397E-2</v>
      </c>
      <c r="Q4187">
        <v>0.116362280066119</v>
      </c>
      <c r="R4187">
        <v>0.96098392524938203</v>
      </c>
      <c r="S4187" t="s">
        <v>10857</v>
      </c>
      <c r="T4187" t="s">
        <v>13338</v>
      </c>
      <c r="U4187" t="s">
        <v>13338</v>
      </c>
      <c r="V4187" t="s">
        <v>13338</v>
      </c>
      <c r="W4187" t="s">
        <v>17470</v>
      </c>
      <c r="X4187">
        <v>2</v>
      </c>
      <c r="Y4187" t="s">
        <v>23976</v>
      </c>
      <c r="Z4187" t="s">
        <v>30602</v>
      </c>
      <c r="AA4187">
        <v>0.29500459760389031</v>
      </c>
      <c r="AB4187" t="str">
        <f>HYPERLINK("Melting_Curves/meltCurve_Q7L4P6_2_BEND5.pdf", "Melting_Curves/meltCurve_Q7L4P6_2_BEND5.pdf")</f>
        <v>Melting_Curves/meltCurve_Q7L4P6_2_BEND5.pdf</v>
      </c>
    </row>
    <row r="4188" spans="1:28" x14ac:dyDescent="0.25">
      <c r="A4188" t="s">
        <v>4192</v>
      </c>
      <c r="B4188">
        <v>0.99193492352474899</v>
      </c>
      <c r="C4188">
        <v>0.96095069874373895</v>
      </c>
      <c r="D4188">
        <v>0.95253998464141298</v>
      </c>
      <c r="E4188">
        <v>0.81469955520380399</v>
      </c>
      <c r="F4188">
        <v>0.70317976801210003</v>
      </c>
      <c r="G4188">
        <v>0.59041617280588798</v>
      </c>
      <c r="H4188">
        <v>0.41988298845557798</v>
      </c>
      <c r="I4188">
        <v>0.38414912782091498</v>
      </c>
      <c r="J4188">
        <v>0.35171007558984102</v>
      </c>
      <c r="K4188">
        <v>0.18792988410754499</v>
      </c>
      <c r="L4188">
        <v>501.36984182046098</v>
      </c>
      <c r="M4188">
        <v>8.5835567235527996</v>
      </c>
      <c r="N4188">
        <v>59.259425696728101</v>
      </c>
      <c r="O4188">
        <v>55.4993705128513</v>
      </c>
      <c r="P4188">
        <v>-3.6459877657280003E-2</v>
      </c>
      <c r="Q4188">
        <v>5.7852361770399797E-2</v>
      </c>
      <c r="R4188">
        <v>0.98696702769100697</v>
      </c>
      <c r="S4188" t="s">
        <v>10858</v>
      </c>
      <c r="T4188" t="s">
        <v>13338</v>
      </c>
      <c r="U4188" t="s">
        <v>13338</v>
      </c>
      <c r="V4188" t="s">
        <v>13338</v>
      </c>
      <c r="W4188" t="s">
        <v>17471</v>
      </c>
      <c r="X4188">
        <v>10</v>
      </c>
      <c r="Y4188" t="s">
        <v>23977</v>
      </c>
      <c r="Z4188" t="s">
        <v>30603</v>
      </c>
      <c r="AA4188">
        <v>0.6385091063546271</v>
      </c>
      <c r="AB4188" t="str">
        <f>HYPERLINK("Melting_Curves/meltCurve_Q7L523_RRAGA.pdf", "Melting_Curves/meltCurve_Q7L523_RRAGA.pdf")</f>
        <v>Melting_Curves/meltCurve_Q7L523_RRAGA.pdf</v>
      </c>
    </row>
    <row r="4189" spans="1:28" x14ac:dyDescent="0.25">
      <c r="A4189" t="s">
        <v>4193</v>
      </c>
      <c r="B4189">
        <v>0.99193492352474899</v>
      </c>
      <c r="C4189">
        <v>1.0025283068019999</v>
      </c>
      <c r="D4189">
        <v>1.18816118353293</v>
      </c>
      <c r="E4189">
        <v>0.68969772490347303</v>
      </c>
      <c r="F4189">
        <v>0.33407998937424899</v>
      </c>
      <c r="G4189">
        <v>0.16116809624961301</v>
      </c>
      <c r="H4189">
        <v>0.107332501863381</v>
      </c>
      <c r="I4189">
        <v>0.13040521266077401</v>
      </c>
      <c r="J4189">
        <v>0.205473736842198</v>
      </c>
      <c r="K4189">
        <v>0.11829499342269301</v>
      </c>
      <c r="L4189">
        <v>1793.5969614145099</v>
      </c>
      <c r="M4189">
        <v>35.317607935973697</v>
      </c>
      <c r="N4189">
        <v>51.2835989889101</v>
      </c>
      <c r="O4189">
        <v>50.622788828237397</v>
      </c>
      <c r="P4189">
        <v>-0.14906200275340301</v>
      </c>
      <c r="Q4189">
        <v>0.14536586721651701</v>
      </c>
      <c r="R4189">
        <v>0.96702710102033596</v>
      </c>
      <c r="S4189" t="s">
        <v>10859</v>
      </c>
      <c r="T4189" t="s">
        <v>13338</v>
      </c>
      <c r="U4189" t="s">
        <v>13338</v>
      </c>
      <c r="V4189" t="s">
        <v>13338</v>
      </c>
      <c r="W4189" t="s">
        <v>17472</v>
      </c>
      <c r="X4189">
        <v>12</v>
      </c>
      <c r="Y4189" t="s">
        <v>23978</v>
      </c>
      <c r="Z4189" t="s">
        <v>30604</v>
      </c>
      <c r="AA4189">
        <v>0.45645634729553558</v>
      </c>
      <c r="AB4189" t="str">
        <f>HYPERLINK("Melting_Curves/meltCurve_Q7L576_CYFIP1.pdf", "Melting_Curves/meltCurve_Q7L576_CYFIP1.pdf")</f>
        <v>Melting_Curves/meltCurve_Q7L576_CYFIP1.pdf</v>
      </c>
    </row>
    <row r="4190" spans="1:28" x14ac:dyDescent="0.25">
      <c r="A4190" t="s">
        <v>4194</v>
      </c>
      <c r="B4190">
        <v>0.99193492352474899</v>
      </c>
      <c r="C4190">
        <v>0.91195711824339498</v>
      </c>
      <c r="D4190">
        <v>0.90999069443603997</v>
      </c>
      <c r="E4190">
        <v>0.51177582587336401</v>
      </c>
      <c r="F4190">
        <v>0.28326452942723901</v>
      </c>
      <c r="G4190">
        <v>0.20225364814604199</v>
      </c>
      <c r="H4190">
        <v>0.14196767046507799</v>
      </c>
      <c r="I4190">
        <v>0.21124636426122301</v>
      </c>
      <c r="J4190">
        <v>0.19982961851370301</v>
      </c>
      <c r="K4190">
        <v>0.191928416010822</v>
      </c>
      <c r="L4190">
        <v>1340.25278602455</v>
      </c>
      <c r="M4190">
        <v>27.361860427800899</v>
      </c>
      <c r="N4190">
        <v>49.830372641401901</v>
      </c>
      <c r="O4190">
        <v>48.723119803761897</v>
      </c>
      <c r="P4190">
        <v>-0.114267147992075</v>
      </c>
      <c r="Q4190">
        <v>0.186108028124501</v>
      </c>
      <c r="R4190">
        <v>0.99140678060109</v>
      </c>
      <c r="S4190" t="s">
        <v>10860</v>
      </c>
      <c r="T4190" t="s">
        <v>13338</v>
      </c>
      <c r="U4190" t="s">
        <v>13338</v>
      </c>
      <c r="V4190" t="s">
        <v>13338</v>
      </c>
      <c r="W4190" t="s">
        <v>17473</v>
      </c>
      <c r="X4190">
        <v>5</v>
      </c>
      <c r="Y4190" t="s">
        <v>23979</v>
      </c>
      <c r="Z4190" t="s">
        <v>30605</v>
      </c>
      <c r="AA4190">
        <v>0.43578884029367942</v>
      </c>
      <c r="AB4190" t="str">
        <f>HYPERLINK("Melting_Curves/meltCurve_Q7L5D6_GET4.pdf", "Melting_Curves/meltCurve_Q7L5D6_GET4.pdf")</f>
        <v>Melting_Curves/meltCurve_Q7L5D6_GET4.pdf</v>
      </c>
    </row>
    <row r="4191" spans="1:28" x14ac:dyDescent="0.25">
      <c r="A4191" t="s">
        <v>4195</v>
      </c>
      <c r="B4191">
        <v>0.99193492352474899</v>
      </c>
      <c r="C4191">
        <v>0.638887515129826</v>
      </c>
      <c r="D4191">
        <v>0.89652557141339195</v>
      </c>
      <c r="E4191">
        <v>0.321580825683283</v>
      </c>
      <c r="F4191">
        <v>0.154388589120766</v>
      </c>
      <c r="G4191">
        <v>6.5629250115540799E-2</v>
      </c>
      <c r="H4191">
        <v>5.7686753905438898E-2</v>
      </c>
      <c r="I4191">
        <v>3.8257131070137798E-2</v>
      </c>
      <c r="J4191">
        <v>6.7682691481612101E-2</v>
      </c>
      <c r="K4191">
        <v>4.5890084626417103E-2</v>
      </c>
      <c r="L4191">
        <v>835.86376285500103</v>
      </c>
      <c r="M4191">
        <v>17.393582579064201</v>
      </c>
      <c r="N4191">
        <v>48.2150876258168</v>
      </c>
      <c r="O4191">
        <v>47.434153091922802</v>
      </c>
      <c r="P4191">
        <v>-8.9118521570380596E-2</v>
      </c>
      <c r="Q4191">
        <v>2.7912068353619101E-2</v>
      </c>
      <c r="R4191">
        <v>0.91081344901221395</v>
      </c>
      <c r="S4191" t="s">
        <v>10861</v>
      </c>
      <c r="T4191" t="s">
        <v>13338</v>
      </c>
      <c r="U4191" t="s">
        <v>13338</v>
      </c>
      <c r="V4191" t="s">
        <v>13338</v>
      </c>
      <c r="W4191" t="s">
        <v>17474</v>
      </c>
      <c r="X4191">
        <v>4</v>
      </c>
      <c r="Y4191" t="s">
        <v>23980</v>
      </c>
      <c r="Z4191" t="s">
        <v>30606</v>
      </c>
      <c r="AA4191">
        <v>0.30743390129527509</v>
      </c>
      <c r="AB4191" t="str">
        <f>HYPERLINK("Melting_Curves/meltCurve_Q7L5N7_LPCAT2.pdf", "Melting_Curves/meltCurve_Q7L5N7_LPCAT2.pdf")</f>
        <v>Melting_Curves/meltCurve_Q7L5N7_LPCAT2.pdf</v>
      </c>
    </row>
    <row r="4192" spans="1:28" x14ac:dyDescent="0.25">
      <c r="A4192" t="s">
        <v>4196</v>
      </c>
      <c r="B4192">
        <v>0.99193492352474899</v>
      </c>
      <c r="C4192">
        <v>0.84592399355768899</v>
      </c>
      <c r="D4192">
        <v>0.97441206514775602</v>
      </c>
      <c r="E4192">
        <v>0.72686653270590296</v>
      </c>
      <c r="F4192">
        <v>0.69528644243606497</v>
      </c>
      <c r="G4192">
        <v>0.54507288241072704</v>
      </c>
      <c r="H4192">
        <v>0.38198063512911701</v>
      </c>
      <c r="I4192">
        <v>0.22131946304202299</v>
      </c>
      <c r="J4192">
        <v>0.19279091872793799</v>
      </c>
      <c r="K4192">
        <v>0.150449917349676</v>
      </c>
      <c r="L4192">
        <v>524.69309500980501</v>
      </c>
      <c r="M4192">
        <v>9.1960983708213995</v>
      </c>
      <c r="N4192">
        <v>57.056059302608602</v>
      </c>
      <c r="O4192">
        <v>54.552482999039398</v>
      </c>
      <c r="P4192">
        <v>-4.2171558814350599E-2</v>
      </c>
      <c r="Q4192">
        <v>0</v>
      </c>
      <c r="R4192">
        <v>0.97038784217099805</v>
      </c>
      <c r="S4192" t="s">
        <v>10862</v>
      </c>
      <c r="T4192" t="s">
        <v>13338</v>
      </c>
      <c r="U4192" t="s">
        <v>13338</v>
      </c>
      <c r="V4192" t="s">
        <v>13338</v>
      </c>
      <c r="W4192" t="s">
        <v>17475</v>
      </c>
      <c r="X4192">
        <v>11</v>
      </c>
      <c r="Y4192" t="s">
        <v>23981</v>
      </c>
      <c r="Z4192" t="s">
        <v>30607</v>
      </c>
      <c r="AA4192">
        <v>0.58287130841429802</v>
      </c>
      <c r="AB4192" t="str">
        <f>HYPERLINK("Melting_Curves/meltCurve_Q7L5Y1_ENOSF1.pdf", "Melting_Curves/meltCurve_Q7L5Y1_ENOSF1.pdf")</f>
        <v>Melting_Curves/meltCurve_Q7L5Y1_ENOSF1.pdf</v>
      </c>
    </row>
    <row r="4193" spans="1:28" x14ac:dyDescent="0.25">
      <c r="A4193" t="s">
        <v>4197</v>
      </c>
      <c r="B4193">
        <v>0.99193492352474899</v>
      </c>
      <c r="C4193">
        <v>0.83223958749201199</v>
      </c>
      <c r="D4193">
        <v>0.88021698169571505</v>
      </c>
      <c r="E4193">
        <v>0.60934891823771997</v>
      </c>
      <c r="F4193">
        <v>0.25673708422431102</v>
      </c>
      <c r="G4193">
        <v>0.15131406166344899</v>
      </c>
      <c r="H4193">
        <v>0.106748146664155</v>
      </c>
      <c r="I4193">
        <v>0.13715121541243899</v>
      </c>
      <c r="J4193">
        <v>0.29383897029607198</v>
      </c>
      <c r="K4193">
        <v>0.179838036883671</v>
      </c>
      <c r="L4193">
        <v>1222.20962082085</v>
      </c>
      <c r="M4193">
        <v>24.707490942842199</v>
      </c>
      <c r="N4193">
        <v>50.269851245024</v>
      </c>
      <c r="O4193">
        <v>49.146534245439199</v>
      </c>
      <c r="P4193">
        <v>-0.10519818677697999</v>
      </c>
      <c r="Q4193">
        <v>0.16299822851072199</v>
      </c>
      <c r="R4193">
        <v>0.954899107503977</v>
      </c>
      <c r="S4193" t="s">
        <v>10863</v>
      </c>
      <c r="T4193" t="s">
        <v>13338</v>
      </c>
      <c r="U4193" t="s">
        <v>13338</v>
      </c>
      <c r="V4193" t="s">
        <v>13338</v>
      </c>
      <c r="W4193" t="s">
        <v>17476</v>
      </c>
      <c r="X4193">
        <v>10</v>
      </c>
      <c r="Y4193" t="s">
        <v>23982</v>
      </c>
      <c r="Z4193" t="s">
        <v>30608</v>
      </c>
      <c r="AA4193">
        <v>0.43475663014911842</v>
      </c>
      <c r="AB4193" t="str">
        <f>HYPERLINK("Melting_Curves/meltCurve_Q7L5Y9_MAEA.pdf", "Melting_Curves/meltCurve_Q7L5Y9_MAEA.pdf")</f>
        <v>Melting_Curves/meltCurve_Q7L5Y9_MAEA.pdf</v>
      </c>
    </row>
    <row r="4194" spans="1:28" x14ac:dyDescent="0.25">
      <c r="A4194" t="s">
        <v>4198</v>
      </c>
      <c r="B4194">
        <v>0.99193492352474899</v>
      </c>
      <c r="C4194">
        <v>1.2107036991037601</v>
      </c>
      <c r="D4194">
        <v>1.18303337081473</v>
      </c>
      <c r="E4194">
        <v>0.73775921811404299</v>
      </c>
      <c r="F4194">
        <v>0.30210160731671698</v>
      </c>
      <c r="G4194">
        <v>0.19230335197630299</v>
      </c>
      <c r="H4194">
        <v>0.113863437877816</v>
      </c>
      <c r="I4194">
        <v>9.5215159546412201E-2</v>
      </c>
      <c r="J4194">
        <v>9.6418864209605007E-2</v>
      </c>
      <c r="K4194">
        <v>0.13878890693971599</v>
      </c>
      <c r="L4194">
        <v>1872.5008228087299</v>
      </c>
      <c r="M4194">
        <v>36.6856550887655</v>
      </c>
      <c r="N4194">
        <v>51.440969464451399</v>
      </c>
      <c r="O4194">
        <v>50.8908182015455</v>
      </c>
      <c r="P4194">
        <v>-0.157892652922067</v>
      </c>
      <c r="Q4194">
        <v>0.123879626807762</v>
      </c>
      <c r="R4194">
        <v>0.95513163890466402</v>
      </c>
      <c r="S4194" t="s">
        <v>10864</v>
      </c>
      <c r="T4194" t="s">
        <v>13338</v>
      </c>
      <c r="U4194" t="s">
        <v>13338</v>
      </c>
      <c r="V4194" t="s">
        <v>13338</v>
      </c>
      <c r="W4194" t="s">
        <v>17477</v>
      </c>
      <c r="X4194">
        <v>3</v>
      </c>
      <c r="Y4194" t="s">
        <v>23983</v>
      </c>
      <c r="Z4194" t="s">
        <v>30609</v>
      </c>
      <c r="AA4194">
        <v>0.45002271647142028</v>
      </c>
      <c r="AB4194" t="str">
        <f>HYPERLINK("Melting_Curves/meltCurve_Q7L775_EPM2AIP1.pdf", "Melting_Curves/meltCurve_Q7L775_EPM2AIP1.pdf")</f>
        <v>Melting_Curves/meltCurve_Q7L775_EPM2AIP1.pdf</v>
      </c>
    </row>
    <row r="4195" spans="1:28" x14ac:dyDescent="0.25">
      <c r="A4195" t="s">
        <v>4199</v>
      </c>
      <c r="B4195">
        <v>0.99193492352474899</v>
      </c>
      <c r="C4195">
        <v>0.83013094985719604</v>
      </c>
      <c r="D4195">
        <v>0.67951606168659995</v>
      </c>
      <c r="E4195">
        <v>0.60959698418078401</v>
      </c>
      <c r="F4195">
        <v>0.449006405187302</v>
      </c>
      <c r="G4195">
        <v>0.37306510461174802</v>
      </c>
      <c r="H4195">
        <v>0.28486388270924301</v>
      </c>
      <c r="I4195">
        <v>0.33026275889725698</v>
      </c>
      <c r="J4195">
        <v>0.546908151764673</v>
      </c>
      <c r="K4195">
        <v>0.70337352832223499</v>
      </c>
      <c r="L4195">
        <v>871.05682308493704</v>
      </c>
      <c r="M4195">
        <v>19.219546698443501</v>
      </c>
      <c r="N4195">
        <v>51.436577007160402</v>
      </c>
      <c r="O4195">
        <v>44.839311527541298</v>
      </c>
      <c r="P4195">
        <v>-5.9034334604092999E-2</v>
      </c>
      <c r="Q4195">
        <v>0.44911123846985901</v>
      </c>
      <c r="R4195">
        <v>0.71766865528791501</v>
      </c>
      <c r="S4195" t="s">
        <v>10865</v>
      </c>
      <c r="T4195" t="s">
        <v>13338</v>
      </c>
      <c r="U4195" t="s">
        <v>13338</v>
      </c>
      <c r="V4195" t="s">
        <v>13338</v>
      </c>
      <c r="W4195" t="s">
        <v>17478</v>
      </c>
      <c r="X4195">
        <v>5</v>
      </c>
      <c r="Y4195" t="s">
        <v>23984</v>
      </c>
      <c r="Z4195" t="s">
        <v>30610</v>
      </c>
      <c r="AA4195">
        <v>0.55671297706709955</v>
      </c>
      <c r="AB4195" t="str">
        <f>HYPERLINK("Melting_Curves/meltCurve_Q7L7L0_HIST3H2A.pdf", "Melting_Curves/meltCurve_Q7L7L0_HIST3H2A.pdf")</f>
        <v>Melting_Curves/meltCurve_Q7L7L0_HIST3H2A.pdf</v>
      </c>
    </row>
    <row r="4196" spans="1:28" x14ac:dyDescent="0.25">
      <c r="A4196" t="s">
        <v>4200</v>
      </c>
      <c r="B4196">
        <v>0.99193492352474899</v>
      </c>
      <c r="C4196">
        <v>0.92424932678992699</v>
      </c>
      <c r="D4196">
        <v>1.1638503328095999</v>
      </c>
      <c r="E4196">
        <v>0.96610284806643898</v>
      </c>
      <c r="F4196">
        <v>0.32597993432022998</v>
      </c>
      <c r="G4196">
        <v>0.22398801773278201</v>
      </c>
      <c r="H4196">
        <v>0.151149917095206</v>
      </c>
      <c r="I4196">
        <v>0.161811098563895</v>
      </c>
      <c r="J4196">
        <v>0.223050810887884</v>
      </c>
      <c r="K4196">
        <v>0.21510394779228001</v>
      </c>
      <c r="L4196">
        <v>3479.6555737489698</v>
      </c>
      <c r="M4196">
        <v>67.032743146796506</v>
      </c>
      <c r="N4196">
        <v>52.293766053547301</v>
      </c>
      <c r="O4196">
        <v>51.863651684219803</v>
      </c>
      <c r="P4196">
        <v>-0.26031849777003702</v>
      </c>
      <c r="Q4196">
        <v>0.194360087369188</v>
      </c>
      <c r="R4196">
        <v>0.976012818302322</v>
      </c>
      <c r="S4196" t="s">
        <v>10866</v>
      </c>
      <c r="T4196" t="s">
        <v>13338</v>
      </c>
      <c r="U4196" t="s">
        <v>13338</v>
      </c>
      <c r="V4196" t="s">
        <v>13338</v>
      </c>
      <c r="W4196" t="s">
        <v>17479</v>
      </c>
      <c r="X4196">
        <v>10</v>
      </c>
      <c r="Y4196" t="s">
        <v>23985</v>
      </c>
      <c r="Z4196" t="s">
        <v>30611</v>
      </c>
      <c r="AA4196">
        <v>0.5152172763250259</v>
      </c>
      <c r="AB4196" t="str">
        <f>HYPERLINK("Melting_Curves/meltCurve_Q7L7X3_TAOK1.pdf", "Melting_Curves/meltCurve_Q7L7X3_TAOK1.pdf")</f>
        <v>Melting_Curves/meltCurve_Q7L7X3_TAOK1.pdf</v>
      </c>
    </row>
    <row r="4197" spans="1:28" x14ac:dyDescent="0.25">
      <c r="A4197" t="s">
        <v>4201</v>
      </c>
      <c r="B4197">
        <v>0.99193492352474899</v>
      </c>
      <c r="C4197">
        <v>0.91524749986335796</v>
      </c>
      <c r="D4197">
        <v>0.80295151978964496</v>
      </c>
      <c r="E4197">
        <v>0.41106258205303597</v>
      </c>
      <c r="F4197">
        <v>0.18050430845173801</v>
      </c>
      <c r="G4197">
        <v>0.113792985608983</v>
      </c>
      <c r="H4197">
        <v>5.8868561343247701E-2</v>
      </c>
      <c r="I4197">
        <v>7.8563705138620293E-2</v>
      </c>
      <c r="J4197">
        <v>9.8124968867782006E-2</v>
      </c>
      <c r="K4197">
        <v>0.119466335374992</v>
      </c>
      <c r="L4197">
        <v>1123.9789330272599</v>
      </c>
      <c r="M4197">
        <v>23.2430431003595</v>
      </c>
      <c r="N4197">
        <v>48.749291416595</v>
      </c>
      <c r="O4197">
        <v>48.003979266067702</v>
      </c>
      <c r="P4197">
        <v>-0.11074037599499</v>
      </c>
      <c r="Q4197">
        <v>8.5166071195955206E-2</v>
      </c>
      <c r="R4197">
        <v>0.99662743579180202</v>
      </c>
      <c r="S4197" t="s">
        <v>10867</v>
      </c>
      <c r="T4197" t="s">
        <v>13338</v>
      </c>
      <c r="U4197" t="s">
        <v>13338</v>
      </c>
      <c r="V4197" t="s">
        <v>13338</v>
      </c>
      <c r="W4197" t="s">
        <v>17480</v>
      </c>
      <c r="X4197">
        <v>3</v>
      </c>
      <c r="Y4197" t="s">
        <v>23986</v>
      </c>
      <c r="Z4197" t="s">
        <v>30612</v>
      </c>
      <c r="AA4197">
        <v>0.34945107360465721</v>
      </c>
      <c r="AB4197" t="str">
        <f>HYPERLINK("Melting_Curves/meltCurve_Q7L8J4_SH3BP5L.pdf", "Melting_Curves/meltCurve_Q7L8J4_SH3BP5L.pdf")</f>
        <v>Melting_Curves/meltCurve_Q7L8J4_SH3BP5L.pdf</v>
      </c>
    </row>
    <row r="4198" spans="1:28" x14ac:dyDescent="0.25">
      <c r="A4198" t="s">
        <v>4202</v>
      </c>
      <c r="B4198">
        <v>0.99193492352474899</v>
      </c>
      <c r="C4198">
        <v>0.80925060719168496</v>
      </c>
      <c r="D4198">
        <v>0.40982068539922101</v>
      </c>
      <c r="E4198">
        <v>0.29672452254519399</v>
      </c>
      <c r="F4198">
        <v>0.17116634329361399</v>
      </c>
      <c r="G4198">
        <v>5.79861145555918E-2</v>
      </c>
      <c r="H4198">
        <v>1.96069076184303E-2</v>
      </c>
      <c r="I4198">
        <v>2.10743799347002E-2</v>
      </c>
      <c r="J4198">
        <v>1.68953713967166E-2</v>
      </c>
      <c r="K4198">
        <v>2.58961810237625E-2</v>
      </c>
      <c r="L4198">
        <v>778.27012475622701</v>
      </c>
      <c r="M4198">
        <v>16.946921665020898</v>
      </c>
      <c r="N4198">
        <v>46.073126397428702</v>
      </c>
      <c r="O4198">
        <v>45.298829306700299</v>
      </c>
      <c r="P4198">
        <v>-9.1037815930537197E-2</v>
      </c>
      <c r="Q4198">
        <v>2.6690848439515E-2</v>
      </c>
      <c r="R4198">
        <v>0.98059701634370999</v>
      </c>
      <c r="S4198" t="s">
        <v>10868</v>
      </c>
      <c r="T4198" t="s">
        <v>13338</v>
      </c>
      <c r="U4198" t="s">
        <v>13338</v>
      </c>
      <c r="V4198" t="s">
        <v>13338</v>
      </c>
      <c r="W4198" t="s">
        <v>17481</v>
      </c>
      <c r="X4198">
        <v>3</v>
      </c>
      <c r="Y4198" t="s">
        <v>23987</v>
      </c>
      <c r="Z4198" t="s">
        <v>30613</v>
      </c>
      <c r="AA4198">
        <v>0.24086985713185299</v>
      </c>
      <c r="AB4198" t="str">
        <f>HYPERLINK("Melting_Curves/meltCurve_Q7L8L6_FASTKD5.pdf", "Melting_Curves/meltCurve_Q7L8L6_FASTKD5.pdf")</f>
        <v>Melting_Curves/meltCurve_Q7L8L6_FASTKD5.pdf</v>
      </c>
    </row>
    <row r="4199" spans="1:28" x14ac:dyDescent="0.25">
      <c r="A4199" t="s">
        <v>4203</v>
      </c>
      <c r="B4199">
        <v>0.99193492352474899</v>
      </c>
      <c r="C4199">
        <v>0.76726953009712096</v>
      </c>
      <c r="D4199">
        <v>0.83382521706965396</v>
      </c>
      <c r="E4199">
        <v>0.52964435336021898</v>
      </c>
      <c r="F4199">
        <v>0.21160215819802999</v>
      </c>
      <c r="G4199">
        <v>7.0383590765751597E-2</v>
      </c>
      <c r="H4199">
        <v>4.9541343716158703E-2</v>
      </c>
      <c r="I4199">
        <v>4.7655495630188803E-2</v>
      </c>
      <c r="J4199">
        <v>5.6366462425516801E-2</v>
      </c>
      <c r="K4199">
        <v>4.18061918797401E-2</v>
      </c>
      <c r="L4199">
        <v>817.75251506871598</v>
      </c>
      <c r="M4199">
        <v>16.5683026145465</v>
      </c>
      <c r="N4199">
        <v>49.459148150200001</v>
      </c>
      <c r="O4199">
        <v>48.654240493053301</v>
      </c>
      <c r="P4199">
        <v>-8.3699032889228697E-2</v>
      </c>
      <c r="Q4199">
        <v>1.6909706696456701E-2</v>
      </c>
      <c r="R4199">
        <v>0.97343829829654804</v>
      </c>
      <c r="S4199" t="s">
        <v>10869</v>
      </c>
      <c r="T4199" t="s">
        <v>13338</v>
      </c>
      <c r="U4199" t="s">
        <v>13338</v>
      </c>
      <c r="V4199" t="s">
        <v>13338</v>
      </c>
      <c r="W4199" t="s">
        <v>17482</v>
      </c>
      <c r="X4199">
        <v>4</v>
      </c>
      <c r="Y4199" t="s">
        <v>23988</v>
      </c>
      <c r="Z4199" t="s">
        <v>30614</v>
      </c>
      <c r="AA4199">
        <v>0.34338744795101039</v>
      </c>
      <c r="AB4199" t="str">
        <f>HYPERLINK("Melting_Curves/meltCurve_Q7L8W6_ATPBD4.pdf", "Melting_Curves/meltCurve_Q7L8W6_ATPBD4.pdf")</f>
        <v>Melting_Curves/meltCurve_Q7L8W6_ATPBD4.pdf</v>
      </c>
    </row>
    <row r="4200" spans="1:28" x14ac:dyDescent="0.25">
      <c r="A4200" t="s">
        <v>4204</v>
      </c>
      <c r="B4200">
        <v>0.99193492352474899</v>
      </c>
      <c r="C4200">
        <v>0.93924678204005396</v>
      </c>
      <c r="D4200">
        <v>0.91404417878353905</v>
      </c>
      <c r="E4200">
        <v>0.50045411556249497</v>
      </c>
      <c r="F4200">
        <v>0.18768107479892601</v>
      </c>
      <c r="G4200">
        <v>8.1438655499966595E-2</v>
      </c>
      <c r="H4200">
        <v>4.7510788718305601E-2</v>
      </c>
      <c r="I4200">
        <v>2.7623754405790301E-2</v>
      </c>
      <c r="J4200">
        <v>4.4051567358839701E-2</v>
      </c>
      <c r="K4200">
        <v>1.9856632831738601E-2</v>
      </c>
      <c r="L4200">
        <v>1267.5672858104299</v>
      </c>
      <c r="M4200">
        <v>25.562093370745799</v>
      </c>
      <c r="N4200">
        <v>49.727066745690202</v>
      </c>
      <c r="O4200">
        <v>49.287278013114999</v>
      </c>
      <c r="P4200">
        <v>-0.12518050770980699</v>
      </c>
      <c r="Q4200">
        <v>3.4550071143443301E-2</v>
      </c>
      <c r="R4200">
        <v>0.99772252759477398</v>
      </c>
      <c r="S4200" t="s">
        <v>10870</v>
      </c>
      <c r="T4200" t="s">
        <v>13338</v>
      </c>
      <c r="U4200" t="s">
        <v>13338</v>
      </c>
      <c r="V4200" t="s">
        <v>13338</v>
      </c>
      <c r="W4200" t="s">
        <v>17483</v>
      </c>
      <c r="X4200">
        <v>4</v>
      </c>
      <c r="Y4200" t="s">
        <v>23989</v>
      </c>
      <c r="Z4200" t="s">
        <v>30615</v>
      </c>
      <c r="AA4200">
        <v>0.35131583867128141</v>
      </c>
      <c r="AB4200" t="str">
        <f>HYPERLINK("Melting_Curves/meltCurve_Q7L9B9_EEPD1.pdf", "Melting_Curves/meltCurve_Q7L9B9_EEPD1.pdf")</f>
        <v>Melting_Curves/meltCurve_Q7L9B9_EEPD1.pdf</v>
      </c>
    </row>
    <row r="4201" spans="1:28" x14ac:dyDescent="0.25">
      <c r="A4201" t="s">
        <v>4205</v>
      </c>
      <c r="B4201">
        <v>0.99193492352474899</v>
      </c>
      <c r="C4201">
        <v>0.72690057774620698</v>
      </c>
      <c r="D4201">
        <v>0.51281987442997001</v>
      </c>
      <c r="E4201">
        <v>0.218906237903497</v>
      </c>
      <c r="F4201">
        <v>0.175916936071675</v>
      </c>
      <c r="G4201">
        <v>0.11562880397939899</v>
      </c>
      <c r="H4201">
        <v>8.4445406180573807E-2</v>
      </c>
      <c r="I4201">
        <v>0.106806454903885</v>
      </c>
      <c r="J4201">
        <v>0.13015640268828399</v>
      </c>
      <c r="K4201">
        <v>0.130677995205985</v>
      </c>
      <c r="L4201">
        <v>901.92124313492798</v>
      </c>
      <c r="M4201">
        <v>19.945269530815398</v>
      </c>
      <c r="N4201">
        <v>45.796620312457499</v>
      </c>
      <c r="O4201">
        <v>44.772599841903897</v>
      </c>
      <c r="P4201">
        <v>-9.9003081382105104E-2</v>
      </c>
      <c r="Q4201">
        <v>0.111071532259874</v>
      </c>
      <c r="R4201">
        <v>0.99005170044367896</v>
      </c>
      <c r="S4201" t="s">
        <v>10871</v>
      </c>
      <c r="T4201" t="s">
        <v>13338</v>
      </c>
      <c r="U4201" t="s">
        <v>13338</v>
      </c>
      <c r="V4201" t="s">
        <v>13338</v>
      </c>
      <c r="W4201" t="s">
        <v>17484</v>
      </c>
      <c r="X4201">
        <v>10</v>
      </c>
      <c r="Y4201" t="s">
        <v>23990</v>
      </c>
      <c r="Z4201" t="s">
        <v>30616</v>
      </c>
      <c r="AA4201">
        <v>0.28052950133518828</v>
      </c>
      <c r="AB4201" t="str">
        <f>HYPERLINK("Melting_Curves/meltCurve_Q7LBC6_KDM3B.pdf", "Melting_Curves/meltCurve_Q7LBC6_KDM3B.pdf")</f>
        <v>Melting_Curves/meltCurve_Q7LBC6_KDM3B.pdf</v>
      </c>
    </row>
    <row r="4202" spans="1:28" x14ac:dyDescent="0.25">
      <c r="A4202" t="s">
        <v>4206</v>
      </c>
      <c r="B4202">
        <v>0.99193492352474899</v>
      </c>
      <c r="C4202">
        <v>0.95402060178787196</v>
      </c>
      <c r="D4202">
        <v>1.0425089768024001</v>
      </c>
      <c r="E4202">
        <v>1.00434555481054</v>
      </c>
      <c r="F4202">
        <v>0.708231475392048</v>
      </c>
      <c r="G4202">
        <v>0.40826054120969502</v>
      </c>
      <c r="H4202">
        <v>0.214174427149005</v>
      </c>
      <c r="I4202">
        <v>0.27250600330249197</v>
      </c>
      <c r="J4202">
        <v>0.35053257147127798</v>
      </c>
      <c r="K4202">
        <v>0.50743231277004197</v>
      </c>
      <c r="L4202">
        <v>2523.4219533539699</v>
      </c>
      <c r="M4202">
        <v>47.1649087731086</v>
      </c>
      <c r="N4202">
        <v>54.836938924856703</v>
      </c>
      <c r="O4202">
        <v>53.406170213799697</v>
      </c>
      <c r="P4202">
        <v>-0.14541344881664001</v>
      </c>
      <c r="Q4202">
        <v>0.34137730200164501</v>
      </c>
      <c r="R4202">
        <v>0.94523917583370998</v>
      </c>
      <c r="S4202" t="s">
        <v>10872</v>
      </c>
      <c r="T4202" t="s">
        <v>13338</v>
      </c>
      <c r="U4202" t="s">
        <v>13338</v>
      </c>
      <c r="V4202" t="s">
        <v>13338</v>
      </c>
      <c r="W4202" t="s">
        <v>17485</v>
      </c>
      <c r="X4202">
        <v>3</v>
      </c>
      <c r="Y4202" t="s">
        <v>23991</v>
      </c>
      <c r="Z4202" t="s">
        <v>30617</v>
      </c>
      <c r="AA4202">
        <v>0.63955113605091429</v>
      </c>
      <c r="AB4202" t="str">
        <f>HYPERLINK("Melting_Curves/meltCurve_Q7LBR1_CHMP1B.pdf", "Melting_Curves/meltCurve_Q7LBR1_CHMP1B.pdf")</f>
        <v>Melting_Curves/meltCurve_Q7LBR1_CHMP1B.pdf</v>
      </c>
    </row>
    <row r="4203" spans="1:28" x14ac:dyDescent="0.25">
      <c r="A4203" t="s">
        <v>4207</v>
      </c>
      <c r="B4203">
        <v>0.99193492352474899</v>
      </c>
      <c r="C4203">
        <v>0.93503608586138098</v>
      </c>
      <c r="D4203">
        <v>0.37904686485016997</v>
      </c>
      <c r="E4203">
        <v>0.28162996586928901</v>
      </c>
      <c r="F4203">
        <v>0.16146104498668701</v>
      </c>
      <c r="G4203">
        <v>0.14920437867849601</v>
      </c>
      <c r="H4203">
        <v>8.9806846675118998E-2</v>
      </c>
      <c r="I4203">
        <v>0.130822433865705</v>
      </c>
      <c r="J4203">
        <v>0.146538988131309</v>
      </c>
      <c r="K4203">
        <v>0.132891630516241</v>
      </c>
      <c r="L4203">
        <v>1925.5585950551199</v>
      </c>
      <c r="M4203">
        <v>42.7391664295737</v>
      </c>
      <c r="N4203">
        <v>45.4371362892375</v>
      </c>
      <c r="O4203">
        <v>44.955423014914899</v>
      </c>
      <c r="P4203">
        <v>-0.201695946775302</v>
      </c>
      <c r="Q4203">
        <v>0.15138146943321501</v>
      </c>
      <c r="R4203">
        <v>0.98206434890251204</v>
      </c>
      <c r="S4203" t="s">
        <v>10873</v>
      </c>
      <c r="T4203" t="s">
        <v>13338</v>
      </c>
      <c r="U4203" t="s">
        <v>13338</v>
      </c>
      <c r="V4203" t="s">
        <v>13338</v>
      </c>
      <c r="W4203" t="s">
        <v>17486</v>
      </c>
      <c r="X4203">
        <v>1</v>
      </c>
      <c r="Y4203" t="s">
        <v>23992</v>
      </c>
      <c r="Z4203" t="s">
        <v>30618</v>
      </c>
      <c r="AA4203">
        <v>0.29675237659934978</v>
      </c>
      <c r="AB4203" t="str">
        <f>HYPERLINK("Melting_Curves/meltCurve_Q7LDG7_RASGRP2.pdf", "Melting_Curves/meltCurve_Q7LDG7_RASGRP2.pdf")</f>
        <v>Melting_Curves/meltCurve_Q7LDG7_RASGRP2.pdf</v>
      </c>
    </row>
    <row r="4204" spans="1:28" x14ac:dyDescent="0.25">
      <c r="A4204" t="s">
        <v>4208</v>
      </c>
      <c r="B4204">
        <v>0.99193492352474899</v>
      </c>
      <c r="C4204">
        <v>0.62223291322278296</v>
      </c>
      <c r="D4204">
        <v>0.967532933771171</v>
      </c>
      <c r="E4204">
        <v>0.68375233614092501</v>
      </c>
      <c r="F4204">
        <v>0.80390238180817197</v>
      </c>
      <c r="G4204">
        <v>0.406078215154137</v>
      </c>
      <c r="H4204">
        <v>0.50885410854370305</v>
      </c>
      <c r="I4204">
        <v>0.47934849749674802</v>
      </c>
      <c r="J4204">
        <v>0.587496467462581</v>
      </c>
      <c r="K4204">
        <v>0.62409244881015402</v>
      </c>
      <c r="L4204">
        <v>412.10199990596197</v>
      </c>
      <c r="M4204">
        <v>8.6537920320634996</v>
      </c>
      <c r="O4204">
        <v>45.2829133436435</v>
      </c>
      <c r="P4204">
        <v>-2.4008072250499501E-2</v>
      </c>
      <c r="Q4204">
        <v>0.49791255128498801</v>
      </c>
      <c r="R4204">
        <v>0.49769946486396299</v>
      </c>
      <c r="S4204" t="s">
        <v>10874</v>
      </c>
      <c r="T4204" t="s">
        <v>13338</v>
      </c>
      <c r="U4204" t="s">
        <v>13338</v>
      </c>
      <c r="V4204" t="s">
        <v>13338</v>
      </c>
      <c r="W4204" t="s">
        <v>17487</v>
      </c>
      <c r="X4204">
        <v>6</v>
      </c>
      <c r="Y4204" t="s">
        <v>23993</v>
      </c>
      <c r="Z4204" t="s">
        <v>30619</v>
      </c>
      <c r="AA4204">
        <v>0.65944289926542865</v>
      </c>
      <c r="AB4204" t="str">
        <f>HYPERLINK("Melting_Curves/meltCurve_Q7LGA3_HS2ST1.pdf", "Melting_Curves/meltCurve_Q7LGA3_HS2ST1.pdf")</f>
        <v>Melting_Curves/meltCurve_Q7LGA3_HS2ST1.pdf</v>
      </c>
    </row>
    <row r="4205" spans="1:28" x14ac:dyDescent="0.25">
      <c r="A4205" t="s">
        <v>4209</v>
      </c>
      <c r="B4205">
        <v>0.99193492352474899</v>
      </c>
      <c r="C4205">
        <v>0.96801606989617595</v>
      </c>
      <c r="D4205">
        <v>0.74358882172623297</v>
      </c>
      <c r="E4205">
        <v>0.53844538654463303</v>
      </c>
      <c r="F4205">
        <v>0.46083547261644098</v>
      </c>
      <c r="G4205">
        <v>0.37493792258938902</v>
      </c>
      <c r="H4205">
        <v>0.211538424231553</v>
      </c>
      <c r="I4205">
        <v>0.13014349460896299</v>
      </c>
      <c r="J4205">
        <v>0.16301171818001201</v>
      </c>
      <c r="K4205">
        <v>0.17374284880628599</v>
      </c>
      <c r="L4205">
        <v>584.54760814070698</v>
      </c>
      <c r="M4205">
        <v>11.598010294493999</v>
      </c>
      <c r="N4205">
        <v>51.608449942789001</v>
      </c>
      <c r="O4205">
        <v>48.972213001557002</v>
      </c>
      <c r="P4205">
        <v>-5.2184507412008398E-2</v>
      </c>
      <c r="Q4205">
        <v>0.11885298531116401</v>
      </c>
      <c r="R4205">
        <v>0.97835239310946098</v>
      </c>
      <c r="S4205" t="s">
        <v>10875</v>
      </c>
      <c r="T4205" t="s">
        <v>13338</v>
      </c>
      <c r="U4205" t="s">
        <v>13338</v>
      </c>
      <c r="V4205" t="s">
        <v>13338</v>
      </c>
      <c r="W4205" t="s">
        <v>17488</v>
      </c>
      <c r="X4205">
        <v>2</v>
      </c>
      <c r="Y4205" t="s">
        <v>23994</v>
      </c>
      <c r="Z4205" t="s">
        <v>30620</v>
      </c>
      <c r="AA4205">
        <v>0.45568152157217823</v>
      </c>
      <c r="AB4205" t="str">
        <f>HYPERLINK("Melting_Curves/meltCurve_Q7RTN6_6_STRADA.pdf", "Melting_Curves/meltCurve_Q7RTN6_6_STRADA.pdf")</f>
        <v>Melting_Curves/meltCurve_Q7RTN6_6_STRADA.pdf</v>
      </c>
    </row>
    <row r="4206" spans="1:28" x14ac:dyDescent="0.25">
      <c r="A4206" t="s">
        <v>4210</v>
      </c>
      <c r="B4206">
        <v>0.99193492352474899</v>
      </c>
      <c r="C4206">
        <v>1.1468989988054901</v>
      </c>
      <c r="D4206">
        <v>1.08452791506388</v>
      </c>
      <c r="E4206">
        <v>0.70824528801773801</v>
      </c>
      <c r="F4206">
        <v>0.60351498113104995</v>
      </c>
      <c r="G4206">
        <v>0.25690760961961001</v>
      </c>
      <c r="H4206">
        <v>4.0493939067230499E-2</v>
      </c>
      <c r="I4206">
        <v>0</v>
      </c>
      <c r="J4206">
        <v>6.6075759944434598E-2</v>
      </c>
      <c r="K4206">
        <v>0</v>
      </c>
      <c r="L4206">
        <v>1075.6221908622899</v>
      </c>
      <c r="M4206">
        <v>20.048231944318999</v>
      </c>
      <c r="N4206">
        <v>53.651723264432398</v>
      </c>
      <c r="O4206">
        <v>53.126480709501998</v>
      </c>
      <c r="P4206">
        <v>-9.4345043829578701E-2</v>
      </c>
      <c r="Q4206">
        <v>0</v>
      </c>
      <c r="R4206">
        <v>0.96814785264945502</v>
      </c>
      <c r="S4206" t="s">
        <v>10876</v>
      </c>
      <c r="T4206" t="s">
        <v>13338</v>
      </c>
      <c r="U4206" t="s">
        <v>13338</v>
      </c>
      <c r="V4206" t="s">
        <v>13338</v>
      </c>
      <c r="W4206" t="s">
        <v>17489</v>
      </c>
      <c r="X4206">
        <v>1</v>
      </c>
      <c r="Y4206" t="s">
        <v>23995</v>
      </c>
      <c r="Z4206" t="s">
        <v>30621</v>
      </c>
      <c r="AA4206">
        <v>0.46866234894919268</v>
      </c>
      <c r="AB4206" t="str">
        <f>HYPERLINK("Melting_Curves/meltCurve_Q7RTP0_NIPA1.pdf", "Melting_Curves/meltCurve_Q7RTP0_NIPA1.pdf")</f>
        <v>Melting_Curves/meltCurve_Q7RTP0_NIPA1.pdf</v>
      </c>
    </row>
    <row r="4207" spans="1:28" x14ac:dyDescent="0.25">
      <c r="A4207" t="s">
        <v>4211</v>
      </c>
      <c r="B4207">
        <v>0.99193492352474899</v>
      </c>
      <c r="C4207">
        <v>0.90017468333150696</v>
      </c>
      <c r="D4207">
        <v>0.81983998988065998</v>
      </c>
      <c r="E4207">
        <v>0.483924892265508</v>
      </c>
      <c r="F4207">
        <v>0.272268570283345</v>
      </c>
      <c r="G4207">
        <v>0.154085403496829</v>
      </c>
      <c r="H4207">
        <v>0.121809786287221</v>
      </c>
      <c r="I4207">
        <v>0.16619102184439</v>
      </c>
      <c r="J4207">
        <v>0.20290296300636701</v>
      </c>
      <c r="K4207">
        <v>0.19213672058776801</v>
      </c>
      <c r="L4207">
        <v>1059.2282101133401</v>
      </c>
      <c r="M4207">
        <v>21.8411341879054</v>
      </c>
      <c r="N4207">
        <v>49.365634079746201</v>
      </c>
      <c r="O4207">
        <v>48.095895484782098</v>
      </c>
      <c r="P4207">
        <v>-9.5417708554140696E-2</v>
      </c>
      <c r="Q4207">
        <v>0.15955034930187101</v>
      </c>
      <c r="R4207">
        <v>0.99088143358108405</v>
      </c>
      <c r="S4207" t="s">
        <v>10877</v>
      </c>
      <c r="T4207" t="s">
        <v>13338</v>
      </c>
      <c r="U4207" t="s">
        <v>13338</v>
      </c>
      <c r="V4207" t="s">
        <v>13338</v>
      </c>
      <c r="W4207" t="s">
        <v>17490</v>
      </c>
      <c r="X4207">
        <v>6</v>
      </c>
      <c r="Y4207" t="s">
        <v>23996</v>
      </c>
      <c r="Z4207" t="s">
        <v>30622</v>
      </c>
      <c r="AA4207">
        <v>0.40744819935402837</v>
      </c>
      <c r="AB4207" t="str">
        <f>HYPERLINK("Melting_Curves/meltCurve_Q7RTP6_MICAL3.pdf", "Melting_Curves/meltCurve_Q7RTP6_MICAL3.pdf")</f>
        <v>Melting_Curves/meltCurve_Q7RTP6_MICAL3.pdf</v>
      </c>
    </row>
    <row r="4208" spans="1:28" x14ac:dyDescent="0.25">
      <c r="A4208" t="s">
        <v>4212</v>
      </c>
      <c r="B4208">
        <v>0.99193492352474899</v>
      </c>
      <c r="C4208">
        <v>0.88201884600306302</v>
      </c>
      <c r="D4208">
        <v>0.78186245038927504</v>
      </c>
      <c r="E4208">
        <v>0.74513234100055203</v>
      </c>
      <c r="F4208">
        <v>0.28297720747123001</v>
      </c>
      <c r="G4208">
        <v>0.13689401262790901</v>
      </c>
      <c r="H4208">
        <v>0.107654549202025</v>
      </c>
      <c r="I4208">
        <v>0.16262099722208101</v>
      </c>
      <c r="J4208">
        <v>0.20215596120010701</v>
      </c>
      <c r="K4208">
        <v>0.27379050118662002</v>
      </c>
      <c r="L4208">
        <v>1156.95479283076</v>
      </c>
      <c r="M4208">
        <v>23.087785167732498</v>
      </c>
      <c r="N4208">
        <v>50.971175984531399</v>
      </c>
      <c r="O4208">
        <v>49.739720536673403</v>
      </c>
      <c r="P4208">
        <v>-9.73241000114618E-2</v>
      </c>
      <c r="Q4208">
        <v>0.16132547293285801</v>
      </c>
      <c r="R4208">
        <v>0.93997040544541999</v>
      </c>
      <c r="S4208" t="s">
        <v>10878</v>
      </c>
      <c r="T4208" t="s">
        <v>13338</v>
      </c>
      <c r="U4208" t="s">
        <v>13338</v>
      </c>
      <c r="V4208" t="s">
        <v>13338</v>
      </c>
      <c r="W4208" t="s">
        <v>17491</v>
      </c>
      <c r="X4208">
        <v>12</v>
      </c>
      <c r="Y4208" t="s">
        <v>23997</v>
      </c>
      <c r="Z4208" t="s">
        <v>30623</v>
      </c>
      <c r="AA4208">
        <v>0.45278798669711878</v>
      </c>
      <c r="AB4208" t="str">
        <f>HYPERLINK("Melting_Curves/meltCurve_Q7RTV0_PHF5A.pdf", "Melting_Curves/meltCurve_Q7RTV0_PHF5A.pdf")</f>
        <v>Melting_Curves/meltCurve_Q7RTV0_PHF5A.pdf</v>
      </c>
    </row>
    <row r="4209" spans="1:28" x14ac:dyDescent="0.25">
      <c r="A4209" t="s">
        <v>4213</v>
      </c>
      <c r="B4209">
        <v>0.99193492352474899</v>
      </c>
      <c r="C4209">
        <v>0.82770983211877802</v>
      </c>
      <c r="D4209">
        <v>0.86913542907864005</v>
      </c>
      <c r="E4209">
        <v>0.37726756113598597</v>
      </c>
      <c r="F4209">
        <v>0.22055805819428601</v>
      </c>
      <c r="G4209">
        <v>0.119206988400508</v>
      </c>
      <c r="H4209">
        <v>6.6334175882558105E-2</v>
      </c>
      <c r="I4209">
        <v>8.0945024837160207E-2</v>
      </c>
      <c r="J4209">
        <v>7.9515572749814495E-2</v>
      </c>
      <c r="K4209">
        <v>9.1434828488666603E-2</v>
      </c>
      <c r="L4209">
        <v>1072.9716991861601</v>
      </c>
      <c r="M4209">
        <v>22.129651693094999</v>
      </c>
      <c r="N4209">
        <v>48.8622076064662</v>
      </c>
      <c r="O4209">
        <v>48.0950005606812</v>
      </c>
      <c r="P4209">
        <v>-0.106016418961387</v>
      </c>
      <c r="Q4209">
        <v>7.8386452341928994E-2</v>
      </c>
      <c r="R4209">
        <v>0.97942420717411804</v>
      </c>
      <c r="S4209" t="s">
        <v>10879</v>
      </c>
      <c r="T4209" t="s">
        <v>13338</v>
      </c>
      <c r="U4209" t="s">
        <v>13338</v>
      </c>
      <c r="V4209" t="s">
        <v>13338</v>
      </c>
      <c r="W4209" t="s">
        <v>17492</v>
      </c>
      <c r="X4209">
        <v>4</v>
      </c>
      <c r="Y4209" t="s">
        <v>23998</v>
      </c>
      <c r="Z4209" t="s">
        <v>30624</v>
      </c>
      <c r="AA4209">
        <v>0.34958719857243342</v>
      </c>
      <c r="AB4209" t="str">
        <f>HYPERLINK("Melting_Curves/meltCurve_Q7Z2E3_7_APTX.pdf", "Melting_Curves/meltCurve_Q7Z2E3_7_APTX.pdf")</f>
        <v>Melting_Curves/meltCurve_Q7Z2E3_7_APTX.pdf</v>
      </c>
    </row>
    <row r="4210" spans="1:28" x14ac:dyDescent="0.25">
      <c r="A4210" t="s">
        <v>4214</v>
      </c>
      <c r="B4210">
        <v>0.99193492352474899</v>
      </c>
      <c r="C4210">
        <v>0.97502060157061199</v>
      </c>
      <c r="D4210">
        <v>0.86549697703571304</v>
      </c>
      <c r="E4210">
        <v>0.83869773970985295</v>
      </c>
      <c r="F4210">
        <v>0.67917869408868203</v>
      </c>
      <c r="G4210">
        <v>0.47512879099597899</v>
      </c>
      <c r="H4210">
        <v>0.25626958292281399</v>
      </c>
      <c r="I4210">
        <v>0.340498279846287</v>
      </c>
      <c r="J4210">
        <v>0.29387018976564699</v>
      </c>
      <c r="K4210">
        <v>0.35774012972738101</v>
      </c>
      <c r="L4210">
        <v>875.42157051503102</v>
      </c>
      <c r="M4210">
        <v>16.482602982797498</v>
      </c>
      <c r="N4210">
        <v>55.925729307892702</v>
      </c>
      <c r="O4210">
        <v>52.348527117122998</v>
      </c>
      <c r="P4210">
        <v>-5.65355224465625E-2</v>
      </c>
      <c r="Q4210">
        <v>0.281825861108008</v>
      </c>
      <c r="R4210">
        <v>0.96880536725455502</v>
      </c>
      <c r="S4210" t="s">
        <v>10880</v>
      </c>
      <c r="T4210" t="s">
        <v>13338</v>
      </c>
      <c r="U4210" t="s">
        <v>13338</v>
      </c>
      <c r="V4210" t="s">
        <v>13338</v>
      </c>
      <c r="W4210" t="s">
        <v>17493</v>
      </c>
      <c r="X4210">
        <v>5</v>
      </c>
      <c r="Y4210" t="s">
        <v>23999</v>
      </c>
      <c r="Z4210" t="s">
        <v>30625</v>
      </c>
      <c r="AA4210">
        <v>0.60914975627301071</v>
      </c>
      <c r="AB4210" t="str">
        <f>HYPERLINK("Melting_Curves/meltCurve_Q7Z2K6_ERMP1.pdf", "Melting_Curves/meltCurve_Q7Z2K6_ERMP1.pdf")</f>
        <v>Melting_Curves/meltCurve_Q7Z2K6_ERMP1.pdf</v>
      </c>
    </row>
    <row r="4211" spans="1:28" x14ac:dyDescent="0.25">
      <c r="A4211" t="s">
        <v>4215</v>
      </c>
      <c r="B4211">
        <v>0.99193492352474899</v>
      </c>
      <c r="C4211">
        <v>0.98707136467560097</v>
      </c>
      <c r="D4211">
        <v>0.85974873741882296</v>
      </c>
      <c r="E4211">
        <v>0.66463327356640101</v>
      </c>
      <c r="F4211">
        <v>0.57609709885932603</v>
      </c>
      <c r="G4211">
        <v>0.41226198513666701</v>
      </c>
      <c r="H4211">
        <v>0.28110905744744002</v>
      </c>
      <c r="I4211">
        <v>0.41998268539293598</v>
      </c>
      <c r="J4211">
        <v>0.45697220449382298</v>
      </c>
      <c r="K4211">
        <v>0.715003570299372</v>
      </c>
      <c r="L4211">
        <v>1125.7550195508099</v>
      </c>
      <c r="M4211">
        <v>23.2391920755976</v>
      </c>
      <c r="N4211">
        <v>54.503302852448101</v>
      </c>
      <c r="O4211">
        <v>48.087642749488197</v>
      </c>
      <c r="P4211">
        <v>-6.4966911860029203E-2</v>
      </c>
      <c r="Q4211">
        <v>0.46227889183778698</v>
      </c>
      <c r="R4211">
        <v>0.80865897164268596</v>
      </c>
      <c r="S4211" t="s">
        <v>10881</v>
      </c>
      <c r="T4211" t="s">
        <v>13338</v>
      </c>
      <c r="U4211" t="s">
        <v>13338</v>
      </c>
      <c r="V4211" t="s">
        <v>13338</v>
      </c>
      <c r="W4211" t="s">
        <v>17494</v>
      </c>
      <c r="X4211">
        <v>7</v>
      </c>
      <c r="Y4211" t="s">
        <v>24000</v>
      </c>
      <c r="Z4211" t="s">
        <v>30626</v>
      </c>
      <c r="AA4211">
        <v>0.61913432279304559</v>
      </c>
      <c r="AB4211" t="str">
        <f>HYPERLINK("Melting_Curves/meltCurve_Q7Z2K8_GPRIN1.pdf", "Melting_Curves/meltCurve_Q7Z2K8_GPRIN1.pdf")</f>
        <v>Melting_Curves/meltCurve_Q7Z2K8_GPRIN1.pdf</v>
      </c>
    </row>
    <row r="4212" spans="1:28" x14ac:dyDescent="0.25">
      <c r="A4212" t="s">
        <v>4216</v>
      </c>
      <c r="B4212">
        <v>0.99193492352474899</v>
      </c>
      <c r="C4212">
        <v>0.698627627618153</v>
      </c>
      <c r="D4212">
        <v>0.82291975975918996</v>
      </c>
      <c r="E4212">
        <v>0.39411629358190697</v>
      </c>
      <c r="F4212">
        <v>0.21451488574309999</v>
      </c>
      <c r="G4212">
        <v>0.102801618278909</v>
      </c>
      <c r="H4212">
        <v>4.7535943342469897E-2</v>
      </c>
      <c r="I4212">
        <v>6.90147418390471E-2</v>
      </c>
      <c r="J4212">
        <v>8.3759948998149203E-2</v>
      </c>
      <c r="K4212">
        <v>6.5927123253348999E-2</v>
      </c>
      <c r="L4212">
        <v>724.09470675149601</v>
      </c>
      <c r="M4212">
        <v>15.0121003945758</v>
      </c>
      <c r="N4212">
        <v>48.488724483982601</v>
      </c>
      <c r="O4212">
        <v>47.4024733598552</v>
      </c>
      <c r="P4212">
        <v>-7.6179849201968297E-2</v>
      </c>
      <c r="Q4212">
        <v>3.7910011532208202E-2</v>
      </c>
      <c r="R4212">
        <v>0.95398903759645903</v>
      </c>
      <c r="S4212" t="s">
        <v>10882</v>
      </c>
      <c r="T4212" t="s">
        <v>13338</v>
      </c>
      <c r="U4212" t="s">
        <v>13338</v>
      </c>
      <c r="V4212" t="s">
        <v>13338</v>
      </c>
      <c r="W4212" t="s">
        <v>17495</v>
      </c>
      <c r="X4212">
        <v>9</v>
      </c>
      <c r="Y4212" t="s">
        <v>24001</v>
      </c>
      <c r="Z4212" t="s">
        <v>30627</v>
      </c>
      <c r="AA4212">
        <v>0.32642951453277957</v>
      </c>
      <c r="AB4212" t="str">
        <f>HYPERLINK("Melting_Curves/meltCurve_Q7Z2T5_TRMT1L.pdf", "Melting_Curves/meltCurve_Q7Z2T5_TRMT1L.pdf")</f>
        <v>Melting_Curves/meltCurve_Q7Z2T5_TRMT1L.pdf</v>
      </c>
    </row>
    <row r="4213" spans="1:28" x14ac:dyDescent="0.25">
      <c r="A4213" t="s">
        <v>4217</v>
      </c>
      <c r="B4213">
        <v>0.99193492352474899</v>
      </c>
      <c r="C4213">
        <v>0.75285222471670199</v>
      </c>
      <c r="D4213">
        <v>0.99014053680154901</v>
      </c>
      <c r="E4213">
        <v>0.28679212293532003</v>
      </c>
      <c r="F4213">
        <v>0.17415692302944499</v>
      </c>
      <c r="G4213">
        <v>7.5032951914760407E-2</v>
      </c>
      <c r="H4213">
        <v>4.2598146805997099E-2</v>
      </c>
      <c r="I4213">
        <v>5.1479793326115401E-2</v>
      </c>
      <c r="J4213">
        <v>5.7747741410004098E-2</v>
      </c>
      <c r="K4213">
        <v>6.0672003629782097E-2</v>
      </c>
      <c r="L4213">
        <v>2887.4750895400798</v>
      </c>
      <c r="M4213">
        <v>59.392619644077399</v>
      </c>
      <c r="N4213">
        <v>48.7505623140041</v>
      </c>
      <c r="O4213">
        <v>48.561698690749303</v>
      </c>
      <c r="P4213">
        <v>-0.28276224314338699</v>
      </c>
      <c r="Q4213">
        <v>7.5210929303013194E-2</v>
      </c>
      <c r="R4213">
        <v>0.95003494398021304</v>
      </c>
      <c r="S4213" t="s">
        <v>10883</v>
      </c>
      <c r="T4213" t="s">
        <v>13338</v>
      </c>
      <c r="U4213" t="s">
        <v>13338</v>
      </c>
      <c r="V4213" t="s">
        <v>13338</v>
      </c>
      <c r="W4213" t="s">
        <v>13614</v>
      </c>
      <c r="X4213">
        <v>17</v>
      </c>
      <c r="Y4213" t="s">
        <v>20218</v>
      </c>
      <c r="Z4213" t="s">
        <v>30628</v>
      </c>
      <c r="AA4213">
        <v>0.34223621580703839</v>
      </c>
      <c r="AB4213" t="str">
        <f>HYPERLINK("Melting_Curves/meltCurve_Q7Z2W4_ZC3HAV1.pdf", "Melting_Curves/meltCurve_Q7Z2W4_ZC3HAV1.pdf")</f>
        <v>Melting_Curves/meltCurve_Q7Z2W4_ZC3HAV1.pdf</v>
      </c>
    </row>
    <row r="4214" spans="1:28" x14ac:dyDescent="0.25">
      <c r="A4214" t="s">
        <v>4218</v>
      </c>
      <c r="B4214">
        <v>0.99193492352474899</v>
      </c>
      <c r="C4214">
        <v>0.97911612939117398</v>
      </c>
      <c r="D4214">
        <v>0.84737026160998297</v>
      </c>
      <c r="E4214">
        <v>0.63360609024260495</v>
      </c>
      <c r="F4214">
        <v>0.16256977438617901</v>
      </c>
      <c r="G4214">
        <v>9.8866013845520101E-2</v>
      </c>
      <c r="H4214">
        <v>5.6083571583260702E-2</v>
      </c>
      <c r="I4214">
        <v>6.3996364735972894E-2</v>
      </c>
      <c r="J4214">
        <v>6.7676026462750102E-2</v>
      </c>
      <c r="K4214">
        <v>6.49101985193761E-2</v>
      </c>
      <c r="L4214">
        <v>1342.2704563529801</v>
      </c>
      <c r="M4214">
        <v>26.8296308433031</v>
      </c>
      <c r="N4214">
        <v>50.248232653467099</v>
      </c>
      <c r="O4214">
        <v>49.753944776768797</v>
      </c>
      <c r="P4214">
        <v>-0.127379782464625</v>
      </c>
      <c r="Q4214">
        <v>5.51368580851243E-2</v>
      </c>
      <c r="R4214">
        <v>0.993030051300273</v>
      </c>
      <c r="S4214" t="s">
        <v>10884</v>
      </c>
      <c r="T4214" t="s">
        <v>13338</v>
      </c>
      <c r="U4214" t="s">
        <v>13338</v>
      </c>
      <c r="V4214" t="s">
        <v>13338</v>
      </c>
      <c r="W4214" t="s">
        <v>17496</v>
      </c>
      <c r="X4214">
        <v>30</v>
      </c>
      <c r="Y4214" t="s">
        <v>24002</v>
      </c>
      <c r="Z4214" t="s">
        <v>30629</v>
      </c>
      <c r="AA4214">
        <v>0.37834477940497308</v>
      </c>
      <c r="AB4214" t="str">
        <f>HYPERLINK("Melting_Curves/meltCurve_Q7Z2Z2_EFTUD1.pdf", "Melting_Curves/meltCurve_Q7Z2Z2_EFTUD1.pdf")</f>
        <v>Melting_Curves/meltCurve_Q7Z2Z2_EFTUD1.pdf</v>
      </c>
    </row>
    <row r="4215" spans="1:28" x14ac:dyDescent="0.25">
      <c r="A4215" t="s">
        <v>4219</v>
      </c>
      <c r="B4215">
        <v>0.99193492352474899</v>
      </c>
      <c r="C4215">
        <v>0.97547603732570098</v>
      </c>
      <c r="D4215">
        <v>0.81651704302515404</v>
      </c>
      <c r="E4215">
        <v>0.82550748583588596</v>
      </c>
      <c r="F4215">
        <v>0.51278549109869498</v>
      </c>
      <c r="G4215">
        <v>0.36559239114224001</v>
      </c>
      <c r="H4215">
        <v>0.27490113026511798</v>
      </c>
      <c r="I4215">
        <v>0.29477239733389299</v>
      </c>
      <c r="J4215">
        <v>0.37699073437435898</v>
      </c>
      <c r="K4215">
        <v>0.49416989905229303</v>
      </c>
      <c r="L4215">
        <v>1125.0548065231201</v>
      </c>
      <c r="M4215">
        <v>22.186744001766499</v>
      </c>
      <c r="N4215">
        <v>53.588759177075097</v>
      </c>
      <c r="O4215">
        <v>50.301890175096901</v>
      </c>
      <c r="P4215">
        <v>-7.1866393306274395E-2</v>
      </c>
      <c r="Q4215">
        <v>0.34827109488598101</v>
      </c>
      <c r="R4215">
        <v>0.92295276603867205</v>
      </c>
      <c r="S4215" t="s">
        <v>10885</v>
      </c>
      <c r="T4215" t="s">
        <v>13338</v>
      </c>
      <c r="U4215" t="s">
        <v>13338</v>
      </c>
      <c r="V4215" t="s">
        <v>13338</v>
      </c>
      <c r="W4215" t="s">
        <v>17497</v>
      </c>
      <c r="X4215">
        <v>3</v>
      </c>
      <c r="Y4215" t="s">
        <v>24003</v>
      </c>
      <c r="Z4215" t="s">
        <v>30630</v>
      </c>
      <c r="AA4215">
        <v>0.58832245044315179</v>
      </c>
      <c r="AB4215" t="str">
        <f>HYPERLINK("Melting_Curves/meltCurve_Q7Z309_FAM122B.pdf", "Melting_Curves/meltCurve_Q7Z309_FAM122B.pdf")</f>
        <v>Melting_Curves/meltCurve_Q7Z309_FAM122B.pdf</v>
      </c>
    </row>
    <row r="4216" spans="1:28" x14ac:dyDescent="0.25">
      <c r="A4216" t="s">
        <v>4220</v>
      </c>
      <c r="B4216">
        <v>0.99193492352474899</v>
      </c>
      <c r="C4216">
        <v>1.2157738667168001</v>
      </c>
      <c r="D4216">
        <v>1.24845765420814</v>
      </c>
      <c r="E4216">
        <v>0.23336166296380301</v>
      </c>
      <c r="F4216">
        <v>0.17308205507787999</v>
      </c>
      <c r="G4216">
        <v>6.24868067829377E-2</v>
      </c>
      <c r="H4216">
        <v>5.5122025040212699E-2</v>
      </c>
      <c r="I4216">
        <v>0.159992534288593</v>
      </c>
      <c r="J4216">
        <v>0.177297889656128</v>
      </c>
      <c r="K4216">
        <v>0.189229974577138</v>
      </c>
      <c r="L4216">
        <v>12297.5434019286</v>
      </c>
      <c r="M4216">
        <v>250</v>
      </c>
      <c r="N4216">
        <v>49.2528262223273</v>
      </c>
      <c r="O4216">
        <v>49.187025849721401</v>
      </c>
      <c r="P4216">
        <v>-1.09759397905804</v>
      </c>
      <c r="Q4216">
        <v>0.13620186781079199</v>
      </c>
      <c r="R4216">
        <v>0.94167422708386905</v>
      </c>
      <c r="S4216" t="s">
        <v>10886</v>
      </c>
      <c r="T4216" t="s">
        <v>13338</v>
      </c>
      <c r="U4216" t="s">
        <v>13338</v>
      </c>
      <c r="V4216" t="s">
        <v>13338</v>
      </c>
      <c r="W4216" t="s">
        <v>17498</v>
      </c>
      <c r="X4216">
        <v>1</v>
      </c>
      <c r="Y4216" t="s">
        <v>24004</v>
      </c>
      <c r="Z4216" t="s">
        <v>30631</v>
      </c>
      <c r="AA4216">
        <v>0.40089159766115218</v>
      </c>
      <c r="AB4216" t="str">
        <f>HYPERLINK("Melting_Curves/meltCurve_Q7Z392_TRAPPC11.pdf", "Melting_Curves/meltCurve_Q7Z392_TRAPPC11.pdf")</f>
        <v>Melting_Curves/meltCurve_Q7Z392_TRAPPC11.pdf</v>
      </c>
    </row>
    <row r="4217" spans="1:28" x14ac:dyDescent="0.25">
      <c r="A4217" t="s">
        <v>4221</v>
      </c>
      <c r="B4217">
        <v>0.99193492352474899</v>
      </c>
      <c r="C4217">
        <v>1.01702311676991</v>
      </c>
      <c r="D4217">
        <v>0.904517063933864</v>
      </c>
      <c r="E4217">
        <v>0.68634522812832599</v>
      </c>
      <c r="F4217">
        <v>0.33748231157004299</v>
      </c>
      <c r="G4217">
        <v>0.18180026847768299</v>
      </c>
      <c r="H4217">
        <v>0.130460732084655</v>
      </c>
      <c r="I4217">
        <v>0.133259973340636</v>
      </c>
      <c r="J4217">
        <v>0.12556817906163401</v>
      </c>
      <c r="K4217">
        <v>0.12715175426328801</v>
      </c>
      <c r="L4217">
        <v>1201.9573680419201</v>
      </c>
      <c r="M4217">
        <v>23.695221769695699</v>
      </c>
      <c r="N4217">
        <v>51.327797376565002</v>
      </c>
      <c r="O4217">
        <v>50.368576201681599</v>
      </c>
      <c r="P4217">
        <v>-0.103341638068029</v>
      </c>
      <c r="Q4217">
        <v>0.12132751521318</v>
      </c>
      <c r="R4217">
        <v>0.99875222135191799</v>
      </c>
      <c r="S4217" t="s">
        <v>10887</v>
      </c>
      <c r="T4217" t="s">
        <v>13338</v>
      </c>
      <c r="U4217" t="s">
        <v>13338</v>
      </c>
      <c r="V4217" t="s">
        <v>13338</v>
      </c>
      <c r="W4217" t="s">
        <v>17499</v>
      </c>
      <c r="X4217">
        <v>1</v>
      </c>
      <c r="Y4217" t="s">
        <v>24005</v>
      </c>
      <c r="Z4217" t="s">
        <v>30632</v>
      </c>
      <c r="AA4217">
        <v>0.44427073312050641</v>
      </c>
      <c r="AB4217" t="str">
        <f>HYPERLINK("Melting_Curves/meltCurve_Q7Z3C6_2_ATG9A.pdf", "Melting_Curves/meltCurve_Q7Z3C6_2_ATG9A.pdf")</f>
        <v>Melting_Curves/meltCurve_Q7Z3C6_2_ATG9A.pdf</v>
      </c>
    </row>
    <row r="4218" spans="1:28" x14ac:dyDescent="0.25">
      <c r="A4218" t="s">
        <v>4222</v>
      </c>
      <c r="B4218">
        <v>0.99193492352474899</v>
      </c>
      <c r="C4218">
        <v>0.82537202978771596</v>
      </c>
      <c r="D4218">
        <v>0.91471074302558297</v>
      </c>
      <c r="E4218">
        <v>0.66350773862666301</v>
      </c>
      <c r="F4218">
        <v>0.43395249316672801</v>
      </c>
      <c r="G4218">
        <v>0.24272100050260001</v>
      </c>
      <c r="H4218">
        <v>0.16268409899002501</v>
      </c>
      <c r="I4218">
        <v>0.124206414671188</v>
      </c>
      <c r="J4218">
        <v>0.14917237569764299</v>
      </c>
      <c r="K4218">
        <v>0.12899030431580999</v>
      </c>
      <c r="L4218">
        <v>773.335892824545</v>
      </c>
      <c r="M4218">
        <v>15.1065488630883</v>
      </c>
      <c r="N4218">
        <v>51.960094534440799</v>
      </c>
      <c r="O4218">
        <v>50.3201675791965</v>
      </c>
      <c r="P4218">
        <v>-6.7549449182464805E-2</v>
      </c>
      <c r="Q4218">
        <v>0.100055041963274</v>
      </c>
      <c r="R4218">
        <v>0.98098633767203902</v>
      </c>
      <c r="S4218" t="s">
        <v>10888</v>
      </c>
      <c r="T4218" t="s">
        <v>13338</v>
      </c>
      <c r="U4218" t="s">
        <v>13338</v>
      </c>
      <c r="V4218" t="s">
        <v>13338</v>
      </c>
      <c r="W4218" t="s">
        <v>17500</v>
      </c>
      <c r="X4218">
        <v>7</v>
      </c>
      <c r="Y4218" t="s">
        <v>24006</v>
      </c>
      <c r="Z4218" t="s">
        <v>30633</v>
      </c>
      <c r="AA4218">
        <v>0.45622645235125081</v>
      </c>
      <c r="AB4218" t="str">
        <f>HYPERLINK("Melting_Curves/meltCurve_Q7Z3D4_LYSMD3.pdf", "Melting_Curves/meltCurve_Q7Z3D4_LYSMD3.pdf")</f>
        <v>Melting_Curves/meltCurve_Q7Z3D4_LYSMD3.pdf</v>
      </c>
    </row>
    <row r="4219" spans="1:28" x14ac:dyDescent="0.25">
      <c r="A4219" t="s">
        <v>4223</v>
      </c>
      <c r="B4219">
        <v>0.99193492352474899</v>
      </c>
      <c r="C4219">
        <v>1.1079338259676199</v>
      </c>
      <c r="D4219">
        <v>1.0374654291966701</v>
      </c>
      <c r="E4219">
        <v>0.88514721138415697</v>
      </c>
      <c r="F4219">
        <v>0.48495874151107599</v>
      </c>
      <c r="G4219">
        <v>0.15008015566951599</v>
      </c>
      <c r="H4219">
        <v>8.0982655671803794E-2</v>
      </c>
      <c r="I4219">
        <v>8.9803703259473094E-2</v>
      </c>
      <c r="J4219">
        <v>0.10321563221107299</v>
      </c>
      <c r="K4219">
        <v>0.117502282268618</v>
      </c>
      <c r="L4219">
        <v>1814.61223455353</v>
      </c>
      <c r="M4219">
        <v>34.432749183733897</v>
      </c>
      <c r="N4219">
        <v>53.0176151751471</v>
      </c>
      <c r="O4219">
        <v>52.523361974856698</v>
      </c>
      <c r="P4219">
        <v>-0.14862685793465299</v>
      </c>
      <c r="Q4219">
        <v>9.3147587427732298E-2</v>
      </c>
      <c r="R4219">
        <v>0.99145653245464205</v>
      </c>
      <c r="S4219" t="s">
        <v>10889</v>
      </c>
      <c r="T4219" t="s">
        <v>13338</v>
      </c>
      <c r="U4219" t="s">
        <v>13338</v>
      </c>
      <c r="V4219" t="s">
        <v>13338</v>
      </c>
      <c r="W4219" t="s">
        <v>17501</v>
      </c>
      <c r="X4219">
        <v>13</v>
      </c>
      <c r="Y4219" t="s">
        <v>24007</v>
      </c>
      <c r="Z4219" t="s">
        <v>30634</v>
      </c>
      <c r="AA4219">
        <v>0.48150993910146689</v>
      </c>
      <c r="AB4219" t="str">
        <f>HYPERLINK("Melting_Curves/meltCurve_Q7Z3D6_2_C14orf159.pdf", "Melting_Curves/meltCurve_Q7Z3D6_2_C14orf159.pdf")</f>
        <v>Melting_Curves/meltCurve_Q7Z3D6_2_C14orf159.pdf</v>
      </c>
    </row>
    <row r="4220" spans="1:28" x14ac:dyDescent="0.25">
      <c r="A4220" t="s">
        <v>4224</v>
      </c>
      <c r="B4220">
        <v>0.99193492352474899</v>
      </c>
      <c r="C4220">
        <v>0.83903717473734596</v>
      </c>
      <c r="D4220">
        <v>0.66080492853073403</v>
      </c>
      <c r="E4220">
        <v>0.24381967057432699</v>
      </c>
      <c r="F4220">
        <v>0.12615887521646599</v>
      </c>
      <c r="G4220">
        <v>8.5338819854234901E-2</v>
      </c>
      <c r="H4220">
        <v>5.9469245075793299E-2</v>
      </c>
      <c r="I4220">
        <v>7.4498741917594799E-2</v>
      </c>
      <c r="J4220">
        <v>7.8065888553953397E-2</v>
      </c>
      <c r="K4220">
        <v>6.8478428844948994E-2</v>
      </c>
      <c r="L4220">
        <v>1041.25566314808</v>
      </c>
      <c r="M4220">
        <v>22.256407513322301</v>
      </c>
      <c r="N4220">
        <v>47.082117097235901</v>
      </c>
      <c r="O4220">
        <v>46.411755929751997</v>
      </c>
      <c r="P4220">
        <v>-0.112021998287323</v>
      </c>
      <c r="Q4220">
        <v>6.5612703265448699E-2</v>
      </c>
      <c r="R4220">
        <v>0.99536904666996895</v>
      </c>
      <c r="S4220" t="s">
        <v>10890</v>
      </c>
      <c r="T4220" t="s">
        <v>13338</v>
      </c>
      <c r="U4220" t="s">
        <v>13338</v>
      </c>
      <c r="V4220" t="s">
        <v>13338</v>
      </c>
      <c r="W4220" t="s">
        <v>17502</v>
      </c>
      <c r="X4220">
        <v>11</v>
      </c>
      <c r="Y4220" t="s">
        <v>24008</v>
      </c>
      <c r="Z4220" t="s">
        <v>30635</v>
      </c>
      <c r="AA4220">
        <v>0.28779555236723647</v>
      </c>
      <c r="AB4220" t="str">
        <f>HYPERLINK("Melting_Curves/meltCurve_Q7Z3K3_5_POGZ.pdf", "Melting_Curves/meltCurve_Q7Z3K3_5_POGZ.pdf")</f>
        <v>Melting_Curves/meltCurve_Q7Z3K3_5_POGZ.pdf</v>
      </c>
    </row>
    <row r="4221" spans="1:28" x14ac:dyDescent="0.25">
      <c r="A4221" t="s">
        <v>4225</v>
      </c>
      <c r="B4221">
        <v>0.99193492352474899</v>
      </c>
      <c r="C4221">
        <v>0.82681528008126604</v>
      </c>
      <c r="D4221">
        <v>0.953245699922316</v>
      </c>
      <c r="E4221">
        <v>0.71472370257516404</v>
      </c>
      <c r="F4221">
        <v>0.41326750397981998</v>
      </c>
      <c r="G4221">
        <v>0.15350776860333201</v>
      </c>
      <c r="H4221">
        <v>0.110883023160811</v>
      </c>
      <c r="I4221">
        <v>0.11404633031332501</v>
      </c>
      <c r="J4221">
        <v>0.118433251730995</v>
      </c>
      <c r="K4221">
        <v>0.15827039320271</v>
      </c>
      <c r="L4221">
        <v>1146.4289606545501</v>
      </c>
      <c r="M4221">
        <v>22.3526231248144</v>
      </c>
      <c r="N4221">
        <v>51.857954040961403</v>
      </c>
      <c r="O4221">
        <v>50.883145942133297</v>
      </c>
      <c r="P4221">
        <v>-9.78708444431617E-2</v>
      </c>
      <c r="Q4221">
        <v>0.108852518857344</v>
      </c>
      <c r="R4221">
        <v>0.97446264147066497</v>
      </c>
      <c r="S4221" t="s">
        <v>10891</v>
      </c>
      <c r="T4221" t="s">
        <v>13338</v>
      </c>
      <c r="U4221" t="s">
        <v>13338</v>
      </c>
      <c r="V4221" t="s">
        <v>13338</v>
      </c>
      <c r="W4221" t="s">
        <v>17503</v>
      </c>
      <c r="X4221">
        <v>16</v>
      </c>
      <c r="Y4221" t="s">
        <v>24009</v>
      </c>
      <c r="Z4221" t="s">
        <v>30636</v>
      </c>
      <c r="AA4221">
        <v>0.45419967897639829</v>
      </c>
      <c r="AB4221" t="str">
        <f>HYPERLINK("Melting_Curves/meltCurve_Q7Z3T8_ZFYVE16.pdf", "Melting_Curves/meltCurve_Q7Z3T8_ZFYVE16.pdf")</f>
        <v>Melting_Curves/meltCurve_Q7Z3T8_ZFYVE16.pdf</v>
      </c>
    </row>
    <row r="4222" spans="1:28" x14ac:dyDescent="0.25">
      <c r="A4222" t="s">
        <v>4226</v>
      </c>
      <c r="B4222">
        <v>0.99193492352474899</v>
      </c>
      <c r="C4222">
        <v>0.92561801222902096</v>
      </c>
      <c r="D4222">
        <v>1.0161400824571201</v>
      </c>
      <c r="E4222">
        <v>0.87381348652659896</v>
      </c>
      <c r="F4222">
        <v>0.90927677603985602</v>
      </c>
      <c r="G4222">
        <v>0.55722145321223104</v>
      </c>
      <c r="H4222">
        <v>0.36727512399926299</v>
      </c>
      <c r="I4222">
        <v>0.17378452637991801</v>
      </c>
      <c r="J4222">
        <v>0.12286693134198901</v>
      </c>
      <c r="K4222">
        <v>6.5488577928575403E-2</v>
      </c>
      <c r="L4222">
        <v>976.44479651255904</v>
      </c>
      <c r="M4222">
        <v>16.779765664047702</v>
      </c>
      <c r="N4222">
        <v>58.302394481551701</v>
      </c>
      <c r="O4222">
        <v>57.384153307700998</v>
      </c>
      <c r="P4222">
        <v>-7.1962393327559604E-2</v>
      </c>
      <c r="Q4222">
        <v>1.56638716276662E-2</v>
      </c>
      <c r="R4222">
        <v>0.98403105237487098</v>
      </c>
      <c r="S4222" t="s">
        <v>10892</v>
      </c>
      <c r="T4222" t="s">
        <v>13338</v>
      </c>
      <c r="U4222" t="s">
        <v>13338</v>
      </c>
      <c r="V4222" t="s">
        <v>13338</v>
      </c>
      <c r="W4222" t="s">
        <v>17504</v>
      </c>
      <c r="X4222">
        <v>1</v>
      </c>
      <c r="Y4222" t="s">
        <v>24010</v>
      </c>
      <c r="Z4222" t="s">
        <v>30637</v>
      </c>
      <c r="AA4222">
        <v>0.62489518264275146</v>
      </c>
      <c r="AB4222" t="str">
        <f>HYPERLINK("Melting_Curves/meltCurve_Q7Z3Z2_RD3.pdf", "Melting_Curves/meltCurve_Q7Z3Z2_RD3.pdf")</f>
        <v>Melting_Curves/meltCurve_Q7Z3Z2_RD3.pdf</v>
      </c>
    </row>
    <row r="4223" spans="1:28" x14ac:dyDescent="0.25">
      <c r="A4223" t="s">
        <v>4227</v>
      </c>
      <c r="B4223">
        <v>0.99193492352474899</v>
      </c>
      <c r="C4223">
        <v>0.63024129851718003</v>
      </c>
      <c r="D4223">
        <v>0.82509055343611404</v>
      </c>
      <c r="E4223">
        <v>0.543964122370866</v>
      </c>
      <c r="F4223">
        <v>0.42964480342644001</v>
      </c>
      <c r="G4223">
        <v>0.18803527765722999</v>
      </c>
      <c r="H4223">
        <v>9.7829603152555303E-2</v>
      </c>
      <c r="I4223">
        <v>0.17962931294898801</v>
      </c>
      <c r="J4223">
        <v>0.25140455143852902</v>
      </c>
      <c r="K4223">
        <v>0.34268288032927902</v>
      </c>
      <c r="L4223">
        <v>578.75588852235398</v>
      </c>
      <c r="M4223">
        <v>12.048434875318399</v>
      </c>
      <c r="N4223">
        <v>49.8818317862752</v>
      </c>
      <c r="O4223">
        <v>46.769895806954402</v>
      </c>
      <c r="P4223">
        <v>-5.28308304854887E-2</v>
      </c>
      <c r="Q4223">
        <v>0.179874840014634</v>
      </c>
      <c r="R4223">
        <v>0.84279072344680905</v>
      </c>
      <c r="S4223" t="s">
        <v>10893</v>
      </c>
      <c r="T4223" t="s">
        <v>13338</v>
      </c>
      <c r="U4223" t="s">
        <v>13338</v>
      </c>
      <c r="V4223" t="s">
        <v>13338</v>
      </c>
      <c r="W4223" t="s">
        <v>17505</v>
      </c>
      <c r="X4223">
        <v>1</v>
      </c>
      <c r="Y4223" t="s">
        <v>24011</v>
      </c>
      <c r="Z4223" t="s">
        <v>30638</v>
      </c>
      <c r="AA4223">
        <v>0.43134378321322492</v>
      </c>
      <c r="AB4223" t="str">
        <f>HYPERLINK("Melting_Curves/meltCurve_Q7Z403_3_TMC6.pdf", "Melting_Curves/meltCurve_Q7Z403_3_TMC6.pdf")</f>
        <v>Melting_Curves/meltCurve_Q7Z403_3_TMC6.pdf</v>
      </c>
    </row>
    <row r="4224" spans="1:28" x14ac:dyDescent="0.25">
      <c r="A4224" t="s">
        <v>4228</v>
      </c>
      <c r="B4224">
        <v>0.99193492352474899</v>
      </c>
      <c r="C4224">
        <v>0.45405874061075102</v>
      </c>
      <c r="D4224">
        <v>0.81254376153440899</v>
      </c>
      <c r="E4224">
        <v>0.44516551946996702</v>
      </c>
      <c r="F4224">
        <v>0.45632951434456498</v>
      </c>
      <c r="G4224">
        <v>0.17785479146616101</v>
      </c>
      <c r="H4224">
        <v>0.17189311593518</v>
      </c>
      <c r="I4224">
        <v>0.22003523301932401</v>
      </c>
      <c r="J4224">
        <v>0.33647187057820099</v>
      </c>
      <c r="K4224">
        <v>0.50492342401654799</v>
      </c>
      <c r="L4224">
        <v>533.49340040575396</v>
      </c>
      <c r="M4224">
        <v>11.880773868418499</v>
      </c>
      <c r="N4224">
        <v>48.252887005768699</v>
      </c>
      <c r="O4224">
        <v>43.688467973981098</v>
      </c>
      <c r="P4224">
        <v>-4.8908312162155701E-2</v>
      </c>
      <c r="Q4224">
        <v>0.28079000752426098</v>
      </c>
      <c r="R4224">
        <v>0.610345139055123</v>
      </c>
      <c r="S4224" t="s">
        <v>10894</v>
      </c>
      <c r="T4224" t="s">
        <v>13338</v>
      </c>
      <c r="U4224" t="s">
        <v>13338</v>
      </c>
      <c r="V4224" t="s">
        <v>13338</v>
      </c>
      <c r="W4224" t="s">
        <v>17506</v>
      </c>
      <c r="X4224">
        <v>12</v>
      </c>
      <c r="Y4224" t="s">
        <v>19948</v>
      </c>
      <c r="Z4224" t="s">
        <v>30639</v>
      </c>
      <c r="AA4224">
        <v>0.43529997615263011</v>
      </c>
      <c r="AB4224" t="str">
        <f>HYPERLINK("Melting_Curves/meltCurve_Q7Z417_NUFIP2.pdf", "Melting_Curves/meltCurve_Q7Z417_NUFIP2.pdf")</f>
        <v>Melting_Curves/meltCurve_Q7Z417_NUFIP2.pdf</v>
      </c>
    </row>
    <row r="4225" spans="1:28" x14ac:dyDescent="0.25">
      <c r="A4225" t="s">
        <v>4229</v>
      </c>
      <c r="B4225">
        <v>0.99193492352474899</v>
      </c>
      <c r="C4225">
        <v>1.7560863495523</v>
      </c>
      <c r="D4225">
        <v>0.58673581697803501</v>
      </c>
      <c r="E4225">
        <v>1.2685345807382</v>
      </c>
      <c r="F4225">
        <v>0.46721122771107898</v>
      </c>
      <c r="G4225">
        <v>0.98563074249266103</v>
      </c>
      <c r="H4225">
        <v>0.68196534853128399</v>
      </c>
      <c r="I4225">
        <v>1.36411140908933</v>
      </c>
      <c r="J4225">
        <v>0.55238140108400402</v>
      </c>
      <c r="K4225">
        <v>1.4310987483183499</v>
      </c>
      <c r="L4225">
        <v>15000</v>
      </c>
      <c r="M4225">
        <v>216.084337016923</v>
      </c>
      <c r="O4225">
        <v>69.411394583999794</v>
      </c>
      <c r="P4225">
        <v>0.38913700491526998</v>
      </c>
      <c r="Q4225">
        <v>1.5</v>
      </c>
      <c r="R4225">
        <v>0.107602733793038</v>
      </c>
      <c r="S4225" t="s">
        <v>10895</v>
      </c>
      <c r="T4225" t="s">
        <v>13338</v>
      </c>
      <c r="U4225" t="s">
        <v>13338</v>
      </c>
      <c r="V4225" t="s">
        <v>13338</v>
      </c>
      <c r="W4225" t="s">
        <v>17507</v>
      </c>
      <c r="X4225">
        <v>4</v>
      </c>
      <c r="Y4225" t="s">
        <v>24012</v>
      </c>
      <c r="Z4225" t="s">
        <v>30640</v>
      </c>
      <c r="AA4225">
        <v>1.0104715970434499</v>
      </c>
      <c r="AB4225" t="str">
        <f>HYPERLINK("Melting_Curves/meltCurve_Q7Z422_2_SZRD1.pdf", "Melting_Curves/meltCurve_Q7Z422_2_SZRD1.pdf")</f>
        <v>Melting_Curves/meltCurve_Q7Z422_2_SZRD1.pdf</v>
      </c>
    </row>
    <row r="4226" spans="1:28" x14ac:dyDescent="0.25">
      <c r="A4226" t="s">
        <v>4230</v>
      </c>
      <c r="B4226">
        <v>0.99193492352474899</v>
      </c>
      <c r="C4226">
        <v>0.71848697042679399</v>
      </c>
      <c r="D4226">
        <v>1.1832741328165099</v>
      </c>
      <c r="E4226">
        <v>0.72150223869111296</v>
      </c>
      <c r="F4226">
        <v>0.63305670209722598</v>
      </c>
      <c r="G4226">
        <v>0.25369883514959601</v>
      </c>
      <c r="H4226">
        <v>0.14754240078497699</v>
      </c>
      <c r="I4226">
        <v>0.224604161574602</v>
      </c>
      <c r="J4226">
        <v>0.17837420624570899</v>
      </c>
      <c r="K4226">
        <v>0.187614898902177</v>
      </c>
      <c r="L4226">
        <v>1202.05816959453</v>
      </c>
      <c r="M4226">
        <v>22.7783188410767</v>
      </c>
      <c r="N4226">
        <v>53.724951669625298</v>
      </c>
      <c r="O4226">
        <v>52.370342347993301</v>
      </c>
      <c r="P4226">
        <v>-9.0668144871439593E-2</v>
      </c>
      <c r="Q4226">
        <v>0.166184333943077</v>
      </c>
      <c r="R4226">
        <v>0.88109445889791804</v>
      </c>
      <c r="S4226" t="s">
        <v>10896</v>
      </c>
      <c r="T4226" t="s">
        <v>13338</v>
      </c>
      <c r="U4226" t="s">
        <v>13338</v>
      </c>
      <c r="V4226" t="s">
        <v>13338</v>
      </c>
      <c r="W4226" t="s">
        <v>17508</v>
      </c>
      <c r="X4226">
        <v>3</v>
      </c>
      <c r="Y4226" t="s">
        <v>24013</v>
      </c>
      <c r="Z4226" t="s">
        <v>30641</v>
      </c>
      <c r="AA4226">
        <v>0.53028164463995542</v>
      </c>
      <c r="AB4226" t="str">
        <f>HYPERLINK("Melting_Curves/meltCurve_Q7Z434_MAVS.pdf", "Melting_Curves/meltCurve_Q7Z434_MAVS.pdf")</f>
        <v>Melting_Curves/meltCurve_Q7Z434_MAVS.pdf</v>
      </c>
    </row>
    <row r="4227" spans="1:28" x14ac:dyDescent="0.25">
      <c r="A4227" t="s">
        <v>4231</v>
      </c>
      <c r="B4227">
        <v>0.99193492352474899</v>
      </c>
      <c r="C4227">
        <v>0.90859932125764198</v>
      </c>
      <c r="D4227">
        <v>0.99206139046728803</v>
      </c>
      <c r="E4227">
        <v>0.74175672823404404</v>
      </c>
      <c r="F4227">
        <v>0.74755116064895999</v>
      </c>
      <c r="G4227">
        <v>0.54345352966334903</v>
      </c>
      <c r="H4227">
        <v>0.39165517664628102</v>
      </c>
      <c r="I4227">
        <v>0.22469663756129499</v>
      </c>
      <c r="J4227">
        <v>0.17310130577015301</v>
      </c>
      <c r="K4227">
        <v>0.13320548872165799</v>
      </c>
      <c r="L4227">
        <v>591.89595735673197</v>
      </c>
      <c r="M4227">
        <v>10.2932676516659</v>
      </c>
      <c r="N4227">
        <v>57.5032124413856</v>
      </c>
      <c r="O4227">
        <v>55.459695299434401</v>
      </c>
      <c r="P4227">
        <v>-4.6419974004482403E-2</v>
      </c>
      <c r="Q4227">
        <v>0</v>
      </c>
      <c r="R4227">
        <v>0.97869727239440496</v>
      </c>
      <c r="S4227" t="s">
        <v>10897</v>
      </c>
      <c r="T4227" t="s">
        <v>13338</v>
      </c>
      <c r="U4227" t="s">
        <v>13338</v>
      </c>
      <c r="V4227" t="s">
        <v>13338</v>
      </c>
      <c r="W4227" t="s">
        <v>17509</v>
      </c>
      <c r="X4227">
        <v>4</v>
      </c>
      <c r="Y4227" t="s">
        <v>24014</v>
      </c>
      <c r="Z4227" t="s">
        <v>30642</v>
      </c>
      <c r="AA4227">
        <v>0.59679929094623885</v>
      </c>
      <c r="AB4227" t="str">
        <f>HYPERLINK("Melting_Curves/meltCurve_Q7Z449_CYP2U1.pdf", "Melting_Curves/meltCurve_Q7Z449_CYP2U1.pdf")</f>
        <v>Melting_Curves/meltCurve_Q7Z449_CYP2U1.pdf</v>
      </c>
    </row>
    <row r="4228" spans="1:28" x14ac:dyDescent="0.25">
      <c r="A4228" t="s">
        <v>4232</v>
      </c>
      <c r="B4228">
        <v>0.99193492352474899</v>
      </c>
      <c r="C4228">
        <v>0.45339896000087299</v>
      </c>
      <c r="D4228">
        <v>0.838677366526423</v>
      </c>
      <c r="E4228">
        <v>0.42940151195023502</v>
      </c>
      <c r="F4228">
        <v>0.19923143409645699</v>
      </c>
      <c r="G4228">
        <v>9.4876777805706497E-2</v>
      </c>
      <c r="H4228">
        <v>6.7778902157360502E-2</v>
      </c>
      <c r="I4228">
        <v>7.3926252557615396E-2</v>
      </c>
      <c r="J4228">
        <v>9.2415885943236298E-2</v>
      </c>
      <c r="K4228">
        <v>7.4689489510891702E-2</v>
      </c>
      <c r="L4228">
        <v>499.15551610423398</v>
      </c>
      <c r="M4228">
        <v>10.4657398813225</v>
      </c>
      <c r="N4228">
        <v>47.744074076458197</v>
      </c>
      <c r="O4228">
        <v>46.051588813569197</v>
      </c>
      <c r="P4228">
        <v>-5.6529771634901603E-2</v>
      </c>
      <c r="Q4228">
        <v>5.4320191883720703E-3</v>
      </c>
      <c r="R4228">
        <v>0.82934295057216401</v>
      </c>
      <c r="S4228" t="s">
        <v>10898</v>
      </c>
      <c r="T4228" t="s">
        <v>13338</v>
      </c>
      <c r="U4228" t="s">
        <v>13338</v>
      </c>
      <c r="V4228" t="s">
        <v>13338</v>
      </c>
      <c r="W4228" t="s">
        <v>17510</v>
      </c>
      <c r="X4228">
        <v>18</v>
      </c>
      <c r="Y4228" t="s">
        <v>24015</v>
      </c>
      <c r="Z4228" t="s">
        <v>30643</v>
      </c>
      <c r="AA4228">
        <v>0.31070797021684249</v>
      </c>
      <c r="AB4228" t="str">
        <f>HYPERLINK("Melting_Curves/meltCurve_Q7Z478_DHX29.pdf", "Melting_Curves/meltCurve_Q7Z478_DHX29.pdf")</f>
        <v>Melting_Curves/meltCurve_Q7Z478_DHX29.pdf</v>
      </c>
    </row>
    <row r="4229" spans="1:28" x14ac:dyDescent="0.25">
      <c r="A4229" t="s">
        <v>4233</v>
      </c>
      <c r="B4229">
        <v>0.99193492352474899</v>
      </c>
      <c r="C4229">
        <v>0.92153935137961795</v>
      </c>
      <c r="D4229">
        <v>0.88242790553296602</v>
      </c>
      <c r="E4229">
        <v>0.67208957211312104</v>
      </c>
      <c r="F4229">
        <v>0.43978922276257398</v>
      </c>
      <c r="G4229">
        <v>0.20698994169984</v>
      </c>
      <c r="H4229">
        <v>0.120273618530517</v>
      </c>
      <c r="I4229">
        <v>0.10650783185798</v>
      </c>
      <c r="J4229">
        <v>0.143894966874305</v>
      </c>
      <c r="K4229">
        <v>0.15637683204748901</v>
      </c>
      <c r="L4229">
        <v>897.89982334428601</v>
      </c>
      <c r="M4229">
        <v>17.5675458261939</v>
      </c>
      <c r="N4229">
        <v>51.819047146690899</v>
      </c>
      <c r="O4229">
        <v>50.462795512213702</v>
      </c>
      <c r="P4229">
        <v>-7.7753204656733702E-2</v>
      </c>
      <c r="Q4229">
        <v>0.10666384494766799</v>
      </c>
      <c r="R4229">
        <v>0.99263982067151302</v>
      </c>
      <c r="S4229" t="s">
        <v>10899</v>
      </c>
      <c r="T4229" t="s">
        <v>13338</v>
      </c>
      <c r="U4229" t="s">
        <v>13338</v>
      </c>
      <c r="V4229" t="s">
        <v>13338</v>
      </c>
      <c r="W4229" t="s">
        <v>17511</v>
      </c>
      <c r="X4229">
        <v>5</v>
      </c>
      <c r="Y4229" t="s">
        <v>24016</v>
      </c>
      <c r="Z4229" t="s">
        <v>30644</v>
      </c>
      <c r="AA4229">
        <v>0.45323328964314102</v>
      </c>
      <c r="AB4229" t="str">
        <f>HYPERLINK("Melting_Curves/meltCurve_Q7Z4G1_COMMD6.pdf", "Melting_Curves/meltCurve_Q7Z4G1_COMMD6.pdf")</f>
        <v>Melting_Curves/meltCurve_Q7Z4G1_COMMD6.pdf</v>
      </c>
    </row>
    <row r="4230" spans="1:28" x14ac:dyDescent="0.25">
      <c r="A4230" t="s">
        <v>4234</v>
      </c>
      <c r="B4230">
        <v>0.99193492352474899</v>
      </c>
      <c r="C4230">
        <v>1.03641321830657</v>
      </c>
      <c r="D4230">
        <v>0.94109449421903901</v>
      </c>
      <c r="E4230">
        <v>0.93577005462143603</v>
      </c>
      <c r="F4230">
        <v>0.61948229648752096</v>
      </c>
      <c r="G4230">
        <v>0.472242212587411</v>
      </c>
      <c r="H4230">
        <v>0.185820218439151</v>
      </c>
      <c r="I4230">
        <v>0.19601372804387199</v>
      </c>
      <c r="J4230">
        <v>0.189642175266169</v>
      </c>
      <c r="K4230">
        <v>0.23184348103267499</v>
      </c>
      <c r="L4230">
        <v>1156.36237884006</v>
      </c>
      <c r="M4230">
        <v>21.356741209832499</v>
      </c>
      <c r="N4230">
        <v>55.309916672624098</v>
      </c>
      <c r="O4230">
        <v>53.677061944087299</v>
      </c>
      <c r="P4230">
        <v>-8.1455537051773205E-2</v>
      </c>
      <c r="Q4230">
        <v>0.18111402343960001</v>
      </c>
      <c r="R4230">
        <v>0.98476477621385405</v>
      </c>
      <c r="S4230" t="s">
        <v>10900</v>
      </c>
      <c r="T4230" t="s">
        <v>13338</v>
      </c>
      <c r="U4230" t="s">
        <v>13338</v>
      </c>
      <c r="V4230" t="s">
        <v>13338</v>
      </c>
      <c r="W4230" t="s">
        <v>17512</v>
      </c>
      <c r="X4230">
        <v>2</v>
      </c>
      <c r="Y4230" t="s">
        <v>24017</v>
      </c>
      <c r="Z4230" t="s">
        <v>30645</v>
      </c>
      <c r="AA4230">
        <v>0.57719653321352138</v>
      </c>
      <c r="AB4230" t="str">
        <f>HYPERLINK("Melting_Curves/meltCurve_Q7Z4G4_2_TRMT11.pdf", "Melting_Curves/meltCurve_Q7Z4G4_2_TRMT11.pdf")</f>
        <v>Melting_Curves/meltCurve_Q7Z4G4_2_TRMT11.pdf</v>
      </c>
    </row>
    <row r="4231" spans="1:28" x14ac:dyDescent="0.25">
      <c r="A4231" t="s">
        <v>4235</v>
      </c>
      <c r="B4231">
        <v>0.99193492352474899</v>
      </c>
      <c r="C4231">
        <v>0.90056266278923003</v>
      </c>
      <c r="D4231">
        <v>0.90285633477633098</v>
      </c>
      <c r="E4231">
        <v>0.77755092335854903</v>
      </c>
      <c r="F4231">
        <v>0.734439787438804</v>
      </c>
      <c r="G4231">
        <v>0.50329912708588398</v>
      </c>
      <c r="H4231">
        <v>0.41222195007176798</v>
      </c>
      <c r="I4231">
        <v>0.19974887217694601</v>
      </c>
      <c r="J4231">
        <v>0.18961116916566001</v>
      </c>
      <c r="K4231">
        <v>0.15533522506709599</v>
      </c>
      <c r="L4231">
        <v>547.154392164157</v>
      </c>
      <c r="M4231">
        <v>9.5629534146564801</v>
      </c>
      <c r="N4231">
        <v>57.2160473434989</v>
      </c>
      <c r="O4231">
        <v>54.881804252565203</v>
      </c>
      <c r="P4231">
        <v>-4.3586706417153599E-2</v>
      </c>
      <c r="Q4231">
        <v>0</v>
      </c>
      <c r="R4231">
        <v>0.98325822917725902</v>
      </c>
      <c r="S4231" t="s">
        <v>10901</v>
      </c>
      <c r="T4231" t="s">
        <v>13338</v>
      </c>
      <c r="U4231" t="s">
        <v>13338</v>
      </c>
      <c r="V4231" t="s">
        <v>13338</v>
      </c>
      <c r="W4231" t="s">
        <v>17513</v>
      </c>
      <c r="X4231">
        <v>8</v>
      </c>
      <c r="Y4231" t="s">
        <v>24018</v>
      </c>
      <c r="Z4231" t="s">
        <v>30646</v>
      </c>
      <c r="AA4231">
        <v>0.58781345426152898</v>
      </c>
      <c r="AB4231" t="str">
        <f>HYPERLINK("Melting_Curves/meltCurve_Q7Z4H3_HDDC2.pdf", "Melting_Curves/meltCurve_Q7Z4H3_HDDC2.pdf")</f>
        <v>Melting_Curves/meltCurve_Q7Z4H3_HDDC2.pdf</v>
      </c>
    </row>
    <row r="4232" spans="1:28" x14ac:dyDescent="0.25">
      <c r="A4232" t="s">
        <v>4236</v>
      </c>
      <c r="B4232">
        <v>0.99193492352474899</v>
      </c>
      <c r="C4232">
        <v>0.710899975411034</v>
      </c>
      <c r="D4232">
        <v>0.47179261442192799</v>
      </c>
      <c r="E4232">
        <v>0.20076302955921299</v>
      </c>
      <c r="F4232">
        <v>0.206998807554549</v>
      </c>
      <c r="G4232">
        <v>8.9705038724585504E-2</v>
      </c>
      <c r="H4232">
        <v>7.2302517125909793E-2</v>
      </c>
      <c r="I4232">
        <v>0.10321476526662</v>
      </c>
      <c r="J4232">
        <v>0.124857364536909</v>
      </c>
      <c r="K4232">
        <v>0.123506519966687</v>
      </c>
      <c r="L4232">
        <v>909.76183467046303</v>
      </c>
      <c r="M4232">
        <v>20.246931798705099</v>
      </c>
      <c r="N4232">
        <v>45.478654400456101</v>
      </c>
      <c r="O4232">
        <v>44.501879364217501</v>
      </c>
      <c r="P4232">
        <v>-0.101486242746041</v>
      </c>
      <c r="Q4232">
        <v>0.10777823031296099</v>
      </c>
      <c r="R4232">
        <v>0.985127035832007</v>
      </c>
      <c r="S4232" t="s">
        <v>10902</v>
      </c>
      <c r="T4232" t="s">
        <v>13338</v>
      </c>
      <c r="U4232" t="s">
        <v>13338</v>
      </c>
      <c r="V4232" t="s">
        <v>13338</v>
      </c>
      <c r="W4232" t="s">
        <v>17514</v>
      </c>
      <c r="X4232">
        <v>8</v>
      </c>
      <c r="Y4232" t="s">
        <v>24019</v>
      </c>
      <c r="Z4232" t="s">
        <v>30647</v>
      </c>
      <c r="AA4232">
        <v>0.26928887646084498</v>
      </c>
      <c r="AB4232" t="str">
        <f>HYPERLINK("Melting_Curves/meltCurve_Q7Z4H7_3_HAUS6.pdf", "Melting_Curves/meltCurve_Q7Z4H7_3_HAUS6.pdf")</f>
        <v>Melting_Curves/meltCurve_Q7Z4H7_3_HAUS6.pdf</v>
      </c>
    </row>
    <row r="4233" spans="1:28" x14ac:dyDescent="0.25">
      <c r="A4233" t="s">
        <v>4237</v>
      </c>
      <c r="B4233">
        <v>0.99193492352474899</v>
      </c>
      <c r="C4233">
        <v>0.76142860391172495</v>
      </c>
      <c r="D4233">
        <v>0.68971207285659197</v>
      </c>
      <c r="E4233">
        <v>0.232166502956903</v>
      </c>
      <c r="F4233">
        <v>0.15211674562685501</v>
      </c>
      <c r="G4233">
        <v>0.106896486452967</v>
      </c>
      <c r="H4233">
        <v>6.18112625881755E-2</v>
      </c>
      <c r="I4233">
        <v>7.4187781510382494E-2</v>
      </c>
      <c r="J4233">
        <v>7.8873757699999394E-2</v>
      </c>
      <c r="K4233">
        <v>8.4866115237307499E-2</v>
      </c>
      <c r="L4233">
        <v>902.88987480816695</v>
      </c>
      <c r="M4233">
        <v>19.3456457901158</v>
      </c>
      <c r="N4233">
        <v>47.028255422573402</v>
      </c>
      <c r="O4233">
        <v>46.181363405479402</v>
      </c>
      <c r="P4233">
        <v>-9.7582356976635698E-2</v>
      </c>
      <c r="Q4233">
        <v>6.8251523155761301E-2</v>
      </c>
      <c r="R4233">
        <v>0.97976909912261001</v>
      </c>
      <c r="S4233" t="s">
        <v>10903</v>
      </c>
      <c r="T4233" t="s">
        <v>13338</v>
      </c>
      <c r="U4233" t="s">
        <v>13338</v>
      </c>
      <c r="V4233" t="s">
        <v>13338</v>
      </c>
      <c r="W4233" t="s">
        <v>17515</v>
      </c>
      <c r="X4233">
        <v>12</v>
      </c>
      <c r="Y4233" t="s">
        <v>24020</v>
      </c>
      <c r="Z4233" t="s">
        <v>30648</v>
      </c>
      <c r="AA4233">
        <v>0.29036534895404698</v>
      </c>
      <c r="AB4233" t="str">
        <f>HYPERLINK("Melting_Curves/meltCurve_Q7Z4Q2_HEATR3.pdf", "Melting_Curves/meltCurve_Q7Z4Q2_HEATR3.pdf")</f>
        <v>Melting_Curves/meltCurve_Q7Z4Q2_HEATR3.pdf</v>
      </c>
    </row>
    <row r="4234" spans="1:28" x14ac:dyDescent="0.25">
      <c r="A4234" t="s">
        <v>4238</v>
      </c>
      <c r="B4234">
        <v>0.99193492352474899</v>
      </c>
      <c r="C4234">
        <v>0.90581150408955102</v>
      </c>
      <c r="D4234">
        <v>0.61917013661343601</v>
      </c>
      <c r="E4234">
        <v>0.59049808772783796</v>
      </c>
      <c r="F4234">
        <v>0.51533423176989701</v>
      </c>
      <c r="G4234">
        <v>0.33534096791852103</v>
      </c>
      <c r="H4234">
        <v>6.1434667570498598E-2</v>
      </c>
      <c r="I4234">
        <v>0.241965170870933</v>
      </c>
      <c r="J4234">
        <v>7.3574548447908894E-2</v>
      </c>
      <c r="K4234">
        <v>0.193686729821896</v>
      </c>
      <c r="L4234">
        <v>491.82654622829102</v>
      </c>
      <c r="M4234">
        <v>9.7091729894634806</v>
      </c>
      <c r="N4234">
        <v>51.348514506233698</v>
      </c>
      <c r="O4234">
        <v>48.6470390814304</v>
      </c>
      <c r="P4234">
        <v>-4.68590155097071E-2</v>
      </c>
      <c r="Q4234">
        <v>6.1377512539192901E-2</v>
      </c>
      <c r="R4234">
        <v>0.92850327360908302</v>
      </c>
      <c r="S4234" t="s">
        <v>10904</v>
      </c>
      <c r="T4234" t="s">
        <v>13338</v>
      </c>
      <c r="U4234" t="s">
        <v>13338</v>
      </c>
      <c r="V4234" t="s">
        <v>13338</v>
      </c>
      <c r="W4234" t="s">
        <v>17516</v>
      </c>
      <c r="X4234">
        <v>22</v>
      </c>
      <c r="Y4234" t="s">
        <v>24021</v>
      </c>
      <c r="Z4234" t="s">
        <v>30649</v>
      </c>
      <c r="AA4234">
        <v>0.43650459120210122</v>
      </c>
      <c r="AB4234" t="str">
        <f>HYPERLINK("Melting_Curves/meltCurve_Q7Z4V5_HDGFRP2.pdf", "Melting_Curves/meltCurve_Q7Z4V5_HDGFRP2.pdf")</f>
        <v>Melting_Curves/meltCurve_Q7Z4V5_HDGFRP2.pdf</v>
      </c>
    </row>
    <row r="4235" spans="1:28" x14ac:dyDescent="0.25">
      <c r="A4235" t="s">
        <v>4239</v>
      </c>
      <c r="B4235">
        <v>0.99193492352474899</v>
      </c>
      <c r="C4235">
        <v>1.00376953038367</v>
      </c>
      <c r="D4235">
        <v>0.83331495946592504</v>
      </c>
      <c r="E4235">
        <v>0.72207208121002098</v>
      </c>
      <c r="F4235">
        <v>0.459835213493407</v>
      </c>
      <c r="G4235">
        <v>0.39714053850946002</v>
      </c>
      <c r="H4235">
        <v>0.33406215390775001</v>
      </c>
      <c r="I4235">
        <v>0.49528595620448801</v>
      </c>
      <c r="J4235">
        <v>0.49145994112833202</v>
      </c>
      <c r="K4235">
        <v>0.62555033028159401</v>
      </c>
      <c r="L4235">
        <v>1239.2729951413</v>
      </c>
      <c r="M4235">
        <v>25.5690223191279</v>
      </c>
      <c r="N4235">
        <v>53.936762362709999</v>
      </c>
      <c r="O4235">
        <v>48.174219478165099</v>
      </c>
      <c r="P4235">
        <v>-7.1310316973834595E-2</v>
      </c>
      <c r="Q4235">
        <v>0.46258795930386398</v>
      </c>
      <c r="R4235">
        <v>0.88107513178604602</v>
      </c>
      <c r="S4235" t="s">
        <v>10905</v>
      </c>
      <c r="T4235" t="s">
        <v>13338</v>
      </c>
      <c r="U4235" t="s">
        <v>13338</v>
      </c>
      <c r="V4235" t="s">
        <v>13338</v>
      </c>
      <c r="W4235" t="s">
        <v>17517</v>
      </c>
      <c r="X4235">
        <v>22</v>
      </c>
      <c r="Y4235" t="s">
        <v>24021</v>
      </c>
      <c r="Z4235" t="s">
        <v>30650</v>
      </c>
      <c r="AA4235">
        <v>0.61880914206407622</v>
      </c>
      <c r="AB4235" t="str">
        <f>HYPERLINK("Melting_Curves/meltCurve_Q7Z4V5_2_HDGFRP2.pdf", "Melting_Curves/meltCurve_Q7Z4V5_2_HDGFRP2.pdf")</f>
        <v>Melting_Curves/meltCurve_Q7Z4V5_2_HDGFRP2.pdf</v>
      </c>
    </row>
    <row r="4236" spans="1:28" x14ac:dyDescent="0.25">
      <c r="A4236" t="s">
        <v>4240</v>
      </c>
      <c r="B4236">
        <v>0.99193492352474899</v>
      </c>
      <c r="C4236">
        <v>1.02574797235196</v>
      </c>
      <c r="D4236">
        <v>0.91975447509752595</v>
      </c>
      <c r="E4236">
        <v>0.84888358957696497</v>
      </c>
      <c r="F4236">
        <v>0.68630620047538105</v>
      </c>
      <c r="G4236">
        <v>0.50079683159865196</v>
      </c>
      <c r="H4236">
        <v>0.145323978376555</v>
      </c>
      <c r="I4236">
        <v>0.10075219837748201</v>
      </c>
      <c r="J4236">
        <v>0.10528231918264</v>
      </c>
      <c r="K4236">
        <v>0.121452073876577</v>
      </c>
      <c r="L4236">
        <v>926.89848313373</v>
      </c>
      <c r="M4236">
        <v>16.717982858689201</v>
      </c>
      <c r="N4236">
        <v>55.755296544588496</v>
      </c>
      <c r="O4236">
        <v>54.668134406613603</v>
      </c>
      <c r="P4236">
        <v>-7.3041925580176095E-2</v>
      </c>
      <c r="Q4236">
        <v>4.4668894307941E-2</v>
      </c>
      <c r="R4236">
        <v>0.98597049596984998</v>
      </c>
      <c r="S4236" t="s">
        <v>10906</v>
      </c>
      <c r="T4236" t="s">
        <v>13338</v>
      </c>
      <c r="U4236" t="s">
        <v>13338</v>
      </c>
      <c r="V4236" t="s">
        <v>13338</v>
      </c>
      <c r="W4236" t="s">
        <v>17518</v>
      </c>
      <c r="X4236">
        <v>11</v>
      </c>
      <c r="Y4236" t="s">
        <v>24022</v>
      </c>
      <c r="Z4236" t="s">
        <v>30651</v>
      </c>
      <c r="AA4236">
        <v>0.55231017170573593</v>
      </c>
      <c r="AB4236" t="str">
        <f>HYPERLINK("Melting_Curves/meltCurve_Q7Z4W1_DCXR.pdf", "Melting_Curves/meltCurve_Q7Z4W1_DCXR.pdf")</f>
        <v>Melting_Curves/meltCurve_Q7Z4W1_DCXR.pdf</v>
      </c>
    </row>
    <row r="4237" spans="1:28" x14ac:dyDescent="0.25">
      <c r="A4237" t="s">
        <v>4241</v>
      </c>
      <c r="B4237">
        <v>0.99193492352474899</v>
      </c>
      <c r="C4237">
        <v>0.97488327828587695</v>
      </c>
      <c r="D4237">
        <v>0.99847051872984005</v>
      </c>
      <c r="E4237">
        <v>1.0157331253638999</v>
      </c>
      <c r="F4237">
        <v>0.76294186285533405</v>
      </c>
      <c r="G4237">
        <v>0.58601323913067604</v>
      </c>
      <c r="H4237">
        <v>0.465389152069</v>
      </c>
      <c r="I4237">
        <v>0.37113567585603502</v>
      </c>
      <c r="J4237">
        <v>0.32709740568539603</v>
      </c>
      <c r="K4237">
        <v>0.303867424797996</v>
      </c>
      <c r="L4237">
        <v>1057.46006395719</v>
      </c>
      <c r="M4237">
        <v>18.946202233112501</v>
      </c>
      <c r="N4237">
        <v>58.775255672373397</v>
      </c>
      <c r="O4237">
        <v>55.2031850814788</v>
      </c>
      <c r="P4237">
        <v>-5.9418644906429598E-2</v>
      </c>
      <c r="Q4237">
        <v>0.30752007505148099</v>
      </c>
      <c r="R4237">
        <v>0.98792499956046598</v>
      </c>
      <c r="S4237" t="s">
        <v>10907</v>
      </c>
      <c r="T4237" t="s">
        <v>13338</v>
      </c>
      <c r="U4237" t="s">
        <v>13338</v>
      </c>
      <c r="V4237" t="s">
        <v>13338</v>
      </c>
      <c r="W4237" t="s">
        <v>17519</v>
      </c>
      <c r="X4237">
        <v>4</v>
      </c>
      <c r="Y4237" t="s">
        <v>24023</v>
      </c>
      <c r="Z4237" t="s">
        <v>30652</v>
      </c>
      <c r="AA4237">
        <v>0.68220972210341457</v>
      </c>
      <c r="AB4237" t="str">
        <f>HYPERLINK("Melting_Curves/meltCurve_Q7Z5G4_GOLGA7.pdf", "Melting_Curves/meltCurve_Q7Z5G4_GOLGA7.pdf")</f>
        <v>Melting_Curves/meltCurve_Q7Z5G4_GOLGA7.pdf</v>
      </c>
    </row>
    <row r="4238" spans="1:28" x14ac:dyDescent="0.25">
      <c r="A4238" t="s">
        <v>4242</v>
      </c>
      <c r="B4238">
        <v>0.99193492352474899</v>
      </c>
      <c r="C4238">
        <v>0.81904375062814905</v>
      </c>
      <c r="D4238">
        <v>0.50842071481968099</v>
      </c>
      <c r="E4238">
        <v>0.21846831417773499</v>
      </c>
      <c r="F4238">
        <v>0.16570993403309101</v>
      </c>
      <c r="G4238">
        <v>8.7176242043296506E-2</v>
      </c>
      <c r="H4238">
        <v>6.8915065043793702E-2</v>
      </c>
      <c r="I4238">
        <v>8.7508385077640499E-2</v>
      </c>
      <c r="J4238">
        <v>0.115217006411302</v>
      </c>
      <c r="K4238">
        <v>0.114910045739831</v>
      </c>
      <c r="L4238">
        <v>1035.72579725528</v>
      </c>
      <c r="M4238">
        <v>22.695714860625099</v>
      </c>
      <c r="N4238">
        <v>46.074216561931301</v>
      </c>
      <c r="O4238">
        <v>45.285437563176004</v>
      </c>
      <c r="P4238">
        <v>-0.113114483296853</v>
      </c>
      <c r="Q4238">
        <v>9.7214983916315001E-2</v>
      </c>
      <c r="R4238">
        <v>0.99595768343640401</v>
      </c>
      <c r="S4238" t="s">
        <v>10908</v>
      </c>
      <c r="T4238" t="s">
        <v>13338</v>
      </c>
      <c r="U4238" t="s">
        <v>13338</v>
      </c>
      <c r="V4238" t="s">
        <v>13338</v>
      </c>
      <c r="W4238" t="s">
        <v>17520</v>
      </c>
      <c r="X4238">
        <v>15</v>
      </c>
      <c r="Y4238" t="s">
        <v>24024</v>
      </c>
      <c r="Z4238" t="s">
        <v>30653</v>
      </c>
      <c r="AA4238">
        <v>0.27748925409093589</v>
      </c>
      <c r="AB4238" t="str">
        <f>HYPERLINK("Melting_Curves/meltCurve_Q7Z5K2_WAPAL.pdf", "Melting_Curves/meltCurve_Q7Z5K2_WAPAL.pdf")</f>
        <v>Melting_Curves/meltCurve_Q7Z5K2_WAPAL.pdf</v>
      </c>
    </row>
    <row r="4239" spans="1:28" x14ac:dyDescent="0.25">
      <c r="A4239" t="s">
        <v>4243</v>
      </c>
      <c r="B4239">
        <v>0.99193492352474899</v>
      </c>
      <c r="C4239">
        <v>0.71353956381438599</v>
      </c>
      <c r="D4239">
        <v>0.84028561862693696</v>
      </c>
      <c r="E4239">
        <v>0.58652441775034303</v>
      </c>
      <c r="F4239">
        <v>0.45518088001811202</v>
      </c>
      <c r="G4239">
        <v>0.235169258240845</v>
      </c>
      <c r="H4239">
        <v>0.21254058026823799</v>
      </c>
      <c r="I4239">
        <v>0.319603341673111</v>
      </c>
      <c r="J4239">
        <v>0.48064713453552099</v>
      </c>
      <c r="K4239">
        <v>0.66946608558380405</v>
      </c>
      <c r="L4239">
        <v>769.09451987300201</v>
      </c>
      <c r="M4239">
        <v>16.5018439724352</v>
      </c>
      <c r="N4239">
        <v>51.136111178389697</v>
      </c>
      <c r="O4239">
        <v>45.938277889721903</v>
      </c>
      <c r="P4239">
        <v>-5.5316284567384799E-2</v>
      </c>
      <c r="Q4239">
        <v>0.38407899084271901</v>
      </c>
      <c r="R4239">
        <v>0.66244926541902704</v>
      </c>
      <c r="S4239" t="s">
        <v>10909</v>
      </c>
      <c r="T4239" t="s">
        <v>13338</v>
      </c>
      <c r="U4239" t="s">
        <v>13338</v>
      </c>
      <c r="V4239" t="s">
        <v>13338</v>
      </c>
      <c r="W4239" t="s">
        <v>17521</v>
      </c>
      <c r="X4239">
        <v>11</v>
      </c>
      <c r="Y4239" t="s">
        <v>24025</v>
      </c>
      <c r="Z4239" t="s">
        <v>30654</v>
      </c>
      <c r="AA4239">
        <v>0.53374701496820498</v>
      </c>
      <c r="AB4239" t="str">
        <f>HYPERLINK("Melting_Curves/meltCurve_Q7Z5L9_2_IRF2BP2.pdf", "Melting_Curves/meltCurve_Q7Z5L9_2_IRF2BP2.pdf")</f>
        <v>Melting_Curves/meltCurve_Q7Z5L9_2_IRF2BP2.pdf</v>
      </c>
    </row>
    <row r="4240" spans="1:28" x14ac:dyDescent="0.25">
      <c r="A4240" t="s">
        <v>4244</v>
      </c>
      <c r="B4240">
        <v>0.99193492352474899</v>
      </c>
      <c r="C4240">
        <v>0.847168324321106</v>
      </c>
      <c r="D4240">
        <v>0.96321579109252398</v>
      </c>
      <c r="E4240">
        <v>0.69647430742171601</v>
      </c>
      <c r="F4240">
        <v>0.26015647145938697</v>
      </c>
      <c r="G4240">
        <v>0.11335598517488001</v>
      </c>
      <c r="H4240">
        <v>6.74074217018059E-2</v>
      </c>
      <c r="I4240">
        <v>7.56200162442216E-2</v>
      </c>
      <c r="J4240">
        <v>9.4631159444652502E-2</v>
      </c>
      <c r="K4240">
        <v>0.122864671470011</v>
      </c>
      <c r="L4240">
        <v>1541.1071635487499</v>
      </c>
      <c r="M4240">
        <v>30.400225159006599</v>
      </c>
      <c r="N4240">
        <v>51.012338260488697</v>
      </c>
      <c r="O4240">
        <v>50.476112056068203</v>
      </c>
      <c r="P4240">
        <v>-0.13755692490886501</v>
      </c>
      <c r="Q4240">
        <v>8.6415501836407504E-2</v>
      </c>
      <c r="R4240">
        <v>0.98292359222116199</v>
      </c>
      <c r="S4240" t="s">
        <v>10910</v>
      </c>
      <c r="T4240" t="s">
        <v>13338</v>
      </c>
      <c r="U4240" t="s">
        <v>13338</v>
      </c>
      <c r="V4240" t="s">
        <v>13338</v>
      </c>
      <c r="W4240" t="s">
        <v>17522</v>
      </c>
      <c r="X4240">
        <v>15</v>
      </c>
      <c r="Y4240" t="s">
        <v>24026</v>
      </c>
      <c r="Z4240" t="s">
        <v>30655</v>
      </c>
      <c r="AA4240">
        <v>0.41764113748801712</v>
      </c>
      <c r="AB4240" t="str">
        <f>HYPERLINK("Melting_Curves/meltCurve_Q7Z5R6_APBB1IP.pdf", "Melting_Curves/meltCurve_Q7Z5R6_APBB1IP.pdf")</f>
        <v>Melting_Curves/meltCurve_Q7Z5R6_APBB1IP.pdf</v>
      </c>
    </row>
    <row r="4241" spans="1:28" x14ac:dyDescent="0.25">
      <c r="A4241" t="s">
        <v>4245</v>
      </c>
      <c r="B4241">
        <v>0.99193492352474899</v>
      </c>
      <c r="C4241">
        <v>0.91625699386558801</v>
      </c>
      <c r="D4241">
        <v>0.89875359903493701</v>
      </c>
      <c r="E4241">
        <v>0.61453506539636404</v>
      </c>
      <c r="F4241">
        <v>0.347116143143894</v>
      </c>
      <c r="G4241">
        <v>0.140662974850603</v>
      </c>
      <c r="H4241">
        <v>9.3140278982329003E-2</v>
      </c>
      <c r="I4241">
        <v>2.7048801816145801E-2</v>
      </c>
      <c r="J4241">
        <v>0.12534906539496199</v>
      </c>
      <c r="K4241">
        <v>0</v>
      </c>
      <c r="L4241">
        <v>916.21378687538402</v>
      </c>
      <c r="M4241">
        <v>18.029333817260198</v>
      </c>
      <c r="N4241">
        <v>51.031224083326101</v>
      </c>
      <c r="O4241">
        <v>50.205117263106501</v>
      </c>
      <c r="P4241">
        <v>-8.6524477310606099E-2</v>
      </c>
      <c r="Q4241">
        <v>3.6290440732245098E-2</v>
      </c>
      <c r="R4241">
        <v>0.99115191098625899</v>
      </c>
      <c r="S4241" t="s">
        <v>10911</v>
      </c>
      <c r="T4241" t="s">
        <v>13338</v>
      </c>
      <c r="U4241" t="s">
        <v>13338</v>
      </c>
      <c r="V4241" t="s">
        <v>13338</v>
      </c>
      <c r="W4241" t="s">
        <v>17523</v>
      </c>
      <c r="X4241">
        <v>1</v>
      </c>
      <c r="Y4241" t="s">
        <v>24027</v>
      </c>
      <c r="Z4241" t="s">
        <v>30656</v>
      </c>
      <c r="AA4241">
        <v>0.40002665227305528</v>
      </c>
      <c r="AB4241" t="str">
        <f>HYPERLINK("Melting_Curves/meltCurve_Q7Z5W3_BCDIN3D.pdf", "Melting_Curves/meltCurve_Q7Z5W3_BCDIN3D.pdf")</f>
        <v>Melting_Curves/meltCurve_Q7Z5W3_BCDIN3D.pdf</v>
      </c>
    </row>
    <row r="4242" spans="1:28" x14ac:dyDescent="0.25">
      <c r="A4242" t="s">
        <v>4246</v>
      </c>
      <c r="B4242">
        <v>0.99193492352474899</v>
      </c>
      <c r="C4242">
        <v>0.90315930264058497</v>
      </c>
      <c r="D4242">
        <v>0.69905537797049599</v>
      </c>
      <c r="E4242">
        <v>0.55313337742404001</v>
      </c>
      <c r="F4242">
        <v>0.48773984182315</v>
      </c>
      <c r="G4242">
        <v>0.204097147645799</v>
      </c>
      <c r="H4242">
        <v>7.9467792095110304E-2</v>
      </c>
      <c r="I4242">
        <v>0</v>
      </c>
      <c r="J4242">
        <v>0</v>
      </c>
      <c r="K4242">
        <v>0</v>
      </c>
      <c r="L4242">
        <v>621.50363881651799</v>
      </c>
      <c r="M4242">
        <v>12.256611814947201</v>
      </c>
      <c r="N4242">
        <v>50.707621770727201</v>
      </c>
      <c r="O4242">
        <v>49.414454299897201</v>
      </c>
      <c r="P4242">
        <v>-6.2023016412304503E-2</v>
      </c>
      <c r="Q4242">
        <v>0</v>
      </c>
      <c r="R4242">
        <v>0.97507030514642601</v>
      </c>
      <c r="S4242" t="s">
        <v>10912</v>
      </c>
      <c r="T4242" t="s">
        <v>13338</v>
      </c>
      <c r="U4242" t="s">
        <v>13338</v>
      </c>
      <c r="V4242" t="s">
        <v>13338</v>
      </c>
      <c r="W4242" t="s">
        <v>17524</v>
      </c>
      <c r="X4242">
        <v>1</v>
      </c>
      <c r="Y4242" t="s">
        <v>24028</v>
      </c>
      <c r="Z4242" t="s">
        <v>30657</v>
      </c>
      <c r="AA4242">
        <v>0.38909157002008632</v>
      </c>
      <c r="AB4242" t="str">
        <f>HYPERLINK("Melting_Curves/meltCurve_Q7Z5Y7_KCTD20.pdf", "Melting_Curves/meltCurve_Q7Z5Y7_KCTD20.pdf")</f>
        <v>Melting_Curves/meltCurve_Q7Z5Y7_KCTD20.pdf</v>
      </c>
    </row>
    <row r="4243" spans="1:28" x14ac:dyDescent="0.25">
      <c r="A4243" t="s">
        <v>4247</v>
      </c>
      <c r="B4243">
        <v>0.99193492352474899</v>
      </c>
      <c r="C4243">
        <v>1.0531303266156</v>
      </c>
      <c r="D4243">
        <v>0.82810348518755805</v>
      </c>
      <c r="E4243">
        <v>0.63581481388882699</v>
      </c>
      <c r="F4243">
        <v>0.18235915011836701</v>
      </c>
      <c r="G4243">
        <v>0.119863804104379</v>
      </c>
      <c r="H4243">
        <v>7.5157347420267195E-2</v>
      </c>
      <c r="I4243">
        <v>8.9278538872174504E-2</v>
      </c>
      <c r="J4243">
        <v>0.11375357536750599</v>
      </c>
      <c r="K4243">
        <v>0.120312299406605</v>
      </c>
      <c r="L4243">
        <v>1363.74053179209</v>
      </c>
      <c r="M4243">
        <v>27.331477877157401</v>
      </c>
      <c r="N4243">
        <v>50.263661665410801</v>
      </c>
      <c r="O4243">
        <v>49.6315165631055</v>
      </c>
      <c r="P4243">
        <v>-0.125210385624557</v>
      </c>
      <c r="Q4243">
        <v>9.0525223717732306E-2</v>
      </c>
      <c r="R4243">
        <v>0.98709605989663995</v>
      </c>
      <c r="S4243" t="s">
        <v>10913</v>
      </c>
      <c r="T4243" t="s">
        <v>13338</v>
      </c>
      <c r="U4243" t="s">
        <v>13338</v>
      </c>
      <c r="V4243" t="s">
        <v>13338</v>
      </c>
      <c r="W4243" t="s">
        <v>17525</v>
      </c>
      <c r="X4243">
        <v>15</v>
      </c>
      <c r="Y4243" t="s">
        <v>24029</v>
      </c>
      <c r="Z4243" t="s">
        <v>30658</v>
      </c>
      <c r="AA4243">
        <v>0.3973225547221606</v>
      </c>
      <c r="AB4243" t="str">
        <f>HYPERLINK("Melting_Curves/meltCurve_Q7Z6B0_2_CCDC91.pdf", "Melting_Curves/meltCurve_Q7Z6B0_2_CCDC91.pdf")</f>
        <v>Melting_Curves/meltCurve_Q7Z6B0_2_CCDC91.pdf</v>
      </c>
    </row>
    <row r="4244" spans="1:28" x14ac:dyDescent="0.25">
      <c r="A4244" t="s">
        <v>4248</v>
      </c>
      <c r="B4244">
        <v>0.99193492352474899</v>
      </c>
      <c r="C4244">
        <v>0.40582481230304401</v>
      </c>
      <c r="D4244">
        <v>0.67134383238570805</v>
      </c>
      <c r="E4244">
        <v>0.317053048204815</v>
      </c>
      <c r="F4244">
        <v>0.212693712130613</v>
      </c>
      <c r="G4244">
        <v>0.114085708110682</v>
      </c>
      <c r="H4244">
        <v>0.12154585500088901</v>
      </c>
      <c r="I4244">
        <v>0.142067012781282</v>
      </c>
      <c r="J4244">
        <v>0.242126191915156</v>
      </c>
      <c r="K4244">
        <v>0.33966402657890699</v>
      </c>
      <c r="L4244">
        <v>640.75953488944504</v>
      </c>
      <c r="M4244">
        <v>14.5783804160321</v>
      </c>
      <c r="N4244">
        <v>45.402487111418999</v>
      </c>
      <c r="O4244">
        <v>43.150538339820301</v>
      </c>
      <c r="P4244">
        <v>-6.8752353270234601E-2</v>
      </c>
      <c r="Q4244">
        <v>0.186091762207823</v>
      </c>
      <c r="R4244">
        <v>0.74783193304740203</v>
      </c>
      <c r="S4244" t="s">
        <v>10914</v>
      </c>
      <c r="T4244" t="s">
        <v>13338</v>
      </c>
      <c r="U4244" t="s">
        <v>13338</v>
      </c>
      <c r="V4244" t="s">
        <v>13338</v>
      </c>
      <c r="W4244" t="s">
        <v>17526</v>
      </c>
      <c r="X4244">
        <v>13</v>
      </c>
      <c r="Y4244" t="s">
        <v>24030</v>
      </c>
      <c r="Z4244" t="s">
        <v>30659</v>
      </c>
      <c r="AA4244">
        <v>0.32479872908055168</v>
      </c>
      <c r="AB4244" t="str">
        <f>HYPERLINK("Melting_Curves/meltCurve_Q7Z6E9_RBBP6.pdf", "Melting_Curves/meltCurve_Q7Z6E9_RBBP6.pdf")</f>
        <v>Melting_Curves/meltCurve_Q7Z6E9_RBBP6.pdf</v>
      </c>
    </row>
    <row r="4245" spans="1:28" x14ac:dyDescent="0.25">
      <c r="A4245" t="s">
        <v>4249</v>
      </c>
      <c r="B4245">
        <v>0.99193492352474899</v>
      </c>
      <c r="C4245">
        <v>0.96398524916797201</v>
      </c>
      <c r="D4245">
        <v>0.76669430205474898</v>
      </c>
      <c r="E4245">
        <v>0.46231041220807001</v>
      </c>
      <c r="F4245">
        <v>0.205615630058267</v>
      </c>
      <c r="G4245">
        <v>0.12938416162250499</v>
      </c>
      <c r="H4245">
        <v>0.120529570942684</v>
      </c>
      <c r="I4245">
        <v>0.191488928569721</v>
      </c>
      <c r="J4245">
        <v>0.21621641772113201</v>
      </c>
      <c r="K4245">
        <v>0.25520676312840901</v>
      </c>
      <c r="L4245">
        <v>1217.19713454815</v>
      </c>
      <c r="M4245">
        <v>25.385222251081</v>
      </c>
      <c r="N4245">
        <v>48.786311545596</v>
      </c>
      <c r="O4245">
        <v>47.6544537609347</v>
      </c>
      <c r="P4245">
        <v>-0.109659270157653</v>
      </c>
      <c r="Q4245">
        <v>0.17657814227021501</v>
      </c>
      <c r="R4245">
        <v>0.98293812675019199</v>
      </c>
      <c r="S4245" t="s">
        <v>10915</v>
      </c>
      <c r="T4245" t="s">
        <v>13338</v>
      </c>
      <c r="U4245" t="s">
        <v>13338</v>
      </c>
      <c r="V4245" t="s">
        <v>13338</v>
      </c>
      <c r="W4245" t="s">
        <v>17527</v>
      </c>
      <c r="X4245">
        <v>13</v>
      </c>
      <c r="Y4245" t="s">
        <v>24031</v>
      </c>
      <c r="Z4245" t="s">
        <v>30660</v>
      </c>
      <c r="AA4245">
        <v>0.4018047129101569</v>
      </c>
      <c r="AB4245" t="str">
        <f>HYPERLINK("Melting_Curves/meltCurve_Q7Z6I6_ARHGAP30.pdf", "Melting_Curves/meltCurve_Q7Z6I6_ARHGAP30.pdf")</f>
        <v>Melting_Curves/meltCurve_Q7Z6I6_ARHGAP30.pdf</v>
      </c>
    </row>
    <row r="4246" spans="1:28" x14ac:dyDescent="0.25">
      <c r="A4246" t="s">
        <v>4250</v>
      </c>
      <c r="B4246">
        <v>0.99193492352474899</v>
      </c>
      <c r="C4246">
        <v>0.78567010925964198</v>
      </c>
      <c r="D4246">
        <v>0.75057082803350605</v>
      </c>
      <c r="E4246">
        <v>0.53902728118791399</v>
      </c>
      <c r="F4246">
        <v>1.0461462549006999</v>
      </c>
      <c r="G4246">
        <v>0.324278283271134</v>
      </c>
      <c r="H4246">
        <v>0.40319059353064601</v>
      </c>
      <c r="I4246">
        <v>0.64565423928195398</v>
      </c>
      <c r="J4246">
        <v>0.77502985788385603</v>
      </c>
      <c r="K4246">
        <v>0.91744750145095599</v>
      </c>
      <c r="L4246">
        <v>1489.5756122990399</v>
      </c>
      <c r="M4246">
        <v>35.064059830015402</v>
      </c>
      <c r="O4246">
        <v>42.344086029439403</v>
      </c>
      <c r="P4246">
        <v>-6.8199755432751502E-2</v>
      </c>
      <c r="Q4246">
        <v>0.67056339647713503</v>
      </c>
      <c r="R4246">
        <v>0.182757004726709</v>
      </c>
      <c r="S4246" t="s">
        <v>10916</v>
      </c>
      <c r="T4246" t="s">
        <v>13338</v>
      </c>
      <c r="U4246" t="s">
        <v>13338</v>
      </c>
      <c r="V4246" t="s">
        <v>13338</v>
      </c>
      <c r="W4246" t="s">
        <v>17528</v>
      </c>
      <c r="X4246">
        <v>3</v>
      </c>
      <c r="Y4246" t="s">
        <v>24032</v>
      </c>
      <c r="Z4246" t="s">
        <v>30661</v>
      </c>
      <c r="AA4246">
        <v>0.70028047200429955</v>
      </c>
      <c r="AB4246" t="str">
        <f>HYPERLINK("Melting_Curves/meltCurve_Q7Z6I8_C5orf24.pdf", "Melting_Curves/meltCurve_Q7Z6I8_C5orf24.pdf")</f>
        <v>Melting_Curves/meltCurve_Q7Z6I8_C5orf24.pdf</v>
      </c>
    </row>
    <row r="4247" spans="1:28" x14ac:dyDescent="0.25">
      <c r="A4247" t="s">
        <v>4251</v>
      </c>
      <c r="B4247">
        <v>0.99193492352474899</v>
      </c>
      <c r="C4247">
        <v>0.80972058377030998</v>
      </c>
      <c r="D4247">
        <v>0.80728700202057402</v>
      </c>
      <c r="E4247">
        <v>0.47061407515028397</v>
      </c>
      <c r="F4247">
        <v>0.37125007292765799</v>
      </c>
      <c r="G4247">
        <v>0.22742048419851499</v>
      </c>
      <c r="H4247">
        <v>0.175374370446505</v>
      </c>
      <c r="I4247">
        <v>0.23849419370259001</v>
      </c>
      <c r="J4247">
        <v>0.27968959222481299</v>
      </c>
      <c r="K4247">
        <v>0.62428924035994704</v>
      </c>
      <c r="L4247">
        <v>1003.03006892931</v>
      </c>
      <c r="M4247">
        <v>21.302881691014999</v>
      </c>
      <c r="N4247">
        <v>49.284968259900097</v>
      </c>
      <c r="O4247">
        <v>46.675228431824998</v>
      </c>
      <c r="P4247">
        <v>-7.9089482390023794E-2</v>
      </c>
      <c r="Q4247">
        <v>0.30686822499904498</v>
      </c>
      <c r="R4247">
        <v>0.80022162810504105</v>
      </c>
      <c r="S4247" t="s">
        <v>10917</v>
      </c>
      <c r="T4247" t="s">
        <v>13338</v>
      </c>
      <c r="U4247" t="s">
        <v>13338</v>
      </c>
      <c r="V4247" t="s">
        <v>13338</v>
      </c>
      <c r="W4247" t="s">
        <v>17529</v>
      </c>
      <c r="X4247">
        <v>4</v>
      </c>
      <c r="Y4247" t="s">
        <v>24033</v>
      </c>
      <c r="Z4247" t="s">
        <v>30662</v>
      </c>
      <c r="AA4247">
        <v>0.47934345621606589</v>
      </c>
      <c r="AB4247" t="str">
        <f>HYPERLINK("Melting_Curves/meltCurve_Q7Z6J8_UBE3D.pdf", "Melting_Curves/meltCurve_Q7Z6J8_UBE3D.pdf")</f>
        <v>Melting_Curves/meltCurve_Q7Z6J8_UBE3D.pdf</v>
      </c>
    </row>
    <row r="4248" spans="1:28" x14ac:dyDescent="0.25">
      <c r="A4248" t="s">
        <v>4252</v>
      </c>
      <c r="B4248">
        <v>0.99193492352474899</v>
      </c>
      <c r="C4248">
        <v>0.91268175916373995</v>
      </c>
      <c r="D4248">
        <v>0.77369312217734598</v>
      </c>
      <c r="E4248">
        <v>0.52221939936279205</v>
      </c>
      <c r="F4248">
        <v>0.28953280956649702</v>
      </c>
      <c r="G4248">
        <v>0.185955203007971</v>
      </c>
      <c r="H4248">
        <v>9.6500124172319998E-2</v>
      </c>
      <c r="I4248">
        <v>8.8809223850507601E-2</v>
      </c>
      <c r="J4248">
        <v>9.5440545344870106E-2</v>
      </c>
      <c r="K4248">
        <v>7.5642044960392799E-2</v>
      </c>
      <c r="L4248">
        <v>775.19433052966497</v>
      </c>
      <c r="M4248">
        <v>15.7001540479038</v>
      </c>
      <c r="N4248">
        <v>49.835844217661503</v>
      </c>
      <c r="O4248">
        <v>48.5947388085076</v>
      </c>
      <c r="P4248">
        <v>-7.5319151124322997E-2</v>
      </c>
      <c r="Q4248">
        <v>6.7574767204583094E-2</v>
      </c>
      <c r="R4248">
        <v>0.99918073715866695</v>
      </c>
      <c r="S4248" t="s">
        <v>10918</v>
      </c>
      <c r="T4248" t="s">
        <v>13338</v>
      </c>
      <c r="U4248" t="s">
        <v>13338</v>
      </c>
      <c r="V4248" t="s">
        <v>13338</v>
      </c>
      <c r="W4248" t="s">
        <v>17530</v>
      </c>
      <c r="X4248">
        <v>4</v>
      </c>
      <c r="Y4248" t="s">
        <v>24034</v>
      </c>
      <c r="Z4248" t="s">
        <v>30663</v>
      </c>
      <c r="AA4248">
        <v>0.37981483259046728</v>
      </c>
      <c r="AB4248" t="str">
        <f>HYPERLINK("Melting_Curves/meltCurve_Q7Z6J9_TSEN54.pdf", "Melting_Curves/meltCurve_Q7Z6J9_TSEN54.pdf")</f>
        <v>Melting_Curves/meltCurve_Q7Z6J9_TSEN54.pdf</v>
      </c>
    </row>
    <row r="4249" spans="1:28" x14ac:dyDescent="0.25">
      <c r="A4249" t="s">
        <v>4253</v>
      </c>
      <c r="B4249">
        <v>0.99193492352474899</v>
      </c>
      <c r="C4249">
        <v>1.13325873478594</v>
      </c>
      <c r="D4249">
        <v>1.0871853319647999</v>
      </c>
      <c r="E4249">
        <v>0.83843239119576296</v>
      </c>
      <c r="F4249">
        <v>0.51674161691744702</v>
      </c>
      <c r="G4249">
        <v>0.211061033381094</v>
      </c>
      <c r="H4249">
        <v>0.142513608710199</v>
      </c>
      <c r="I4249">
        <v>0.137031441993267</v>
      </c>
      <c r="J4249">
        <v>0.20681291746210601</v>
      </c>
      <c r="K4249">
        <v>0.20184362788336899</v>
      </c>
      <c r="L4249">
        <v>1650.27785397094</v>
      </c>
      <c r="M4249">
        <v>31.470934624806699</v>
      </c>
      <c r="N4249">
        <v>53.118799891100203</v>
      </c>
      <c r="O4249">
        <v>52.227806294787797</v>
      </c>
      <c r="P4249">
        <v>-0.125647329725908</v>
      </c>
      <c r="Q4249">
        <v>0.16592916391477899</v>
      </c>
      <c r="R4249">
        <v>0.97770945836010803</v>
      </c>
      <c r="S4249" t="s">
        <v>10919</v>
      </c>
      <c r="T4249" t="s">
        <v>13338</v>
      </c>
      <c r="U4249" t="s">
        <v>13338</v>
      </c>
      <c r="V4249" t="s">
        <v>13338</v>
      </c>
      <c r="W4249" t="s">
        <v>17531</v>
      </c>
      <c r="X4249">
        <v>5</v>
      </c>
      <c r="Y4249" t="s">
        <v>24035</v>
      </c>
      <c r="Z4249" t="s">
        <v>30664</v>
      </c>
      <c r="AA4249">
        <v>0.51661956806296361</v>
      </c>
      <c r="AB4249" t="str">
        <f>HYPERLINK("Melting_Curves/meltCurve_Q7Z6K3_PTAR1.pdf", "Melting_Curves/meltCurve_Q7Z6K3_PTAR1.pdf")</f>
        <v>Melting_Curves/meltCurve_Q7Z6K3_PTAR1.pdf</v>
      </c>
    </row>
    <row r="4250" spans="1:28" x14ac:dyDescent="0.25">
      <c r="A4250" t="s">
        <v>4254</v>
      </c>
      <c r="B4250">
        <v>0.99193492352474899</v>
      </c>
      <c r="C4250">
        <v>0.94672592533406197</v>
      </c>
      <c r="D4250">
        <v>0.72158655822821005</v>
      </c>
      <c r="E4250">
        <v>0.17424168896996101</v>
      </c>
      <c r="F4250">
        <v>3.3509563592593099E-2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1539.8792332933001</v>
      </c>
      <c r="M4250">
        <v>32.5578321527166</v>
      </c>
      <c r="N4250">
        <v>47.296731744438603</v>
      </c>
      <c r="O4250">
        <v>47.119375845840899</v>
      </c>
      <c r="P4250">
        <v>-0.17274202462551599</v>
      </c>
      <c r="Q4250">
        <v>0</v>
      </c>
      <c r="R4250">
        <v>0.99965840884825696</v>
      </c>
      <c r="S4250" t="s">
        <v>10920</v>
      </c>
      <c r="T4250" t="s">
        <v>13338</v>
      </c>
      <c r="U4250" t="s">
        <v>13338</v>
      </c>
      <c r="V4250" t="s">
        <v>13338</v>
      </c>
      <c r="W4250" t="s">
        <v>17532</v>
      </c>
      <c r="X4250">
        <v>5</v>
      </c>
      <c r="Y4250" t="s">
        <v>24036</v>
      </c>
      <c r="Z4250" t="s">
        <v>30665</v>
      </c>
      <c r="AA4250">
        <v>0.2482670423080918</v>
      </c>
      <c r="AB4250" t="str">
        <f>HYPERLINK("Melting_Curves/meltCurve_Q7Z6L1_TECPR1.pdf", "Melting_Curves/meltCurve_Q7Z6L1_TECPR1.pdf")</f>
        <v>Melting_Curves/meltCurve_Q7Z6L1_TECPR1.pdf</v>
      </c>
    </row>
    <row r="4251" spans="1:28" x14ac:dyDescent="0.25">
      <c r="A4251" t="s">
        <v>4255</v>
      </c>
      <c r="B4251">
        <v>0.99193492352474899</v>
      </c>
      <c r="C4251">
        <v>1.13206415573416</v>
      </c>
      <c r="D4251">
        <v>0.85326336854530704</v>
      </c>
      <c r="E4251">
        <v>0.58687190120648403</v>
      </c>
      <c r="F4251">
        <v>0.398861683583421</v>
      </c>
      <c r="G4251">
        <v>0.28055022016972703</v>
      </c>
      <c r="H4251">
        <v>0.179479785009936</v>
      </c>
      <c r="I4251">
        <v>0.15393961346877999</v>
      </c>
      <c r="J4251">
        <v>0.124359020853736</v>
      </c>
      <c r="K4251">
        <v>0.134393937360194</v>
      </c>
      <c r="L4251">
        <v>925.86478341447003</v>
      </c>
      <c r="M4251">
        <v>18.364568255967601</v>
      </c>
      <c r="N4251">
        <v>51.3379668630418</v>
      </c>
      <c r="O4251">
        <v>49.829427334369903</v>
      </c>
      <c r="P4251">
        <v>-7.9196456321395395E-2</v>
      </c>
      <c r="Q4251">
        <v>0.14048964276227</v>
      </c>
      <c r="R4251">
        <v>0.97507750334427701</v>
      </c>
      <c r="S4251" t="s">
        <v>10921</v>
      </c>
      <c r="T4251" t="s">
        <v>13338</v>
      </c>
      <c r="U4251" t="s">
        <v>13338</v>
      </c>
      <c r="V4251" t="s">
        <v>13338</v>
      </c>
      <c r="W4251" t="s">
        <v>17533</v>
      </c>
      <c r="X4251">
        <v>8</v>
      </c>
      <c r="Y4251" t="s">
        <v>24037</v>
      </c>
      <c r="Z4251" t="s">
        <v>30666</v>
      </c>
      <c r="AA4251">
        <v>0.45295293538837611</v>
      </c>
      <c r="AB4251" t="str">
        <f>HYPERLINK("Melting_Curves/meltCurve_Q7Z6M1_RABEPK.pdf", "Melting_Curves/meltCurve_Q7Z6M1_RABEPK.pdf")</f>
        <v>Melting_Curves/meltCurve_Q7Z6M1_RABEPK.pdf</v>
      </c>
    </row>
    <row r="4252" spans="1:28" x14ac:dyDescent="0.25">
      <c r="A4252" t="s">
        <v>4256</v>
      </c>
      <c r="B4252">
        <v>0.99193492352474899</v>
      </c>
      <c r="C4252">
        <v>0.86466526864183202</v>
      </c>
      <c r="D4252">
        <v>0.79877358248192099</v>
      </c>
      <c r="E4252">
        <v>0.67081740912568899</v>
      </c>
      <c r="F4252">
        <v>0.50205733834388699</v>
      </c>
      <c r="G4252">
        <v>0.52437168427246705</v>
      </c>
      <c r="H4252">
        <v>0.35134771114448998</v>
      </c>
      <c r="I4252">
        <v>0.42228811982661002</v>
      </c>
      <c r="J4252">
        <v>0.37680496322276802</v>
      </c>
      <c r="K4252">
        <v>0.35511854480869498</v>
      </c>
      <c r="L4252">
        <v>555.60523960763499</v>
      </c>
      <c r="M4252">
        <v>11.2896988354423</v>
      </c>
      <c r="N4252">
        <v>54.850304849251003</v>
      </c>
      <c r="O4252">
        <v>47.745209880797503</v>
      </c>
      <c r="P4252">
        <v>-3.8832760589376902E-2</v>
      </c>
      <c r="Q4252">
        <v>0.34329069452542599</v>
      </c>
      <c r="R4252">
        <v>0.97366188680074905</v>
      </c>
      <c r="S4252" t="s">
        <v>10922</v>
      </c>
      <c r="T4252" t="s">
        <v>13338</v>
      </c>
      <c r="U4252" t="s">
        <v>13338</v>
      </c>
      <c r="V4252" t="s">
        <v>13338</v>
      </c>
      <c r="W4252" t="s">
        <v>17534</v>
      </c>
      <c r="X4252">
        <v>2</v>
      </c>
      <c r="Y4252" t="s">
        <v>24038</v>
      </c>
      <c r="Z4252" t="s">
        <v>30667</v>
      </c>
      <c r="AA4252">
        <v>0.57126668652835599</v>
      </c>
      <c r="AB4252" t="str">
        <f>HYPERLINK("Melting_Curves/meltCurve_Q7Z6M2_FBXO33.pdf", "Melting_Curves/meltCurve_Q7Z6M2_FBXO33.pdf")</f>
        <v>Melting_Curves/meltCurve_Q7Z6M2_FBXO33.pdf</v>
      </c>
    </row>
    <row r="4253" spans="1:28" x14ac:dyDescent="0.25">
      <c r="A4253" t="s">
        <v>4257</v>
      </c>
      <c r="B4253">
        <v>0.99193492352474899</v>
      </c>
      <c r="C4253">
        <v>0.72450883578467795</v>
      </c>
      <c r="D4253">
        <v>0.69795230899935301</v>
      </c>
      <c r="E4253">
        <v>0.41803966065360199</v>
      </c>
      <c r="F4253">
        <v>7.4456699543813204E-2</v>
      </c>
      <c r="G4253">
        <v>5.4904450527879803E-2</v>
      </c>
      <c r="H4253">
        <v>4.0745956575347499E-2</v>
      </c>
      <c r="I4253">
        <v>4.1082585172971503E-2</v>
      </c>
      <c r="J4253">
        <v>6.0634585621055198E-2</v>
      </c>
      <c r="K4253">
        <v>5.5937724171655601E-2</v>
      </c>
      <c r="L4253">
        <v>755.33321560513502</v>
      </c>
      <c r="M4253">
        <v>15.888449581977699</v>
      </c>
      <c r="N4253">
        <v>47.652028716056201</v>
      </c>
      <c r="O4253">
        <v>46.805815541276402</v>
      </c>
      <c r="P4253">
        <v>-8.3311613732755696E-2</v>
      </c>
      <c r="Q4253">
        <v>1.8368070746876901E-2</v>
      </c>
      <c r="R4253">
        <v>0.96810292878591298</v>
      </c>
      <c r="S4253" t="s">
        <v>10923</v>
      </c>
      <c r="T4253" t="s">
        <v>13338</v>
      </c>
      <c r="U4253" t="s">
        <v>13338</v>
      </c>
      <c r="V4253" t="s">
        <v>13338</v>
      </c>
      <c r="W4253" t="s">
        <v>17535</v>
      </c>
      <c r="X4253">
        <v>2</v>
      </c>
      <c r="Y4253" t="s">
        <v>24039</v>
      </c>
      <c r="Z4253" t="s">
        <v>30668</v>
      </c>
      <c r="AA4253">
        <v>0.28806488505446309</v>
      </c>
      <c r="AB4253" t="str">
        <f>HYPERLINK("Melting_Curves/meltCurve_Q7Z6M4_MTERFD2.pdf", "Melting_Curves/meltCurve_Q7Z6M4_MTERFD2.pdf")</f>
        <v>Melting_Curves/meltCurve_Q7Z6M4_MTERFD2.pdf</v>
      </c>
    </row>
    <row r="4254" spans="1:28" x14ac:dyDescent="0.25">
      <c r="A4254" t="s">
        <v>4258</v>
      </c>
      <c r="B4254">
        <v>0.99193492352474899</v>
      </c>
      <c r="C4254">
        <v>0.96937839963042105</v>
      </c>
      <c r="D4254">
        <v>0.792983186931703</v>
      </c>
      <c r="E4254">
        <v>0.74024378880526798</v>
      </c>
      <c r="F4254">
        <v>0.54600691927717804</v>
      </c>
      <c r="G4254">
        <v>0.408969926450304</v>
      </c>
      <c r="H4254">
        <v>0.21564904522378001</v>
      </c>
      <c r="I4254">
        <v>0.12544044781268399</v>
      </c>
      <c r="J4254">
        <v>0.13538702594612401</v>
      </c>
      <c r="K4254">
        <v>0.130179022291457</v>
      </c>
      <c r="L4254">
        <v>574.20114301133594</v>
      </c>
      <c r="M4254">
        <v>10.675743345860701</v>
      </c>
      <c r="N4254">
        <v>54.011018715695897</v>
      </c>
      <c r="O4254">
        <v>52.001380068347103</v>
      </c>
      <c r="P4254">
        <v>-5.02249707185266E-2</v>
      </c>
      <c r="Q4254">
        <v>2.1790089968173401E-2</v>
      </c>
      <c r="R4254">
        <v>0.98945887680071498</v>
      </c>
      <c r="S4254" t="s">
        <v>10924</v>
      </c>
      <c r="T4254" t="s">
        <v>13338</v>
      </c>
      <c r="U4254" t="s">
        <v>13338</v>
      </c>
      <c r="V4254" t="s">
        <v>13338</v>
      </c>
      <c r="W4254" t="s">
        <v>17536</v>
      </c>
      <c r="X4254">
        <v>6</v>
      </c>
      <c r="Y4254" t="s">
        <v>24040</v>
      </c>
      <c r="Z4254" t="s">
        <v>30669</v>
      </c>
      <c r="AA4254">
        <v>0.50021810939668787</v>
      </c>
      <c r="AB4254" t="str">
        <f>HYPERLINK("Melting_Curves/meltCurve_Q7Z6V5_ADAT2.pdf", "Melting_Curves/meltCurve_Q7Z6V5_ADAT2.pdf")</f>
        <v>Melting_Curves/meltCurve_Q7Z6V5_ADAT2.pdf</v>
      </c>
    </row>
    <row r="4255" spans="1:28" x14ac:dyDescent="0.25">
      <c r="A4255" t="s">
        <v>4259</v>
      </c>
      <c r="B4255">
        <v>0.99193492352474899</v>
      </c>
      <c r="C4255">
        <v>1.07110490652976</v>
      </c>
      <c r="D4255">
        <v>1.0103099961856199</v>
      </c>
      <c r="E4255">
        <v>0.72034187248471304</v>
      </c>
      <c r="F4255">
        <v>0.247948689444179</v>
      </c>
      <c r="G4255">
        <v>0.150172308820402</v>
      </c>
      <c r="H4255">
        <v>9.7696593752099797E-2</v>
      </c>
      <c r="I4255">
        <v>0.108393752096755</v>
      </c>
      <c r="J4255">
        <v>0.118384573737308</v>
      </c>
      <c r="K4255">
        <v>0.138245181215325</v>
      </c>
      <c r="L4255">
        <v>1912.9924255180899</v>
      </c>
      <c r="M4255">
        <v>37.768471349931602</v>
      </c>
      <c r="N4255">
        <v>51.020209749489197</v>
      </c>
      <c r="O4255">
        <v>50.509154520817397</v>
      </c>
      <c r="P4255">
        <v>-0.16456079317247099</v>
      </c>
      <c r="Q4255">
        <v>0.119709920022898</v>
      </c>
      <c r="R4255">
        <v>0.99545325386499095</v>
      </c>
      <c r="S4255" t="s">
        <v>10925</v>
      </c>
      <c r="T4255" t="s">
        <v>13338</v>
      </c>
      <c r="U4255" t="s">
        <v>13338</v>
      </c>
      <c r="V4255" t="s">
        <v>13338</v>
      </c>
      <c r="W4255" t="s">
        <v>17537</v>
      </c>
      <c r="X4255">
        <v>64</v>
      </c>
      <c r="Y4255" t="s">
        <v>24041</v>
      </c>
      <c r="Z4255" t="s">
        <v>30670</v>
      </c>
      <c r="AA4255">
        <v>0.43568826756508011</v>
      </c>
      <c r="AB4255" t="str">
        <f>HYPERLINK("Melting_Curves/meltCurve_Q7Z6Z7_2_HUWE1.pdf", "Melting_Curves/meltCurve_Q7Z6Z7_2_HUWE1.pdf")</f>
        <v>Melting_Curves/meltCurve_Q7Z6Z7_2_HUWE1.pdf</v>
      </c>
    </row>
    <row r="4256" spans="1:28" x14ac:dyDescent="0.25">
      <c r="A4256" t="s">
        <v>4260</v>
      </c>
      <c r="B4256">
        <v>0.99193492352474899</v>
      </c>
      <c r="C4256">
        <v>1.71412220146576</v>
      </c>
      <c r="D4256">
        <v>1.6054561934340801</v>
      </c>
      <c r="E4256">
        <v>0.97992987763529504</v>
      </c>
      <c r="F4256">
        <v>0.361186094513407</v>
      </c>
      <c r="G4256">
        <v>0.159742469353685</v>
      </c>
      <c r="H4256">
        <v>5.6972536971329001E-2</v>
      </c>
      <c r="I4256">
        <v>0</v>
      </c>
      <c r="J4256">
        <v>0</v>
      </c>
      <c r="K4256">
        <v>0</v>
      </c>
      <c r="L4256">
        <v>2679.8532445631299</v>
      </c>
      <c r="M4256">
        <v>50.9774246355434</v>
      </c>
      <c r="N4256">
        <v>52.648125880015598</v>
      </c>
      <c r="O4256">
        <v>52.488702618905599</v>
      </c>
      <c r="P4256">
        <v>-0.23389508195261199</v>
      </c>
      <c r="Q4256">
        <v>3.6684194083740899E-2</v>
      </c>
      <c r="R4256">
        <v>0.78605770039232403</v>
      </c>
      <c r="S4256" t="s">
        <v>10926</v>
      </c>
      <c r="T4256" t="s">
        <v>13338</v>
      </c>
      <c r="U4256" t="s">
        <v>13338</v>
      </c>
      <c r="V4256" t="s">
        <v>13338</v>
      </c>
      <c r="W4256" t="s">
        <v>17538</v>
      </c>
      <c r="X4256">
        <v>3</v>
      </c>
      <c r="Y4256" t="s">
        <v>24042</v>
      </c>
      <c r="Z4256" t="s">
        <v>30671</v>
      </c>
      <c r="AA4256">
        <v>0.44244294715165489</v>
      </c>
      <c r="AB4256" t="str">
        <f>HYPERLINK("Melting_Curves/meltCurve_Q7Z7A3_CTU1.pdf", "Melting_Curves/meltCurve_Q7Z7A3_CTU1.pdf")</f>
        <v>Melting_Curves/meltCurve_Q7Z7A3_CTU1.pdf</v>
      </c>
    </row>
    <row r="4257" spans="1:28" x14ac:dyDescent="0.25">
      <c r="A4257" t="s">
        <v>4261</v>
      </c>
      <c r="B4257">
        <v>0.99193492352474899</v>
      </c>
      <c r="C4257">
        <v>1.0174014202644901</v>
      </c>
      <c r="D4257">
        <v>1.3352622444793201</v>
      </c>
      <c r="E4257">
        <v>0.77766704691127897</v>
      </c>
      <c r="F4257">
        <v>0.18889774191073799</v>
      </c>
      <c r="G4257">
        <v>0.15677840012161801</v>
      </c>
      <c r="H4257">
        <v>8.5787705257515404E-2</v>
      </c>
      <c r="I4257">
        <v>7.8926664417342293E-2</v>
      </c>
      <c r="J4257">
        <v>0.102544927847806</v>
      </c>
      <c r="K4257">
        <v>0.103322368534856</v>
      </c>
      <c r="L4257">
        <v>2782.4946818202102</v>
      </c>
      <c r="M4257">
        <v>54.906112537700203</v>
      </c>
      <c r="N4257">
        <v>50.903192927844103</v>
      </c>
      <c r="O4257">
        <v>50.610228624096202</v>
      </c>
      <c r="P4257">
        <v>-0.241897357309829</v>
      </c>
      <c r="Q4257">
        <v>0.10811581503343</v>
      </c>
      <c r="R4257">
        <v>0.94484864280210401</v>
      </c>
      <c r="S4257" t="s">
        <v>10927</v>
      </c>
      <c r="T4257" t="s">
        <v>13338</v>
      </c>
      <c r="U4257" t="s">
        <v>13338</v>
      </c>
      <c r="V4257" t="s">
        <v>13338</v>
      </c>
      <c r="W4257" t="s">
        <v>17539</v>
      </c>
      <c r="X4257">
        <v>3</v>
      </c>
      <c r="Y4257" t="s">
        <v>24043</v>
      </c>
      <c r="Z4257" t="s">
        <v>30672</v>
      </c>
      <c r="AA4257">
        <v>0.4271986800347678</v>
      </c>
      <c r="AB4257" t="str">
        <f>HYPERLINK("Melting_Curves/meltCurve_Q7Z7A4_2_PXK.pdf", "Melting_Curves/meltCurve_Q7Z7A4_2_PXK.pdf")</f>
        <v>Melting_Curves/meltCurve_Q7Z7A4_2_PXK.pdf</v>
      </c>
    </row>
    <row r="4258" spans="1:28" x14ac:dyDescent="0.25">
      <c r="A4258" t="s">
        <v>4262</v>
      </c>
      <c r="B4258">
        <v>0.99193492352474899</v>
      </c>
      <c r="C4258">
        <v>0.76129449705606</v>
      </c>
      <c r="D4258">
        <v>0.94241427861643901</v>
      </c>
      <c r="E4258">
        <v>0.714107421682183</v>
      </c>
      <c r="F4258">
        <v>0.48977373149473102</v>
      </c>
      <c r="G4258">
        <v>0.19399904818271599</v>
      </c>
      <c r="H4258">
        <v>0.11413517084318001</v>
      </c>
      <c r="I4258">
        <v>0.13253945341723899</v>
      </c>
      <c r="J4258">
        <v>0.15789291166149999</v>
      </c>
      <c r="K4258">
        <v>0.15022544554728201</v>
      </c>
      <c r="L4258">
        <v>911.24949337448004</v>
      </c>
      <c r="M4258">
        <v>17.6515667330581</v>
      </c>
      <c r="N4258">
        <v>52.336755380774697</v>
      </c>
      <c r="O4258">
        <v>50.975377162027897</v>
      </c>
      <c r="P4258">
        <v>-7.7327638468481993E-2</v>
      </c>
      <c r="Q4258">
        <v>0.106799856501977</v>
      </c>
      <c r="R4258">
        <v>0.94911425268384897</v>
      </c>
      <c r="S4258" t="s">
        <v>10928</v>
      </c>
      <c r="T4258" t="s">
        <v>13338</v>
      </c>
      <c r="U4258" t="s">
        <v>13338</v>
      </c>
      <c r="V4258" t="s">
        <v>13338</v>
      </c>
      <c r="W4258" t="s">
        <v>17540</v>
      </c>
      <c r="X4258">
        <v>5</v>
      </c>
      <c r="Y4258" t="s">
        <v>24044</v>
      </c>
      <c r="Z4258" t="s">
        <v>30673</v>
      </c>
      <c r="AA4258">
        <v>0.46834615765836402</v>
      </c>
      <c r="AB4258" t="str">
        <f>HYPERLINK("Melting_Curves/meltCurve_Q7Z7C8_TAF8.pdf", "Melting_Curves/meltCurve_Q7Z7C8_TAF8.pdf")</f>
        <v>Melting_Curves/meltCurve_Q7Z7C8_TAF8.pdf</v>
      </c>
    </row>
    <row r="4259" spans="1:28" x14ac:dyDescent="0.25">
      <c r="A4259" t="s">
        <v>4263</v>
      </c>
      <c r="B4259">
        <v>0.99193492352474899</v>
      </c>
      <c r="C4259">
        <v>0.86261891983355898</v>
      </c>
      <c r="D4259">
        <v>0.69846890007057205</v>
      </c>
      <c r="E4259">
        <v>0.43363456716596899</v>
      </c>
      <c r="F4259">
        <v>0.23388700490092901</v>
      </c>
      <c r="G4259">
        <v>0.16402194036255199</v>
      </c>
      <c r="H4259">
        <v>0.118525838167392</v>
      </c>
      <c r="I4259">
        <v>0.121343395412033</v>
      </c>
      <c r="J4259">
        <v>0.131663228207831</v>
      </c>
      <c r="K4259">
        <v>0.124417290450894</v>
      </c>
      <c r="L4259">
        <v>810.06920098053604</v>
      </c>
      <c r="M4259">
        <v>16.960665980603402</v>
      </c>
      <c r="N4259">
        <v>48.482614781478503</v>
      </c>
      <c r="O4259">
        <v>47.112500070174903</v>
      </c>
      <c r="P4259">
        <v>-7.9974111640837897E-2</v>
      </c>
      <c r="Q4259">
        <v>0.111462868426907</v>
      </c>
      <c r="R4259">
        <v>0.99810682384805804</v>
      </c>
      <c r="S4259" t="s">
        <v>10929</v>
      </c>
      <c r="T4259" t="s">
        <v>13338</v>
      </c>
      <c r="U4259" t="s">
        <v>13338</v>
      </c>
      <c r="V4259" t="s">
        <v>13338</v>
      </c>
      <c r="W4259" t="s">
        <v>17541</v>
      </c>
      <c r="X4259">
        <v>7</v>
      </c>
      <c r="Y4259" t="s">
        <v>24045</v>
      </c>
      <c r="Z4259" t="s">
        <v>30674</v>
      </c>
      <c r="AA4259">
        <v>0.35934266431607897</v>
      </c>
      <c r="AB4259" t="str">
        <f>HYPERLINK("Melting_Curves/meltCurve_Q7Z7E8_UBE2Q1.pdf", "Melting_Curves/meltCurve_Q7Z7E8_UBE2Q1.pdf")</f>
        <v>Melting_Curves/meltCurve_Q7Z7E8_UBE2Q1.pdf</v>
      </c>
    </row>
    <row r="4260" spans="1:28" x14ac:dyDescent="0.25">
      <c r="A4260" t="s">
        <v>4264</v>
      </c>
      <c r="B4260">
        <v>0.99193492352474899</v>
      </c>
      <c r="C4260">
        <v>0.97097869980584195</v>
      </c>
      <c r="D4260">
        <v>0.97570882934147096</v>
      </c>
      <c r="E4260">
        <v>0.612345387947549</v>
      </c>
      <c r="F4260">
        <v>0.39353350206669202</v>
      </c>
      <c r="G4260">
        <v>0.29524798071722003</v>
      </c>
      <c r="H4260">
        <v>0.18105574785234499</v>
      </c>
      <c r="I4260">
        <v>0.171980767674525</v>
      </c>
      <c r="J4260">
        <v>0.20912766098114699</v>
      </c>
      <c r="K4260">
        <v>0.19702720364868201</v>
      </c>
      <c r="L4260">
        <v>1133.6728620244301</v>
      </c>
      <c r="M4260">
        <v>22.547922497191301</v>
      </c>
      <c r="N4260">
        <v>51.398428495867797</v>
      </c>
      <c r="O4260">
        <v>49.887908385085602</v>
      </c>
      <c r="P4260">
        <v>-9.1062635125645594E-2</v>
      </c>
      <c r="Q4260">
        <v>0.19410181728138401</v>
      </c>
      <c r="R4260">
        <v>0.99074317775957899</v>
      </c>
      <c r="S4260" t="s">
        <v>10930</v>
      </c>
      <c r="T4260" t="s">
        <v>13338</v>
      </c>
      <c r="U4260" t="s">
        <v>13338</v>
      </c>
      <c r="V4260" t="s">
        <v>13338</v>
      </c>
      <c r="W4260" t="s">
        <v>17542</v>
      </c>
      <c r="X4260">
        <v>3</v>
      </c>
      <c r="Y4260" t="s">
        <v>24046</v>
      </c>
      <c r="Z4260" t="s">
        <v>30675</v>
      </c>
      <c r="AA4260">
        <v>0.47908106169708969</v>
      </c>
      <c r="AB4260" t="str">
        <f>HYPERLINK("Melting_Curves/meltCurve_Q7Z7F0_KIAA0907.pdf", "Melting_Curves/meltCurve_Q7Z7F0_KIAA0907.pdf")</f>
        <v>Melting_Curves/meltCurve_Q7Z7F0_KIAA0907.pdf</v>
      </c>
    </row>
    <row r="4261" spans="1:28" x14ac:dyDescent="0.25">
      <c r="A4261" t="s">
        <v>4265</v>
      </c>
      <c r="B4261">
        <v>0.99193492352474899</v>
      </c>
      <c r="C4261">
        <v>0.99630116721561202</v>
      </c>
      <c r="D4261">
        <v>0.98204115344598497</v>
      </c>
      <c r="E4261">
        <v>0.91646694233000203</v>
      </c>
      <c r="F4261">
        <v>0.62205214505466799</v>
      </c>
      <c r="G4261">
        <v>0.31662696822271003</v>
      </c>
      <c r="H4261">
        <v>0.102827671068911</v>
      </c>
      <c r="I4261">
        <v>9.1255038430175003E-2</v>
      </c>
      <c r="J4261">
        <v>8.1322620096540094E-2</v>
      </c>
      <c r="K4261">
        <v>9.7367548855925606E-2</v>
      </c>
      <c r="L4261">
        <v>1325.31794839492</v>
      </c>
      <c r="M4261">
        <v>24.491886276070499</v>
      </c>
      <c r="N4261">
        <v>54.469241426911303</v>
      </c>
      <c r="O4261">
        <v>53.755644753054803</v>
      </c>
      <c r="P4261">
        <v>-0.105465517652133</v>
      </c>
      <c r="Q4261">
        <v>7.4095831121734096E-2</v>
      </c>
      <c r="R4261">
        <v>0.99874322853183894</v>
      </c>
      <c r="S4261" t="s">
        <v>10931</v>
      </c>
      <c r="T4261" t="s">
        <v>13338</v>
      </c>
      <c r="U4261" t="s">
        <v>13338</v>
      </c>
      <c r="V4261" t="s">
        <v>13338</v>
      </c>
      <c r="W4261" t="s">
        <v>17543</v>
      </c>
      <c r="X4261">
        <v>10</v>
      </c>
      <c r="Y4261" t="s">
        <v>24047</v>
      </c>
      <c r="Z4261" t="s">
        <v>30676</v>
      </c>
      <c r="AA4261">
        <v>0.51855174436419837</v>
      </c>
      <c r="AB4261" t="str">
        <f>HYPERLINK("Melting_Curves/meltCurve_Q7Z7H5_3_TMED4.pdf", "Melting_Curves/meltCurve_Q7Z7H5_3_TMED4.pdf")</f>
        <v>Melting_Curves/meltCurve_Q7Z7H5_3_TMED4.pdf</v>
      </c>
    </row>
    <row r="4262" spans="1:28" x14ac:dyDescent="0.25">
      <c r="A4262" t="s">
        <v>4266</v>
      </c>
      <c r="B4262">
        <v>0.99193492352474899</v>
      </c>
      <c r="C4262">
        <v>0.60869063911820098</v>
      </c>
      <c r="D4262">
        <v>0.854289075258019</v>
      </c>
      <c r="E4262">
        <v>0.36603742771485298</v>
      </c>
      <c r="F4262">
        <v>0.12996832059026001</v>
      </c>
      <c r="G4262">
        <v>9.0028368304147594E-2</v>
      </c>
      <c r="H4262">
        <v>5.4776515600950398E-2</v>
      </c>
      <c r="I4262">
        <v>4.87729721462698E-2</v>
      </c>
      <c r="J4262">
        <v>5.6068473462930202E-2</v>
      </c>
      <c r="K4262">
        <v>3.9475271904188799E-2</v>
      </c>
      <c r="L4262">
        <v>696.99798696316896</v>
      </c>
      <c r="M4262">
        <v>14.542871553431</v>
      </c>
      <c r="N4262">
        <v>48.018663733456101</v>
      </c>
      <c r="O4262">
        <v>47.048229488073602</v>
      </c>
      <c r="P4262">
        <v>-7.6228572660511806E-2</v>
      </c>
      <c r="Q4262">
        <v>1.36715054324775E-2</v>
      </c>
      <c r="R4262">
        <v>0.91102316126352101</v>
      </c>
      <c r="S4262" t="s">
        <v>10932</v>
      </c>
      <c r="T4262" t="s">
        <v>13338</v>
      </c>
      <c r="U4262" t="s">
        <v>13338</v>
      </c>
      <c r="V4262" t="s">
        <v>13338</v>
      </c>
      <c r="W4262" t="s">
        <v>17544</v>
      </c>
      <c r="X4262">
        <v>1</v>
      </c>
      <c r="Y4262" t="s">
        <v>24048</v>
      </c>
      <c r="Z4262" t="s">
        <v>30677</v>
      </c>
      <c r="AA4262">
        <v>0.30137017568697061</v>
      </c>
      <c r="AB4262" t="str">
        <f>HYPERLINK("Melting_Curves/meltCurve_Q7Z7H8_MRPL10.pdf", "Melting_Curves/meltCurve_Q7Z7H8_MRPL10.pdf")</f>
        <v>Melting_Curves/meltCurve_Q7Z7H8_MRPL10.pdf</v>
      </c>
    </row>
    <row r="4263" spans="1:28" x14ac:dyDescent="0.25">
      <c r="A4263" t="s">
        <v>4267</v>
      </c>
      <c r="B4263">
        <v>0.99193492352474899</v>
      </c>
      <c r="C4263">
        <v>0.58526076169005303</v>
      </c>
      <c r="D4263">
        <v>0.99521972326117303</v>
      </c>
      <c r="E4263">
        <v>0.66414257144368505</v>
      </c>
      <c r="F4263">
        <v>0.23226500827107799</v>
      </c>
      <c r="G4263">
        <v>0.11116679369228499</v>
      </c>
      <c r="H4263">
        <v>0.14899379333937901</v>
      </c>
      <c r="I4263">
        <v>0.36667020885504198</v>
      </c>
      <c r="J4263">
        <v>0.53627405485572399</v>
      </c>
      <c r="K4263">
        <v>0.70056113400886399</v>
      </c>
      <c r="L4263">
        <v>12396.7917002657</v>
      </c>
      <c r="M4263">
        <v>250</v>
      </c>
      <c r="N4263">
        <v>49.826237730411698</v>
      </c>
      <c r="O4263">
        <v>49.583991082732702</v>
      </c>
      <c r="P4263">
        <v>-0.82017164729705505</v>
      </c>
      <c r="Q4263">
        <v>0.34932183000881301</v>
      </c>
      <c r="R4263">
        <v>0.51815777128888496</v>
      </c>
      <c r="S4263" t="s">
        <v>10933</v>
      </c>
      <c r="T4263" t="s">
        <v>13338</v>
      </c>
      <c r="U4263" t="s">
        <v>13338</v>
      </c>
      <c r="V4263" t="s">
        <v>13338</v>
      </c>
      <c r="W4263" t="s">
        <v>17545</v>
      </c>
      <c r="X4263">
        <v>1</v>
      </c>
      <c r="Y4263" t="s">
        <v>24049</v>
      </c>
      <c r="Z4263" t="s">
        <v>30678</v>
      </c>
      <c r="AA4263">
        <v>0.55731712673577671</v>
      </c>
      <c r="AB4263" t="str">
        <f>HYPERLINK("Melting_Curves/meltCurve_Q7Z7K6_3_CENPV.pdf", "Melting_Curves/meltCurve_Q7Z7K6_3_CENPV.pdf")</f>
        <v>Melting_Curves/meltCurve_Q7Z7K6_3_CENPV.pdf</v>
      </c>
    </row>
    <row r="4264" spans="1:28" x14ac:dyDescent="0.25">
      <c r="A4264" t="s">
        <v>4268</v>
      </c>
      <c r="B4264">
        <v>0.99193492352474899</v>
      </c>
      <c r="C4264">
        <v>0.780972605805199</v>
      </c>
      <c r="D4264">
        <v>0.85322959810168797</v>
      </c>
      <c r="E4264">
        <v>0.456584842019085</v>
      </c>
      <c r="F4264">
        <v>0.20631526631588001</v>
      </c>
      <c r="G4264">
        <v>0.104461494879741</v>
      </c>
      <c r="H4264">
        <v>6.4685276939984201E-2</v>
      </c>
      <c r="I4264">
        <v>7.3539621286277501E-2</v>
      </c>
      <c r="J4264">
        <v>8.7261696448147699E-2</v>
      </c>
      <c r="K4264">
        <v>8.2542900883348799E-2</v>
      </c>
      <c r="L4264">
        <v>907.55854120006495</v>
      </c>
      <c r="M4264">
        <v>18.5953477727092</v>
      </c>
      <c r="N4264">
        <v>49.139976045451597</v>
      </c>
      <c r="O4264">
        <v>48.251750349708303</v>
      </c>
      <c r="P4264">
        <v>-9.0625056362145601E-2</v>
      </c>
      <c r="Q4264">
        <v>5.9414660987212299E-2</v>
      </c>
      <c r="R4264">
        <v>0.97435973926866704</v>
      </c>
      <c r="S4264" t="s">
        <v>10934</v>
      </c>
      <c r="T4264" t="s">
        <v>13338</v>
      </c>
      <c r="U4264" t="s">
        <v>13338</v>
      </c>
      <c r="V4264" t="s">
        <v>13338</v>
      </c>
      <c r="W4264" t="s">
        <v>17546</v>
      </c>
      <c r="X4264">
        <v>15</v>
      </c>
      <c r="Y4264" t="s">
        <v>24050</v>
      </c>
      <c r="Z4264" t="s">
        <v>30679</v>
      </c>
      <c r="AA4264">
        <v>0.35081180507762227</v>
      </c>
      <c r="AB4264" t="str">
        <f>HYPERLINK("Melting_Curves/meltCurve_Q7Z7L1_SLFN11.pdf", "Melting_Curves/meltCurve_Q7Z7L1_SLFN11.pdf")</f>
        <v>Melting_Curves/meltCurve_Q7Z7L1_SLFN11.pdf</v>
      </c>
    </row>
    <row r="4265" spans="1:28" x14ac:dyDescent="0.25">
      <c r="A4265" t="s">
        <v>4269</v>
      </c>
      <c r="B4265">
        <v>0.99193492352474899</v>
      </c>
      <c r="C4265">
        <v>0.83544363097430496</v>
      </c>
      <c r="D4265">
        <v>0.93821295879644995</v>
      </c>
      <c r="E4265">
        <v>0.57523092583376301</v>
      </c>
      <c r="F4265">
        <v>0.76263996615976404</v>
      </c>
      <c r="G4265">
        <v>0.56455161548586497</v>
      </c>
      <c r="H4265">
        <v>0.53994883497276902</v>
      </c>
      <c r="I4265">
        <v>0.60481580008092095</v>
      </c>
      <c r="J4265">
        <v>1.0019948992143299</v>
      </c>
      <c r="K4265">
        <v>1.0655844066539799</v>
      </c>
      <c r="L4265">
        <v>1032.4386462115001</v>
      </c>
      <c r="M4265">
        <v>23.583379954217701</v>
      </c>
      <c r="O4265">
        <v>43.467088068106698</v>
      </c>
      <c r="P4265">
        <v>-3.5191353159553601E-2</v>
      </c>
      <c r="Q4265">
        <v>0.74055623950646998</v>
      </c>
      <c r="R4265">
        <v>0.158602725638949</v>
      </c>
      <c r="S4265" t="s">
        <v>10935</v>
      </c>
      <c r="T4265" t="s">
        <v>13338</v>
      </c>
      <c r="U4265" t="s">
        <v>13338</v>
      </c>
      <c r="V4265" t="s">
        <v>13338</v>
      </c>
      <c r="W4265" t="s">
        <v>17547</v>
      </c>
      <c r="X4265">
        <v>2</v>
      </c>
      <c r="Y4265" t="s">
        <v>24051</v>
      </c>
      <c r="Z4265" t="s">
        <v>30680</v>
      </c>
      <c r="AA4265">
        <v>0.7767964764448787</v>
      </c>
      <c r="AB4265" t="str">
        <f>HYPERLINK("Melting_Curves/meltCurve_Q7Z7N9_TMEM179B.pdf", "Melting_Curves/meltCurve_Q7Z7N9_TMEM179B.pdf")</f>
        <v>Melting_Curves/meltCurve_Q7Z7N9_TMEM179B.pdf</v>
      </c>
    </row>
    <row r="4266" spans="1:28" x14ac:dyDescent="0.25">
      <c r="A4266" t="s">
        <v>4270</v>
      </c>
      <c r="B4266">
        <v>0.99193492352474899</v>
      </c>
      <c r="C4266">
        <v>0.90544712408898798</v>
      </c>
      <c r="D4266">
        <v>0.83058063037062502</v>
      </c>
      <c r="E4266">
        <v>0.65395512927639099</v>
      </c>
      <c r="F4266">
        <v>0.51333181341925005</v>
      </c>
      <c r="G4266">
        <v>0.429466541972577</v>
      </c>
      <c r="H4266">
        <v>0.30732119559721899</v>
      </c>
      <c r="I4266">
        <v>0.48152570358320501</v>
      </c>
      <c r="J4266">
        <v>0.72647232146209995</v>
      </c>
      <c r="K4266">
        <v>0.597196210983158</v>
      </c>
      <c r="L4266">
        <v>1091.5651956172401</v>
      </c>
      <c r="M4266">
        <v>23.1756828286074</v>
      </c>
      <c r="O4266">
        <v>46.753123207946999</v>
      </c>
      <c r="P4266">
        <v>-6.1215604702398098E-2</v>
      </c>
      <c r="Q4266">
        <v>0.50603937823373502</v>
      </c>
      <c r="R4266">
        <v>0.74956859141087095</v>
      </c>
      <c r="S4266" t="s">
        <v>10936</v>
      </c>
      <c r="T4266" t="s">
        <v>13338</v>
      </c>
      <c r="U4266" t="s">
        <v>13338</v>
      </c>
      <c r="V4266" t="s">
        <v>13338</v>
      </c>
      <c r="W4266" t="s">
        <v>17548</v>
      </c>
      <c r="X4266">
        <v>1</v>
      </c>
      <c r="Y4266" t="s">
        <v>24052</v>
      </c>
      <c r="Z4266" t="s">
        <v>30681</v>
      </c>
      <c r="AA4266">
        <v>0.62813860514132513</v>
      </c>
      <c r="AB4266" t="str">
        <f>HYPERLINK("Melting_Curves/meltCurve_Q86SE8_NPM2.pdf", "Melting_Curves/meltCurve_Q86SE8_NPM2.pdf")</f>
        <v>Melting_Curves/meltCurve_Q86SE8_NPM2.pdf</v>
      </c>
    </row>
    <row r="4267" spans="1:28" x14ac:dyDescent="0.25">
      <c r="A4267" t="s">
        <v>4271</v>
      </c>
      <c r="B4267">
        <v>0.99193492352474899</v>
      </c>
      <c r="C4267">
        <v>0.94337049208128398</v>
      </c>
      <c r="D4267">
        <v>0.94205449881572401</v>
      </c>
      <c r="E4267">
        <v>0.77669979508976905</v>
      </c>
      <c r="F4267">
        <v>0.42986589130398201</v>
      </c>
      <c r="G4267">
        <v>0.121707290149035</v>
      </c>
      <c r="H4267">
        <v>5.9842072830788698E-2</v>
      </c>
      <c r="I4267">
        <v>6.5969432777560996E-2</v>
      </c>
      <c r="J4267">
        <v>6.4344438973444898E-2</v>
      </c>
      <c r="K4267">
        <v>4.9863523490561397E-2</v>
      </c>
      <c r="L4267">
        <v>1258.39584174529</v>
      </c>
      <c r="M4267">
        <v>24.154499412405901</v>
      </c>
      <c r="N4267">
        <v>52.296835926200401</v>
      </c>
      <c r="O4267">
        <v>51.744658168497303</v>
      </c>
      <c r="P4267">
        <v>-0.11157685543522899</v>
      </c>
      <c r="Q4267">
        <v>4.3918998676468798E-2</v>
      </c>
      <c r="R4267">
        <v>0.99647120321626104</v>
      </c>
      <c r="S4267" t="s">
        <v>10937</v>
      </c>
      <c r="T4267" t="s">
        <v>13338</v>
      </c>
      <c r="U4267" t="s">
        <v>13338</v>
      </c>
      <c r="V4267" t="s">
        <v>13338</v>
      </c>
      <c r="W4267" t="s">
        <v>17549</v>
      </c>
      <c r="X4267">
        <v>13</v>
      </c>
      <c r="Y4267" t="s">
        <v>24053</v>
      </c>
      <c r="Z4267" t="s">
        <v>30682</v>
      </c>
      <c r="AA4267">
        <v>0.43879810851214918</v>
      </c>
      <c r="AB4267" t="str">
        <f>HYPERLINK("Melting_Curves/meltCurve_Q86SF2_GALNT7.pdf", "Melting_Curves/meltCurve_Q86SF2_GALNT7.pdf")</f>
        <v>Melting_Curves/meltCurve_Q86SF2_GALNT7.pdf</v>
      </c>
    </row>
    <row r="4268" spans="1:28" x14ac:dyDescent="0.25">
      <c r="A4268" t="s">
        <v>4272</v>
      </c>
      <c r="B4268">
        <v>0.99193492352474899</v>
      </c>
      <c r="C4268">
        <v>1.0102479825183499</v>
      </c>
      <c r="D4268">
        <v>0.93536241494926897</v>
      </c>
      <c r="E4268">
        <v>0.69439022025451702</v>
      </c>
      <c r="F4268">
        <v>0.27906914895358598</v>
      </c>
      <c r="G4268">
        <v>0.18961105204671999</v>
      </c>
      <c r="H4268">
        <v>8.5856825083044097E-2</v>
      </c>
      <c r="I4268">
        <v>9.6650647354203395E-2</v>
      </c>
      <c r="J4268">
        <v>9.2309101078047698E-2</v>
      </c>
      <c r="K4268">
        <v>8.69277193188248E-2</v>
      </c>
      <c r="L4268">
        <v>1338.7266102897199</v>
      </c>
      <c r="M4268">
        <v>26.365582562542102</v>
      </c>
      <c r="N4268">
        <v>51.174432813859099</v>
      </c>
      <c r="O4268">
        <v>50.486144762951099</v>
      </c>
      <c r="P4268">
        <v>-0.118432750444024</v>
      </c>
      <c r="Q4268">
        <v>9.2886070530428494E-2</v>
      </c>
      <c r="R4268">
        <v>0.99769774251136301</v>
      </c>
      <c r="S4268" t="s">
        <v>10938</v>
      </c>
      <c r="T4268" t="s">
        <v>13338</v>
      </c>
      <c r="U4268" t="s">
        <v>13338</v>
      </c>
      <c r="V4268" t="s">
        <v>13338</v>
      </c>
      <c r="W4268" t="s">
        <v>17550</v>
      </c>
      <c r="X4268">
        <v>5</v>
      </c>
      <c r="Y4268" t="s">
        <v>24054</v>
      </c>
      <c r="Z4268" t="s">
        <v>30683</v>
      </c>
      <c r="AA4268">
        <v>0.42606381228291329</v>
      </c>
      <c r="AB4268" t="str">
        <f>HYPERLINK("Melting_Curves/meltCurve_Q86SK9_2_SCD5.pdf", "Melting_Curves/meltCurve_Q86SK9_2_SCD5.pdf")</f>
        <v>Melting_Curves/meltCurve_Q86SK9_2_SCD5.pdf</v>
      </c>
    </row>
    <row r="4269" spans="1:28" x14ac:dyDescent="0.25">
      <c r="A4269" t="s">
        <v>4273</v>
      </c>
      <c r="B4269">
        <v>0.99193492352474899</v>
      </c>
      <c r="C4269">
        <v>0.94366376303616195</v>
      </c>
      <c r="D4269">
        <v>0.92120247597720695</v>
      </c>
      <c r="E4269">
        <v>0.79445055638211903</v>
      </c>
      <c r="F4269">
        <v>0.429350478196378</v>
      </c>
      <c r="G4269">
        <v>0.38365098873848402</v>
      </c>
      <c r="H4269">
        <v>0.16304135765686001</v>
      </c>
      <c r="I4269">
        <v>0.16132376445146199</v>
      </c>
      <c r="J4269">
        <v>0.155690243602813</v>
      </c>
      <c r="K4269">
        <v>0.13347075261107499</v>
      </c>
      <c r="L4269">
        <v>881.33551996117706</v>
      </c>
      <c r="M4269">
        <v>16.847412924579999</v>
      </c>
      <c r="N4269">
        <v>53.220581796477603</v>
      </c>
      <c r="O4269">
        <v>51.592443354744397</v>
      </c>
      <c r="P4269">
        <v>-7.1446842776148003E-2</v>
      </c>
      <c r="Q4269">
        <v>0.124879008034825</v>
      </c>
      <c r="R4269">
        <v>0.986987649752334</v>
      </c>
      <c r="S4269" t="s">
        <v>10939</v>
      </c>
      <c r="T4269" t="s">
        <v>13338</v>
      </c>
      <c r="U4269" t="s">
        <v>13338</v>
      </c>
      <c r="V4269" t="s">
        <v>13338</v>
      </c>
      <c r="W4269" t="s">
        <v>17551</v>
      </c>
      <c r="X4269">
        <v>6</v>
      </c>
      <c r="Y4269" t="s">
        <v>24055</v>
      </c>
      <c r="Z4269" t="s">
        <v>30684</v>
      </c>
      <c r="AA4269">
        <v>0.50021365459086786</v>
      </c>
      <c r="AB4269" t="str">
        <f>HYPERLINK("Melting_Curves/meltCurve_Q86SX6_GLRX5.pdf", "Melting_Curves/meltCurve_Q86SX6_GLRX5.pdf")</f>
        <v>Melting_Curves/meltCurve_Q86SX6_GLRX5.pdf</v>
      </c>
    </row>
    <row r="4270" spans="1:28" x14ac:dyDescent="0.25">
      <c r="A4270" t="s">
        <v>4274</v>
      </c>
      <c r="B4270">
        <v>0.99193492352474899</v>
      </c>
      <c r="C4270">
        <v>0.75477083706442805</v>
      </c>
      <c r="D4270">
        <v>0.76971888206327199</v>
      </c>
      <c r="E4270">
        <v>0.59826586739467003</v>
      </c>
      <c r="F4270">
        <v>0.64821168793225603</v>
      </c>
      <c r="G4270">
        <v>0.232456988153219</v>
      </c>
      <c r="H4270">
        <v>5.7257581290750301E-2</v>
      </c>
      <c r="I4270">
        <v>5.2357877377066597E-2</v>
      </c>
      <c r="J4270">
        <v>4.9565205144179197E-2</v>
      </c>
      <c r="K4270">
        <v>7.8277502467460902E-2</v>
      </c>
      <c r="L4270">
        <v>559.92860051558796</v>
      </c>
      <c r="M4270">
        <v>10.8039668477216</v>
      </c>
      <c r="N4270">
        <v>51.826193465148698</v>
      </c>
      <c r="O4270">
        <v>50.145421438233598</v>
      </c>
      <c r="P4270">
        <v>-5.3882671603055099E-2</v>
      </c>
      <c r="Q4270">
        <v>0</v>
      </c>
      <c r="R4270">
        <v>0.92375320272652806</v>
      </c>
      <c r="S4270" t="s">
        <v>10940</v>
      </c>
      <c r="T4270" t="s">
        <v>13338</v>
      </c>
      <c r="U4270" t="s">
        <v>13338</v>
      </c>
      <c r="V4270" t="s">
        <v>13338</v>
      </c>
      <c r="W4270" t="s">
        <v>17552</v>
      </c>
      <c r="X4270">
        <v>6</v>
      </c>
      <c r="Y4270" t="s">
        <v>24056</v>
      </c>
      <c r="Z4270" t="s">
        <v>30685</v>
      </c>
      <c r="AA4270">
        <v>0.42951700934057058</v>
      </c>
      <c r="AB4270" t="str">
        <f>HYPERLINK("Melting_Curves/meltCurve_Q86SZ2_TRAPPC6B.pdf", "Melting_Curves/meltCurve_Q86SZ2_TRAPPC6B.pdf")</f>
        <v>Melting_Curves/meltCurve_Q86SZ2_TRAPPC6B.pdf</v>
      </c>
    </row>
    <row r="4271" spans="1:28" x14ac:dyDescent="0.25">
      <c r="A4271" t="s">
        <v>4275</v>
      </c>
      <c r="B4271">
        <v>0.99193492352474899</v>
      </c>
      <c r="C4271">
        <v>1.0978210337893399</v>
      </c>
      <c r="D4271">
        <v>1.0990664534992101</v>
      </c>
      <c r="E4271">
        <v>0.85367910766046295</v>
      </c>
      <c r="F4271">
        <v>0.72771096483321895</v>
      </c>
      <c r="G4271">
        <v>0.483225301875499</v>
      </c>
      <c r="H4271">
        <v>0.307884577768894</v>
      </c>
      <c r="I4271">
        <v>0.30877786900075099</v>
      </c>
      <c r="J4271">
        <v>0.261211026013772</v>
      </c>
      <c r="K4271">
        <v>0.234259994061879</v>
      </c>
      <c r="L4271">
        <v>1113.06092094156</v>
      </c>
      <c r="M4271">
        <v>20.405089828908199</v>
      </c>
      <c r="N4271">
        <v>56.395030738582399</v>
      </c>
      <c r="O4271">
        <v>54.032400073435603</v>
      </c>
      <c r="P4271">
        <v>-7.1406217344575307E-2</v>
      </c>
      <c r="Q4271">
        <v>0.24369197580933699</v>
      </c>
      <c r="R4271">
        <v>0.97498473660208096</v>
      </c>
      <c r="S4271" t="s">
        <v>10941</v>
      </c>
      <c r="T4271" t="s">
        <v>13338</v>
      </c>
      <c r="U4271" t="s">
        <v>13338</v>
      </c>
      <c r="V4271" t="s">
        <v>13338</v>
      </c>
      <c r="W4271" t="s">
        <v>17553</v>
      </c>
      <c r="X4271">
        <v>3</v>
      </c>
      <c r="Y4271" t="s">
        <v>24057</v>
      </c>
      <c r="Z4271" t="s">
        <v>30686</v>
      </c>
      <c r="AA4271">
        <v>0.62031911303017384</v>
      </c>
      <c r="AB4271" t="str">
        <f>HYPERLINK("Melting_Curves/meltCurve_Q86T03_TMEM55B.pdf", "Melting_Curves/meltCurve_Q86T03_TMEM55B.pdf")</f>
        <v>Melting_Curves/meltCurve_Q86T03_TMEM55B.pdf</v>
      </c>
    </row>
    <row r="4272" spans="1:28" x14ac:dyDescent="0.25">
      <c r="A4272" t="s">
        <v>4276</v>
      </c>
      <c r="B4272">
        <v>0.99193492352474899</v>
      </c>
      <c r="C4272">
        <v>0.38490929693757597</v>
      </c>
      <c r="D4272">
        <v>0.46341138586302799</v>
      </c>
      <c r="E4272">
        <v>0.17973294587076399</v>
      </c>
      <c r="F4272">
        <v>0.115746015424805</v>
      </c>
      <c r="G4272">
        <v>7.03679017169134E-2</v>
      </c>
      <c r="H4272">
        <v>4.75229994198893E-2</v>
      </c>
      <c r="I4272">
        <v>6.3179438981685807E-2</v>
      </c>
      <c r="J4272">
        <v>7.7740059134426706E-2</v>
      </c>
      <c r="K4272">
        <v>7.7434755756678797E-2</v>
      </c>
      <c r="L4272">
        <v>739.48630592762595</v>
      </c>
      <c r="M4272">
        <v>16.9922584874565</v>
      </c>
      <c r="N4272">
        <v>43.905179686364299</v>
      </c>
      <c r="O4272">
        <v>42.929685899273998</v>
      </c>
      <c r="P4272">
        <v>-9.2090899573148005E-2</v>
      </c>
      <c r="Q4272">
        <v>6.9414229531557098E-2</v>
      </c>
      <c r="R4272">
        <v>0.89206800578116696</v>
      </c>
      <c r="S4272" t="s">
        <v>10942</v>
      </c>
      <c r="T4272" t="s">
        <v>13338</v>
      </c>
      <c r="U4272" t="s">
        <v>13338</v>
      </c>
      <c r="V4272" t="s">
        <v>13338</v>
      </c>
      <c r="W4272" t="s">
        <v>17554</v>
      </c>
      <c r="X4272">
        <v>7</v>
      </c>
      <c r="Y4272" t="s">
        <v>24058</v>
      </c>
      <c r="Z4272" t="s">
        <v>30687</v>
      </c>
      <c r="AA4272">
        <v>0.20661469551425629</v>
      </c>
      <c r="AB4272" t="str">
        <f>HYPERLINK("Melting_Curves/meltCurve_Q86TB9_4_PATL1.pdf", "Melting_Curves/meltCurve_Q86TB9_4_PATL1.pdf")</f>
        <v>Melting_Curves/meltCurve_Q86TB9_4_PATL1.pdf</v>
      </c>
    </row>
    <row r="4273" spans="1:28" x14ac:dyDescent="0.25">
      <c r="A4273" t="s">
        <v>4277</v>
      </c>
      <c r="B4273">
        <v>0.99193492352474899</v>
      </c>
      <c r="C4273">
        <v>0.95830883651263299</v>
      </c>
      <c r="D4273">
        <v>0.86028004384924806</v>
      </c>
      <c r="E4273">
        <v>0.39432705493771802</v>
      </c>
      <c r="F4273">
        <v>0.22179873220560201</v>
      </c>
      <c r="G4273">
        <v>0.107317576207045</v>
      </c>
      <c r="H4273">
        <v>8.1640194962404503E-2</v>
      </c>
      <c r="I4273">
        <v>9.3636720814199603E-2</v>
      </c>
      <c r="J4273">
        <v>8.1302978273250101E-2</v>
      </c>
      <c r="K4273">
        <v>8.7297500155779098E-2</v>
      </c>
      <c r="L4273">
        <v>1284.5835645244199</v>
      </c>
      <c r="M4273">
        <v>26.433484890290199</v>
      </c>
      <c r="N4273">
        <v>48.9664385026853</v>
      </c>
      <c r="O4273">
        <v>48.321246364984098</v>
      </c>
      <c r="P4273">
        <v>-0.124391897395993</v>
      </c>
      <c r="Q4273">
        <v>9.0440367710446196E-2</v>
      </c>
      <c r="R4273">
        <v>0.99668819880947301</v>
      </c>
      <c r="S4273" t="s">
        <v>10943</v>
      </c>
      <c r="T4273" t="s">
        <v>13338</v>
      </c>
      <c r="U4273" t="s">
        <v>13338</v>
      </c>
      <c r="V4273" t="s">
        <v>13338</v>
      </c>
      <c r="W4273" t="s">
        <v>17555</v>
      </c>
      <c r="X4273">
        <v>9</v>
      </c>
      <c r="Y4273" t="s">
        <v>24059</v>
      </c>
      <c r="Z4273" t="s">
        <v>30688</v>
      </c>
      <c r="AA4273">
        <v>0.35824656897445362</v>
      </c>
      <c r="AB4273" t="str">
        <f>HYPERLINK("Melting_Curves/meltCurve_Q86TI0_2_TBC1D1.pdf", "Melting_Curves/meltCurve_Q86TI0_2_TBC1D1.pdf")</f>
        <v>Melting_Curves/meltCurve_Q86TI0_2_TBC1D1.pdf</v>
      </c>
    </row>
    <row r="4274" spans="1:28" x14ac:dyDescent="0.25">
      <c r="A4274" t="s">
        <v>4278</v>
      </c>
      <c r="B4274">
        <v>0.99193492352474899</v>
      </c>
      <c r="C4274">
        <v>0.95645311358977503</v>
      </c>
      <c r="D4274">
        <v>0.95431614360386297</v>
      </c>
      <c r="E4274">
        <v>0.79573458154486898</v>
      </c>
      <c r="F4274">
        <v>0.33813359609356503</v>
      </c>
      <c r="G4274">
        <v>0.137663108431306</v>
      </c>
      <c r="H4274">
        <v>8.0685702657950706E-2</v>
      </c>
      <c r="I4274">
        <v>8.32502382190273E-2</v>
      </c>
      <c r="J4274">
        <v>0.103513598942367</v>
      </c>
      <c r="K4274">
        <v>9.0290550333854899E-2</v>
      </c>
      <c r="L4274">
        <v>1576.92870686007</v>
      </c>
      <c r="M4274">
        <v>30.593262482984098</v>
      </c>
      <c r="N4274">
        <v>51.866343221354299</v>
      </c>
      <c r="O4274">
        <v>51.326258131483499</v>
      </c>
      <c r="P4274">
        <v>-0.136148779193662</v>
      </c>
      <c r="Q4274">
        <v>8.6339756391026506E-2</v>
      </c>
      <c r="R4274">
        <v>0.99812237214590005</v>
      </c>
      <c r="S4274" t="s">
        <v>10944</v>
      </c>
      <c r="T4274" t="s">
        <v>13338</v>
      </c>
      <c r="U4274" t="s">
        <v>13338</v>
      </c>
      <c r="V4274" t="s">
        <v>13338</v>
      </c>
      <c r="W4274" t="s">
        <v>17556</v>
      </c>
      <c r="X4274">
        <v>17</v>
      </c>
      <c r="Y4274" t="s">
        <v>24060</v>
      </c>
      <c r="Z4274" t="s">
        <v>30689</v>
      </c>
      <c r="AA4274">
        <v>0.44351947968528088</v>
      </c>
      <c r="AB4274" t="str">
        <f>HYPERLINK("Melting_Curves/meltCurve_Q86TI2_2_DPP9.pdf", "Melting_Curves/meltCurve_Q86TI2_2_DPP9.pdf")</f>
        <v>Melting_Curves/meltCurve_Q86TI2_2_DPP9.pdf</v>
      </c>
    </row>
    <row r="4275" spans="1:28" x14ac:dyDescent="0.25">
      <c r="A4275" t="s">
        <v>4279</v>
      </c>
      <c r="B4275">
        <v>0.99193492352474899</v>
      </c>
      <c r="C4275">
        <v>1.19465092514434</v>
      </c>
      <c r="D4275">
        <v>1.07689348354102</v>
      </c>
      <c r="E4275">
        <v>0.949535432237959</v>
      </c>
      <c r="F4275">
        <v>0.68277224887578003</v>
      </c>
      <c r="G4275">
        <v>0.42872142923516499</v>
      </c>
      <c r="H4275">
        <v>0.341812311244381</v>
      </c>
      <c r="I4275">
        <v>0.29925515449736301</v>
      </c>
      <c r="J4275">
        <v>0.242396856668122</v>
      </c>
      <c r="K4275">
        <v>0.17916415104999001</v>
      </c>
      <c r="L4275">
        <v>1301.09032314924</v>
      </c>
      <c r="M4275">
        <v>23.9846242879565</v>
      </c>
      <c r="N4275">
        <v>55.779330335009902</v>
      </c>
      <c r="O4275">
        <v>53.873966606342897</v>
      </c>
      <c r="P4275">
        <v>-8.4444008474491294E-2</v>
      </c>
      <c r="Q4275">
        <v>0.24130367337363601</v>
      </c>
      <c r="R4275">
        <v>0.95872384907982799</v>
      </c>
      <c r="S4275" t="s">
        <v>10945</v>
      </c>
      <c r="T4275" t="s">
        <v>13338</v>
      </c>
      <c r="U4275" t="s">
        <v>13338</v>
      </c>
      <c r="V4275" t="s">
        <v>13338</v>
      </c>
      <c r="W4275" t="s">
        <v>17557</v>
      </c>
      <c r="X4275">
        <v>3</v>
      </c>
      <c r="Y4275" t="s">
        <v>24061</v>
      </c>
      <c r="Z4275" t="s">
        <v>30690</v>
      </c>
      <c r="AA4275">
        <v>0.60916978826929724</v>
      </c>
      <c r="AB4275" t="str">
        <f>HYPERLINK("Melting_Curves/meltCurve_Q86TM6_2_SYVN1.pdf", "Melting_Curves/meltCurve_Q86TM6_2_SYVN1.pdf")</f>
        <v>Melting_Curves/meltCurve_Q86TM6_2_SYVN1.pdf</v>
      </c>
    </row>
    <row r="4276" spans="1:28" x14ac:dyDescent="0.25">
      <c r="A4276" t="s">
        <v>4280</v>
      </c>
      <c r="B4276">
        <v>0.99193492352474899</v>
      </c>
      <c r="C4276">
        <v>0.78698742088975504</v>
      </c>
      <c r="D4276">
        <v>0.90750028198243904</v>
      </c>
      <c r="E4276">
        <v>0.53752503957018605</v>
      </c>
      <c r="F4276">
        <v>0.27451494448614999</v>
      </c>
      <c r="G4276">
        <v>0.118977212994488</v>
      </c>
      <c r="H4276">
        <v>6.1354471066719402E-2</v>
      </c>
      <c r="I4276">
        <v>8.6931948898248304E-2</v>
      </c>
      <c r="J4276">
        <v>0.137223585270773</v>
      </c>
      <c r="K4276">
        <v>8.7897227015421103E-2</v>
      </c>
      <c r="L4276">
        <v>971.47448263633896</v>
      </c>
      <c r="M4276">
        <v>19.580236472795701</v>
      </c>
      <c r="N4276">
        <v>50.0429236037808</v>
      </c>
      <c r="O4276">
        <v>49.106217592089799</v>
      </c>
      <c r="P4276">
        <v>-9.2003307199604298E-2</v>
      </c>
      <c r="Q4276">
        <v>7.7074403221873797E-2</v>
      </c>
      <c r="R4276">
        <v>0.96795606048250804</v>
      </c>
      <c r="S4276" t="s">
        <v>10946</v>
      </c>
      <c r="T4276" t="s">
        <v>13338</v>
      </c>
      <c r="U4276" t="s">
        <v>13338</v>
      </c>
      <c r="V4276" t="s">
        <v>13338</v>
      </c>
      <c r="W4276" t="s">
        <v>17558</v>
      </c>
      <c r="X4276">
        <v>5</v>
      </c>
      <c r="Y4276" t="s">
        <v>24062</v>
      </c>
      <c r="Z4276" t="s">
        <v>30691</v>
      </c>
      <c r="AA4276">
        <v>0.3862960957191176</v>
      </c>
      <c r="AB4276" t="str">
        <f>HYPERLINK("Melting_Curves/meltCurve_Q86TN4_TRPT1.pdf", "Melting_Curves/meltCurve_Q86TN4_TRPT1.pdf")</f>
        <v>Melting_Curves/meltCurve_Q86TN4_TRPT1.pdf</v>
      </c>
    </row>
    <row r="4277" spans="1:28" x14ac:dyDescent="0.25">
      <c r="A4277" t="s">
        <v>4281</v>
      </c>
      <c r="B4277">
        <v>0.99193492352474899</v>
      </c>
      <c r="C4277">
        <v>0.91867524730113004</v>
      </c>
      <c r="D4277">
        <v>0.88330715407968896</v>
      </c>
      <c r="E4277">
        <v>0.47763173813674598</v>
      </c>
      <c r="F4277">
        <v>0.20688039379485801</v>
      </c>
      <c r="G4277">
        <v>0.124236464350426</v>
      </c>
      <c r="H4277">
        <v>6.4711312602316606E-2</v>
      </c>
      <c r="I4277">
        <v>6.9107319621649094E-2</v>
      </c>
      <c r="J4277">
        <v>8.4584633093108E-2</v>
      </c>
      <c r="K4277">
        <v>6.7880188010377401E-2</v>
      </c>
      <c r="L4277">
        <v>1178.6143603124499</v>
      </c>
      <c r="M4277">
        <v>23.9534735153469</v>
      </c>
      <c r="N4277">
        <v>49.522982317766797</v>
      </c>
      <c r="O4277">
        <v>48.865240596011603</v>
      </c>
      <c r="P4277">
        <v>-0.113798017875616</v>
      </c>
      <c r="Q4277">
        <v>7.1420288982682198E-2</v>
      </c>
      <c r="R4277">
        <v>0.99652773302318498</v>
      </c>
      <c r="S4277" t="s">
        <v>10947</v>
      </c>
      <c r="T4277" t="s">
        <v>13338</v>
      </c>
      <c r="U4277" t="s">
        <v>13338</v>
      </c>
      <c r="V4277" t="s">
        <v>13338</v>
      </c>
      <c r="W4277" t="s">
        <v>17559</v>
      </c>
      <c r="X4277">
        <v>10</v>
      </c>
      <c r="Y4277" t="s">
        <v>24063</v>
      </c>
      <c r="Z4277" t="s">
        <v>30692</v>
      </c>
      <c r="AA4277">
        <v>0.36531316017861232</v>
      </c>
      <c r="AB4277" t="str">
        <f>HYPERLINK("Melting_Curves/meltCurve_Q86TP1_PRUNE.pdf", "Melting_Curves/meltCurve_Q86TP1_PRUNE.pdf")</f>
        <v>Melting_Curves/meltCurve_Q86TP1_PRUNE.pdf</v>
      </c>
    </row>
    <row r="4278" spans="1:28" x14ac:dyDescent="0.25">
      <c r="A4278" t="s">
        <v>4282</v>
      </c>
      <c r="B4278">
        <v>0.99193492352474899</v>
      </c>
      <c r="C4278">
        <v>0.85362593619979099</v>
      </c>
      <c r="D4278">
        <v>0.95604463278784002</v>
      </c>
      <c r="E4278">
        <v>0.73705093377014297</v>
      </c>
      <c r="F4278">
        <v>0.42541043808553602</v>
      </c>
      <c r="G4278">
        <v>0.123489785340244</v>
      </c>
      <c r="H4278">
        <v>6.3622324361055499E-2</v>
      </c>
      <c r="I4278">
        <v>7.1331721791272201E-2</v>
      </c>
      <c r="J4278">
        <v>7.7327293522190796E-2</v>
      </c>
      <c r="K4278">
        <v>7.2829310413980594E-2</v>
      </c>
      <c r="L4278">
        <v>1160.8001233227201</v>
      </c>
      <c r="M4278">
        <v>22.403932717190798</v>
      </c>
      <c r="N4278">
        <v>52.069875444830402</v>
      </c>
      <c r="O4278">
        <v>51.4048574499447</v>
      </c>
      <c r="P4278">
        <v>-0.103246075465375</v>
      </c>
      <c r="Q4278">
        <v>5.2445346813285901E-2</v>
      </c>
      <c r="R4278">
        <v>0.98408733261250303</v>
      </c>
      <c r="S4278" t="s">
        <v>10948</v>
      </c>
      <c r="T4278" t="s">
        <v>13338</v>
      </c>
      <c r="U4278" t="s">
        <v>13338</v>
      </c>
      <c r="V4278" t="s">
        <v>13338</v>
      </c>
      <c r="W4278" t="s">
        <v>17560</v>
      </c>
      <c r="X4278">
        <v>25</v>
      </c>
      <c r="Y4278" t="s">
        <v>24064</v>
      </c>
      <c r="Z4278" t="s">
        <v>30693</v>
      </c>
      <c r="AA4278">
        <v>0.43618285402972318</v>
      </c>
      <c r="AB4278" t="str">
        <f>HYPERLINK("Melting_Curves/meltCurve_Q86TU7_SETD3.pdf", "Melting_Curves/meltCurve_Q86TU7_SETD3.pdf")</f>
        <v>Melting_Curves/meltCurve_Q86TU7_SETD3.pdf</v>
      </c>
    </row>
    <row r="4279" spans="1:28" x14ac:dyDescent="0.25">
      <c r="A4279" t="s">
        <v>4283</v>
      </c>
      <c r="B4279">
        <v>0.99193492352474899</v>
      </c>
      <c r="C4279">
        <v>0.83159654096576197</v>
      </c>
      <c r="D4279">
        <v>0.773017722157614</v>
      </c>
      <c r="E4279">
        <v>0.56247596891104201</v>
      </c>
      <c r="F4279">
        <v>0.396653539425253</v>
      </c>
      <c r="G4279">
        <v>0.20376531733025999</v>
      </c>
      <c r="H4279">
        <v>0.114487426290296</v>
      </c>
      <c r="I4279">
        <v>0.120368475764469</v>
      </c>
      <c r="J4279">
        <v>0.14265083585989</v>
      </c>
      <c r="K4279">
        <v>0.17113743982075699</v>
      </c>
      <c r="L4279">
        <v>653.81538982186601</v>
      </c>
      <c r="M4279">
        <v>13.1875520554979</v>
      </c>
      <c r="N4279">
        <v>50.406991773925398</v>
      </c>
      <c r="O4279">
        <v>48.479759411666201</v>
      </c>
      <c r="P4279">
        <v>-6.13875907091826E-2</v>
      </c>
      <c r="Q4279">
        <v>9.74640794732861E-2</v>
      </c>
      <c r="R4279">
        <v>0.985067680962745</v>
      </c>
      <c r="S4279" t="s">
        <v>10949</v>
      </c>
      <c r="T4279" t="s">
        <v>13338</v>
      </c>
      <c r="U4279" t="s">
        <v>13338</v>
      </c>
      <c r="V4279" t="s">
        <v>13338</v>
      </c>
      <c r="W4279" t="s">
        <v>17561</v>
      </c>
      <c r="X4279">
        <v>7</v>
      </c>
      <c r="Y4279" t="s">
        <v>24065</v>
      </c>
      <c r="Z4279" t="s">
        <v>30694</v>
      </c>
      <c r="AA4279">
        <v>0.41300860802946809</v>
      </c>
      <c r="AB4279" t="str">
        <f>HYPERLINK("Melting_Curves/meltCurve_Q86TV2_LGMN.pdf", "Melting_Curves/meltCurve_Q86TV2_LGMN.pdf")</f>
        <v>Melting_Curves/meltCurve_Q86TV2_LGMN.pdf</v>
      </c>
    </row>
    <row r="4280" spans="1:28" x14ac:dyDescent="0.25">
      <c r="A4280" t="s">
        <v>4284</v>
      </c>
      <c r="B4280">
        <v>0.99193492352474899</v>
      </c>
      <c r="C4280">
        <v>1.1735503260442699</v>
      </c>
      <c r="D4280">
        <v>1.2375666752627399</v>
      </c>
      <c r="E4280">
        <v>1.09958738071761</v>
      </c>
      <c r="F4280">
        <v>0.752794870321013</v>
      </c>
      <c r="G4280">
        <v>0.30293234091287402</v>
      </c>
      <c r="H4280">
        <v>3.1177758733720098E-2</v>
      </c>
      <c r="I4280">
        <v>4.55251206489607E-2</v>
      </c>
      <c r="J4280">
        <v>3.7953779776716899E-2</v>
      </c>
      <c r="K4280">
        <v>4.2358165376625199E-2</v>
      </c>
      <c r="L4280">
        <v>1982.47252119272</v>
      </c>
      <c r="M4280">
        <v>35.988204388544098</v>
      </c>
      <c r="N4280">
        <v>55.191152079768997</v>
      </c>
      <c r="O4280">
        <v>54.9174878629331</v>
      </c>
      <c r="P4280">
        <v>-0.158436009939423</v>
      </c>
      <c r="Q4280">
        <v>3.2918996997103003E-2</v>
      </c>
      <c r="R4280">
        <v>0.95839690596710203</v>
      </c>
      <c r="S4280" t="s">
        <v>10950</v>
      </c>
      <c r="T4280" t="s">
        <v>13338</v>
      </c>
      <c r="U4280" t="s">
        <v>13338</v>
      </c>
      <c r="V4280" t="s">
        <v>13338</v>
      </c>
      <c r="W4280" t="s">
        <v>17562</v>
      </c>
      <c r="X4280">
        <v>1</v>
      </c>
      <c r="Y4280" t="s">
        <v>24066</v>
      </c>
      <c r="Z4280" t="s">
        <v>30695</v>
      </c>
      <c r="AA4280">
        <v>0.5237752137426549</v>
      </c>
      <c r="AB4280" t="str">
        <f>HYPERLINK("Melting_Curves/meltCurve_Q86TW2_2_ADCK1.pdf", "Melting_Curves/meltCurve_Q86TW2_2_ADCK1.pdf")</f>
        <v>Melting_Curves/meltCurve_Q86TW2_2_ADCK1.pdf</v>
      </c>
    </row>
    <row r="4281" spans="1:28" x14ac:dyDescent="0.25">
      <c r="A4281" t="s">
        <v>4285</v>
      </c>
      <c r="B4281">
        <v>0.99193492352474899</v>
      </c>
      <c r="C4281">
        <v>0.71434854242478396</v>
      </c>
      <c r="D4281">
        <v>0.49446704771375299</v>
      </c>
      <c r="E4281">
        <v>0.26035415097145698</v>
      </c>
      <c r="F4281">
        <v>0.16823429886070501</v>
      </c>
      <c r="G4281">
        <v>9.3875805437336493E-2</v>
      </c>
      <c r="H4281">
        <v>7.4222533561926707E-2</v>
      </c>
      <c r="I4281">
        <v>5.3898796267726201E-2</v>
      </c>
      <c r="J4281">
        <v>6.7204575535805194E-2</v>
      </c>
      <c r="K4281">
        <v>5.1567411556297398E-2</v>
      </c>
      <c r="L4281">
        <v>759.704478309053</v>
      </c>
      <c r="M4281">
        <v>16.6555777806478</v>
      </c>
      <c r="N4281">
        <v>45.9667125490327</v>
      </c>
      <c r="O4281">
        <v>44.970302819727799</v>
      </c>
      <c r="P4281">
        <v>-8.7023242739143095E-2</v>
      </c>
      <c r="Q4281">
        <v>6.0206902110764203E-2</v>
      </c>
      <c r="R4281">
        <v>0.99124180707671705</v>
      </c>
      <c r="S4281" t="s">
        <v>10951</v>
      </c>
      <c r="T4281" t="s">
        <v>13338</v>
      </c>
      <c r="U4281" t="s">
        <v>13338</v>
      </c>
      <c r="V4281" t="s">
        <v>13338</v>
      </c>
      <c r="W4281" t="s">
        <v>17563</v>
      </c>
      <c r="X4281">
        <v>4</v>
      </c>
      <c r="Y4281" t="s">
        <v>24067</v>
      </c>
      <c r="Z4281" t="s">
        <v>30696</v>
      </c>
      <c r="AA4281">
        <v>0.25868505618291171</v>
      </c>
      <c r="AB4281" t="str">
        <f>HYPERLINK("Melting_Curves/meltCurve_Q86U06_4_RBM23.pdf", "Melting_Curves/meltCurve_Q86U06_4_RBM23.pdf")</f>
        <v>Melting_Curves/meltCurve_Q86U06_4_RBM23.pdf</v>
      </c>
    </row>
    <row r="4282" spans="1:28" x14ac:dyDescent="0.25">
      <c r="A4282" t="s">
        <v>4286</v>
      </c>
      <c r="B4282">
        <v>0.99193492352474899</v>
      </c>
      <c r="C4282">
        <v>1.0879382993143301</v>
      </c>
      <c r="D4282">
        <v>0.89575816271820197</v>
      </c>
      <c r="E4282">
        <v>0.749691106138068</v>
      </c>
      <c r="F4282">
        <v>0.37481972722749801</v>
      </c>
      <c r="G4282">
        <v>0.203779569752055</v>
      </c>
      <c r="H4282">
        <v>8.9633746543538895E-2</v>
      </c>
      <c r="I4282">
        <v>0.118374565548855</v>
      </c>
      <c r="J4282">
        <v>0.121823280681778</v>
      </c>
      <c r="K4282">
        <v>0.153068916729141</v>
      </c>
      <c r="L4282">
        <v>1254.5269194816401</v>
      </c>
      <c r="M4282">
        <v>24.441458437772901</v>
      </c>
      <c r="N4282">
        <v>51.887068714276701</v>
      </c>
      <c r="O4282">
        <v>50.987929181255303</v>
      </c>
      <c r="P4282">
        <v>-0.105964177541891</v>
      </c>
      <c r="Q4282">
        <v>0.115795071574725</v>
      </c>
      <c r="R4282">
        <v>0.98930770499634202</v>
      </c>
      <c r="S4282" t="s">
        <v>10952</v>
      </c>
      <c r="T4282" t="s">
        <v>13338</v>
      </c>
      <c r="U4282" t="s">
        <v>13338</v>
      </c>
      <c r="V4282" t="s">
        <v>13338</v>
      </c>
      <c r="W4282" t="s">
        <v>17564</v>
      </c>
      <c r="X4282">
        <v>9</v>
      </c>
      <c r="Y4282" t="s">
        <v>24068</v>
      </c>
      <c r="Z4282" t="s">
        <v>30697</v>
      </c>
      <c r="AA4282">
        <v>0.45804304022305881</v>
      </c>
      <c r="AB4282" t="str">
        <f>HYPERLINK("Melting_Curves/meltCurve_Q86U28_ISCA2.pdf", "Melting_Curves/meltCurve_Q86U28_ISCA2.pdf")</f>
        <v>Melting_Curves/meltCurve_Q86U28_ISCA2.pdf</v>
      </c>
    </row>
    <row r="4283" spans="1:28" x14ac:dyDescent="0.25">
      <c r="A4283" t="s">
        <v>4287</v>
      </c>
      <c r="B4283">
        <v>0.99193492352474899</v>
      </c>
      <c r="C4283">
        <v>0.53035739871201804</v>
      </c>
      <c r="D4283">
        <v>0.423308319318138</v>
      </c>
      <c r="E4283">
        <v>0.11562373937567701</v>
      </c>
      <c r="F4283">
        <v>8.7426430032584601E-2</v>
      </c>
      <c r="G4283">
        <v>4.7969575122973597E-2</v>
      </c>
      <c r="H4283">
        <v>3.5948424951473198E-2</v>
      </c>
      <c r="I4283">
        <v>4.3894391220188102E-2</v>
      </c>
      <c r="J4283">
        <v>4.7553259681748401E-2</v>
      </c>
      <c r="K4283">
        <v>4.2478592448928799E-2</v>
      </c>
      <c r="L4283">
        <v>843.91390287177001</v>
      </c>
      <c r="M4283">
        <v>19.134166428717901</v>
      </c>
      <c r="N4283">
        <v>44.305603841935401</v>
      </c>
      <c r="O4283">
        <v>43.631801991134303</v>
      </c>
      <c r="P4283">
        <v>-0.105090995122781</v>
      </c>
      <c r="Q4283">
        <v>4.1477593628460402E-2</v>
      </c>
      <c r="R4283">
        <v>0.963442059999847</v>
      </c>
      <c r="S4283" t="s">
        <v>10953</v>
      </c>
      <c r="T4283" t="s">
        <v>13338</v>
      </c>
      <c r="U4283" t="s">
        <v>13338</v>
      </c>
      <c r="V4283" t="s">
        <v>13338</v>
      </c>
      <c r="W4283" t="s">
        <v>17565</v>
      </c>
      <c r="X4283">
        <v>4</v>
      </c>
      <c r="Y4283" t="s">
        <v>24069</v>
      </c>
      <c r="Z4283" t="s">
        <v>30698</v>
      </c>
      <c r="AA4283">
        <v>0.19290653956460219</v>
      </c>
      <c r="AB4283" t="str">
        <f>HYPERLINK("Melting_Curves/meltCurve_Q86U38_NOP9.pdf", "Melting_Curves/meltCurve_Q86U38_NOP9.pdf")</f>
        <v>Melting_Curves/meltCurve_Q86U38_NOP9.pdf</v>
      </c>
    </row>
    <row r="4284" spans="1:28" x14ac:dyDescent="0.25">
      <c r="A4284" t="s">
        <v>4288</v>
      </c>
      <c r="B4284">
        <v>0.99193492352474899</v>
      </c>
      <c r="C4284">
        <v>0.73046958564736897</v>
      </c>
      <c r="D4284">
        <v>0.83218994638399901</v>
      </c>
      <c r="E4284">
        <v>0.63145557864392698</v>
      </c>
      <c r="F4284">
        <v>0.26191198923237802</v>
      </c>
      <c r="G4284">
        <v>0.113577246799764</v>
      </c>
      <c r="H4284">
        <v>7.4368283316442102E-2</v>
      </c>
      <c r="I4284">
        <v>8.6719195440236693E-2</v>
      </c>
      <c r="J4284">
        <v>9.2712749166859204E-2</v>
      </c>
      <c r="K4284">
        <v>0.10390170433031599</v>
      </c>
      <c r="L4284">
        <v>751.093343893927</v>
      </c>
      <c r="M4284">
        <v>15.083363986881899</v>
      </c>
      <c r="N4284">
        <v>50.1247953748586</v>
      </c>
      <c r="O4284">
        <v>48.945455397491301</v>
      </c>
      <c r="P4284">
        <v>-7.3421681177511203E-2</v>
      </c>
      <c r="Q4284">
        <v>4.7081965524229101E-2</v>
      </c>
      <c r="R4284">
        <v>0.95129463529039804</v>
      </c>
      <c r="S4284" t="s">
        <v>10954</v>
      </c>
      <c r="T4284" t="s">
        <v>13338</v>
      </c>
      <c r="U4284" t="s">
        <v>13338</v>
      </c>
      <c r="V4284" t="s">
        <v>13338</v>
      </c>
      <c r="W4284" t="s">
        <v>17566</v>
      </c>
      <c r="X4284">
        <v>16</v>
      </c>
      <c r="Y4284" t="s">
        <v>24070</v>
      </c>
      <c r="Z4284" t="s">
        <v>30699</v>
      </c>
      <c r="AA4284">
        <v>0.38089432369381399</v>
      </c>
      <c r="AB4284" t="str">
        <f>HYPERLINK("Melting_Curves/meltCurve_Q86U44_METTL3.pdf", "Melting_Curves/meltCurve_Q86U44_METTL3.pdf")</f>
        <v>Melting_Curves/meltCurve_Q86U44_METTL3.pdf</v>
      </c>
    </row>
    <row r="4285" spans="1:28" x14ac:dyDescent="0.25">
      <c r="A4285" t="s">
        <v>4289</v>
      </c>
      <c r="B4285">
        <v>0.99193492352474899</v>
      </c>
      <c r="C4285">
        <v>1.0199860589451799</v>
      </c>
      <c r="D4285">
        <v>0.51867997096886398</v>
      </c>
      <c r="E4285">
        <v>0.54104273861795904</v>
      </c>
      <c r="F4285">
        <v>0.36807557255912299</v>
      </c>
      <c r="G4285">
        <v>0.20623769750870299</v>
      </c>
      <c r="H4285">
        <v>8.4415387145624493E-2</v>
      </c>
      <c r="I4285">
        <v>9.1295513980165097E-2</v>
      </c>
      <c r="J4285">
        <v>0.113867140332521</v>
      </c>
      <c r="K4285">
        <v>0.101293259339445</v>
      </c>
      <c r="L4285">
        <v>632.62532095793301</v>
      </c>
      <c r="M4285">
        <v>12.9491994588882</v>
      </c>
      <c r="N4285">
        <v>49.431731091873601</v>
      </c>
      <c r="O4285">
        <v>47.7332992380219</v>
      </c>
      <c r="P4285">
        <v>-6.3072304136744195E-2</v>
      </c>
      <c r="Q4285">
        <v>7.0179049476585806E-2</v>
      </c>
      <c r="R4285">
        <v>0.93843888453038804</v>
      </c>
      <c r="S4285" t="s">
        <v>10955</v>
      </c>
      <c r="T4285" t="s">
        <v>13338</v>
      </c>
      <c r="U4285" t="s">
        <v>13338</v>
      </c>
      <c r="V4285" t="s">
        <v>13338</v>
      </c>
      <c r="W4285" t="s">
        <v>17567</v>
      </c>
      <c r="X4285">
        <v>5</v>
      </c>
      <c r="Y4285" t="s">
        <v>24071</v>
      </c>
      <c r="Z4285" t="s">
        <v>30700</v>
      </c>
      <c r="AA4285">
        <v>0.37482836720237211</v>
      </c>
      <c r="AB4285" t="str">
        <f>HYPERLINK("Melting_Curves/meltCurve_Q86U70_3_LDB1.pdf", "Melting_Curves/meltCurve_Q86U70_3_LDB1.pdf")</f>
        <v>Melting_Curves/meltCurve_Q86U70_3_LDB1.pdf</v>
      </c>
    </row>
    <row r="4286" spans="1:28" x14ac:dyDescent="0.25">
      <c r="A4286" t="s">
        <v>4290</v>
      </c>
      <c r="B4286">
        <v>0.99193492352474899</v>
      </c>
      <c r="C4286">
        <v>0.29341084607858198</v>
      </c>
      <c r="D4286">
        <v>0.25270285685838301</v>
      </c>
      <c r="E4286">
        <v>0.17661378787700899</v>
      </c>
      <c r="F4286">
        <v>0.12815562932948901</v>
      </c>
      <c r="G4286">
        <v>8.9471207210944495E-2</v>
      </c>
      <c r="H4286">
        <v>6.6741244358001203E-2</v>
      </c>
      <c r="I4286">
        <v>0.116181645959081</v>
      </c>
      <c r="J4286">
        <v>0.162965816957238</v>
      </c>
      <c r="K4286">
        <v>0.15497683032188</v>
      </c>
      <c r="L4286">
        <v>3280.3497170396599</v>
      </c>
      <c r="M4286">
        <v>77.998782332095004</v>
      </c>
      <c r="N4286">
        <v>42.239106345221799</v>
      </c>
      <c r="O4286">
        <v>42.028801045410397</v>
      </c>
      <c r="P4286">
        <v>-0.39754114648967398</v>
      </c>
      <c r="Q4286">
        <v>0.14315711867750799</v>
      </c>
      <c r="R4286">
        <v>0.965243909107804</v>
      </c>
      <c r="S4286" t="s">
        <v>10956</v>
      </c>
      <c r="T4286" t="s">
        <v>13338</v>
      </c>
      <c r="U4286" t="s">
        <v>13338</v>
      </c>
      <c r="V4286" t="s">
        <v>13338</v>
      </c>
      <c r="W4286" t="s">
        <v>17568</v>
      </c>
      <c r="X4286">
        <v>4</v>
      </c>
      <c r="Y4286" t="s">
        <v>24072</v>
      </c>
      <c r="Z4286" t="s">
        <v>30701</v>
      </c>
      <c r="AA4286">
        <v>0.2027869542578187</v>
      </c>
      <c r="AB4286" t="str">
        <f>HYPERLINK("Melting_Curves/meltCurve_Q86U86_5_PBRM1.pdf", "Melting_Curves/meltCurve_Q86U86_5_PBRM1.pdf")</f>
        <v>Melting_Curves/meltCurve_Q86U86_5_PBRM1.pdf</v>
      </c>
    </row>
    <row r="4287" spans="1:28" x14ac:dyDescent="0.25">
      <c r="A4287" t="s">
        <v>4291</v>
      </c>
      <c r="B4287">
        <v>0.99193492352474899</v>
      </c>
      <c r="C4287">
        <v>0.93847788373080698</v>
      </c>
      <c r="D4287">
        <v>0.92355497727320002</v>
      </c>
      <c r="E4287">
        <v>0.84852949378224796</v>
      </c>
      <c r="F4287">
        <v>0.43131732860937899</v>
      </c>
      <c r="G4287">
        <v>0.15155949349462</v>
      </c>
      <c r="H4287">
        <v>7.6255029713017106E-2</v>
      </c>
      <c r="I4287">
        <v>6.7257035715988706E-2</v>
      </c>
      <c r="J4287">
        <v>5.7935189814308098E-2</v>
      </c>
      <c r="K4287">
        <v>6.1415617380795401E-2</v>
      </c>
      <c r="L4287">
        <v>1418.78692098384</v>
      </c>
      <c r="M4287">
        <v>27.077835179211799</v>
      </c>
      <c r="N4287">
        <v>52.628015166511197</v>
      </c>
      <c r="O4287">
        <v>52.113341467316602</v>
      </c>
      <c r="P4287">
        <v>-0.122609901826653</v>
      </c>
      <c r="Q4287">
        <v>5.6121164542586303E-2</v>
      </c>
      <c r="R4287">
        <v>0.99562175546263099</v>
      </c>
      <c r="S4287" t="s">
        <v>10957</v>
      </c>
      <c r="T4287" t="s">
        <v>13338</v>
      </c>
      <c r="U4287" t="s">
        <v>13338</v>
      </c>
      <c r="V4287" t="s">
        <v>13338</v>
      </c>
      <c r="W4287" t="s">
        <v>17569</v>
      </c>
      <c r="X4287">
        <v>8</v>
      </c>
      <c r="Y4287" t="s">
        <v>24073</v>
      </c>
      <c r="Z4287" t="s">
        <v>30702</v>
      </c>
      <c r="AA4287">
        <v>0.45356776756400508</v>
      </c>
      <c r="AB4287" t="str">
        <f>HYPERLINK("Melting_Curves/meltCurve_Q86U90_YRDC.pdf", "Melting_Curves/meltCurve_Q86U90_YRDC.pdf")</f>
        <v>Melting_Curves/meltCurve_Q86U90_YRDC.pdf</v>
      </c>
    </row>
    <row r="4288" spans="1:28" x14ac:dyDescent="0.25">
      <c r="A4288" t="s">
        <v>4292</v>
      </c>
      <c r="B4288">
        <v>0.99193492352474899</v>
      </c>
      <c r="C4288">
        <v>0.91967999985230398</v>
      </c>
      <c r="D4288">
        <v>0.47178133419103402</v>
      </c>
      <c r="E4288">
        <v>0.249167252118218</v>
      </c>
      <c r="F4288">
        <v>0.15931235243952799</v>
      </c>
      <c r="G4288">
        <v>0.118333586001495</v>
      </c>
      <c r="H4288">
        <v>6.9731613104358506E-2</v>
      </c>
      <c r="I4288">
        <v>7.5313661009585905E-2</v>
      </c>
      <c r="J4288">
        <v>8.3788687640624096E-2</v>
      </c>
      <c r="K4288">
        <v>8.1952587059020698E-2</v>
      </c>
      <c r="L4288">
        <v>1207.1827974488799</v>
      </c>
      <c r="M4288">
        <v>26.3629446348843</v>
      </c>
      <c r="N4288">
        <v>46.167349674671399</v>
      </c>
      <c r="O4288">
        <v>45.529851449005797</v>
      </c>
      <c r="P4288">
        <v>-0.130757514655403</v>
      </c>
      <c r="Q4288">
        <v>9.6716176372380197E-2</v>
      </c>
      <c r="R4288">
        <v>0.99044653242663705</v>
      </c>
      <c r="S4288" t="s">
        <v>10958</v>
      </c>
      <c r="T4288" t="s">
        <v>13338</v>
      </c>
      <c r="U4288" t="s">
        <v>13338</v>
      </c>
      <c r="V4288" t="s">
        <v>13338</v>
      </c>
      <c r="W4288" t="s">
        <v>17570</v>
      </c>
      <c r="X4288">
        <v>11</v>
      </c>
      <c r="Y4288" t="s">
        <v>24074</v>
      </c>
      <c r="Z4288" t="s">
        <v>30703</v>
      </c>
      <c r="AA4288">
        <v>0.27853980771180231</v>
      </c>
      <c r="AB4288" t="str">
        <f>HYPERLINK("Melting_Curves/meltCurve_Q86UA1_PRPF39.pdf", "Melting_Curves/meltCurve_Q86UA1_PRPF39.pdf")</f>
        <v>Melting_Curves/meltCurve_Q86UA1_PRPF39.pdf</v>
      </c>
    </row>
    <row r="4289" spans="1:28" x14ac:dyDescent="0.25">
      <c r="A4289" t="s">
        <v>4293</v>
      </c>
      <c r="B4289">
        <v>0.99193492352474899</v>
      </c>
      <c r="C4289">
        <v>1.1230038032118299</v>
      </c>
      <c r="D4289">
        <v>0.98195341861885799</v>
      </c>
      <c r="E4289">
        <v>0.48659482768532197</v>
      </c>
      <c r="F4289">
        <v>0.23175495723648601</v>
      </c>
      <c r="G4289">
        <v>0.12863021939861399</v>
      </c>
      <c r="H4289">
        <v>8.2247659386659996E-2</v>
      </c>
      <c r="I4289">
        <v>9.0827083298523001E-2</v>
      </c>
      <c r="J4289">
        <v>9.7336105983731394E-2</v>
      </c>
      <c r="K4289">
        <v>0.16072699778356</v>
      </c>
      <c r="L4289">
        <v>1886.76451924652</v>
      </c>
      <c r="M4289">
        <v>38.270050908953998</v>
      </c>
      <c r="N4289">
        <v>49.658060972242801</v>
      </c>
      <c r="O4289">
        <v>49.167305770617602</v>
      </c>
      <c r="P4289">
        <v>-0.17120476938266199</v>
      </c>
      <c r="Q4289">
        <v>0.12018361062442701</v>
      </c>
      <c r="R4289">
        <v>0.98428733804027002</v>
      </c>
      <c r="S4289" t="s">
        <v>10959</v>
      </c>
      <c r="T4289" t="s">
        <v>13338</v>
      </c>
      <c r="U4289" t="s">
        <v>13338</v>
      </c>
      <c r="V4289" t="s">
        <v>13338</v>
      </c>
      <c r="W4289" t="s">
        <v>17571</v>
      </c>
      <c r="X4289">
        <v>1</v>
      </c>
      <c r="Y4289" t="s">
        <v>24075</v>
      </c>
      <c r="Z4289" t="s">
        <v>30704</v>
      </c>
      <c r="AA4289">
        <v>0.39624716069935789</v>
      </c>
      <c r="AB4289" t="str">
        <f>HYPERLINK("Melting_Curves/meltCurve_Q86UA6_3_RPAIN.pdf", "Melting_Curves/meltCurve_Q86UA6_3_RPAIN.pdf")</f>
        <v>Melting_Curves/meltCurve_Q86UA6_3_RPAIN.pdf</v>
      </c>
    </row>
    <row r="4290" spans="1:28" x14ac:dyDescent="0.25">
      <c r="A4290" t="s">
        <v>4294</v>
      </c>
      <c r="B4290">
        <v>0.99193492352474899</v>
      </c>
      <c r="C4290">
        <v>0.50967758677943797</v>
      </c>
      <c r="D4290">
        <v>0.90502656245055202</v>
      </c>
      <c r="E4290">
        <v>0.55242829730124798</v>
      </c>
      <c r="F4290">
        <v>0.61978741652129199</v>
      </c>
      <c r="G4290">
        <v>0.27842192784887698</v>
      </c>
      <c r="H4290">
        <v>0.498770899527886</v>
      </c>
      <c r="I4290">
        <v>0.42817142701343602</v>
      </c>
      <c r="J4290">
        <v>0.76763835936713498</v>
      </c>
      <c r="K4290">
        <v>1.05998369582603</v>
      </c>
      <c r="L4290">
        <v>10152.7258378965</v>
      </c>
      <c r="M4290">
        <v>250</v>
      </c>
      <c r="O4290">
        <v>40.608304670155803</v>
      </c>
      <c r="P4290">
        <v>-0.578031409973218</v>
      </c>
      <c r="Q4290">
        <v>0.62443399211804795</v>
      </c>
      <c r="R4290">
        <v>0.20160920160193599</v>
      </c>
      <c r="S4290" t="s">
        <v>10960</v>
      </c>
      <c r="T4290" t="s">
        <v>13338</v>
      </c>
      <c r="U4290" t="s">
        <v>13338</v>
      </c>
      <c r="V4290" t="s">
        <v>13338</v>
      </c>
      <c r="W4290" t="s">
        <v>17572</v>
      </c>
      <c r="X4290">
        <v>25</v>
      </c>
      <c r="Y4290" t="s">
        <v>24076</v>
      </c>
      <c r="Z4290" t="s">
        <v>30705</v>
      </c>
      <c r="AA4290">
        <v>0.6321511134996729</v>
      </c>
      <c r="AB4290" t="str">
        <f>HYPERLINK("Melting_Curves/meltCurve_Q86UE4_MTDH.pdf", "Melting_Curves/meltCurve_Q86UE4_MTDH.pdf")</f>
        <v>Melting_Curves/meltCurve_Q86UE4_MTDH.pdf</v>
      </c>
    </row>
    <row r="4291" spans="1:28" x14ac:dyDescent="0.25">
      <c r="A4291" t="s">
        <v>4295</v>
      </c>
      <c r="B4291">
        <v>0.99193492352474899</v>
      </c>
      <c r="C4291">
        <v>0.82982194911011198</v>
      </c>
      <c r="D4291">
        <v>0.88764047085949904</v>
      </c>
      <c r="E4291">
        <v>0.64981215757031396</v>
      </c>
      <c r="F4291">
        <v>0.308530345013737</v>
      </c>
      <c r="G4291">
        <v>0.15318778817711301</v>
      </c>
      <c r="H4291">
        <v>0.105225292377244</v>
      </c>
      <c r="I4291">
        <v>0.13740246547836699</v>
      </c>
      <c r="J4291">
        <v>0.13226493656423999</v>
      </c>
      <c r="K4291">
        <v>0.180048093908767</v>
      </c>
      <c r="L4291">
        <v>1060.6645653242699</v>
      </c>
      <c r="M4291">
        <v>21.153919588669201</v>
      </c>
      <c r="N4291">
        <v>50.812064479323297</v>
      </c>
      <c r="O4291">
        <v>49.698703690605697</v>
      </c>
      <c r="P4291">
        <v>-9.3433760915931099E-2</v>
      </c>
      <c r="Q4291">
        <v>0.121975344119948</v>
      </c>
      <c r="R4291">
        <v>0.97511633521130903</v>
      </c>
      <c r="S4291" t="s">
        <v>10961</v>
      </c>
      <c r="T4291" t="s">
        <v>13338</v>
      </c>
      <c r="U4291" t="s">
        <v>13338</v>
      </c>
      <c r="V4291" t="s">
        <v>13338</v>
      </c>
      <c r="W4291" t="s">
        <v>17573</v>
      </c>
      <c r="X4291">
        <v>10</v>
      </c>
      <c r="Y4291" t="s">
        <v>24077</v>
      </c>
      <c r="Z4291" t="s">
        <v>30706</v>
      </c>
      <c r="AA4291">
        <v>0.42970799073087901</v>
      </c>
      <c r="AB4291" t="str">
        <f>HYPERLINK("Melting_Curves/meltCurve_Q86UE8_2_TLK2.pdf", "Melting_Curves/meltCurve_Q86UE8_2_TLK2.pdf")</f>
        <v>Melting_Curves/meltCurve_Q86UE8_2_TLK2.pdf</v>
      </c>
    </row>
    <row r="4292" spans="1:28" x14ac:dyDescent="0.25">
      <c r="A4292" t="s">
        <v>4296</v>
      </c>
      <c r="B4292">
        <v>0.99193492352474899</v>
      </c>
      <c r="C4292">
        <v>0.73816285542639004</v>
      </c>
      <c r="D4292">
        <v>1.0251146783614999</v>
      </c>
      <c r="E4292">
        <v>0.66741732223475903</v>
      </c>
      <c r="F4292">
        <v>0.656468863022585</v>
      </c>
      <c r="G4292">
        <v>0.46711550441412902</v>
      </c>
      <c r="H4292">
        <v>0.39330268136131802</v>
      </c>
      <c r="I4292">
        <v>0.38643108653206598</v>
      </c>
      <c r="J4292">
        <v>0.678972348674026</v>
      </c>
      <c r="K4292">
        <v>0.55278353944165104</v>
      </c>
      <c r="L4292">
        <v>950.39795646117102</v>
      </c>
      <c r="M4292">
        <v>19.3570131677936</v>
      </c>
      <c r="N4292">
        <v>63.7856291199341</v>
      </c>
      <c r="O4292">
        <v>48.583376304155799</v>
      </c>
      <c r="P4292">
        <v>-5.0382959402165903E-2</v>
      </c>
      <c r="Q4292">
        <v>0.49420224205041002</v>
      </c>
      <c r="R4292">
        <v>0.672851106566142</v>
      </c>
      <c r="S4292" t="s">
        <v>10962</v>
      </c>
      <c r="T4292" t="s">
        <v>13338</v>
      </c>
      <c r="U4292" t="s">
        <v>13338</v>
      </c>
      <c r="V4292" t="s">
        <v>13338</v>
      </c>
      <c r="W4292" t="s">
        <v>17574</v>
      </c>
      <c r="X4292">
        <v>1</v>
      </c>
      <c r="Y4292" t="s">
        <v>24078</v>
      </c>
      <c r="Z4292" t="s">
        <v>30707</v>
      </c>
      <c r="AA4292">
        <v>0.6551619598028332</v>
      </c>
      <c r="AB4292" t="str">
        <f>HYPERLINK("Melting_Curves/meltCurve_Q86UF1_TSPAN33.pdf", "Melting_Curves/meltCurve_Q86UF1_TSPAN33.pdf")</f>
        <v>Melting_Curves/meltCurve_Q86UF1_TSPAN33.pdf</v>
      </c>
    </row>
    <row r="4293" spans="1:28" x14ac:dyDescent="0.25">
      <c r="A4293" t="s">
        <v>4297</v>
      </c>
      <c r="B4293">
        <v>0.99193492352474899</v>
      </c>
      <c r="C4293">
        <v>0.71580965277820796</v>
      </c>
      <c r="D4293">
        <v>0.82185848835424602</v>
      </c>
      <c r="E4293">
        <v>0.41088799639158202</v>
      </c>
      <c r="F4293">
        <v>0.29703107408970603</v>
      </c>
      <c r="G4293">
        <v>0.192698798039282</v>
      </c>
      <c r="H4293">
        <v>0.11381914091702899</v>
      </c>
      <c r="I4293">
        <v>0.12542194552862701</v>
      </c>
      <c r="J4293">
        <v>0.13823283819876001</v>
      </c>
      <c r="K4293">
        <v>0.148782371370002</v>
      </c>
      <c r="L4293">
        <v>677.34001122183395</v>
      </c>
      <c r="M4293">
        <v>14.081843854616199</v>
      </c>
      <c r="N4293">
        <v>48.929388711712399</v>
      </c>
      <c r="O4293">
        <v>47.1613819900601</v>
      </c>
      <c r="P4293">
        <v>-6.6732346525749706E-2</v>
      </c>
      <c r="Q4293">
        <v>0.106144709537632</v>
      </c>
      <c r="R4293">
        <v>0.95338739514896997</v>
      </c>
      <c r="S4293" t="s">
        <v>10963</v>
      </c>
      <c r="T4293" t="s">
        <v>13338</v>
      </c>
      <c r="U4293" t="s">
        <v>13338</v>
      </c>
      <c r="V4293" t="s">
        <v>13338</v>
      </c>
      <c r="W4293" t="s">
        <v>17575</v>
      </c>
      <c r="X4293">
        <v>8</v>
      </c>
      <c r="Y4293" t="s">
        <v>24079</v>
      </c>
      <c r="Z4293" t="s">
        <v>30708</v>
      </c>
      <c r="AA4293">
        <v>0.37337927634681978</v>
      </c>
      <c r="AB4293" t="str">
        <f>HYPERLINK("Melting_Curves/meltCurve_Q86UK7_2_ZNF598.pdf", "Melting_Curves/meltCurve_Q86UK7_2_ZNF598.pdf")</f>
        <v>Melting_Curves/meltCurve_Q86UK7_2_ZNF598.pdf</v>
      </c>
    </row>
    <row r="4294" spans="1:28" x14ac:dyDescent="0.25">
      <c r="A4294" t="s">
        <v>4298</v>
      </c>
      <c r="B4294">
        <v>0.99193492352474899</v>
      </c>
      <c r="C4294">
        <v>1.0609438941309599</v>
      </c>
      <c r="D4294">
        <v>0.93835116179273403</v>
      </c>
      <c r="E4294">
        <v>0.80940783351113599</v>
      </c>
      <c r="F4294">
        <v>0.39952903139129597</v>
      </c>
      <c r="G4294">
        <v>0.16446546337006401</v>
      </c>
      <c r="H4294">
        <v>9.6063013934587896E-2</v>
      </c>
      <c r="I4294">
        <v>7.6169507074501097E-2</v>
      </c>
      <c r="J4294">
        <v>9.1415168576116396E-2</v>
      </c>
      <c r="K4294">
        <v>7.0934973994453795E-2</v>
      </c>
      <c r="L4294">
        <v>1389.42798650028</v>
      </c>
      <c r="M4294">
        <v>26.7216478736627</v>
      </c>
      <c r="N4294">
        <v>52.321471746981501</v>
      </c>
      <c r="O4294">
        <v>51.707754229860797</v>
      </c>
      <c r="P4294">
        <v>-0.11931387623194099</v>
      </c>
      <c r="Q4294">
        <v>7.6495687491152695E-2</v>
      </c>
      <c r="R4294">
        <v>0.99656914987979095</v>
      </c>
      <c r="S4294" t="s">
        <v>10964</v>
      </c>
      <c r="T4294" t="s">
        <v>13338</v>
      </c>
      <c r="U4294" t="s">
        <v>13338</v>
      </c>
      <c r="V4294" t="s">
        <v>13338</v>
      </c>
      <c r="W4294" t="s">
        <v>17576</v>
      </c>
      <c r="X4294">
        <v>5</v>
      </c>
      <c r="Y4294" t="s">
        <v>24080</v>
      </c>
      <c r="Z4294" t="s">
        <v>30709</v>
      </c>
      <c r="AA4294">
        <v>0.45319425420021181</v>
      </c>
      <c r="AB4294" t="str">
        <f>HYPERLINK("Melting_Curves/meltCurve_Q86UL3_AGPAT6.pdf", "Melting_Curves/meltCurve_Q86UL3_AGPAT6.pdf")</f>
        <v>Melting_Curves/meltCurve_Q86UL3_AGPAT6.pdf</v>
      </c>
    </row>
    <row r="4295" spans="1:28" x14ac:dyDescent="0.25">
      <c r="A4295" t="s">
        <v>4299</v>
      </c>
      <c r="B4295">
        <v>0.99193492352474899</v>
      </c>
      <c r="C4295">
        <v>0.97471813419178699</v>
      </c>
      <c r="D4295">
        <v>0.90213901560532905</v>
      </c>
      <c r="E4295">
        <v>0.72314003715363795</v>
      </c>
      <c r="F4295">
        <v>0.56271503271294698</v>
      </c>
      <c r="G4295">
        <v>0.42057600509614002</v>
      </c>
      <c r="H4295">
        <v>0.31137562383816397</v>
      </c>
      <c r="I4295">
        <v>0.32506039451552998</v>
      </c>
      <c r="J4295">
        <v>0.36364157001290098</v>
      </c>
      <c r="K4295">
        <v>0.392510020670996</v>
      </c>
      <c r="L4295">
        <v>914.29018136067305</v>
      </c>
      <c r="M4295">
        <v>18.043349056520199</v>
      </c>
      <c r="N4295">
        <v>54.044267761007902</v>
      </c>
      <c r="O4295">
        <v>50.0617459270822</v>
      </c>
      <c r="P4295">
        <v>-5.9668715381797598E-2</v>
      </c>
      <c r="Q4295">
        <v>0.33782269090421202</v>
      </c>
      <c r="R4295">
        <v>0.98865441849284597</v>
      </c>
      <c r="S4295" t="s">
        <v>10965</v>
      </c>
      <c r="T4295" t="s">
        <v>13338</v>
      </c>
      <c r="U4295" t="s">
        <v>13338</v>
      </c>
      <c r="V4295" t="s">
        <v>13338</v>
      </c>
      <c r="W4295" t="s">
        <v>17577</v>
      </c>
      <c r="X4295">
        <v>3</v>
      </c>
      <c r="Y4295" t="s">
        <v>24081</v>
      </c>
      <c r="Z4295" t="s">
        <v>30710</v>
      </c>
      <c r="AA4295">
        <v>0.58452895204681565</v>
      </c>
      <c r="AB4295" t="str">
        <f>HYPERLINK("Melting_Curves/meltCurve_Q86UN3_RTN4RL2.pdf", "Melting_Curves/meltCurve_Q86UN3_RTN4RL2.pdf")</f>
        <v>Melting_Curves/meltCurve_Q86UN3_RTN4RL2.pdf</v>
      </c>
    </row>
    <row r="4296" spans="1:28" x14ac:dyDescent="0.25">
      <c r="A4296" t="s">
        <v>4300</v>
      </c>
      <c r="B4296">
        <v>0.99193492352474899</v>
      </c>
      <c r="C4296">
        <v>0.78129222279990096</v>
      </c>
      <c r="D4296">
        <v>0.56498928909130797</v>
      </c>
      <c r="E4296">
        <v>0.25961933410434801</v>
      </c>
      <c r="F4296">
        <v>0.16903725355304799</v>
      </c>
      <c r="G4296">
        <v>9.87113091885614E-2</v>
      </c>
      <c r="H4296">
        <v>6.7169485662486594E-2</v>
      </c>
      <c r="I4296">
        <v>9.3816075123832998E-2</v>
      </c>
      <c r="J4296">
        <v>0.119761495076891</v>
      </c>
      <c r="K4296">
        <v>0.16947997447788801</v>
      </c>
      <c r="L4296">
        <v>915.71132764428205</v>
      </c>
      <c r="M4296">
        <v>19.961700708396901</v>
      </c>
      <c r="N4296">
        <v>46.424112469685802</v>
      </c>
      <c r="O4296">
        <v>45.420477735511199</v>
      </c>
      <c r="P4296">
        <v>-9.8291643336614901E-2</v>
      </c>
      <c r="Q4296">
        <v>0.10542557741691801</v>
      </c>
      <c r="R4296">
        <v>0.98898832055389296</v>
      </c>
      <c r="S4296" t="s">
        <v>10966</v>
      </c>
      <c r="T4296" t="s">
        <v>13338</v>
      </c>
      <c r="U4296" t="s">
        <v>13338</v>
      </c>
      <c r="V4296" t="s">
        <v>13338</v>
      </c>
      <c r="W4296" t="s">
        <v>17578</v>
      </c>
      <c r="X4296">
        <v>79</v>
      </c>
      <c r="Y4296" t="s">
        <v>24082</v>
      </c>
      <c r="Z4296" t="s">
        <v>30711</v>
      </c>
      <c r="AA4296">
        <v>0.29458475361414599</v>
      </c>
      <c r="AB4296" t="str">
        <f>HYPERLINK("Melting_Curves/meltCurve_Q86UP2_KTN1.pdf", "Melting_Curves/meltCurve_Q86UP2_KTN1.pdf")</f>
        <v>Melting_Curves/meltCurve_Q86UP2_KTN1.pdf</v>
      </c>
    </row>
    <row r="4297" spans="1:28" x14ac:dyDescent="0.25">
      <c r="A4297" t="s">
        <v>4301</v>
      </c>
      <c r="B4297">
        <v>0.99193492352474899</v>
      </c>
      <c r="C4297">
        <v>0.66022959129052405</v>
      </c>
      <c r="D4297">
        <v>0.55488902586517497</v>
      </c>
      <c r="E4297">
        <v>0.317505033666305</v>
      </c>
      <c r="F4297">
        <v>0.23711845127061401</v>
      </c>
      <c r="G4297">
        <v>0.14443046836707699</v>
      </c>
      <c r="H4297">
        <v>8.9418610948753294E-2</v>
      </c>
      <c r="I4297">
        <v>0.114508901700294</v>
      </c>
      <c r="J4297">
        <v>0.14122695187655801</v>
      </c>
      <c r="K4297">
        <v>0.32838965805156201</v>
      </c>
      <c r="L4297">
        <v>761.33988359762998</v>
      </c>
      <c r="M4297">
        <v>16.892704551682201</v>
      </c>
      <c r="N4297">
        <v>46.130910477230898</v>
      </c>
      <c r="O4297">
        <v>44.451781750949401</v>
      </c>
      <c r="P4297">
        <v>-7.9708535005022604E-2</v>
      </c>
      <c r="Q4297">
        <v>0.16106697728091399</v>
      </c>
      <c r="R4297">
        <v>0.92773640950259595</v>
      </c>
      <c r="S4297" t="s">
        <v>10967</v>
      </c>
      <c r="T4297" t="s">
        <v>13338</v>
      </c>
      <c r="U4297" t="s">
        <v>13338</v>
      </c>
      <c r="V4297" t="s">
        <v>13338</v>
      </c>
      <c r="W4297" t="s">
        <v>17579</v>
      </c>
      <c r="X4297">
        <v>8</v>
      </c>
      <c r="Y4297" t="s">
        <v>24083</v>
      </c>
      <c r="Z4297" t="s">
        <v>30712</v>
      </c>
      <c r="AA4297">
        <v>0.32351927186569263</v>
      </c>
      <c r="AB4297" t="str">
        <f>HYPERLINK("Melting_Curves/meltCurve_Q86US8_SMG6.pdf", "Melting_Curves/meltCurve_Q86US8_SMG6.pdf")</f>
        <v>Melting_Curves/meltCurve_Q86US8_SMG6.pdf</v>
      </c>
    </row>
    <row r="4298" spans="1:28" x14ac:dyDescent="0.25">
      <c r="A4298" t="s">
        <v>4302</v>
      </c>
      <c r="B4298">
        <v>0.99193492352474899</v>
      </c>
      <c r="C4298">
        <v>0.83150792825197395</v>
      </c>
      <c r="D4298">
        <v>0.83901246545229402</v>
      </c>
      <c r="E4298">
        <v>0.653008387277631</v>
      </c>
      <c r="F4298">
        <v>0.53354577488196497</v>
      </c>
      <c r="G4298">
        <v>0.335150802974919</v>
      </c>
      <c r="H4298">
        <v>0.29370036443528902</v>
      </c>
      <c r="I4298">
        <v>0.39319962536161801</v>
      </c>
      <c r="J4298">
        <v>0.47015027755492</v>
      </c>
      <c r="K4298">
        <v>0.831640915813457</v>
      </c>
      <c r="L4298">
        <v>914.11300609666898</v>
      </c>
      <c r="M4298">
        <v>19.3852001849978</v>
      </c>
      <c r="N4298">
        <v>54.965938162231602</v>
      </c>
      <c r="O4298">
        <v>46.661990517918298</v>
      </c>
      <c r="P4298">
        <v>-5.5236198644836199E-2</v>
      </c>
      <c r="Q4298">
        <v>0.46818479203649599</v>
      </c>
      <c r="R4298">
        <v>0.62082679606211799</v>
      </c>
      <c r="S4298" t="s">
        <v>10968</v>
      </c>
      <c r="T4298" t="s">
        <v>13338</v>
      </c>
      <c r="U4298" t="s">
        <v>13338</v>
      </c>
      <c r="V4298" t="s">
        <v>13338</v>
      </c>
      <c r="W4298" t="s">
        <v>17580</v>
      </c>
      <c r="X4298">
        <v>5</v>
      </c>
      <c r="Y4298" t="s">
        <v>24084</v>
      </c>
      <c r="Z4298" t="s">
        <v>30713</v>
      </c>
      <c r="AA4298">
        <v>0.60331403363278391</v>
      </c>
      <c r="AB4298" t="str">
        <f>HYPERLINK("Melting_Curves/meltCurve_Q86UU0_4_BCL9L.pdf", "Melting_Curves/meltCurve_Q86UU0_4_BCL9L.pdf")</f>
        <v>Melting_Curves/meltCurve_Q86UU0_4_BCL9L.pdf</v>
      </c>
    </row>
    <row r="4299" spans="1:28" x14ac:dyDescent="0.25">
      <c r="A4299" t="s">
        <v>4303</v>
      </c>
      <c r="B4299">
        <v>0.99193492352474899</v>
      </c>
      <c r="C4299">
        <v>0.77277619916538598</v>
      </c>
      <c r="D4299">
        <v>0.37077840905749099</v>
      </c>
      <c r="E4299">
        <v>0.19080569516648899</v>
      </c>
      <c r="F4299">
        <v>0.13834882323928399</v>
      </c>
      <c r="G4299">
        <v>9.3637298511315206E-2</v>
      </c>
      <c r="H4299">
        <v>6.9436632434539403E-2</v>
      </c>
      <c r="I4299">
        <v>7.6343201960314494E-2</v>
      </c>
      <c r="J4299">
        <v>7.8308378920669899E-2</v>
      </c>
      <c r="K4299">
        <v>7.3674848715737207E-2</v>
      </c>
      <c r="L4299">
        <v>1139.43832919945</v>
      </c>
      <c r="M4299">
        <v>25.463753477589599</v>
      </c>
      <c r="N4299">
        <v>45.089002014716499</v>
      </c>
      <c r="O4299">
        <v>44.4742191473185</v>
      </c>
      <c r="P4299">
        <v>-0.13058463202899401</v>
      </c>
      <c r="Q4299">
        <v>8.77107788680343E-2</v>
      </c>
      <c r="R4299">
        <v>0.99518955389701602</v>
      </c>
      <c r="S4299" t="s">
        <v>10969</v>
      </c>
      <c r="T4299" t="s">
        <v>13338</v>
      </c>
      <c r="U4299" t="s">
        <v>13338</v>
      </c>
      <c r="V4299" t="s">
        <v>13338</v>
      </c>
      <c r="W4299" t="s">
        <v>17581</v>
      </c>
      <c r="X4299">
        <v>7</v>
      </c>
      <c r="Y4299" t="s">
        <v>24085</v>
      </c>
      <c r="Z4299" t="s">
        <v>30714</v>
      </c>
      <c r="AA4299">
        <v>0.2410225011113844</v>
      </c>
      <c r="AB4299" t="str">
        <f>HYPERLINK("Melting_Curves/meltCurve_Q86UV5_USP48.pdf", "Melting_Curves/meltCurve_Q86UV5_USP48.pdf")</f>
        <v>Melting_Curves/meltCurve_Q86UV5_USP48.pdf</v>
      </c>
    </row>
    <row r="4300" spans="1:28" x14ac:dyDescent="0.25">
      <c r="A4300" t="s">
        <v>4304</v>
      </c>
      <c r="B4300">
        <v>0.99193492352474899</v>
      </c>
      <c r="C4300">
        <v>0.98540875223206803</v>
      </c>
      <c r="D4300">
        <v>1.0867186581941799</v>
      </c>
      <c r="E4300">
        <v>0.81242259446513498</v>
      </c>
      <c r="F4300">
        <v>0.55841150082489999</v>
      </c>
      <c r="G4300">
        <v>0.36310569905680901</v>
      </c>
      <c r="H4300">
        <v>0.33423261636554502</v>
      </c>
      <c r="I4300">
        <v>0.42254373401711898</v>
      </c>
      <c r="J4300">
        <v>0.50192338837116401</v>
      </c>
      <c r="K4300">
        <v>0.71625927572361803</v>
      </c>
      <c r="L4300">
        <v>2238.1356010004401</v>
      </c>
      <c r="M4300">
        <v>44.394227257919901</v>
      </c>
      <c r="N4300">
        <v>53.971683410136698</v>
      </c>
      <c r="O4300">
        <v>50.313038117389603</v>
      </c>
      <c r="P4300">
        <v>-0.116211033792784</v>
      </c>
      <c r="Q4300">
        <v>0.47318176446160998</v>
      </c>
      <c r="R4300">
        <v>0.85072432703587597</v>
      </c>
      <c r="S4300" t="s">
        <v>10970</v>
      </c>
      <c r="T4300" t="s">
        <v>13338</v>
      </c>
      <c r="U4300" t="s">
        <v>13338</v>
      </c>
      <c r="V4300" t="s">
        <v>13338</v>
      </c>
      <c r="W4300" t="s">
        <v>17582</v>
      </c>
      <c r="X4300">
        <v>1</v>
      </c>
      <c r="Y4300" t="s">
        <v>24086</v>
      </c>
      <c r="Z4300" t="s">
        <v>30715</v>
      </c>
      <c r="AA4300">
        <v>0.65756405746780078</v>
      </c>
      <c r="AB4300" t="str">
        <f>HYPERLINK("Melting_Curves/meltCurve_Q86UX3_ABCC5.pdf", "Melting_Curves/meltCurve_Q86UX3_ABCC5.pdf")</f>
        <v>Melting_Curves/meltCurve_Q86UX3_ABCC5.pdf</v>
      </c>
    </row>
    <row r="4301" spans="1:28" x14ac:dyDescent="0.25">
      <c r="A4301" t="s">
        <v>4305</v>
      </c>
      <c r="B4301">
        <v>0.99193492352474899</v>
      </c>
      <c r="C4301">
        <v>0.83311441492639604</v>
      </c>
      <c r="D4301">
        <v>0.844986233567254</v>
      </c>
      <c r="E4301">
        <v>0.38861821250321499</v>
      </c>
      <c r="F4301">
        <v>0.139483921135867</v>
      </c>
      <c r="G4301">
        <v>8.2921799377286096E-2</v>
      </c>
      <c r="H4301">
        <v>4.7546261907903502E-2</v>
      </c>
      <c r="I4301">
        <v>4.7987635879148297E-2</v>
      </c>
      <c r="J4301">
        <v>6.1599621155898197E-2</v>
      </c>
      <c r="K4301">
        <v>5.63034429435657E-2</v>
      </c>
      <c r="L4301">
        <v>1130.6213915261201</v>
      </c>
      <c r="M4301">
        <v>23.3224747112831</v>
      </c>
      <c r="N4301">
        <v>48.686561917612202</v>
      </c>
      <c r="O4301">
        <v>48.125563571024699</v>
      </c>
      <c r="P4301">
        <v>-0.11539043744114</v>
      </c>
      <c r="Q4301">
        <v>4.7591132946434099E-2</v>
      </c>
      <c r="R4301">
        <v>0.98603196051836095</v>
      </c>
      <c r="S4301" t="s">
        <v>10971</v>
      </c>
      <c r="T4301" t="s">
        <v>13338</v>
      </c>
      <c r="U4301" t="s">
        <v>13338</v>
      </c>
      <c r="V4301" t="s">
        <v>13338</v>
      </c>
      <c r="W4301" t="s">
        <v>17583</v>
      </c>
      <c r="X4301">
        <v>24</v>
      </c>
      <c r="Y4301" t="s">
        <v>24087</v>
      </c>
      <c r="Z4301" t="s">
        <v>30716</v>
      </c>
      <c r="AA4301">
        <v>0.32647109592427043</v>
      </c>
      <c r="AB4301" t="str">
        <f>HYPERLINK("Melting_Curves/meltCurve_Q86UX7_2_FERMT3.pdf", "Melting_Curves/meltCurve_Q86UX7_2_FERMT3.pdf")</f>
        <v>Melting_Curves/meltCurve_Q86UX7_2_FERMT3.pdf</v>
      </c>
    </row>
    <row r="4302" spans="1:28" x14ac:dyDescent="0.25">
      <c r="A4302" t="s">
        <v>4306</v>
      </c>
      <c r="B4302">
        <v>0.99193492352474899</v>
      </c>
      <c r="C4302">
        <v>0.95899520269571703</v>
      </c>
      <c r="D4302">
        <v>0.95356769443510303</v>
      </c>
      <c r="E4302">
        <v>0.85839823880371002</v>
      </c>
      <c r="F4302">
        <v>0.68010981218710698</v>
      </c>
      <c r="G4302">
        <v>0.34601864870944898</v>
      </c>
      <c r="H4302">
        <v>0.14658866337701701</v>
      </c>
      <c r="I4302">
        <v>0.14589205494492599</v>
      </c>
      <c r="J4302">
        <v>0.165207244750116</v>
      </c>
      <c r="K4302">
        <v>0.15069971584146299</v>
      </c>
      <c r="L4302">
        <v>1213.0318856475501</v>
      </c>
      <c r="M4302">
        <v>22.4278848452769</v>
      </c>
      <c r="N4302">
        <v>54.802156006631797</v>
      </c>
      <c r="O4302">
        <v>53.6614003491514</v>
      </c>
      <c r="P4302">
        <v>-9.1215922859742199E-2</v>
      </c>
      <c r="Q4302">
        <v>0.12703803877865699</v>
      </c>
      <c r="R4302">
        <v>0.993298995075522</v>
      </c>
      <c r="S4302" t="s">
        <v>10972</v>
      </c>
      <c r="T4302" t="s">
        <v>13338</v>
      </c>
      <c r="U4302" t="s">
        <v>13338</v>
      </c>
      <c r="V4302" t="s">
        <v>13338</v>
      </c>
      <c r="W4302" t="s">
        <v>17584</v>
      </c>
      <c r="X4302">
        <v>20</v>
      </c>
      <c r="Y4302" t="s">
        <v>24088</v>
      </c>
      <c r="Z4302" t="s">
        <v>30717</v>
      </c>
      <c r="AA4302">
        <v>0.54671175251258575</v>
      </c>
      <c r="AB4302" t="str">
        <f>HYPERLINK("Melting_Curves/meltCurve_Q86UY0_TXNDC5.pdf", "Melting_Curves/meltCurve_Q86UY0_TXNDC5.pdf")</f>
        <v>Melting_Curves/meltCurve_Q86UY0_TXNDC5.pdf</v>
      </c>
    </row>
    <row r="4303" spans="1:28" x14ac:dyDescent="0.25">
      <c r="A4303" t="s">
        <v>4307</v>
      </c>
      <c r="B4303">
        <v>0.99193492352474899</v>
      </c>
      <c r="C4303">
        <v>0.81424896279516201</v>
      </c>
      <c r="D4303">
        <v>0.66616465533775504</v>
      </c>
      <c r="E4303">
        <v>0.32933285195303602</v>
      </c>
      <c r="F4303">
        <v>0.15704825981761</v>
      </c>
      <c r="G4303">
        <v>9.9228648046065904E-2</v>
      </c>
      <c r="H4303">
        <v>5.8888583095803297E-2</v>
      </c>
      <c r="I4303">
        <v>7.2879678077214599E-2</v>
      </c>
      <c r="J4303">
        <v>8.0293599205444502E-2</v>
      </c>
      <c r="K4303">
        <v>0.119726261448942</v>
      </c>
      <c r="L4303">
        <v>871.51010264890397</v>
      </c>
      <c r="M4303">
        <v>18.5213123980561</v>
      </c>
      <c r="N4303">
        <v>47.4548877091976</v>
      </c>
      <c r="O4303">
        <v>46.516198882290801</v>
      </c>
      <c r="P4303">
        <v>-9.2344813010466695E-2</v>
      </c>
      <c r="Q4303">
        <v>7.2346445093634998E-2</v>
      </c>
      <c r="R4303">
        <v>0.99304532714912297</v>
      </c>
      <c r="S4303" t="s">
        <v>10973</v>
      </c>
      <c r="T4303" t="s">
        <v>13338</v>
      </c>
      <c r="U4303" t="s">
        <v>13338</v>
      </c>
      <c r="V4303" t="s">
        <v>13338</v>
      </c>
      <c r="W4303" t="s">
        <v>17585</v>
      </c>
      <c r="X4303">
        <v>3</v>
      </c>
      <c r="Y4303" t="s">
        <v>24089</v>
      </c>
      <c r="Z4303" t="s">
        <v>30718</v>
      </c>
      <c r="AA4303">
        <v>0.30652307267703932</v>
      </c>
      <c r="AB4303" t="str">
        <f>HYPERLINK("Melting_Curves/meltCurve_Q86UY6_NAA40.pdf", "Melting_Curves/meltCurve_Q86UY6_NAA40.pdf")</f>
        <v>Melting_Curves/meltCurve_Q86UY6_NAA40.pdf</v>
      </c>
    </row>
    <row r="4304" spans="1:28" x14ac:dyDescent="0.25">
      <c r="A4304" t="s">
        <v>4308</v>
      </c>
      <c r="B4304">
        <v>0.99193492352474899</v>
      </c>
      <c r="C4304">
        <v>0.95477283002018398</v>
      </c>
      <c r="D4304">
        <v>0.95619287439532197</v>
      </c>
      <c r="E4304">
        <v>0.696497300509617</v>
      </c>
      <c r="F4304">
        <v>0.48990487655178799</v>
      </c>
      <c r="G4304">
        <v>0.28515328769293402</v>
      </c>
      <c r="H4304">
        <v>9.6127924387547803E-2</v>
      </c>
      <c r="I4304">
        <v>9.9494063554354403E-2</v>
      </c>
      <c r="J4304">
        <v>0.102398412607308</v>
      </c>
      <c r="K4304">
        <v>0.13300809457194299</v>
      </c>
      <c r="L4304">
        <v>907.19644094166597</v>
      </c>
      <c r="M4304">
        <v>17.382863879778601</v>
      </c>
      <c r="N4304">
        <v>52.723513529875703</v>
      </c>
      <c r="O4304">
        <v>51.513122201059502</v>
      </c>
      <c r="P4304">
        <v>-7.7551920485762899E-2</v>
      </c>
      <c r="Q4304">
        <v>8.0769401410094296E-2</v>
      </c>
      <c r="R4304">
        <v>0.992652210250341</v>
      </c>
      <c r="S4304" t="s">
        <v>10974</v>
      </c>
      <c r="T4304" t="s">
        <v>13338</v>
      </c>
      <c r="U4304" t="s">
        <v>13338</v>
      </c>
      <c r="V4304" t="s">
        <v>13338</v>
      </c>
      <c r="W4304" t="s">
        <v>17586</v>
      </c>
      <c r="X4304">
        <v>6</v>
      </c>
      <c r="Y4304" t="s">
        <v>24090</v>
      </c>
      <c r="Z4304" t="s">
        <v>30719</v>
      </c>
      <c r="AA4304">
        <v>0.47042794543446192</v>
      </c>
      <c r="AB4304" t="str">
        <f>HYPERLINK("Melting_Curves/meltCurve_Q86UY8_2_NT5DC3.pdf", "Melting_Curves/meltCurve_Q86UY8_2_NT5DC3.pdf")</f>
        <v>Melting_Curves/meltCurve_Q86UY8_2_NT5DC3.pdf</v>
      </c>
    </row>
    <row r="4305" spans="1:28" x14ac:dyDescent="0.25">
      <c r="A4305" t="s">
        <v>4309</v>
      </c>
      <c r="B4305">
        <v>0.99193492352474899</v>
      </c>
      <c r="C4305">
        <v>0.81801291105640195</v>
      </c>
      <c r="D4305">
        <v>0.43611809013542502</v>
      </c>
      <c r="E4305">
        <v>0.225118653105429</v>
      </c>
      <c r="F4305">
        <v>0.17096908739276601</v>
      </c>
      <c r="G4305">
        <v>9.6409422955615706E-2</v>
      </c>
      <c r="H4305">
        <v>5.8736009523352603E-2</v>
      </c>
      <c r="I4305">
        <v>6.3953432165358995E-2</v>
      </c>
      <c r="J4305">
        <v>9.1013247958724702E-2</v>
      </c>
      <c r="K4305">
        <v>8.1134908284072493E-2</v>
      </c>
      <c r="L4305">
        <v>1031.5954017973199</v>
      </c>
      <c r="M4305">
        <v>22.752234768260301</v>
      </c>
      <c r="N4305">
        <v>45.7251238088758</v>
      </c>
      <c r="O4305">
        <v>44.994506940890297</v>
      </c>
      <c r="P4305">
        <v>-0.115407058430336</v>
      </c>
      <c r="Q4305">
        <v>8.7108346336953094E-2</v>
      </c>
      <c r="R4305">
        <v>0.99271722771397897</v>
      </c>
      <c r="S4305" t="s">
        <v>10975</v>
      </c>
      <c r="T4305" t="s">
        <v>13338</v>
      </c>
      <c r="U4305" t="s">
        <v>13338</v>
      </c>
      <c r="V4305" t="s">
        <v>13338</v>
      </c>
      <c r="W4305" t="s">
        <v>17587</v>
      </c>
      <c r="X4305">
        <v>3</v>
      </c>
      <c r="Y4305" t="s">
        <v>24091</v>
      </c>
      <c r="Z4305" t="s">
        <v>30720</v>
      </c>
      <c r="AA4305">
        <v>0.26063198624497191</v>
      </c>
      <c r="AB4305" t="str">
        <f>HYPERLINK("Melting_Curves/meltCurve_Q86V21_AACS.pdf", "Melting_Curves/meltCurve_Q86V21_AACS.pdf")</f>
        <v>Melting_Curves/meltCurve_Q86V21_AACS.pdf</v>
      </c>
    </row>
    <row r="4306" spans="1:28" x14ac:dyDescent="0.25">
      <c r="A4306" t="s">
        <v>4310</v>
      </c>
      <c r="B4306">
        <v>0.99193492352474899</v>
      </c>
      <c r="C4306">
        <v>0.43843550544490001</v>
      </c>
      <c r="D4306">
        <v>0.60210213146546998</v>
      </c>
      <c r="E4306">
        <v>0.28807539285558997</v>
      </c>
      <c r="F4306">
        <v>0.194787214305637</v>
      </c>
      <c r="G4306">
        <v>0.109203742178931</v>
      </c>
      <c r="H4306">
        <v>8.85057980794135E-2</v>
      </c>
      <c r="I4306">
        <v>0.126493777053892</v>
      </c>
      <c r="J4306">
        <v>0.16865403472804999</v>
      </c>
      <c r="K4306">
        <v>0.23066672349777301</v>
      </c>
      <c r="L4306">
        <v>642.78725538192305</v>
      </c>
      <c r="M4306">
        <v>14.5425591479062</v>
      </c>
      <c r="N4306">
        <v>45.199892268853603</v>
      </c>
      <c r="O4306">
        <v>43.389846220784797</v>
      </c>
      <c r="P4306">
        <v>-7.22774434012637E-2</v>
      </c>
      <c r="Q4306">
        <v>0.13749697957876</v>
      </c>
      <c r="R4306">
        <v>0.84639695906869095</v>
      </c>
      <c r="S4306" t="s">
        <v>10976</v>
      </c>
      <c r="T4306" t="s">
        <v>13338</v>
      </c>
      <c r="U4306" t="s">
        <v>13338</v>
      </c>
      <c r="V4306" t="s">
        <v>13338</v>
      </c>
      <c r="W4306" t="s">
        <v>17588</v>
      </c>
      <c r="X4306">
        <v>12</v>
      </c>
      <c r="Y4306" t="s">
        <v>24092</v>
      </c>
      <c r="Z4306" t="s">
        <v>30721</v>
      </c>
      <c r="AA4306">
        <v>0.2907082076597719</v>
      </c>
      <c r="AB4306" t="str">
        <f>HYPERLINK("Melting_Curves/meltCurve_Q86V48_2_LUZP1.pdf", "Melting_Curves/meltCurve_Q86V48_2_LUZP1.pdf")</f>
        <v>Melting_Curves/meltCurve_Q86V48_2_LUZP1.pdf</v>
      </c>
    </row>
    <row r="4307" spans="1:28" x14ac:dyDescent="0.25">
      <c r="A4307" t="s">
        <v>4311</v>
      </c>
      <c r="B4307">
        <v>0.99193492352474899</v>
      </c>
      <c r="C4307">
        <v>0.46811761415839398</v>
      </c>
      <c r="D4307">
        <v>0.48047972684551699</v>
      </c>
      <c r="E4307">
        <v>0.23284142032631799</v>
      </c>
      <c r="F4307">
        <v>0.17451216451801199</v>
      </c>
      <c r="G4307">
        <v>9.8253751546627494E-2</v>
      </c>
      <c r="H4307">
        <v>5.0119922751993798E-2</v>
      </c>
      <c r="I4307">
        <v>6.2607705582073597E-2</v>
      </c>
      <c r="J4307">
        <v>7.0498191441517893E-2</v>
      </c>
      <c r="K4307">
        <v>0.16640180021185699</v>
      </c>
      <c r="L4307">
        <v>699.70784974801802</v>
      </c>
      <c r="M4307">
        <v>15.890479963392</v>
      </c>
      <c r="N4307">
        <v>44.590345744571003</v>
      </c>
      <c r="O4307">
        <v>43.353489563253603</v>
      </c>
      <c r="P4307">
        <v>-8.3388618732894604E-2</v>
      </c>
      <c r="Q4307">
        <v>9.00473456840096E-2</v>
      </c>
      <c r="R4307">
        <v>0.91310899068743001</v>
      </c>
      <c r="S4307" t="s">
        <v>10977</v>
      </c>
      <c r="T4307" t="s">
        <v>13338</v>
      </c>
      <c r="U4307" t="s">
        <v>13338</v>
      </c>
      <c r="V4307" t="s">
        <v>13338</v>
      </c>
      <c r="W4307" t="s">
        <v>17589</v>
      </c>
      <c r="X4307">
        <v>1</v>
      </c>
      <c r="Y4307" t="s">
        <v>24093</v>
      </c>
      <c r="Z4307" t="s">
        <v>30722</v>
      </c>
      <c r="AA4307">
        <v>0.24155184337435601</v>
      </c>
      <c r="AB4307" t="str">
        <f>HYPERLINK("Melting_Curves/meltCurve_Q86V59_2_PNMAL1.pdf", "Melting_Curves/meltCurve_Q86V59_2_PNMAL1.pdf")</f>
        <v>Melting_Curves/meltCurve_Q86V59_2_PNMAL1.pdf</v>
      </c>
    </row>
    <row r="4308" spans="1:28" x14ac:dyDescent="0.25">
      <c r="A4308" t="s">
        <v>4312</v>
      </c>
      <c r="B4308">
        <v>0.99193492352474899</v>
      </c>
      <c r="C4308">
        <v>0.95533210323397499</v>
      </c>
      <c r="D4308">
        <v>0.33335045150076598</v>
      </c>
      <c r="E4308">
        <v>0.76335890575032594</v>
      </c>
      <c r="F4308">
        <v>0.49919765196073201</v>
      </c>
      <c r="G4308">
        <v>0.28258706489654201</v>
      </c>
      <c r="H4308">
        <v>0.18543160386454099</v>
      </c>
      <c r="I4308">
        <v>0</v>
      </c>
      <c r="J4308">
        <v>8.3227257902634702E-2</v>
      </c>
      <c r="K4308">
        <v>0.453032733572312</v>
      </c>
      <c r="L4308">
        <v>492.22865990639502</v>
      </c>
      <c r="M4308">
        <v>10.0690639382881</v>
      </c>
      <c r="N4308">
        <v>50.473870202984102</v>
      </c>
      <c r="O4308">
        <v>47.074479793465201</v>
      </c>
      <c r="P4308">
        <v>-4.6233990116472598E-2</v>
      </c>
      <c r="Q4308">
        <v>0.13580393849043901</v>
      </c>
      <c r="R4308">
        <v>0.67887783414311298</v>
      </c>
      <c r="S4308" t="s">
        <v>10978</v>
      </c>
      <c r="T4308" t="s">
        <v>13338</v>
      </c>
      <c r="U4308" t="s">
        <v>13338</v>
      </c>
      <c r="V4308" t="s">
        <v>13338</v>
      </c>
      <c r="W4308" t="s">
        <v>17590</v>
      </c>
      <c r="X4308">
        <v>1</v>
      </c>
      <c r="Y4308" t="s">
        <v>24094</v>
      </c>
      <c r="Z4308" t="s">
        <v>30723</v>
      </c>
      <c r="AA4308">
        <v>0.43400638806800779</v>
      </c>
      <c r="AB4308" t="str">
        <f>HYPERLINK("Melting_Curves/meltCurve_Q86V85_GPR180.pdf", "Melting_Curves/meltCurve_Q86V85_GPR180.pdf")</f>
        <v>Melting_Curves/meltCurve_Q86V85_GPR180.pdf</v>
      </c>
    </row>
    <row r="4309" spans="1:28" x14ac:dyDescent="0.25">
      <c r="A4309" t="s">
        <v>4313</v>
      </c>
      <c r="B4309">
        <v>0.99193492352474899</v>
      </c>
      <c r="C4309">
        <v>0.84993291630562395</v>
      </c>
      <c r="D4309">
        <v>0.92984159841815595</v>
      </c>
      <c r="E4309">
        <v>0.25629474742095099</v>
      </c>
      <c r="F4309">
        <v>0.134804158191037</v>
      </c>
      <c r="G4309">
        <v>3.09487069624092E-2</v>
      </c>
      <c r="H4309">
        <v>0</v>
      </c>
      <c r="I4309">
        <v>0</v>
      </c>
      <c r="J4309">
        <v>0</v>
      </c>
      <c r="K4309">
        <v>0</v>
      </c>
      <c r="L4309">
        <v>1990.19777121892</v>
      </c>
      <c r="M4309">
        <v>41.144741943202199</v>
      </c>
      <c r="N4309">
        <v>48.420201428181798</v>
      </c>
      <c r="O4309">
        <v>48.256800577474301</v>
      </c>
      <c r="P4309">
        <v>-0.208760887686013</v>
      </c>
      <c r="Q4309">
        <v>2.0617072164901599E-2</v>
      </c>
      <c r="R4309">
        <v>0.97984196751949404</v>
      </c>
      <c r="S4309" t="s">
        <v>10979</v>
      </c>
      <c r="T4309" t="s">
        <v>13338</v>
      </c>
      <c r="U4309" t="s">
        <v>13338</v>
      </c>
      <c r="V4309" t="s">
        <v>13338</v>
      </c>
      <c r="W4309" t="s">
        <v>17591</v>
      </c>
      <c r="X4309">
        <v>3</v>
      </c>
      <c r="Y4309" t="s">
        <v>24095</v>
      </c>
      <c r="Z4309" t="s">
        <v>30724</v>
      </c>
      <c r="AA4309">
        <v>0.29698464320390988</v>
      </c>
      <c r="AB4309" t="str">
        <f>HYPERLINK("Melting_Curves/meltCurve_Q86V87_FAM160B2.pdf", "Melting_Curves/meltCurve_Q86V87_FAM160B2.pdf")</f>
        <v>Melting_Curves/meltCurve_Q86V87_FAM160B2.pdf</v>
      </c>
    </row>
    <row r="4310" spans="1:28" x14ac:dyDescent="0.25">
      <c r="A4310" t="s">
        <v>4314</v>
      </c>
      <c r="B4310">
        <v>0.99193492352474899</v>
      </c>
      <c r="C4310">
        <v>0.73801707739340106</v>
      </c>
      <c r="D4310">
        <v>0.78468707880307198</v>
      </c>
      <c r="E4310">
        <v>0.82856998059826104</v>
      </c>
      <c r="F4310">
        <v>0.69085107874338803</v>
      </c>
      <c r="G4310">
        <v>0.51839915035085504</v>
      </c>
      <c r="H4310">
        <v>0.66072267806746698</v>
      </c>
      <c r="I4310">
        <v>0.36590303678403902</v>
      </c>
      <c r="J4310">
        <v>0.22881629999834399</v>
      </c>
      <c r="K4310">
        <v>4.7734234002149198E-2</v>
      </c>
      <c r="L4310">
        <v>409.40441671412498</v>
      </c>
      <c r="M4310">
        <v>7.0132523437160703</v>
      </c>
      <c r="N4310">
        <v>58.375838898725299</v>
      </c>
      <c r="O4310">
        <v>54.185749429181797</v>
      </c>
      <c r="P4310">
        <v>-3.2417039114734203E-2</v>
      </c>
      <c r="Q4310">
        <v>0</v>
      </c>
      <c r="R4310">
        <v>0.81834008577181305</v>
      </c>
      <c r="S4310" t="s">
        <v>10980</v>
      </c>
      <c r="T4310" t="s">
        <v>13338</v>
      </c>
      <c r="U4310" t="s">
        <v>13338</v>
      </c>
      <c r="V4310" t="s">
        <v>13338</v>
      </c>
      <c r="W4310" t="s">
        <v>17592</v>
      </c>
      <c r="X4310">
        <v>7</v>
      </c>
      <c r="Y4310" t="s">
        <v>24096</v>
      </c>
      <c r="Z4310" t="s">
        <v>30725</v>
      </c>
      <c r="AA4310">
        <v>0.6071295717960673</v>
      </c>
      <c r="AB4310" t="str">
        <f>HYPERLINK("Melting_Curves/meltCurve_Q86V88_MDP1.pdf", "Melting_Curves/meltCurve_Q86V88_MDP1.pdf")</f>
        <v>Melting_Curves/meltCurve_Q86V88_MDP1.pdf</v>
      </c>
    </row>
    <row r="4311" spans="1:28" x14ac:dyDescent="0.25">
      <c r="A4311" t="s">
        <v>4315</v>
      </c>
      <c r="B4311">
        <v>0.99193492352474899</v>
      </c>
      <c r="C4311">
        <v>0.85558729258283805</v>
      </c>
      <c r="D4311">
        <v>0.89904182599821303</v>
      </c>
      <c r="E4311">
        <v>0.60722828409698903</v>
      </c>
      <c r="F4311">
        <v>0.19467482853029999</v>
      </c>
      <c r="G4311">
        <v>9.9547453270773703E-2</v>
      </c>
      <c r="H4311">
        <v>6.1722790914193401E-2</v>
      </c>
      <c r="I4311">
        <v>8.3441177839309696E-2</v>
      </c>
      <c r="J4311">
        <v>8.4689125398537096E-2</v>
      </c>
      <c r="K4311">
        <v>8.6437785666650502E-2</v>
      </c>
      <c r="L4311">
        <v>1304.0808471062201</v>
      </c>
      <c r="M4311">
        <v>26.112372030153001</v>
      </c>
      <c r="N4311">
        <v>50.230904438125599</v>
      </c>
      <c r="O4311">
        <v>49.650959059903997</v>
      </c>
      <c r="P4311">
        <v>-0.12228737630134</v>
      </c>
      <c r="Q4311">
        <v>6.9924663079075799E-2</v>
      </c>
      <c r="R4311">
        <v>0.98538719814121001</v>
      </c>
      <c r="S4311" t="s">
        <v>10981</v>
      </c>
      <c r="T4311" t="s">
        <v>13338</v>
      </c>
      <c r="U4311" t="s">
        <v>13338</v>
      </c>
      <c r="V4311" t="s">
        <v>13338</v>
      </c>
      <c r="W4311" t="s">
        <v>17593</v>
      </c>
      <c r="X4311">
        <v>17</v>
      </c>
      <c r="Y4311" t="s">
        <v>24097</v>
      </c>
      <c r="Z4311" t="s">
        <v>30726</v>
      </c>
      <c r="AA4311">
        <v>0.38573381040424137</v>
      </c>
      <c r="AB4311" t="str">
        <f>HYPERLINK("Melting_Curves/meltCurve_Q86VN1_2_VPS36.pdf", "Melting_Curves/meltCurve_Q86VN1_2_VPS36.pdf")</f>
        <v>Melting_Curves/meltCurve_Q86VN1_2_VPS36.pdf</v>
      </c>
    </row>
    <row r="4312" spans="1:28" x14ac:dyDescent="0.25">
      <c r="A4312" t="s">
        <v>4316</v>
      </c>
      <c r="B4312">
        <v>0.99193492352474899</v>
      </c>
      <c r="C4312">
        <v>0.65034967491731199</v>
      </c>
      <c r="D4312">
        <v>0.77114605604703101</v>
      </c>
      <c r="E4312">
        <v>0.26486582201516201</v>
      </c>
      <c r="F4312">
        <v>0.13547357742685501</v>
      </c>
      <c r="G4312">
        <v>8.9598808752382894E-2</v>
      </c>
      <c r="H4312">
        <v>5.0672828002288103E-2</v>
      </c>
      <c r="I4312">
        <v>9.7463289174575099E-2</v>
      </c>
      <c r="J4312">
        <v>0.134535092165737</v>
      </c>
      <c r="K4312">
        <v>0.13848077477627699</v>
      </c>
      <c r="L4312">
        <v>809.71167438961595</v>
      </c>
      <c r="M4312">
        <v>17.3466033779331</v>
      </c>
      <c r="N4312">
        <v>47.156049905262499</v>
      </c>
      <c r="O4312">
        <v>46.071301413901303</v>
      </c>
      <c r="P4312">
        <v>-8.65502786661142E-2</v>
      </c>
      <c r="Q4312">
        <v>8.0567886268119504E-2</v>
      </c>
      <c r="R4312">
        <v>0.92347424540926404</v>
      </c>
      <c r="S4312" t="s">
        <v>10982</v>
      </c>
      <c r="T4312" t="s">
        <v>13338</v>
      </c>
      <c r="U4312" t="s">
        <v>13338</v>
      </c>
      <c r="V4312" t="s">
        <v>13338</v>
      </c>
      <c r="W4312" t="s">
        <v>17594</v>
      </c>
      <c r="X4312">
        <v>6</v>
      </c>
      <c r="Y4312" t="s">
        <v>24098</v>
      </c>
      <c r="Z4312" t="s">
        <v>30727</v>
      </c>
      <c r="AA4312">
        <v>0.30395675736884109</v>
      </c>
      <c r="AB4312" t="str">
        <f>HYPERLINK("Melting_Curves/meltCurve_Q86VP1_2_TAX1BP1.pdf", "Melting_Curves/meltCurve_Q86VP1_2_TAX1BP1.pdf")</f>
        <v>Melting_Curves/meltCurve_Q86VP1_2_TAX1BP1.pdf</v>
      </c>
    </row>
    <row r="4313" spans="1:28" x14ac:dyDescent="0.25">
      <c r="A4313" t="s">
        <v>4317</v>
      </c>
      <c r="B4313">
        <v>0.99193492352474899</v>
      </c>
      <c r="C4313">
        <v>0.92091093290376702</v>
      </c>
      <c r="D4313">
        <v>1.0043633962898999</v>
      </c>
      <c r="E4313">
        <v>0.83827766534980397</v>
      </c>
      <c r="F4313">
        <v>0.64880397050777405</v>
      </c>
      <c r="G4313">
        <v>0.253407692422703</v>
      </c>
      <c r="H4313">
        <v>9.4627878585436295E-2</v>
      </c>
      <c r="I4313">
        <v>0.10546671785008301</v>
      </c>
      <c r="J4313">
        <v>0.11872112542032801</v>
      </c>
      <c r="K4313">
        <v>0.134965220925265</v>
      </c>
      <c r="L4313">
        <v>1378.0639305136201</v>
      </c>
      <c r="M4313">
        <v>25.664244028257599</v>
      </c>
      <c r="N4313">
        <v>54.150023359933499</v>
      </c>
      <c r="O4313">
        <v>53.373056035200001</v>
      </c>
      <c r="P4313">
        <v>-0.108573136742782</v>
      </c>
      <c r="Q4313">
        <v>9.6827790673598604E-2</v>
      </c>
      <c r="R4313">
        <v>0.98852519265567995</v>
      </c>
      <c r="S4313" t="s">
        <v>10983</v>
      </c>
      <c r="T4313" t="s">
        <v>13338</v>
      </c>
      <c r="U4313" t="s">
        <v>13338</v>
      </c>
      <c r="V4313" t="s">
        <v>13338</v>
      </c>
      <c r="W4313" t="s">
        <v>17595</v>
      </c>
      <c r="X4313">
        <v>56</v>
      </c>
      <c r="Y4313" t="s">
        <v>24099</v>
      </c>
      <c r="Z4313" t="s">
        <v>30728</v>
      </c>
      <c r="AA4313">
        <v>0.5171058906590571</v>
      </c>
      <c r="AB4313" t="str">
        <f>HYPERLINK("Melting_Curves/meltCurve_Q86VP6_CAND1.pdf", "Melting_Curves/meltCurve_Q86VP6_CAND1.pdf")</f>
        <v>Melting_Curves/meltCurve_Q86VP6_CAND1.pdf</v>
      </c>
    </row>
    <row r="4314" spans="1:28" x14ac:dyDescent="0.25">
      <c r="A4314" t="s">
        <v>4318</v>
      </c>
      <c r="B4314">
        <v>0.99193492352474899</v>
      </c>
      <c r="C4314">
        <v>0.791674791754441</v>
      </c>
      <c r="D4314">
        <v>0.88668009568932504</v>
      </c>
      <c r="E4314">
        <v>0.59219964177696405</v>
      </c>
      <c r="F4314">
        <v>0.46466282004948301</v>
      </c>
      <c r="G4314">
        <v>0.28073352400361401</v>
      </c>
      <c r="H4314">
        <v>0.177333716754425</v>
      </c>
      <c r="I4314">
        <v>0.221831909731347</v>
      </c>
      <c r="J4314">
        <v>0.32744420738683599</v>
      </c>
      <c r="K4314">
        <v>0.47069909478411198</v>
      </c>
      <c r="L4314">
        <v>860.93358217897901</v>
      </c>
      <c r="M4314">
        <v>17.6354005757387</v>
      </c>
      <c r="N4314">
        <v>51.284585997667101</v>
      </c>
      <c r="O4314">
        <v>48.203744426531401</v>
      </c>
      <c r="P4314">
        <v>-6.5319785646149195E-2</v>
      </c>
      <c r="Q4314">
        <v>0.28587048338909299</v>
      </c>
      <c r="R4314">
        <v>0.87939310733607701</v>
      </c>
      <c r="S4314" t="s">
        <v>10984</v>
      </c>
      <c r="T4314" t="s">
        <v>13338</v>
      </c>
      <c r="U4314" t="s">
        <v>13338</v>
      </c>
      <c r="V4314" t="s">
        <v>13338</v>
      </c>
      <c r="W4314" t="s">
        <v>17596</v>
      </c>
      <c r="X4314">
        <v>4</v>
      </c>
      <c r="Y4314" t="s">
        <v>24100</v>
      </c>
      <c r="Z4314" t="s">
        <v>30729</v>
      </c>
      <c r="AA4314">
        <v>0.50872235302136348</v>
      </c>
      <c r="AB4314" t="str">
        <f>HYPERLINK("Melting_Curves/meltCurve_Q86VQ1_GLCCI1.pdf", "Melting_Curves/meltCurve_Q86VQ1_GLCCI1.pdf")</f>
        <v>Melting_Curves/meltCurve_Q86VQ1_GLCCI1.pdf</v>
      </c>
    </row>
    <row r="4315" spans="1:28" x14ac:dyDescent="0.25">
      <c r="A4315" t="s">
        <v>4319</v>
      </c>
      <c r="B4315">
        <v>0.99193492352474899</v>
      </c>
      <c r="C4315">
        <v>1.04334606007391</v>
      </c>
      <c r="D4315">
        <v>0.92413268426733697</v>
      </c>
      <c r="E4315">
        <v>0.68862309044848702</v>
      </c>
      <c r="F4315">
        <v>0.27850182765781201</v>
      </c>
      <c r="G4315">
        <v>0.18397060165979001</v>
      </c>
      <c r="H4315">
        <v>0.22238482008155999</v>
      </c>
      <c r="I4315">
        <v>0.46691058053131401</v>
      </c>
      <c r="J4315">
        <v>0.54643512423655005</v>
      </c>
      <c r="K4315">
        <v>0.84518659269415597</v>
      </c>
      <c r="L4315">
        <v>12391.9492583397</v>
      </c>
      <c r="M4315">
        <v>250</v>
      </c>
      <c r="N4315">
        <v>49.9438818193914</v>
      </c>
      <c r="O4315">
        <v>49.564622375870002</v>
      </c>
      <c r="P4315">
        <v>-0.72645276674001902</v>
      </c>
      <c r="Q4315">
        <v>0.42389825696171601</v>
      </c>
      <c r="R4315">
        <v>0.66495245039206496</v>
      </c>
      <c r="S4315" t="s">
        <v>10985</v>
      </c>
      <c r="T4315" t="s">
        <v>13338</v>
      </c>
      <c r="U4315" t="s">
        <v>13338</v>
      </c>
      <c r="V4315" t="s">
        <v>13338</v>
      </c>
      <c r="W4315" t="s">
        <v>17597</v>
      </c>
      <c r="X4315">
        <v>2</v>
      </c>
      <c r="Y4315" t="s">
        <v>24101</v>
      </c>
      <c r="Z4315" t="s">
        <v>30730</v>
      </c>
      <c r="AA4315">
        <v>0.60768252406121226</v>
      </c>
      <c r="AB4315" t="str">
        <f>HYPERLINK("Melting_Curves/meltCurve_Q86VQ2_WASF3.pdf", "Melting_Curves/meltCurve_Q86VQ2_WASF3.pdf")</f>
        <v>Melting_Curves/meltCurve_Q86VQ2_WASF3.pdf</v>
      </c>
    </row>
    <row r="4316" spans="1:28" x14ac:dyDescent="0.25">
      <c r="A4316" t="s">
        <v>4320</v>
      </c>
      <c r="B4316">
        <v>0.99193492352474899</v>
      </c>
      <c r="C4316">
        <v>0.91011523996627997</v>
      </c>
      <c r="D4316">
        <v>0.86755639024961695</v>
      </c>
      <c r="E4316">
        <v>0.66794877314866696</v>
      </c>
      <c r="F4316">
        <v>0.31714813581886497</v>
      </c>
      <c r="G4316">
        <v>0.18048807282430401</v>
      </c>
      <c r="H4316">
        <v>9.4313964681812607E-2</v>
      </c>
      <c r="I4316">
        <v>0.11364295330056</v>
      </c>
      <c r="J4316">
        <v>0.13815176449393499</v>
      </c>
      <c r="K4316">
        <v>0.10447102182863401</v>
      </c>
      <c r="L4316">
        <v>1008.13073755739</v>
      </c>
      <c r="M4316">
        <v>19.963011285334598</v>
      </c>
      <c r="N4316">
        <v>51.054075850576801</v>
      </c>
      <c r="O4316">
        <v>50.001380919401498</v>
      </c>
      <c r="P4316">
        <v>-9.0092981424472501E-2</v>
      </c>
      <c r="Q4316">
        <v>9.7405572853856495E-2</v>
      </c>
      <c r="R4316">
        <v>0.99310586421778801</v>
      </c>
      <c r="S4316" t="s">
        <v>10986</v>
      </c>
      <c r="T4316" t="s">
        <v>13338</v>
      </c>
      <c r="U4316" t="s">
        <v>13338</v>
      </c>
      <c r="V4316" t="s">
        <v>13338</v>
      </c>
      <c r="W4316" t="s">
        <v>17598</v>
      </c>
      <c r="X4316">
        <v>4</v>
      </c>
      <c r="Y4316" t="s">
        <v>24102</v>
      </c>
      <c r="Z4316" t="s">
        <v>30731</v>
      </c>
      <c r="AA4316">
        <v>0.4259012791196865</v>
      </c>
      <c r="AB4316" t="str">
        <f>HYPERLINK("Melting_Curves/meltCurve_Q86VR2_FAM134C.pdf", "Melting_Curves/meltCurve_Q86VR2_FAM134C.pdf")</f>
        <v>Melting_Curves/meltCurve_Q86VR2_FAM134C.pdf</v>
      </c>
    </row>
    <row r="4317" spans="1:28" x14ac:dyDescent="0.25">
      <c r="A4317" t="s">
        <v>4321</v>
      </c>
      <c r="B4317">
        <v>0.99193492352474899</v>
      </c>
      <c r="C4317">
        <v>0.90637536132934304</v>
      </c>
      <c r="D4317">
        <v>0.72841118399599603</v>
      </c>
      <c r="E4317">
        <v>0.40749383159605201</v>
      </c>
      <c r="F4317">
        <v>0.17316841969348701</v>
      </c>
      <c r="G4317">
        <v>0.106995305060007</v>
      </c>
      <c r="H4317">
        <v>7.4109905312736604E-2</v>
      </c>
      <c r="I4317">
        <v>8.1527102246036001E-2</v>
      </c>
      <c r="J4317">
        <v>0.106027122655263</v>
      </c>
      <c r="K4317">
        <v>9.5585618775235096E-2</v>
      </c>
      <c r="L4317">
        <v>978.16437228874702</v>
      </c>
      <c r="M4317">
        <v>20.391395679886902</v>
      </c>
      <c r="N4317">
        <v>48.383847904400298</v>
      </c>
      <c r="O4317">
        <v>47.515274421906398</v>
      </c>
      <c r="P4317">
        <v>-9.8695430389445296E-2</v>
      </c>
      <c r="Q4317">
        <v>8.0122000776996202E-2</v>
      </c>
      <c r="R4317">
        <v>0.99830719316246397</v>
      </c>
      <c r="S4317" t="s">
        <v>10987</v>
      </c>
      <c r="T4317" t="s">
        <v>13338</v>
      </c>
      <c r="U4317" t="s">
        <v>13338</v>
      </c>
      <c r="V4317" t="s">
        <v>13338</v>
      </c>
      <c r="W4317" t="s">
        <v>17599</v>
      </c>
      <c r="X4317">
        <v>27</v>
      </c>
      <c r="Y4317" t="s">
        <v>24103</v>
      </c>
      <c r="Z4317" t="s">
        <v>30732</v>
      </c>
      <c r="AA4317">
        <v>0.33703983745306032</v>
      </c>
      <c r="AB4317" t="str">
        <f>HYPERLINK("Melting_Curves/meltCurve_Q86VS8_HOOK3.pdf", "Melting_Curves/meltCurve_Q86VS8_HOOK3.pdf")</f>
        <v>Melting_Curves/meltCurve_Q86VS8_HOOK3.pdf</v>
      </c>
    </row>
    <row r="4318" spans="1:28" x14ac:dyDescent="0.25">
      <c r="A4318" t="s">
        <v>4322</v>
      </c>
      <c r="B4318">
        <v>0.99193492352474899</v>
      </c>
      <c r="C4318">
        <v>1.01787808967045</v>
      </c>
      <c r="D4318">
        <v>1.1067889558798401</v>
      </c>
      <c r="E4318">
        <v>0.87053557345198496</v>
      </c>
      <c r="F4318">
        <v>0.52455788916327895</v>
      </c>
      <c r="G4318">
        <v>0.40621797380798402</v>
      </c>
      <c r="H4318">
        <v>0.199144540833082</v>
      </c>
      <c r="I4318">
        <v>0.10113204500991101</v>
      </c>
      <c r="J4318">
        <v>0.15741609102038001</v>
      </c>
      <c r="K4318">
        <v>0.147505141824221</v>
      </c>
      <c r="L4318">
        <v>1149.5782608125301</v>
      </c>
      <c r="M4318">
        <v>21.489226826924298</v>
      </c>
      <c r="N4318">
        <v>54.2878811816461</v>
      </c>
      <c r="O4318">
        <v>53.038785619481402</v>
      </c>
      <c r="P4318">
        <v>-8.7658150206240806E-2</v>
      </c>
      <c r="Q4318">
        <v>0.13460525848588401</v>
      </c>
      <c r="R4318">
        <v>0.97813694450780497</v>
      </c>
      <c r="S4318" t="s">
        <v>10988</v>
      </c>
      <c r="T4318" t="s">
        <v>13338</v>
      </c>
      <c r="U4318" t="s">
        <v>13338</v>
      </c>
      <c r="V4318" t="s">
        <v>13338</v>
      </c>
      <c r="W4318" t="s">
        <v>17600</v>
      </c>
      <c r="X4318">
        <v>2</v>
      </c>
      <c r="Y4318" t="s">
        <v>24104</v>
      </c>
      <c r="Z4318" t="s">
        <v>30733</v>
      </c>
      <c r="AA4318">
        <v>0.5343896236103054</v>
      </c>
      <c r="AB4318" t="str">
        <f>HYPERLINK("Melting_Curves/meltCurve_Q86VU5_COMTD1.pdf", "Melting_Curves/meltCurve_Q86VU5_COMTD1.pdf")</f>
        <v>Melting_Curves/meltCurve_Q86VU5_COMTD1.pdf</v>
      </c>
    </row>
    <row r="4319" spans="1:28" x14ac:dyDescent="0.25">
      <c r="A4319" t="s">
        <v>4323</v>
      </c>
      <c r="B4319">
        <v>0.99193492352474899</v>
      </c>
      <c r="C4319">
        <v>0.96385911502396504</v>
      </c>
      <c r="D4319">
        <v>0.81601886455783201</v>
      </c>
      <c r="E4319">
        <v>0.46048820655487899</v>
      </c>
      <c r="F4319">
        <v>0.23674434492153701</v>
      </c>
      <c r="G4319">
        <v>0.14427779115251399</v>
      </c>
      <c r="H4319">
        <v>8.5174462062204095E-2</v>
      </c>
      <c r="I4319">
        <v>8.78105891538703E-2</v>
      </c>
      <c r="J4319">
        <v>6.7424678041385605E-2</v>
      </c>
      <c r="K4319">
        <v>4.1721711887721301E-2</v>
      </c>
      <c r="L4319">
        <v>988.75002082602805</v>
      </c>
      <c r="M4319">
        <v>20.161479574821101</v>
      </c>
      <c r="N4319">
        <v>49.394907810606199</v>
      </c>
      <c r="O4319">
        <v>48.566723961830199</v>
      </c>
      <c r="P4319">
        <v>-9.6815708326000893E-2</v>
      </c>
      <c r="Q4319">
        <v>6.71571671009943E-2</v>
      </c>
      <c r="R4319">
        <v>0.99840781951290802</v>
      </c>
      <c r="S4319" t="s">
        <v>10989</v>
      </c>
      <c r="T4319" t="s">
        <v>13338</v>
      </c>
      <c r="U4319" t="s">
        <v>13338</v>
      </c>
      <c r="V4319" t="s">
        <v>13338</v>
      </c>
      <c r="W4319" t="s">
        <v>17601</v>
      </c>
      <c r="X4319">
        <v>2</v>
      </c>
      <c r="Y4319" t="s">
        <v>24105</v>
      </c>
      <c r="Z4319" t="s">
        <v>30734</v>
      </c>
      <c r="AA4319">
        <v>0.36115218358643297</v>
      </c>
      <c r="AB4319" t="str">
        <f>HYPERLINK("Melting_Curves/meltCurve_Q86VW0_SESTD1.pdf", "Melting_Curves/meltCurve_Q86VW0_SESTD1.pdf")</f>
        <v>Melting_Curves/meltCurve_Q86VW0_SESTD1.pdf</v>
      </c>
    </row>
    <row r="4320" spans="1:28" x14ac:dyDescent="0.25">
      <c r="A4320" t="s">
        <v>4324</v>
      </c>
      <c r="B4320">
        <v>0.99193492352474899</v>
      </c>
      <c r="C4320">
        <v>0.66531987770002499</v>
      </c>
      <c r="D4320">
        <v>0.95643997348548904</v>
      </c>
      <c r="E4320">
        <v>0.50460064455244902</v>
      </c>
      <c r="F4320">
        <v>0.305287204951182</v>
      </c>
      <c r="G4320">
        <v>0.14982221766759299</v>
      </c>
      <c r="H4320">
        <v>9.2390384420516794E-2</v>
      </c>
      <c r="I4320">
        <v>0.103394631118967</v>
      </c>
      <c r="J4320">
        <v>0.101414376225556</v>
      </c>
      <c r="K4320">
        <v>0.102437417437751</v>
      </c>
      <c r="L4320">
        <v>756.42825444526102</v>
      </c>
      <c r="M4320">
        <v>15.2573243475479</v>
      </c>
      <c r="N4320">
        <v>50.042058501202803</v>
      </c>
      <c r="O4320">
        <v>48.749754420181702</v>
      </c>
      <c r="P4320">
        <v>-7.3088983253968398E-2</v>
      </c>
      <c r="Q4320">
        <v>6.5961214724734193E-2</v>
      </c>
      <c r="R4320">
        <v>0.91512845250120101</v>
      </c>
      <c r="S4320" t="s">
        <v>10990</v>
      </c>
      <c r="T4320" t="s">
        <v>13338</v>
      </c>
      <c r="U4320" t="s">
        <v>13338</v>
      </c>
      <c r="V4320" t="s">
        <v>13338</v>
      </c>
      <c r="W4320" t="s">
        <v>17602</v>
      </c>
      <c r="X4320">
        <v>2</v>
      </c>
      <c r="Y4320" t="s">
        <v>24106</v>
      </c>
      <c r="Z4320" t="s">
        <v>30735</v>
      </c>
      <c r="AA4320">
        <v>0.38606494421701743</v>
      </c>
      <c r="AB4320" t="str">
        <f>HYPERLINK("Melting_Curves/meltCurve_Q86VX2_2_COMMD7.pdf", "Melting_Curves/meltCurve_Q86VX2_2_COMMD7.pdf")</f>
        <v>Melting_Curves/meltCurve_Q86VX2_2_COMMD7.pdf</v>
      </c>
    </row>
    <row r="4321" spans="1:28" x14ac:dyDescent="0.25">
      <c r="A4321" t="s">
        <v>4325</v>
      </c>
      <c r="B4321">
        <v>0.99193492352474899</v>
      </c>
      <c r="C4321">
        <v>1.0561349704065901</v>
      </c>
      <c r="D4321">
        <v>0.84897526850725302</v>
      </c>
      <c r="E4321">
        <v>0.77369483365254599</v>
      </c>
      <c r="F4321">
        <v>0.33844632221737603</v>
      </c>
      <c r="G4321">
        <v>0.150819807385943</v>
      </c>
      <c r="H4321">
        <v>6.4991161535742803E-2</v>
      </c>
      <c r="I4321">
        <v>4.83711449383223E-2</v>
      </c>
      <c r="J4321">
        <v>7.7381181581294298E-2</v>
      </c>
      <c r="K4321">
        <v>6.7441527304001297E-2</v>
      </c>
      <c r="L4321">
        <v>1221.7049074965601</v>
      </c>
      <c r="M4321">
        <v>23.713913958942001</v>
      </c>
      <c r="N4321">
        <v>51.768255313040797</v>
      </c>
      <c r="O4321">
        <v>51.156320945317603</v>
      </c>
      <c r="P4321">
        <v>-0.109626900511898</v>
      </c>
      <c r="Q4321">
        <v>5.4054817080771998E-2</v>
      </c>
      <c r="R4321">
        <v>0.98939528264563503</v>
      </c>
      <c r="S4321" t="s">
        <v>10991</v>
      </c>
      <c r="T4321" t="s">
        <v>13338</v>
      </c>
      <c r="U4321" t="s">
        <v>13338</v>
      </c>
      <c r="V4321" t="s">
        <v>13338</v>
      </c>
      <c r="W4321" t="s">
        <v>17603</v>
      </c>
      <c r="X4321">
        <v>4</v>
      </c>
      <c r="Y4321" t="s">
        <v>24107</v>
      </c>
      <c r="Z4321" t="s">
        <v>30736</v>
      </c>
      <c r="AA4321">
        <v>0.42676820671246479</v>
      </c>
      <c r="AB4321" t="str">
        <f>HYPERLINK("Melting_Curves/meltCurve_Q86VX9_MON1A.pdf", "Melting_Curves/meltCurve_Q86VX9_MON1A.pdf")</f>
        <v>Melting_Curves/meltCurve_Q86VX9_MON1A.pdf</v>
      </c>
    </row>
    <row r="4322" spans="1:28" x14ac:dyDescent="0.25">
      <c r="A4322" t="s">
        <v>4326</v>
      </c>
      <c r="B4322">
        <v>0.99193492352474899</v>
      </c>
      <c r="C4322">
        <v>0.45620172544030602</v>
      </c>
      <c r="D4322">
        <v>0.70066543227325995</v>
      </c>
      <c r="E4322">
        <v>0.218238623329818</v>
      </c>
      <c r="F4322">
        <v>0.106823976830453</v>
      </c>
      <c r="G4322">
        <v>5.0238325941717003E-2</v>
      </c>
      <c r="H4322">
        <v>2.04857529988327E-2</v>
      </c>
      <c r="I4322">
        <v>1.5261140264922301E-2</v>
      </c>
      <c r="J4322">
        <v>0</v>
      </c>
      <c r="K4322">
        <v>1.38022299087752E-2</v>
      </c>
      <c r="L4322">
        <v>603.12634979759105</v>
      </c>
      <c r="M4322">
        <v>13.1722544773554</v>
      </c>
      <c r="N4322">
        <v>45.787656549193798</v>
      </c>
      <c r="O4322">
        <v>44.770910795743198</v>
      </c>
      <c r="P4322">
        <v>-7.3565999798959794E-2</v>
      </c>
      <c r="Q4322">
        <v>0</v>
      </c>
      <c r="R4322">
        <v>0.88073598705908096</v>
      </c>
      <c r="S4322" t="s">
        <v>10992</v>
      </c>
      <c r="T4322" t="s">
        <v>13338</v>
      </c>
      <c r="U4322" t="s">
        <v>13338</v>
      </c>
      <c r="V4322" t="s">
        <v>13338</v>
      </c>
      <c r="W4322" t="s">
        <v>17604</v>
      </c>
      <c r="X4322">
        <v>3</v>
      </c>
      <c r="Y4322" t="s">
        <v>24108</v>
      </c>
      <c r="Z4322" t="s">
        <v>30737</v>
      </c>
      <c r="AA4322">
        <v>0.23169453291617559</v>
      </c>
      <c r="AB4322" t="str">
        <f>HYPERLINK("Melting_Curves/meltCurve_Q86VY4_TSPYL5.pdf", "Melting_Curves/meltCurve_Q86VY4_TSPYL5.pdf")</f>
        <v>Melting_Curves/meltCurve_Q86VY4_TSPYL5.pdf</v>
      </c>
    </row>
    <row r="4323" spans="1:28" x14ac:dyDescent="0.25">
      <c r="A4323" t="s">
        <v>4327</v>
      </c>
      <c r="B4323">
        <v>0.99193492352474899</v>
      </c>
      <c r="C4323">
        <v>1.1795778000038799</v>
      </c>
      <c r="D4323">
        <v>1.0816511922424299</v>
      </c>
      <c r="E4323">
        <v>1.0318776019787499</v>
      </c>
      <c r="F4323">
        <v>0.86409328739812097</v>
      </c>
      <c r="G4323">
        <v>0.77849415721012205</v>
      </c>
      <c r="H4323">
        <v>0.63781678165097699</v>
      </c>
      <c r="I4323">
        <v>0.70032081657161005</v>
      </c>
      <c r="J4323">
        <v>0.52379061717837405</v>
      </c>
      <c r="K4323">
        <v>0.643672069420549</v>
      </c>
      <c r="L4323">
        <v>1333.1371680933</v>
      </c>
      <c r="M4323">
        <v>23.9385695763733</v>
      </c>
      <c r="O4323">
        <v>55.305673368171199</v>
      </c>
      <c r="P4323">
        <v>-4.2242905883093901E-2</v>
      </c>
      <c r="Q4323">
        <v>0.60962835354825695</v>
      </c>
      <c r="R4323">
        <v>0.86402234831008795</v>
      </c>
      <c r="S4323" t="s">
        <v>10993</v>
      </c>
      <c r="T4323" t="s">
        <v>13338</v>
      </c>
      <c r="U4323" t="s">
        <v>13338</v>
      </c>
      <c r="V4323" t="s">
        <v>13338</v>
      </c>
      <c r="W4323" t="s">
        <v>17605</v>
      </c>
      <c r="X4323">
        <v>2</v>
      </c>
      <c r="Y4323" t="s">
        <v>24109</v>
      </c>
      <c r="Z4323" t="s">
        <v>30738</v>
      </c>
      <c r="AA4323">
        <v>0.81765735835673392</v>
      </c>
      <c r="AB4323" t="str">
        <f>HYPERLINK("Melting_Curves/meltCurve_Q86VZ1_P2RY8.pdf", "Melting_Curves/meltCurve_Q86VZ1_P2RY8.pdf")</f>
        <v>Melting_Curves/meltCurve_Q86VZ1_P2RY8.pdf</v>
      </c>
    </row>
    <row r="4324" spans="1:28" x14ac:dyDescent="0.25">
      <c r="A4324" t="s">
        <v>4328</v>
      </c>
      <c r="B4324">
        <v>0.99193492352474899</v>
      </c>
      <c r="C4324">
        <v>0.65500528832454097</v>
      </c>
      <c r="D4324">
        <v>0.37292525471515803</v>
      </c>
      <c r="E4324">
        <v>0.48339966400447998</v>
      </c>
      <c r="F4324">
        <v>0.31160952892504601</v>
      </c>
      <c r="G4324">
        <v>0.204381941320217</v>
      </c>
      <c r="H4324">
        <v>0.12031333462841701</v>
      </c>
      <c r="I4324">
        <v>0.16954369856932</v>
      </c>
      <c r="J4324">
        <v>0.164833823120977</v>
      </c>
      <c r="K4324">
        <v>0.16468178594190699</v>
      </c>
      <c r="L4324">
        <v>594.15334357805398</v>
      </c>
      <c r="M4324">
        <v>13.2401303683866</v>
      </c>
      <c r="N4324">
        <v>46.222477973407599</v>
      </c>
      <c r="O4324">
        <v>43.8885416036767</v>
      </c>
      <c r="P4324">
        <v>-6.33557573110511E-2</v>
      </c>
      <c r="Q4324">
        <v>0.16008849263568101</v>
      </c>
      <c r="R4324">
        <v>0.90561469796261096</v>
      </c>
      <c r="S4324" t="s">
        <v>10994</v>
      </c>
      <c r="T4324" t="s">
        <v>13338</v>
      </c>
      <c r="U4324" t="s">
        <v>13338</v>
      </c>
      <c r="V4324" t="s">
        <v>13338</v>
      </c>
      <c r="W4324" t="s">
        <v>17606</v>
      </c>
      <c r="X4324">
        <v>1</v>
      </c>
      <c r="Y4324" t="s">
        <v>24110</v>
      </c>
      <c r="Z4324" t="s">
        <v>30739</v>
      </c>
      <c r="AA4324">
        <v>0.33181180198110788</v>
      </c>
      <c r="AB4324" t="str">
        <f>HYPERLINK("Melting_Curves/meltCurve_Q86W33_TPRA1.pdf", "Melting_Curves/meltCurve_Q86W33_TPRA1.pdf")</f>
        <v>Melting_Curves/meltCurve_Q86W33_TPRA1.pdf</v>
      </c>
    </row>
    <row r="4325" spans="1:28" x14ac:dyDescent="0.25">
      <c r="A4325" t="s">
        <v>4329</v>
      </c>
      <c r="B4325">
        <v>0.99193492352474899</v>
      </c>
      <c r="C4325">
        <v>0.74083456463509401</v>
      </c>
      <c r="D4325">
        <v>0.81862080099439904</v>
      </c>
      <c r="E4325">
        <v>0.52954175271144599</v>
      </c>
      <c r="F4325">
        <v>0.36361150064498798</v>
      </c>
      <c r="G4325">
        <v>0.162844656085536</v>
      </c>
      <c r="H4325">
        <v>0.10759582240243799</v>
      </c>
      <c r="I4325">
        <v>0.121992835587606</v>
      </c>
      <c r="J4325">
        <v>0.13332032131903301</v>
      </c>
      <c r="K4325">
        <v>0.13705708542095099</v>
      </c>
      <c r="L4325">
        <v>633.98225820421203</v>
      </c>
      <c r="M4325">
        <v>12.8561969751541</v>
      </c>
      <c r="N4325">
        <v>49.972610128145497</v>
      </c>
      <c r="O4325">
        <v>48.165911898475301</v>
      </c>
      <c r="P4325">
        <v>-6.1535220405079097E-2</v>
      </c>
      <c r="Q4325">
        <v>7.7999709061323405E-2</v>
      </c>
      <c r="R4325">
        <v>0.96453530782003905</v>
      </c>
      <c r="S4325" t="s">
        <v>10995</v>
      </c>
      <c r="T4325" t="s">
        <v>13338</v>
      </c>
      <c r="U4325" t="s">
        <v>13338</v>
      </c>
      <c r="V4325" t="s">
        <v>13338</v>
      </c>
      <c r="W4325" t="s">
        <v>17607</v>
      </c>
      <c r="X4325">
        <v>7</v>
      </c>
      <c r="Y4325" t="s">
        <v>24111</v>
      </c>
      <c r="Z4325" t="s">
        <v>30740</v>
      </c>
      <c r="AA4325">
        <v>0.39384382956647762</v>
      </c>
      <c r="AB4325" t="str">
        <f>HYPERLINK("Melting_Curves/meltCurve_Q86W42_THOC6.pdf", "Melting_Curves/meltCurve_Q86W42_THOC6.pdf")</f>
        <v>Melting_Curves/meltCurve_Q86W42_THOC6.pdf</v>
      </c>
    </row>
    <row r="4326" spans="1:28" x14ac:dyDescent="0.25">
      <c r="A4326" t="s">
        <v>4330</v>
      </c>
      <c r="B4326">
        <v>0.99193492352474899</v>
      </c>
      <c r="C4326">
        <v>0.82491353260082201</v>
      </c>
      <c r="D4326">
        <v>0.76920061574413401</v>
      </c>
      <c r="E4326">
        <v>0.37385952023590902</v>
      </c>
      <c r="F4326">
        <v>0.15604686636256301</v>
      </c>
      <c r="G4326">
        <v>8.09259646522376E-2</v>
      </c>
      <c r="H4326">
        <v>4.8369565817242097E-2</v>
      </c>
      <c r="I4326">
        <v>4.9331575364572999E-2</v>
      </c>
      <c r="J4326">
        <v>5.4842421231243201E-2</v>
      </c>
      <c r="K4326">
        <v>5.6309490301812398E-2</v>
      </c>
      <c r="L4326">
        <v>915.32735409233305</v>
      </c>
      <c r="M4326">
        <v>19.038738007244401</v>
      </c>
      <c r="N4326">
        <v>48.2857554775373</v>
      </c>
      <c r="O4326">
        <v>47.5561133282702</v>
      </c>
      <c r="P4326">
        <v>-9.6136845546623301E-2</v>
      </c>
      <c r="Q4326">
        <v>3.94922326642261E-2</v>
      </c>
      <c r="R4326">
        <v>0.99093046974938903</v>
      </c>
      <c r="S4326" t="s">
        <v>10996</v>
      </c>
      <c r="T4326" t="s">
        <v>13338</v>
      </c>
      <c r="U4326" t="s">
        <v>13338</v>
      </c>
      <c r="V4326" t="s">
        <v>13338</v>
      </c>
      <c r="W4326" t="s">
        <v>17608</v>
      </c>
      <c r="X4326">
        <v>10</v>
      </c>
      <c r="Y4326" t="s">
        <v>24112</v>
      </c>
      <c r="Z4326" t="s">
        <v>30741</v>
      </c>
      <c r="AA4326">
        <v>0.31321623161016021</v>
      </c>
      <c r="AB4326" t="str">
        <f>HYPERLINK("Melting_Curves/meltCurve_Q86W50_METTL16.pdf", "Melting_Curves/meltCurve_Q86W50_METTL16.pdf")</f>
        <v>Melting_Curves/meltCurve_Q86W50_METTL16.pdf</v>
      </c>
    </row>
    <row r="4327" spans="1:28" x14ac:dyDescent="0.25">
      <c r="A4327" t="s">
        <v>4331</v>
      </c>
      <c r="B4327">
        <v>0.99193492352474899</v>
      </c>
      <c r="C4327">
        <v>0.90924863800173905</v>
      </c>
      <c r="D4327">
        <v>0.83118315787880603</v>
      </c>
      <c r="E4327">
        <v>0.38161067161347001</v>
      </c>
      <c r="F4327">
        <v>0.16844875330608799</v>
      </c>
      <c r="G4327">
        <v>0.10004906502665301</v>
      </c>
      <c r="H4327">
        <v>5.6215461425599002E-2</v>
      </c>
      <c r="I4327">
        <v>6.3667789550031703E-2</v>
      </c>
      <c r="J4327">
        <v>8.8995724021817796E-2</v>
      </c>
      <c r="K4327">
        <v>9.0954841713395601E-2</v>
      </c>
      <c r="L4327">
        <v>1229.5271249365701</v>
      </c>
      <c r="M4327">
        <v>25.4183632083909</v>
      </c>
      <c r="N4327">
        <v>48.682046504429799</v>
      </c>
      <c r="O4327">
        <v>48.075205523421801</v>
      </c>
      <c r="P4327">
        <v>-0.12229243672873399</v>
      </c>
      <c r="Q4327">
        <v>7.4817173300319603E-2</v>
      </c>
      <c r="R4327">
        <v>0.99600442528589295</v>
      </c>
      <c r="S4327" t="s">
        <v>10997</v>
      </c>
      <c r="T4327" t="s">
        <v>13338</v>
      </c>
      <c r="U4327" t="s">
        <v>13338</v>
      </c>
      <c r="V4327" t="s">
        <v>13338</v>
      </c>
      <c r="W4327" t="s">
        <v>17609</v>
      </c>
      <c r="X4327">
        <v>16</v>
      </c>
      <c r="Y4327" t="s">
        <v>24113</v>
      </c>
      <c r="Z4327" t="s">
        <v>30742</v>
      </c>
      <c r="AA4327">
        <v>0.3408896958002039</v>
      </c>
      <c r="AB4327" t="str">
        <f>HYPERLINK("Melting_Curves/meltCurve_Q86W56_PARG.pdf", "Melting_Curves/meltCurve_Q86W56_PARG.pdf")</f>
        <v>Melting_Curves/meltCurve_Q86W56_PARG.pdf</v>
      </c>
    </row>
    <row r="4328" spans="1:28" x14ac:dyDescent="0.25">
      <c r="A4328" t="s">
        <v>4332</v>
      </c>
      <c r="B4328">
        <v>0.99193492352474899</v>
      </c>
      <c r="C4328">
        <v>1.21362669055237</v>
      </c>
      <c r="D4328">
        <v>0.88898438436705496</v>
      </c>
      <c r="E4328">
        <v>1.0136989887805901</v>
      </c>
      <c r="F4328">
        <v>0.40315417180795599</v>
      </c>
      <c r="G4328">
        <v>0.22120567872917099</v>
      </c>
      <c r="H4328">
        <v>7.4393984666913701E-2</v>
      </c>
      <c r="I4328">
        <v>6.5335067645325706E-2</v>
      </c>
      <c r="J4328">
        <v>7.3237814520205002E-2</v>
      </c>
      <c r="K4328">
        <v>7.4683632885000906E-2</v>
      </c>
      <c r="L4328">
        <v>2714.8186302368899</v>
      </c>
      <c r="M4328">
        <v>51.603058419409301</v>
      </c>
      <c r="N4328">
        <v>52.826003831296497</v>
      </c>
      <c r="O4328">
        <v>52.530816612726099</v>
      </c>
      <c r="P4328">
        <v>-0.22219166595696499</v>
      </c>
      <c r="Q4328">
        <v>9.5255110097526394E-2</v>
      </c>
      <c r="R4328">
        <v>0.96250786813946898</v>
      </c>
      <c r="S4328" t="s">
        <v>10998</v>
      </c>
      <c r="T4328" t="s">
        <v>13338</v>
      </c>
      <c r="U4328" t="s">
        <v>13338</v>
      </c>
      <c r="V4328" t="s">
        <v>13338</v>
      </c>
      <c r="W4328" t="s">
        <v>17610</v>
      </c>
      <c r="X4328">
        <v>6</v>
      </c>
      <c r="Y4328" t="s">
        <v>24114</v>
      </c>
      <c r="Z4328" t="s">
        <v>30743</v>
      </c>
      <c r="AA4328">
        <v>0.47750919385439272</v>
      </c>
      <c r="AB4328" t="str">
        <f>HYPERLINK("Melting_Curves/meltCurve_Q86WA6_2_BPHL.pdf", "Melting_Curves/meltCurve_Q86WA6_2_BPHL.pdf")</f>
        <v>Melting_Curves/meltCurve_Q86WA6_2_BPHL.pdf</v>
      </c>
    </row>
    <row r="4329" spans="1:28" x14ac:dyDescent="0.25">
      <c r="A4329" t="s">
        <v>4333</v>
      </c>
      <c r="B4329">
        <v>0.99193492352474899</v>
      </c>
      <c r="C4329">
        <v>0.77290595321947397</v>
      </c>
      <c r="D4329">
        <v>0.90642827966004602</v>
      </c>
      <c r="E4329">
        <v>0.50302750189670897</v>
      </c>
      <c r="F4329">
        <v>0.43359311566383801</v>
      </c>
      <c r="G4329">
        <v>0.23496487678751701</v>
      </c>
      <c r="H4329">
        <v>0.157767139697544</v>
      </c>
      <c r="I4329">
        <v>0.13114339704457401</v>
      </c>
      <c r="J4329">
        <v>0.13563524051363801</v>
      </c>
      <c r="K4329">
        <v>0.115463413734275</v>
      </c>
      <c r="L4329">
        <v>629.57200712500298</v>
      </c>
      <c r="M4329">
        <v>12.5367161178633</v>
      </c>
      <c r="N4329">
        <v>50.941820557243702</v>
      </c>
      <c r="O4329">
        <v>48.9918809934683</v>
      </c>
      <c r="P4329">
        <v>-5.8767880175018897E-2</v>
      </c>
      <c r="Q4329">
        <v>8.1557446500544195E-2</v>
      </c>
      <c r="R4329">
        <v>0.95932663742180901</v>
      </c>
      <c r="S4329" t="s">
        <v>10999</v>
      </c>
      <c r="T4329" t="s">
        <v>13338</v>
      </c>
      <c r="U4329" t="s">
        <v>13338</v>
      </c>
      <c r="V4329" t="s">
        <v>13338</v>
      </c>
      <c r="W4329" t="s">
        <v>17611</v>
      </c>
      <c r="X4329">
        <v>6</v>
      </c>
      <c r="Y4329" t="s">
        <v>24115</v>
      </c>
      <c r="Z4329" t="s">
        <v>30744</v>
      </c>
      <c r="AA4329">
        <v>0.42370695283114418</v>
      </c>
      <c r="AB4329" t="str">
        <f>HYPERLINK("Melting_Curves/meltCurve_Q86WA8_LONP2.pdf", "Melting_Curves/meltCurve_Q86WA8_LONP2.pdf")</f>
        <v>Melting_Curves/meltCurve_Q86WA8_LONP2.pdf</v>
      </c>
    </row>
    <row r="4330" spans="1:28" x14ac:dyDescent="0.25">
      <c r="A4330" t="s">
        <v>4334</v>
      </c>
      <c r="B4330">
        <v>0.99193492352474899</v>
      </c>
      <c r="C4330">
        <v>1.01953964579185</v>
      </c>
      <c r="D4330">
        <v>0.91387126675304098</v>
      </c>
      <c r="E4330">
        <v>0.83526237307012197</v>
      </c>
      <c r="F4330">
        <v>0.38258801453784103</v>
      </c>
      <c r="G4330">
        <v>0.28953078888066403</v>
      </c>
      <c r="H4330">
        <v>0.21111069002206201</v>
      </c>
      <c r="I4330">
        <v>0.28946544913748601</v>
      </c>
      <c r="J4330">
        <v>0.35458918598258998</v>
      </c>
      <c r="K4330">
        <v>0.419449418094968</v>
      </c>
      <c r="L4330">
        <v>2371.5609060399102</v>
      </c>
      <c r="M4330">
        <v>46.703020779577301</v>
      </c>
      <c r="N4330">
        <v>51.863275949691698</v>
      </c>
      <c r="O4330">
        <v>50.686785216864102</v>
      </c>
      <c r="P4330">
        <v>-0.15858248585300699</v>
      </c>
      <c r="Q4330">
        <v>0.31156280974876899</v>
      </c>
      <c r="R4330">
        <v>0.96676471083450999</v>
      </c>
      <c r="S4330" t="s">
        <v>11000</v>
      </c>
      <c r="T4330" t="s">
        <v>13338</v>
      </c>
      <c r="U4330" t="s">
        <v>13338</v>
      </c>
      <c r="V4330" t="s">
        <v>13338</v>
      </c>
      <c r="W4330" t="s">
        <v>17612</v>
      </c>
      <c r="X4330">
        <v>4</v>
      </c>
      <c r="Y4330" t="s">
        <v>24116</v>
      </c>
      <c r="Z4330" t="s">
        <v>30745</v>
      </c>
      <c r="AA4330">
        <v>0.56070097185629042</v>
      </c>
      <c r="AB4330" t="str">
        <f>HYPERLINK("Melting_Curves/meltCurve_Q86WC4_OSTM1.pdf", "Melting_Curves/meltCurve_Q86WC4_OSTM1.pdf")</f>
        <v>Melting_Curves/meltCurve_Q86WC4_OSTM1.pdf</v>
      </c>
    </row>
    <row r="4331" spans="1:28" x14ac:dyDescent="0.25">
      <c r="A4331" t="s">
        <v>4335</v>
      </c>
      <c r="B4331">
        <v>0.99193492352474899</v>
      </c>
      <c r="C4331">
        <v>0.83406043746540703</v>
      </c>
      <c r="D4331">
        <v>0.43448372298527699</v>
      </c>
      <c r="E4331">
        <v>0.173235003859874</v>
      </c>
      <c r="F4331">
        <v>0.121416159819996</v>
      </c>
      <c r="G4331">
        <v>7.6182798431079099E-2</v>
      </c>
      <c r="H4331">
        <v>4.3823732996225197E-2</v>
      </c>
      <c r="I4331">
        <v>5.51068796936829E-2</v>
      </c>
      <c r="J4331">
        <v>6.5881655253864593E-2</v>
      </c>
      <c r="K4331">
        <v>5.9258018000059698E-2</v>
      </c>
      <c r="L4331">
        <v>1165.90393413472</v>
      </c>
      <c r="M4331">
        <v>25.7045591038064</v>
      </c>
      <c r="N4331">
        <v>45.610396341091302</v>
      </c>
      <c r="O4331">
        <v>45.086008424548602</v>
      </c>
      <c r="P4331">
        <v>-0.13307850765743501</v>
      </c>
      <c r="Q4331">
        <v>6.6328025052963396E-2</v>
      </c>
      <c r="R4331">
        <v>0.99739734512391598</v>
      </c>
      <c r="S4331" t="s">
        <v>11001</v>
      </c>
      <c r="T4331" t="s">
        <v>13338</v>
      </c>
      <c r="U4331" t="s">
        <v>13338</v>
      </c>
      <c r="V4331" t="s">
        <v>13338</v>
      </c>
      <c r="W4331" t="s">
        <v>17613</v>
      </c>
      <c r="X4331">
        <v>17</v>
      </c>
      <c r="Y4331" t="s">
        <v>24117</v>
      </c>
      <c r="Z4331" t="s">
        <v>30746</v>
      </c>
      <c r="AA4331">
        <v>0.24150294933775951</v>
      </c>
      <c r="AB4331" t="str">
        <f>HYPERLINK("Melting_Curves/meltCurve_Q86WJ1_CHD1L.pdf", "Melting_Curves/meltCurve_Q86WJ1_CHD1L.pdf")</f>
        <v>Melting_Curves/meltCurve_Q86WJ1_CHD1L.pdf</v>
      </c>
    </row>
    <row r="4332" spans="1:28" x14ac:dyDescent="0.25">
      <c r="A4332" t="s">
        <v>4336</v>
      </c>
      <c r="B4332">
        <v>0.99193492352474899</v>
      </c>
      <c r="C4332">
        <v>1.0246944439805199</v>
      </c>
      <c r="D4332">
        <v>0.92044889442969202</v>
      </c>
      <c r="E4332">
        <v>0.83010444382479598</v>
      </c>
      <c r="F4332">
        <v>0.43057459048484598</v>
      </c>
      <c r="G4332">
        <v>0.17853618059655399</v>
      </c>
      <c r="H4332">
        <v>9.9114243713550501E-2</v>
      </c>
      <c r="I4332">
        <v>8.1176720757861504E-2</v>
      </c>
      <c r="J4332">
        <v>9.08941752297482E-2</v>
      </c>
      <c r="K4332">
        <v>8.94990186732426E-2</v>
      </c>
      <c r="L4332">
        <v>1360.30435406781</v>
      </c>
      <c r="M4332">
        <v>26.046031711241099</v>
      </c>
      <c r="N4332">
        <v>52.583534522752501</v>
      </c>
      <c r="O4332">
        <v>51.9219820056</v>
      </c>
      <c r="P4332">
        <v>-0.115258147587346</v>
      </c>
      <c r="Q4332">
        <v>8.0955885015042098E-2</v>
      </c>
      <c r="R4332">
        <v>0.99740402249087001</v>
      </c>
      <c r="S4332" t="s">
        <v>11002</v>
      </c>
      <c r="T4332" t="s">
        <v>13338</v>
      </c>
      <c r="U4332" t="s">
        <v>13338</v>
      </c>
      <c r="V4332" t="s">
        <v>13338</v>
      </c>
      <c r="W4332" t="s">
        <v>17614</v>
      </c>
      <c r="X4332">
        <v>5</v>
      </c>
      <c r="Y4332" t="s">
        <v>24118</v>
      </c>
      <c r="Z4332" t="s">
        <v>30747</v>
      </c>
      <c r="AA4332">
        <v>0.46329612891751759</v>
      </c>
      <c r="AB4332" t="str">
        <f>HYPERLINK("Melting_Curves/meltCurve_Q86WQ0_NR2C2AP.pdf", "Melting_Curves/meltCurve_Q86WQ0_NR2C2AP.pdf")</f>
        <v>Melting_Curves/meltCurve_Q86WQ0_NR2C2AP.pdf</v>
      </c>
    </row>
    <row r="4333" spans="1:28" x14ac:dyDescent="0.25">
      <c r="A4333" t="s">
        <v>4337</v>
      </c>
      <c r="B4333">
        <v>0.99193492352474899</v>
      </c>
      <c r="C4333">
        <v>0.71513565914827304</v>
      </c>
      <c r="D4333">
        <v>0.71821677005178597</v>
      </c>
      <c r="E4333">
        <v>0.44493203732804398</v>
      </c>
      <c r="F4333">
        <v>0.13594933820674401</v>
      </c>
      <c r="G4333">
        <v>8.5388670770111003E-2</v>
      </c>
      <c r="H4333">
        <v>5.2013949288482499E-2</v>
      </c>
      <c r="I4333">
        <v>8.1074820552177407E-2</v>
      </c>
      <c r="J4333">
        <v>8.1284943231037299E-2</v>
      </c>
      <c r="K4333">
        <v>0.113263287418693</v>
      </c>
      <c r="L4333">
        <v>723.56579291774301</v>
      </c>
      <c r="M4333">
        <v>15.193585900842301</v>
      </c>
      <c r="N4333">
        <v>47.958314637250197</v>
      </c>
      <c r="O4333">
        <v>46.820981237196399</v>
      </c>
      <c r="P4333">
        <v>-7.7046551136386796E-2</v>
      </c>
      <c r="Q4333">
        <v>5.0376032616150403E-2</v>
      </c>
      <c r="R4333">
        <v>0.96345088599376705</v>
      </c>
      <c r="S4333" t="s">
        <v>11003</v>
      </c>
      <c r="T4333" t="s">
        <v>13338</v>
      </c>
      <c r="U4333" t="s">
        <v>13338</v>
      </c>
      <c r="V4333" t="s">
        <v>13338</v>
      </c>
      <c r="W4333" t="s">
        <v>17615</v>
      </c>
      <c r="X4333">
        <v>10</v>
      </c>
      <c r="Y4333" t="s">
        <v>24119</v>
      </c>
      <c r="Z4333" t="s">
        <v>30748</v>
      </c>
      <c r="AA4333">
        <v>0.31594177101728999</v>
      </c>
      <c r="AB4333" t="str">
        <f>HYPERLINK("Melting_Curves/meltCurve_Q86WR0_CCDC25.pdf", "Melting_Curves/meltCurve_Q86WR0_CCDC25.pdf")</f>
        <v>Melting_Curves/meltCurve_Q86WR0_CCDC25.pdf</v>
      </c>
    </row>
    <row r="4334" spans="1:28" x14ac:dyDescent="0.25">
      <c r="A4334" t="s">
        <v>4338</v>
      </c>
      <c r="B4334">
        <v>0.99193492352474899</v>
      </c>
      <c r="C4334">
        <v>0.72816001168446098</v>
      </c>
      <c r="D4334">
        <v>0.84412702308724397</v>
      </c>
      <c r="E4334">
        <v>0.28327733802199401</v>
      </c>
      <c r="F4334">
        <v>0.12149301520064</v>
      </c>
      <c r="G4334">
        <v>5.7667681174480602E-2</v>
      </c>
      <c r="H4334">
        <v>4.4652256994409799E-2</v>
      </c>
      <c r="I4334">
        <v>5.0931046133773299E-2</v>
      </c>
      <c r="J4334">
        <v>9.7327735820767897E-2</v>
      </c>
      <c r="K4334">
        <v>6.5226192680391801E-2</v>
      </c>
      <c r="L4334">
        <v>1120.8487000125499</v>
      </c>
      <c r="M4334">
        <v>23.465030074051</v>
      </c>
      <c r="N4334">
        <v>47.991897378521401</v>
      </c>
      <c r="O4334">
        <v>47.423902743781198</v>
      </c>
      <c r="P4334">
        <v>-0.117253842347601</v>
      </c>
      <c r="Q4334">
        <v>5.2114801739873602E-2</v>
      </c>
      <c r="R4334">
        <v>0.95010183468807097</v>
      </c>
      <c r="S4334" t="s">
        <v>11004</v>
      </c>
      <c r="T4334" t="s">
        <v>13338</v>
      </c>
      <c r="U4334" t="s">
        <v>13338</v>
      </c>
      <c r="V4334" t="s">
        <v>13338</v>
      </c>
      <c r="W4334" t="s">
        <v>17616</v>
      </c>
      <c r="X4334">
        <v>2</v>
      </c>
      <c r="Y4334" t="s">
        <v>24120</v>
      </c>
      <c r="Z4334" t="s">
        <v>30749</v>
      </c>
      <c r="AA4334">
        <v>0.30712149040446662</v>
      </c>
      <c r="AB4334" t="str">
        <f>HYPERLINK("Melting_Curves/meltCurve_Q86WV1_2_SKAP1.pdf", "Melting_Curves/meltCurve_Q86WV1_2_SKAP1.pdf")</f>
        <v>Melting_Curves/meltCurve_Q86WV1_2_SKAP1.pdf</v>
      </c>
    </row>
    <row r="4335" spans="1:28" x14ac:dyDescent="0.25">
      <c r="A4335" t="s">
        <v>4339</v>
      </c>
      <c r="B4335">
        <v>0.99193492352474899</v>
      </c>
      <c r="C4335">
        <v>1.14847573557442</v>
      </c>
      <c r="D4335">
        <v>1.1101638579681801</v>
      </c>
      <c r="E4335">
        <v>0.72714262639599803</v>
      </c>
      <c r="F4335">
        <v>0.16131279459122999</v>
      </c>
      <c r="G4335">
        <v>8.1071532288730402E-2</v>
      </c>
      <c r="H4335">
        <v>5.3356723735365701E-2</v>
      </c>
      <c r="I4335">
        <v>5.36133525340136E-2</v>
      </c>
      <c r="J4335">
        <v>6.8361316155461593E-2</v>
      </c>
      <c r="K4335">
        <v>5.7453019745834499E-2</v>
      </c>
      <c r="L4335">
        <v>2397.81031861573</v>
      </c>
      <c r="M4335">
        <v>47.3957602731085</v>
      </c>
      <c r="N4335">
        <v>50.737330842016</v>
      </c>
      <c r="O4335">
        <v>50.501421907586199</v>
      </c>
      <c r="P4335">
        <v>-0.21966081196404399</v>
      </c>
      <c r="Q4335">
        <v>6.3783638814029001E-2</v>
      </c>
      <c r="R4335">
        <v>0.98264522590440395</v>
      </c>
      <c r="S4335" t="s">
        <v>11005</v>
      </c>
      <c r="T4335" t="s">
        <v>13338</v>
      </c>
      <c r="U4335" t="s">
        <v>13338</v>
      </c>
      <c r="V4335" t="s">
        <v>13338</v>
      </c>
      <c r="W4335" t="s">
        <v>17617</v>
      </c>
      <c r="X4335">
        <v>6</v>
      </c>
      <c r="Y4335" t="s">
        <v>24121</v>
      </c>
      <c r="Z4335" t="s">
        <v>30750</v>
      </c>
      <c r="AA4335">
        <v>0.39663332197186529</v>
      </c>
      <c r="AB4335" t="str">
        <f>HYPERLINK("Melting_Curves/meltCurve_Q86WV6_TMEM173.pdf", "Melting_Curves/meltCurve_Q86WV6_TMEM173.pdf")</f>
        <v>Melting_Curves/meltCurve_Q86WV6_TMEM173.pdf</v>
      </c>
    </row>
    <row r="4336" spans="1:28" x14ac:dyDescent="0.25">
      <c r="A4336" t="s">
        <v>4340</v>
      </c>
      <c r="B4336">
        <v>0.99193492352474899</v>
      </c>
      <c r="C4336">
        <v>0.74969328373149902</v>
      </c>
      <c r="D4336">
        <v>0.97477474368273498</v>
      </c>
      <c r="E4336">
        <v>0.62826483854069304</v>
      </c>
      <c r="F4336">
        <v>0.50179381126813205</v>
      </c>
      <c r="G4336">
        <v>0.24098428981025999</v>
      </c>
      <c r="H4336">
        <v>0.16490292047385</v>
      </c>
      <c r="I4336">
        <v>0.16528084871511101</v>
      </c>
      <c r="J4336">
        <v>0.20192918069864699</v>
      </c>
      <c r="K4336">
        <v>0.238597747510812</v>
      </c>
      <c r="L4336">
        <v>814.65112441683596</v>
      </c>
      <c r="M4336">
        <v>16.029580409558601</v>
      </c>
      <c r="N4336">
        <v>52.104346350915698</v>
      </c>
      <c r="O4336">
        <v>50.050508340456403</v>
      </c>
      <c r="P4336">
        <v>-6.70197734067699E-2</v>
      </c>
      <c r="Q4336">
        <v>0.16301925032210601</v>
      </c>
      <c r="R4336">
        <v>0.92790364206227405</v>
      </c>
      <c r="S4336" t="s">
        <v>11006</v>
      </c>
      <c r="T4336" t="s">
        <v>13338</v>
      </c>
      <c r="U4336" t="s">
        <v>13338</v>
      </c>
      <c r="V4336" t="s">
        <v>13338</v>
      </c>
      <c r="W4336" t="s">
        <v>17618</v>
      </c>
      <c r="X4336">
        <v>9</v>
      </c>
      <c r="Y4336" t="s">
        <v>24122</v>
      </c>
      <c r="Z4336" t="s">
        <v>30751</v>
      </c>
      <c r="AA4336">
        <v>0.48230566479047088</v>
      </c>
      <c r="AB4336" t="str">
        <f>HYPERLINK("Melting_Curves/meltCurve_Q86WV7_CCDC43.pdf", "Melting_Curves/meltCurve_Q86WV7_CCDC43.pdf")</f>
        <v>Melting_Curves/meltCurve_Q86WV7_CCDC43.pdf</v>
      </c>
    </row>
    <row r="4337" spans="1:28" x14ac:dyDescent="0.25">
      <c r="A4337" t="s">
        <v>4341</v>
      </c>
      <c r="B4337">
        <v>0.99193492352474899</v>
      </c>
      <c r="C4337">
        <v>0.56980814468156005</v>
      </c>
      <c r="D4337">
        <v>0.87520226145689195</v>
      </c>
      <c r="E4337">
        <v>0.376412713059467</v>
      </c>
      <c r="F4337">
        <v>0.19773710763570099</v>
      </c>
      <c r="G4337">
        <v>0.11415902980796901</v>
      </c>
      <c r="H4337">
        <v>0.125154227125433</v>
      </c>
      <c r="I4337">
        <v>0.243175701307564</v>
      </c>
      <c r="J4337">
        <v>0.34049874948169101</v>
      </c>
      <c r="K4337">
        <v>0.34858326581824001</v>
      </c>
      <c r="L4337">
        <v>767.829261956545</v>
      </c>
      <c r="M4337">
        <v>16.593713231116901</v>
      </c>
      <c r="N4337">
        <v>47.8804656787186</v>
      </c>
      <c r="O4337">
        <v>45.615940339121899</v>
      </c>
      <c r="P4337">
        <v>-7.1519200273003999E-2</v>
      </c>
      <c r="Q4337">
        <v>0.21363138187854799</v>
      </c>
      <c r="R4337">
        <v>0.75338767776828397</v>
      </c>
      <c r="S4337" t="s">
        <v>11007</v>
      </c>
      <c r="T4337" t="s">
        <v>13338</v>
      </c>
      <c r="U4337" t="s">
        <v>13338</v>
      </c>
      <c r="V4337" t="s">
        <v>13338</v>
      </c>
      <c r="W4337" t="s">
        <v>17619</v>
      </c>
      <c r="X4337">
        <v>1</v>
      </c>
      <c r="Y4337" t="s">
        <v>24123</v>
      </c>
      <c r="Z4337" t="s">
        <v>30752</v>
      </c>
      <c r="AA4337">
        <v>0.3961515575199866</v>
      </c>
      <c r="AB4337" t="str">
        <f>HYPERLINK("Melting_Curves/meltCurve_Q86WX3_RPS19BP1.pdf", "Melting_Curves/meltCurve_Q86WX3_RPS19BP1.pdf")</f>
        <v>Melting_Curves/meltCurve_Q86WX3_RPS19BP1.pdf</v>
      </c>
    </row>
    <row r="4338" spans="1:28" x14ac:dyDescent="0.25">
      <c r="A4338" t="s">
        <v>4342</v>
      </c>
      <c r="B4338">
        <v>0.99193492352474899</v>
      </c>
      <c r="C4338">
        <v>1.30476950042634</v>
      </c>
      <c r="D4338">
        <v>0.72432983041702903</v>
      </c>
      <c r="E4338">
        <v>0.87943915890901303</v>
      </c>
      <c r="F4338">
        <v>0.42445115926127602</v>
      </c>
      <c r="G4338">
        <v>0.28080588245626098</v>
      </c>
      <c r="H4338">
        <v>0.17236264151913899</v>
      </c>
      <c r="I4338">
        <v>0.221921245053046</v>
      </c>
      <c r="J4338">
        <v>0.18288681170853499</v>
      </c>
      <c r="K4338">
        <v>0.21052571535794001</v>
      </c>
      <c r="L4338">
        <v>1325.3211253642</v>
      </c>
      <c r="M4338">
        <v>25.6078849283757</v>
      </c>
      <c r="N4338">
        <v>52.7435958906892</v>
      </c>
      <c r="O4338">
        <v>51.441894410805098</v>
      </c>
      <c r="P4338">
        <v>-0.100719973661441</v>
      </c>
      <c r="Q4338">
        <v>0.19069249692798201</v>
      </c>
      <c r="R4338">
        <v>0.889202233238788</v>
      </c>
      <c r="S4338" t="s">
        <v>11008</v>
      </c>
      <c r="T4338" t="s">
        <v>13338</v>
      </c>
      <c r="U4338" t="s">
        <v>13338</v>
      </c>
      <c r="V4338" t="s">
        <v>13338</v>
      </c>
      <c r="W4338" t="s">
        <v>17620</v>
      </c>
      <c r="X4338">
        <v>2</v>
      </c>
      <c r="Y4338" t="s">
        <v>24124</v>
      </c>
      <c r="Z4338" t="s">
        <v>30753</v>
      </c>
      <c r="AA4338">
        <v>0.51482484456307465</v>
      </c>
      <c r="AB4338" t="str">
        <f>HYPERLINK("Melting_Curves/meltCurve_Q86X02_CDR2L.pdf", "Melting_Curves/meltCurve_Q86X02_CDR2L.pdf")</f>
        <v>Melting_Curves/meltCurve_Q86X02_CDR2L.pdf</v>
      </c>
    </row>
    <row r="4339" spans="1:28" x14ac:dyDescent="0.25">
      <c r="A4339" t="s">
        <v>4343</v>
      </c>
      <c r="B4339">
        <v>0.99193492352474899</v>
      </c>
      <c r="C4339">
        <v>0.830493846557669</v>
      </c>
      <c r="D4339">
        <v>1.0552590852246899</v>
      </c>
      <c r="E4339">
        <v>0.40421280066175003</v>
      </c>
      <c r="F4339">
        <v>0.17842707883155701</v>
      </c>
      <c r="G4339">
        <v>9.3157788346636794E-2</v>
      </c>
      <c r="H4339">
        <v>4.0610430445027601E-2</v>
      </c>
      <c r="I4339">
        <v>3.8303921403375601E-2</v>
      </c>
      <c r="J4339">
        <v>6.7988252749094397E-2</v>
      </c>
      <c r="K4339">
        <v>3.8323404184182702E-2</v>
      </c>
      <c r="L4339">
        <v>3641.9789134458301</v>
      </c>
      <c r="M4339">
        <v>74.005930087144307</v>
      </c>
      <c r="N4339">
        <v>49.320591243397502</v>
      </c>
      <c r="O4339">
        <v>49.176089591734701</v>
      </c>
      <c r="P4339">
        <v>-0.34794248767931502</v>
      </c>
      <c r="Q4339">
        <v>7.5185034012527199E-2</v>
      </c>
      <c r="R4339">
        <v>0.97087137521980804</v>
      </c>
      <c r="S4339" t="s">
        <v>11009</v>
      </c>
      <c r="T4339" t="s">
        <v>13338</v>
      </c>
      <c r="U4339" t="s">
        <v>13338</v>
      </c>
      <c r="V4339" t="s">
        <v>13338</v>
      </c>
      <c r="W4339" t="s">
        <v>17621</v>
      </c>
      <c r="X4339">
        <v>7</v>
      </c>
      <c r="Y4339" t="s">
        <v>24125</v>
      </c>
      <c r="Z4339" t="s">
        <v>30754</v>
      </c>
      <c r="AA4339">
        <v>0.36007808932825819</v>
      </c>
      <c r="AB4339" t="str">
        <f>HYPERLINK("Melting_Curves/meltCurve_Q86X10_RALGAPB.pdf", "Melting_Curves/meltCurve_Q86X10_RALGAPB.pdf")</f>
        <v>Melting_Curves/meltCurve_Q86X10_RALGAPB.pdf</v>
      </c>
    </row>
    <row r="4340" spans="1:28" x14ac:dyDescent="0.25">
      <c r="A4340" t="s">
        <v>4344</v>
      </c>
      <c r="B4340">
        <v>0.99193492352474899</v>
      </c>
      <c r="C4340">
        <v>0.562445970695998</v>
      </c>
      <c r="D4340">
        <v>0.48843576763178997</v>
      </c>
      <c r="E4340">
        <v>0.312813270767336</v>
      </c>
      <c r="F4340">
        <v>0.214384201357466</v>
      </c>
      <c r="G4340">
        <v>0.14743511165593901</v>
      </c>
      <c r="H4340">
        <v>0.10419950798516101</v>
      </c>
      <c r="I4340">
        <v>0.12885759489226101</v>
      </c>
      <c r="J4340">
        <v>0.15513460461349499</v>
      </c>
      <c r="K4340">
        <v>0.228472474432034</v>
      </c>
      <c r="L4340">
        <v>734.34541195960799</v>
      </c>
      <c r="M4340">
        <v>16.604016213609398</v>
      </c>
      <c r="N4340">
        <v>45.229646740112699</v>
      </c>
      <c r="O4340">
        <v>43.600392808308797</v>
      </c>
      <c r="P4340">
        <v>-8.0552259556234296E-2</v>
      </c>
      <c r="Q4340">
        <v>0.15397054351512801</v>
      </c>
      <c r="R4340">
        <v>0.93962043086685498</v>
      </c>
      <c r="S4340" t="s">
        <v>11010</v>
      </c>
      <c r="T4340" t="s">
        <v>13338</v>
      </c>
      <c r="U4340" t="s">
        <v>13338</v>
      </c>
      <c r="V4340" t="s">
        <v>13338</v>
      </c>
      <c r="W4340" t="s">
        <v>17622</v>
      </c>
      <c r="X4340">
        <v>3</v>
      </c>
      <c r="Y4340" t="s">
        <v>24126</v>
      </c>
      <c r="Z4340" t="s">
        <v>30755</v>
      </c>
      <c r="AA4340">
        <v>0.29722496074512789</v>
      </c>
      <c r="AB4340" t="str">
        <f>HYPERLINK("Melting_Curves/meltCurve_Q86X53_ERICH1.pdf", "Melting_Curves/meltCurve_Q86X53_ERICH1.pdf")</f>
        <v>Melting_Curves/meltCurve_Q86X53_ERICH1.pdf</v>
      </c>
    </row>
    <row r="4341" spans="1:28" x14ac:dyDescent="0.25">
      <c r="A4341" t="s">
        <v>4345</v>
      </c>
      <c r="B4341">
        <v>0.99193492352474899</v>
      </c>
      <c r="C4341">
        <v>1.1138768856480801</v>
      </c>
      <c r="D4341">
        <v>0.93294221556351398</v>
      </c>
      <c r="E4341">
        <v>0.89202803680047904</v>
      </c>
      <c r="F4341">
        <v>0.87871528244031405</v>
      </c>
      <c r="G4341">
        <v>0.54532598680810596</v>
      </c>
      <c r="H4341">
        <v>0.13328035302114599</v>
      </c>
      <c r="I4341">
        <v>0.10377714963519</v>
      </c>
      <c r="J4341">
        <v>0.109118941098616</v>
      </c>
      <c r="K4341">
        <v>0.104387378374882</v>
      </c>
      <c r="L4341">
        <v>1776.2393613296999</v>
      </c>
      <c r="M4341">
        <v>31.377742239264901</v>
      </c>
      <c r="N4341">
        <v>56.9460679328607</v>
      </c>
      <c r="O4341">
        <v>56.379821837167597</v>
      </c>
      <c r="P4341">
        <v>-0.12732089281980299</v>
      </c>
      <c r="Q4341">
        <v>8.4919498818755199E-2</v>
      </c>
      <c r="R4341">
        <v>0.98138569956858801</v>
      </c>
      <c r="S4341" t="s">
        <v>11011</v>
      </c>
      <c r="T4341" t="s">
        <v>13338</v>
      </c>
      <c r="U4341" t="s">
        <v>13338</v>
      </c>
      <c r="V4341" t="s">
        <v>13338</v>
      </c>
      <c r="W4341" t="s">
        <v>17623</v>
      </c>
      <c r="X4341">
        <v>13</v>
      </c>
      <c r="Y4341" t="s">
        <v>24127</v>
      </c>
      <c r="Z4341" t="s">
        <v>30756</v>
      </c>
      <c r="AA4341">
        <v>0.59714300135383191</v>
      </c>
      <c r="AB4341" t="str">
        <f>HYPERLINK("Melting_Curves/meltCurve_Q86X55_1_CARM1.pdf", "Melting_Curves/meltCurve_Q86X55_1_CARM1.pdf")</f>
        <v>Melting_Curves/meltCurve_Q86X55_1_CARM1.pdf</v>
      </c>
    </row>
    <row r="4342" spans="1:28" x14ac:dyDescent="0.25">
      <c r="A4342" t="s">
        <v>4346</v>
      </c>
      <c r="B4342">
        <v>0.99193492352474899</v>
      </c>
      <c r="C4342">
        <v>1.00389592763377</v>
      </c>
      <c r="D4342">
        <v>0.96228560937704</v>
      </c>
      <c r="E4342">
        <v>0.87082147871342896</v>
      </c>
      <c r="F4342">
        <v>0.76409907818255696</v>
      </c>
      <c r="G4342">
        <v>0.72078389111145102</v>
      </c>
      <c r="H4342">
        <v>0.51309199442190401</v>
      </c>
      <c r="I4342">
        <v>0.47128161310834399</v>
      </c>
      <c r="J4342">
        <v>0.26969403131500302</v>
      </c>
      <c r="K4342">
        <v>0.167314743434966</v>
      </c>
      <c r="L4342">
        <v>597.00386894121505</v>
      </c>
      <c r="M4342">
        <v>9.7556069145743702</v>
      </c>
      <c r="N4342">
        <v>61.195951087999902</v>
      </c>
      <c r="O4342">
        <v>58.790734999249501</v>
      </c>
      <c r="P4342">
        <v>-4.1506634846823702E-2</v>
      </c>
      <c r="Q4342">
        <v>0</v>
      </c>
      <c r="R4342">
        <v>0.98086775766148404</v>
      </c>
      <c r="S4342" t="s">
        <v>11012</v>
      </c>
      <c r="T4342" t="s">
        <v>13338</v>
      </c>
      <c r="U4342" t="s">
        <v>13338</v>
      </c>
      <c r="V4342" t="s">
        <v>13338</v>
      </c>
      <c r="W4342" t="s">
        <v>17624</v>
      </c>
      <c r="X4342">
        <v>8</v>
      </c>
      <c r="Y4342" t="s">
        <v>24128</v>
      </c>
      <c r="Z4342" t="s">
        <v>30757</v>
      </c>
      <c r="AA4342">
        <v>0.69132780054193643</v>
      </c>
      <c r="AB4342" t="str">
        <f>HYPERLINK("Melting_Curves/meltCurve_Q86X76_2_NIT1.pdf", "Melting_Curves/meltCurve_Q86X76_2_NIT1.pdf")</f>
        <v>Melting_Curves/meltCurve_Q86X76_2_NIT1.pdf</v>
      </c>
    </row>
    <row r="4343" spans="1:28" x14ac:dyDescent="0.25">
      <c r="A4343" t="s">
        <v>4347</v>
      </c>
      <c r="B4343">
        <v>0.99193492352474899</v>
      </c>
      <c r="C4343">
        <v>0.94074770418699205</v>
      </c>
      <c r="D4343">
        <v>0.76132671259389195</v>
      </c>
      <c r="E4343">
        <v>0.424648080849718</v>
      </c>
      <c r="F4343">
        <v>0.19930985757325101</v>
      </c>
      <c r="G4343">
        <v>0.186448105407341</v>
      </c>
      <c r="H4343">
        <v>0.13329161587510999</v>
      </c>
      <c r="I4343">
        <v>0.13968896801219399</v>
      </c>
      <c r="J4343">
        <v>0.14168360956596601</v>
      </c>
      <c r="K4343">
        <v>0.18872848319459001</v>
      </c>
      <c r="L4343">
        <v>1120.7556895223599</v>
      </c>
      <c r="M4343">
        <v>23.402242937669001</v>
      </c>
      <c r="N4343">
        <v>48.624905615036099</v>
      </c>
      <c r="O4343">
        <v>47.545368541542899</v>
      </c>
      <c r="P4343">
        <v>-0.104744440245881</v>
      </c>
      <c r="Q4343">
        <v>0.14879510474840901</v>
      </c>
      <c r="R4343">
        <v>0.99701109455076198</v>
      </c>
      <c r="S4343" t="s">
        <v>11013</v>
      </c>
      <c r="T4343" t="s">
        <v>13338</v>
      </c>
      <c r="U4343" t="s">
        <v>13338</v>
      </c>
      <c r="V4343" t="s">
        <v>13338</v>
      </c>
      <c r="W4343" t="s">
        <v>17625</v>
      </c>
      <c r="X4343">
        <v>3</v>
      </c>
      <c r="Y4343" t="s">
        <v>24129</v>
      </c>
      <c r="Z4343" t="s">
        <v>30758</v>
      </c>
      <c r="AA4343">
        <v>0.38135495418138532</v>
      </c>
      <c r="AB4343" t="str">
        <f>HYPERLINK("Melting_Curves/meltCurve_Q86X83_COMMD2.pdf", "Melting_Curves/meltCurve_Q86X83_COMMD2.pdf")</f>
        <v>Melting_Curves/meltCurve_Q86X83_COMMD2.pdf</v>
      </c>
    </row>
    <row r="4344" spans="1:28" x14ac:dyDescent="0.25">
      <c r="A4344" t="s">
        <v>4348</v>
      </c>
      <c r="B4344">
        <v>0.99193492352474899</v>
      </c>
      <c r="C4344">
        <v>0.642261786265377</v>
      </c>
      <c r="D4344">
        <v>0.87556952334447802</v>
      </c>
      <c r="E4344">
        <v>0.56510175850063504</v>
      </c>
      <c r="F4344">
        <v>0.55057664782345594</v>
      </c>
      <c r="G4344">
        <v>0.32517943026075002</v>
      </c>
      <c r="H4344">
        <v>0.29029041792798999</v>
      </c>
      <c r="I4344">
        <v>0.41433847581151301</v>
      </c>
      <c r="J4344">
        <v>0.48984048185163598</v>
      </c>
      <c r="K4344">
        <v>0.70072135655711998</v>
      </c>
      <c r="L4344">
        <v>635.34745397676102</v>
      </c>
      <c r="M4344">
        <v>13.970587919176101</v>
      </c>
      <c r="N4344">
        <v>54.162916472652299</v>
      </c>
      <c r="O4344">
        <v>44.576111878059898</v>
      </c>
      <c r="P4344">
        <v>-4.3351451873136798E-2</v>
      </c>
      <c r="Q4344">
        <v>0.44678595556322498</v>
      </c>
      <c r="R4344">
        <v>0.58474624910447304</v>
      </c>
      <c r="S4344" t="s">
        <v>11014</v>
      </c>
      <c r="T4344" t="s">
        <v>13338</v>
      </c>
      <c r="U4344" t="s">
        <v>13338</v>
      </c>
      <c r="V4344" t="s">
        <v>13338</v>
      </c>
      <c r="W4344" t="s">
        <v>17626</v>
      </c>
      <c r="X4344">
        <v>4</v>
      </c>
      <c r="Y4344" t="s">
        <v>24130</v>
      </c>
      <c r="Z4344" t="s">
        <v>30759</v>
      </c>
      <c r="AA4344">
        <v>0.56740898350784807</v>
      </c>
      <c r="AB4344" t="str">
        <f>HYPERLINK("Melting_Curves/meltCurve_Q86X95_CIR1.pdf", "Melting_Curves/meltCurve_Q86X95_CIR1.pdf")</f>
        <v>Melting_Curves/meltCurve_Q86X95_CIR1.pdf</v>
      </c>
    </row>
    <row r="4345" spans="1:28" x14ac:dyDescent="0.25">
      <c r="A4345" t="s">
        <v>4349</v>
      </c>
      <c r="B4345">
        <v>0.99193492352474899</v>
      </c>
      <c r="C4345">
        <v>0.58532229604824704</v>
      </c>
      <c r="D4345">
        <v>0.837786166382813</v>
      </c>
      <c r="E4345">
        <v>0.38434281344543098</v>
      </c>
      <c r="F4345">
        <v>0.31132061614645401</v>
      </c>
      <c r="G4345">
        <v>0.28998776721321001</v>
      </c>
      <c r="H4345">
        <v>0.175532272600362</v>
      </c>
      <c r="I4345">
        <v>0.141337715046501</v>
      </c>
      <c r="J4345">
        <v>9.6230427966540993E-2</v>
      </c>
      <c r="K4345">
        <v>6.1306308649494802E-2</v>
      </c>
      <c r="L4345">
        <v>446.06095655230502</v>
      </c>
      <c r="M4345">
        <v>9.13221247650743</v>
      </c>
      <c r="N4345">
        <v>49.145303654962198</v>
      </c>
      <c r="O4345">
        <v>46.673604736295097</v>
      </c>
      <c r="P4345">
        <v>-4.7619655795981701E-2</v>
      </c>
      <c r="Q4345">
        <v>2.7155926371645399E-2</v>
      </c>
      <c r="R4345">
        <v>0.889989355176112</v>
      </c>
      <c r="S4345" t="s">
        <v>11015</v>
      </c>
      <c r="T4345" t="s">
        <v>13338</v>
      </c>
      <c r="U4345" t="s">
        <v>13338</v>
      </c>
      <c r="V4345" t="s">
        <v>13338</v>
      </c>
      <c r="W4345" t="s">
        <v>17627</v>
      </c>
      <c r="X4345">
        <v>1</v>
      </c>
      <c r="Y4345" t="s">
        <v>24131</v>
      </c>
      <c r="Z4345" t="s">
        <v>30760</v>
      </c>
      <c r="AA4345">
        <v>0.36886688845058452</v>
      </c>
      <c r="AB4345" t="str">
        <f>HYPERLINK("Melting_Curves/meltCurve_Q86XI2_NCAPG2.pdf", "Melting_Curves/meltCurve_Q86XI2_NCAPG2.pdf")</f>
        <v>Melting_Curves/meltCurve_Q86XI2_NCAPG2.pdf</v>
      </c>
    </row>
    <row r="4346" spans="1:28" x14ac:dyDescent="0.25">
      <c r="A4346" t="s">
        <v>4350</v>
      </c>
      <c r="B4346">
        <v>0.99193492352474899</v>
      </c>
      <c r="C4346">
        <v>0.60658796903837697</v>
      </c>
      <c r="D4346">
        <v>0.84489180921233897</v>
      </c>
      <c r="E4346">
        <v>0.38154790376758702</v>
      </c>
      <c r="F4346">
        <v>0.187617621314871</v>
      </c>
      <c r="G4346">
        <v>0.12900310013444999</v>
      </c>
      <c r="H4346">
        <v>5.6147347063695799E-2</v>
      </c>
      <c r="I4346">
        <v>7.7550629568648499E-2</v>
      </c>
      <c r="J4346">
        <v>9.8097970700544296E-2</v>
      </c>
      <c r="K4346">
        <v>0.122391597603215</v>
      </c>
      <c r="L4346">
        <v>665.28012194038797</v>
      </c>
      <c r="M4346">
        <v>13.9388430946979</v>
      </c>
      <c r="N4346">
        <v>48.132447562990002</v>
      </c>
      <c r="O4346">
        <v>46.778343665703197</v>
      </c>
      <c r="P4346">
        <v>-7.0391615336512697E-2</v>
      </c>
      <c r="Q4346">
        <v>5.5198896949000903E-2</v>
      </c>
      <c r="R4346">
        <v>0.903648531989516</v>
      </c>
      <c r="S4346" t="s">
        <v>11016</v>
      </c>
      <c r="T4346" t="s">
        <v>13338</v>
      </c>
      <c r="U4346" t="s">
        <v>13338</v>
      </c>
      <c r="V4346" t="s">
        <v>13338</v>
      </c>
      <c r="W4346" t="s">
        <v>17628</v>
      </c>
      <c r="X4346">
        <v>2</v>
      </c>
      <c r="Y4346" t="s">
        <v>24132</v>
      </c>
      <c r="Z4346" t="s">
        <v>30761</v>
      </c>
      <c r="AA4346">
        <v>0.32706958293472088</v>
      </c>
      <c r="AB4346" t="str">
        <f>HYPERLINK("Melting_Curves/meltCurve_Q86XK3_3_SFR1.pdf", "Melting_Curves/meltCurve_Q86XK3_3_SFR1.pdf")</f>
        <v>Melting_Curves/meltCurve_Q86XK3_3_SFR1.pdf</v>
      </c>
    </row>
    <row r="4347" spans="1:28" x14ac:dyDescent="0.25">
      <c r="A4347" t="s">
        <v>4351</v>
      </c>
      <c r="B4347">
        <v>0.99193492352474899</v>
      </c>
      <c r="C4347">
        <v>0.76374387900435003</v>
      </c>
      <c r="D4347">
        <v>0.84162800574631902</v>
      </c>
      <c r="E4347">
        <v>0.216683985265721</v>
      </c>
      <c r="F4347">
        <v>0.16564471508582301</v>
      </c>
      <c r="G4347">
        <v>0.101234428373494</v>
      </c>
      <c r="H4347">
        <v>6.65891777300191E-2</v>
      </c>
      <c r="I4347">
        <v>8.8322140478064096E-2</v>
      </c>
      <c r="J4347">
        <v>9.95889163278635E-2</v>
      </c>
      <c r="K4347">
        <v>0.10572081630867999</v>
      </c>
      <c r="L4347">
        <v>1711.0126106591099</v>
      </c>
      <c r="M4347">
        <v>36.012026146742301</v>
      </c>
      <c r="N4347">
        <v>47.796101941680298</v>
      </c>
      <c r="O4347">
        <v>47.3664601351458</v>
      </c>
      <c r="P4347">
        <v>-0.17177357200999099</v>
      </c>
      <c r="Q4347">
        <v>9.6270738225740393E-2</v>
      </c>
      <c r="R4347">
        <v>0.95388901108441104</v>
      </c>
      <c r="S4347" t="s">
        <v>11017</v>
      </c>
      <c r="T4347" t="s">
        <v>13338</v>
      </c>
      <c r="U4347" t="s">
        <v>13338</v>
      </c>
      <c r="V4347" t="s">
        <v>13338</v>
      </c>
      <c r="W4347" t="s">
        <v>17629</v>
      </c>
      <c r="X4347">
        <v>28</v>
      </c>
      <c r="Y4347" t="s">
        <v>24133</v>
      </c>
      <c r="Z4347" t="s">
        <v>30762</v>
      </c>
      <c r="AA4347">
        <v>0.32627296642285147</v>
      </c>
      <c r="AB4347" t="str">
        <f>HYPERLINK("Melting_Curves/meltCurve_Q86XP3_DDX42.pdf", "Melting_Curves/meltCurve_Q86XP3_DDX42.pdf")</f>
        <v>Melting_Curves/meltCurve_Q86XP3_DDX42.pdf</v>
      </c>
    </row>
    <row r="4348" spans="1:28" x14ac:dyDescent="0.25">
      <c r="A4348" t="s">
        <v>4352</v>
      </c>
      <c r="B4348">
        <v>0.99193492352474899</v>
      </c>
      <c r="C4348">
        <v>0.18743416210666</v>
      </c>
      <c r="D4348">
        <v>0.51704631194835404</v>
      </c>
      <c r="E4348">
        <v>0.136340873321212</v>
      </c>
      <c r="F4348">
        <v>8.9455195975489898E-2</v>
      </c>
      <c r="G4348">
        <v>3.8406780184688599E-2</v>
      </c>
      <c r="H4348">
        <v>2.6391827966607599E-2</v>
      </c>
      <c r="I4348">
        <v>3.3087467004072502E-2</v>
      </c>
      <c r="J4348">
        <v>2.8546631969154499E-2</v>
      </c>
      <c r="K4348">
        <v>5.6644971884003699E-2</v>
      </c>
      <c r="L4348">
        <v>705.14495556086297</v>
      </c>
      <c r="M4348">
        <v>16.452295551458398</v>
      </c>
      <c r="N4348">
        <v>43.103989717109101</v>
      </c>
      <c r="O4348">
        <v>42.241770945116599</v>
      </c>
      <c r="P4348">
        <v>-9.3046791441445495E-2</v>
      </c>
      <c r="Q4348">
        <v>4.4465244016008897E-2</v>
      </c>
      <c r="R4348">
        <v>0.75442326131939297</v>
      </c>
      <c r="S4348" t="s">
        <v>11018</v>
      </c>
      <c r="T4348" t="s">
        <v>13338</v>
      </c>
      <c r="U4348" t="s">
        <v>13338</v>
      </c>
      <c r="V4348" t="s">
        <v>13338</v>
      </c>
      <c r="W4348" t="s">
        <v>17630</v>
      </c>
      <c r="X4348">
        <v>2</v>
      </c>
      <c r="Y4348" t="s">
        <v>24134</v>
      </c>
      <c r="Z4348" t="s">
        <v>30763</v>
      </c>
      <c r="AA4348">
        <v>0.17004757381788571</v>
      </c>
      <c r="AB4348" t="str">
        <f>HYPERLINK("Melting_Curves/meltCurve_Q86XZ4_SPATS2.pdf", "Melting_Curves/meltCurve_Q86XZ4_SPATS2.pdf")</f>
        <v>Melting_Curves/meltCurve_Q86XZ4_SPATS2.pdf</v>
      </c>
    </row>
    <row r="4349" spans="1:28" x14ac:dyDescent="0.25">
      <c r="A4349" t="s">
        <v>4353</v>
      </c>
      <c r="B4349">
        <v>0.99193492352474899</v>
      </c>
      <c r="C4349">
        <v>0.86714727378782197</v>
      </c>
      <c r="D4349">
        <v>1.12967995462063</v>
      </c>
      <c r="E4349">
        <v>0.96075942006358395</v>
      </c>
      <c r="F4349">
        <v>1.1198179264187</v>
      </c>
      <c r="G4349">
        <v>0.76400480396602899</v>
      </c>
      <c r="H4349">
        <v>0.51693009998546602</v>
      </c>
      <c r="I4349">
        <v>0.32282681582567702</v>
      </c>
      <c r="J4349">
        <v>0.14100191767867201</v>
      </c>
      <c r="K4349">
        <v>6.9117304003105604E-2</v>
      </c>
      <c r="L4349">
        <v>1304.8088926626899</v>
      </c>
      <c r="M4349">
        <v>21.398429470936701</v>
      </c>
      <c r="N4349">
        <v>61.122328142058301</v>
      </c>
      <c r="O4349">
        <v>60.451806072558</v>
      </c>
      <c r="P4349">
        <v>-8.6298977503510302E-2</v>
      </c>
      <c r="Q4349">
        <v>2.4825782627307901E-2</v>
      </c>
      <c r="R4349">
        <v>0.95243669476109305</v>
      </c>
      <c r="S4349" t="s">
        <v>11019</v>
      </c>
      <c r="T4349" t="s">
        <v>13338</v>
      </c>
      <c r="U4349" t="s">
        <v>13338</v>
      </c>
      <c r="V4349" t="s">
        <v>13338</v>
      </c>
      <c r="W4349" t="s">
        <v>17631</v>
      </c>
      <c r="X4349">
        <v>1</v>
      </c>
      <c r="Y4349" t="s">
        <v>24135</v>
      </c>
      <c r="Z4349" t="s">
        <v>30764</v>
      </c>
      <c r="AA4349">
        <v>0.71290613116048263</v>
      </c>
      <c r="AB4349" t="str">
        <f>HYPERLINK("Melting_Curves/meltCurve_Q86Y07_4_VRK2.pdf", "Melting_Curves/meltCurve_Q86Y07_4_VRK2.pdf")</f>
        <v>Melting_Curves/meltCurve_Q86Y07_4_VRK2.pdf</v>
      </c>
    </row>
    <row r="4350" spans="1:28" x14ac:dyDescent="0.25">
      <c r="A4350" t="s">
        <v>4354</v>
      </c>
      <c r="B4350">
        <v>0.99193492352474899</v>
      </c>
      <c r="C4350">
        <v>0.47174219868672701</v>
      </c>
      <c r="D4350">
        <v>0.401646556783468</v>
      </c>
      <c r="E4350">
        <v>0.146873389976417</v>
      </c>
      <c r="F4350">
        <v>0.12102803669462001</v>
      </c>
      <c r="G4350">
        <v>5.8779718974852999E-2</v>
      </c>
      <c r="H4350">
        <v>5.3203377343123803E-2</v>
      </c>
      <c r="I4350">
        <v>9.4441899998182297E-2</v>
      </c>
      <c r="J4350">
        <v>0.123828954769762</v>
      </c>
      <c r="K4350">
        <v>4.7367442494879501E-2</v>
      </c>
      <c r="L4350">
        <v>885.288595822101</v>
      </c>
      <c r="M4350">
        <v>20.357327616066499</v>
      </c>
      <c r="N4350">
        <v>43.872400270972697</v>
      </c>
      <c r="O4350">
        <v>43.074353646444301</v>
      </c>
      <c r="P4350">
        <v>-0.10849239458283499</v>
      </c>
      <c r="Q4350">
        <v>8.1785580724110199E-2</v>
      </c>
      <c r="R4350">
        <v>0.94156821104095101</v>
      </c>
      <c r="S4350" t="s">
        <v>11020</v>
      </c>
      <c r="T4350" t="s">
        <v>13338</v>
      </c>
      <c r="U4350" t="s">
        <v>13338</v>
      </c>
      <c r="V4350" t="s">
        <v>13338</v>
      </c>
      <c r="W4350" t="s">
        <v>17632</v>
      </c>
      <c r="X4350">
        <v>3</v>
      </c>
      <c r="Y4350" t="s">
        <v>24136</v>
      </c>
      <c r="Z4350" t="s">
        <v>30765</v>
      </c>
      <c r="AA4350">
        <v>0.20732783270305441</v>
      </c>
      <c r="AB4350" t="str">
        <f>HYPERLINK("Melting_Curves/meltCurve_Q86Y37_CACUL1.pdf", "Melting_Curves/meltCurve_Q86Y37_CACUL1.pdf")</f>
        <v>Melting_Curves/meltCurve_Q86Y37_CACUL1.pdf</v>
      </c>
    </row>
    <row r="4351" spans="1:28" x14ac:dyDescent="0.25">
      <c r="A4351" t="s">
        <v>4355</v>
      </c>
      <c r="B4351">
        <v>0.99193492352474899</v>
      </c>
      <c r="C4351">
        <v>1.1978059482605601</v>
      </c>
      <c r="D4351">
        <v>1.1553659202869</v>
      </c>
      <c r="E4351">
        <v>1.00222648422022</v>
      </c>
      <c r="F4351">
        <v>0.70479281653519599</v>
      </c>
      <c r="G4351">
        <v>0.57727537258252304</v>
      </c>
      <c r="H4351">
        <v>0.39601550874274399</v>
      </c>
      <c r="I4351">
        <v>0.39659870310168899</v>
      </c>
      <c r="J4351">
        <v>0.416447714653289</v>
      </c>
      <c r="K4351">
        <v>0.41450651893587598</v>
      </c>
      <c r="L4351">
        <v>1572.6165095445799</v>
      </c>
      <c r="M4351">
        <v>29.200748675173799</v>
      </c>
      <c r="N4351">
        <v>57.163975773202203</v>
      </c>
      <c r="O4351">
        <v>53.6046517483895</v>
      </c>
      <c r="P4351">
        <v>-8.0656287000019103E-2</v>
      </c>
      <c r="Q4351">
        <v>0.40775188779962102</v>
      </c>
      <c r="R4351">
        <v>0.92405280617427699</v>
      </c>
      <c r="S4351" t="s">
        <v>11021</v>
      </c>
      <c r="T4351" t="s">
        <v>13338</v>
      </c>
      <c r="U4351" t="s">
        <v>13338</v>
      </c>
      <c r="V4351" t="s">
        <v>13338</v>
      </c>
      <c r="W4351" t="s">
        <v>17633</v>
      </c>
      <c r="X4351">
        <v>4</v>
      </c>
      <c r="Y4351" t="s">
        <v>24137</v>
      </c>
      <c r="Z4351" t="s">
        <v>30766</v>
      </c>
      <c r="AA4351">
        <v>0.68536995494367636</v>
      </c>
      <c r="AB4351" t="str">
        <f>HYPERLINK("Melting_Curves/meltCurve_Q86Y39_NDUFA11.pdf", "Melting_Curves/meltCurve_Q86Y39_NDUFA11.pdf")</f>
        <v>Melting_Curves/meltCurve_Q86Y39_NDUFA11.pdf</v>
      </c>
    </row>
    <row r="4352" spans="1:28" x14ac:dyDescent="0.25">
      <c r="A4352" t="s">
        <v>4356</v>
      </c>
      <c r="B4352">
        <v>0.99193492352474899</v>
      </c>
      <c r="C4352">
        <v>0.63783757038486799</v>
      </c>
      <c r="D4352">
        <v>0.359369586423744</v>
      </c>
      <c r="E4352">
        <v>0.21874812726118201</v>
      </c>
      <c r="F4352">
        <v>0.211506200525371</v>
      </c>
      <c r="G4352">
        <v>0.134252926015136</v>
      </c>
      <c r="H4352">
        <v>8.2492881880450203E-2</v>
      </c>
      <c r="I4352">
        <v>8.1030069763612295E-2</v>
      </c>
      <c r="J4352">
        <v>9.6460661577894E-2</v>
      </c>
      <c r="K4352">
        <v>6.4907619499212602E-2</v>
      </c>
      <c r="L4352">
        <v>926.06086731534594</v>
      </c>
      <c r="M4352">
        <v>20.997788368961899</v>
      </c>
      <c r="N4352">
        <v>44.617060273078202</v>
      </c>
      <c r="O4352">
        <v>43.708618076303999</v>
      </c>
      <c r="P4352">
        <v>-0.107194451190343</v>
      </c>
      <c r="Q4352">
        <v>0.10748780754607901</v>
      </c>
      <c r="R4352">
        <v>0.97522126165983403</v>
      </c>
      <c r="S4352" t="s">
        <v>11022</v>
      </c>
      <c r="T4352" t="s">
        <v>13338</v>
      </c>
      <c r="U4352" t="s">
        <v>13338</v>
      </c>
      <c r="V4352" t="s">
        <v>13338</v>
      </c>
      <c r="W4352" t="s">
        <v>17634</v>
      </c>
      <c r="X4352">
        <v>13</v>
      </c>
      <c r="Y4352" t="s">
        <v>24138</v>
      </c>
      <c r="Z4352" t="s">
        <v>30767</v>
      </c>
      <c r="AA4352">
        <v>0.24478837261609121</v>
      </c>
      <c r="AB4352" t="str">
        <f>HYPERLINK("Melting_Curves/meltCurve_Q86Y56_HEATR2.pdf", "Melting_Curves/meltCurve_Q86Y56_HEATR2.pdf")</f>
        <v>Melting_Curves/meltCurve_Q86Y56_HEATR2.pdf</v>
      </c>
    </row>
    <row r="4353" spans="1:28" x14ac:dyDescent="0.25">
      <c r="A4353" t="s">
        <v>4357</v>
      </c>
      <c r="B4353">
        <v>0.99193492352474899</v>
      </c>
      <c r="C4353">
        <v>0.45974355459432797</v>
      </c>
      <c r="D4353">
        <v>0.76116535291714305</v>
      </c>
      <c r="E4353">
        <v>0.31308284528861002</v>
      </c>
      <c r="F4353">
        <v>0.14860688887739601</v>
      </c>
      <c r="G4353">
        <v>0.12471754895583</v>
      </c>
      <c r="H4353">
        <v>8.9465608413833803E-2</v>
      </c>
      <c r="I4353">
        <v>0.13070104664962401</v>
      </c>
      <c r="J4353">
        <v>0.15088691694188899</v>
      </c>
      <c r="K4353">
        <v>0.22950119713932199</v>
      </c>
      <c r="L4353">
        <v>607.70371855196504</v>
      </c>
      <c r="M4353">
        <v>13.3707767238346</v>
      </c>
      <c r="N4353">
        <v>46.370660180120701</v>
      </c>
      <c r="O4353">
        <v>44.469610224313797</v>
      </c>
      <c r="P4353">
        <v>-6.6416941515446803E-2</v>
      </c>
      <c r="Q4353">
        <v>0.11656079483938001</v>
      </c>
      <c r="R4353">
        <v>0.80819585286851403</v>
      </c>
      <c r="S4353" t="s">
        <v>11023</v>
      </c>
      <c r="T4353" t="s">
        <v>13338</v>
      </c>
      <c r="U4353" t="s">
        <v>13338</v>
      </c>
      <c r="V4353" t="s">
        <v>13338</v>
      </c>
      <c r="W4353" t="s">
        <v>17635</v>
      </c>
      <c r="X4353">
        <v>1</v>
      </c>
      <c r="Y4353" t="s">
        <v>24139</v>
      </c>
      <c r="Z4353" t="s">
        <v>30768</v>
      </c>
      <c r="AA4353">
        <v>0.31136041708680268</v>
      </c>
      <c r="AB4353" t="str">
        <f>HYPERLINK("Melting_Curves/meltCurve_Q86Y79_PTRH1.pdf", "Melting_Curves/meltCurve_Q86Y79_PTRH1.pdf")</f>
        <v>Melting_Curves/meltCurve_Q86Y79_PTRH1.pdf</v>
      </c>
    </row>
    <row r="4354" spans="1:28" x14ac:dyDescent="0.25">
      <c r="A4354" t="s">
        <v>4358</v>
      </c>
      <c r="B4354">
        <v>0.99193492352474899</v>
      </c>
      <c r="C4354">
        <v>0.94383026349236399</v>
      </c>
      <c r="D4354">
        <v>1.0883922836492099</v>
      </c>
      <c r="E4354">
        <v>0.88432653857562704</v>
      </c>
      <c r="F4354">
        <v>1.07591490815847</v>
      </c>
      <c r="G4354">
        <v>0.60447510709436003</v>
      </c>
      <c r="H4354">
        <v>0.49487874011219402</v>
      </c>
      <c r="I4354">
        <v>0.50202693838753598</v>
      </c>
      <c r="J4354">
        <v>0.76772231008196601</v>
      </c>
      <c r="K4354">
        <v>0.98244210865659598</v>
      </c>
      <c r="L4354">
        <v>5641.9340207667701</v>
      </c>
      <c r="M4354">
        <v>102.622373766528</v>
      </c>
      <c r="O4354">
        <v>54.956733307042803</v>
      </c>
      <c r="P4354">
        <v>-0.15450829367093</v>
      </c>
      <c r="Q4354">
        <v>0.66902836315556902</v>
      </c>
      <c r="R4354">
        <v>0.56348707128195497</v>
      </c>
      <c r="S4354" t="s">
        <v>11024</v>
      </c>
      <c r="T4354" t="s">
        <v>13338</v>
      </c>
      <c r="U4354" t="s">
        <v>13338</v>
      </c>
      <c r="V4354" t="s">
        <v>13338</v>
      </c>
      <c r="W4354" t="s">
        <v>17636</v>
      </c>
      <c r="X4354">
        <v>5</v>
      </c>
      <c r="Y4354" t="s">
        <v>24140</v>
      </c>
      <c r="Z4354" t="s">
        <v>30769</v>
      </c>
      <c r="AA4354">
        <v>0.83445701654513538</v>
      </c>
      <c r="AB4354" t="str">
        <f>HYPERLINK("Melting_Curves/meltCurve_Q86Y82_STX12.pdf", "Melting_Curves/meltCurve_Q86Y82_STX12.pdf")</f>
        <v>Melting_Curves/meltCurve_Q86Y82_STX12.pdf</v>
      </c>
    </row>
    <row r="4355" spans="1:28" x14ac:dyDescent="0.25">
      <c r="A4355" t="s">
        <v>4359</v>
      </c>
      <c r="B4355">
        <v>0.99193492352474899</v>
      </c>
      <c r="C4355">
        <v>1.3652341721608801</v>
      </c>
      <c r="D4355">
        <v>0.93983768859421102</v>
      </c>
      <c r="E4355">
        <v>0.82569737892653206</v>
      </c>
      <c r="F4355">
        <v>0.36296795114561903</v>
      </c>
      <c r="G4355">
        <v>0.22705996839631501</v>
      </c>
      <c r="H4355">
        <v>0.14765163513096299</v>
      </c>
      <c r="I4355">
        <v>0.115717531758062</v>
      </c>
      <c r="J4355">
        <v>0.123269837200059</v>
      </c>
      <c r="K4355">
        <v>8.2710337436352505E-2</v>
      </c>
      <c r="L4355">
        <v>1565.86723933695</v>
      </c>
      <c r="M4355">
        <v>30.2692749742254</v>
      </c>
      <c r="N4355">
        <v>52.213885752810199</v>
      </c>
      <c r="O4355">
        <v>51.507050148765899</v>
      </c>
      <c r="P4355">
        <v>-0.128990399415635</v>
      </c>
      <c r="Q4355">
        <v>0.122031103088105</v>
      </c>
      <c r="R4355">
        <v>0.928080923371988</v>
      </c>
      <c r="S4355" t="s">
        <v>11025</v>
      </c>
      <c r="T4355" t="s">
        <v>13338</v>
      </c>
      <c r="U4355" t="s">
        <v>13338</v>
      </c>
      <c r="V4355" t="s">
        <v>13338</v>
      </c>
      <c r="W4355" t="s">
        <v>17637</v>
      </c>
      <c r="X4355">
        <v>4</v>
      </c>
      <c r="Y4355" t="s">
        <v>24141</v>
      </c>
      <c r="Z4355" t="s">
        <v>30770</v>
      </c>
      <c r="AA4355">
        <v>0.47084085663660852</v>
      </c>
      <c r="AB4355" t="str">
        <f>HYPERLINK("Melting_Curves/meltCurve_Q86YC3_LRRC33.pdf", "Melting_Curves/meltCurve_Q86YC3_LRRC33.pdf")</f>
        <v>Melting_Curves/meltCurve_Q86YC3_LRRC33.pdf</v>
      </c>
    </row>
    <row r="4356" spans="1:28" x14ac:dyDescent="0.25">
      <c r="A4356" t="s">
        <v>4360</v>
      </c>
      <c r="B4356">
        <v>0.99193492352474899</v>
      </c>
      <c r="C4356">
        <v>1.0216517628291399</v>
      </c>
      <c r="D4356">
        <v>0.86939846725832504</v>
      </c>
      <c r="E4356">
        <v>0.76164628728347294</v>
      </c>
      <c r="F4356">
        <v>0.58142376158378895</v>
      </c>
      <c r="G4356">
        <v>0.25402964668780997</v>
      </c>
      <c r="H4356">
        <v>7.4062832110670607E-2</v>
      </c>
      <c r="I4356">
        <v>9.4577416596175204E-2</v>
      </c>
      <c r="J4356">
        <v>8.2025938510872295E-2</v>
      </c>
      <c r="K4356">
        <v>9.76524827885112E-2</v>
      </c>
      <c r="L4356">
        <v>923.368977831645</v>
      </c>
      <c r="M4356">
        <v>17.389958862522601</v>
      </c>
      <c r="N4356">
        <v>53.388097994287897</v>
      </c>
      <c r="O4356">
        <v>52.410596850855697</v>
      </c>
      <c r="P4356">
        <v>-7.9213524440744906E-2</v>
      </c>
      <c r="Q4356">
        <v>4.51056303342681E-2</v>
      </c>
      <c r="R4356">
        <v>0.98792492479122596</v>
      </c>
      <c r="S4356" t="s">
        <v>11026</v>
      </c>
      <c r="T4356" t="s">
        <v>13338</v>
      </c>
      <c r="U4356" t="s">
        <v>13338</v>
      </c>
      <c r="V4356" t="s">
        <v>13338</v>
      </c>
      <c r="W4356" t="s">
        <v>17638</v>
      </c>
      <c r="X4356">
        <v>7</v>
      </c>
      <c r="Y4356" t="s">
        <v>24142</v>
      </c>
      <c r="Z4356" t="s">
        <v>30771</v>
      </c>
      <c r="AA4356">
        <v>0.47848139885008001</v>
      </c>
      <c r="AB4356" t="str">
        <f>HYPERLINK("Melting_Curves/meltCurve_Q86YH6_PDSS2.pdf", "Melting_Curves/meltCurve_Q86YH6_PDSS2.pdf")</f>
        <v>Melting_Curves/meltCurve_Q86YH6_PDSS2.pdf</v>
      </c>
    </row>
    <row r="4357" spans="1:28" x14ac:dyDescent="0.25">
      <c r="A4357" t="s">
        <v>4361</v>
      </c>
      <c r="B4357">
        <v>0.99193492352474899</v>
      </c>
      <c r="C4357">
        <v>0.76191523356942503</v>
      </c>
      <c r="D4357">
        <v>0.81401093108685596</v>
      </c>
      <c r="E4357">
        <v>0.460020243302043</v>
      </c>
      <c r="F4357">
        <v>0.27167031214709098</v>
      </c>
      <c r="G4357">
        <v>0.164815534741624</v>
      </c>
      <c r="H4357">
        <v>0.108080322452886</v>
      </c>
      <c r="I4357">
        <v>0.13604405236381401</v>
      </c>
      <c r="J4357">
        <v>0.136566857574793</v>
      </c>
      <c r="K4357">
        <v>0.154270549022684</v>
      </c>
      <c r="L4357">
        <v>757.93570167026098</v>
      </c>
      <c r="M4357">
        <v>15.6786622495241</v>
      </c>
      <c r="N4357">
        <v>49.125222207614698</v>
      </c>
      <c r="O4357">
        <v>47.575919655382101</v>
      </c>
      <c r="P4357">
        <v>-7.3281273729380605E-2</v>
      </c>
      <c r="Q4357">
        <v>0.110605624529481</v>
      </c>
      <c r="R4357">
        <v>0.97074357216241702</v>
      </c>
      <c r="S4357" t="s">
        <v>11027</v>
      </c>
      <c r="T4357" t="s">
        <v>13338</v>
      </c>
      <c r="U4357" t="s">
        <v>13338</v>
      </c>
      <c r="V4357" t="s">
        <v>13338</v>
      </c>
      <c r="W4357" t="s">
        <v>17639</v>
      </c>
      <c r="X4357">
        <v>8</v>
      </c>
      <c r="Y4357" t="s">
        <v>24143</v>
      </c>
      <c r="Z4357" t="s">
        <v>30772</v>
      </c>
      <c r="AA4357">
        <v>0.37857361521489008</v>
      </c>
      <c r="AB4357" t="str">
        <f>HYPERLINK("Melting_Curves/meltCurve_Q86YM7_HOMER1.pdf", "Melting_Curves/meltCurve_Q86YM7_HOMER1.pdf")</f>
        <v>Melting_Curves/meltCurve_Q86YM7_HOMER1.pdf</v>
      </c>
    </row>
    <row r="4358" spans="1:28" x14ac:dyDescent="0.25">
      <c r="A4358" t="s">
        <v>4362</v>
      </c>
      <c r="B4358">
        <v>0.99193492352474899</v>
      </c>
      <c r="C4358">
        <v>0.51554309967782896</v>
      </c>
      <c r="D4358">
        <v>0.61545616097788003</v>
      </c>
      <c r="E4358">
        <v>0.24986013482082201</v>
      </c>
      <c r="F4358">
        <v>0.188300283249518</v>
      </c>
      <c r="G4358">
        <v>9.6922050774777294E-2</v>
      </c>
      <c r="H4358">
        <v>9.5343320828149294E-2</v>
      </c>
      <c r="I4358">
        <v>0.17908028601625001</v>
      </c>
      <c r="J4358">
        <v>0.26514088588547002</v>
      </c>
      <c r="K4358">
        <v>0.36557099637729901</v>
      </c>
      <c r="L4358">
        <v>783.23856655027998</v>
      </c>
      <c r="M4358">
        <v>17.793875749737001</v>
      </c>
      <c r="N4358">
        <v>45.260803333739901</v>
      </c>
      <c r="O4358">
        <v>43.472636323585803</v>
      </c>
      <c r="P4358">
        <v>-8.2548172132657402E-2</v>
      </c>
      <c r="Q4358">
        <v>0.19333975140125101</v>
      </c>
      <c r="R4358">
        <v>0.81731082003560296</v>
      </c>
      <c r="S4358" t="s">
        <v>11028</v>
      </c>
      <c r="T4358" t="s">
        <v>13338</v>
      </c>
      <c r="U4358" t="s">
        <v>13338</v>
      </c>
      <c r="V4358" t="s">
        <v>13338</v>
      </c>
      <c r="W4358" t="s">
        <v>17640</v>
      </c>
      <c r="X4358">
        <v>10</v>
      </c>
      <c r="Y4358" t="s">
        <v>24144</v>
      </c>
      <c r="Z4358" t="s">
        <v>30773</v>
      </c>
      <c r="AA4358">
        <v>0.32169330721260131</v>
      </c>
      <c r="AB4358" t="str">
        <f>HYPERLINK("Melting_Curves/meltCurve_Q86YP4_GATAD2A.pdf", "Melting_Curves/meltCurve_Q86YP4_GATAD2A.pdf")</f>
        <v>Melting_Curves/meltCurve_Q86YP4_GATAD2A.pdf</v>
      </c>
    </row>
    <row r="4359" spans="1:28" x14ac:dyDescent="0.25">
      <c r="A4359" t="s">
        <v>4363</v>
      </c>
      <c r="B4359">
        <v>0.99193492352474899</v>
      </c>
      <c r="C4359">
        <v>0.56522441944286705</v>
      </c>
      <c r="D4359">
        <v>0.35774897285477603</v>
      </c>
      <c r="E4359">
        <v>0.218550415932241</v>
      </c>
      <c r="F4359">
        <v>0.184415155824729</v>
      </c>
      <c r="G4359">
        <v>8.7077152008875003E-2</v>
      </c>
      <c r="H4359">
        <v>7.6673778858296598E-2</v>
      </c>
      <c r="I4359">
        <v>9.9928168970533707E-2</v>
      </c>
      <c r="J4359">
        <v>0.126978206188264</v>
      </c>
      <c r="K4359">
        <v>0.189711573869425</v>
      </c>
      <c r="L4359">
        <v>1005.31401411426</v>
      </c>
      <c r="M4359">
        <v>23.1023530495183</v>
      </c>
      <c r="N4359">
        <v>44.097712322530001</v>
      </c>
      <c r="O4359">
        <v>43.193539860092898</v>
      </c>
      <c r="P4359">
        <v>-0.116144367659389</v>
      </c>
      <c r="Q4359">
        <v>0.13141419481028799</v>
      </c>
      <c r="R4359">
        <v>0.96282247512997099</v>
      </c>
      <c r="S4359" t="s">
        <v>11029</v>
      </c>
      <c r="T4359" t="s">
        <v>13338</v>
      </c>
      <c r="U4359" t="s">
        <v>13338</v>
      </c>
      <c r="V4359" t="s">
        <v>13338</v>
      </c>
      <c r="W4359" t="s">
        <v>17641</v>
      </c>
      <c r="X4359">
        <v>1</v>
      </c>
      <c r="Y4359" t="s">
        <v>24145</v>
      </c>
      <c r="Z4359" t="s">
        <v>30774</v>
      </c>
      <c r="AA4359">
        <v>0.24642229277168939</v>
      </c>
      <c r="AB4359" t="str">
        <f>HYPERLINK("Melting_Curves/meltCurve_Q86YR5_4_GPSM1.pdf", "Melting_Curves/meltCurve_Q86YR5_4_GPSM1.pdf")</f>
        <v>Melting_Curves/meltCurve_Q86YR5_4_GPSM1.pdf</v>
      </c>
    </row>
    <row r="4360" spans="1:28" x14ac:dyDescent="0.25">
      <c r="A4360" t="s">
        <v>4364</v>
      </c>
      <c r="B4360">
        <v>0.99193492352474899</v>
      </c>
      <c r="C4360">
        <v>1.2431802975358499</v>
      </c>
      <c r="D4360">
        <v>1.14826484470349</v>
      </c>
      <c r="E4360">
        <v>0.96934792385656399</v>
      </c>
      <c r="F4360">
        <v>0.81511704429419995</v>
      </c>
      <c r="G4360">
        <v>0.65398301311695595</v>
      </c>
      <c r="H4360">
        <v>0.22528970727137199</v>
      </c>
      <c r="I4360">
        <v>8.0374538906972506E-2</v>
      </c>
      <c r="J4360">
        <v>8.3072313723067906E-2</v>
      </c>
      <c r="K4360">
        <v>5.6862581703386497E-2</v>
      </c>
      <c r="L4360">
        <v>1371.72612148845</v>
      </c>
      <c r="M4360">
        <v>23.789022255640202</v>
      </c>
      <c r="N4360">
        <v>57.805799802737603</v>
      </c>
      <c r="O4360">
        <v>57.259319071769703</v>
      </c>
      <c r="P4360">
        <v>-0.10088531180501201</v>
      </c>
      <c r="Q4360">
        <v>2.87066651116346E-2</v>
      </c>
      <c r="R4360">
        <v>0.95449170994260202</v>
      </c>
      <c r="S4360" t="s">
        <v>11030</v>
      </c>
      <c r="T4360" t="s">
        <v>13338</v>
      </c>
      <c r="U4360" t="s">
        <v>13338</v>
      </c>
      <c r="V4360" t="s">
        <v>13338</v>
      </c>
      <c r="W4360" t="s">
        <v>17642</v>
      </c>
      <c r="X4360">
        <v>6</v>
      </c>
      <c r="Y4360" t="s">
        <v>24146</v>
      </c>
      <c r="Z4360" t="s">
        <v>30775</v>
      </c>
      <c r="AA4360">
        <v>0.60973340743024063</v>
      </c>
      <c r="AB4360" t="str">
        <f>HYPERLINK("Melting_Curves/meltCurve_Q86YS6_RAB43.pdf", "Melting_Curves/meltCurve_Q86YS6_RAB43.pdf")</f>
        <v>Melting_Curves/meltCurve_Q86YS6_RAB43.pdf</v>
      </c>
    </row>
    <row r="4361" spans="1:28" x14ac:dyDescent="0.25">
      <c r="A4361" t="s">
        <v>4365</v>
      </c>
      <c r="B4361">
        <v>0.99193492352474899</v>
      </c>
      <c r="C4361">
        <v>0.92506793490384898</v>
      </c>
      <c r="D4361">
        <v>0.90239488849320604</v>
      </c>
      <c r="E4361">
        <v>0.74210461960222396</v>
      </c>
      <c r="F4361">
        <v>0.38743676975358299</v>
      </c>
      <c r="G4361">
        <v>0.14133035817366299</v>
      </c>
      <c r="H4361">
        <v>7.21779307270973E-2</v>
      </c>
      <c r="I4361">
        <v>7.3657417689023799E-2</v>
      </c>
      <c r="J4361">
        <v>7.18965803971095E-2</v>
      </c>
      <c r="K4361">
        <v>7.8839541706553398E-2</v>
      </c>
      <c r="L4361">
        <v>1123.9678519225999</v>
      </c>
      <c r="M4361">
        <v>21.786805851222098</v>
      </c>
      <c r="N4361">
        <v>51.8740811127456</v>
      </c>
      <c r="O4361">
        <v>51.160652064250499</v>
      </c>
      <c r="P4361">
        <v>-0.100465952628728</v>
      </c>
      <c r="Q4361">
        <v>5.6349249402771501E-2</v>
      </c>
      <c r="R4361">
        <v>0.99499180762991701</v>
      </c>
      <c r="S4361" t="s">
        <v>11031</v>
      </c>
      <c r="T4361" t="s">
        <v>13338</v>
      </c>
      <c r="U4361" t="s">
        <v>13338</v>
      </c>
      <c r="V4361" t="s">
        <v>13338</v>
      </c>
      <c r="W4361" t="s">
        <v>17643</v>
      </c>
      <c r="X4361">
        <v>13</v>
      </c>
      <c r="Y4361" t="s">
        <v>24147</v>
      </c>
      <c r="Z4361" t="s">
        <v>30776</v>
      </c>
      <c r="AA4361">
        <v>0.4320545703495704</v>
      </c>
      <c r="AB4361" t="str">
        <f>HYPERLINK("Melting_Curves/meltCurve_Q86YS7_C2CD5.pdf", "Melting_Curves/meltCurve_Q86YS7_C2CD5.pdf")</f>
        <v>Melting_Curves/meltCurve_Q86YS7_C2CD5.pdf</v>
      </c>
    </row>
    <row r="4362" spans="1:28" x14ac:dyDescent="0.25">
      <c r="A4362" t="s">
        <v>4366</v>
      </c>
      <c r="B4362">
        <v>0.99193492352474899</v>
      </c>
      <c r="C4362">
        <v>0.74853594227335796</v>
      </c>
      <c r="D4362">
        <v>0.727160603189549</v>
      </c>
      <c r="E4362">
        <v>0.29402986020483601</v>
      </c>
      <c r="F4362">
        <v>0.163222265834776</v>
      </c>
      <c r="G4362">
        <v>0.15245539068921701</v>
      </c>
      <c r="H4362">
        <v>0.17282574845524501</v>
      </c>
      <c r="I4362">
        <v>0.20690502089447099</v>
      </c>
      <c r="J4362">
        <v>0.22395083813651301</v>
      </c>
      <c r="K4362">
        <v>0.16932688937725601</v>
      </c>
      <c r="L4362">
        <v>971.76754263051305</v>
      </c>
      <c r="M4362">
        <v>20.950100813424701</v>
      </c>
      <c r="N4362">
        <v>47.308669382463201</v>
      </c>
      <c r="O4362">
        <v>45.9684413549952</v>
      </c>
      <c r="P4362">
        <v>-9.4812712540941202E-2</v>
      </c>
      <c r="Q4362">
        <v>0.16787520022567301</v>
      </c>
      <c r="R4362">
        <v>0.95708683903117098</v>
      </c>
      <c r="S4362" t="s">
        <v>11032</v>
      </c>
      <c r="T4362" t="s">
        <v>13338</v>
      </c>
      <c r="U4362" t="s">
        <v>13338</v>
      </c>
      <c r="V4362" t="s">
        <v>13338</v>
      </c>
      <c r="W4362" t="s">
        <v>17644</v>
      </c>
      <c r="X4362">
        <v>1</v>
      </c>
      <c r="Y4362" t="s">
        <v>24148</v>
      </c>
      <c r="Z4362" t="s">
        <v>30777</v>
      </c>
      <c r="AA4362">
        <v>0.35627265168402761</v>
      </c>
      <c r="AB4362" t="str">
        <f>HYPERLINK("Melting_Curves/meltCurve_Q86YT6_MIB1.pdf", "Melting_Curves/meltCurve_Q86YT6_MIB1.pdf")</f>
        <v>Melting_Curves/meltCurve_Q86YT6_MIB1.pdf</v>
      </c>
    </row>
    <row r="4363" spans="1:28" x14ac:dyDescent="0.25">
      <c r="A4363" t="s">
        <v>4367</v>
      </c>
      <c r="B4363">
        <v>0.99193492352474899</v>
      </c>
      <c r="C4363">
        <v>0.57112555826869105</v>
      </c>
      <c r="D4363">
        <v>0.27208187776982101</v>
      </c>
      <c r="E4363">
        <v>0.13088023029483201</v>
      </c>
      <c r="F4363">
        <v>9.0188753962088905E-2</v>
      </c>
      <c r="G4363">
        <v>5.50874928051336E-2</v>
      </c>
      <c r="H4363">
        <v>4.3540817671721299E-2</v>
      </c>
      <c r="I4363">
        <v>4.4039992044508001E-2</v>
      </c>
      <c r="J4363">
        <v>6.1855090056609698E-2</v>
      </c>
      <c r="K4363">
        <v>6.5637666826216301E-2</v>
      </c>
      <c r="L4363">
        <v>1149.2059365681901</v>
      </c>
      <c r="M4363">
        <v>26.412812345384499</v>
      </c>
      <c r="N4363">
        <v>43.739134321951603</v>
      </c>
      <c r="O4363">
        <v>43.262307086967503</v>
      </c>
      <c r="P4363">
        <v>-0.142748336579858</v>
      </c>
      <c r="Q4363">
        <v>6.4763736750340903E-2</v>
      </c>
      <c r="R4363">
        <v>0.98743359497590699</v>
      </c>
      <c r="S4363" t="s">
        <v>11033</v>
      </c>
      <c r="T4363" t="s">
        <v>13338</v>
      </c>
      <c r="U4363" t="s">
        <v>13338</v>
      </c>
      <c r="V4363" t="s">
        <v>13338</v>
      </c>
      <c r="W4363" t="s">
        <v>17645</v>
      </c>
      <c r="X4363">
        <v>6</v>
      </c>
      <c r="Y4363" t="s">
        <v>24149</v>
      </c>
      <c r="Z4363" t="s">
        <v>30778</v>
      </c>
      <c r="AA4363">
        <v>0.18450561607966079</v>
      </c>
      <c r="AB4363" t="str">
        <f>HYPERLINK("Melting_Curves/meltCurve_Q86YV0_RASAL3.pdf", "Melting_Curves/meltCurve_Q86YV0_RASAL3.pdf")</f>
        <v>Melting_Curves/meltCurve_Q86YV0_RASAL3.pdf</v>
      </c>
    </row>
    <row r="4364" spans="1:28" x14ac:dyDescent="0.25">
      <c r="A4364" t="s">
        <v>4368</v>
      </c>
      <c r="B4364">
        <v>0.99193492352474899</v>
      </c>
      <c r="C4364">
        <v>0.65071679804447502</v>
      </c>
      <c r="D4364">
        <v>0.38609676673743898</v>
      </c>
      <c r="E4364">
        <v>0.23597708070774301</v>
      </c>
      <c r="F4364">
        <v>0.12750267959657499</v>
      </c>
      <c r="G4364">
        <v>7.9065193029807995E-2</v>
      </c>
      <c r="H4364">
        <v>5.5639712054518002E-2</v>
      </c>
      <c r="I4364">
        <v>5.9873742286181003E-2</v>
      </c>
      <c r="J4364">
        <v>7.00100878145649E-2</v>
      </c>
      <c r="K4364">
        <v>6.3099796882345696E-2</v>
      </c>
      <c r="L4364">
        <v>847.59016570705001</v>
      </c>
      <c r="M4364">
        <v>19.0180351166292</v>
      </c>
      <c r="N4364">
        <v>44.918640951911698</v>
      </c>
      <c r="O4364">
        <v>44.083726289226902</v>
      </c>
      <c r="P4364">
        <v>-0.100409966010972</v>
      </c>
      <c r="Q4364">
        <v>6.9037741982704098E-2</v>
      </c>
      <c r="R4364">
        <v>0.98522374163075099</v>
      </c>
      <c r="S4364" t="s">
        <v>11034</v>
      </c>
      <c r="T4364" t="s">
        <v>13338</v>
      </c>
      <c r="U4364" t="s">
        <v>13338</v>
      </c>
      <c r="V4364" t="s">
        <v>13338</v>
      </c>
      <c r="W4364" t="s">
        <v>17646</v>
      </c>
      <c r="X4364">
        <v>15</v>
      </c>
      <c r="Y4364" t="s">
        <v>24150</v>
      </c>
      <c r="Z4364" t="s">
        <v>30779</v>
      </c>
      <c r="AA4364">
        <v>0.22945814944210521</v>
      </c>
      <c r="AB4364" t="str">
        <f>HYPERLINK("Melting_Curves/meltCurve_Q8IU81_IRF2BP1.pdf", "Melting_Curves/meltCurve_Q8IU81_IRF2BP1.pdf")</f>
        <v>Melting_Curves/meltCurve_Q8IU81_IRF2BP1.pdf</v>
      </c>
    </row>
    <row r="4365" spans="1:28" x14ac:dyDescent="0.25">
      <c r="A4365" t="s">
        <v>4369</v>
      </c>
      <c r="B4365">
        <v>0.99193492352474899</v>
      </c>
      <c r="C4365">
        <v>1.0081267759303301</v>
      </c>
      <c r="D4365">
        <v>0.98403699310659498</v>
      </c>
      <c r="E4365">
        <v>0.62787765707354104</v>
      </c>
      <c r="F4365">
        <v>0.25001044214035001</v>
      </c>
      <c r="G4365">
        <v>0.150600325276601</v>
      </c>
      <c r="H4365">
        <v>9.13226527524552E-2</v>
      </c>
      <c r="I4365">
        <v>0.108113324349755</v>
      </c>
      <c r="J4365">
        <v>0.13118414759793101</v>
      </c>
      <c r="K4365">
        <v>0.12111928601972601</v>
      </c>
      <c r="L4365">
        <v>1622.3834746863599</v>
      </c>
      <c r="M4365">
        <v>32.333941089527997</v>
      </c>
      <c r="N4365">
        <v>50.592656271019003</v>
      </c>
      <c r="O4365">
        <v>49.985095220097897</v>
      </c>
      <c r="P4365">
        <v>-0.14281000028774199</v>
      </c>
      <c r="Q4365">
        <v>0.116923129640865</v>
      </c>
      <c r="R4365">
        <v>0.99825270681480305</v>
      </c>
      <c r="S4365" t="s">
        <v>11035</v>
      </c>
      <c r="T4365" t="s">
        <v>13338</v>
      </c>
      <c r="U4365" t="s">
        <v>13338</v>
      </c>
      <c r="V4365" t="s">
        <v>13338</v>
      </c>
      <c r="W4365" t="s">
        <v>17647</v>
      </c>
      <c r="X4365">
        <v>4</v>
      </c>
      <c r="Y4365" t="s">
        <v>24151</v>
      </c>
      <c r="Z4365" t="s">
        <v>30780</v>
      </c>
      <c r="AA4365">
        <v>0.42116695711380708</v>
      </c>
      <c r="AB4365" t="str">
        <f>HYPERLINK("Melting_Curves/meltCurve_Q8IU85_2_CAMK1D.pdf", "Melting_Curves/meltCurve_Q8IU85_2_CAMK1D.pdf")</f>
        <v>Melting_Curves/meltCurve_Q8IU85_2_CAMK1D.pdf</v>
      </c>
    </row>
    <row r="4366" spans="1:28" x14ac:dyDescent="0.25">
      <c r="A4366" t="s">
        <v>4370</v>
      </c>
      <c r="B4366">
        <v>0.99193492352474899</v>
      </c>
      <c r="C4366">
        <v>2.3130620490991598</v>
      </c>
      <c r="D4366">
        <v>0.48144253207313098</v>
      </c>
      <c r="E4366">
        <v>0.98602513440889294</v>
      </c>
      <c r="F4366">
        <v>0.14749446041275499</v>
      </c>
      <c r="G4366">
        <v>0.153148660153483</v>
      </c>
      <c r="H4366">
        <v>0.14238760112658</v>
      </c>
      <c r="I4366">
        <v>0.22894809531857399</v>
      </c>
      <c r="J4366">
        <v>0.19389256453572001</v>
      </c>
      <c r="K4366">
        <v>0.24884885539055701</v>
      </c>
      <c r="L4366">
        <v>12600.7484586624</v>
      </c>
      <c r="M4366">
        <v>250</v>
      </c>
      <c r="N4366">
        <v>50.496815194781497</v>
      </c>
      <c r="O4366">
        <v>50.399792650344402</v>
      </c>
      <c r="P4366">
        <v>-1.00969404569068</v>
      </c>
      <c r="Q4366">
        <v>0.18578646144854999</v>
      </c>
      <c r="R4366">
        <v>0.53297519494551204</v>
      </c>
      <c r="S4366" t="s">
        <v>11036</v>
      </c>
      <c r="T4366" t="s">
        <v>13338</v>
      </c>
      <c r="U4366" t="s">
        <v>13338</v>
      </c>
      <c r="V4366" t="s">
        <v>13338</v>
      </c>
      <c r="W4366" t="s">
        <v>17648</v>
      </c>
      <c r="X4366">
        <v>4</v>
      </c>
      <c r="Y4366" t="s">
        <v>24152</v>
      </c>
      <c r="Z4366" t="s">
        <v>30781</v>
      </c>
      <c r="AA4366">
        <v>0.46820043129174699</v>
      </c>
      <c r="AB4366" t="str">
        <f>HYPERLINK("Melting_Curves/meltCurve_Q8IUE6_HIST2H2AB.pdf", "Melting_Curves/meltCurve_Q8IUE6_HIST2H2AB.pdf")</f>
        <v>Melting_Curves/meltCurve_Q8IUE6_HIST2H2AB.pdf</v>
      </c>
    </row>
    <row r="4367" spans="1:28" x14ac:dyDescent="0.25">
      <c r="A4367" t="s">
        <v>4371</v>
      </c>
      <c r="B4367">
        <v>0.99193492352474899</v>
      </c>
      <c r="C4367">
        <v>0.612132992787084</v>
      </c>
      <c r="D4367">
        <v>0.92178256720040297</v>
      </c>
      <c r="E4367">
        <v>0.51943192519487702</v>
      </c>
      <c r="F4367">
        <v>0.33586392186164099</v>
      </c>
      <c r="G4367">
        <v>0.124314552290474</v>
      </c>
      <c r="H4367">
        <v>6.2512835827049598E-2</v>
      </c>
      <c r="I4367">
        <v>7.9068150917627894E-2</v>
      </c>
      <c r="J4367">
        <v>9.7935203236328205E-2</v>
      </c>
      <c r="K4367">
        <v>9.9236173557765595E-2</v>
      </c>
      <c r="L4367">
        <v>618.65343396607204</v>
      </c>
      <c r="M4367">
        <v>12.451461395629501</v>
      </c>
      <c r="N4367">
        <v>49.893917641495399</v>
      </c>
      <c r="O4367">
        <v>48.455850430502203</v>
      </c>
      <c r="P4367">
        <v>-6.2624141290839097E-2</v>
      </c>
      <c r="Q4367">
        <v>2.5376201372031702E-2</v>
      </c>
      <c r="R4367">
        <v>0.89716860016600197</v>
      </c>
      <c r="S4367" t="s">
        <v>11037</v>
      </c>
      <c r="T4367" t="s">
        <v>13338</v>
      </c>
      <c r="U4367" t="s">
        <v>13338</v>
      </c>
      <c r="V4367" t="s">
        <v>13338</v>
      </c>
      <c r="W4367" t="s">
        <v>17649</v>
      </c>
      <c r="X4367">
        <v>12</v>
      </c>
      <c r="Y4367" t="s">
        <v>24153</v>
      </c>
      <c r="Z4367" t="s">
        <v>30782</v>
      </c>
      <c r="AA4367">
        <v>0.3724003758196569</v>
      </c>
      <c r="AB4367" t="str">
        <f>HYPERLINK("Melting_Curves/meltCurve_Q8IUF8_MINA.pdf", "Melting_Curves/meltCurve_Q8IUF8_MINA.pdf")</f>
        <v>Melting_Curves/meltCurve_Q8IUF8_MINA.pdf</v>
      </c>
    </row>
    <row r="4368" spans="1:28" x14ac:dyDescent="0.25">
      <c r="A4368" t="s">
        <v>4372</v>
      </c>
      <c r="B4368">
        <v>0.99193492352474899</v>
      </c>
      <c r="C4368">
        <v>0.98945694605627599</v>
      </c>
      <c r="D4368">
        <v>1.0489695770929399</v>
      </c>
      <c r="E4368">
        <v>0.46748787927257501</v>
      </c>
      <c r="F4368">
        <v>0.16151624525822</v>
      </c>
      <c r="G4368">
        <v>0.117178870881526</v>
      </c>
      <c r="H4368">
        <v>5.8934685562323598E-2</v>
      </c>
      <c r="I4368">
        <v>9.5275523087767794E-2</v>
      </c>
      <c r="J4368">
        <v>7.1995688630447904E-2</v>
      </c>
      <c r="K4368">
        <v>0.11227101131047799</v>
      </c>
      <c r="L4368">
        <v>3790.7695131166702</v>
      </c>
      <c r="M4368">
        <v>76.795672596801296</v>
      </c>
      <c r="N4368">
        <v>49.509012797522701</v>
      </c>
      <c r="O4368">
        <v>49.328318719503102</v>
      </c>
      <c r="P4368">
        <v>-0.34946905202094097</v>
      </c>
      <c r="Q4368">
        <v>0.102099519516576</v>
      </c>
      <c r="R4368">
        <v>0.99446606079086197</v>
      </c>
      <c r="S4368" t="s">
        <v>11038</v>
      </c>
      <c r="T4368" t="s">
        <v>13338</v>
      </c>
      <c r="U4368" t="s">
        <v>13338</v>
      </c>
      <c r="V4368" t="s">
        <v>13338</v>
      </c>
      <c r="W4368" t="s">
        <v>17650</v>
      </c>
      <c r="X4368">
        <v>6</v>
      </c>
      <c r="Y4368" t="s">
        <v>24154</v>
      </c>
      <c r="Z4368" t="s">
        <v>30783</v>
      </c>
      <c r="AA4368">
        <v>0.38312321247145242</v>
      </c>
      <c r="AB4368" t="str">
        <f>HYPERLINK("Melting_Curves/meltCurve_Q8IUH4_ZDHHC13.pdf", "Melting_Curves/meltCurve_Q8IUH4_ZDHHC13.pdf")</f>
        <v>Melting_Curves/meltCurve_Q8IUH4_ZDHHC13.pdf</v>
      </c>
    </row>
    <row r="4369" spans="1:28" x14ac:dyDescent="0.25">
      <c r="A4369" t="s">
        <v>4373</v>
      </c>
      <c r="B4369">
        <v>0.99193492352474899</v>
      </c>
      <c r="C4369">
        <v>1.0288329727455601</v>
      </c>
      <c r="D4369">
        <v>1.03963029414079</v>
      </c>
      <c r="E4369">
        <v>0.92323082885183205</v>
      </c>
      <c r="F4369">
        <v>0.53803517109407595</v>
      </c>
      <c r="G4369">
        <v>0.30146134635322402</v>
      </c>
      <c r="H4369">
        <v>4.2778227963528599E-2</v>
      </c>
      <c r="I4369">
        <v>2.9191790162614702E-2</v>
      </c>
      <c r="J4369">
        <v>2.3203880025523801E-2</v>
      </c>
      <c r="K4369">
        <v>5.30123408840497E-2</v>
      </c>
      <c r="L4369">
        <v>1306.89133992351</v>
      </c>
      <c r="M4369">
        <v>24.253506156044502</v>
      </c>
      <c r="N4369">
        <v>53.987523389313701</v>
      </c>
      <c r="O4369">
        <v>53.522321136172401</v>
      </c>
      <c r="P4369">
        <v>-0.11073014476625199</v>
      </c>
      <c r="Q4369">
        <v>2.2583529378677501E-2</v>
      </c>
      <c r="R4369">
        <v>0.99292584546968798</v>
      </c>
      <c r="S4369" t="s">
        <v>11039</v>
      </c>
      <c r="T4369" t="s">
        <v>13338</v>
      </c>
      <c r="U4369" t="s">
        <v>13338</v>
      </c>
      <c r="V4369" t="s">
        <v>13338</v>
      </c>
      <c r="W4369" t="s">
        <v>17651</v>
      </c>
      <c r="X4369">
        <v>1</v>
      </c>
      <c r="Y4369" t="s">
        <v>24155</v>
      </c>
      <c r="Z4369" t="s">
        <v>30784</v>
      </c>
      <c r="AA4369">
        <v>0.48450610759596402</v>
      </c>
      <c r="AB4369" t="str">
        <f>HYPERLINK("Melting_Curves/meltCurve_Q8IUH5_ZDHHC17.pdf", "Melting_Curves/meltCurve_Q8IUH5_ZDHHC17.pdf")</f>
        <v>Melting_Curves/meltCurve_Q8IUH5_ZDHHC17.pdf</v>
      </c>
    </row>
    <row r="4370" spans="1:28" x14ac:dyDescent="0.25">
      <c r="A4370" t="s">
        <v>4374</v>
      </c>
      <c r="B4370">
        <v>0.99193492352474899</v>
      </c>
      <c r="C4370">
        <v>0.87816282795912004</v>
      </c>
      <c r="D4370">
        <v>0.81132766234713405</v>
      </c>
      <c r="E4370">
        <v>0.26127145397590101</v>
      </c>
      <c r="F4370">
        <v>0.139676463531374</v>
      </c>
      <c r="G4370">
        <v>7.6128325592398904E-2</v>
      </c>
      <c r="H4370">
        <v>4.8526374348942802E-2</v>
      </c>
      <c r="I4370">
        <v>6.8707339428580094E-2</v>
      </c>
      <c r="J4370">
        <v>7.3056343844348198E-2</v>
      </c>
      <c r="K4370">
        <v>7.9196777367114002E-2</v>
      </c>
      <c r="L4370">
        <v>1474.6328298937699</v>
      </c>
      <c r="M4370">
        <v>30.9121840718974</v>
      </c>
      <c r="N4370">
        <v>47.940154486019303</v>
      </c>
      <c r="O4370">
        <v>47.505624197787</v>
      </c>
      <c r="P4370">
        <v>-0.15118556211124001</v>
      </c>
      <c r="Q4370">
        <v>7.0641720203916195E-2</v>
      </c>
      <c r="R4370">
        <v>0.990748969897708</v>
      </c>
      <c r="S4370" t="s">
        <v>11040</v>
      </c>
      <c r="T4370" t="s">
        <v>13338</v>
      </c>
      <c r="U4370" t="s">
        <v>13338</v>
      </c>
      <c r="V4370" t="s">
        <v>13338</v>
      </c>
      <c r="W4370" t="s">
        <v>17652</v>
      </c>
      <c r="X4370">
        <v>12</v>
      </c>
      <c r="Y4370" t="s">
        <v>24156</v>
      </c>
      <c r="Z4370" t="s">
        <v>30785</v>
      </c>
      <c r="AA4370">
        <v>0.31453962911823252</v>
      </c>
      <c r="AB4370" t="str">
        <f>HYPERLINK("Melting_Curves/meltCurve_Q8IUI8_CRLF3.pdf", "Melting_Curves/meltCurve_Q8IUI8_CRLF3.pdf")</f>
        <v>Melting_Curves/meltCurve_Q8IUI8_CRLF3.pdf</v>
      </c>
    </row>
    <row r="4371" spans="1:28" x14ac:dyDescent="0.25">
      <c r="A4371" t="s">
        <v>4375</v>
      </c>
      <c r="B4371">
        <v>0.99193492352474899</v>
      </c>
      <c r="C4371">
        <v>0.712946334045652</v>
      </c>
      <c r="D4371">
        <v>0.816398655100815</v>
      </c>
      <c r="E4371">
        <v>0.45910329874504702</v>
      </c>
      <c r="F4371">
        <v>0.20677604701969299</v>
      </c>
      <c r="G4371">
        <v>8.15163572670594E-2</v>
      </c>
      <c r="H4371">
        <v>3.2755286907727402E-2</v>
      </c>
      <c r="I4371">
        <v>2.6468297537272801E-2</v>
      </c>
      <c r="J4371">
        <v>4.07971462508155E-2</v>
      </c>
      <c r="K4371">
        <v>4.2918992102193097E-2</v>
      </c>
      <c r="L4371">
        <v>710.38503333317499</v>
      </c>
      <c r="M4371">
        <v>14.5428989664328</v>
      </c>
      <c r="N4371">
        <v>48.847553301743297</v>
      </c>
      <c r="O4371">
        <v>47.951784476068298</v>
      </c>
      <c r="P4371">
        <v>-7.5829036205973102E-2</v>
      </c>
      <c r="Q4371">
        <v>0</v>
      </c>
      <c r="R4371">
        <v>0.96449700561178897</v>
      </c>
      <c r="S4371" t="s">
        <v>11041</v>
      </c>
      <c r="T4371" t="s">
        <v>13338</v>
      </c>
      <c r="U4371" t="s">
        <v>13338</v>
      </c>
      <c r="V4371" t="s">
        <v>13338</v>
      </c>
      <c r="W4371" t="s">
        <v>17653</v>
      </c>
      <c r="X4371">
        <v>5</v>
      </c>
      <c r="Y4371" t="s">
        <v>24157</v>
      </c>
      <c r="Z4371" t="s">
        <v>30786</v>
      </c>
      <c r="AA4371">
        <v>0.32123256275080658</v>
      </c>
      <c r="AB4371" t="str">
        <f>HYPERLINK("Melting_Curves/meltCurve_Q8IUR0_TRAPPC5.pdf", "Melting_Curves/meltCurve_Q8IUR0_TRAPPC5.pdf")</f>
        <v>Melting_Curves/meltCurve_Q8IUR0_TRAPPC5.pdf</v>
      </c>
    </row>
    <row r="4372" spans="1:28" x14ac:dyDescent="0.25">
      <c r="A4372" t="s">
        <v>4376</v>
      </c>
      <c r="B4372">
        <v>0.99193492352474899</v>
      </c>
      <c r="C4372">
        <v>0.77095550021383197</v>
      </c>
      <c r="D4372">
        <v>0.89177986657868402</v>
      </c>
      <c r="E4372">
        <v>0.66740576840267196</v>
      </c>
      <c r="F4372">
        <v>0.59420371843409903</v>
      </c>
      <c r="G4372">
        <v>0.50768687721393002</v>
      </c>
      <c r="H4372">
        <v>0.30967878764519002</v>
      </c>
      <c r="I4372">
        <v>0.30634779318912903</v>
      </c>
      <c r="J4372">
        <v>0.36063877325649801</v>
      </c>
      <c r="K4372">
        <v>0.36783053290010198</v>
      </c>
      <c r="L4372">
        <v>487.72380820901202</v>
      </c>
      <c r="M4372">
        <v>9.5348166297483807</v>
      </c>
      <c r="N4372">
        <v>55.509256249534197</v>
      </c>
      <c r="O4372">
        <v>49.053541516393302</v>
      </c>
      <c r="P4372">
        <v>-3.5812541425539197E-2</v>
      </c>
      <c r="Q4372">
        <v>0.26345405692845802</v>
      </c>
      <c r="R4372">
        <v>0.92699539741390402</v>
      </c>
      <c r="S4372" t="s">
        <v>11042</v>
      </c>
      <c r="T4372" t="s">
        <v>13338</v>
      </c>
      <c r="U4372" t="s">
        <v>13338</v>
      </c>
      <c r="V4372" t="s">
        <v>13338</v>
      </c>
      <c r="W4372" t="s">
        <v>17654</v>
      </c>
      <c r="X4372">
        <v>1</v>
      </c>
      <c r="Y4372" t="s">
        <v>24158</v>
      </c>
      <c r="Z4372" t="s">
        <v>30787</v>
      </c>
      <c r="AA4372">
        <v>0.56924252123119445</v>
      </c>
      <c r="AB4372" t="str">
        <f>HYPERLINK("Melting_Curves/meltCurve_Q8IUW5_RELL1.pdf", "Melting_Curves/meltCurve_Q8IUW5_RELL1.pdf")</f>
        <v>Melting_Curves/meltCurve_Q8IUW5_RELL1.pdf</v>
      </c>
    </row>
    <row r="4373" spans="1:28" x14ac:dyDescent="0.25">
      <c r="A4373" t="s">
        <v>4377</v>
      </c>
      <c r="B4373">
        <v>0.99193492352474899</v>
      </c>
      <c r="C4373">
        <v>0.96623968637652802</v>
      </c>
      <c r="D4373">
        <v>1.14053016298946</v>
      </c>
      <c r="E4373">
        <v>0.97117531497266096</v>
      </c>
      <c r="F4373">
        <v>0.83760942317848297</v>
      </c>
      <c r="G4373">
        <v>0.56028719384555803</v>
      </c>
      <c r="H4373">
        <v>0.33950071699789502</v>
      </c>
      <c r="I4373">
        <v>0.31832016844389099</v>
      </c>
      <c r="J4373">
        <v>0.239929099276803</v>
      </c>
      <c r="K4373">
        <v>0.240872449480282</v>
      </c>
      <c r="L4373">
        <v>1387.63818540844</v>
      </c>
      <c r="M4373">
        <v>24.7550540917813</v>
      </c>
      <c r="N4373">
        <v>57.643966067102497</v>
      </c>
      <c r="O4373">
        <v>55.692787996589502</v>
      </c>
      <c r="P4373">
        <v>-8.3641361074241097E-2</v>
      </c>
      <c r="Q4373">
        <v>0.24732048563327699</v>
      </c>
      <c r="R4373">
        <v>0.97913984961164902</v>
      </c>
      <c r="S4373" t="s">
        <v>11043</v>
      </c>
      <c r="T4373" t="s">
        <v>13338</v>
      </c>
      <c r="U4373" t="s">
        <v>13338</v>
      </c>
      <c r="V4373" t="s">
        <v>13338</v>
      </c>
      <c r="W4373" t="s">
        <v>17655</v>
      </c>
      <c r="X4373">
        <v>3</v>
      </c>
      <c r="Y4373" t="s">
        <v>24159</v>
      </c>
      <c r="Z4373" t="s">
        <v>30788</v>
      </c>
      <c r="AA4373">
        <v>0.65714058045317758</v>
      </c>
      <c r="AB4373" t="str">
        <f>HYPERLINK("Melting_Curves/meltCurve_Q8IUX1_4_TMEM126B.pdf", "Melting_Curves/meltCurve_Q8IUX1_4_TMEM126B.pdf")</f>
        <v>Melting_Curves/meltCurve_Q8IUX1_4_TMEM126B.pdf</v>
      </c>
    </row>
    <row r="4374" spans="1:28" x14ac:dyDescent="0.25">
      <c r="A4374" t="s">
        <v>4378</v>
      </c>
      <c r="B4374">
        <v>0.99193492352474899</v>
      </c>
      <c r="C4374">
        <v>0.70429500452022997</v>
      </c>
      <c r="D4374">
        <v>1.0310876430062801</v>
      </c>
      <c r="E4374">
        <v>0.52476702616348203</v>
      </c>
      <c r="F4374">
        <v>0.45352782816363502</v>
      </c>
      <c r="G4374">
        <v>0.21921293342739201</v>
      </c>
      <c r="H4374">
        <v>0.17224616610645499</v>
      </c>
      <c r="I4374">
        <v>0.20362566272732099</v>
      </c>
      <c r="J4374">
        <v>0.29555316408774301</v>
      </c>
      <c r="K4374">
        <v>0.36892724654904702</v>
      </c>
      <c r="L4374">
        <v>1213.9278841692501</v>
      </c>
      <c r="M4374">
        <v>24.62167248762</v>
      </c>
      <c r="N4374">
        <v>50.776960463840503</v>
      </c>
      <c r="O4374">
        <v>48.981462943764498</v>
      </c>
      <c r="P4374">
        <v>-9.35852654129158E-2</v>
      </c>
      <c r="Q4374">
        <v>0.25531034404397301</v>
      </c>
      <c r="R4374">
        <v>0.84445383438295496</v>
      </c>
      <c r="S4374" t="s">
        <v>11044</v>
      </c>
      <c r="T4374" t="s">
        <v>13338</v>
      </c>
      <c r="U4374" t="s">
        <v>13338</v>
      </c>
      <c r="V4374" t="s">
        <v>13338</v>
      </c>
      <c r="W4374" t="s">
        <v>17656</v>
      </c>
      <c r="X4374">
        <v>3</v>
      </c>
      <c r="Y4374" t="s">
        <v>24160</v>
      </c>
      <c r="Z4374" t="s">
        <v>30789</v>
      </c>
      <c r="AA4374">
        <v>0.49306704341341762</v>
      </c>
      <c r="AB4374" t="str">
        <f>HYPERLINK("Melting_Curves/meltCurve_Q8IUX7_AEBP1.pdf", "Melting_Curves/meltCurve_Q8IUX7_AEBP1.pdf")</f>
        <v>Melting_Curves/meltCurve_Q8IUX7_AEBP1.pdf</v>
      </c>
    </row>
    <row r="4375" spans="1:28" x14ac:dyDescent="0.25">
      <c r="A4375" t="s">
        <v>4379</v>
      </c>
      <c r="B4375">
        <v>0.99193492352474899</v>
      </c>
      <c r="C4375">
        <v>1.04930419789129</v>
      </c>
      <c r="D4375">
        <v>0.86407398444219496</v>
      </c>
      <c r="E4375">
        <v>0.75219091300527396</v>
      </c>
      <c r="F4375">
        <v>0.69906008692083799</v>
      </c>
      <c r="G4375">
        <v>0.47064233789487703</v>
      </c>
      <c r="H4375">
        <v>0.27607085791750802</v>
      </c>
      <c r="I4375">
        <v>0.15320812095616601</v>
      </c>
      <c r="J4375">
        <v>0.16669474108677901</v>
      </c>
      <c r="K4375">
        <v>0.10127985464573599</v>
      </c>
      <c r="L4375">
        <v>622.43092441097701</v>
      </c>
      <c r="M4375">
        <v>11.122585245104901</v>
      </c>
      <c r="N4375">
        <v>55.961009114280998</v>
      </c>
      <c r="O4375">
        <v>54.2434252447147</v>
      </c>
      <c r="P4375">
        <v>-5.1278937941073903E-2</v>
      </c>
      <c r="Q4375">
        <v>0</v>
      </c>
      <c r="R4375">
        <v>0.98380291439183898</v>
      </c>
      <c r="S4375" t="s">
        <v>11045</v>
      </c>
      <c r="T4375" t="s">
        <v>13338</v>
      </c>
      <c r="U4375" t="s">
        <v>13338</v>
      </c>
      <c r="V4375" t="s">
        <v>13338</v>
      </c>
      <c r="W4375" t="s">
        <v>17657</v>
      </c>
      <c r="X4375">
        <v>5</v>
      </c>
      <c r="Y4375" t="s">
        <v>24161</v>
      </c>
      <c r="Z4375" t="s">
        <v>30790</v>
      </c>
      <c r="AA4375">
        <v>0.55305245696416583</v>
      </c>
      <c r="AB4375" t="str">
        <f>HYPERLINK("Melting_Curves/meltCurve_Q8IUZ5_AGXT2L2.pdf", "Melting_Curves/meltCurve_Q8IUZ5_AGXT2L2.pdf")</f>
        <v>Melting_Curves/meltCurve_Q8IUZ5_AGXT2L2.pdf</v>
      </c>
    </row>
    <row r="4376" spans="1:28" x14ac:dyDescent="0.25">
      <c r="A4376" t="s">
        <v>4380</v>
      </c>
      <c r="B4376">
        <v>0.99193492352474899</v>
      </c>
      <c r="C4376">
        <v>1.1874692198902099</v>
      </c>
      <c r="D4376">
        <v>1.16805313073598</v>
      </c>
      <c r="E4376">
        <v>1.2722225811752199</v>
      </c>
      <c r="F4376">
        <v>1.1528551959883899</v>
      </c>
      <c r="G4376">
        <v>0.83059213310347402</v>
      </c>
      <c r="H4376">
        <v>0.27109257564784101</v>
      </c>
      <c r="I4376">
        <v>0.258593466817365</v>
      </c>
      <c r="J4376">
        <v>0.249984944124233</v>
      </c>
      <c r="K4376">
        <v>0.28097529728713799</v>
      </c>
      <c r="L4376">
        <v>14268.459818350901</v>
      </c>
      <c r="M4376">
        <v>250</v>
      </c>
      <c r="N4376">
        <v>57.246888277716202</v>
      </c>
      <c r="O4376">
        <v>57.070197950407298</v>
      </c>
      <c r="P4376">
        <v>-0.80475300588601195</v>
      </c>
      <c r="Q4376">
        <v>0.26516152882764299</v>
      </c>
      <c r="R4376">
        <v>0.91050426891089598</v>
      </c>
      <c r="S4376" t="s">
        <v>11046</v>
      </c>
      <c r="T4376" t="s">
        <v>13338</v>
      </c>
      <c r="U4376" t="s">
        <v>13338</v>
      </c>
      <c r="V4376" t="s">
        <v>13338</v>
      </c>
      <c r="W4376" t="s">
        <v>17658</v>
      </c>
      <c r="X4376">
        <v>3</v>
      </c>
      <c r="Y4376" t="s">
        <v>24162</v>
      </c>
      <c r="Z4376" t="s">
        <v>30791</v>
      </c>
      <c r="AA4376">
        <v>0.68345226459124919</v>
      </c>
      <c r="AB4376" t="str">
        <f>HYPERLINK("Melting_Curves/meltCurve_Q8IV08_PLD3.pdf", "Melting_Curves/meltCurve_Q8IV08_PLD3.pdf")</f>
        <v>Melting_Curves/meltCurve_Q8IV08_PLD3.pdf</v>
      </c>
    </row>
    <row r="4377" spans="1:28" x14ac:dyDescent="0.25">
      <c r="A4377" t="s">
        <v>4381</v>
      </c>
      <c r="B4377">
        <v>0.99193492352474899</v>
      </c>
      <c r="C4377">
        <v>0.88262082294220801</v>
      </c>
      <c r="D4377">
        <v>1.0013715714048299</v>
      </c>
      <c r="E4377">
        <v>0.66258831249573202</v>
      </c>
      <c r="F4377">
        <v>0.159174767858491</v>
      </c>
      <c r="G4377">
        <v>8.7467321432632694E-2</v>
      </c>
      <c r="H4377">
        <v>6.1392933626493701E-2</v>
      </c>
      <c r="I4377">
        <v>6.7046346389163E-2</v>
      </c>
      <c r="J4377">
        <v>6.6867410787729897E-2</v>
      </c>
      <c r="K4377">
        <v>6.0429326597994597E-2</v>
      </c>
      <c r="L4377">
        <v>2052.7731995468998</v>
      </c>
      <c r="M4377">
        <v>40.806874680624503</v>
      </c>
      <c r="N4377">
        <v>50.481920596307901</v>
      </c>
      <c r="O4377">
        <v>50.184237392096101</v>
      </c>
      <c r="P4377">
        <v>-0.18971237771095401</v>
      </c>
      <c r="Q4377">
        <v>6.6769730580364506E-2</v>
      </c>
      <c r="R4377">
        <v>0.99115450523623705</v>
      </c>
      <c r="S4377" t="s">
        <v>11047</v>
      </c>
      <c r="T4377" t="s">
        <v>13338</v>
      </c>
      <c r="U4377" t="s">
        <v>13338</v>
      </c>
      <c r="V4377" t="s">
        <v>13338</v>
      </c>
      <c r="W4377" t="s">
        <v>17659</v>
      </c>
      <c r="X4377">
        <v>9</v>
      </c>
      <c r="Y4377" t="s">
        <v>24163</v>
      </c>
      <c r="Z4377" t="s">
        <v>30792</v>
      </c>
      <c r="AA4377">
        <v>0.39043923860996621</v>
      </c>
      <c r="AB4377" t="str">
        <f>HYPERLINK("Melting_Curves/meltCurve_Q8IV38_ANKMY2.pdf", "Melting_Curves/meltCurve_Q8IV38_ANKMY2.pdf")</f>
        <v>Melting_Curves/meltCurve_Q8IV38_ANKMY2.pdf</v>
      </c>
    </row>
    <row r="4378" spans="1:28" x14ac:dyDescent="0.25">
      <c r="A4378" t="s">
        <v>4382</v>
      </c>
      <c r="B4378">
        <v>0.99193492352474899</v>
      </c>
      <c r="C4378">
        <v>0.37183753617888599</v>
      </c>
      <c r="D4378">
        <v>0.44617135520326701</v>
      </c>
      <c r="E4378">
        <v>0.20653777759662301</v>
      </c>
      <c r="F4378">
        <v>0.116460903366219</v>
      </c>
      <c r="G4378">
        <v>5.7221662792188398E-2</v>
      </c>
      <c r="H4378">
        <v>4.2637058671754297E-2</v>
      </c>
      <c r="I4378">
        <v>4.1974051758617001E-2</v>
      </c>
      <c r="J4378">
        <v>6.2085672466412702E-2</v>
      </c>
      <c r="K4378">
        <v>5.1722991006308797E-2</v>
      </c>
      <c r="L4378">
        <v>698.81611551900698</v>
      </c>
      <c r="M4378">
        <v>16.031567561532899</v>
      </c>
      <c r="N4378">
        <v>43.901848901342603</v>
      </c>
      <c r="O4378">
        <v>42.928680737887397</v>
      </c>
      <c r="P4378">
        <v>-8.8344307799756203E-2</v>
      </c>
      <c r="Q4378">
        <v>5.3814473731662198E-2</v>
      </c>
      <c r="R4378">
        <v>0.88964598494406699</v>
      </c>
      <c r="S4378" t="s">
        <v>11048</v>
      </c>
      <c r="T4378" t="s">
        <v>13338</v>
      </c>
      <c r="U4378" t="s">
        <v>13338</v>
      </c>
      <c r="V4378" t="s">
        <v>13338</v>
      </c>
      <c r="W4378" t="s">
        <v>17660</v>
      </c>
      <c r="X4378">
        <v>4</v>
      </c>
      <c r="Y4378" t="s">
        <v>24164</v>
      </c>
      <c r="Z4378" t="s">
        <v>30793</v>
      </c>
      <c r="AA4378">
        <v>0.19883976962869321</v>
      </c>
      <c r="AB4378" t="str">
        <f>HYPERLINK("Melting_Curves/meltCurve_Q8IV48_ERI1.pdf", "Melting_Curves/meltCurve_Q8IV48_ERI1.pdf")</f>
        <v>Melting_Curves/meltCurve_Q8IV48_ERI1.pdf</v>
      </c>
    </row>
    <row r="4379" spans="1:28" x14ac:dyDescent="0.25">
      <c r="A4379" t="s">
        <v>4383</v>
      </c>
      <c r="B4379">
        <v>0.99193492352474899</v>
      </c>
      <c r="C4379">
        <v>0.89006673065534803</v>
      </c>
      <c r="D4379">
        <v>0.87732739720239095</v>
      </c>
      <c r="E4379">
        <v>0.69296509041600096</v>
      </c>
      <c r="F4379">
        <v>0.40176413519362703</v>
      </c>
      <c r="G4379">
        <v>0.23506907749539999</v>
      </c>
      <c r="H4379">
        <v>0.124125184680745</v>
      </c>
      <c r="I4379">
        <v>0.135462097787691</v>
      </c>
      <c r="J4379">
        <v>0.14641433879191801</v>
      </c>
      <c r="K4379">
        <v>0.17175505769518301</v>
      </c>
      <c r="L4379">
        <v>900.98164203963302</v>
      </c>
      <c r="M4379">
        <v>17.690625922500502</v>
      </c>
      <c r="N4379">
        <v>51.751436845568897</v>
      </c>
      <c r="O4379">
        <v>50.292487519255999</v>
      </c>
      <c r="P4379">
        <v>-7.7177040301653205E-2</v>
      </c>
      <c r="Q4379">
        <v>0.122423472985611</v>
      </c>
      <c r="R4379">
        <v>0.99012206042851303</v>
      </c>
      <c r="S4379" t="s">
        <v>11049</v>
      </c>
      <c r="T4379" t="s">
        <v>13338</v>
      </c>
      <c r="U4379" t="s">
        <v>13338</v>
      </c>
      <c r="V4379" t="s">
        <v>13338</v>
      </c>
      <c r="W4379" t="s">
        <v>17661</v>
      </c>
      <c r="X4379">
        <v>6</v>
      </c>
      <c r="Y4379" t="s">
        <v>24165</v>
      </c>
      <c r="Z4379" t="s">
        <v>30794</v>
      </c>
      <c r="AA4379">
        <v>0.45741953930973661</v>
      </c>
      <c r="AB4379" t="str">
        <f>HYPERLINK("Melting_Curves/meltCurve_Q8IV50_LYSMD2.pdf", "Melting_Curves/meltCurve_Q8IV50_LYSMD2.pdf")</f>
        <v>Melting_Curves/meltCurve_Q8IV50_LYSMD2.pdf</v>
      </c>
    </row>
    <row r="4380" spans="1:28" x14ac:dyDescent="0.25">
      <c r="A4380" t="s">
        <v>4384</v>
      </c>
      <c r="B4380">
        <v>0.99193492352474899</v>
      </c>
      <c r="C4380">
        <v>0.69219444344800296</v>
      </c>
      <c r="D4380">
        <v>0.61417174910813899</v>
      </c>
      <c r="E4380">
        <v>0.13861774472223801</v>
      </c>
      <c r="F4380">
        <v>9.4147310079895394E-2</v>
      </c>
      <c r="G4380">
        <v>3.6030652315668002E-2</v>
      </c>
      <c r="H4380">
        <v>2.2637231871741399E-2</v>
      </c>
      <c r="I4380">
        <v>0</v>
      </c>
      <c r="J4380">
        <v>2.44407803823628E-2</v>
      </c>
      <c r="K4380">
        <v>0</v>
      </c>
      <c r="L4380">
        <v>841.306600312265</v>
      </c>
      <c r="M4380">
        <v>18.256436053983499</v>
      </c>
      <c r="N4380">
        <v>46.094755478956102</v>
      </c>
      <c r="O4380">
        <v>45.5405016579913</v>
      </c>
      <c r="P4380">
        <v>-9.9987644118370994E-2</v>
      </c>
      <c r="Q4380">
        <v>2.3737495686599898E-3</v>
      </c>
      <c r="R4380">
        <v>0.97392499094405105</v>
      </c>
      <c r="S4380" t="s">
        <v>11050</v>
      </c>
      <c r="T4380" t="s">
        <v>13338</v>
      </c>
      <c r="U4380" t="s">
        <v>13338</v>
      </c>
      <c r="V4380" t="s">
        <v>13338</v>
      </c>
      <c r="W4380" t="s">
        <v>17662</v>
      </c>
      <c r="X4380">
        <v>3</v>
      </c>
      <c r="Y4380" t="s">
        <v>24166</v>
      </c>
      <c r="Z4380" t="s">
        <v>30795</v>
      </c>
      <c r="AA4380">
        <v>0.22350680590049729</v>
      </c>
      <c r="AB4380" t="str">
        <f>HYPERLINK("Melting_Curves/meltCurve_Q8IV53_2_DENND1C.pdf", "Melting_Curves/meltCurve_Q8IV53_2_DENND1C.pdf")</f>
        <v>Melting_Curves/meltCurve_Q8IV53_2_DENND1C.pdf</v>
      </c>
    </row>
    <row r="4381" spans="1:28" x14ac:dyDescent="0.25">
      <c r="A4381" t="s">
        <v>4385</v>
      </c>
      <c r="B4381">
        <v>0.99193492352474899</v>
      </c>
      <c r="C4381">
        <v>1.0784098076330699</v>
      </c>
      <c r="D4381">
        <v>1.20508303991657</v>
      </c>
      <c r="E4381">
        <v>0.76769826879353698</v>
      </c>
      <c r="F4381">
        <v>0.32736754775187499</v>
      </c>
      <c r="G4381">
        <v>0.19805620250105199</v>
      </c>
      <c r="H4381">
        <v>9.8278106792522496E-2</v>
      </c>
      <c r="I4381">
        <v>0.14124662980997699</v>
      </c>
      <c r="J4381">
        <v>0.17691196264829401</v>
      </c>
      <c r="K4381">
        <v>0.14332234425252999</v>
      </c>
      <c r="L4381">
        <v>1943.6512853290401</v>
      </c>
      <c r="M4381">
        <v>37.989301626024101</v>
      </c>
      <c r="N4381">
        <v>51.643729066226697</v>
      </c>
      <c r="O4381">
        <v>51.021970750317202</v>
      </c>
      <c r="P4381">
        <v>-0.15842526719272501</v>
      </c>
      <c r="Q4381">
        <v>0.148902664758471</v>
      </c>
      <c r="R4381">
        <v>0.96674330379889395</v>
      </c>
      <c r="S4381" t="s">
        <v>11051</v>
      </c>
      <c r="T4381" t="s">
        <v>13338</v>
      </c>
      <c r="U4381" t="s">
        <v>13338</v>
      </c>
      <c r="V4381" t="s">
        <v>13338</v>
      </c>
      <c r="W4381" t="s">
        <v>17663</v>
      </c>
      <c r="X4381">
        <v>8</v>
      </c>
      <c r="Y4381" t="s">
        <v>24167</v>
      </c>
      <c r="Z4381" t="s">
        <v>30796</v>
      </c>
      <c r="AA4381">
        <v>0.46893839801852111</v>
      </c>
      <c r="AB4381" t="str">
        <f>HYPERLINK("Melting_Curves/meltCurve_Q8IV63_3_VRK3.pdf", "Melting_Curves/meltCurve_Q8IV63_3_VRK3.pdf")</f>
        <v>Melting_Curves/meltCurve_Q8IV63_3_VRK3.pdf</v>
      </c>
    </row>
    <row r="4382" spans="1:28" x14ac:dyDescent="0.25">
      <c r="A4382" t="s">
        <v>4386</v>
      </c>
      <c r="B4382">
        <v>0.99193492352474899</v>
      </c>
      <c r="C4382">
        <v>0.86824498264169903</v>
      </c>
      <c r="D4382">
        <v>0.47616037382709803</v>
      </c>
      <c r="E4382">
        <v>0.17753713230996901</v>
      </c>
      <c r="F4382">
        <v>0.140476425053811</v>
      </c>
      <c r="G4382">
        <v>6.6164047226080505E-2</v>
      </c>
      <c r="H4382">
        <v>4.4652648713393299E-2</v>
      </c>
      <c r="I4382">
        <v>5.5691422816821198E-2</v>
      </c>
      <c r="J4382">
        <v>7.4759299397688897E-2</v>
      </c>
      <c r="K4382">
        <v>0.152702368168291</v>
      </c>
      <c r="L4382">
        <v>1261.7669169569999</v>
      </c>
      <c r="M4382">
        <v>27.686430548140201</v>
      </c>
      <c r="N4382">
        <v>45.883988054902296</v>
      </c>
      <c r="O4382">
        <v>45.337711552935197</v>
      </c>
      <c r="P4382">
        <v>-0.13962688550751001</v>
      </c>
      <c r="Q4382">
        <v>8.5428280028503695E-2</v>
      </c>
      <c r="R4382">
        <v>0.991548795450931</v>
      </c>
      <c r="S4382" t="s">
        <v>11052</v>
      </c>
      <c r="T4382" t="s">
        <v>13338</v>
      </c>
      <c r="U4382" t="s">
        <v>13338</v>
      </c>
      <c r="V4382" t="s">
        <v>13338</v>
      </c>
      <c r="W4382" t="s">
        <v>17664</v>
      </c>
      <c r="X4382">
        <v>2</v>
      </c>
      <c r="Y4382" t="s">
        <v>24168</v>
      </c>
      <c r="Z4382" t="s">
        <v>30797</v>
      </c>
      <c r="AA4382">
        <v>0.262166954894683</v>
      </c>
      <c r="AB4382" t="str">
        <f>HYPERLINK("Melting_Curves/meltCurve_Q8IVB5_LIX1L.pdf", "Melting_Curves/meltCurve_Q8IVB5_LIX1L.pdf")</f>
        <v>Melting_Curves/meltCurve_Q8IVB5_LIX1L.pdf</v>
      </c>
    </row>
    <row r="4383" spans="1:28" x14ac:dyDescent="0.25">
      <c r="A4383" t="s">
        <v>4387</v>
      </c>
      <c r="B4383">
        <v>0.99193492352474899</v>
      </c>
      <c r="C4383">
        <v>0.64263156960116297</v>
      </c>
      <c r="D4383">
        <v>0.65777499224615499</v>
      </c>
      <c r="E4383">
        <v>0.16258851661721099</v>
      </c>
      <c r="F4383">
        <v>0.11518372586608699</v>
      </c>
      <c r="G4383">
        <v>6.8314516208318105E-2</v>
      </c>
      <c r="H4383">
        <v>5.0148487573170801E-2</v>
      </c>
      <c r="I4383">
        <v>5.7226945009751097E-2</v>
      </c>
      <c r="J4383">
        <v>5.06775983447239E-2</v>
      </c>
      <c r="K4383">
        <v>3.6069521961434002E-2</v>
      </c>
      <c r="L4383">
        <v>782.62301640979399</v>
      </c>
      <c r="M4383">
        <v>17.018616697735101</v>
      </c>
      <c r="N4383">
        <v>46.173672647855902</v>
      </c>
      <c r="O4383">
        <v>45.365433269041098</v>
      </c>
      <c r="P4383">
        <v>-9.06624344592009E-2</v>
      </c>
      <c r="Q4383">
        <v>3.3367371574765201E-2</v>
      </c>
      <c r="R4383">
        <v>0.95260331939297505</v>
      </c>
      <c r="S4383" t="s">
        <v>11053</v>
      </c>
      <c r="T4383" t="s">
        <v>13338</v>
      </c>
      <c r="U4383" t="s">
        <v>13338</v>
      </c>
      <c r="V4383" t="s">
        <v>13338</v>
      </c>
      <c r="W4383" t="s">
        <v>17665</v>
      </c>
      <c r="X4383">
        <v>3</v>
      </c>
      <c r="Y4383" t="s">
        <v>24169</v>
      </c>
      <c r="Z4383" t="s">
        <v>30798</v>
      </c>
      <c r="AA4383">
        <v>0.2477741408909849</v>
      </c>
      <c r="AB4383" t="str">
        <f>HYPERLINK("Melting_Curves/meltCurve_Q8IVD9_NUDCD3.pdf", "Melting_Curves/meltCurve_Q8IVD9_NUDCD3.pdf")</f>
        <v>Melting_Curves/meltCurve_Q8IVD9_NUDCD3.pdf</v>
      </c>
    </row>
    <row r="4384" spans="1:28" x14ac:dyDescent="0.25">
      <c r="A4384" t="s">
        <v>4388</v>
      </c>
      <c r="B4384">
        <v>0.99193492352474899</v>
      </c>
      <c r="C4384">
        <v>0.97442808348813703</v>
      </c>
      <c r="D4384">
        <v>0.81909195177246197</v>
      </c>
      <c r="E4384">
        <v>0.76550258778414704</v>
      </c>
      <c r="F4384">
        <v>0.65918529111598401</v>
      </c>
      <c r="G4384">
        <v>0.54578718570002704</v>
      </c>
      <c r="H4384">
        <v>0.38832548244416598</v>
      </c>
      <c r="I4384">
        <v>0.33415989347025099</v>
      </c>
      <c r="J4384">
        <v>0.21407667971005601</v>
      </c>
      <c r="K4384">
        <v>0.16406436887606499</v>
      </c>
      <c r="L4384">
        <v>459.82507143886698</v>
      </c>
      <c r="M4384">
        <v>8.0146388440678091</v>
      </c>
      <c r="N4384">
        <v>57.3731651924356</v>
      </c>
      <c r="O4384">
        <v>54.131889507817696</v>
      </c>
      <c r="P4384">
        <v>-3.7055984953148699E-2</v>
      </c>
      <c r="Q4384">
        <v>0</v>
      </c>
      <c r="R4384">
        <v>0.98970882628600099</v>
      </c>
      <c r="S4384" t="s">
        <v>11054</v>
      </c>
      <c r="T4384" t="s">
        <v>13338</v>
      </c>
      <c r="U4384" t="s">
        <v>13338</v>
      </c>
      <c r="V4384" t="s">
        <v>13338</v>
      </c>
      <c r="W4384" t="s">
        <v>17666</v>
      </c>
      <c r="X4384">
        <v>1</v>
      </c>
      <c r="Y4384" t="s">
        <v>24170</v>
      </c>
      <c r="Z4384" t="s">
        <v>30799</v>
      </c>
      <c r="AA4384">
        <v>0.5880747402455696</v>
      </c>
      <c r="AB4384" t="str">
        <f>HYPERLINK("Melting_Curves/meltCurve_Q8IVF2_3_AHNAK2.pdf", "Melting_Curves/meltCurve_Q8IVF2_3_AHNAK2.pdf")</f>
        <v>Melting_Curves/meltCurve_Q8IVF2_3_AHNAK2.pdf</v>
      </c>
    </row>
    <row r="4385" spans="1:28" x14ac:dyDescent="0.25">
      <c r="A4385" t="s">
        <v>4389</v>
      </c>
      <c r="B4385">
        <v>0.99193492352474899</v>
      </c>
      <c r="C4385">
        <v>0.82970148308862701</v>
      </c>
      <c r="D4385">
        <v>1.1182792928736101</v>
      </c>
      <c r="E4385">
        <v>0.77805240415669397</v>
      </c>
      <c r="F4385">
        <v>0.63575875796535097</v>
      </c>
      <c r="G4385">
        <v>0.151960835023595</v>
      </c>
      <c r="H4385">
        <v>6.3802704436912494E-2</v>
      </c>
      <c r="I4385">
        <v>6.7719113229995895E-2</v>
      </c>
      <c r="J4385">
        <v>8.3907938844992896E-2</v>
      </c>
      <c r="K4385">
        <v>8.1910884898437994E-2</v>
      </c>
      <c r="L4385">
        <v>1440.8167780423601</v>
      </c>
      <c r="M4385">
        <v>26.960017788232399</v>
      </c>
      <c r="N4385">
        <v>53.6751013344076</v>
      </c>
      <c r="O4385">
        <v>53.151284030618299</v>
      </c>
      <c r="P4385">
        <v>-0.119824228759944</v>
      </c>
      <c r="Q4385">
        <v>5.5082498549987501E-2</v>
      </c>
      <c r="R4385">
        <v>0.95714305523727905</v>
      </c>
      <c r="S4385" t="s">
        <v>11055</v>
      </c>
      <c r="T4385" t="s">
        <v>13338</v>
      </c>
      <c r="U4385" t="s">
        <v>13338</v>
      </c>
      <c r="V4385" t="s">
        <v>13338</v>
      </c>
      <c r="W4385" t="s">
        <v>17667</v>
      </c>
      <c r="X4385">
        <v>7</v>
      </c>
      <c r="Y4385" t="s">
        <v>24171</v>
      </c>
      <c r="Z4385" t="s">
        <v>30800</v>
      </c>
      <c r="AA4385">
        <v>0.48606289257641477</v>
      </c>
      <c r="AB4385" t="str">
        <f>HYPERLINK("Melting_Curves/meltCurve_Q8IVH4_MMAA.pdf", "Melting_Curves/meltCurve_Q8IVH4_MMAA.pdf")</f>
        <v>Melting_Curves/meltCurve_Q8IVH4_MMAA.pdf</v>
      </c>
    </row>
    <row r="4386" spans="1:28" x14ac:dyDescent="0.25">
      <c r="A4386" t="s">
        <v>4390</v>
      </c>
      <c r="B4386">
        <v>0.99193492352474899</v>
      </c>
      <c r="C4386">
        <v>0.85633419481137196</v>
      </c>
      <c r="D4386">
        <v>1.0167377709023899</v>
      </c>
      <c r="E4386">
        <v>0.80775809576966495</v>
      </c>
      <c r="F4386">
        <v>0.61265885350535798</v>
      </c>
      <c r="G4386">
        <v>0.43414046422101099</v>
      </c>
      <c r="H4386">
        <v>0.36592521516506898</v>
      </c>
      <c r="I4386">
        <v>0.37795700516903402</v>
      </c>
      <c r="J4386">
        <v>0.647745162800894</v>
      </c>
      <c r="K4386">
        <v>0.65857691368433302</v>
      </c>
      <c r="L4386">
        <v>1725.37900271386</v>
      </c>
      <c r="M4386">
        <v>34.182885026626899</v>
      </c>
      <c r="O4386">
        <v>50.303133221840099</v>
      </c>
      <c r="P4386">
        <v>-8.4885417720334699E-2</v>
      </c>
      <c r="Q4386">
        <v>0.50033644671369704</v>
      </c>
      <c r="R4386">
        <v>0.78722879963774495</v>
      </c>
      <c r="S4386" t="s">
        <v>11056</v>
      </c>
      <c r="T4386" t="s">
        <v>13338</v>
      </c>
      <c r="U4386" t="s">
        <v>13338</v>
      </c>
      <c r="V4386" t="s">
        <v>13338</v>
      </c>
      <c r="W4386" t="s">
        <v>17668</v>
      </c>
      <c r="X4386">
        <v>1</v>
      </c>
      <c r="Y4386" t="s">
        <v>24172</v>
      </c>
      <c r="Z4386" t="s">
        <v>30801</v>
      </c>
      <c r="AA4386">
        <v>0.67719519716294385</v>
      </c>
      <c r="AB4386" t="str">
        <f>HYPERLINK("Melting_Curves/meltCurve_Q8IVP5_FUNDC1.pdf", "Melting_Curves/meltCurve_Q8IVP5_FUNDC1.pdf")</f>
        <v>Melting_Curves/meltCurve_Q8IVP5_FUNDC1.pdf</v>
      </c>
    </row>
    <row r="4387" spans="1:28" x14ac:dyDescent="0.25">
      <c r="A4387" t="s">
        <v>4391</v>
      </c>
      <c r="B4387">
        <v>0.99193492352474899</v>
      </c>
      <c r="C4387">
        <v>0.78414030943637802</v>
      </c>
      <c r="D4387">
        <v>0.88360254939161098</v>
      </c>
      <c r="E4387">
        <v>0.68865641276426603</v>
      </c>
      <c r="F4387">
        <v>0.588928357954286</v>
      </c>
      <c r="G4387">
        <v>0.32312548655009099</v>
      </c>
      <c r="H4387">
        <v>0.166524268814708</v>
      </c>
      <c r="I4387">
        <v>0.15038753964917501</v>
      </c>
      <c r="J4387">
        <v>0.14767138753298401</v>
      </c>
      <c r="K4387">
        <v>0.15660120920689</v>
      </c>
      <c r="L4387">
        <v>565.78118137330296</v>
      </c>
      <c r="M4387">
        <v>10.6809791100206</v>
      </c>
      <c r="N4387">
        <v>53.406408773379397</v>
      </c>
      <c r="O4387">
        <v>51.215353255249497</v>
      </c>
      <c r="P4387">
        <v>-4.99819701671462E-2</v>
      </c>
      <c r="Q4387">
        <v>4.1706767702407298E-2</v>
      </c>
      <c r="R4387">
        <v>0.96277226203829902</v>
      </c>
      <c r="S4387" t="s">
        <v>11057</v>
      </c>
      <c r="T4387" t="s">
        <v>13338</v>
      </c>
      <c r="U4387" t="s">
        <v>13338</v>
      </c>
      <c r="V4387" t="s">
        <v>13338</v>
      </c>
      <c r="W4387" t="s">
        <v>17669</v>
      </c>
      <c r="X4387">
        <v>10</v>
      </c>
      <c r="Y4387" t="s">
        <v>24173</v>
      </c>
      <c r="Z4387" t="s">
        <v>30802</v>
      </c>
      <c r="AA4387">
        <v>0.48694524179771981</v>
      </c>
      <c r="AB4387" t="str">
        <f>HYPERLINK("Melting_Curves/meltCurve_Q8IVS2_MCAT.pdf", "Melting_Curves/meltCurve_Q8IVS2_MCAT.pdf")</f>
        <v>Melting_Curves/meltCurve_Q8IVS2_MCAT.pdf</v>
      </c>
    </row>
    <row r="4388" spans="1:28" x14ac:dyDescent="0.25">
      <c r="A4388" t="s">
        <v>4392</v>
      </c>
      <c r="B4388">
        <v>0.99193492352474899</v>
      </c>
      <c r="C4388">
        <v>0.783063591721189</v>
      </c>
      <c r="D4388">
        <v>0.81780275823676096</v>
      </c>
      <c r="E4388">
        <v>0.64135190735107706</v>
      </c>
      <c r="F4388">
        <v>0.41276992191089801</v>
      </c>
      <c r="G4388">
        <v>0.194648724229293</v>
      </c>
      <c r="H4388">
        <v>0.109012594841077</v>
      </c>
      <c r="I4388">
        <v>0.11670167360306399</v>
      </c>
      <c r="J4388">
        <v>0.11553069125085499</v>
      </c>
      <c r="K4388">
        <v>0.11911181850003801</v>
      </c>
      <c r="L4388">
        <v>628.50933955092398</v>
      </c>
      <c r="M4388">
        <v>12.3952113663065</v>
      </c>
      <c r="N4388">
        <v>51.146050049646099</v>
      </c>
      <c r="O4388">
        <v>49.440272165639001</v>
      </c>
      <c r="P4388">
        <v>-5.9519005222158798E-2</v>
      </c>
      <c r="Q4388">
        <v>5.0597770624994799E-2</v>
      </c>
      <c r="R4388">
        <v>0.974470145557644</v>
      </c>
      <c r="S4388" t="s">
        <v>11058</v>
      </c>
      <c r="T4388" t="s">
        <v>13338</v>
      </c>
      <c r="U4388" t="s">
        <v>13338</v>
      </c>
      <c r="V4388" t="s">
        <v>13338</v>
      </c>
      <c r="W4388" t="s">
        <v>17670</v>
      </c>
      <c r="X4388">
        <v>3</v>
      </c>
      <c r="Y4388" t="s">
        <v>24174</v>
      </c>
      <c r="Z4388" t="s">
        <v>30803</v>
      </c>
      <c r="AA4388">
        <v>0.41943774958081359</v>
      </c>
      <c r="AB4388" t="str">
        <f>HYPERLINK("Melting_Curves/meltCurve_Q8IVV7_GID4.pdf", "Melting_Curves/meltCurve_Q8IVV7_GID4.pdf")</f>
        <v>Melting_Curves/meltCurve_Q8IVV7_GID4.pdf</v>
      </c>
    </row>
    <row r="4389" spans="1:28" x14ac:dyDescent="0.25">
      <c r="A4389" t="s">
        <v>4393</v>
      </c>
      <c r="B4389">
        <v>0.99193492352474899</v>
      </c>
      <c r="C4389">
        <v>0.55879800793857004</v>
      </c>
      <c r="D4389">
        <v>0.70591499020628801</v>
      </c>
      <c r="E4389">
        <v>0.417622815284515</v>
      </c>
      <c r="F4389">
        <v>0.34043924914187301</v>
      </c>
      <c r="G4389">
        <v>0.153918746086256</v>
      </c>
      <c r="H4389">
        <v>0.16848769406558201</v>
      </c>
      <c r="I4389">
        <v>0.294631814700346</v>
      </c>
      <c r="J4389">
        <v>0.31234888559174001</v>
      </c>
      <c r="K4389">
        <v>0.82963536134847105</v>
      </c>
      <c r="L4389">
        <v>782.41065817091703</v>
      </c>
      <c r="M4389">
        <v>17.9167061793942</v>
      </c>
      <c r="N4389">
        <v>46.882456968697298</v>
      </c>
      <c r="O4389">
        <v>43.136221259711299</v>
      </c>
      <c r="P4389">
        <v>-6.7129233188682802E-2</v>
      </c>
      <c r="Q4389">
        <v>0.353551728541877</v>
      </c>
      <c r="R4389">
        <v>0.481986430798236</v>
      </c>
      <c r="S4389" t="s">
        <v>11059</v>
      </c>
      <c r="T4389" t="s">
        <v>13338</v>
      </c>
      <c r="U4389" t="s">
        <v>13338</v>
      </c>
      <c r="V4389" t="s">
        <v>13338</v>
      </c>
      <c r="W4389" t="s">
        <v>17671</v>
      </c>
      <c r="X4389">
        <v>1</v>
      </c>
      <c r="Y4389" t="s">
        <v>24175</v>
      </c>
      <c r="Z4389" t="s">
        <v>30804</v>
      </c>
      <c r="AA4389">
        <v>0.44959192732305869</v>
      </c>
      <c r="AB4389" t="str">
        <f>HYPERLINK("Melting_Curves/meltCurve_Q8IW19_APLF.pdf", "Melting_Curves/meltCurve_Q8IW19_APLF.pdf")</f>
        <v>Melting_Curves/meltCurve_Q8IW19_APLF.pdf</v>
      </c>
    </row>
    <row r="4390" spans="1:28" x14ac:dyDescent="0.25">
      <c r="A4390" t="s">
        <v>4394</v>
      </c>
      <c r="B4390">
        <v>0.99193492352474899</v>
      </c>
      <c r="C4390">
        <v>1.0904133110944001</v>
      </c>
      <c r="D4390">
        <v>0.81459347114803704</v>
      </c>
      <c r="E4390">
        <v>0.81621542905877198</v>
      </c>
      <c r="F4390">
        <v>0.58334388361952305</v>
      </c>
      <c r="G4390">
        <v>0.46126557187659101</v>
      </c>
      <c r="H4390">
        <v>0.31433048131792102</v>
      </c>
      <c r="I4390">
        <v>0.406602514320349</v>
      </c>
      <c r="J4390">
        <v>0.47826094262884999</v>
      </c>
      <c r="K4390">
        <v>0.57058445927396495</v>
      </c>
      <c r="L4390">
        <v>1083.2701236748601</v>
      </c>
      <c r="M4390">
        <v>21.512539281230602</v>
      </c>
      <c r="N4390">
        <v>55.729951229763401</v>
      </c>
      <c r="O4390">
        <v>49.926223022365797</v>
      </c>
      <c r="P4390">
        <v>-6.0626911722234E-2</v>
      </c>
      <c r="Q4390">
        <v>0.43720286216091397</v>
      </c>
      <c r="R4390">
        <v>0.89014173382009798</v>
      </c>
      <c r="S4390" t="s">
        <v>11060</v>
      </c>
      <c r="T4390" t="s">
        <v>13338</v>
      </c>
      <c r="U4390" t="s">
        <v>13338</v>
      </c>
      <c r="V4390" t="s">
        <v>13338</v>
      </c>
      <c r="W4390" t="s">
        <v>17672</v>
      </c>
      <c r="X4390">
        <v>8</v>
      </c>
      <c r="Y4390" t="s">
        <v>24176</v>
      </c>
      <c r="Z4390" t="s">
        <v>30805</v>
      </c>
      <c r="AA4390">
        <v>0.63826132884898323</v>
      </c>
      <c r="AB4390" t="str">
        <f>HYPERLINK("Melting_Curves/meltCurve_Q8IW45_CARKD.pdf", "Melting_Curves/meltCurve_Q8IW45_CARKD.pdf")</f>
        <v>Melting_Curves/meltCurve_Q8IW45_CARKD.pdf</v>
      </c>
    </row>
    <row r="4391" spans="1:28" x14ac:dyDescent="0.25">
      <c r="A4391" t="s">
        <v>4395</v>
      </c>
      <c r="B4391">
        <v>0.99193492352474899</v>
      </c>
      <c r="C4391">
        <v>0.64042461430922004</v>
      </c>
      <c r="D4391">
        <v>0.63657520257132005</v>
      </c>
      <c r="E4391">
        <v>0.22248526340563901</v>
      </c>
      <c r="F4391">
        <v>8.4823245296234903E-2</v>
      </c>
      <c r="G4391">
        <v>5.1793240137353501E-2</v>
      </c>
      <c r="H4391">
        <v>3.9088915502122297E-2</v>
      </c>
      <c r="I4391">
        <v>5.4103827629758502E-2</v>
      </c>
      <c r="J4391">
        <v>6.8191423570178405E-2</v>
      </c>
      <c r="K4391">
        <v>7.1282079428387296E-2</v>
      </c>
      <c r="L4391">
        <v>766.13433433080399</v>
      </c>
      <c r="M4391">
        <v>16.662701982363</v>
      </c>
      <c r="N4391">
        <v>46.188820587359601</v>
      </c>
      <c r="O4391">
        <v>45.332063071197801</v>
      </c>
      <c r="P4391">
        <v>-8.8548905670360598E-2</v>
      </c>
      <c r="Q4391">
        <v>3.6450108305429101E-2</v>
      </c>
      <c r="R4391">
        <v>0.95949663543140096</v>
      </c>
      <c r="S4391" t="s">
        <v>11061</v>
      </c>
      <c r="T4391" t="s">
        <v>13338</v>
      </c>
      <c r="U4391" t="s">
        <v>13338</v>
      </c>
      <c r="V4391" t="s">
        <v>13338</v>
      </c>
      <c r="W4391" t="s">
        <v>17673</v>
      </c>
      <c r="X4391">
        <v>5</v>
      </c>
      <c r="Y4391" t="s">
        <v>24177</v>
      </c>
      <c r="Z4391" t="s">
        <v>30806</v>
      </c>
      <c r="AA4391">
        <v>0.2509731108681203</v>
      </c>
      <c r="AB4391" t="str">
        <f>HYPERLINK("Melting_Curves/meltCurve_Q8IWA0_WDR75.pdf", "Melting_Curves/meltCurve_Q8IWA0_WDR75.pdf")</f>
        <v>Melting_Curves/meltCurve_Q8IWA0_WDR75.pdf</v>
      </c>
    </row>
    <row r="4392" spans="1:28" x14ac:dyDescent="0.25">
      <c r="A4392" t="s">
        <v>4396</v>
      </c>
      <c r="B4392">
        <v>0.99193492352474899</v>
      </c>
      <c r="C4392">
        <v>0.89520164098676902</v>
      </c>
      <c r="D4392">
        <v>0.94087505933827598</v>
      </c>
      <c r="E4392">
        <v>0.38519650910493197</v>
      </c>
      <c r="F4392">
        <v>0.13452152614728599</v>
      </c>
      <c r="G4392">
        <v>6.0582018812598601E-2</v>
      </c>
      <c r="H4392">
        <v>3.9360987832632803E-2</v>
      </c>
      <c r="I4392">
        <v>5.5862597638096298E-2</v>
      </c>
      <c r="J4392">
        <v>5.2887344797567397E-2</v>
      </c>
      <c r="K4392">
        <v>0.12202864640305899</v>
      </c>
      <c r="L4392">
        <v>1877.45729628599</v>
      </c>
      <c r="M4392">
        <v>38.470938156429902</v>
      </c>
      <c r="N4392">
        <v>48.992700798327903</v>
      </c>
      <c r="O4392">
        <v>48.670657958644902</v>
      </c>
      <c r="P4392">
        <v>-0.18386532148856899</v>
      </c>
      <c r="Q4392">
        <v>6.9549644998675497E-2</v>
      </c>
      <c r="R4392">
        <v>0.98953651231443696</v>
      </c>
      <c r="S4392" t="s">
        <v>11062</v>
      </c>
      <c r="T4392" t="s">
        <v>13338</v>
      </c>
      <c r="U4392" t="s">
        <v>13338</v>
      </c>
      <c r="V4392" t="s">
        <v>13338</v>
      </c>
      <c r="W4392" t="s">
        <v>17674</v>
      </c>
      <c r="X4392">
        <v>7</v>
      </c>
      <c r="Y4392" t="s">
        <v>24178</v>
      </c>
      <c r="Z4392" t="s">
        <v>30807</v>
      </c>
      <c r="AA4392">
        <v>0.34594381950999309</v>
      </c>
      <c r="AB4392" t="str">
        <f>HYPERLINK("Melting_Curves/meltCurve_Q8IWA4_MFN1.pdf", "Melting_Curves/meltCurve_Q8IWA4_MFN1.pdf")</f>
        <v>Melting_Curves/meltCurve_Q8IWA4_MFN1.pdf</v>
      </c>
    </row>
    <row r="4393" spans="1:28" x14ac:dyDescent="0.25">
      <c r="A4393" t="s">
        <v>4397</v>
      </c>
      <c r="B4393">
        <v>0.99193492352474899</v>
      </c>
      <c r="C4393">
        <v>0.97575648389395797</v>
      </c>
      <c r="D4393">
        <v>1.11497266721753</v>
      </c>
      <c r="E4393">
        <v>0.73895035508016504</v>
      </c>
      <c r="F4393">
        <v>0.56915201409210403</v>
      </c>
      <c r="G4393">
        <v>0.32427866260246102</v>
      </c>
      <c r="H4393">
        <v>0.245334139182184</v>
      </c>
      <c r="I4393">
        <v>0.207300290015315</v>
      </c>
      <c r="J4393">
        <v>0.22365109081297199</v>
      </c>
      <c r="K4393">
        <v>0.15939491261210501</v>
      </c>
      <c r="L4393">
        <v>1111.0232719488199</v>
      </c>
      <c r="M4393">
        <v>21.156710927662701</v>
      </c>
      <c r="N4393">
        <v>53.738439547340803</v>
      </c>
      <c r="O4393">
        <v>52.051579205718703</v>
      </c>
      <c r="P4393">
        <v>-8.2182992643327901E-2</v>
      </c>
      <c r="Q4393">
        <v>0.19124620446294499</v>
      </c>
      <c r="R4393">
        <v>0.97354336445081602</v>
      </c>
      <c r="S4393" t="s">
        <v>11063</v>
      </c>
      <c r="T4393" t="s">
        <v>13338</v>
      </c>
      <c r="U4393" t="s">
        <v>13338</v>
      </c>
      <c r="V4393" t="s">
        <v>13338</v>
      </c>
      <c r="W4393" t="s">
        <v>17675</v>
      </c>
      <c r="X4393">
        <v>4</v>
      </c>
      <c r="Y4393" t="s">
        <v>24179</v>
      </c>
      <c r="Z4393" t="s">
        <v>30808</v>
      </c>
      <c r="AA4393">
        <v>0.53870828669626569</v>
      </c>
      <c r="AB4393" t="str">
        <f>HYPERLINK("Melting_Curves/meltCurve_Q8IWB1_ITPRIP.pdf", "Melting_Curves/meltCurve_Q8IWB1_ITPRIP.pdf")</f>
        <v>Melting_Curves/meltCurve_Q8IWB1_ITPRIP.pdf</v>
      </c>
    </row>
    <row r="4394" spans="1:28" x14ac:dyDescent="0.25">
      <c r="A4394" t="s">
        <v>4398</v>
      </c>
      <c r="B4394">
        <v>0.99193492352474899</v>
      </c>
      <c r="C4394">
        <v>0.93056544632369698</v>
      </c>
      <c r="D4394">
        <v>0.89598477219315098</v>
      </c>
      <c r="E4394">
        <v>0.741619709702524</v>
      </c>
      <c r="F4394">
        <v>0.61051957110669397</v>
      </c>
      <c r="G4394">
        <v>0.29160091651000197</v>
      </c>
      <c r="H4394">
        <v>0.145561433819308</v>
      </c>
      <c r="I4394">
        <v>0.136118021424212</v>
      </c>
      <c r="J4394">
        <v>0.14507688892364901</v>
      </c>
      <c r="K4394">
        <v>9.4392400631986298E-2</v>
      </c>
      <c r="L4394">
        <v>784.75800212859099</v>
      </c>
      <c r="M4394">
        <v>14.7370325201725</v>
      </c>
      <c r="N4394">
        <v>53.749102778468497</v>
      </c>
      <c r="O4394">
        <v>52.299061777461802</v>
      </c>
      <c r="P4394">
        <v>-6.5954581086805297E-2</v>
      </c>
      <c r="Q4394">
        <v>6.3857869637254303E-2</v>
      </c>
      <c r="R4394">
        <v>0.98897527962979703</v>
      </c>
      <c r="S4394" t="s">
        <v>11064</v>
      </c>
      <c r="T4394" t="s">
        <v>13338</v>
      </c>
      <c r="U4394" t="s">
        <v>13338</v>
      </c>
      <c r="V4394" t="s">
        <v>13338</v>
      </c>
      <c r="W4394" t="s">
        <v>17676</v>
      </c>
      <c r="X4394">
        <v>9</v>
      </c>
      <c r="Y4394" t="s">
        <v>24180</v>
      </c>
      <c r="Z4394" t="s">
        <v>30809</v>
      </c>
      <c r="AA4394">
        <v>0.49774997123010251</v>
      </c>
      <c r="AB4394" t="str">
        <f>HYPERLINK("Melting_Curves/meltCurve_Q8IWB7_WDFY1.pdf", "Melting_Curves/meltCurve_Q8IWB7_WDFY1.pdf")</f>
        <v>Melting_Curves/meltCurve_Q8IWB7_WDFY1.pdf</v>
      </c>
    </row>
    <row r="4395" spans="1:28" x14ac:dyDescent="0.25">
      <c r="A4395" t="s">
        <v>4399</v>
      </c>
      <c r="B4395">
        <v>0.99193492352474899</v>
      </c>
      <c r="C4395">
        <v>0.80941820077833304</v>
      </c>
      <c r="D4395">
        <v>0.69957154146817402</v>
      </c>
      <c r="E4395">
        <v>0.57733080331014497</v>
      </c>
      <c r="F4395">
        <v>0.38464876722459601</v>
      </c>
      <c r="G4395">
        <v>0.26828914178902102</v>
      </c>
      <c r="H4395">
        <v>0.27384292372831498</v>
      </c>
      <c r="I4395">
        <v>0.47503015826073602</v>
      </c>
      <c r="J4395">
        <v>0.45666767687769699</v>
      </c>
      <c r="K4395">
        <v>0.81701008200530301</v>
      </c>
      <c r="L4395">
        <v>965.10233222159195</v>
      </c>
      <c r="M4395">
        <v>21.4154659157164</v>
      </c>
      <c r="N4395">
        <v>50.584192582416001</v>
      </c>
      <c r="O4395">
        <v>44.678241569123102</v>
      </c>
      <c r="P4395">
        <v>-6.5710194912405803E-2</v>
      </c>
      <c r="Q4395">
        <v>0.45165932158834798</v>
      </c>
      <c r="R4395">
        <v>0.60290184571141103</v>
      </c>
      <c r="S4395" t="s">
        <v>11065</v>
      </c>
      <c r="T4395" t="s">
        <v>13338</v>
      </c>
      <c r="U4395" t="s">
        <v>13338</v>
      </c>
      <c r="V4395" t="s">
        <v>13338</v>
      </c>
      <c r="W4395" t="s">
        <v>17677</v>
      </c>
      <c r="X4395">
        <v>7</v>
      </c>
      <c r="Y4395" t="s">
        <v>24181</v>
      </c>
      <c r="Z4395" t="s">
        <v>30810</v>
      </c>
      <c r="AA4395">
        <v>0.55209846139944119</v>
      </c>
      <c r="AB4395" t="str">
        <f>HYPERLINK("Melting_Curves/meltCurve_Q8IWD4_CCDC117.pdf", "Melting_Curves/meltCurve_Q8IWD4_CCDC117.pdf")</f>
        <v>Melting_Curves/meltCurve_Q8IWD4_CCDC117.pdf</v>
      </c>
    </row>
    <row r="4396" spans="1:28" x14ac:dyDescent="0.25">
      <c r="A4396" t="s">
        <v>4400</v>
      </c>
      <c r="B4396">
        <v>0.99193492352474899</v>
      </c>
      <c r="C4396">
        <v>0.90513937801856603</v>
      </c>
      <c r="D4396">
        <v>0.29632004654837701</v>
      </c>
      <c r="E4396">
        <v>0.25778315873824498</v>
      </c>
      <c r="F4396">
        <v>0.16184804520208901</v>
      </c>
      <c r="G4396">
        <v>0.124808283751091</v>
      </c>
      <c r="H4396">
        <v>7.7662562848977407E-2</v>
      </c>
      <c r="I4396">
        <v>9.3799087909937504E-2</v>
      </c>
      <c r="J4396">
        <v>9.7217179199518E-2</v>
      </c>
      <c r="K4396">
        <v>0.10676972069202099</v>
      </c>
      <c r="L4396">
        <v>2106.3931259361998</v>
      </c>
      <c r="M4396">
        <v>47.124207178374697</v>
      </c>
      <c r="N4396">
        <v>44.982577137675896</v>
      </c>
      <c r="O4396">
        <v>44.618455907645803</v>
      </c>
      <c r="P4396">
        <v>-0.230083974870572</v>
      </c>
      <c r="Q4396">
        <v>0.12860195596569099</v>
      </c>
      <c r="R4396">
        <v>0.97997439532792596</v>
      </c>
      <c r="S4396" t="s">
        <v>11066</v>
      </c>
      <c r="T4396" t="s">
        <v>13338</v>
      </c>
      <c r="U4396" t="s">
        <v>13338</v>
      </c>
      <c r="V4396" t="s">
        <v>13338</v>
      </c>
      <c r="W4396" t="s">
        <v>17678</v>
      </c>
      <c r="X4396">
        <v>12</v>
      </c>
      <c r="Y4396" t="s">
        <v>24182</v>
      </c>
      <c r="Z4396" t="s">
        <v>30811</v>
      </c>
      <c r="AA4396">
        <v>0.26710396079588428</v>
      </c>
      <c r="AB4396" t="str">
        <f>HYPERLINK("Melting_Curves/meltCurve_Q8IWJ2_GCC2.pdf", "Melting_Curves/meltCurve_Q8IWJ2_GCC2.pdf")</f>
        <v>Melting_Curves/meltCurve_Q8IWJ2_GCC2.pdf</v>
      </c>
    </row>
    <row r="4397" spans="1:28" x14ac:dyDescent="0.25">
      <c r="A4397" t="s">
        <v>4401</v>
      </c>
      <c r="B4397">
        <v>0.99193492352474899</v>
      </c>
      <c r="C4397">
        <v>0.59327861958252703</v>
      </c>
      <c r="D4397">
        <v>0.84447880482950499</v>
      </c>
      <c r="E4397">
        <v>0.48093931844756099</v>
      </c>
      <c r="F4397">
        <v>0.176089948671243</v>
      </c>
      <c r="G4397">
        <v>9.6612496997527206E-2</v>
      </c>
      <c r="H4397">
        <v>6.4536907539888694E-2</v>
      </c>
      <c r="I4397">
        <v>8.7045372985835506E-2</v>
      </c>
      <c r="J4397">
        <v>0.104374867280499</v>
      </c>
      <c r="K4397">
        <v>0.12233867353271601</v>
      </c>
      <c r="L4397">
        <v>648.50338167985797</v>
      </c>
      <c r="M4397">
        <v>13.466107728549</v>
      </c>
      <c r="N4397">
        <v>48.523218282410298</v>
      </c>
      <c r="O4397">
        <v>47.133365306168201</v>
      </c>
      <c r="P4397">
        <v>-6.7995282467077006E-2</v>
      </c>
      <c r="Q4397">
        <v>4.81724806411684E-2</v>
      </c>
      <c r="R4397">
        <v>0.89357366126938098</v>
      </c>
      <c r="S4397" t="s">
        <v>11067</v>
      </c>
      <c r="T4397" t="s">
        <v>13338</v>
      </c>
      <c r="U4397" t="s">
        <v>13338</v>
      </c>
      <c r="V4397" t="s">
        <v>13338</v>
      </c>
      <c r="W4397" t="s">
        <v>17679</v>
      </c>
      <c r="X4397">
        <v>14</v>
      </c>
      <c r="Y4397" t="s">
        <v>24183</v>
      </c>
      <c r="Z4397" t="s">
        <v>30812</v>
      </c>
      <c r="AA4397">
        <v>0.336921753006936</v>
      </c>
      <c r="AB4397" t="str">
        <f>HYPERLINK("Melting_Curves/meltCurve_Q8IWS0_PHF6.pdf", "Melting_Curves/meltCurve_Q8IWS0_PHF6.pdf")</f>
        <v>Melting_Curves/meltCurve_Q8IWS0_PHF6.pdf</v>
      </c>
    </row>
    <row r="4398" spans="1:28" x14ac:dyDescent="0.25">
      <c r="A4398" t="s">
        <v>4402</v>
      </c>
      <c r="B4398">
        <v>0.99193492352474899</v>
      </c>
      <c r="C4398">
        <v>0.85414137575691396</v>
      </c>
      <c r="D4398">
        <v>0.90352523491188497</v>
      </c>
      <c r="E4398">
        <v>0.66380599869280499</v>
      </c>
      <c r="F4398">
        <v>0.55785788846778395</v>
      </c>
      <c r="G4398">
        <v>0.272389345793771</v>
      </c>
      <c r="H4398">
        <v>0.11451494574004201</v>
      </c>
      <c r="I4398">
        <v>0.133945002167281</v>
      </c>
      <c r="J4398">
        <v>0.13274488599975101</v>
      </c>
      <c r="K4398">
        <v>0.12370355686878</v>
      </c>
      <c r="L4398">
        <v>699.22432401902995</v>
      </c>
      <c r="M4398">
        <v>13.3687300758034</v>
      </c>
      <c r="N4398">
        <v>52.820548928046797</v>
      </c>
      <c r="O4398">
        <v>51.174248238580098</v>
      </c>
      <c r="P4398">
        <v>-6.1310201037420402E-2</v>
      </c>
      <c r="Q4398">
        <v>6.1389809620949802E-2</v>
      </c>
      <c r="R4398">
        <v>0.97776358291158705</v>
      </c>
      <c r="S4398" t="s">
        <v>11068</v>
      </c>
      <c r="T4398" t="s">
        <v>13338</v>
      </c>
      <c r="U4398" t="s">
        <v>13338</v>
      </c>
      <c r="V4398" t="s">
        <v>13338</v>
      </c>
      <c r="W4398" t="s">
        <v>17680</v>
      </c>
      <c r="X4398">
        <v>8</v>
      </c>
      <c r="Y4398" t="s">
        <v>24184</v>
      </c>
      <c r="Z4398" t="s">
        <v>30813</v>
      </c>
      <c r="AA4398">
        <v>0.47076924505643891</v>
      </c>
      <c r="AB4398" t="str">
        <f>HYPERLINK("Melting_Curves/meltCurve_Q8IWT6_LRRC8A.pdf", "Melting_Curves/meltCurve_Q8IWT6_LRRC8A.pdf")</f>
        <v>Melting_Curves/meltCurve_Q8IWT6_LRRC8A.pdf</v>
      </c>
    </row>
    <row r="4399" spans="1:28" x14ac:dyDescent="0.25">
      <c r="A4399" t="s">
        <v>4403</v>
      </c>
      <c r="B4399">
        <v>0.99193492352474899</v>
      </c>
      <c r="C4399">
        <v>1.0605091837487699</v>
      </c>
      <c r="D4399">
        <v>0.54265729238790905</v>
      </c>
      <c r="E4399">
        <v>0.20841645960834099</v>
      </c>
      <c r="F4399">
        <v>0.15329535239908601</v>
      </c>
      <c r="G4399">
        <v>0.10250118797326201</v>
      </c>
      <c r="H4399">
        <v>8.0315278887322997E-2</v>
      </c>
      <c r="I4399">
        <v>9.9775177523606304E-2</v>
      </c>
      <c r="J4399">
        <v>0.12262682598437601</v>
      </c>
      <c r="K4399">
        <v>0.13584537102977901</v>
      </c>
      <c r="L4399">
        <v>3646.0873120270498</v>
      </c>
      <c r="M4399">
        <v>79.353613331046006</v>
      </c>
      <c r="N4399">
        <v>46.119925514276403</v>
      </c>
      <c r="O4399">
        <v>45.918182278808402</v>
      </c>
      <c r="P4399">
        <v>-0.37653350213541198</v>
      </c>
      <c r="Q4399">
        <v>0.12847161289053799</v>
      </c>
      <c r="R4399">
        <v>0.98880612160370696</v>
      </c>
      <c r="S4399" t="s">
        <v>11069</v>
      </c>
      <c r="T4399" t="s">
        <v>13338</v>
      </c>
      <c r="U4399" t="s">
        <v>13338</v>
      </c>
      <c r="V4399" t="s">
        <v>13338</v>
      </c>
      <c r="W4399" t="s">
        <v>17681</v>
      </c>
      <c r="X4399">
        <v>6</v>
      </c>
      <c r="Y4399" t="s">
        <v>24185</v>
      </c>
      <c r="Z4399" t="s">
        <v>30814</v>
      </c>
      <c r="AA4399">
        <v>0.30194642187182508</v>
      </c>
      <c r="AB4399" t="str">
        <f>HYPERLINK("Melting_Curves/meltCurve_Q8IWV7_UBR1.pdf", "Melting_Curves/meltCurve_Q8IWV7_UBR1.pdf")</f>
        <v>Melting_Curves/meltCurve_Q8IWV7_UBR1.pdf</v>
      </c>
    </row>
    <row r="4400" spans="1:28" x14ac:dyDescent="0.25">
      <c r="A4400" t="s">
        <v>4404</v>
      </c>
      <c r="B4400">
        <v>0.99193492352474899</v>
      </c>
      <c r="C4400">
        <v>1.0016440753632401</v>
      </c>
      <c r="D4400">
        <v>0.85960693480186801</v>
      </c>
      <c r="E4400">
        <v>0.60509975068847399</v>
      </c>
      <c r="F4400">
        <v>0.55020621134109904</v>
      </c>
      <c r="G4400">
        <v>0.41293782976892202</v>
      </c>
      <c r="H4400">
        <v>0.123509981438938</v>
      </c>
      <c r="I4400">
        <v>0.11181802085820799</v>
      </c>
      <c r="J4400">
        <v>0.108421991476862</v>
      </c>
      <c r="K4400">
        <v>0.16800159624490901</v>
      </c>
      <c r="L4400">
        <v>638.91679049083302</v>
      </c>
      <c r="M4400">
        <v>12.1437106688777</v>
      </c>
      <c r="N4400">
        <v>53.148635245541797</v>
      </c>
      <c r="O4400">
        <v>51.2472456275407</v>
      </c>
      <c r="P4400">
        <v>-5.58414992022567E-2</v>
      </c>
      <c r="Q4400">
        <v>5.7598357586454797E-2</v>
      </c>
      <c r="R4400">
        <v>0.97055406009726297</v>
      </c>
      <c r="S4400" t="s">
        <v>11070</v>
      </c>
      <c r="T4400" t="s">
        <v>13338</v>
      </c>
      <c r="U4400" t="s">
        <v>13338</v>
      </c>
      <c r="V4400" t="s">
        <v>13338</v>
      </c>
      <c r="W4400" t="s">
        <v>17682</v>
      </c>
      <c r="X4400">
        <v>20</v>
      </c>
      <c r="Y4400" t="s">
        <v>24186</v>
      </c>
      <c r="Z4400" t="s">
        <v>30815</v>
      </c>
      <c r="AA4400">
        <v>0.48105436810952462</v>
      </c>
      <c r="AB4400" t="str">
        <f>HYPERLINK("Melting_Curves/meltCurve_Q8IWV8_UBR2.pdf", "Melting_Curves/meltCurve_Q8IWV8_UBR2.pdf")</f>
        <v>Melting_Curves/meltCurve_Q8IWV8_UBR2.pdf</v>
      </c>
    </row>
    <row r="4401" spans="1:28" x14ac:dyDescent="0.25">
      <c r="A4401" t="s">
        <v>4405</v>
      </c>
      <c r="B4401">
        <v>0.99193492352474899</v>
      </c>
      <c r="C4401">
        <v>1.00623011497488</v>
      </c>
      <c r="D4401">
        <v>0.88933429585207402</v>
      </c>
      <c r="E4401">
        <v>0.49982499320240198</v>
      </c>
      <c r="F4401">
        <v>0.32126434183185698</v>
      </c>
      <c r="G4401">
        <v>0.169708130727036</v>
      </c>
      <c r="H4401">
        <v>0.14670432902906499</v>
      </c>
      <c r="I4401">
        <v>0.12539826174664701</v>
      </c>
      <c r="J4401">
        <v>0.19578007485335899</v>
      </c>
      <c r="K4401">
        <v>0.18492092195543</v>
      </c>
      <c r="L4401">
        <v>1243.5020185528099</v>
      </c>
      <c r="M4401">
        <v>25.315021181841399</v>
      </c>
      <c r="N4401">
        <v>49.902942359810901</v>
      </c>
      <c r="O4401">
        <v>48.817665266362397</v>
      </c>
      <c r="P4401">
        <v>-0.108419477926698</v>
      </c>
      <c r="Q4401">
        <v>0.163703158699606</v>
      </c>
      <c r="R4401">
        <v>0.99283322838922605</v>
      </c>
      <c r="S4401" t="s">
        <v>11071</v>
      </c>
      <c r="T4401" t="s">
        <v>13338</v>
      </c>
      <c r="U4401" t="s">
        <v>13338</v>
      </c>
      <c r="V4401" t="s">
        <v>13338</v>
      </c>
      <c r="W4401" t="s">
        <v>17683</v>
      </c>
      <c r="X4401">
        <v>1</v>
      </c>
      <c r="Y4401" t="s">
        <v>24187</v>
      </c>
      <c r="Z4401" t="s">
        <v>30816</v>
      </c>
      <c r="AA4401">
        <v>0.42519691952488953</v>
      </c>
      <c r="AB4401" t="str">
        <f>HYPERLINK("Melting_Curves/meltCurve_Q8IWW6_3_ARHGAP12.pdf", "Melting_Curves/meltCurve_Q8IWW6_3_ARHGAP12.pdf")</f>
        <v>Melting_Curves/meltCurve_Q8IWW6_3_ARHGAP12.pdf</v>
      </c>
    </row>
    <row r="4402" spans="1:28" x14ac:dyDescent="0.25">
      <c r="A4402" t="s">
        <v>4406</v>
      </c>
      <c r="B4402">
        <v>0.99193492352474899</v>
      </c>
      <c r="C4402">
        <v>1.04054912551042</v>
      </c>
      <c r="D4402">
        <v>0.85587169783057704</v>
      </c>
      <c r="E4402">
        <v>0.58017650820510502</v>
      </c>
      <c r="F4402">
        <v>0.165129939821197</v>
      </c>
      <c r="G4402">
        <v>0.101099879555059</v>
      </c>
      <c r="H4402">
        <v>5.4562975250596203E-2</v>
      </c>
      <c r="I4402">
        <v>7.65616724410393E-2</v>
      </c>
      <c r="J4402">
        <v>9.7225210291452493E-2</v>
      </c>
      <c r="K4402">
        <v>0.124379968689678</v>
      </c>
      <c r="L4402">
        <v>1419.67526663433</v>
      </c>
      <c r="M4402">
        <v>28.597125286553698</v>
      </c>
      <c r="N4402">
        <v>49.952464272666802</v>
      </c>
      <c r="O4402">
        <v>49.4031279333336</v>
      </c>
      <c r="P4402">
        <v>-0.13300110459477599</v>
      </c>
      <c r="Q4402">
        <v>8.0939960467589805E-2</v>
      </c>
      <c r="R4402">
        <v>0.99257396603025505</v>
      </c>
      <c r="S4402" t="s">
        <v>11072</v>
      </c>
      <c r="T4402" t="s">
        <v>13338</v>
      </c>
      <c r="U4402" t="s">
        <v>13338</v>
      </c>
      <c r="V4402" t="s">
        <v>13338</v>
      </c>
      <c r="W4402" t="s">
        <v>17684</v>
      </c>
      <c r="X4402">
        <v>8</v>
      </c>
      <c r="Y4402" t="s">
        <v>24188</v>
      </c>
      <c r="Z4402" t="s">
        <v>30817</v>
      </c>
      <c r="AA4402">
        <v>0.38261675170598342</v>
      </c>
      <c r="AB4402" t="str">
        <f>HYPERLINK("Melting_Curves/meltCurve_Q8IWY9_CDAN1.pdf", "Melting_Curves/meltCurve_Q8IWY9_CDAN1.pdf")</f>
        <v>Melting_Curves/meltCurve_Q8IWY9_CDAN1.pdf</v>
      </c>
    </row>
    <row r="4403" spans="1:28" x14ac:dyDescent="0.25">
      <c r="A4403" t="s">
        <v>4407</v>
      </c>
      <c r="B4403">
        <v>0.99193492352474899</v>
      </c>
      <c r="C4403">
        <v>0.71616216326287196</v>
      </c>
      <c r="D4403">
        <v>0.98291690625927197</v>
      </c>
      <c r="E4403">
        <v>0.58006704824004696</v>
      </c>
      <c r="F4403">
        <v>0.31020814628502302</v>
      </c>
      <c r="G4403">
        <v>0.212005848388542</v>
      </c>
      <c r="H4403">
        <v>0.21965343008178301</v>
      </c>
      <c r="I4403">
        <v>0.36971920033966799</v>
      </c>
      <c r="J4403">
        <v>0.73120638399493099</v>
      </c>
      <c r="K4403">
        <v>0.42296079886736898</v>
      </c>
      <c r="L4403">
        <v>12363.8096290338</v>
      </c>
      <c r="M4403">
        <v>250</v>
      </c>
      <c r="N4403">
        <v>49.735253202436397</v>
      </c>
      <c r="O4403">
        <v>49.452073735802301</v>
      </c>
      <c r="P4403">
        <v>-0.78658780207546497</v>
      </c>
      <c r="Q4403">
        <v>0.37762563326139498</v>
      </c>
      <c r="R4403">
        <v>0.65739307217296195</v>
      </c>
      <c r="S4403" t="s">
        <v>11073</v>
      </c>
      <c r="T4403" t="s">
        <v>13338</v>
      </c>
      <c r="U4403" t="s">
        <v>13338</v>
      </c>
      <c r="V4403" t="s">
        <v>13338</v>
      </c>
      <c r="W4403" t="s">
        <v>17685</v>
      </c>
      <c r="X4403">
        <v>10</v>
      </c>
      <c r="Y4403" t="s">
        <v>24189</v>
      </c>
      <c r="Z4403" t="s">
        <v>30818</v>
      </c>
      <c r="AA4403">
        <v>0.57383625390277737</v>
      </c>
      <c r="AB4403" t="str">
        <f>HYPERLINK("Melting_Curves/meltCurve_Q8IWZ3_6_ANKHD1.pdf", "Melting_Curves/meltCurve_Q8IWZ3_6_ANKHD1.pdf")</f>
        <v>Melting_Curves/meltCurve_Q8IWZ3_6_ANKHD1.pdf</v>
      </c>
    </row>
    <row r="4404" spans="1:28" x14ac:dyDescent="0.25">
      <c r="A4404" t="s">
        <v>4408</v>
      </c>
      <c r="B4404">
        <v>0.99193492352474899</v>
      </c>
      <c r="C4404">
        <v>0.64050710347107398</v>
      </c>
      <c r="D4404">
        <v>0.66266841667788901</v>
      </c>
      <c r="E4404">
        <v>0.32690435400775297</v>
      </c>
      <c r="F4404">
        <v>0.22808245460342999</v>
      </c>
      <c r="G4404">
        <v>0.13574979506854001</v>
      </c>
      <c r="H4404">
        <v>0.10278399779826999</v>
      </c>
      <c r="I4404">
        <v>0.112115608883375</v>
      </c>
      <c r="J4404">
        <v>0.14614951035548601</v>
      </c>
      <c r="K4404">
        <v>0.164816342518043</v>
      </c>
      <c r="L4404">
        <v>663.796417636927</v>
      </c>
      <c r="M4404">
        <v>14.3945379699759</v>
      </c>
      <c r="N4404">
        <v>46.939781118210597</v>
      </c>
      <c r="O4404">
        <v>45.251870567579097</v>
      </c>
      <c r="P4404">
        <v>-7.0641991917844704E-2</v>
      </c>
      <c r="Q4404">
        <v>0.111801453329017</v>
      </c>
      <c r="R4404">
        <v>0.95291813212885501</v>
      </c>
      <c r="S4404" t="s">
        <v>11074</v>
      </c>
      <c r="T4404" t="s">
        <v>13338</v>
      </c>
      <c r="U4404" t="s">
        <v>13338</v>
      </c>
      <c r="V4404" t="s">
        <v>13338</v>
      </c>
      <c r="W4404" t="s">
        <v>17686</v>
      </c>
      <c r="X4404">
        <v>16</v>
      </c>
      <c r="Y4404" t="s">
        <v>24190</v>
      </c>
      <c r="Z4404" t="s">
        <v>30819</v>
      </c>
      <c r="AA4404">
        <v>0.32082934403752361</v>
      </c>
      <c r="AB4404" t="str">
        <f>HYPERLINK("Melting_Curves/meltCurve_Q8IWZ8_SUGP1.pdf", "Melting_Curves/meltCurve_Q8IWZ8_SUGP1.pdf")</f>
        <v>Melting_Curves/meltCurve_Q8IWZ8_SUGP1.pdf</v>
      </c>
    </row>
    <row r="4405" spans="1:28" x14ac:dyDescent="0.25">
      <c r="A4405" t="s">
        <v>4409</v>
      </c>
      <c r="B4405">
        <v>0.99193492352474899</v>
      </c>
      <c r="C4405">
        <v>0.82794902746840304</v>
      </c>
      <c r="D4405">
        <v>0.81269787350741096</v>
      </c>
      <c r="E4405">
        <v>0.50033992413438899</v>
      </c>
      <c r="F4405">
        <v>0.13046109158128899</v>
      </c>
      <c r="G4405">
        <v>8.1724759852359094E-2</v>
      </c>
      <c r="H4405">
        <v>5.2350256914392802E-2</v>
      </c>
      <c r="I4405">
        <v>6.7066548325270495E-2</v>
      </c>
      <c r="J4405">
        <v>7.6569101273993301E-2</v>
      </c>
      <c r="K4405">
        <v>9.5354242128320402E-2</v>
      </c>
      <c r="L4405">
        <v>1020.68305690625</v>
      </c>
      <c r="M4405">
        <v>20.9117176786785</v>
      </c>
      <c r="N4405">
        <v>49.078695434853302</v>
      </c>
      <c r="O4405">
        <v>48.369374666312297</v>
      </c>
      <c r="P4405">
        <v>-0.10222264279848101</v>
      </c>
      <c r="Q4405">
        <v>5.4250741133984502E-2</v>
      </c>
      <c r="R4405">
        <v>0.98088299273603896</v>
      </c>
      <c r="S4405" t="s">
        <v>11075</v>
      </c>
      <c r="T4405" t="s">
        <v>13338</v>
      </c>
      <c r="U4405" t="s">
        <v>13338</v>
      </c>
      <c r="V4405" t="s">
        <v>13338</v>
      </c>
      <c r="W4405" t="s">
        <v>17687</v>
      </c>
      <c r="X4405">
        <v>18</v>
      </c>
      <c r="Y4405" t="s">
        <v>24191</v>
      </c>
      <c r="Z4405" t="s">
        <v>30820</v>
      </c>
      <c r="AA4405">
        <v>0.34407068550199887</v>
      </c>
      <c r="AB4405" t="str">
        <f>HYPERLINK("Melting_Curves/meltCurve_Q8IX12_2_CCAR1.pdf", "Melting_Curves/meltCurve_Q8IX12_2_CCAR1.pdf")</f>
        <v>Melting_Curves/meltCurve_Q8IX12_2_CCAR1.pdf</v>
      </c>
    </row>
    <row r="4406" spans="1:28" x14ac:dyDescent="0.25">
      <c r="A4406" t="s">
        <v>4410</v>
      </c>
      <c r="B4406">
        <v>0.99193492352474899</v>
      </c>
      <c r="C4406">
        <v>0.74108592102187598</v>
      </c>
      <c r="D4406">
        <v>0.96982179349301101</v>
      </c>
      <c r="E4406">
        <v>0.45265495070678302</v>
      </c>
      <c r="F4406">
        <v>0.45024991839186901</v>
      </c>
      <c r="G4406">
        <v>0.30458345827293898</v>
      </c>
      <c r="H4406">
        <v>0.14058041137931901</v>
      </c>
      <c r="I4406">
        <v>9.5101075431683404E-2</v>
      </c>
      <c r="J4406">
        <v>0.101230719634361</v>
      </c>
      <c r="K4406">
        <v>0.152715530437048</v>
      </c>
      <c r="L4406">
        <v>601.29911580926898</v>
      </c>
      <c r="M4406">
        <v>11.8973093265923</v>
      </c>
      <c r="N4406">
        <v>51.161905553126999</v>
      </c>
      <c r="O4406">
        <v>49.176329223274301</v>
      </c>
      <c r="P4406">
        <v>-5.6429655746193297E-2</v>
      </c>
      <c r="Q4406">
        <v>6.7247199278259701E-2</v>
      </c>
      <c r="R4406">
        <v>0.91786182203094302</v>
      </c>
      <c r="S4406" t="s">
        <v>11076</v>
      </c>
      <c r="T4406" t="s">
        <v>13338</v>
      </c>
      <c r="U4406" t="s">
        <v>13338</v>
      </c>
      <c r="V4406" t="s">
        <v>13338</v>
      </c>
      <c r="W4406" t="s">
        <v>17688</v>
      </c>
      <c r="X4406">
        <v>6</v>
      </c>
      <c r="Y4406" t="s">
        <v>24192</v>
      </c>
      <c r="Z4406" t="s">
        <v>30821</v>
      </c>
      <c r="AA4406">
        <v>0.42665375471326239</v>
      </c>
      <c r="AB4406" t="str">
        <f>HYPERLINK("Melting_Curves/meltCurve_Q8IX18_3_DHX40.pdf", "Melting_Curves/meltCurve_Q8IX18_3_DHX40.pdf")</f>
        <v>Melting_Curves/meltCurve_Q8IX18_3_DHX40.pdf</v>
      </c>
    </row>
    <row r="4407" spans="1:28" x14ac:dyDescent="0.25">
      <c r="A4407" t="s">
        <v>4411</v>
      </c>
      <c r="B4407">
        <v>0.99193492352474899</v>
      </c>
      <c r="C4407">
        <v>0.42651063894889601</v>
      </c>
      <c r="D4407">
        <v>0.32507960285345999</v>
      </c>
      <c r="E4407">
        <v>0.149607043126087</v>
      </c>
      <c r="F4407">
        <v>0.124940363627598</v>
      </c>
      <c r="G4407">
        <v>7.9167404678027506E-2</v>
      </c>
      <c r="H4407">
        <v>8.0788657456229998E-2</v>
      </c>
      <c r="I4407">
        <v>0.15411917839948799</v>
      </c>
      <c r="J4407">
        <v>0.250799020497604</v>
      </c>
      <c r="K4407">
        <v>0.363144978825856</v>
      </c>
      <c r="L4407">
        <v>2200.4794692994901</v>
      </c>
      <c r="M4407">
        <v>52.0810374637989</v>
      </c>
      <c r="N4407">
        <v>42.637517262078603</v>
      </c>
      <c r="O4407">
        <v>42.1889194524299</v>
      </c>
      <c r="P4407">
        <v>-0.25055605570869099</v>
      </c>
      <c r="Q4407">
        <v>0.18813597408201099</v>
      </c>
      <c r="R4407">
        <v>0.87859775116668903</v>
      </c>
      <c r="S4407" t="s">
        <v>11077</v>
      </c>
      <c r="T4407" t="s">
        <v>13338</v>
      </c>
      <c r="U4407" t="s">
        <v>13338</v>
      </c>
      <c r="V4407" t="s">
        <v>13338</v>
      </c>
      <c r="W4407" t="s">
        <v>17689</v>
      </c>
      <c r="X4407">
        <v>6</v>
      </c>
      <c r="Y4407" t="s">
        <v>24193</v>
      </c>
      <c r="Z4407" t="s">
        <v>30822</v>
      </c>
      <c r="AA4407">
        <v>0.25143558206369587</v>
      </c>
      <c r="AB4407" t="str">
        <f>HYPERLINK("Melting_Curves/meltCurve_Q8IX90_SKA3.pdf", "Melting_Curves/meltCurve_Q8IX90_SKA3.pdf")</f>
        <v>Melting_Curves/meltCurve_Q8IX90_SKA3.pdf</v>
      </c>
    </row>
    <row r="4408" spans="1:28" x14ac:dyDescent="0.25">
      <c r="A4408" t="s">
        <v>4412</v>
      </c>
      <c r="B4408">
        <v>0.99193492352474899</v>
      </c>
      <c r="C4408">
        <v>0.85368440070339402</v>
      </c>
      <c r="D4408">
        <v>1.06092002302469</v>
      </c>
      <c r="E4408">
        <v>0.77934257896127201</v>
      </c>
      <c r="F4408">
        <v>0.59867870641906396</v>
      </c>
      <c r="G4408">
        <v>0.247526554966984</v>
      </c>
      <c r="H4408">
        <v>0.132470045508151</v>
      </c>
      <c r="I4408">
        <v>0.13935845765712099</v>
      </c>
      <c r="J4408">
        <v>0.167169633335391</v>
      </c>
      <c r="K4408">
        <v>0.166565760044807</v>
      </c>
      <c r="L4408">
        <v>1230.8983336531201</v>
      </c>
      <c r="M4408">
        <v>23.2613975567055</v>
      </c>
      <c r="N4408">
        <v>53.635204476387997</v>
      </c>
      <c r="O4408">
        <v>52.529497422259702</v>
      </c>
      <c r="P4408">
        <v>-9.5874796223730602E-2</v>
      </c>
      <c r="Q4408">
        <v>0.133987592959949</v>
      </c>
      <c r="R4408">
        <v>0.96915591060304696</v>
      </c>
      <c r="S4408" t="s">
        <v>11078</v>
      </c>
      <c r="T4408" t="s">
        <v>13338</v>
      </c>
      <c r="U4408" t="s">
        <v>13338</v>
      </c>
      <c r="V4408" t="s">
        <v>13338</v>
      </c>
      <c r="W4408" t="s">
        <v>17690</v>
      </c>
      <c r="X4408">
        <v>10</v>
      </c>
      <c r="Y4408" t="s">
        <v>24194</v>
      </c>
      <c r="Z4408" t="s">
        <v>30823</v>
      </c>
      <c r="AA4408">
        <v>0.51594435659660365</v>
      </c>
      <c r="AB4408" t="str">
        <f>HYPERLINK("Melting_Curves/meltCurve_Q8IXB1_DNAJC10.pdf", "Melting_Curves/meltCurve_Q8IXB1_DNAJC10.pdf")</f>
        <v>Melting_Curves/meltCurve_Q8IXB1_DNAJC10.pdf</v>
      </c>
    </row>
    <row r="4409" spans="1:28" x14ac:dyDescent="0.25">
      <c r="A4409" t="s">
        <v>4413</v>
      </c>
      <c r="B4409">
        <v>0.99193492352474899</v>
      </c>
      <c r="C4409">
        <v>1.0722013325444799</v>
      </c>
      <c r="D4409">
        <v>1.2052278253322399</v>
      </c>
      <c r="E4409">
        <v>0.50138364738929098</v>
      </c>
      <c r="F4409">
        <v>0.17803586107282099</v>
      </c>
      <c r="G4409">
        <v>0.11421374779440401</v>
      </c>
      <c r="H4409">
        <v>9.8266974613424402E-2</v>
      </c>
      <c r="I4409">
        <v>0.114284146229802</v>
      </c>
      <c r="J4409">
        <v>0.110492588807902</v>
      </c>
      <c r="K4409">
        <v>0.100595548417348</v>
      </c>
      <c r="L4409">
        <v>9044.2934521547795</v>
      </c>
      <c r="M4409">
        <v>182.610853610573</v>
      </c>
      <c r="N4409">
        <v>49.601742651664601</v>
      </c>
      <c r="O4409">
        <v>49.521749197062803</v>
      </c>
      <c r="P4409">
        <v>-0.811879608999447</v>
      </c>
      <c r="Q4409">
        <v>0.11931417159657599</v>
      </c>
      <c r="R4409">
        <v>0.97295770640214496</v>
      </c>
      <c r="S4409" t="s">
        <v>11079</v>
      </c>
      <c r="T4409" t="s">
        <v>13338</v>
      </c>
      <c r="U4409" t="s">
        <v>13338</v>
      </c>
      <c r="V4409" t="s">
        <v>13338</v>
      </c>
      <c r="W4409" t="s">
        <v>17691</v>
      </c>
      <c r="X4409">
        <v>3</v>
      </c>
      <c r="Y4409" t="s">
        <v>24195</v>
      </c>
      <c r="Z4409" t="s">
        <v>30824</v>
      </c>
      <c r="AA4409">
        <v>0.39915434310963321</v>
      </c>
      <c r="AB4409" t="str">
        <f>HYPERLINK("Melting_Curves/meltCurve_Q8IXI1_RHOT2.pdf", "Melting_Curves/meltCurve_Q8IXI1_RHOT2.pdf")</f>
        <v>Melting_Curves/meltCurve_Q8IXI1_RHOT2.pdf</v>
      </c>
    </row>
    <row r="4410" spans="1:28" x14ac:dyDescent="0.25">
      <c r="A4410" t="s">
        <v>4414</v>
      </c>
      <c r="B4410">
        <v>0.99193492352474899</v>
      </c>
      <c r="C4410">
        <v>1.0390594942645699</v>
      </c>
      <c r="D4410">
        <v>1.0404054321231899</v>
      </c>
      <c r="E4410">
        <v>0.865836885336558</v>
      </c>
      <c r="F4410">
        <v>0.46233375070226901</v>
      </c>
      <c r="G4410">
        <v>0.105536666765342</v>
      </c>
      <c r="H4410">
        <v>4.6496735140296203E-2</v>
      </c>
      <c r="I4410">
        <v>4.7500734862021998E-2</v>
      </c>
      <c r="J4410">
        <v>5.46874471508089E-2</v>
      </c>
      <c r="K4410">
        <v>5.7762562243139401E-2</v>
      </c>
      <c r="L4410">
        <v>1729.8517218560401</v>
      </c>
      <c r="M4410">
        <v>32.834115071646302</v>
      </c>
      <c r="N4410">
        <v>52.835307183427602</v>
      </c>
      <c r="O4410">
        <v>52.490309094869303</v>
      </c>
      <c r="P4410">
        <v>-0.14939119838992701</v>
      </c>
      <c r="Q4410">
        <v>4.4706454396663098E-2</v>
      </c>
      <c r="R4410">
        <v>0.99708990563417799</v>
      </c>
      <c r="S4410" t="s">
        <v>11080</v>
      </c>
      <c r="T4410" t="s">
        <v>13338</v>
      </c>
      <c r="U4410" t="s">
        <v>13338</v>
      </c>
      <c r="V4410" t="s">
        <v>13338</v>
      </c>
      <c r="W4410" t="s">
        <v>17692</v>
      </c>
      <c r="X4410">
        <v>8</v>
      </c>
      <c r="Y4410" t="s">
        <v>24196</v>
      </c>
      <c r="Z4410" t="s">
        <v>30825</v>
      </c>
      <c r="AA4410">
        <v>0.45378188917768419</v>
      </c>
      <c r="AB4410" t="str">
        <f>HYPERLINK("Melting_Curves/meltCurve_Q8IXI2_2_RHOT1.pdf", "Melting_Curves/meltCurve_Q8IXI2_2_RHOT1.pdf")</f>
        <v>Melting_Curves/meltCurve_Q8IXI2_2_RHOT1.pdf</v>
      </c>
    </row>
    <row r="4411" spans="1:28" x14ac:dyDescent="0.25">
      <c r="A4411" t="s">
        <v>4415</v>
      </c>
      <c r="B4411">
        <v>0.99193492352474899</v>
      </c>
      <c r="C4411">
        <v>0.93136537913807105</v>
      </c>
      <c r="D4411">
        <v>0.95331200779185299</v>
      </c>
      <c r="E4411">
        <v>0.78286812183149301</v>
      </c>
      <c r="F4411">
        <v>0.31768371688735397</v>
      </c>
      <c r="G4411">
        <v>0.149251439559518</v>
      </c>
      <c r="H4411">
        <v>8.4644775030924893E-2</v>
      </c>
      <c r="I4411">
        <v>8.0631288491590694E-2</v>
      </c>
      <c r="J4411">
        <v>8.2665082499673304E-2</v>
      </c>
      <c r="K4411">
        <v>0.107176794900725</v>
      </c>
      <c r="L4411">
        <v>1558.13172702572</v>
      </c>
      <c r="M4411">
        <v>30.318226719213499</v>
      </c>
      <c r="N4411">
        <v>51.721697878714401</v>
      </c>
      <c r="O4411">
        <v>51.170541417716201</v>
      </c>
      <c r="P4411">
        <v>-0.13512966369097301</v>
      </c>
      <c r="Q4411">
        <v>8.7728326019707106E-2</v>
      </c>
      <c r="R4411">
        <v>0.99608389412154397</v>
      </c>
      <c r="S4411" t="s">
        <v>11081</v>
      </c>
      <c r="T4411" t="s">
        <v>13338</v>
      </c>
      <c r="U4411" t="s">
        <v>13338</v>
      </c>
      <c r="V4411" t="s">
        <v>13338</v>
      </c>
      <c r="W4411" t="s">
        <v>17693</v>
      </c>
      <c r="X4411">
        <v>8</v>
      </c>
      <c r="Y4411" t="s">
        <v>24197</v>
      </c>
      <c r="Z4411" t="s">
        <v>30826</v>
      </c>
      <c r="AA4411">
        <v>0.439818156742808</v>
      </c>
      <c r="AB4411" t="str">
        <f>HYPERLINK("Melting_Curves/meltCurve_Q8IXJ6_2_SIRT2.pdf", "Melting_Curves/meltCurve_Q8IXJ6_2_SIRT2.pdf")</f>
        <v>Melting_Curves/meltCurve_Q8IXJ6_2_SIRT2.pdf</v>
      </c>
    </row>
    <row r="4412" spans="1:28" x14ac:dyDescent="0.25">
      <c r="A4412" t="s">
        <v>4416</v>
      </c>
      <c r="B4412">
        <v>0.99193492352474899</v>
      </c>
      <c r="C4412">
        <v>1.1103852474678899</v>
      </c>
      <c r="D4412">
        <v>0.82451756474911198</v>
      </c>
      <c r="E4412">
        <v>0.50737230560600999</v>
      </c>
      <c r="F4412">
        <v>0.35298460858695202</v>
      </c>
      <c r="G4412">
        <v>0.20933990437355601</v>
      </c>
      <c r="H4412">
        <v>0.148385879837752</v>
      </c>
      <c r="I4412">
        <v>0.144012053092203</v>
      </c>
      <c r="J4412">
        <v>0.156475761042629</v>
      </c>
      <c r="K4412">
        <v>0.156591122091947</v>
      </c>
      <c r="L4412">
        <v>1072.1463821222501</v>
      </c>
      <c r="M4412">
        <v>21.768407029380601</v>
      </c>
      <c r="N4412">
        <v>50.107890088767398</v>
      </c>
      <c r="O4412">
        <v>48.842408317496599</v>
      </c>
      <c r="P4412">
        <v>-9.4131143413068302E-2</v>
      </c>
      <c r="Q4412">
        <v>0.15520052304085599</v>
      </c>
      <c r="R4412">
        <v>0.97946198752091895</v>
      </c>
      <c r="S4412" t="s">
        <v>11082</v>
      </c>
      <c r="T4412" t="s">
        <v>13338</v>
      </c>
      <c r="U4412" t="s">
        <v>13338</v>
      </c>
      <c r="V4412" t="s">
        <v>13338</v>
      </c>
      <c r="W4412" t="s">
        <v>17694</v>
      </c>
      <c r="X4412">
        <v>7</v>
      </c>
      <c r="Y4412" t="s">
        <v>24198</v>
      </c>
      <c r="Z4412" t="s">
        <v>30827</v>
      </c>
      <c r="AA4412">
        <v>0.42569666383536769</v>
      </c>
      <c r="AB4412" t="str">
        <f>HYPERLINK("Melting_Curves/meltCurve_Q8IXK2_GALNT12.pdf", "Melting_Curves/meltCurve_Q8IXK2_GALNT12.pdf")</f>
        <v>Melting_Curves/meltCurve_Q8IXK2_GALNT12.pdf</v>
      </c>
    </row>
    <row r="4413" spans="1:28" x14ac:dyDescent="0.25">
      <c r="A4413" t="s">
        <v>4417</v>
      </c>
      <c r="B4413">
        <v>0.99193492352474899</v>
      </c>
      <c r="C4413">
        <v>0.88544315376151606</v>
      </c>
      <c r="D4413">
        <v>0.94751521579362596</v>
      </c>
      <c r="E4413">
        <v>0.71423257606124801</v>
      </c>
      <c r="F4413">
        <v>0.56627210668740402</v>
      </c>
      <c r="G4413">
        <v>0.29422676616422799</v>
      </c>
      <c r="H4413">
        <v>0.18515434312870199</v>
      </c>
      <c r="I4413">
        <v>0.134957259327627</v>
      </c>
      <c r="J4413">
        <v>0.159427018014522</v>
      </c>
      <c r="K4413">
        <v>0.12158168923101299</v>
      </c>
      <c r="L4413">
        <v>787.22790555880295</v>
      </c>
      <c r="M4413">
        <v>14.9343099085531</v>
      </c>
      <c r="N4413">
        <v>53.451410357381498</v>
      </c>
      <c r="O4413">
        <v>51.794650077224198</v>
      </c>
      <c r="P4413">
        <v>-6.5369563790980106E-2</v>
      </c>
      <c r="Q4413">
        <v>9.3243482621930204E-2</v>
      </c>
      <c r="R4413">
        <v>0.98727244601737996</v>
      </c>
      <c r="S4413" t="s">
        <v>11083</v>
      </c>
      <c r="T4413" t="s">
        <v>13338</v>
      </c>
      <c r="U4413" t="s">
        <v>13338</v>
      </c>
      <c r="V4413" t="s">
        <v>13338</v>
      </c>
      <c r="W4413" t="s">
        <v>17695</v>
      </c>
      <c r="X4413">
        <v>4</v>
      </c>
      <c r="Y4413" t="s">
        <v>24199</v>
      </c>
      <c r="Z4413" t="s">
        <v>30828</v>
      </c>
      <c r="AA4413">
        <v>0.49735493265452357</v>
      </c>
      <c r="AB4413" t="str">
        <f>HYPERLINK("Melting_Curves/meltCurve_Q8IXM6_NRM.pdf", "Melting_Curves/meltCurve_Q8IXM6_NRM.pdf")</f>
        <v>Melting_Curves/meltCurve_Q8IXM6_NRM.pdf</v>
      </c>
    </row>
    <row r="4414" spans="1:28" x14ac:dyDescent="0.25">
      <c r="A4414" t="s">
        <v>4418</v>
      </c>
      <c r="B4414">
        <v>0.99193492352474899</v>
      </c>
      <c r="C4414">
        <v>0.89159568513441101</v>
      </c>
      <c r="D4414">
        <v>0.97034576099785097</v>
      </c>
      <c r="E4414">
        <v>0.80965198318409903</v>
      </c>
      <c r="F4414">
        <v>0.84401630300170305</v>
      </c>
      <c r="G4414">
        <v>0.53071131554244599</v>
      </c>
      <c r="H4414">
        <v>0.20042752391341101</v>
      </c>
      <c r="I4414">
        <v>0.110859594453025</v>
      </c>
      <c r="J4414">
        <v>9.0768437512358399E-2</v>
      </c>
      <c r="K4414">
        <v>0.10500933141095301</v>
      </c>
      <c r="L4414">
        <v>1095.3780689249099</v>
      </c>
      <c r="M4414">
        <v>19.349880488593001</v>
      </c>
      <c r="N4414">
        <v>56.879036792706302</v>
      </c>
      <c r="O4414">
        <v>56.0148188628581</v>
      </c>
      <c r="P4414">
        <v>-8.2574080789683604E-2</v>
      </c>
      <c r="Q4414">
        <v>4.38802708192415E-2</v>
      </c>
      <c r="R4414">
        <v>0.97282050729704606</v>
      </c>
      <c r="S4414" t="s">
        <v>11084</v>
      </c>
      <c r="T4414" t="s">
        <v>13338</v>
      </c>
      <c r="U4414" t="s">
        <v>13338</v>
      </c>
      <c r="V4414" t="s">
        <v>13338</v>
      </c>
      <c r="W4414" t="s">
        <v>17696</v>
      </c>
      <c r="X4414">
        <v>1</v>
      </c>
      <c r="Y4414" t="s">
        <v>24200</v>
      </c>
      <c r="Z4414" t="s">
        <v>30829</v>
      </c>
      <c r="AA4414">
        <v>0.58568798135392963</v>
      </c>
      <c r="AB4414" t="str">
        <f>HYPERLINK("Melting_Curves/meltCurve_Q8IXN7_RIMKLA.pdf", "Melting_Curves/meltCurve_Q8IXN7_RIMKLA.pdf")</f>
        <v>Melting_Curves/meltCurve_Q8IXN7_RIMKLA.pdf</v>
      </c>
    </row>
    <row r="4415" spans="1:28" x14ac:dyDescent="0.25">
      <c r="A4415" t="s">
        <v>4419</v>
      </c>
      <c r="B4415">
        <v>0.99193492352474899</v>
      </c>
      <c r="C4415">
        <v>1.0123093255069999</v>
      </c>
      <c r="D4415">
        <v>1.02068318728216</v>
      </c>
      <c r="E4415">
        <v>0.77019905042331804</v>
      </c>
      <c r="F4415">
        <v>0.52034868007487201</v>
      </c>
      <c r="G4415">
        <v>0.48810290942912199</v>
      </c>
      <c r="H4415">
        <v>0.47315281796404102</v>
      </c>
      <c r="I4415">
        <v>0.72572000547306503</v>
      </c>
      <c r="J4415">
        <v>0.810901985883836</v>
      </c>
      <c r="K4415">
        <v>1.79151312445559</v>
      </c>
      <c r="L4415">
        <v>450.47760201030297</v>
      </c>
      <c r="M4415">
        <v>1.0000000000000001E-5</v>
      </c>
      <c r="Q4415">
        <v>1.5</v>
      </c>
      <c r="R4415">
        <v>-0.14236959324924101</v>
      </c>
      <c r="S4415" t="s">
        <v>11085</v>
      </c>
      <c r="T4415" t="s">
        <v>13338</v>
      </c>
      <c r="U4415" t="s">
        <v>13338</v>
      </c>
      <c r="V4415" t="s">
        <v>13338</v>
      </c>
      <c r="W4415" t="s">
        <v>17697</v>
      </c>
      <c r="X4415">
        <v>5</v>
      </c>
      <c r="Y4415" t="s">
        <v>24201</v>
      </c>
      <c r="Z4415" t="s">
        <v>30830</v>
      </c>
      <c r="AA4415">
        <v>1.0002263928410939</v>
      </c>
      <c r="AB4415" t="str">
        <f>HYPERLINK("Melting_Curves/meltCurve_Q8IXQ3_C9orf40.pdf", "Melting_Curves/meltCurve_Q8IXQ3_C9orf40.pdf")</f>
        <v>Melting_Curves/meltCurve_Q8IXQ3_C9orf40.pdf</v>
      </c>
    </row>
    <row r="4416" spans="1:28" x14ac:dyDescent="0.25">
      <c r="A4416" t="s">
        <v>4420</v>
      </c>
      <c r="B4416">
        <v>0.99193492352474899</v>
      </c>
      <c r="C4416">
        <v>0.81746793668567597</v>
      </c>
      <c r="D4416">
        <v>0.90026016364475003</v>
      </c>
      <c r="E4416">
        <v>0.786334211734531</v>
      </c>
      <c r="F4416">
        <v>0.69726742530653396</v>
      </c>
      <c r="G4416">
        <v>0.486363881094168</v>
      </c>
      <c r="H4416">
        <v>0.45618324361055201</v>
      </c>
      <c r="I4416">
        <v>0.54362724732383205</v>
      </c>
      <c r="J4416">
        <v>0.66989873165301395</v>
      </c>
      <c r="K4416">
        <v>1.0110896418464701</v>
      </c>
      <c r="L4416">
        <v>775.244089005619</v>
      </c>
      <c r="M4416">
        <v>16.686519891163499</v>
      </c>
      <c r="O4416">
        <v>45.807413155674702</v>
      </c>
      <c r="P4416">
        <v>-3.2609070525896303E-2</v>
      </c>
      <c r="Q4416">
        <v>0.64195326999524205</v>
      </c>
      <c r="R4416">
        <v>0.35514896420703601</v>
      </c>
      <c r="S4416" t="s">
        <v>11086</v>
      </c>
      <c r="T4416" t="s">
        <v>13338</v>
      </c>
      <c r="U4416" t="s">
        <v>13338</v>
      </c>
      <c r="V4416" t="s">
        <v>13338</v>
      </c>
      <c r="W4416" t="s">
        <v>17698</v>
      </c>
      <c r="X4416">
        <v>16</v>
      </c>
      <c r="Y4416" t="s">
        <v>24202</v>
      </c>
      <c r="Z4416" t="s">
        <v>30831</v>
      </c>
      <c r="AA4416">
        <v>0.72708422403792572</v>
      </c>
      <c r="AB4416" t="str">
        <f>HYPERLINK("Melting_Curves/meltCurve_Q8IXQ4_KIAA1704.pdf", "Melting_Curves/meltCurve_Q8IXQ4_KIAA1704.pdf")</f>
        <v>Melting_Curves/meltCurve_Q8IXQ4_KIAA1704.pdf</v>
      </c>
    </row>
    <row r="4417" spans="1:28" x14ac:dyDescent="0.25">
      <c r="A4417" t="s">
        <v>4421</v>
      </c>
      <c r="B4417">
        <v>0.99193492352474899</v>
      </c>
      <c r="C4417">
        <v>0.623564717600948</v>
      </c>
      <c r="D4417">
        <v>0.53132287243002196</v>
      </c>
      <c r="E4417">
        <v>0.23204903604738</v>
      </c>
      <c r="F4417">
        <v>0.121103891779929</v>
      </c>
      <c r="G4417">
        <v>0.105852687173525</v>
      </c>
      <c r="H4417">
        <v>4.9872662559540502E-2</v>
      </c>
      <c r="I4417">
        <v>7.0208389442796906E-2</v>
      </c>
      <c r="J4417">
        <v>5.4276326054327799E-2</v>
      </c>
      <c r="K4417">
        <v>8.2763114203364505E-2</v>
      </c>
      <c r="L4417">
        <v>733.41944888548198</v>
      </c>
      <c r="M4417">
        <v>16.199166198796501</v>
      </c>
      <c r="N4417">
        <v>45.623417354167103</v>
      </c>
      <c r="O4417">
        <v>44.602035662037402</v>
      </c>
      <c r="P4417">
        <v>-8.5523838508485397E-2</v>
      </c>
      <c r="Q4417">
        <v>5.8160827466372002E-2</v>
      </c>
      <c r="R4417">
        <v>0.97368919155404698</v>
      </c>
      <c r="S4417" t="s">
        <v>11087</v>
      </c>
      <c r="T4417" t="s">
        <v>13338</v>
      </c>
      <c r="U4417" t="s">
        <v>13338</v>
      </c>
      <c r="V4417" t="s">
        <v>13338</v>
      </c>
      <c r="W4417" t="s">
        <v>17699</v>
      </c>
      <c r="X4417">
        <v>3</v>
      </c>
      <c r="Y4417" t="s">
        <v>24203</v>
      </c>
      <c r="Z4417" t="s">
        <v>30832</v>
      </c>
      <c r="AA4417">
        <v>0.24870087576247479</v>
      </c>
      <c r="AB4417" t="str">
        <f>HYPERLINK("Melting_Curves/meltCurve_Q8IXQ5_2_KLHL7.pdf", "Melting_Curves/meltCurve_Q8IXQ5_2_KLHL7.pdf")</f>
        <v>Melting_Curves/meltCurve_Q8IXQ5_2_KLHL7.pdf</v>
      </c>
    </row>
    <row r="4418" spans="1:28" x14ac:dyDescent="0.25">
      <c r="A4418" t="s">
        <v>4422</v>
      </c>
      <c r="B4418">
        <v>0.99193492352474899</v>
      </c>
      <c r="C4418">
        <v>0.55183559225576495</v>
      </c>
      <c r="D4418">
        <v>0.361507051472781</v>
      </c>
      <c r="E4418">
        <v>0.16753956794216401</v>
      </c>
      <c r="F4418">
        <v>0.15815849074788901</v>
      </c>
      <c r="G4418">
        <v>0.123046471070921</v>
      </c>
      <c r="H4418">
        <v>6.4304365333737498E-2</v>
      </c>
      <c r="I4418">
        <v>0.13508012790222601</v>
      </c>
      <c r="J4418">
        <v>0.165151840887589</v>
      </c>
      <c r="K4418">
        <v>0.16803736455110099</v>
      </c>
      <c r="L4418">
        <v>1091.60879607007</v>
      </c>
      <c r="M4418">
        <v>25.1910100504778</v>
      </c>
      <c r="N4418">
        <v>43.894539172850997</v>
      </c>
      <c r="O4418">
        <v>43.062960799951298</v>
      </c>
      <c r="P4418">
        <v>-0.12611013175681501</v>
      </c>
      <c r="Q4418">
        <v>0.13769162198635701</v>
      </c>
      <c r="R4418">
        <v>0.96734553412999102</v>
      </c>
      <c r="S4418" t="s">
        <v>11088</v>
      </c>
      <c r="T4418" t="s">
        <v>13338</v>
      </c>
      <c r="U4418" t="s">
        <v>13338</v>
      </c>
      <c r="V4418" t="s">
        <v>13338</v>
      </c>
      <c r="W4418" t="s">
        <v>17700</v>
      </c>
      <c r="X4418">
        <v>2</v>
      </c>
      <c r="Y4418" t="s">
        <v>24204</v>
      </c>
      <c r="Z4418" t="s">
        <v>30833</v>
      </c>
      <c r="AA4418">
        <v>0.24463609367798539</v>
      </c>
      <c r="AB4418" t="str">
        <f>HYPERLINK("Melting_Curves/meltCurve_Q8IXQ6_2_PARP9.pdf", "Melting_Curves/meltCurve_Q8IXQ6_2_PARP9.pdf")</f>
        <v>Melting_Curves/meltCurve_Q8IXQ6_2_PARP9.pdf</v>
      </c>
    </row>
    <row r="4419" spans="1:28" x14ac:dyDescent="0.25">
      <c r="A4419" t="s">
        <v>4423</v>
      </c>
      <c r="B4419">
        <v>0.99193492352474899</v>
      </c>
      <c r="C4419">
        <v>1.0691215423174001</v>
      </c>
      <c r="D4419">
        <v>0.69306409518492695</v>
      </c>
      <c r="E4419">
        <v>0.513754958730684</v>
      </c>
      <c r="F4419">
        <v>0.35313081988286799</v>
      </c>
      <c r="G4419">
        <v>0.274910813093455</v>
      </c>
      <c r="H4419">
        <v>0.12690518410023399</v>
      </c>
      <c r="I4419">
        <v>0.14430902957889399</v>
      </c>
      <c r="J4419">
        <v>0.177867026498814</v>
      </c>
      <c r="K4419">
        <v>0.15960128639780799</v>
      </c>
      <c r="L4419">
        <v>836.73369277704001</v>
      </c>
      <c r="M4419">
        <v>17.138519047207399</v>
      </c>
      <c r="N4419">
        <v>49.892528862261699</v>
      </c>
      <c r="O4419">
        <v>48.1716694047741</v>
      </c>
      <c r="P4419">
        <v>-7.5263428850627603E-2</v>
      </c>
      <c r="Q4419">
        <v>0.15387132616462901</v>
      </c>
      <c r="R4419">
        <v>0.96873438683098201</v>
      </c>
      <c r="S4419" t="s">
        <v>11089</v>
      </c>
      <c r="T4419" t="s">
        <v>13338</v>
      </c>
      <c r="U4419" t="s">
        <v>13338</v>
      </c>
      <c r="V4419" t="s">
        <v>13338</v>
      </c>
      <c r="W4419" t="s">
        <v>17701</v>
      </c>
      <c r="X4419">
        <v>3</v>
      </c>
      <c r="Y4419" t="s">
        <v>24205</v>
      </c>
      <c r="Z4419" t="s">
        <v>30834</v>
      </c>
      <c r="AA4419">
        <v>0.41890651559853559</v>
      </c>
      <c r="AB4419" t="str">
        <f>HYPERLINK("Melting_Curves/meltCurve_Q8IXT5_RBM12B.pdf", "Melting_Curves/meltCurve_Q8IXT5_RBM12B.pdf")</f>
        <v>Melting_Curves/meltCurve_Q8IXT5_RBM12B.pdf</v>
      </c>
    </row>
    <row r="4420" spans="1:28" x14ac:dyDescent="0.25">
      <c r="A4420" t="s">
        <v>4424</v>
      </c>
      <c r="B4420">
        <v>0.99193492352474899</v>
      </c>
      <c r="C4420">
        <v>0.93202243631790505</v>
      </c>
      <c r="D4420">
        <v>0.80936353665317495</v>
      </c>
      <c r="E4420">
        <v>0.41694876434987299</v>
      </c>
      <c r="F4420">
        <v>0.25553088298161702</v>
      </c>
      <c r="G4420">
        <v>0.20857454174756701</v>
      </c>
      <c r="H4420">
        <v>8.0467277477239793E-2</v>
      </c>
      <c r="I4420">
        <v>0.117355536182308</v>
      </c>
      <c r="J4420">
        <v>0.12378638438313</v>
      </c>
      <c r="K4420">
        <v>7.5236277836851606E-2</v>
      </c>
      <c r="L4420">
        <v>975.24342560131402</v>
      </c>
      <c r="M4420">
        <v>20.092374718205502</v>
      </c>
      <c r="N4420">
        <v>49.118270532224102</v>
      </c>
      <c r="O4420">
        <v>48.064849616197797</v>
      </c>
      <c r="P4420">
        <v>-9.3468366279149506E-2</v>
      </c>
      <c r="Q4420">
        <v>0.10565080703785699</v>
      </c>
      <c r="R4420">
        <v>0.99238682070319895</v>
      </c>
      <c r="S4420" t="s">
        <v>11090</v>
      </c>
      <c r="T4420" t="s">
        <v>13338</v>
      </c>
      <c r="U4420" t="s">
        <v>13338</v>
      </c>
      <c r="V4420" t="s">
        <v>13338</v>
      </c>
      <c r="W4420" t="s">
        <v>17702</v>
      </c>
      <c r="X4420">
        <v>2</v>
      </c>
      <c r="Y4420" t="s">
        <v>24206</v>
      </c>
      <c r="Z4420" t="s">
        <v>30835</v>
      </c>
      <c r="AA4420">
        <v>0.37265651712382142</v>
      </c>
      <c r="AB4420" t="str">
        <f>HYPERLINK("Melting_Curves/meltCurve_Q8IY17_2_PNPLA6.pdf", "Melting_Curves/meltCurve_Q8IY17_2_PNPLA6.pdf")</f>
        <v>Melting_Curves/meltCurve_Q8IY17_2_PNPLA6.pdf</v>
      </c>
    </row>
    <row r="4421" spans="1:28" x14ac:dyDescent="0.25">
      <c r="A4421" t="s">
        <v>4425</v>
      </c>
      <c r="B4421">
        <v>0.99193492352474899</v>
      </c>
      <c r="C4421">
        <v>0.68221285613663696</v>
      </c>
      <c r="D4421">
        <v>0.92327559455366603</v>
      </c>
      <c r="E4421">
        <v>0.60132056896054198</v>
      </c>
      <c r="F4421">
        <v>0.26839280482322603</v>
      </c>
      <c r="G4421">
        <v>0.13207141496789701</v>
      </c>
      <c r="H4421">
        <v>7.5778491106373497E-2</v>
      </c>
      <c r="I4421">
        <v>8.1834160354361696E-2</v>
      </c>
      <c r="J4421">
        <v>0.101788073147368</v>
      </c>
      <c r="K4421">
        <v>9.9432015739300106E-2</v>
      </c>
      <c r="L4421">
        <v>844.71788876173696</v>
      </c>
      <c r="M4421">
        <v>16.906372059791199</v>
      </c>
      <c r="N4421">
        <v>50.339550083786101</v>
      </c>
      <c r="O4421">
        <v>49.281120605501002</v>
      </c>
      <c r="P4421">
        <v>-8.0694536694209604E-2</v>
      </c>
      <c r="Q4421">
        <v>5.91793340304674E-2</v>
      </c>
      <c r="R4421">
        <v>0.92882013664923002</v>
      </c>
      <c r="S4421" t="s">
        <v>11091</v>
      </c>
      <c r="T4421" t="s">
        <v>13338</v>
      </c>
      <c r="U4421" t="s">
        <v>13338</v>
      </c>
      <c r="V4421" t="s">
        <v>13338</v>
      </c>
      <c r="W4421" t="s">
        <v>17703</v>
      </c>
      <c r="X4421">
        <v>12</v>
      </c>
      <c r="Y4421" t="s">
        <v>24207</v>
      </c>
      <c r="Z4421" t="s">
        <v>30836</v>
      </c>
      <c r="AA4421">
        <v>0.38973524614748412</v>
      </c>
      <c r="AB4421" t="str">
        <f>HYPERLINK("Melting_Curves/meltCurve_Q8IY18_SMC5.pdf", "Melting_Curves/meltCurve_Q8IY18_SMC5.pdf")</f>
        <v>Melting_Curves/meltCurve_Q8IY18_SMC5.pdf</v>
      </c>
    </row>
    <row r="4422" spans="1:28" x14ac:dyDescent="0.25">
      <c r="A4422" t="s">
        <v>4426</v>
      </c>
      <c r="B4422">
        <v>0.99193492352474899</v>
      </c>
      <c r="C4422">
        <v>0.64926088463263398</v>
      </c>
      <c r="D4422">
        <v>0.79444812753552896</v>
      </c>
      <c r="E4422">
        <v>0.35610828111562998</v>
      </c>
      <c r="F4422">
        <v>0.161023746088127</v>
      </c>
      <c r="G4422">
        <v>9.8009440379790105E-2</v>
      </c>
      <c r="H4422">
        <v>5.2443568633130697E-2</v>
      </c>
      <c r="I4422">
        <v>8.7116407501201101E-2</v>
      </c>
      <c r="J4422">
        <v>8.7787159127390199E-2</v>
      </c>
      <c r="K4422">
        <v>9.5152713821798199E-2</v>
      </c>
      <c r="L4422">
        <v>713.14579074655705</v>
      </c>
      <c r="M4422">
        <v>15.028027533629</v>
      </c>
      <c r="N4422">
        <v>47.797984658550803</v>
      </c>
      <c r="O4422">
        <v>46.6379046795088</v>
      </c>
      <c r="P4422">
        <v>-7.6440118686970995E-2</v>
      </c>
      <c r="Q4422">
        <v>5.1199926474007701E-2</v>
      </c>
      <c r="R4422">
        <v>0.93550617750625398</v>
      </c>
      <c r="S4422" t="s">
        <v>11092</v>
      </c>
      <c r="T4422" t="s">
        <v>13338</v>
      </c>
      <c r="U4422" t="s">
        <v>13338</v>
      </c>
      <c r="V4422" t="s">
        <v>13338</v>
      </c>
      <c r="W4422" t="s">
        <v>17704</v>
      </c>
      <c r="X4422">
        <v>3</v>
      </c>
      <c r="Y4422" t="s">
        <v>24208</v>
      </c>
      <c r="Z4422" t="s">
        <v>30837</v>
      </c>
      <c r="AA4422">
        <v>0.31196495675082092</v>
      </c>
      <c r="AB4422" t="str">
        <f>HYPERLINK("Melting_Curves/meltCurve_Q8IY21_DDX60.pdf", "Melting_Curves/meltCurve_Q8IY21_DDX60.pdf")</f>
        <v>Melting_Curves/meltCurve_Q8IY21_DDX60.pdf</v>
      </c>
    </row>
    <row r="4423" spans="1:28" x14ac:dyDescent="0.25">
      <c r="A4423" t="s">
        <v>4427</v>
      </c>
      <c r="B4423">
        <v>0.99193492352474899</v>
      </c>
      <c r="C4423">
        <v>0.96465307298462599</v>
      </c>
      <c r="D4423">
        <v>1.1459557679395</v>
      </c>
      <c r="E4423">
        <v>0.77817992078514797</v>
      </c>
      <c r="F4423">
        <v>0.77288882383255897</v>
      </c>
      <c r="G4423">
        <v>0.39277552498407797</v>
      </c>
      <c r="H4423">
        <v>0.37750178244511501</v>
      </c>
      <c r="I4423">
        <v>0.201360047078675</v>
      </c>
      <c r="J4423">
        <v>0.22470835789407201</v>
      </c>
      <c r="K4423">
        <v>9.1567223624528404E-2</v>
      </c>
      <c r="L4423">
        <v>876.69051828449301</v>
      </c>
      <c r="M4423">
        <v>15.802565130599101</v>
      </c>
      <c r="N4423">
        <v>56.474403383861599</v>
      </c>
      <c r="O4423">
        <v>54.612112767960603</v>
      </c>
      <c r="P4423">
        <v>-6.3542427153794601E-2</v>
      </c>
      <c r="Q4423">
        <v>0.121686723044008</v>
      </c>
      <c r="R4423">
        <v>0.94673770060286</v>
      </c>
      <c r="S4423" t="s">
        <v>11093</v>
      </c>
      <c r="T4423" t="s">
        <v>13338</v>
      </c>
      <c r="U4423" t="s">
        <v>13338</v>
      </c>
      <c r="V4423" t="s">
        <v>13338</v>
      </c>
      <c r="W4423" t="s">
        <v>17705</v>
      </c>
      <c r="X4423">
        <v>1</v>
      </c>
      <c r="Y4423" t="s">
        <v>24209</v>
      </c>
      <c r="Z4423" t="s">
        <v>30838</v>
      </c>
      <c r="AA4423">
        <v>0.59031829648187306</v>
      </c>
      <c r="AB4423" t="str">
        <f>HYPERLINK("Melting_Curves/meltCurve_Q8IY26_PPAPDC2.pdf", "Melting_Curves/meltCurve_Q8IY26_PPAPDC2.pdf")</f>
        <v>Melting_Curves/meltCurve_Q8IY26_PPAPDC2.pdf</v>
      </c>
    </row>
    <row r="4424" spans="1:28" x14ac:dyDescent="0.25">
      <c r="A4424" t="s">
        <v>4428</v>
      </c>
      <c r="B4424">
        <v>0.99193492352474899</v>
      </c>
      <c r="C4424">
        <v>0.36042007123421499</v>
      </c>
      <c r="D4424">
        <v>0.61901414161031199</v>
      </c>
      <c r="E4424">
        <v>0.25263710002961098</v>
      </c>
      <c r="F4424">
        <v>0.237134361100302</v>
      </c>
      <c r="G4424">
        <v>0.17007559432295</v>
      </c>
      <c r="H4424">
        <v>0.101187965149906</v>
      </c>
      <c r="I4424">
        <v>0.129973616062423</v>
      </c>
      <c r="J4424">
        <v>0.145678433771319</v>
      </c>
      <c r="K4424">
        <v>0.101840992634709</v>
      </c>
      <c r="L4424">
        <v>553.33774263257305</v>
      </c>
      <c r="M4424">
        <v>12.5302045370749</v>
      </c>
      <c r="N4424">
        <v>45.073948301448901</v>
      </c>
      <c r="O4424">
        <v>43.080802307259198</v>
      </c>
      <c r="P4424">
        <v>-6.4571900719920902E-2</v>
      </c>
      <c r="Q4424">
        <v>0.112147822917186</v>
      </c>
      <c r="R4424">
        <v>0.80508753042707204</v>
      </c>
      <c r="S4424" t="s">
        <v>11094</v>
      </c>
      <c r="T4424" t="s">
        <v>13338</v>
      </c>
      <c r="U4424" t="s">
        <v>13338</v>
      </c>
      <c r="V4424" t="s">
        <v>13338</v>
      </c>
      <c r="W4424" t="s">
        <v>17706</v>
      </c>
      <c r="X4424">
        <v>6</v>
      </c>
      <c r="Y4424" t="s">
        <v>24210</v>
      </c>
      <c r="Z4424" t="s">
        <v>30839</v>
      </c>
      <c r="AA4424">
        <v>0.28006412591968571</v>
      </c>
      <c r="AB4424" t="str">
        <f>HYPERLINK("Melting_Curves/meltCurve_Q8IY37_DHX37.pdf", "Melting_Curves/meltCurve_Q8IY37_DHX37.pdf")</f>
        <v>Melting_Curves/meltCurve_Q8IY37_DHX37.pdf</v>
      </c>
    </row>
    <row r="4425" spans="1:28" x14ac:dyDescent="0.25">
      <c r="A4425" t="s">
        <v>4429</v>
      </c>
      <c r="B4425">
        <v>0.99193492352474899</v>
      </c>
      <c r="C4425">
        <v>0.82772080024211803</v>
      </c>
      <c r="D4425">
        <v>1.01800666025271</v>
      </c>
      <c r="E4425">
        <v>0.59367290492786995</v>
      </c>
      <c r="F4425">
        <v>0.34415320885786899</v>
      </c>
      <c r="G4425">
        <v>0.21276742267632601</v>
      </c>
      <c r="H4425">
        <v>0.146996271783499</v>
      </c>
      <c r="I4425">
        <v>0.18731622681481599</v>
      </c>
      <c r="J4425">
        <v>0.28315850671572002</v>
      </c>
      <c r="K4425">
        <v>0.14669346171552</v>
      </c>
      <c r="L4425">
        <v>1446.11638397204</v>
      </c>
      <c r="M4425">
        <v>28.996237015775399</v>
      </c>
      <c r="N4425">
        <v>50.730581421051703</v>
      </c>
      <c r="O4425">
        <v>49.6371575379098</v>
      </c>
      <c r="P4425">
        <v>-0.117736657613442</v>
      </c>
      <c r="Q4425">
        <v>0.19381696606708801</v>
      </c>
      <c r="R4425">
        <v>0.955765789171514</v>
      </c>
      <c r="S4425" t="s">
        <v>11095</v>
      </c>
      <c r="T4425" t="s">
        <v>13338</v>
      </c>
      <c r="U4425" t="s">
        <v>13338</v>
      </c>
      <c r="V4425" t="s">
        <v>13338</v>
      </c>
      <c r="W4425" t="s">
        <v>17707</v>
      </c>
      <c r="X4425">
        <v>3</v>
      </c>
      <c r="Y4425" t="s">
        <v>24211</v>
      </c>
      <c r="Z4425" t="s">
        <v>30840</v>
      </c>
      <c r="AA4425">
        <v>0.46445120345042401</v>
      </c>
      <c r="AB4425" t="str">
        <f>HYPERLINK("Melting_Curves/meltCurve_Q8IY47_KBTBD2.pdf", "Melting_Curves/meltCurve_Q8IY47_KBTBD2.pdf")</f>
        <v>Melting_Curves/meltCurve_Q8IY47_KBTBD2.pdf</v>
      </c>
    </row>
    <row r="4426" spans="1:28" x14ac:dyDescent="0.25">
      <c r="A4426" t="s">
        <v>4430</v>
      </c>
      <c r="B4426">
        <v>0.99193492352474899</v>
      </c>
      <c r="C4426">
        <v>0.86610604608884201</v>
      </c>
      <c r="D4426">
        <v>0.98435637819530997</v>
      </c>
      <c r="E4426">
        <v>0.71530608171319598</v>
      </c>
      <c r="F4426">
        <v>0.56716587001156904</v>
      </c>
      <c r="G4426">
        <v>0.350358923237443</v>
      </c>
      <c r="H4426">
        <v>0.208795964501826</v>
      </c>
      <c r="I4426">
        <v>0.16929697537456001</v>
      </c>
      <c r="J4426">
        <v>0.21847065310330199</v>
      </c>
      <c r="K4426">
        <v>0.18478652423501099</v>
      </c>
      <c r="L4426">
        <v>821.10361313850797</v>
      </c>
      <c r="M4426">
        <v>15.652246449405199</v>
      </c>
      <c r="N4426">
        <v>53.726856990368802</v>
      </c>
      <c r="O4426">
        <v>51.625253161708798</v>
      </c>
      <c r="P4426">
        <v>-6.4100103084478804E-2</v>
      </c>
      <c r="Q4426">
        <v>0.15439584913329299</v>
      </c>
      <c r="R4426">
        <v>0.97779194630676802</v>
      </c>
      <c r="S4426" t="s">
        <v>11096</v>
      </c>
      <c r="T4426" t="s">
        <v>13338</v>
      </c>
      <c r="U4426" t="s">
        <v>13338</v>
      </c>
      <c r="V4426" t="s">
        <v>13338</v>
      </c>
      <c r="W4426" t="s">
        <v>17708</v>
      </c>
      <c r="X4426">
        <v>6</v>
      </c>
      <c r="Y4426" t="s">
        <v>24212</v>
      </c>
      <c r="Z4426" t="s">
        <v>30841</v>
      </c>
      <c r="AA4426">
        <v>0.52302927288555401</v>
      </c>
      <c r="AB4426" t="str">
        <f>HYPERLINK("Melting_Curves/meltCurve_Q8IY95_2_TMEM192.pdf", "Melting_Curves/meltCurve_Q8IY95_2_TMEM192.pdf")</f>
        <v>Melting_Curves/meltCurve_Q8IY95_2_TMEM192.pdf</v>
      </c>
    </row>
    <row r="4427" spans="1:28" x14ac:dyDescent="0.25">
      <c r="A4427" t="s">
        <v>4431</v>
      </c>
      <c r="B4427">
        <v>0.99193492352474899</v>
      </c>
      <c r="C4427">
        <v>0.90122758534089997</v>
      </c>
      <c r="D4427">
        <v>0.89285297468993896</v>
      </c>
      <c r="E4427">
        <v>0.880388835670468</v>
      </c>
      <c r="F4427">
        <v>0.82295840274187904</v>
      </c>
      <c r="G4427">
        <v>0.70236706884143496</v>
      </c>
      <c r="H4427">
        <v>0.46101150546990299</v>
      </c>
      <c r="I4427">
        <v>0.39990339127869201</v>
      </c>
      <c r="J4427">
        <v>0.24444902844521499</v>
      </c>
      <c r="K4427">
        <v>0.145368453163328</v>
      </c>
      <c r="L4427">
        <v>633.28176956731102</v>
      </c>
      <c r="M4427">
        <v>10.482369048403999</v>
      </c>
      <c r="N4427">
        <v>60.4140003153626</v>
      </c>
      <c r="O4427">
        <v>58.3394774204436</v>
      </c>
      <c r="P4427">
        <v>-4.4937948332028098E-2</v>
      </c>
      <c r="Q4427">
        <v>0</v>
      </c>
      <c r="R4427">
        <v>0.97642850418628202</v>
      </c>
      <c r="S4427" t="s">
        <v>11097</v>
      </c>
      <c r="T4427" t="s">
        <v>13338</v>
      </c>
      <c r="U4427" t="s">
        <v>13338</v>
      </c>
      <c r="V4427" t="s">
        <v>13338</v>
      </c>
      <c r="W4427" t="s">
        <v>17709</v>
      </c>
      <c r="X4427">
        <v>4</v>
      </c>
      <c r="Y4427" t="s">
        <v>24213</v>
      </c>
      <c r="Z4427" t="s">
        <v>30842</v>
      </c>
      <c r="AA4427">
        <v>0.67528042578267566</v>
      </c>
      <c r="AB4427" t="str">
        <f>HYPERLINK("Melting_Curves/meltCurve_Q8IYB1_MB21D2.pdf", "Melting_Curves/meltCurve_Q8IYB1_MB21D2.pdf")</f>
        <v>Melting_Curves/meltCurve_Q8IYB1_MB21D2.pdf</v>
      </c>
    </row>
    <row r="4428" spans="1:28" x14ac:dyDescent="0.25">
      <c r="A4428" t="s">
        <v>4432</v>
      </c>
      <c r="B4428">
        <v>0.99193492352474899</v>
      </c>
      <c r="C4428">
        <v>0.90518866485748695</v>
      </c>
      <c r="D4428">
        <v>0.84266666208664498</v>
      </c>
      <c r="E4428">
        <v>0.63891261731584104</v>
      </c>
      <c r="F4428">
        <v>0.28874284034525599</v>
      </c>
      <c r="G4428">
        <v>0.134043640673457</v>
      </c>
      <c r="H4428">
        <v>8.3244594370820102E-2</v>
      </c>
      <c r="I4428">
        <v>0.10719117073131</v>
      </c>
      <c r="J4428">
        <v>0.13246074149106499</v>
      </c>
      <c r="K4428">
        <v>0.139427436169867</v>
      </c>
      <c r="L4428">
        <v>1033.2624246169401</v>
      </c>
      <c r="M4428">
        <v>20.643462793325799</v>
      </c>
      <c r="N4428">
        <v>50.589658369598403</v>
      </c>
      <c r="O4428">
        <v>49.590198352718502</v>
      </c>
      <c r="P4428">
        <v>-9.3835444486970093E-2</v>
      </c>
      <c r="Q4428">
        <v>9.8371708652197298E-2</v>
      </c>
      <c r="R4428">
        <v>0.98967591902299201</v>
      </c>
      <c r="S4428" t="s">
        <v>11098</v>
      </c>
      <c r="T4428" t="s">
        <v>13338</v>
      </c>
      <c r="U4428" t="s">
        <v>13338</v>
      </c>
      <c r="V4428" t="s">
        <v>13338</v>
      </c>
      <c r="W4428" t="s">
        <v>17710</v>
      </c>
      <c r="X4428">
        <v>5</v>
      </c>
      <c r="Y4428" t="s">
        <v>24214</v>
      </c>
      <c r="Z4428" t="s">
        <v>30843</v>
      </c>
      <c r="AA4428">
        <v>0.41229711727725099</v>
      </c>
      <c r="AB4428" t="str">
        <f>HYPERLINK("Melting_Curves/meltCurve_Q8IYB5_3_SMAP1.pdf", "Melting_Curves/meltCurve_Q8IYB5_3_SMAP1.pdf")</f>
        <v>Melting_Curves/meltCurve_Q8IYB5_3_SMAP1.pdf</v>
      </c>
    </row>
    <row r="4429" spans="1:28" x14ac:dyDescent="0.25">
      <c r="A4429" t="s">
        <v>4433</v>
      </c>
      <c r="B4429">
        <v>0.99193492352474899</v>
      </c>
      <c r="C4429">
        <v>0.82518414189946199</v>
      </c>
      <c r="D4429">
        <v>0.69807494287156202</v>
      </c>
      <c r="E4429">
        <v>0.55139184373240102</v>
      </c>
      <c r="F4429">
        <v>0.18460552622738099</v>
      </c>
      <c r="G4429">
        <v>0.101402380129543</v>
      </c>
      <c r="H4429">
        <v>6.5028211580379094E-2</v>
      </c>
      <c r="I4429">
        <v>7.81817200345305E-2</v>
      </c>
      <c r="J4429">
        <v>0.10178704148277599</v>
      </c>
      <c r="K4429">
        <v>0.1254884411436</v>
      </c>
      <c r="L4429">
        <v>762.42644290236603</v>
      </c>
      <c r="M4429">
        <v>15.727354119941699</v>
      </c>
      <c r="N4429">
        <v>48.8912001022493</v>
      </c>
      <c r="O4429">
        <v>47.714270846821996</v>
      </c>
      <c r="P4429">
        <v>-7.7279054175776393E-2</v>
      </c>
      <c r="Q4429">
        <v>6.2269642164178102E-2</v>
      </c>
      <c r="R4429">
        <v>0.97620247076734501</v>
      </c>
      <c r="S4429" t="s">
        <v>11099</v>
      </c>
      <c r="T4429" t="s">
        <v>13338</v>
      </c>
      <c r="U4429" t="s">
        <v>13338</v>
      </c>
      <c r="V4429" t="s">
        <v>13338</v>
      </c>
      <c r="W4429" t="s">
        <v>17711</v>
      </c>
      <c r="X4429">
        <v>13</v>
      </c>
      <c r="Y4429" t="s">
        <v>24215</v>
      </c>
      <c r="Z4429" t="s">
        <v>30844</v>
      </c>
      <c r="AA4429">
        <v>0.34880342538113229</v>
      </c>
      <c r="AB4429" t="str">
        <f>HYPERLINK("Melting_Curves/meltCurve_Q8IYB7_DIS3L2.pdf", "Melting_Curves/meltCurve_Q8IYB7_DIS3L2.pdf")</f>
        <v>Melting_Curves/meltCurve_Q8IYB7_DIS3L2.pdf</v>
      </c>
    </row>
    <row r="4430" spans="1:28" x14ac:dyDescent="0.25">
      <c r="A4430" t="s">
        <v>4434</v>
      </c>
      <c r="B4430">
        <v>0.99193492352474899</v>
      </c>
      <c r="C4430">
        <v>0.86980585444196801</v>
      </c>
      <c r="D4430">
        <v>0.90576476384020099</v>
      </c>
      <c r="E4430">
        <v>0.64020003662181502</v>
      </c>
      <c r="F4430">
        <v>0.363481891870791</v>
      </c>
      <c r="G4430">
        <v>0.12715910727933299</v>
      </c>
      <c r="H4430">
        <v>5.9380025795340997E-2</v>
      </c>
      <c r="I4430">
        <v>5.9258568574910603E-2</v>
      </c>
      <c r="J4430">
        <v>7.3943869685189095E-2</v>
      </c>
      <c r="K4430">
        <v>7.1244295163813906E-2</v>
      </c>
      <c r="L4430">
        <v>950.27023099268399</v>
      </c>
      <c r="M4430">
        <v>18.6610615753813</v>
      </c>
      <c r="N4430">
        <v>51.164315876648601</v>
      </c>
      <c r="O4430">
        <v>50.348665328326597</v>
      </c>
      <c r="P4430">
        <v>-8.87537808552194E-2</v>
      </c>
      <c r="Q4430">
        <v>4.2188982118960598E-2</v>
      </c>
      <c r="R4430">
        <v>0.98973439356458903</v>
      </c>
      <c r="S4430" t="s">
        <v>11100</v>
      </c>
      <c r="T4430" t="s">
        <v>13338</v>
      </c>
      <c r="U4430" t="s">
        <v>13338</v>
      </c>
      <c r="V4430" t="s">
        <v>13338</v>
      </c>
      <c r="W4430" t="s">
        <v>17712</v>
      </c>
      <c r="X4430">
        <v>17</v>
      </c>
      <c r="Y4430" t="s">
        <v>24216</v>
      </c>
      <c r="Z4430" t="s">
        <v>30845</v>
      </c>
      <c r="AA4430">
        <v>0.40604088569034408</v>
      </c>
      <c r="AB4430" t="str">
        <f>HYPERLINK("Melting_Curves/meltCurve_Q8IYB8_SUPV3L1.pdf", "Melting_Curves/meltCurve_Q8IYB8_SUPV3L1.pdf")</f>
        <v>Melting_Curves/meltCurve_Q8IYB8_SUPV3L1.pdf</v>
      </c>
    </row>
    <row r="4431" spans="1:28" x14ac:dyDescent="0.25">
      <c r="A4431" t="s">
        <v>4435</v>
      </c>
      <c r="B4431">
        <v>0.99193492352474899</v>
      </c>
      <c r="C4431">
        <v>0.91866141476986496</v>
      </c>
      <c r="D4431">
        <v>0.88636450245048504</v>
      </c>
      <c r="E4431">
        <v>0.65789584926211297</v>
      </c>
      <c r="F4431">
        <v>0.27222187324119101</v>
      </c>
      <c r="G4431">
        <v>0.19783949115628</v>
      </c>
      <c r="H4431">
        <v>0.125951873810316</v>
      </c>
      <c r="I4431">
        <v>0.141430907625506</v>
      </c>
      <c r="J4431">
        <v>0.13845367513440901</v>
      </c>
      <c r="K4431">
        <v>0.16534831872288899</v>
      </c>
      <c r="L4431">
        <v>1206.69064020417</v>
      </c>
      <c r="M4431">
        <v>24.076482218758699</v>
      </c>
      <c r="N4431">
        <v>50.793008355045302</v>
      </c>
      <c r="O4431">
        <v>49.777142583785</v>
      </c>
      <c r="P4431">
        <v>-0.104389399644837</v>
      </c>
      <c r="Q4431">
        <v>0.13673020039567599</v>
      </c>
      <c r="R4431">
        <v>0.99256089529485703</v>
      </c>
      <c r="S4431" t="s">
        <v>11101</v>
      </c>
      <c r="T4431" t="s">
        <v>13338</v>
      </c>
      <c r="U4431" t="s">
        <v>13338</v>
      </c>
      <c r="V4431" t="s">
        <v>13338</v>
      </c>
      <c r="W4431" t="s">
        <v>17713</v>
      </c>
      <c r="X4431">
        <v>29</v>
      </c>
      <c r="Y4431" t="s">
        <v>24217</v>
      </c>
      <c r="Z4431" t="s">
        <v>30846</v>
      </c>
      <c r="AA4431">
        <v>0.43624260627339351</v>
      </c>
      <c r="AB4431" t="str">
        <f>HYPERLINK("Melting_Curves/meltCurve_Q8IYD1_GSPT2.pdf", "Melting_Curves/meltCurve_Q8IYD1_GSPT2.pdf")</f>
        <v>Melting_Curves/meltCurve_Q8IYD1_GSPT2.pdf</v>
      </c>
    </row>
    <row r="4432" spans="1:28" x14ac:dyDescent="0.25">
      <c r="A4432" t="s">
        <v>4436</v>
      </c>
      <c r="B4432">
        <v>0.99193492352474899</v>
      </c>
      <c r="C4432">
        <v>0.64439434025068898</v>
      </c>
      <c r="D4432">
        <v>0.68751615561399104</v>
      </c>
      <c r="E4432">
        <v>0.48453685227968601</v>
      </c>
      <c r="F4432">
        <v>0.41462470880788499</v>
      </c>
      <c r="G4432">
        <v>0.47764307163911401</v>
      </c>
      <c r="H4432">
        <v>0.29066178046916202</v>
      </c>
      <c r="I4432">
        <v>0.38035722855571003</v>
      </c>
      <c r="J4432">
        <v>0.39019535951718198</v>
      </c>
      <c r="K4432">
        <v>0.52051770790255703</v>
      </c>
      <c r="L4432">
        <v>710.536603865139</v>
      </c>
      <c r="M4432">
        <v>16.131014584516102</v>
      </c>
      <c r="N4432">
        <v>49.095912080974301</v>
      </c>
      <c r="O4432">
        <v>43.387609350384999</v>
      </c>
      <c r="P4432">
        <v>-5.5326616184230702E-2</v>
      </c>
      <c r="Q4432">
        <v>0.404797158761039</v>
      </c>
      <c r="R4432">
        <v>0.83099495004658797</v>
      </c>
      <c r="S4432" t="s">
        <v>11102</v>
      </c>
      <c r="T4432" t="s">
        <v>13338</v>
      </c>
      <c r="U4432" t="s">
        <v>13338</v>
      </c>
      <c r="V4432" t="s">
        <v>13338</v>
      </c>
      <c r="W4432" t="s">
        <v>17714</v>
      </c>
      <c r="X4432">
        <v>2</v>
      </c>
      <c r="Y4432" t="s">
        <v>24218</v>
      </c>
      <c r="Z4432" t="s">
        <v>30847</v>
      </c>
      <c r="AA4432">
        <v>0.50355739225467344</v>
      </c>
      <c r="AB4432" t="str">
        <f>HYPERLINK("Melting_Curves/meltCurve_Q8IYH5_4_ZZZ3.pdf", "Melting_Curves/meltCurve_Q8IYH5_4_ZZZ3.pdf")</f>
        <v>Melting_Curves/meltCurve_Q8IYH5_4_ZZZ3.pdf</v>
      </c>
    </row>
    <row r="4433" spans="1:28" x14ac:dyDescent="0.25">
      <c r="A4433" t="s">
        <v>4437</v>
      </c>
      <c r="B4433">
        <v>0.99193492352474899</v>
      </c>
      <c r="C4433">
        <v>0.80252720802782496</v>
      </c>
      <c r="D4433">
        <v>0.69981252431113306</v>
      </c>
      <c r="E4433">
        <v>0.29037795390080501</v>
      </c>
      <c r="F4433">
        <v>0.15027599062536701</v>
      </c>
      <c r="G4433">
        <v>0.10013347272343601</v>
      </c>
      <c r="H4433">
        <v>6.6821737416107599E-2</v>
      </c>
      <c r="I4433">
        <v>7.4198510992639799E-2</v>
      </c>
      <c r="J4433">
        <v>8.6048835243208902E-2</v>
      </c>
      <c r="K4433">
        <v>8.5015611417002701E-2</v>
      </c>
      <c r="L4433">
        <v>919.835659333482</v>
      </c>
      <c r="M4433">
        <v>19.54315432964</v>
      </c>
      <c r="N4433">
        <v>47.428792395781102</v>
      </c>
      <c r="O4433">
        <v>46.582401984051202</v>
      </c>
      <c r="P4433">
        <v>-9.7623295132378093E-2</v>
      </c>
      <c r="Q4433">
        <v>6.9266848731482894E-2</v>
      </c>
      <c r="R4433">
        <v>0.98988589079339895</v>
      </c>
      <c r="S4433" t="s">
        <v>11103</v>
      </c>
      <c r="T4433" t="s">
        <v>13338</v>
      </c>
      <c r="U4433" t="s">
        <v>13338</v>
      </c>
      <c r="V4433" t="s">
        <v>13338</v>
      </c>
      <c r="W4433" t="s">
        <v>17715</v>
      </c>
      <c r="X4433">
        <v>20</v>
      </c>
      <c r="Y4433" t="s">
        <v>24219</v>
      </c>
      <c r="Z4433" t="s">
        <v>30848</v>
      </c>
      <c r="AA4433">
        <v>0.30281226137239492</v>
      </c>
      <c r="AB4433" t="str">
        <f>HYPERLINK("Melting_Curves/meltCurve_Q8IYI6_EXOC8.pdf", "Melting_Curves/meltCurve_Q8IYI6_EXOC8.pdf")</f>
        <v>Melting_Curves/meltCurve_Q8IYI6_EXOC8.pdf</v>
      </c>
    </row>
    <row r="4434" spans="1:28" x14ac:dyDescent="0.25">
      <c r="A4434" t="s">
        <v>4438</v>
      </c>
      <c r="B4434">
        <v>0.99193492352474899</v>
      </c>
      <c r="C4434">
        <v>0.96315237248904595</v>
      </c>
      <c r="D4434">
        <v>0.80057315963110198</v>
      </c>
      <c r="E4434">
        <v>0.45637601212077</v>
      </c>
      <c r="F4434">
        <v>0.228735436978457</v>
      </c>
      <c r="G4434">
        <v>0.184941935287564</v>
      </c>
      <c r="H4434">
        <v>0.115274779423071</v>
      </c>
      <c r="I4434">
        <v>0.14477235531392499</v>
      </c>
      <c r="J4434">
        <v>0.155017292895718</v>
      </c>
      <c r="K4434">
        <v>0.18155520894275401</v>
      </c>
      <c r="L4434">
        <v>1151.3410964905499</v>
      </c>
      <c r="M4434">
        <v>23.8124132970724</v>
      </c>
      <c r="N4434">
        <v>49.077846149248899</v>
      </c>
      <c r="O4434">
        <v>48.013319742291699</v>
      </c>
      <c r="P4434">
        <v>-0.105554960769946</v>
      </c>
      <c r="Q4434">
        <v>0.148685493007636</v>
      </c>
      <c r="R4434">
        <v>0.99742471351700301</v>
      </c>
      <c r="S4434" t="s">
        <v>11104</v>
      </c>
      <c r="T4434" t="s">
        <v>13338</v>
      </c>
      <c r="U4434" t="s">
        <v>13338</v>
      </c>
      <c r="V4434" t="s">
        <v>13338</v>
      </c>
      <c r="W4434" t="s">
        <v>17716</v>
      </c>
      <c r="X4434">
        <v>9</v>
      </c>
      <c r="Y4434" t="s">
        <v>24220</v>
      </c>
      <c r="Z4434" t="s">
        <v>30849</v>
      </c>
      <c r="AA4434">
        <v>0.39398143471325292</v>
      </c>
      <c r="AB4434" t="str">
        <f>HYPERLINK("Melting_Curves/meltCurve_Q8IYJ3_SYTL1.pdf", "Melting_Curves/meltCurve_Q8IYJ3_SYTL1.pdf")</f>
        <v>Melting_Curves/meltCurve_Q8IYJ3_SYTL1.pdf</v>
      </c>
    </row>
    <row r="4435" spans="1:28" x14ac:dyDescent="0.25">
      <c r="A4435" t="s">
        <v>4439</v>
      </c>
      <c r="B4435">
        <v>0.99193492352474899</v>
      </c>
      <c r="C4435">
        <v>0.63584582970083903</v>
      </c>
      <c r="D4435">
        <v>0.89007787165377095</v>
      </c>
      <c r="E4435">
        <v>0.61929740150947699</v>
      </c>
      <c r="F4435">
        <v>0.58725362133198</v>
      </c>
      <c r="G4435">
        <v>0.403235959821518</v>
      </c>
      <c r="H4435">
        <v>0.456123679720214</v>
      </c>
      <c r="I4435">
        <v>0.55025290914263503</v>
      </c>
      <c r="J4435">
        <v>0.70312737427933802</v>
      </c>
      <c r="K4435">
        <v>0.87200701293628202</v>
      </c>
      <c r="L4435">
        <v>723.30504483372295</v>
      </c>
      <c r="M4435">
        <v>16.8142090833894</v>
      </c>
      <c r="O4435">
        <v>42.422831686469401</v>
      </c>
      <c r="P4435">
        <v>-3.9529235112637298E-2</v>
      </c>
      <c r="Q4435">
        <v>0.60109121304838398</v>
      </c>
      <c r="R4435">
        <v>0.34025143724111201</v>
      </c>
      <c r="S4435" t="s">
        <v>11105</v>
      </c>
      <c r="T4435" t="s">
        <v>13338</v>
      </c>
      <c r="U4435" t="s">
        <v>13338</v>
      </c>
      <c r="V4435" t="s">
        <v>13338</v>
      </c>
      <c r="W4435" t="s">
        <v>17717</v>
      </c>
      <c r="X4435">
        <v>3</v>
      </c>
      <c r="Y4435" t="s">
        <v>24221</v>
      </c>
      <c r="Z4435" t="s">
        <v>30850</v>
      </c>
      <c r="AA4435">
        <v>0.65461807939353034</v>
      </c>
      <c r="AB4435" t="str">
        <f>HYPERLINK("Melting_Curves/meltCurve_Q8IYL3_C1orf174.pdf", "Melting_Curves/meltCurve_Q8IYL3_C1orf174.pdf")</f>
        <v>Melting_Curves/meltCurve_Q8IYL3_C1orf174.pdf</v>
      </c>
    </row>
    <row r="4436" spans="1:28" x14ac:dyDescent="0.25">
      <c r="A4436" t="s">
        <v>4440</v>
      </c>
      <c r="B4436">
        <v>0.99193492352474899</v>
      </c>
      <c r="C4436">
        <v>0.67158434010155699</v>
      </c>
      <c r="D4436">
        <v>0.74169906153669796</v>
      </c>
      <c r="E4436">
        <v>0.43680742478770102</v>
      </c>
      <c r="F4436">
        <v>0.25800287647769699</v>
      </c>
      <c r="G4436">
        <v>0.168802960762541</v>
      </c>
      <c r="H4436">
        <v>0.107245983347575</v>
      </c>
      <c r="I4436">
        <v>0.191905697123327</v>
      </c>
      <c r="J4436">
        <v>0.24418865019476799</v>
      </c>
      <c r="K4436">
        <v>0.301754901673492</v>
      </c>
      <c r="L4436">
        <v>704.24409191826805</v>
      </c>
      <c r="M4436">
        <v>15.121070454689599</v>
      </c>
      <c r="N4436">
        <v>48.043546967281998</v>
      </c>
      <c r="O4436">
        <v>45.781894058260796</v>
      </c>
      <c r="P4436">
        <v>-6.72869993486577E-2</v>
      </c>
      <c r="Q4436">
        <v>0.185183172799363</v>
      </c>
      <c r="R4436">
        <v>0.90992677713936099</v>
      </c>
      <c r="S4436" t="s">
        <v>11106</v>
      </c>
      <c r="T4436" t="s">
        <v>13338</v>
      </c>
      <c r="U4436" t="s">
        <v>13338</v>
      </c>
      <c r="V4436" t="s">
        <v>13338</v>
      </c>
      <c r="W4436" t="s">
        <v>17718</v>
      </c>
      <c r="X4436">
        <v>3</v>
      </c>
      <c r="Y4436" t="s">
        <v>24222</v>
      </c>
      <c r="Z4436" t="s">
        <v>30851</v>
      </c>
      <c r="AA4436">
        <v>0.38612329243134619</v>
      </c>
      <c r="AB4436" t="str">
        <f>HYPERLINK("Melting_Curves/meltCurve_Q8IYN2_TCEAL8.pdf", "Melting_Curves/meltCurve_Q8IYN2_TCEAL8.pdf")</f>
        <v>Melting_Curves/meltCurve_Q8IYN2_TCEAL8.pdf</v>
      </c>
    </row>
    <row r="4437" spans="1:28" x14ac:dyDescent="0.25">
      <c r="A4437" t="s">
        <v>4441</v>
      </c>
      <c r="B4437">
        <v>0.99193492352474899</v>
      </c>
      <c r="C4437">
        <v>1.0773520974784401</v>
      </c>
      <c r="D4437">
        <v>1.0822925632375899</v>
      </c>
      <c r="E4437">
        <v>0.93190178727577599</v>
      </c>
      <c r="F4437">
        <v>0.54005212475501596</v>
      </c>
      <c r="G4437">
        <v>0.22591130842003901</v>
      </c>
      <c r="H4437">
        <v>0.12090305916699</v>
      </c>
      <c r="I4437">
        <v>0.16146085691555401</v>
      </c>
      <c r="J4437">
        <v>0.155080773548083</v>
      </c>
      <c r="K4437">
        <v>0.17860429946581899</v>
      </c>
      <c r="L4437">
        <v>2002.72209431952</v>
      </c>
      <c r="M4437">
        <v>37.817077451911402</v>
      </c>
      <c r="N4437">
        <v>53.480392920573699</v>
      </c>
      <c r="O4437">
        <v>52.810721703885903</v>
      </c>
      <c r="P4437">
        <v>-0.15138309634129299</v>
      </c>
      <c r="Q4437">
        <v>0.15438970598437901</v>
      </c>
      <c r="R4437">
        <v>0.99041964242637404</v>
      </c>
      <c r="S4437" t="s">
        <v>11107</v>
      </c>
      <c r="T4437" t="s">
        <v>13338</v>
      </c>
      <c r="U4437" t="s">
        <v>13338</v>
      </c>
      <c r="V4437" t="s">
        <v>13338</v>
      </c>
      <c r="W4437" t="s">
        <v>17719</v>
      </c>
      <c r="X4437">
        <v>13</v>
      </c>
      <c r="Y4437" t="s">
        <v>24223</v>
      </c>
      <c r="Z4437" t="s">
        <v>30852</v>
      </c>
      <c r="AA4437">
        <v>0.52310137923143651</v>
      </c>
      <c r="AB4437" t="str">
        <f>HYPERLINK("Melting_Curves/meltCurve_Q8IYQ7_THNSL1.pdf", "Melting_Curves/meltCurve_Q8IYQ7_THNSL1.pdf")</f>
        <v>Melting_Curves/meltCurve_Q8IYQ7_THNSL1.pdf</v>
      </c>
    </row>
    <row r="4438" spans="1:28" x14ac:dyDescent="0.25">
      <c r="A4438" t="s">
        <v>4442</v>
      </c>
      <c r="B4438">
        <v>0.99193492352474899</v>
      </c>
      <c r="C4438">
        <v>0.87867540128164301</v>
      </c>
      <c r="D4438">
        <v>0.680528335929525</v>
      </c>
      <c r="E4438">
        <v>0.47302175086600301</v>
      </c>
      <c r="F4438">
        <v>0.26272729213360602</v>
      </c>
      <c r="G4438">
        <v>0.1209225103941</v>
      </c>
      <c r="H4438">
        <v>6.9736099169594806E-2</v>
      </c>
      <c r="I4438">
        <v>8.4177356307147899E-2</v>
      </c>
      <c r="J4438">
        <v>0.105669867060584</v>
      </c>
      <c r="K4438">
        <v>0.102856404163506</v>
      </c>
      <c r="L4438">
        <v>750.38170368887495</v>
      </c>
      <c r="M4438">
        <v>15.529332857129599</v>
      </c>
      <c r="N4438">
        <v>48.790174525795301</v>
      </c>
      <c r="O4438">
        <v>47.5402884988968</v>
      </c>
      <c r="P4438">
        <v>-7.5998625213502605E-2</v>
      </c>
      <c r="Q4438">
        <v>6.9456989233998706E-2</v>
      </c>
      <c r="R4438">
        <v>0.99447985958415397</v>
      </c>
      <c r="S4438" t="s">
        <v>11108</v>
      </c>
      <c r="T4438" t="s">
        <v>13338</v>
      </c>
      <c r="U4438" t="s">
        <v>13338</v>
      </c>
      <c r="V4438" t="s">
        <v>13338</v>
      </c>
      <c r="W4438" t="s">
        <v>17720</v>
      </c>
      <c r="X4438">
        <v>12</v>
      </c>
      <c r="Y4438" t="s">
        <v>24224</v>
      </c>
      <c r="Z4438" t="s">
        <v>30853</v>
      </c>
      <c r="AA4438">
        <v>0.34958510244484647</v>
      </c>
      <c r="AB4438" t="str">
        <f>HYPERLINK("Melting_Curves/meltCurve_Q8IYS1_PM20D2.pdf", "Melting_Curves/meltCurve_Q8IYS1_PM20D2.pdf")</f>
        <v>Melting_Curves/meltCurve_Q8IYS1_PM20D2.pdf</v>
      </c>
    </row>
    <row r="4439" spans="1:28" x14ac:dyDescent="0.25">
      <c r="A4439" t="s">
        <v>4443</v>
      </c>
      <c r="B4439">
        <v>0.99193492352474899</v>
      </c>
      <c r="C4439">
        <v>0.95213040940066995</v>
      </c>
      <c r="D4439">
        <v>0.92267101261446804</v>
      </c>
      <c r="E4439">
        <v>0.78106447544718305</v>
      </c>
      <c r="F4439">
        <v>0.705385212137705</v>
      </c>
      <c r="G4439">
        <v>0.54484215634268196</v>
      </c>
      <c r="H4439">
        <v>0.40381257541362198</v>
      </c>
      <c r="I4439">
        <v>0.517770588174016</v>
      </c>
      <c r="J4439">
        <v>0.41608083864616402</v>
      </c>
      <c r="K4439">
        <v>0.240096461125476</v>
      </c>
      <c r="L4439">
        <v>498.03569888727299</v>
      </c>
      <c r="M4439">
        <v>8.9573710589451796</v>
      </c>
      <c r="N4439">
        <v>59.504548667856298</v>
      </c>
      <c r="O4439">
        <v>53.039066175703702</v>
      </c>
      <c r="P4439">
        <v>-3.2864001523684697E-2</v>
      </c>
      <c r="Q4439">
        <v>0.22218793055167299</v>
      </c>
      <c r="R4439">
        <v>0.95056853762361204</v>
      </c>
      <c r="S4439" t="s">
        <v>11109</v>
      </c>
      <c r="T4439" t="s">
        <v>13338</v>
      </c>
      <c r="U4439" t="s">
        <v>13338</v>
      </c>
      <c r="V4439" t="s">
        <v>13338</v>
      </c>
      <c r="W4439" t="s">
        <v>17721</v>
      </c>
      <c r="X4439">
        <v>7</v>
      </c>
      <c r="Y4439" t="s">
        <v>24225</v>
      </c>
      <c r="Z4439" t="s">
        <v>30854</v>
      </c>
      <c r="AA4439">
        <v>0.64472253060757012</v>
      </c>
      <c r="AB4439" t="str">
        <f>HYPERLINK("Melting_Curves/meltCurve_Q8IYS2_KIAA2013.pdf", "Melting_Curves/meltCurve_Q8IYS2_KIAA2013.pdf")</f>
        <v>Melting_Curves/meltCurve_Q8IYS2_KIAA2013.pdf</v>
      </c>
    </row>
    <row r="4440" spans="1:28" x14ac:dyDescent="0.25">
      <c r="A4440" t="s">
        <v>4444</v>
      </c>
      <c r="B4440">
        <v>0.99193492352474899</v>
      </c>
      <c r="C4440">
        <v>0.99405428623351</v>
      </c>
      <c r="D4440">
        <v>0.65755582368151899</v>
      </c>
      <c r="E4440">
        <v>0.15415946824900101</v>
      </c>
      <c r="F4440">
        <v>0.109311283314961</v>
      </c>
      <c r="G4440">
        <v>5.20649331319884E-2</v>
      </c>
      <c r="H4440">
        <v>5.48327197241417E-2</v>
      </c>
      <c r="I4440">
        <v>9.7560995943542006E-2</v>
      </c>
      <c r="J4440">
        <v>0.14227763692883899</v>
      </c>
      <c r="K4440">
        <v>0.12834633153821501</v>
      </c>
      <c r="L4440">
        <v>2094.80803486166</v>
      </c>
      <c r="M4440">
        <v>45.0357450357209</v>
      </c>
      <c r="N4440">
        <v>46.739480130541303</v>
      </c>
      <c r="O4440">
        <v>46.422907902810699</v>
      </c>
      <c r="P4440">
        <v>-0.218881651926361</v>
      </c>
      <c r="Q4440">
        <v>9.7507136800307107E-2</v>
      </c>
      <c r="R4440">
        <v>0.99464289268907502</v>
      </c>
      <c r="S4440" t="s">
        <v>11110</v>
      </c>
      <c r="T4440" t="s">
        <v>13338</v>
      </c>
      <c r="U4440" t="s">
        <v>13338</v>
      </c>
      <c r="V4440" t="s">
        <v>13338</v>
      </c>
      <c r="W4440" t="s">
        <v>17722</v>
      </c>
      <c r="X4440">
        <v>1</v>
      </c>
      <c r="Y4440" t="s">
        <v>24226</v>
      </c>
      <c r="Z4440" t="s">
        <v>30855</v>
      </c>
      <c r="AA4440">
        <v>0.29577856196346469</v>
      </c>
      <c r="AB4440" t="str">
        <f>HYPERLINK("Melting_Curves/meltCurve_Q8IYT2_FTSJD1.pdf", "Melting_Curves/meltCurve_Q8IYT2_FTSJD1.pdf")</f>
        <v>Melting_Curves/meltCurve_Q8IYT2_FTSJD1.pdf</v>
      </c>
    </row>
    <row r="4441" spans="1:28" x14ac:dyDescent="0.25">
      <c r="A4441" t="s">
        <v>4445</v>
      </c>
      <c r="B4441">
        <v>0.99193492352474899</v>
      </c>
      <c r="C4441">
        <v>0.90348917880409996</v>
      </c>
      <c r="D4441">
        <v>0.89910567422558096</v>
      </c>
      <c r="E4441">
        <v>0.44415513378834098</v>
      </c>
      <c r="F4441">
        <v>0.11271589261819</v>
      </c>
      <c r="G4441">
        <v>5.2340306077809103E-2</v>
      </c>
      <c r="H4441">
        <v>2.77421710013852E-2</v>
      </c>
      <c r="I4441">
        <v>3.0553727337408399E-2</v>
      </c>
      <c r="J4441">
        <v>3.57766450016649E-2</v>
      </c>
      <c r="K4441">
        <v>7.0002985062358206E-2</v>
      </c>
      <c r="L4441">
        <v>1477.1512015364001</v>
      </c>
      <c r="M4441">
        <v>30.104807755016701</v>
      </c>
      <c r="N4441">
        <v>49.1957651175086</v>
      </c>
      <c r="O4441">
        <v>48.851973546375802</v>
      </c>
      <c r="P4441">
        <v>-0.14822359512602801</v>
      </c>
      <c r="Q4441">
        <v>3.7898706296382798E-2</v>
      </c>
      <c r="R4441">
        <v>0.99444725471909501</v>
      </c>
      <c r="S4441" t="s">
        <v>11111</v>
      </c>
      <c r="T4441" t="s">
        <v>13338</v>
      </c>
      <c r="U4441" t="s">
        <v>13338</v>
      </c>
      <c r="V4441" t="s">
        <v>13338</v>
      </c>
      <c r="W4441" t="s">
        <v>17723</v>
      </c>
      <c r="X4441">
        <v>5</v>
      </c>
      <c r="Y4441" t="s">
        <v>24227</v>
      </c>
      <c r="Z4441" t="s">
        <v>30856</v>
      </c>
      <c r="AA4441">
        <v>0.33449998839551492</v>
      </c>
      <c r="AB4441" t="str">
        <f>HYPERLINK("Melting_Curves/meltCurve_Q8IYU8_MICU2.pdf", "Melting_Curves/meltCurve_Q8IYU8_MICU2.pdf")</f>
        <v>Melting_Curves/meltCurve_Q8IYU8_MICU2.pdf</v>
      </c>
    </row>
    <row r="4442" spans="1:28" x14ac:dyDescent="0.25">
      <c r="A4442" t="s">
        <v>4446</v>
      </c>
      <c r="B4442">
        <v>0.99193492352474899</v>
      </c>
      <c r="C4442">
        <v>0.79797055299681197</v>
      </c>
      <c r="D4442">
        <v>0.81838693404725804</v>
      </c>
      <c r="E4442">
        <v>0.52516149277603497</v>
      </c>
      <c r="F4442">
        <v>0.300971249906126</v>
      </c>
      <c r="G4442">
        <v>0.12817825297545399</v>
      </c>
      <c r="H4442">
        <v>9.9932570190734593E-2</v>
      </c>
      <c r="I4442">
        <v>0.175203747009262</v>
      </c>
      <c r="J4442">
        <v>0.19556790689817599</v>
      </c>
      <c r="K4442">
        <v>0.250177295778584</v>
      </c>
      <c r="L4442">
        <v>876.62534605144003</v>
      </c>
      <c r="M4442">
        <v>18.065522815502501</v>
      </c>
      <c r="N4442">
        <v>49.548796891740501</v>
      </c>
      <c r="O4442">
        <v>47.941906753258998</v>
      </c>
      <c r="P4442">
        <v>-7.95327617952237E-2</v>
      </c>
      <c r="Q4442">
        <v>0.15579154092120101</v>
      </c>
      <c r="R4442">
        <v>0.95655000233424603</v>
      </c>
      <c r="S4442" t="s">
        <v>11112</v>
      </c>
      <c r="T4442" t="s">
        <v>13338</v>
      </c>
      <c r="U4442" t="s">
        <v>13338</v>
      </c>
      <c r="V4442" t="s">
        <v>13338</v>
      </c>
      <c r="W4442" t="s">
        <v>17724</v>
      </c>
      <c r="X4442">
        <v>10</v>
      </c>
      <c r="Y4442" t="s">
        <v>24228</v>
      </c>
      <c r="Z4442" t="s">
        <v>30857</v>
      </c>
      <c r="AA4442">
        <v>0.41034140835287908</v>
      </c>
      <c r="AB4442" t="str">
        <f>HYPERLINK("Melting_Curves/meltCurve_Q8IYW5_RNF168.pdf", "Melting_Curves/meltCurve_Q8IYW5_RNF168.pdf")</f>
        <v>Melting_Curves/meltCurve_Q8IYW5_RNF168.pdf</v>
      </c>
    </row>
    <row r="4443" spans="1:28" x14ac:dyDescent="0.25">
      <c r="A4443" t="s">
        <v>4447</v>
      </c>
      <c r="B4443">
        <v>0.99193492352474899</v>
      </c>
      <c r="C4443">
        <v>0.83903567167292104</v>
      </c>
      <c r="D4443">
        <v>0.87280976031846202</v>
      </c>
      <c r="E4443">
        <v>0.50250913115325102</v>
      </c>
      <c r="F4443">
        <v>0.22621636185222399</v>
      </c>
      <c r="G4443">
        <v>0.13218713890506201</v>
      </c>
      <c r="H4443">
        <v>9.0622641714163094E-2</v>
      </c>
      <c r="I4443">
        <v>0.12238643702068</v>
      </c>
      <c r="J4443">
        <v>0.14448494175072099</v>
      </c>
      <c r="K4443">
        <v>0.18110644017317901</v>
      </c>
      <c r="L4443">
        <v>1135.79185473243</v>
      </c>
      <c r="M4443">
        <v>23.2134333188333</v>
      </c>
      <c r="N4443">
        <v>49.533171613814702</v>
      </c>
      <c r="O4443">
        <v>48.569453905257603</v>
      </c>
      <c r="P4443">
        <v>-0.10473935108900199</v>
      </c>
      <c r="Q4443">
        <v>0.123431546738847</v>
      </c>
      <c r="R4443">
        <v>0.97924178834848397</v>
      </c>
      <c r="S4443" t="s">
        <v>11113</v>
      </c>
      <c r="T4443" t="s">
        <v>13338</v>
      </c>
      <c r="U4443" t="s">
        <v>13338</v>
      </c>
      <c r="V4443" t="s">
        <v>13338</v>
      </c>
      <c r="W4443" t="s">
        <v>17725</v>
      </c>
      <c r="X4443">
        <v>10</v>
      </c>
      <c r="Y4443" t="s">
        <v>24229</v>
      </c>
      <c r="Z4443" t="s">
        <v>30858</v>
      </c>
      <c r="AA4443">
        <v>0.39335287310931649</v>
      </c>
      <c r="AB4443" t="str">
        <f>HYPERLINK("Melting_Curves/meltCurve_Q8IZ07_ANKRD13A.pdf", "Melting_Curves/meltCurve_Q8IZ07_ANKRD13A.pdf")</f>
        <v>Melting_Curves/meltCurve_Q8IZ07_ANKRD13A.pdf</v>
      </c>
    </row>
    <row r="4444" spans="1:28" x14ac:dyDescent="0.25">
      <c r="A4444" t="s">
        <v>4448</v>
      </c>
      <c r="B4444">
        <v>0.99193492352474899</v>
      </c>
      <c r="C4444">
        <v>0.98931842980493701</v>
      </c>
      <c r="D4444">
        <v>0.932581694331438</v>
      </c>
      <c r="E4444">
        <v>0.82863141855870803</v>
      </c>
      <c r="F4444">
        <v>0.73528776888438696</v>
      </c>
      <c r="G4444">
        <v>0.57968847304637605</v>
      </c>
      <c r="H4444">
        <v>0.42872854619384299</v>
      </c>
      <c r="I4444">
        <v>0.526378726542586</v>
      </c>
      <c r="J4444">
        <v>0.61069969560747195</v>
      </c>
      <c r="K4444">
        <v>0.78860916128147296</v>
      </c>
      <c r="L4444">
        <v>1178.66778379842</v>
      </c>
      <c r="M4444">
        <v>23.356071395723401</v>
      </c>
      <c r="O4444">
        <v>50.0995740083454</v>
      </c>
      <c r="P4444">
        <v>-4.8154720543198103E-2</v>
      </c>
      <c r="Q4444">
        <v>0.58683318119899197</v>
      </c>
      <c r="R4444">
        <v>0.78356094490594097</v>
      </c>
      <c r="S4444" t="s">
        <v>11114</v>
      </c>
      <c r="T4444" t="s">
        <v>13338</v>
      </c>
      <c r="U4444" t="s">
        <v>13338</v>
      </c>
      <c r="V4444" t="s">
        <v>13338</v>
      </c>
      <c r="W4444" t="s">
        <v>17726</v>
      </c>
      <c r="X4444">
        <v>17</v>
      </c>
      <c r="Y4444" t="s">
        <v>24230</v>
      </c>
      <c r="Z4444" t="s">
        <v>30859</v>
      </c>
      <c r="AA4444">
        <v>0.73520819254279934</v>
      </c>
      <c r="AB4444" t="str">
        <f>HYPERLINK("Melting_Curves/meltCurve_Q8IZ21_3_PHACTR4.pdf", "Melting_Curves/meltCurve_Q8IZ21_3_PHACTR4.pdf")</f>
        <v>Melting_Curves/meltCurve_Q8IZ21_3_PHACTR4.pdf</v>
      </c>
    </row>
    <row r="4445" spans="1:28" x14ac:dyDescent="0.25">
      <c r="A4445" t="s">
        <v>4449</v>
      </c>
      <c r="B4445">
        <v>0.99193492352474899</v>
      </c>
      <c r="C4445">
        <v>0.56833642599079703</v>
      </c>
      <c r="D4445">
        <v>0.354569739072992</v>
      </c>
      <c r="E4445">
        <v>0.165806363452394</v>
      </c>
      <c r="F4445">
        <v>0.112434911938553</v>
      </c>
      <c r="G4445">
        <v>7.7131220511111404E-2</v>
      </c>
      <c r="H4445">
        <v>4.4974854649900101E-2</v>
      </c>
      <c r="I4445">
        <v>5.1508882921781102E-2</v>
      </c>
      <c r="J4445">
        <v>7.4044733779913094E-2</v>
      </c>
      <c r="K4445">
        <v>7.7721837297328705E-2</v>
      </c>
      <c r="L4445">
        <v>938.94161127540895</v>
      </c>
      <c r="M4445">
        <v>21.409925695484301</v>
      </c>
      <c r="N4445">
        <v>44.175573945528903</v>
      </c>
      <c r="O4445">
        <v>43.478222959084597</v>
      </c>
      <c r="P4445">
        <v>-0.114263617342249</v>
      </c>
      <c r="Q4445">
        <v>7.1859547557259595E-2</v>
      </c>
      <c r="R4445">
        <v>0.97860061919292896</v>
      </c>
      <c r="S4445" t="s">
        <v>11115</v>
      </c>
      <c r="T4445" t="s">
        <v>13338</v>
      </c>
      <c r="U4445" t="s">
        <v>13338</v>
      </c>
      <c r="V4445" t="s">
        <v>13338</v>
      </c>
      <c r="W4445" t="s">
        <v>17727</v>
      </c>
      <c r="X4445">
        <v>1</v>
      </c>
      <c r="Y4445" t="s">
        <v>24231</v>
      </c>
      <c r="Z4445" t="s">
        <v>30860</v>
      </c>
      <c r="AA4445">
        <v>0.20693960814049289</v>
      </c>
      <c r="AB4445" t="str">
        <f>HYPERLINK("Melting_Curves/meltCurve_Q8IZ40_RCOR2.pdf", "Melting_Curves/meltCurve_Q8IZ40_RCOR2.pdf")</f>
        <v>Melting_Curves/meltCurve_Q8IZ40_RCOR2.pdf</v>
      </c>
    </row>
    <row r="4446" spans="1:28" x14ac:dyDescent="0.25">
      <c r="A4446" t="s">
        <v>4450</v>
      </c>
      <c r="B4446">
        <v>0.99193492352474899</v>
      </c>
      <c r="C4446">
        <v>0.85826550000165103</v>
      </c>
      <c r="D4446">
        <v>0.907180416552404</v>
      </c>
      <c r="E4446">
        <v>0.66756402046324603</v>
      </c>
      <c r="F4446">
        <v>0.45576772349403799</v>
      </c>
      <c r="G4446">
        <v>0.23144033347703399</v>
      </c>
      <c r="H4446">
        <v>7.9931919626875E-2</v>
      </c>
      <c r="I4446">
        <v>7.6975603310153004E-2</v>
      </c>
      <c r="J4446">
        <v>8.5790895965318401E-2</v>
      </c>
      <c r="K4446">
        <v>7.3892261973381904E-2</v>
      </c>
      <c r="L4446">
        <v>769.06370843740206</v>
      </c>
      <c r="M4446">
        <v>14.824881424611</v>
      </c>
      <c r="N4446">
        <v>52.097633820329399</v>
      </c>
      <c r="O4446">
        <v>50.9600584733546</v>
      </c>
      <c r="P4446">
        <v>-7.0518171472947894E-2</v>
      </c>
      <c r="Q4446">
        <v>3.04866587360027E-2</v>
      </c>
      <c r="R4446">
        <v>0.98805351699427901</v>
      </c>
      <c r="S4446" t="s">
        <v>11116</v>
      </c>
      <c r="T4446" t="s">
        <v>13338</v>
      </c>
      <c r="U4446" t="s">
        <v>13338</v>
      </c>
      <c r="V4446" t="s">
        <v>13338</v>
      </c>
      <c r="W4446" t="s">
        <v>17728</v>
      </c>
      <c r="X4446">
        <v>8</v>
      </c>
      <c r="Y4446" t="s">
        <v>24232</v>
      </c>
      <c r="Z4446" t="s">
        <v>30861</v>
      </c>
      <c r="AA4446">
        <v>0.43646693535685849</v>
      </c>
      <c r="AB4446" t="str">
        <f>HYPERLINK("Melting_Curves/meltCurve_Q8IZ68_MTX2.pdf", "Melting_Curves/meltCurve_Q8IZ68_MTX2.pdf")</f>
        <v>Melting_Curves/meltCurve_Q8IZ68_MTX2.pdf</v>
      </c>
    </row>
    <row r="4447" spans="1:28" x14ac:dyDescent="0.25">
      <c r="A4447" t="s">
        <v>4451</v>
      </c>
      <c r="B4447">
        <v>0.99193492352474899</v>
      </c>
      <c r="C4447">
        <v>0.96567074372024198</v>
      </c>
      <c r="D4447">
        <v>0.96734136158498596</v>
      </c>
      <c r="E4447">
        <v>0.83662338244203804</v>
      </c>
      <c r="F4447">
        <v>0.55499386220422198</v>
      </c>
      <c r="G4447">
        <v>0.26991199053541498</v>
      </c>
      <c r="H4447">
        <v>0.135472173513533</v>
      </c>
      <c r="I4447">
        <v>0.17276276160071799</v>
      </c>
      <c r="J4447">
        <v>0.183531194298865</v>
      </c>
      <c r="K4447">
        <v>0.226494596028224</v>
      </c>
      <c r="L4447">
        <v>1351.18933519196</v>
      </c>
      <c r="M4447">
        <v>25.670123224149101</v>
      </c>
      <c r="N4447">
        <v>53.507087479248298</v>
      </c>
      <c r="O4447">
        <v>52.320328625702103</v>
      </c>
      <c r="P4447">
        <v>-0.101723727726431</v>
      </c>
      <c r="Q4447">
        <v>0.17068497837565599</v>
      </c>
      <c r="R4447">
        <v>0.99263032436016296</v>
      </c>
      <c r="S4447" t="s">
        <v>11117</v>
      </c>
      <c r="T4447" t="s">
        <v>13338</v>
      </c>
      <c r="U4447" t="s">
        <v>13338</v>
      </c>
      <c r="V4447" t="s">
        <v>13338</v>
      </c>
      <c r="W4447" t="s">
        <v>17729</v>
      </c>
      <c r="X4447">
        <v>9</v>
      </c>
      <c r="Y4447" t="s">
        <v>24233</v>
      </c>
      <c r="Z4447" t="s">
        <v>30862</v>
      </c>
      <c r="AA4447">
        <v>0.52725128514877728</v>
      </c>
      <c r="AB4447" t="str">
        <f>HYPERLINK("Melting_Curves/meltCurve_Q8IZ73_RPUSD2.pdf", "Melting_Curves/meltCurve_Q8IZ73_RPUSD2.pdf")</f>
        <v>Melting_Curves/meltCurve_Q8IZ73_RPUSD2.pdf</v>
      </c>
    </row>
    <row r="4448" spans="1:28" x14ac:dyDescent="0.25">
      <c r="A4448" t="s">
        <v>4452</v>
      </c>
      <c r="B4448">
        <v>0.99193492352474899</v>
      </c>
      <c r="C4448">
        <v>1.05048120783817</v>
      </c>
      <c r="D4448">
        <v>1.10255811116757</v>
      </c>
      <c r="E4448">
        <v>0.95821812140481399</v>
      </c>
      <c r="F4448">
        <v>0.45769885638857</v>
      </c>
      <c r="G4448">
        <v>0.21060967677065501</v>
      </c>
      <c r="H4448">
        <v>0.133785584841982</v>
      </c>
      <c r="I4448">
        <v>0.105003912942693</v>
      </c>
      <c r="J4448">
        <v>0.11490692979554901</v>
      </c>
      <c r="K4448">
        <v>0.113806937405998</v>
      </c>
      <c r="L4448">
        <v>2212.5118179508299</v>
      </c>
      <c r="M4448">
        <v>42.008497545263602</v>
      </c>
      <c r="N4448">
        <v>53.031880178464398</v>
      </c>
      <c r="O4448">
        <v>52.5492652140167</v>
      </c>
      <c r="P4448">
        <v>-0.174841261862272</v>
      </c>
      <c r="Q4448">
        <v>0.12515184107216701</v>
      </c>
      <c r="R4448">
        <v>0.99051979260376899</v>
      </c>
      <c r="S4448" t="s">
        <v>11118</v>
      </c>
      <c r="T4448" t="s">
        <v>13338</v>
      </c>
      <c r="U4448" t="s">
        <v>13338</v>
      </c>
      <c r="V4448" t="s">
        <v>13338</v>
      </c>
      <c r="W4448" t="s">
        <v>17730</v>
      </c>
      <c r="X4448">
        <v>6</v>
      </c>
      <c r="Y4448" t="s">
        <v>24234</v>
      </c>
      <c r="Z4448" t="s">
        <v>30863</v>
      </c>
      <c r="AA4448">
        <v>0.49746084120116529</v>
      </c>
      <c r="AB4448" t="str">
        <f>HYPERLINK("Melting_Curves/meltCurve_Q8IZ81_ELMOD2.pdf", "Melting_Curves/meltCurve_Q8IZ81_ELMOD2.pdf")</f>
        <v>Melting_Curves/meltCurve_Q8IZ81_ELMOD2.pdf</v>
      </c>
    </row>
    <row r="4449" spans="1:28" x14ac:dyDescent="0.25">
      <c r="A4449" t="s">
        <v>4453</v>
      </c>
      <c r="B4449">
        <v>0.99193492352474899</v>
      </c>
      <c r="C4449">
        <v>1.1514337957104801</v>
      </c>
      <c r="D4449">
        <v>0.95535456702066401</v>
      </c>
      <c r="E4449">
        <v>0.93031363435291203</v>
      </c>
      <c r="F4449">
        <v>0.84973399108206904</v>
      </c>
      <c r="G4449">
        <v>0.79584991824885898</v>
      </c>
      <c r="H4449">
        <v>0.518415103724159</v>
      </c>
      <c r="I4449">
        <v>0.51441917993419795</v>
      </c>
      <c r="J4449">
        <v>0.37799218969020898</v>
      </c>
      <c r="K4449">
        <v>0.37479812338491197</v>
      </c>
      <c r="L4449">
        <v>826.82311829471598</v>
      </c>
      <c r="M4449">
        <v>14.0124711770977</v>
      </c>
      <c r="N4449">
        <v>62.994911209181701</v>
      </c>
      <c r="O4449">
        <v>57.843447239770498</v>
      </c>
      <c r="P4449">
        <v>-4.2756177351351198E-2</v>
      </c>
      <c r="Q4449">
        <v>0.29410350627237802</v>
      </c>
      <c r="R4449">
        <v>0.94941342268362205</v>
      </c>
      <c r="S4449" t="s">
        <v>11119</v>
      </c>
      <c r="T4449" t="s">
        <v>13338</v>
      </c>
      <c r="U4449" t="s">
        <v>13338</v>
      </c>
      <c r="V4449" t="s">
        <v>13338</v>
      </c>
      <c r="W4449" t="s">
        <v>17731</v>
      </c>
      <c r="X4449">
        <v>14</v>
      </c>
      <c r="Y4449" t="s">
        <v>24235</v>
      </c>
      <c r="Z4449" t="s">
        <v>30864</v>
      </c>
      <c r="AA4449">
        <v>0.74837510415893505</v>
      </c>
      <c r="AB4449" t="str">
        <f>HYPERLINK("Melting_Curves/meltCurve_Q8IZ83_ALDH16A1.pdf", "Melting_Curves/meltCurve_Q8IZ83_ALDH16A1.pdf")</f>
        <v>Melting_Curves/meltCurve_Q8IZ83_ALDH16A1.pdf</v>
      </c>
    </row>
    <row r="4450" spans="1:28" x14ac:dyDescent="0.25">
      <c r="A4450" t="s">
        <v>4454</v>
      </c>
      <c r="B4450">
        <v>0.99193492352474899</v>
      </c>
      <c r="C4450">
        <v>0.74307305615509101</v>
      </c>
      <c r="D4450">
        <v>0.57189097213205398</v>
      </c>
      <c r="E4450">
        <v>0.26415872713282001</v>
      </c>
      <c r="F4450">
        <v>0.176334703331815</v>
      </c>
      <c r="G4450">
        <v>8.4937262546548695E-2</v>
      </c>
      <c r="H4450">
        <v>3.79236623794117E-2</v>
      </c>
      <c r="I4450">
        <v>5.4025183096838403E-2</v>
      </c>
      <c r="J4450">
        <v>7.4203240307394502E-2</v>
      </c>
      <c r="K4450">
        <v>8.0808310500377206E-2</v>
      </c>
      <c r="L4450">
        <v>776.18784982774503</v>
      </c>
      <c r="M4450">
        <v>16.804516493537001</v>
      </c>
      <c r="N4450">
        <v>46.515598748336501</v>
      </c>
      <c r="O4450">
        <v>45.550020309719201</v>
      </c>
      <c r="P4450">
        <v>-8.7107902472349896E-2</v>
      </c>
      <c r="Q4450">
        <v>5.5608626711585597E-2</v>
      </c>
      <c r="R4450">
        <v>0.99042571817771397</v>
      </c>
      <c r="S4450" t="s">
        <v>11120</v>
      </c>
      <c r="T4450" t="s">
        <v>13338</v>
      </c>
      <c r="U4450" t="s">
        <v>13338</v>
      </c>
      <c r="V4450" t="s">
        <v>13338</v>
      </c>
      <c r="W4450" t="s">
        <v>17732</v>
      </c>
      <c r="X4450">
        <v>1</v>
      </c>
      <c r="Y4450" t="s">
        <v>24236</v>
      </c>
      <c r="Z4450" t="s">
        <v>30865</v>
      </c>
      <c r="AA4450">
        <v>0.27173012416721232</v>
      </c>
      <c r="AB4450" t="str">
        <f>HYPERLINK("Melting_Curves/meltCurve_Q8IZD4_DCP1B.pdf", "Melting_Curves/meltCurve_Q8IZD4_DCP1B.pdf")</f>
        <v>Melting_Curves/meltCurve_Q8IZD4_DCP1B.pdf</v>
      </c>
    </row>
    <row r="4451" spans="1:28" x14ac:dyDescent="0.25">
      <c r="A4451" t="s">
        <v>4455</v>
      </c>
      <c r="B4451">
        <v>0.99193492352474899</v>
      </c>
      <c r="C4451">
        <v>0.89235285083445803</v>
      </c>
      <c r="D4451">
        <v>0.814627996438681</v>
      </c>
      <c r="E4451">
        <v>0.50598618014636898</v>
      </c>
      <c r="F4451">
        <v>0.20922415102647901</v>
      </c>
      <c r="G4451">
        <v>0.14762428107020201</v>
      </c>
      <c r="H4451">
        <v>0.100458733971522</v>
      </c>
      <c r="I4451">
        <v>0.106086623229754</v>
      </c>
      <c r="J4451">
        <v>0.123899646864242</v>
      </c>
      <c r="K4451">
        <v>0.12313126485965099</v>
      </c>
      <c r="L4451">
        <v>1009.67721101865</v>
      </c>
      <c r="M4451">
        <v>20.669935495391201</v>
      </c>
      <c r="N4451">
        <v>49.396311226908402</v>
      </c>
      <c r="O4451">
        <v>48.397308015568498</v>
      </c>
      <c r="P4451">
        <v>-9.5822845521383496E-2</v>
      </c>
      <c r="Q4451">
        <v>0.102573837838264</v>
      </c>
      <c r="R4451">
        <v>0.99477201694120698</v>
      </c>
      <c r="S4451" t="s">
        <v>11121</v>
      </c>
      <c r="T4451" t="s">
        <v>13338</v>
      </c>
      <c r="U4451" t="s">
        <v>13338</v>
      </c>
      <c r="V4451" t="s">
        <v>13338</v>
      </c>
      <c r="W4451" t="s">
        <v>17733</v>
      </c>
      <c r="X4451">
        <v>3</v>
      </c>
      <c r="Y4451" t="s">
        <v>24237</v>
      </c>
      <c r="Z4451" t="s">
        <v>30866</v>
      </c>
      <c r="AA4451">
        <v>0.37901119957233292</v>
      </c>
      <c r="AB4451" t="str">
        <f>HYPERLINK("Melting_Curves/meltCurve_Q8IZE3_2_SCYL3.pdf", "Melting_Curves/meltCurve_Q8IZE3_2_SCYL3.pdf")</f>
        <v>Melting_Curves/meltCurve_Q8IZE3_2_SCYL3.pdf</v>
      </c>
    </row>
    <row r="4452" spans="1:28" x14ac:dyDescent="0.25">
      <c r="A4452" t="s">
        <v>4456</v>
      </c>
      <c r="B4452">
        <v>0.99193492352474899</v>
      </c>
      <c r="C4452">
        <v>0.74370793519948397</v>
      </c>
      <c r="D4452">
        <v>0.76470196222690201</v>
      </c>
      <c r="E4452">
        <v>0.255911080056624</v>
      </c>
      <c r="F4452">
        <v>0.150704263334349</v>
      </c>
      <c r="G4452">
        <v>0.17520295566635799</v>
      </c>
      <c r="H4452">
        <v>0.115618464675357</v>
      </c>
      <c r="I4452">
        <v>0.167954270101138</v>
      </c>
      <c r="J4452">
        <v>0.166401048089305</v>
      </c>
      <c r="K4452">
        <v>0.187157146975727</v>
      </c>
      <c r="L4452">
        <v>1049.00157779289</v>
      </c>
      <c r="M4452">
        <v>22.474468445195001</v>
      </c>
      <c r="N4452">
        <v>47.397535053844202</v>
      </c>
      <c r="O4452">
        <v>46.310446939553998</v>
      </c>
      <c r="P4452">
        <v>-0.10373504006753199</v>
      </c>
      <c r="Q4452">
        <v>0.145000304164113</v>
      </c>
      <c r="R4452">
        <v>0.94899858406617599</v>
      </c>
      <c r="S4452" t="s">
        <v>11122</v>
      </c>
      <c r="T4452" t="s">
        <v>13338</v>
      </c>
      <c r="U4452" t="s">
        <v>13338</v>
      </c>
      <c r="V4452" t="s">
        <v>13338</v>
      </c>
      <c r="W4452" t="s">
        <v>17734</v>
      </c>
      <c r="X4452">
        <v>7</v>
      </c>
      <c r="Y4452" t="s">
        <v>24238</v>
      </c>
      <c r="Z4452" t="s">
        <v>30867</v>
      </c>
      <c r="AA4452">
        <v>0.345015981745662</v>
      </c>
      <c r="AB4452" t="str">
        <f>HYPERLINK("Melting_Curves/meltCurve_Q8IZH2_2_XRN1.pdf", "Melting_Curves/meltCurve_Q8IZH2_2_XRN1.pdf")</f>
        <v>Melting_Curves/meltCurve_Q8IZH2_2_XRN1.pdf</v>
      </c>
    </row>
    <row r="4453" spans="1:28" x14ac:dyDescent="0.25">
      <c r="A4453" t="s">
        <v>4457</v>
      </c>
      <c r="B4453">
        <v>0.99193492352474899</v>
      </c>
      <c r="C4453">
        <v>0.62871588763319697</v>
      </c>
      <c r="D4453">
        <v>0.82029262023135596</v>
      </c>
      <c r="E4453">
        <v>0.55673772250841802</v>
      </c>
      <c r="F4453">
        <v>0.49837970547781402</v>
      </c>
      <c r="G4453">
        <v>0.199401691733647</v>
      </c>
      <c r="H4453">
        <v>0.15956849570914899</v>
      </c>
      <c r="I4453">
        <v>0.19173511439052099</v>
      </c>
      <c r="J4453">
        <v>0.28264966322616902</v>
      </c>
      <c r="K4453">
        <v>0.541852019764688</v>
      </c>
      <c r="L4453">
        <v>584.74915521128105</v>
      </c>
      <c r="M4453">
        <v>12.3784199975858</v>
      </c>
      <c r="N4453">
        <v>50.280996727100202</v>
      </c>
      <c r="O4453">
        <v>46.057305407131501</v>
      </c>
      <c r="P4453">
        <v>-4.9494064392711597E-2</v>
      </c>
      <c r="Q4453">
        <v>0.26353249470527101</v>
      </c>
      <c r="R4453">
        <v>0.72607367344798801</v>
      </c>
      <c r="S4453" t="s">
        <v>11123</v>
      </c>
      <c r="T4453" t="s">
        <v>13338</v>
      </c>
      <c r="U4453" t="s">
        <v>13338</v>
      </c>
      <c r="V4453" t="s">
        <v>13338</v>
      </c>
      <c r="W4453" t="s">
        <v>17735</v>
      </c>
      <c r="X4453">
        <v>5</v>
      </c>
      <c r="Y4453" t="s">
        <v>24239</v>
      </c>
      <c r="Z4453" t="s">
        <v>30868</v>
      </c>
      <c r="AA4453">
        <v>0.46994666453102668</v>
      </c>
      <c r="AB4453" t="str">
        <f>HYPERLINK("Melting_Curves/meltCurve_Q8IZQ5_SELH.pdf", "Melting_Curves/meltCurve_Q8IZQ5_SELH.pdf")</f>
        <v>Melting_Curves/meltCurve_Q8IZQ5_SELH.pdf</v>
      </c>
    </row>
    <row r="4454" spans="1:28" x14ac:dyDescent="0.25">
      <c r="A4454" t="s">
        <v>4458</v>
      </c>
      <c r="B4454">
        <v>0.99193492352474899</v>
      </c>
      <c r="C4454">
        <v>1.2597831761728</v>
      </c>
      <c r="D4454">
        <v>0.95910164239988005</v>
      </c>
      <c r="E4454">
        <v>0.86050585095842402</v>
      </c>
      <c r="F4454">
        <v>0.73614407333866005</v>
      </c>
      <c r="G4454">
        <v>0.46148664819100199</v>
      </c>
      <c r="H4454">
        <v>0.41572532505491</v>
      </c>
      <c r="I4454">
        <v>0.65026637346258498</v>
      </c>
      <c r="J4454">
        <v>0.65998174842362201</v>
      </c>
      <c r="K4454">
        <v>0.74821019449931003</v>
      </c>
      <c r="L4454">
        <v>1712.28560739208</v>
      </c>
      <c r="M4454">
        <v>33.613041889520701</v>
      </c>
      <c r="O4454">
        <v>50.761820202880102</v>
      </c>
      <c r="P4454">
        <v>-6.7196403320363002E-2</v>
      </c>
      <c r="Q4454">
        <v>0.59408643965601104</v>
      </c>
      <c r="R4454">
        <v>0.72834714474079099</v>
      </c>
      <c r="S4454" t="s">
        <v>11124</v>
      </c>
      <c r="T4454" t="s">
        <v>13338</v>
      </c>
      <c r="U4454" t="s">
        <v>13338</v>
      </c>
      <c r="V4454" t="s">
        <v>13338</v>
      </c>
      <c r="W4454" t="s">
        <v>17736</v>
      </c>
      <c r="X4454">
        <v>2</v>
      </c>
      <c r="Y4454" t="s">
        <v>24240</v>
      </c>
      <c r="Z4454" t="s">
        <v>30869</v>
      </c>
      <c r="AA4454">
        <v>0.7441535610338289</v>
      </c>
      <c r="AB4454" t="str">
        <f>HYPERLINK("Melting_Curves/meltCurve_Q8IZR5_3_CMTM4.pdf", "Melting_Curves/meltCurve_Q8IZR5_3_CMTM4.pdf")</f>
        <v>Melting_Curves/meltCurve_Q8IZR5_3_CMTM4.pdf</v>
      </c>
    </row>
    <row r="4455" spans="1:28" x14ac:dyDescent="0.25">
      <c r="A4455" t="s">
        <v>4459</v>
      </c>
      <c r="B4455">
        <v>0.99193492352474899</v>
      </c>
      <c r="C4455">
        <v>0.56537448020970704</v>
      </c>
      <c r="D4455">
        <v>0.87358386904826202</v>
      </c>
      <c r="E4455">
        <v>0.56923452895593196</v>
      </c>
      <c r="F4455">
        <v>0.54864795628704299</v>
      </c>
      <c r="G4455">
        <v>0.24686707560381599</v>
      </c>
      <c r="H4455">
        <v>0.34862043145805399</v>
      </c>
      <c r="I4455">
        <v>0.31400393924353698</v>
      </c>
      <c r="J4455">
        <v>0.47054732860212101</v>
      </c>
      <c r="K4455">
        <v>0.91627907927552699</v>
      </c>
      <c r="L4455">
        <v>628.07734595002398</v>
      </c>
      <c r="M4455">
        <v>14.2280073021027</v>
      </c>
      <c r="N4455">
        <v>55.415113599739897</v>
      </c>
      <c r="O4455">
        <v>43.299160254272898</v>
      </c>
      <c r="P4455">
        <v>-4.3353855089263399E-2</v>
      </c>
      <c r="Q4455">
        <v>0.472321796054468</v>
      </c>
      <c r="R4455">
        <v>0.34404350628653402</v>
      </c>
      <c r="S4455" t="s">
        <v>11125</v>
      </c>
      <c r="T4455" t="s">
        <v>13338</v>
      </c>
      <c r="U4455" t="s">
        <v>13338</v>
      </c>
      <c r="V4455" t="s">
        <v>13338</v>
      </c>
      <c r="W4455" t="s">
        <v>17737</v>
      </c>
      <c r="X4455">
        <v>4</v>
      </c>
      <c r="Y4455" t="s">
        <v>24241</v>
      </c>
      <c r="Z4455" t="s">
        <v>30870</v>
      </c>
      <c r="AA4455">
        <v>0.56609847428383908</v>
      </c>
      <c r="AB4455" t="str">
        <f>HYPERLINK("Melting_Curves/meltCurve_Q8N0T1_C8orf59.pdf", "Melting_Curves/meltCurve_Q8N0T1_C8orf59.pdf")</f>
        <v>Melting_Curves/meltCurve_Q8N0T1_C8orf59.pdf</v>
      </c>
    </row>
    <row r="4456" spans="1:28" x14ac:dyDescent="0.25">
      <c r="A4456" t="s">
        <v>4460</v>
      </c>
      <c r="B4456">
        <v>0.99193492352474899</v>
      </c>
      <c r="C4456">
        <v>0.99425205852422305</v>
      </c>
      <c r="D4456">
        <v>1.0628451139231201</v>
      </c>
      <c r="E4456">
        <v>1.02437340751404</v>
      </c>
      <c r="F4456">
        <v>0.95353325843138104</v>
      </c>
      <c r="G4456">
        <v>0.82860129318967501</v>
      </c>
      <c r="H4456">
        <v>0.83034333159064599</v>
      </c>
      <c r="I4456">
        <v>1.0395564996486499</v>
      </c>
      <c r="J4456">
        <v>1.3102480112722701</v>
      </c>
      <c r="K4456">
        <v>1.80765108338738</v>
      </c>
      <c r="L4456">
        <v>15000</v>
      </c>
      <c r="M4456">
        <v>224.039289968703</v>
      </c>
      <c r="O4456">
        <v>66.947205965835494</v>
      </c>
      <c r="P4456">
        <v>0.41831336119323398</v>
      </c>
      <c r="Q4456">
        <v>1.5</v>
      </c>
      <c r="R4456">
        <v>0.78333170286764897</v>
      </c>
      <c r="S4456" t="s">
        <v>11126</v>
      </c>
      <c r="T4456" t="s">
        <v>13338</v>
      </c>
      <c r="U4456" t="s">
        <v>13338</v>
      </c>
      <c r="V4456" t="s">
        <v>13338</v>
      </c>
      <c r="W4456" t="s">
        <v>17738</v>
      </c>
      <c r="X4456">
        <v>1</v>
      </c>
      <c r="Y4456" t="s">
        <v>24242</v>
      </c>
      <c r="Z4456" t="s">
        <v>30871</v>
      </c>
      <c r="AA4456">
        <v>1.0507181251365449</v>
      </c>
      <c r="AB4456" t="str">
        <f>HYPERLINK("Melting_Curves/meltCurve_Q8N0U8_VKORC1L1.pdf", "Melting_Curves/meltCurve_Q8N0U8_VKORC1L1.pdf")</f>
        <v>Melting_Curves/meltCurve_Q8N0U8_VKORC1L1.pdf</v>
      </c>
    </row>
    <row r="4457" spans="1:28" x14ac:dyDescent="0.25">
      <c r="A4457" t="s">
        <v>4461</v>
      </c>
      <c r="B4457">
        <v>0.99193492352474899</v>
      </c>
      <c r="C4457">
        <v>0.64313472712640896</v>
      </c>
      <c r="D4457">
        <v>1.19600944343133</v>
      </c>
      <c r="E4457">
        <v>0.330117305041294</v>
      </c>
      <c r="F4457">
        <v>0.30539773575201101</v>
      </c>
      <c r="G4457">
        <v>0.20111101493945399</v>
      </c>
      <c r="H4457">
        <v>0.10143045458552399</v>
      </c>
      <c r="I4457">
        <v>0.48694220426342999</v>
      </c>
      <c r="J4457">
        <v>0.32898930172087598</v>
      </c>
      <c r="K4457">
        <v>0.14262131698105099</v>
      </c>
      <c r="L4457">
        <v>12287.2848469128</v>
      </c>
      <c r="M4457">
        <v>250</v>
      </c>
      <c r="N4457">
        <v>49.294770483316697</v>
      </c>
      <c r="O4457">
        <v>49.145994277572903</v>
      </c>
      <c r="P4457">
        <v>-0.93969765816577899</v>
      </c>
      <c r="Q4457">
        <v>0.26108199080871902</v>
      </c>
      <c r="R4457">
        <v>0.779999254585097</v>
      </c>
      <c r="S4457" t="s">
        <v>11127</v>
      </c>
      <c r="T4457" t="s">
        <v>13338</v>
      </c>
      <c r="U4457" t="s">
        <v>13338</v>
      </c>
      <c r="V4457" t="s">
        <v>13338</v>
      </c>
      <c r="W4457" t="s">
        <v>17739</v>
      </c>
      <c r="X4457">
        <v>2</v>
      </c>
      <c r="Y4457" t="s">
        <v>24243</v>
      </c>
      <c r="Z4457" t="s">
        <v>30872</v>
      </c>
      <c r="AA4457">
        <v>0.48649452230638068</v>
      </c>
      <c r="AB4457" t="str">
        <f>HYPERLINK("Melting_Curves/meltCurve_Q8N0V3_RBFA.pdf", "Melting_Curves/meltCurve_Q8N0V3_RBFA.pdf")</f>
        <v>Melting_Curves/meltCurve_Q8N0V3_RBFA.pdf</v>
      </c>
    </row>
    <row r="4458" spans="1:28" x14ac:dyDescent="0.25">
      <c r="A4458" t="s">
        <v>4462</v>
      </c>
      <c r="B4458">
        <v>0.99193492352474899</v>
      </c>
      <c r="C4458">
        <v>1.0816994487915099</v>
      </c>
      <c r="D4458">
        <v>0.965079953715826</v>
      </c>
      <c r="E4458">
        <v>0.92628388892578195</v>
      </c>
      <c r="F4458">
        <v>0.84591867117550501</v>
      </c>
      <c r="G4458">
        <v>0.590307769275911</v>
      </c>
      <c r="H4458">
        <v>0.26154595504046202</v>
      </c>
      <c r="I4458">
        <v>0.15090378844624799</v>
      </c>
      <c r="J4458">
        <v>0.104181409268798</v>
      </c>
      <c r="K4458">
        <v>0.14386196611871399</v>
      </c>
      <c r="L4458">
        <v>1279.7821834331601</v>
      </c>
      <c r="M4458">
        <v>22.435520036079701</v>
      </c>
      <c r="N4458">
        <v>57.574296673304701</v>
      </c>
      <c r="O4458">
        <v>56.595298918064401</v>
      </c>
      <c r="P4458">
        <v>-8.9835111817521504E-2</v>
      </c>
      <c r="Q4458">
        <v>9.3555344062026799E-2</v>
      </c>
      <c r="R4458">
        <v>0.99156280081916803</v>
      </c>
      <c r="S4458" t="s">
        <v>11128</v>
      </c>
      <c r="T4458" t="s">
        <v>13338</v>
      </c>
      <c r="U4458" t="s">
        <v>13338</v>
      </c>
      <c r="V4458" t="s">
        <v>13338</v>
      </c>
      <c r="W4458" t="s">
        <v>17740</v>
      </c>
      <c r="X4458">
        <v>7</v>
      </c>
      <c r="Y4458" t="s">
        <v>24244</v>
      </c>
      <c r="Z4458" t="s">
        <v>30873</v>
      </c>
      <c r="AA4458">
        <v>0.61805018300819892</v>
      </c>
      <c r="AB4458" t="str">
        <f>HYPERLINK("Melting_Curves/meltCurve_Q8N0W3_FUK.pdf", "Melting_Curves/meltCurve_Q8N0W3_FUK.pdf")</f>
        <v>Melting_Curves/meltCurve_Q8N0W3_FUK.pdf</v>
      </c>
    </row>
    <row r="4459" spans="1:28" x14ac:dyDescent="0.25">
      <c r="A4459" t="s">
        <v>4463</v>
      </c>
      <c r="B4459">
        <v>0.99193492352474899</v>
      </c>
      <c r="C4459">
        <v>0.91561305278629501</v>
      </c>
      <c r="D4459">
        <v>0.94475146416301103</v>
      </c>
      <c r="E4459">
        <v>0.74783545102742399</v>
      </c>
      <c r="F4459">
        <v>0.69327175161028098</v>
      </c>
      <c r="G4459">
        <v>0.52563097523786695</v>
      </c>
      <c r="H4459">
        <v>0.15164641510378599</v>
      </c>
      <c r="I4459">
        <v>9.7295486222123903E-2</v>
      </c>
      <c r="J4459">
        <v>0.124534982178567</v>
      </c>
      <c r="K4459">
        <v>8.3567238199615701E-2</v>
      </c>
      <c r="L4459">
        <v>732.15214968429495</v>
      </c>
      <c r="M4459">
        <v>13.160741259909001</v>
      </c>
      <c r="N4459">
        <v>55.631534220638699</v>
      </c>
      <c r="O4459">
        <v>54.394130174588298</v>
      </c>
      <c r="P4459">
        <v>-6.0498061540266101E-2</v>
      </c>
      <c r="Q4459">
        <v>0</v>
      </c>
      <c r="R4459">
        <v>0.97284835505342304</v>
      </c>
      <c r="S4459" t="s">
        <v>11129</v>
      </c>
      <c r="T4459" t="s">
        <v>13338</v>
      </c>
      <c r="U4459" t="s">
        <v>13338</v>
      </c>
      <c r="V4459" t="s">
        <v>13338</v>
      </c>
      <c r="W4459" t="s">
        <v>17741</v>
      </c>
      <c r="X4459">
        <v>11</v>
      </c>
      <c r="Y4459" t="s">
        <v>24245</v>
      </c>
      <c r="Z4459" t="s">
        <v>30874</v>
      </c>
      <c r="AA4459">
        <v>0.5414560047010516</v>
      </c>
      <c r="AB4459" t="str">
        <f>HYPERLINK("Melting_Curves/meltCurve_Q8N0X4_CLYBL.pdf", "Melting_Curves/meltCurve_Q8N0X4_CLYBL.pdf")</f>
        <v>Melting_Curves/meltCurve_Q8N0X4_CLYBL.pdf</v>
      </c>
    </row>
    <row r="4460" spans="1:28" x14ac:dyDescent="0.25">
      <c r="A4460" t="s">
        <v>4464</v>
      </c>
      <c r="B4460">
        <v>0.99193492352474899</v>
      </c>
      <c r="C4460">
        <v>0.572741322433998</v>
      </c>
      <c r="D4460">
        <v>0.76624399207092997</v>
      </c>
      <c r="E4460">
        <v>0.32659591560684897</v>
      </c>
      <c r="F4460">
        <v>7.6050952030378899E-2</v>
      </c>
      <c r="G4460">
        <v>4.7629827899854899E-2</v>
      </c>
      <c r="H4460">
        <v>3.51512585588971E-2</v>
      </c>
      <c r="I4460">
        <v>4.3782717799272799E-2</v>
      </c>
      <c r="J4460">
        <v>0</v>
      </c>
      <c r="K4460">
        <v>6.61246946606667E-2</v>
      </c>
      <c r="L4460">
        <v>664.18642465181199</v>
      </c>
      <c r="M4460">
        <v>14.115207209245501</v>
      </c>
      <c r="N4460">
        <v>47.054677177819897</v>
      </c>
      <c r="O4460">
        <v>46.140422485561899</v>
      </c>
      <c r="P4460">
        <v>-7.6489417926136394E-2</v>
      </c>
      <c r="Q4460">
        <v>0</v>
      </c>
      <c r="R4460">
        <v>0.91225296427517799</v>
      </c>
      <c r="S4460" t="s">
        <v>11130</v>
      </c>
      <c r="T4460" t="s">
        <v>13338</v>
      </c>
      <c r="U4460" t="s">
        <v>13338</v>
      </c>
      <c r="V4460" t="s">
        <v>13338</v>
      </c>
      <c r="W4460" t="s">
        <v>17742</v>
      </c>
      <c r="X4460">
        <v>9</v>
      </c>
      <c r="Y4460" t="s">
        <v>24246</v>
      </c>
      <c r="Z4460" t="s">
        <v>30875</v>
      </c>
      <c r="AA4460">
        <v>0.26578585961510992</v>
      </c>
      <c r="AB4460" t="str">
        <f>HYPERLINK("Melting_Curves/meltCurve_Q8N0Y7_PGAM4.pdf", "Melting_Curves/meltCurve_Q8N0Y7_PGAM4.pdf")</f>
        <v>Melting_Curves/meltCurve_Q8N0Y7_PGAM4.pdf</v>
      </c>
    </row>
    <row r="4461" spans="1:28" x14ac:dyDescent="0.25">
      <c r="A4461" t="s">
        <v>4465</v>
      </c>
      <c r="B4461">
        <v>0.99193492352474899</v>
      </c>
      <c r="C4461">
        <v>0.73281031547893005</v>
      </c>
      <c r="D4461">
        <v>0.57198822936525695</v>
      </c>
      <c r="E4461">
        <v>0.152119644975169</v>
      </c>
      <c r="F4461">
        <v>0.118982923932725</v>
      </c>
      <c r="G4461">
        <v>6.5963388888320998E-2</v>
      </c>
      <c r="H4461">
        <v>4.4286944634044201E-2</v>
      </c>
      <c r="I4461">
        <v>5.4074195682665901E-2</v>
      </c>
      <c r="J4461">
        <v>6.0139651144579101E-2</v>
      </c>
      <c r="K4461">
        <v>6.8335286160737599E-2</v>
      </c>
      <c r="L4461">
        <v>926.69692381475602</v>
      </c>
      <c r="M4461">
        <v>20.2507209755783</v>
      </c>
      <c r="N4461">
        <v>46.002234963287997</v>
      </c>
      <c r="O4461">
        <v>45.3219540202197</v>
      </c>
      <c r="P4461">
        <v>-0.106085114882867</v>
      </c>
      <c r="Q4461">
        <v>5.0337868237805998E-2</v>
      </c>
      <c r="R4461">
        <v>0.98470568286637905</v>
      </c>
      <c r="S4461" t="s">
        <v>11131</v>
      </c>
      <c r="T4461" t="s">
        <v>13338</v>
      </c>
      <c r="U4461" t="s">
        <v>13338</v>
      </c>
      <c r="V4461" t="s">
        <v>13338</v>
      </c>
      <c r="W4461" t="s">
        <v>17743</v>
      </c>
      <c r="X4461">
        <v>15</v>
      </c>
      <c r="Y4461" t="s">
        <v>24247</v>
      </c>
      <c r="Z4461" t="s">
        <v>30876</v>
      </c>
      <c r="AA4461">
        <v>0.24723330470375901</v>
      </c>
      <c r="AB4461" t="str">
        <f>HYPERLINK("Melting_Curves/meltCurve_Q8N0Z6_TTC5.pdf", "Melting_Curves/meltCurve_Q8N0Z6_TTC5.pdf")</f>
        <v>Melting_Curves/meltCurve_Q8N0Z6_TTC5.pdf</v>
      </c>
    </row>
    <row r="4462" spans="1:28" x14ac:dyDescent="0.25">
      <c r="A4462" t="s">
        <v>4466</v>
      </c>
      <c r="B4462">
        <v>0.99193492352474899</v>
      </c>
      <c r="C4462">
        <v>0.96393555330176794</v>
      </c>
      <c r="D4462">
        <v>0.77722959172667705</v>
      </c>
      <c r="E4462">
        <v>0.69702085840958905</v>
      </c>
      <c r="F4462">
        <v>0.25103149230583399</v>
      </c>
      <c r="G4462">
        <v>0.120547839833932</v>
      </c>
      <c r="H4462">
        <v>7.3376452952973306E-2</v>
      </c>
      <c r="I4462">
        <v>9.1905287768982699E-2</v>
      </c>
      <c r="J4462">
        <v>0.10144949737212999</v>
      </c>
      <c r="K4462">
        <v>0.10655401930023101</v>
      </c>
      <c r="L4462">
        <v>1035.1351591699699</v>
      </c>
      <c r="M4462">
        <v>20.589608653675</v>
      </c>
      <c r="N4462">
        <v>50.662126076954003</v>
      </c>
      <c r="O4462">
        <v>49.807601530398401</v>
      </c>
      <c r="P4462">
        <v>-9.5819523142611898E-2</v>
      </c>
      <c r="Q4462">
        <v>7.2852281185302306E-2</v>
      </c>
      <c r="R4462">
        <v>0.98138596730588201</v>
      </c>
      <c r="S4462" t="s">
        <v>11132</v>
      </c>
      <c r="T4462" t="s">
        <v>13338</v>
      </c>
      <c r="U4462" t="s">
        <v>13338</v>
      </c>
      <c r="V4462" t="s">
        <v>13338</v>
      </c>
      <c r="W4462" t="s">
        <v>17744</v>
      </c>
      <c r="X4462">
        <v>11</v>
      </c>
      <c r="Y4462" t="s">
        <v>24248</v>
      </c>
      <c r="Z4462" t="s">
        <v>30877</v>
      </c>
      <c r="AA4462">
        <v>0.40257907608033527</v>
      </c>
      <c r="AB4462" t="str">
        <f>HYPERLINK("Melting_Curves/meltCurve_Q8N108_17_MIER1.pdf", "Melting_Curves/meltCurve_Q8N108_17_MIER1.pdf")</f>
        <v>Melting_Curves/meltCurve_Q8N108_17_MIER1.pdf</v>
      </c>
    </row>
    <row r="4463" spans="1:28" x14ac:dyDescent="0.25">
      <c r="A4463" t="s">
        <v>4467</v>
      </c>
      <c r="B4463">
        <v>0.99193492352474899</v>
      </c>
      <c r="C4463">
        <v>0.99045401299332703</v>
      </c>
      <c r="D4463">
        <v>1.0069468033167399</v>
      </c>
      <c r="E4463">
        <v>0.39046379913066798</v>
      </c>
      <c r="F4463">
        <v>0.172410962280762</v>
      </c>
      <c r="G4463">
        <v>0.12529389253998699</v>
      </c>
      <c r="H4463">
        <v>9.3757931409903295E-2</v>
      </c>
      <c r="I4463">
        <v>0.11870836910699301</v>
      </c>
      <c r="J4463">
        <v>0.14800879979713</v>
      </c>
      <c r="K4463">
        <v>9.8109851272314003E-2</v>
      </c>
      <c r="L4463">
        <v>3453.1427564810701</v>
      </c>
      <c r="M4463">
        <v>70.443982198822198</v>
      </c>
      <c r="N4463">
        <v>49.2212498243019</v>
      </c>
      <c r="O4463">
        <v>48.980238879167402</v>
      </c>
      <c r="P4463">
        <v>-0.31450556147249797</v>
      </c>
      <c r="Q4463">
        <v>0.12528772702448199</v>
      </c>
      <c r="R4463">
        <v>0.99697650499100199</v>
      </c>
      <c r="S4463" t="s">
        <v>11133</v>
      </c>
      <c r="T4463" t="s">
        <v>13338</v>
      </c>
      <c r="U4463" t="s">
        <v>13338</v>
      </c>
      <c r="V4463" t="s">
        <v>13338</v>
      </c>
      <c r="W4463" t="s">
        <v>17745</v>
      </c>
      <c r="X4463">
        <v>11</v>
      </c>
      <c r="Y4463" t="s">
        <v>24249</v>
      </c>
      <c r="Z4463" t="s">
        <v>30878</v>
      </c>
      <c r="AA4463">
        <v>0.38922596833624762</v>
      </c>
      <c r="AB4463" t="str">
        <f>HYPERLINK("Melting_Curves/meltCurve_Q8N122_RPTOR.pdf", "Melting_Curves/meltCurve_Q8N122_RPTOR.pdf")</f>
        <v>Melting_Curves/meltCurve_Q8N122_RPTOR.pdf</v>
      </c>
    </row>
    <row r="4464" spans="1:28" x14ac:dyDescent="0.25">
      <c r="A4464" t="s">
        <v>4468</v>
      </c>
      <c r="B4464">
        <v>0.99193492352474899</v>
      </c>
      <c r="C4464">
        <v>1.0183680903086501</v>
      </c>
      <c r="D4464">
        <v>0.94617349003899398</v>
      </c>
      <c r="E4464">
        <v>0.92300220389660803</v>
      </c>
      <c r="F4464">
        <v>0.802360465127262</v>
      </c>
      <c r="G4464">
        <v>0.69642009411817196</v>
      </c>
      <c r="H4464">
        <v>0.44967620549274301</v>
      </c>
      <c r="I4464">
        <v>0.62458846998105899</v>
      </c>
      <c r="J4464">
        <v>0.64772698624001401</v>
      </c>
      <c r="K4464">
        <v>0.66053355138967695</v>
      </c>
      <c r="L4464">
        <v>1365.26512933803</v>
      </c>
      <c r="M4464">
        <v>25.779550621398599</v>
      </c>
      <c r="O4464">
        <v>52.6436400981516</v>
      </c>
      <c r="P4464">
        <v>-4.8921367612759101E-2</v>
      </c>
      <c r="Q4464">
        <v>0.60040138356574801</v>
      </c>
      <c r="R4464">
        <v>0.88372278215442501</v>
      </c>
      <c r="S4464" t="s">
        <v>11134</v>
      </c>
      <c r="T4464" t="s">
        <v>13338</v>
      </c>
      <c r="U4464" t="s">
        <v>13338</v>
      </c>
      <c r="V4464" t="s">
        <v>13338</v>
      </c>
      <c r="W4464" t="s">
        <v>17746</v>
      </c>
      <c r="X4464">
        <v>4</v>
      </c>
      <c r="Y4464" t="s">
        <v>24250</v>
      </c>
      <c r="Z4464" t="s">
        <v>30879</v>
      </c>
      <c r="AA4464">
        <v>0.77648864360270764</v>
      </c>
      <c r="AB4464" t="str">
        <f>HYPERLINK("Melting_Curves/meltCurve_Q8N129_CNPY4.pdf", "Melting_Curves/meltCurve_Q8N129_CNPY4.pdf")</f>
        <v>Melting_Curves/meltCurve_Q8N129_CNPY4.pdf</v>
      </c>
    </row>
    <row r="4465" spans="1:28" x14ac:dyDescent="0.25">
      <c r="A4465" t="s">
        <v>4469</v>
      </c>
      <c r="B4465">
        <v>0.99193492352474899</v>
      </c>
      <c r="C4465">
        <v>0.95467015532501498</v>
      </c>
      <c r="D4465">
        <v>0.539473202424952</v>
      </c>
      <c r="E4465">
        <v>0.20698938409204501</v>
      </c>
      <c r="F4465">
        <v>0.127205428299104</v>
      </c>
      <c r="G4465">
        <v>8.69077123989873E-2</v>
      </c>
      <c r="H4465">
        <v>5.4909531440737201E-2</v>
      </c>
      <c r="I4465">
        <v>6.7429845223570303E-2</v>
      </c>
      <c r="J4465">
        <v>7.4525506113575099E-2</v>
      </c>
      <c r="K4465">
        <v>6.3442732485460798E-2</v>
      </c>
      <c r="L4465">
        <v>1367.5551811820999</v>
      </c>
      <c r="M4465">
        <v>29.611513072337001</v>
      </c>
      <c r="N4465">
        <v>46.446278218708002</v>
      </c>
      <c r="O4465">
        <v>45.974133428538302</v>
      </c>
      <c r="P4465">
        <v>-0.14859193876826901</v>
      </c>
      <c r="Q4465">
        <v>7.7205042215592407E-2</v>
      </c>
      <c r="R4465">
        <v>0.99618000072318702</v>
      </c>
      <c r="S4465" t="s">
        <v>11135</v>
      </c>
      <c r="T4465" t="s">
        <v>13338</v>
      </c>
      <c r="U4465" t="s">
        <v>13338</v>
      </c>
      <c r="V4465" t="s">
        <v>13338</v>
      </c>
      <c r="W4465" t="s">
        <v>17747</v>
      </c>
      <c r="X4465">
        <v>24</v>
      </c>
      <c r="Y4465" t="s">
        <v>24251</v>
      </c>
      <c r="Z4465" t="s">
        <v>30880</v>
      </c>
      <c r="AA4465">
        <v>0.27316023136042611</v>
      </c>
      <c r="AB4465" t="str">
        <f>HYPERLINK("Melting_Curves/meltCurve_Q8N163_KIAA1967.pdf", "Melting_Curves/meltCurve_Q8N163_KIAA1967.pdf")</f>
        <v>Melting_Curves/meltCurve_Q8N163_KIAA1967.pdf</v>
      </c>
    </row>
    <row r="4466" spans="1:28" x14ac:dyDescent="0.25">
      <c r="A4466" t="s">
        <v>4470</v>
      </c>
      <c r="B4466">
        <v>0.99193492352474899</v>
      </c>
      <c r="C4466">
        <v>0.76118931572771298</v>
      </c>
      <c r="D4466">
        <v>0.94252942943910001</v>
      </c>
      <c r="E4466">
        <v>0.74595505576896504</v>
      </c>
      <c r="F4466">
        <v>0.55303875314357298</v>
      </c>
      <c r="G4466">
        <v>0.41113395643172901</v>
      </c>
      <c r="H4466">
        <v>0.37227096645809499</v>
      </c>
      <c r="I4466">
        <v>0.49374885590567402</v>
      </c>
      <c r="J4466">
        <v>0.48092591477151397</v>
      </c>
      <c r="K4466">
        <v>0.948419953339386</v>
      </c>
      <c r="L4466">
        <v>1182.37879870659</v>
      </c>
      <c r="M4466">
        <v>24.3987889089024</v>
      </c>
      <c r="O4466">
        <v>48.1385363161912</v>
      </c>
      <c r="P4466">
        <v>-5.8539467460104397E-2</v>
      </c>
      <c r="Q4466">
        <v>0.53801603393424502</v>
      </c>
      <c r="R4466">
        <v>0.45739483889862098</v>
      </c>
      <c r="S4466" t="s">
        <v>11136</v>
      </c>
      <c r="T4466" t="s">
        <v>13338</v>
      </c>
      <c r="U4466" t="s">
        <v>13338</v>
      </c>
      <c r="V4466" t="s">
        <v>13338</v>
      </c>
      <c r="W4466" t="s">
        <v>17748</v>
      </c>
      <c r="X4466">
        <v>11</v>
      </c>
      <c r="Y4466" t="s">
        <v>24252</v>
      </c>
      <c r="Z4466" t="s">
        <v>30881</v>
      </c>
      <c r="AA4466">
        <v>0.67260122076809303</v>
      </c>
      <c r="AB4466" t="str">
        <f>HYPERLINK("Melting_Curves/meltCurve_Q8N183_NDUFAF2.pdf", "Melting_Curves/meltCurve_Q8N183_NDUFAF2.pdf")</f>
        <v>Melting_Curves/meltCurve_Q8N183_NDUFAF2.pdf</v>
      </c>
    </row>
    <row r="4467" spans="1:28" x14ac:dyDescent="0.25">
      <c r="A4467" t="s">
        <v>4471</v>
      </c>
      <c r="B4467">
        <v>0.99193492352474899</v>
      </c>
      <c r="C4467">
        <v>1.09923606870586</v>
      </c>
      <c r="D4467">
        <v>0.90366492930050202</v>
      </c>
      <c r="E4467">
        <v>0.48778818837378202</v>
      </c>
      <c r="F4467">
        <v>0.247408175658969</v>
      </c>
      <c r="G4467">
        <v>0.19692680387005901</v>
      </c>
      <c r="H4467">
        <v>9.0093192416373397E-2</v>
      </c>
      <c r="I4467">
        <v>0.100794496501509</v>
      </c>
      <c r="J4467">
        <v>0.115171377151729</v>
      </c>
      <c r="K4467">
        <v>0.12558561062113899</v>
      </c>
      <c r="L4467">
        <v>1413.23242358777</v>
      </c>
      <c r="M4467">
        <v>28.7165591332659</v>
      </c>
      <c r="N4467">
        <v>49.707192771816601</v>
      </c>
      <c r="O4467">
        <v>48.976333099043799</v>
      </c>
      <c r="P4467">
        <v>-0.12838590642241901</v>
      </c>
      <c r="Q4467">
        <v>0.12415347859338199</v>
      </c>
      <c r="R4467">
        <v>0.98705298220642701</v>
      </c>
      <c r="S4467" t="s">
        <v>11137</v>
      </c>
      <c r="T4467" t="s">
        <v>13338</v>
      </c>
      <c r="U4467" t="s">
        <v>13338</v>
      </c>
      <c r="V4467" t="s">
        <v>13338</v>
      </c>
      <c r="W4467" t="s">
        <v>17749</v>
      </c>
      <c r="X4467">
        <v>9</v>
      </c>
      <c r="Y4467" t="s">
        <v>24253</v>
      </c>
      <c r="Z4467" t="s">
        <v>30882</v>
      </c>
      <c r="AA4467">
        <v>0.39898190635110742</v>
      </c>
      <c r="AB4467" t="str">
        <f>HYPERLINK("Melting_Curves/meltCurve_Q8N1B4_VPS52.pdf", "Melting_Curves/meltCurve_Q8N1B4_VPS52.pdf")</f>
        <v>Melting_Curves/meltCurve_Q8N1B4_VPS52.pdf</v>
      </c>
    </row>
    <row r="4468" spans="1:28" x14ac:dyDescent="0.25">
      <c r="A4468" t="s">
        <v>4472</v>
      </c>
      <c r="B4468">
        <v>0.99193492352474899</v>
      </c>
      <c r="C4468">
        <v>0.830894579903383</v>
      </c>
      <c r="D4468">
        <v>0.62559142186870598</v>
      </c>
      <c r="E4468">
        <v>0.421916096988255</v>
      </c>
      <c r="F4468">
        <v>0.15729561859159</v>
      </c>
      <c r="G4468">
        <v>8.9196550530800597E-2</v>
      </c>
      <c r="H4468">
        <v>5.3583092408825202E-2</v>
      </c>
      <c r="I4468">
        <v>6.1542709524070503E-2</v>
      </c>
      <c r="J4468">
        <v>6.9864383602267599E-2</v>
      </c>
      <c r="K4468">
        <v>6.5862875599415505E-2</v>
      </c>
      <c r="L4468">
        <v>759.15085256608597</v>
      </c>
      <c r="M4468">
        <v>15.9702255596032</v>
      </c>
      <c r="N4468">
        <v>47.8044020791748</v>
      </c>
      <c r="O4468">
        <v>46.808809384951402</v>
      </c>
      <c r="P4468">
        <v>-8.1635858028042005E-2</v>
      </c>
      <c r="Q4468">
        <v>4.2975551176064303E-2</v>
      </c>
      <c r="R4468">
        <v>0.99332040513859898</v>
      </c>
      <c r="S4468" t="s">
        <v>11138</v>
      </c>
      <c r="T4468" t="s">
        <v>13338</v>
      </c>
      <c r="U4468" t="s">
        <v>13338</v>
      </c>
      <c r="V4468" t="s">
        <v>13338</v>
      </c>
      <c r="W4468" t="s">
        <v>17750</v>
      </c>
      <c r="X4468">
        <v>35</v>
      </c>
      <c r="Y4468" t="s">
        <v>24254</v>
      </c>
      <c r="Z4468" t="s">
        <v>30883</v>
      </c>
      <c r="AA4468">
        <v>0.3055404467696633</v>
      </c>
      <c r="AB4468" t="str">
        <f>HYPERLINK("Melting_Curves/meltCurve_Q8N1F7_NUP93.pdf", "Melting_Curves/meltCurve_Q8N1F7_NUP93.pdf")</f>
        <v>Melting_Curves/meltCurve_Q8N1F7_NUP93.pdf</v>
      </c>
    </row>
    <row r="4469" spans="1:28" x14ac:dyDescent="0.25">
      <c r="A4469" t="s">
        <v>4473</v>
      </c>
      <c r="B4469">
        <v>0.99193492352474899</v>
      </c>
      <c r="C4469">
        <v>0.95483309323478205</v>
      </c>
      <c r="D4469">
        <v>0.90863115233173397</v>
      </c>
      <c r="E4469">
        <v>0.63135848401258099</v>
      </c>
      <c r="F4469">
        <v>0.24267836804454099</v>
      </c>
      <c r="G4469">
        <v>0.16176586782993399</v>
      </c>
      <c r="H4469">
        <v>0.11047229418016</v>
      </c>
      <c r="I4469">
        <v>0.115699454446629</v>
      </c>
      <c r="J4469">
        <v>0.119982597390134</v>
      </c>
      <c r="K4469">
        <v>0.115354302120563</v>
      </c>
      <c r="L4469">
        <v>1344.16779237126</v>
      </c>
      <c r="M4469">
        <v>26.840466275194601</v>
      </c>
      <c r="N4469">
        <v>50.560557398365603</v>
      </c>
      <c r="O4469">
        <v>49.804378717737897</v>
      </c>
      <c r="P4469">
        <v>-0.1195589998119</v>
      </c>
      <c r="Q4469">
        <v>0.112608337107429</v>
      </c>
      <c r="R4469">
        <v>0.99801970861407197</v>
      </c>
      <c r="S4469" t="s">
        <v>11139</v>
      </c>
      <c r="T4469" t="s">
        <v>13338</v>
      </c>
      <c r="U4469" t="s">
        <v>13338</v>
      </c>
      <c r="V4469" t="s">
        <v>13338</v>
      </c>
      <c r="W4469" t="s">
        <v>17751</v>
      </c>
      <c r="X4469">
        <v>19</v>
      </c>
      <c r="Y4469" t="s">
        <v>24255</v>
      </c>
      <c r="Z4469" t="s">
        <v>30884</v>
      </c>
      <c r="AA4469">
        <v>0.41764957181321788</v>
      </c>
      <c r="AB4469" t="str">
        <f>HYPERLINK("Melting_Curves/meltCurve_Q8N1G2_FTSJD2.pdf", "Melting_Curves/meltCurve_Q8N1G2_FTSJD2.pdf")</f>
        <v>Melting_Curves/meltCurve_Q8N1G2_FTSJD2.pdf</v>
      </c>
    </row>
    <row r="4470" spans="1:28" x14ac:dyDescent="0.25">
      <c r="A4470" t="s">
        <v>4474</v>
      </c>
      <c r="B4470">
        <v>0.99193492352474899</v>
      </c>
      <c r="C4470">
        <v>0.78848549895541797</v>
      </c>
      <c r="D4470">
        <v>0.865416662750909</v>
      </c>
      <c r="E4470">
        <v>0.63730912561643704</v>
      </c>
      <c r="F4470">
        <v>0.33879144953512602</v>
      </c>
      <c r="G4470">
        <v>0.119626959948314</v>
      </c>
      <c r="H4470">
        <v>6.6118489454994295E-2</v>
      </c>
      <c r="I4470">
        <v>6.8573629186557697E-2</v>
      </c>
      <c r="J4470">
        <v>7.7056345536960794E-2</v>
      </c>
      <c r="K4470">
        <v>8.0346461688515905E-2</v>
      </c>
      <c r="L4470">
        <v>810.74973838229698</v>
      </c>
      <c r="M4470">
        <v>16.036562823686999</v>
      </c>
      <c r="N4470">
        <v>50.787694772142899</v>
      </c>
      <c r="O4470">
        <v>49.7897855121521</v>
      </c>
      <c r="P4470">
        <v>-7.7691004576922795E-2</v>
      </c>
      <c r="Q4470">
        <v>3.5225371147379503E-2</v>
      </c>
      <c r="R4470">
        <v>0.97335767058757505</v>
      </c>
      <c r="S4470" t="s">
        <v>11140</v>
      </c>
      <c r="T4470" t="s">
        <v>13338</v>
      </c>
      <c r="U4470" t="s">
        <v>13338</v>
      </c>
      <c r="V4470" t="s">
        <v>13338</v>
      </c>
      <c r="W4470" t="s">
        <v>17752</v>
      </c>
      <c r="X4470">
        <v>19</v>
      </c>
      <c r="Y4470" t="s">
        <v>24256</v>
      </c>
      <c r="Z4470" t="s">
        <v>30885</v>
      </c>
      <c r="AA4470">
        <v>0.39483748509168648</v>
      </c>
      <c r="AB4470" t="str">
        <f>HYPERLINK("Melting_Curves/meltCurve_Q8N1G4_LRRC47.pdf", "Melting_Curves/meltCurve_Q8N1G4_LRRC47.pdf")</f>
        <v>Melting_Curves/meltCurve_Q8N1G4_LRRC47.pdf</v>
      </c>
    </row>
    <row r="4471" spans="1:28" x14ac:dyDescent="0.25">
      <c r="A4471" t="s">
        <v>4475</v>
      </c>
      <c r="B4471">
        <v>0.99193492352474899</v>
      </c>
      <c r="C4471">
        <v>0.79125695175952404</v>
      </c>
      <c r="D4471">
        <v>0.52644382364115905</v>
      </c>
      <c r="E4471">
        <v>0.231786348320485</v>
      </c>
      <c r="F4471">
        <v>0.14102894593832499</v>
      </c>
      <c r="G4471">
        <v>8.1232130668504002E-2</v>
      </c>
      <c r="H4471">
        <v>5.6684212671883602E-2</v>
      </c>
      <c r="I4471">
        <v>6.3455427117194804E-2</v>
      </c>
      <c r="J4471">
        <v>6.9292853670099103E-2</v>
      </c>
      <c r="K4471">
        <v>7.5543657828448393E-2</v>
      </c>
      <c r="L4471">
        <v>912.75029517132998</v>
      </c>
      <c r="M4471">
        <v>19.893904884220099</v>
      </c>
      <c r="N4471">
        <v>46.206833875263598</v>
      </c>
      <c r="O4471">
        <v>45.4248503571905</v>
      </c>
      <c r="P4471">
        <v>-0.102324128154392</v>
      </c>
      <c r="Q4471">
        <v>6.5461796404616898E-2</v>
      </c>
      <c r="R4471">
        <v>0.99736884350633903</v>
      </c>
      <c r="S4471" t="s">
        <v>11141</v>
      </c>
      <c r="T4471" t="s">
        <v>13338</v>
      </c>
      <c r="U4471" t="s">
        <v>13338</v>
      </c>
      <c r="V4471" t="s">
        <v>13338</v>
      </c>
      <c r="W4471" t="s">
        <v>17753</v>
      </c>
      <c r="X4471">
        <v>7</v>
      </c>
      <c r="Y4471" t="s">
        <v>24257</v>
      </c>
      <c r="Z4471" t="s">
        <v>30886</v>
      </c>
      <c r="AA4471">
        <v>0.26341121820279101</v>
      </c>
      <c r="AB4471" t="str">
        <f>HYPERLINK("Melting_Curves/meltCurve_Q8N1K5_THEMIS.pdf", "Melting_Curves/meltCurve_Q8N1K5_THEMIS.pdf")</f>
        <v>Melting_Curves/meltCurve_Q8N1K5_THEMIS.pdf</v>
      </c>
    </row>
    <row r="4472" spans="1:28" x14ac:dyDescent="0.25">
      <c r="A4472" t="s">
        <v>4476</v>
      </c>
      <c r="B4472">
        <v>0.99193492352474899</v>
      </c>
      <c r="C4472">
        <v>1.08678479592959</v>
      </c>
      <c r="D4472">
        <v>1.2222840320689701</v>
      </c>
      <c r="E4472">
        <v>1.6947091509513099</v>
      </c>
      <c r="F4472">
        <v>1.2082716648145</v>
      </c>
      <c r="G4472">
        <v>1.70198535819328</v>
      </c>
      <c r="H4472">
        <v>1.0970851711819301</v>
      </c>
      <c r="I4472">
        <v>0.439164370834905</v>
      </c>
      <c r="J4472">
        <v>0.365433533915551</v>
      </c>
      <c r="K4472">
        <v>0.33821597233982598</v>
      </c>
      <c r="L4472">
        <v>15000</v>
      </c>
      <c r="M4472">
        <v>236.234194350412</v>
      </c>
      <c r="N4472">
        <v>63.824897608330602</v>
      </c>
      <c r="O4472">
        <v>63.491753437912799</v>
      </c>
      <c r="P4472">
        <v>-0.60292669349974903</v>
      </c>
      <c r="Q4472">
        <v>0.351814795185314</v>
      </c>
      <c r="R4472">
        <v>0.51498489493254596</v>
      </c>
      <c r="S4472" t="s">
        <v>11142</v>
      </c>
      <c r="T4472" t="s">
        <v>13338</v>
      </c>
      <c r="U4472" t="s">
        <v>13338</v>
      </c>
      <c r="V4472" t="s">
        <v>13338</v>
      </c>
      <c r="W4472" t="s">
        <v>17754</v>
      </c>
      <c r="X4472">
        <v>1</v>
      </c>
      <c r="Y4472" t="s">
        <v>24258</v>
      </c>
      <c r="Z4472" t="s">
        <v>30887</v>
      </c>
      <c r="AA4472">
        <v>0.85956107467421294</v>
      </c>
      <c r="AB4472" t="str">
        <f>HYPERLINK("Melting_Curves/meltCurve_Q8N1S5_2_SLC39A11.pdf", "Melting_Curves/meltCurve_Q8N1S5_2_SLC39A11.pdf")</f>
        <v>Melting_Curves/meltCurve_Q8N1S5_2_SLC39A11.pdf</v>
      </c>
    </row>
    <row r="4473" spans="1:28" x14ac:dyDescent="0.25">
      <c r="A4473" t="s">
        <v>4477</v>
      </c>
      <c r="B4473">
        <v>0.99193492352474899</v>
      </c>
      <c r="C4473">
        <v>0.725964673958577</v>
      </c>
      <c r="D4473">
        <v>0.64359056484401</v>
      </c>
      <c r="E4473">
        <v>0.23815869393111999</v>
      </c>
      <c r="F4473">
        <v>0.15400260618144901</v>
      </c>
      <c r="G4473">
        <v>8.8282340459071199E-2</v>
      </c>
      <c r="H4473">
        <v>5.7176095119470097E-2</v>
      </c>
      <c r="I4473">
        <v>7.4547556487757002E-2</v>
      </c>
      <c r="J4473">
        <v>9.4813065901685006E-2</v>
      </c>
      <c r="K4473">
        <v>9.5230233469429507E-2</v>
      </c>
      <c r="L4473">
        <v>829.76575664874895</v>
      </c>
      <c r="M4473">
        <v>17.9274272423003</v>
      </c>
      <c r="N4473">
        <v>46.6700104190611</v>
      </c>
      <c r="O4473">
        <v>45.720328032019502</v>
      </c>
      <c r="P4473">
        <v>-9.1289187375676997E-2</v>
      </c>
      <c r="Q4473">
        <v>6.8787216730602799E-2</v>
      </c>
      <c r="R4473">
        <v>0.97940030240612996</v>
      </c>
      <c r="S4473" t="s">
        <v>11143</v>
      </c>
      <c r="T4473" t="s">
        <v>13338</v>
      </c>
      <c r="U4473" t="s">
        <v>13338</v>
      </c>
      <c r="V4473" t="s">
        <v>13338</v>
      </c>
      <c r="W4473" t="s">
        <v>17755</v>
      </c>
      <c r="X4473">
        <v>9</v>
      </c>
      <c r="Y4473" t="s">
        <v>24259</v>
      </c>
      <c r="Z4473" t="s">
        <v>30888</v>
      </c>
      <c r="AA4473">
        <v>0.28193895422235482</v>
      </c>
      <c r="AB4473" t="str">
        <f>HYPERLINK("Melting_Curves/meltCurve_Q8N201_INTS1.pdf", "Melting_Curves/meltCurve_Q8N201_INTS1.pdf")</f>
        <v>Melting_Curves/meltCurve_Q8N201_INTS1.pdf</v>
      </c>
    </row>
    <row r="4474" spans="1:28" x14ac:dyDescent="0.25">
      <c r="A4474" t="s">
        <v>4478</v>
      </c>
      <c r="B4474">
        <v>0.99193492352474899</v>
      </c>
      <c r="C4474">
        <v>0.85888307238780204</v>
      </c>
      <c r="D4474">
        <v>0.77256251637579199</v>
      </c>
      <c r="E4474">
        <v>0.25270568785095598</v>
      </c>
      <c r="F4474">
        <v>0.140369343098494</v>
      </c>
      <c r="G4474">
        <v>8.5192300613189706E-2</v>
      </c>
      <c r="H4474">
        <v>4.9150588011828603E-2</v>
      </c>
      <c r="I4474">
        <v>7.5804651727811603E-2</v>
      </c>
      <c r="J4474">
        <v>6.19148505882589E-2</v>
      </c>
      <c r="K4474">
        <v>6.0918894530184099E-2</v>
      </c>
      <c r="L4474">
        <v>1264.8947503878501</v>
      </c>
      <c r="M4474">
        <v>26.6359115620747</v>
      </c>
      <c r="N4474">
        <v>47.734798833019603</v>
      </c>
      <c r="O4474">
        <v>47.223094595522298</v>
      </c>
      <c r="P4474">
        <v>-0.13195271496449401</v>
      </c>
      <c r="Q4474">
        <v>6.4248667856534103E-2</v>
      </c>
      <c r="R4474">
        <v>0.98975094469142699</v>
      </c>
      <c r="S4474" t="s">
        <v>11144</v>
      </c>
      <c r="T4474" t="s">
        <v>13338</v>
      </c>
      <c r="U4474" t="s">
        <v>13338</v>
      </c>
      <c r="V4474" t="s">
        <v>13338</v>
      </c>
      <c r="W4474" t="s">
        <v>17756</v>
      </c>
      <c r="X4474">
        <v>7</v>
      </c>
      <c r="Y4474" t="s">
        <v>24260</v>
      </c>
      <c r="Z4474" t="s">
        <v>30889</v>
      </c>
      <c r="AA4474">
        <v>0.3050579336485022</v>
      </c>
      <c r="AB4474" t="str">
        <f>HYPERLINK("Melting_Curves/meltCurve_Q8N2F6_3_ARMC10.pdf", "Melting_Curves/meltCurve_Q8N2F6_3_ARMC10.pdf")</f>
        <v>Melting_Curves/meltCurve_Q8N2F6_3_ARMC10.pdf</v>
      </c>
    </row>
    <row r="4475" spans="1:28" x14ac:dyDescent="0.25">
      <c r="A4475" t="s">
        <v>4479</v>
      </c>
      <c r="B4475">
        <v>0.99193492352474899</v>
      </c>
      <c r="C4475">
        <v>1.0212176383121401</v>
      </c>
      <c r="D4475">
        <v>0.81681471422630503</v>
      </c>
      <c r="E4475">
        <v>0.47080338710684899</v>
      </c>
      <c r="F4475">
        <v>0.16250252257905701</v>
      </c>
      <c r="G4475">
        <v>5.5991494921745197E-2</v>
      </c>
      <c r="H4475">
        <v>4.0910296098476101E-2</v>
      </c>
      <c r="I4475">
        <v>6.55167930095438E-2</v>
      </c>
      <c r="J4475">
        <v>5.9782667560368499E-2</v>
      </c>
      <c r="K4475">
        <v>7.3011544240450199E-2</v>
      </c>
      <c r="L4475">
        <v>1235.41162696841</v>
      </c>
      <c r="M4475">
        <v>25.211295361259499</v>
      </c>
      <c r="N4475">
        <v>49.215703042541499</v>
      </c>
      <c r="O4475">
        <v>48.697129440701403</v>
      </c>
      <c r="P4475">
        <v>-0.122729399258572</v>
      </c>
      <c r="Q4475">
        <v>5.1775675725709902E-2</v>
      </c>
      <c r="R4475">
        <v>0.996824404411776</v>
      </c>
      <c r="S4475" t="s">
        <v>11145</v>
      </c>
      <c r="T4475" t="s">
        <v>13338</v>
      </c>
      <c r="U4475" t="s">
        <v>13338</v>
      </c>
      <c r="V4475" t="s">
        <v>13338</v>
      </c>
      <c r="W4475" t="s">
        <v>17757</v>
      </c>
      <c r="X4475">
        <v>1</v>
      </c>
      <c r="Y4475" t="s">
        <v>24261</v>
      </c>
      <c r="Z4475" t="s">
        <v>30890</v>
      </c>
      <c r="AA4475">
        <v>0.34457415977679579</v>
      </c>
      <c r="AB4475" t="str">
        <f>HYPERLINK("Melting_Curves/meltCurve_Q8N2G8_3_GHDC.pdf", "Melting_Curves/meltCurve_Q8N2G8_3_GHDC.pdf")</f>
        <v>Melting_Curves/meltCurve_Q8N2G8_3_GHDC.pdf</v>
      </c>
    </row>
    <row r="4476" spans="1:28" x14ac:dyDescent="0.25">
      <c r="A4476" t="s">
        <v>4480</v>
      </c>
      <c r="B4476">
        <v>0.99193492352474899</v>
      </c>
      <c r="C4476">
        <v>0.98574228220999505</v>
      </c>
      <c r="D4476">
        <v>0.89044561893589302</v>
      </c>
      <c r="E4476">
        <v>0.57757478959689701</v>
      </c>
      <c r="F4476">
        <v>0.24256250429124401</v>
      </c>
      <c r="G4476">
        <v>0.14343502113402101</v>
      </c>
      <c r="H4476">
        <v>9.3749152124675897E-2</v>
      </c>
      <c r="I4476">
        <v>0.106731876630926</v>
      </c>
      <c r="J4476">
        <v>0.11256492927989301</v>
      </c>
      <c r="K4476">
        <v>0.11014647431296901</v>
      </c>
      <c r="L4476">
        <v>1258.4441927666001</v>
      </c>
      <c r="M4476">
        <v>25.2866471074008</v>
      </c>
      <c r="N4476">
        <v>50.222111635168297</v>
      </c>
      <c r="O4476">
        <v>49.459037404054101</v>
      </c>
      <c r="P4476">
        <v>-0.114734004171698</v>
      </c>
      <c r="Q4476">
        <v>0.102362820778252</v>
      </c>
      <c r="R4476">
        <v>0.99951664026907305</v>
      </c>
      <c r="S4476" t="s">
        <v>11146</v>
      </c>
      <c r="T4476" t="s">
        <v>13338</v>
      </c>
      <c r="U4476" t="s">
        <v>13338</v>
      </c>
      <c r="V4476" t="s">
        <v>13338</v>
      </c>
      <c r="W4476" t="s">
        <v>17758</v>
      </c>
      <c r="X4476">
        <v>9</v>
      </c>
      <c r="Y4476" t="s">
        <v>24262</v>
      </c>
      <c r="Z4476" t="s">
        <v>30891</v>
      </c>
      <c r="AA4476">
        <v>0.40242987178432132</v>
      </c>
      <c r="AB4476" t="str">
        <f>HYPERLINK("Melting_Curves/meltCurve_Q8N2K0_ABHD12.pdf", "Melting_Curves/meltCurve_Q8N2K0_ABHD12.pdf")</f>
        <v>Melting_Curves/meltCurve_Q8N2K0_ABHD12.pdf</v>
      </c>
    </row>
    <row r="4477" spans="1:28" x14ac:dyDescent="0.25">
      <c r="A4477" t="s">
        <v>4481</v>
      </c>
      <c r="B4477">
        <v>0.99193492352474899</v>
      </c>
      <c r="C4477">
        <v>0.771497125188217</v>
      </c>
      <c r="D4477">
        <v>0.435737325303798</v>
      </c>
      <c r="E4477">
        <v>0.22937077214116899</v>
      </c>
      <c r="F4477">
        <v>0.153487684330809</v>
      </c>
      <c r="G4477">
        <v>7.1751169585932903E-2</v>
      </c>
      <c r="H4477">
        <v>5.66196977240725E-2</v>
      </c>
      <c r="I4477">
        <v>7.0908178415207995E-2</v>
      </c>
      <c r="J4477">
        <v>0.100454438056802</v>
      </c>
      <c r="K4477">
        <v>8.0153903166375301E-2</v>
      </c>
      <c r="L4477">
        <v>956.20073909187101</v>
      </c>
      <c r="M4477">
        <v>21.148569768484201</v>
      </c>
      <c r="N4477">
        <v>45.594750582283403</v>
      </c>
      <c r="O4477">
        <v>44.815062824014397</v>
      </c>
      <c r="P4477">
        <v>-0.10841800005305099</v>
      </c>
      <c r="Q4477">
        <v>8.1047537659148003E-2</v>
      </c>
      <c r="R4477">
        <v>0.99356826815785704</v>
      </c>
      <c r="S4477" t="s">
        <v>11147</v>
      </c>
      <c r="T4477" t="s">
        <v>13338</v>
      </c>
      <c r="U4477" t="s">
        <v>13338</v>
      </c>
      <c r="V4477" t="s">
        <v>13338</v>
      </c>
      <c r="W4477" t="s">
        <v>17759</v>
      </c>
      <c r="X4477">
        <v>5</v>
      </c>
      <c r="Y4477" t="s">
        <v>24263</v>
      </c>
      <c r="Z4477" t="s">
        <v>30892</v>
      </c>
      <c r="AA4477">
        <v>0.25408603953281761</v>
      </c>
      <c r="AB4477" t="str">
        <f>HYPERLINK("Melting_Curves/meltCurve_Q8N2W9_PIAS4.pdf", "Melting_Curves/meltCurve_Q8N2W9_PIAS4.pdf")</f>
        <v>Melting_Curves/meltCurve_Q8N2W9_PIAS4.pdf</v>
      </c>
    </row>
    <row r="4478" spans="1:28" x14ac:dyDescent="0.25">
      <c r="A4478" t="s">
        <v>4482</v>
      </c>
      <c r="B4478">
        <v>0.99193492352474899</v>
      </c>
      <c r="C4478">
        <v>0.83514446685083998</v>
      </c>
      <c r="D4478">
        <v>0.89949804455886095</v>
      </c>
      <c r="E4478">
        <v>0.79165931679532997</v>
      </c>
      <c r="F4478">
        <v>0.30867170797819099</v>
      </c>
      <c r="G4478">
        <v>0.15112845349708001</v>
      </c>
      <c r="H4478">
        <v>6.8387970486965197E-2</v>
      </c>
      <c r="I4478">
        <v>8.3638185485516298E-2</v>
      </c>
      <c r="J4478">
        <v>0.113738524011308</v>
      </c>
      <c r="K4478">
        <v>0.14694347808521499</v>
      </c>
      <c r="L4478">
        <v>1557.4593053610499</v>
      </c>
      <c r="M4478">
        <v>30.375402849471499</v>
      </c>
      <c r="N4478">
        <v>51.654394713824601</v>
      </c>
      <c r="O4478">
        <v>51.053008135540502</v>
      </c>
      <c r="P4478">
        <v>-0.133827742462715</v>
      </c>
      <c r="Q4478">
        <v>0.100289601300644</v>
      </c>
      <c r="R4478">
        <v>0.97246088067873204</v>
      </c>
      <c r="S4478" t="s">
        <v>11148</v>
      </c>
      <c r="T4478" t="s">
        <v>13338</v>
      </c>
      <c r="U4478" t="s">
        <v>13338</v>
      </c>
      <c r="V4478" t="s">
        <v>13338</v>
      </c>
      <c r="W4478" t="s">
        <v>17760</v>
      </c>
      <c r="X4478">
        <v>4</v>
      </c>
      <c r="Y4478" t="s">
        <v>24264</v>
      </c>
      <c r="Z4478" t="s">
        <v>30893</v>
      </c>
      <c r="AA4478">
        <v>0.44393455220723171</v>
      </c>
      <c r="AB4478" t="str">
        <f>HYPERLINK("Melting_Curves/meltCurve_Q8N2Z9_APITD1.pdf", "Melting_Curves/meltCurve_Q8N2Z9_APITD1.pdf")</f>
        <v>Melting_Curves/meltCurve_Q8N2Z9_APITD1.pdf</v>
      </c>
    </row>
    <row r="4479" spans="1:28" x14ac:dyDescent="0.25">
      <c r="A4479" t="s">
        <v>4483</v>
      </c>
      <c r="B4479">
        <v>0.99193492352474899</v>
      </c>
      <c r="C4479">
        <v>0.76055089870422599</v>
      </c>
      <c r="D4479">
        <v>0.87944471093036003</v>
      </c>
      <c r="E4479">
        <v>0.853650736883802</v>
      </c>
      <c r="F4479">
        <v>0.75219445957782805</v>
      </c>
      <c r="G4479">
        <v>0.59528149432728705</v>
      </c>
      <c r="H4479">
        <v>0.53822242712244095</v>
      </c>
      <c r="I4479">
        <v>0.612268084214589</v>
      </c>
      <c r="J4479">
        <v>0.69839742496523405</v>
      </c>
      <c r="K4479">
        <v>0.99190018778656996</v>
      </c>
      <c r="L4479">
        <v>559.19326896278596</v>
      </c>
      <c r="M4479">
        <v>12.598917103023499</v>
      </c>
      <c r="O4479">
        <v>43.310566592517603</v>
      </c>
      <c r="P4479">
        <v>-2.1861440642515099E-2</v>
      </c>
      <c r="Q4479">
        <v>0.69945264741297697</v>
      </c>
      <c r="R4479">
        <v>0.28147243009640299</v>
      </c>
      <c r="S4479" t="s">
        <v>11149</v>
      </c>
      <c r="T4479" t="s">
        <v>13338</v>
      </c>
      <c r="U4479" t="s">
        <v>13338</v>
      </c>
      <c r="V4479" t="s">
        <v>13338</v>
      </c>
      <c r="W4479" t="s">
        <v>17761</v>
      </c>
      <c r="X4479">
        <v>2</v>
      </c>
      <c r="Y4479" t="s">
        <v>24265</v>
      </c>
      <c r="Z4479" t="s">
        <v>30894</v>
      </c>
      <c r="AA4479">
        <v>0.75800616354937156</v>
      </c>
      <c r="AB4479" t="str">
        <f>HYPERLINK("Melting_Curves/meltCurve_Q8N300_CCDC23.pdf", "Melting_Curves/meltCurve_Q8N300_CCDC23.pdf")</f>
        <v>Melting_Curves/meltCurve_Q8N300_CCDC23.pdf</v>
      </c>
    </row>
    <row r="4480" spans="1:28" x14ac:dyDescent="0.25">
      <c r="A4480" t="s">
        <v>4484</v>
      </c>
      <c r="B4480">
        <v>0.99193492352474899</v>
      </c>
      <c r="C4480">
        <v>0.91029672292396702</v>
      </c>
      <c r="D4480">
        <v>0.92638103096907398</v>
      </c>
      <c r="E4480">
        <v>0.45153646336400199</v>
      </c>
      <c r="F4480">
        <v>0.27115973681759298</v>
      </c>
      <c r="G4480">
        <v>0.15242956263259599</v>
      </c>
      <c r="H4480">
        <v>0.114856419948851</v>
      </c>
      <c r="I4480">
        <v>0.14505231204011501</v>
      </c>
      <c r="J4480">
        <v>0.15727496150492601</v>
      </c>
      <c r="K4480">
        <v>0.186144295410342</v>
      </c>
      <c r="L4480">
        <v>1464.10948956978</v>
      </c>
      <c r="M4480">
        <v>29.9814769035311</v>
      </c>
      <c r="N4480">
        <v>49.443621485895598</v>
      </c>
      <c r="O4480">
        <v>48.618070749640196</v>
      </c>
      <c r="P4480">
        <v>-0.13034129604837899</v>
      </c>
      <c r="Q4480">
        <v>0.15455749328803201</v>
      </c>
      <c r="R4480">
        <v>0.98835008339297503</v>
      </c>
      <c r="S4480" t="s">
        <v>11150</v>
      </c>
      <c r="T4480" t="s">
        <v>13338</v>
      </c>
      <c r="U4480" t="s">
        <v>13338</v>
      </c>
      <c r="V4480" t="s">
        <v>13338</v>
      </c>
      <c r="W4480" t="s">
        <v>17762</v>
      </c>
      <c r="X4480">
        <v>4</v>
      </c>
      <c r="Y4480" t="s">
        <v>24266</v>
      </c>
      <c r="Z4480" t="s">
        <v>30895</v>
      </c>
      <c r="AA4480">
        <v>0.4086504323062467</v>
      </c>
      <c r="AB4480" t="str">
        <f>HYPERLINK("Melting_Curves/meltCurve_Q8N302_AGGF1.pdf", "Melting_Curves/meltCurve_Q8N302_AGGF1.pdf")</f>
        <v>Melting_Curves/meltCurve_Q8N302_AGGF1.pdf</v>
      </c>
    </row>
    <row r="4481" spans="1:28" x14ac:dyDescent="0.25">
      <c r="A4481" t="s">
        <v>4485</v>
      </c>
      <c r="B4481">
        <v>0.99193492352474899</v>
      </c>
      <c r="C4481">
        <v>0.79252877064136495</v>
      </c>
      <c r="D4481">
        <v>0.88860647922968705</v>
      </c>
      <c r="E4481">
        <v>0.71820767236684002</v>
      </c>
      <c r="F4481">
        <v>0.67235671507711103</v>
      </c>
      <c r="G4481">
        <v>0.232527434033517</v>
      </c>
      <c r="H4481">
        <v>6.07562008642979E-2</v>
      </c>
      <c r="I4481">
        <v>7.7168571942283506E-2</v>
      </c>
      <c r="J4481">
        <v>0.104416384129177</v>
      </c>
      <c r="K4481">
        <v>6.2076626941108902E-2</v>
      </c>
      <c r="L4481">
        <v>754.19734560797099</v>
      </c>
      <c r="M4481">
        <v>14.1004782006834</v>
      </c>
      <c r="N4481">
        <v>53.487361669340899</v>
      </c>
      <c r="O4481">
        <v>52.446025056072401</v>
      </c>
      <c r="P4481">
        <v>-6.72228862916395E-2</v>
      </c>
      <c r="Q4481">
        <v>0</v>
      </c>
      <c r="R4481">
        <v>0.94431898547467896</v>
      </c>
      <c r="S4481" t="s">
        <v>11151</v>
      </c>
      <c r="T4481" t="s">
        <v>13338</v>
      </c>
      <c r="U4481" t="s">
        <v>13338</v>
      </c>
      <c r="V4481" t="s">
        <v>13338</v>
      </c>
      <c r="W4481" t="s">
        <v>17763</v>
      </c>
      <c r="X4481">
        <v>15</v>
      </c>
      <c r="Y4481" t="s">
        <v>24267</v>
      </c>
      <c r="Z4481" t="s">
        <v>30896</v>
      </c>
      <c r="AA4481">
        <v>0.47236819715966571</v>
      </c>
      <c r="AB4481" t="str">
        <f>HYPERLINK("Melting_Curves/meltCurve_Q8N335_GPD1L.pdf", "Melting_Curves/meltCurve_Q8N335_GPD1L.pdf")</f>
        <v>Melting_Curves/meltCurve_Q8N335_GPD1L.pdf</v>
      </c>
    </row>
    <row r="4482" spans="1:28" x14ac:dyDescent="0.25">
      <c r="A4482" t="s">
        <v>4486</v>
      </c>
      <c r="B4482">
        <v>0.99193492352474899</v>
      </c>
      <c r="C4482">
        <v>0.77315006506971395</v>
      </c>
      <c r="D4482">
        <v>0.65505493943785098</v>
      </c>
      <c r="E4482">
        <v>0.37220288690616199</v>
      </c>
      <c r="F4482">
        <v>0.27985819945029</v>
      </c>
      <c r="G4482">
        <v>0.235547667274252</v>
      </c>
      <c r="H4482">
        <v>0.19123724324143401</v>
      </c>
      <c r="I4482">
        <v>0.245524979366368</v>
      </c>
      <c r="J4482">
        <v>0.30077226294292803</v>
      </c>
      <c r="K4482">
        <v>0.28798122091978601</v>
      </c>
      <c r="L4482">
        <v>873.20890807046601</v>
      </c>
      <c r="M4482">
        <v>19.073463014976799</v>
      </c>
      <c r="N4482">
        <v>47.450093569924498</v>
      </c>
      <c r="O4482">
        <v>45.287014549103503</v>
      </c>
      <c r="P4482">
        <v>-7.9567612426614004E-2</v>
      </c>
      <c r="Q4482">
        <v>0.244345297471143</v>
      </c>
      <c r="R4482">
        <v>0.97441293801259599</v>
      </c>
      <c r="S4482" t="s">
        <v>11152</v>
      </c>
      <c r="T4482" t="s">
        <v>13338</v>
      </c>
      <c r="U4482" t="s">
        <v>13338</v>
      </c>
      <c r="V4482" t="s">
        <v>13338</v>
      </c>
      <c r="W4482" t="s">
        <v>17764</v>
      </c>
      <c r="X4482">
        <v>1</v>
      </c>
      <c r="Y4482" t="s">
        <v>24268</v>
      </c>
      <c r="Z4482" t="s">
        <v>30897</v>
      </c>
      <c r="AA4482">
        <v>0.40320760182664078</v>
      </c>
      <c r="AB4482" t="str">
        <f>HYPERLINK("Melting_Curves/meltCurve_Q8N344_MIER2.pdf", "Melting_Curves/meltCurve_Q8N344_MIER2.pdf")</f>
        <v>Melting_Curves/meltCurve_Q8N344_MIER2.pdf</v>
      </c>
    </row>
    <row r="4483" spans="1:28" x14ac:dyDescent="0.25">
      <c r="A4483" t="s">
        <v>4487</v>
      </c>
      <c r="B4483">
        <v>0.99193492352474899</v>
      </c>
      <c r="C4483">
        <v>1.1774242924712099</v>
      </c>
      <c r="D4483">
        <v>1.0894242571164201</v>
      </c>
      <c r="E4483">
        <v>0.94800509575921399</v>
      </c>
      <c r="F4483">
        <v>0.73404564100296799</v>
      </c>
      <c r="G4483">
        <v>0.71387437750896998</v>
      </c>
      <c r="H4483">
        <v>0.34745536208790001</v>
      </c>
      <c r="I4483">
        <v>0.367863874227079</v>
      </c>
      <c r="J4483">
        <v>0.190827186677097</v>
      </c>
      <c r="K4483">
        <v>0</v>
      </c>
      <c r="L4483">
        <v>831.92306262423006</v>
      </c>
      <c r="M4483">
        <v>14.0193353696852</v>
      </c>
      <c r="N4483">
        <v>59.341120206492597</v>
      </c>
      <c r="O4483">
        <v>58.172845992658601</v>
      </c>
      <c r="P4483">
        <v>-6.0256555081992798E-2</v>
      </c>
      <c r="Q4483">
        <v>0</v>
      </c>
      <c r="R4483">
        <v>0.942544640911958</v>
      </c>
      <c r="S4483" t="s">
        <v>11153</v>
      </c>
      <c r="T4483" t="s">
        <v>13338</v>
      </c>
      <c r="U4483" t="s">
        <v>13338</v>
      </c>
      <c r="V4483" t="s">
        <v>13338</v>
      </c>
      <c r="W4483" t="s">
        <v>17765</v>
      </c>
      <c r="X4483">
        <v>1</v>
      </c>
      <c r="Y4483" t="s">
        <v>24269</v>
      </c>
      <c r="Z4483" t="s">
        <v>30898</v>
      </c>
      <c r="AA4483">
        <v>0.65339411381286527</v>
      </c>
      <c r="AB4483" t="str">
        <f>HYPERLINK("Melting_Curves/meltCurve_Q8N357_SLC35F6.pdf", "Melting_Curves/meltCurve_Q8N357_SLC35F6.pdf")</f>
        <v>Melting_Curves/meltCurve_Q8N357_SLC35F6.pdf</v>
      </c>
    </row>
    <row r="4484" spans="1:28" x14ac:dyDescent="0.25">
      <c r="A4484" t="s">
        <v>4488</v>
      </c>
      <c r="B4484">
        <v>0.99193492352474899</v>
      </c>
      <c r="C4484">
        <v>0.90814085637215003</v>
      </c>
      <c r="D4484">
        <v>0.92826250168374802</v>
      </c>
      <c r="E4484">
        <v>0.59905210202914905</v>
      </c>
      <c r="F4484">
        <v>0.37857504305117301</v>
      </c>
      <c r="G4484">
        <v>0.14160031016570801</v>
      </c>
      <c r="H4484">
        <v>6.4858046512944897E-2</v>
      </c>
      <c r="I4484">
        <v>8.1063522351048606E-2</v>
      </c>
      <c r="J4484">
        <v>0.12850207264581401</v>
      </c>
      <c r="K4484">
        <v>0.13830523928039101</v>
      </c>
      <c r="L4484">
        <v>1032.51093642556</v>
      </c>
      <c r="M4484">
        <v>20.4431558876346</v>
      </c>
      <c r="N4484">
        <v>51.003968146008901</v>
      </c>
      <c r="O4484">
        <v>50.0306042254524</v>
      </c>
      <c r="P4484">
        <v>-9.2921751260112401E-2</v>
      </c>
      <c r="Q4484">
        <v>9.0396310740486194E-2</v>
      </c>
      <c r="R4484">
        <v>0.98735840582109402</v>
      </c>
      <c r="S4484" t="s">
        <v>11154</v>
      </c>
      <c r="T4484" t="s">
        <v>13338</v>
      </c>
      <c r="U4484" t="s">
        <v>13338</v>
      </c>
      <c r="V4484" t="s">
        <v>13338</v>
      </c>
      <c r="W4484" t="s">
        <v>17766</v>
      </c>
      <c r="X4484">
        <v>3</v>
      </c>
      <c r="Y4484" t="s">
        <v>24270</v>
      </c>
      <c r="Z4484" t="s">
        <v>30899</v>
      </c>
      <c r="AA4484">
        <v>0.42107530031889018</v>
      </c>
      <c r="AB4484" t="str">
        <f>HYPERLINK("Melting_Curves/meltCurve_Q8N371_KDM8.pdf", "Melting_Curves/meltCurve_Q8N371_KDM8.pdf")</f>
        <v>Melting_Curves/meltCurve_Q8N371_KDM8.pdf</v>
      </c>
    </row>
    <row r="4485" spans="1:28" x14ac:dyDescent="0.25">
      <c r="A4485" t="s">
        <v>4489</v>
      </c>
      <c r="B4485">
        <v>0.99193492352474899</v>
      </c>
      <c r="C4485">
        <v>0.96239759378741496</v>
      </c>
      <c r="D4485">
        <v>0.60272518550882004</v>
      </c>
      <c r="E4485">
        <v>0.28040132017451402</v>
      </c>
      <c r="F4485">
        <v>0.188382156707112</v>
      </c>
      <c r="G4485">
        <v>0.12246196684178</v>
      </c>
      <c r="H4485">
        <v>6.5947670419323701E-2</v>
      </c>
      <c r="I4485">
        <v>7.1009686939325994E-2</v>
      </c>
      <c r="J4485">
        <v>8.3069458084158707E-2</v>
      </c>
      <c r="K4485">
        <v>7.9657322194463406E-2</v>
      </c>
      <c r="L4485">
        <v>1112.1583777793901</v>
      </c>
      <c r="M4485">
        <v>23.7602736196562</v>
      </c>
      <c r="N4485">
        <v>47.194949686534102</v>
      </c>
      <c r="O4485">
        <v>46.479693407758297</v>
      </c>
      <c r="P4485">
        <v>-0.116476461512823</v>
      </c>
      <c r="Q4485">
        <v>8.8613000916506202E-2</v>
      </c>
      <c r="R4485">
        <v>0.99305168037969904</v>
      </c>
      <c r="S4485" t="s">
        <v>11155</v>
      </c>
      <c r="T4485" t="s">
        <v>13338</v>
      </c>
      <c r="U4485" t="s">
        <v>13338</v>
      </c>
      <c r="V4485" t="s">
        <v>13338</v>
      </c>
      <c r="W4485" t="s">
        <v>17767</v>
      </c>
      <c r="X4485">
        <v>7</v>
      </c>
      <c r="Y4485" t="s">
        <v>24271</v>
      </c>
      <c r="Z4485" t="s">
        <v>30900</v>
      </c>
      <c r="AA4485">
        <v>0.3045738663227755</v>
      </c>
      <c r="AB4485" t="str">
        <f>HYPERLINK("Melting_Curves/meltCurve_Q8N3D4_EHBP1L1.pdf", "Melting_Curves/meltCurve_Q8N3D4_EHBP1L1.pdf")</f>
        <v>Melting_Curves/meltCurve_Q8N3D4_EHBP1L1.pdf</v>
      </c>
    </row>
    <row r="4486" spans="1:28" x14ac:dyDescent="0.25">
      <c r="A4486" t="s">
        <v>4490</v>
      </c>
      <c r="B4486">
        <v>0.99193492352474899</v>
      </c>
      <c r="C4486">
        <v>0.88947979577016301</v>
      </c>
      <c r="D4486">
        <v>0.79642609993965396</v>
      </c>
      <c r="E4486">
        <v>0.37864926172422098</v>
      </c>
      <c r="F4486">
        <v>0.19966434805403499</v>
      </c>
      <c r="G4486">
        <v>0.12266086751367999</v>
      </c>
      <c r="H4486">
        <v>9.8619034113241896E-2</v>
      </c>
      <c r="I4486">
        <v>0.10439734848440101</v>
      </c>
      <c r="J4486">
        <v>0.113838676129229</v>
      </c>
      <c r="K4486">
        <v>0.15173636720613301</v>
      </c>
      <c r="L4486">
        <v>1133.48925828447</v>
      </c>
      <c r="M4486">
        <v>23.621940870818801</v>
      </c>
      <c r="N4486">
        <v>48.506872160556902</v>
      </c>
      <c r="O4486">
        <v>47.644670319866101</v>
      </c>
      <c r="P4486">
        <v>-0.11003281512607101</v>
      </c>
      <c r="Q4486">
        <v>0.11228480583731</v>
      </c>
      <c r="R4486">
        <v>0.99409471010211403</v>
      </c>
      <c r="S4486" t="s">
        <v>11156</v>
      </c>
      <c r="T4486" t="s">
        <v>13338</v>
      </c>
      <c r="U4486" t="s">
        <v>13338</v>
      </c>
      <c r="V4486" t="s">
        <v>13338</v>
      </c>
      <c r="W4486" t="s">
        <v>17768</v>
      </c>
      <c r="X4486">
        <v>5</v>
      </c>
      <c r="Y4486" t="s">
        <v>24272</v>
      </c>
      <c r="Z4486" t="s">
        <v>30901</v>
      </c>
      <c r="AA4486">
        <v>0.35740570159472462</v>
      </c>
      <c r="AB4486" t="str">
        <f>HYPERLINK("Melting_Curves/meltCurve_Q8N3F8_MICALL1.pdf", "Melting_Curves/meltCurve_Q8N3F8_MICALL1.pdf")</f>
        <v>Melting_Curves/meltCurve_Q8N3F8_MICALL1.pdf</v>
      </c>
    </row>
    <row r="4487" spans="1:28" x14ac:dyDescent="0.25">
      <c r="A4487" t="s">
        <v>4491</v>
      </c>
      <c r="B4487">
        <v>0.99193492352474899</v>
      </c>
      <c r="C4487">
        <v>0.64105256434222702</v>
      </c>
      <c r="D4487">
        <v>0.88686980251554504</v>
      </c>
      <c r="E4487">
        <v>0.615240291036389</v>
      </c>
      <c r="F4487">
        <v>0.65534621434068796</v>
      </c>
      <c r="G4487">
        <v>0.42964986039765402</v>
      </c>
      <c r="H4487">
        <v>0.364102348390686</v>
      </c>
      <c r="I4487">
        <v>0.41758244324572902</v>
      </c>
      <c r="J4487">
        <v>0.54405530726560303</v>
      </c>
      <c r="K4487">
        <v>0.56315252632945501</v>
      </c>
      <c r="L4487">
        <v>488.72646584545402</v>
      </c>
      <c r="M4487">
        <v>10.5161305187212</v>
      </c>
      <c r="N4487">
        <v>59.237054024742598</v>
      </c>
      <c r="O4487">
        <v>44.887826529665297</v>
      </c>
      <c r="P4487">
        <v>-3.2335694742328697E-2</v>
      </c>
      <c r="Q4487">
        <v>0.44812540577408699</v>
      </c>
      <c r="R4487">
        <v>0.67276122184811304</v>
      </c>
      <c r="S4487" t="s">
        <v>11157</v>
      </c>
      <c r="T4487" t="s">
        <v>13338</v>
      </c>
      <c r="U4487" t="s">
        <v>13338</v>
      </c>
      <c r="V4487" t="s">
        <v>13338</v>
      </c>
      <c r="W4487" t="s">
        <v>17769</v>
      </c>
      <c r="X4487">
        <v>16</v>
      </c>
      <c r="Y4487" t="s">
        <v>24273</v>
      </c>
      <c r="Z4487" t="s">
        <v>30902</v>
      </c>
      <c r="AA4487">
        <v>0.59770961564071257</v>
      </c>
      <c r="AB4487" t="str">
        <f>HYPERLINK("Melting_Curves/meltCurve_Q8N3X1_FNBP4.pdf", "Melting_Curves/meltCurve_Q8N3X1_FNBP4.pdf")</f>
        <v>Melting_Curves/meltCurve_Q8N3X1_FNBP4.pdf</v>
      </c>
    </row>
    <row r="4488" spans="1:28" x14ac:dyDescent="0.25">
      <c r="A4488" t="s">
        <v>4492</v>
      </c>
      <c r="B4488">
        <v>0.99193492352474899</v>
      </c>
      <c r="C4488">
        <v>0.60130415705282103</v>
      </c>
      <c r="D4488">
        <v>0.240190696287995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1237.6832094238</v>
      </c>
      <c r="M4488">
        <v>28.282759752699</v>
      </c>
      <c r="N4488">
        <v>43.761048071547101</v>
      </c>
      <c r="O4488">
        <v>43.544026032364499</v>
      </c>
      <c r="P4488">
        <v>-0.16238159034517799</v>
      </c>
      <c r="Q4488">
        <v>0</v>
      </c>
      <c r="R4488">
        <v>0.99307805942680305</v>
      </c>
      <c r="S4488" t="s">
        <v>11158</v>
      </c>
      <c r="T4488" t="s">
        <v>13338</v>
      </c>
      <c r="U4488" t="s">
        <v>13338</v>
      </c>
      <c r="V4488" t="s">
        <v>13338</v>
      </c>
      <c r="W4488" t="s">
        <v>17770</v>
      </c>
      <c r="X4488">
        <v>4</v>
      </c>
      <c r="Y4488" t="s">
        <v>24274</v>
      </c>
      <c r="Z4488" t="s">
        <v>30903</v>
      </c>
      <c r="AA4488">
        <v>0.13421215881844231</v>
      </c>
      <c r="AB4488" t="str">
        <f>HYPERLINK("Melting_Curves/meltCurve_Q8N3Z3_GTPBP8.pdf", "Melting_Curves/meltCurve_Q8N3Z3_GTPBP8.pdf")</f>
        <v>Melting_Curves/meltCurve_Q8N3Z3_GTPBP8.pdf</v>
      </c>
    </row>
    <row r="4489" spans="1:28" x14ac:dyDescent="0.25">
      <c r="A4489" t="s">
        <v>4493</v>
      </c>
      <c r="B4489">
        <v>0.99193492352474899</v>
      </c>
      <c r="C4489">
        <v>0.53422151956875397</v>
      </c>
      <c r="D4489">
        <v>0.90973875171299701</v>
      </c>
      <c r="E4489">
        <v>0.30727247932478102</v>
      </c>
      <c r="F4489">
        <v>0.24833697338445801</v>
      </c>
      <c r="G4489">
        <v>8.5404040283206001E-2</v>
      </c>
      <c r="H4489">
        <v>4.5949212681711898E-2</v>
      </c>
      <c r="I4489">
        <v>2.3760577292143301E-2</v>
      </c>
      <c r="J4489">
        <v>5.8791841915962199E-2</v>
      </c>
      <c r="K4489">
        <v>3.2780838267405799E-2</v>
      </c>
      <c r="L4489">
        <v>599.62110621741601</v>
      </c>
      <c r="M4489">
        <v>12.4784373733393</v>
      </c>
      <c r="N4489">
        <v>48.052579920148197</v>
      </c>
      <c r="O4489">
        <v>46.868574916977799</v>
      </c>
      <c r="P4489">
        <v>-6.65746097275354E-2</v>
      </c>
      <c r="Q4489">
        <v>0</v>
      </c>
      <c r="R4489">
        <v>0.85793570294438604</v>
      </c>
      <c r="S4489" t="s">
        <v>11159</v>
      </c>
      <c r="T4489" t="s">
        <v>13338</v>
      </c>
      <c r="U4489" t="s">
        <v>13338</v>
      </c>
      <c r="V4489" t="s">
        <v>13338</v>
      </c>
      <c r="W4489" t="s">
        <v>17771</v>
      </c>
      <c r="X4489">
        <v>1</v>
      </c>
      <c r="Y4489" t="s">
        <v>24275</v>
      </c>
      <c r="Z4489" t="s">
        <v>30904</v>
      </c>
      <c r="AA4489">
        <v>0.3047909259807241</v>
      </c>
      <c r="AB4489" t="str">
        <f>HYPERLINK("Melting_Curves/meltCurve_Q8N442_GUF1.pdf", "Melting_Curves/meltCurve_Q8N442_GUF1.pdf")</f>
        <v>Melting_Curves/meltCurve_Q8N442_GUF1.pdf</v>
      </c>
    </row>
    <row r="4490" spans="1:28" x14ac:dyDescent="0.25">
      <c r="A4490" t="s">
        <v>4494</v>
      </c>
      <c r="B4490">
        <v>0.99193492352474899</v>
      </c>
      <c r="C4490">
        <v>1.1894270437891299</v>
      </c>
      <c r="D4490">
        <v>0.89141307005648796</v>
      </c>
      <c r="E4490">
        <v>0.79592632421047305</v>
      </c>
      <c r="F4490">
        <v>0.61511194625857202</v>
      </c>
      <c r="G4490">
        <v>0.316496456453424</v>
      </c>
      <c r="H4490">
        <v>8.38433236903941E-2</v>
      </c>
      <c r="I4490">
        <v>0</v>
      </c>
      <c r="J4490">
        <v>2.2701807158196498E-2</v>
      </c>
      <c r="K4490">
        <v>4.0949239505015902E-2</v>
      </c>
      <c r="L4490">
        <v>1005.28989978262</v>
      </c>
      <c r="M4490">
        <v>18.573087651199899</v>
      </c>
      <c r="N4490">
        <v>54.126159397877601</v>
      </c>
      <c r="O4490">
        <v>53.510401184128597</v>
      </c>
      <c r="P4490">
        <v>-8.6777042042366803E-2</v>
      </c>
      <c r="Q4490">
        <v>0</v>
      </c>
      <c r="R4490">
        <v>0.97168917686149303</v>
      </c>
      <c r="S4490" t="s">
        <v>11160</v>
      </c>
      <c r="T4490" t="s">
        <v>13338</v>
      </c>
      <c r="U4490" t="s">
        <v>13338</v>
      </c>
      <c r="V4490" t="s">
        <v>13338</v>
      </c>
      <c r="W4490" t="s">
        <v>17772</v>
      </c>
      <c r="X4490">
        <v>1</v>
      </c>
      <c r="Y4490" t="s">
        <v>24276</v>
      </c>
      <c r="Z4490" t="s">
        <v>30905</v>
      </c>
      <c r="AA4490">
        <v>0.48608806129964049</v>
      </c>
      <c r="AB4490" t="str">
        <f>HYPERLINK("Melting_Curves/meltCurve_Q8N465_D2HGDH.pdf", "Melting_Curves/meltCurve_Q8N465_D2HGDH.pdf")</f>
        <v>Melting_Curves/meltCurve_Q8N465_D2HGDH.pdf</v>
      </c>
    </row>
    <row r="4491" spans="1:28" x14ac:dyDescent="0.25">
      <c r="A4491" t="s">
        <v>4495</v>
      </c>
      <c r="B4491">
        <v>0.99193492352474899</v>
      </c>
      <c r="C4491">
        <v>0.76869744967724096</v>
      </c>
      <c r="D4491">
        <v>0.83721640794052399</v>
      </c>
      <c r="E4491">
        <v>0.61132842603725501</v>
      </c>
      <c r="F4491">
        <v>0.45973737335805298</v>
      </c>
      <c r="G4491">
        <v>0.31323211370256898</v>
      </c>
      <c r="H4491">
        <v>0.27212694462366599</v>
      </c>
      <c r="I4491">
        <v>0.35040233960681699</v>
      </c>
      <c r="J4491">
        <v>0.436997431574499</v>
      </c>
      <c r="K4491">
        <v>0.52035339046917095</v>
      </c>
      <c r="L4491">
        <v>764.50366034994602</v>
      </c>
      <c r="M4491">
        <v>16.1255293899594</v>
      </c>
      <c r="N4491">
        <v>51.748986858656899</v>
      </c>
      <c r="O4491">
        <v>46.698422894201101</v>
      </c>
      <c r="P4491">
        <v>-5.4333174941458999E-2</v>
      </c>
      <c r="Q4491">
        <v>0.37066764625342002</v>
      </c>
      <c r="R4491">
        <v>0.85808258205821897</v>
      </c>
      <c r="S4491" t="s">
        <v>11161</v>
      </c>
      <c r="T4491" t="s">
        <v>13338</v>
      </c>
      <c r="U4491" t="s">
        <v>13338</v>
      </c>
      <c r="V4491" t="s">
        <v>13338</v>
      </c>
      <c r="W4491" t="s">
        <v>17773</v>
      </c>
      <c r="X4491">
        <v>4</v>
      </c>
      <c r="Y4491" t="s">
        <v>24277</v>
      </c>
      <c r="Z4491" t="s">
        <v>30906</v>
      </c>
      <c r="AA4491">
        <v>0.54048687443468924</v>
      </c>
      <c r="AB4491" t="str">
        <f>HYPERLINK("Melting_Curves/meltCurve_Q8N488_RYBP.pdf", "Melting_Curves/meltCurve_Q8N488_RYBP.pdf")</f>
        <v>Melting_Curves/meltCurve_Q8N488_RYBP.pdf</v>
      </c>
    </row>
    <row r="4492" spans="1:28" x14ac:dyDescent="0.25">
      <c r="A4492" t="s">
        <v>4496</v>
      </c>
      <c r="B4492">
        <v>0.99193492352474899</v>
      </c>
      <c r="C4492">
        <v>0.95568939328987201</v>
      </c>
      <c r="D4492">
        <v>0.97197129325395204</v>
      </c>
      <c r="E4492">
        <v>0.66048603352503199</v>
      </c>
      <c r="F4492">
        <v>0.53813259144263503</v>
      </c>
      <c r="G4492">
        <v>0.24708271106759699</v>
      </c>
      <c r="H4492">
        <v>0.28369914322537798</v>
      </c>
      <c r="I4492">
        <v>0.24458234310139601</v>
      </c>
      <c r="J4492">
        <v>0.268665090527064</v>
      </c>
      <c r="K4492">
        <v>0.32907127240025802</v>
      </c>
      <c r="L4492">
        <v>1103.66888498975</v>
      </c>
      <c r="M4492">
        <v>21.8011394793823</v>
      </c>
      <c r="N4492">
        <v>52.451991142564403</v>
      </c>
      <c r="O4492">
        <v>50.204197513171103</v>
      </c>
      <c r="P4492">
        <v>-7.96778751511662E-2</v>
      </c>
      <c r="Q4492">
        <v>0.26608034217092302</v>
      </c>
      <c r="R4492">
        <v>0.97428550407797399</v>
      </c>
      <c r="S4492" t="s">
        <v>11162</v>
      </c>
      <c r="T4492" t="s">
        <v>13338</v>
      </c>
      <c r="U4492" t="s">
        <v>13338</v>
      </c>
      <c r="V4492" t="s">
        <v>13338</v>
      </c>
      <c r="W4492" t="s">
        <v>17774</v>
      </c>
      <c r="X4492">
        <v>2</v>
      </c>
      <c r="Y4492" t="s">
        <v>24278</v>
      </c>
      <c r="Z4492" t="s">
        <v>30907</v>
      </c>
      <c r="AA4492">
        <v>0.53463489220845972</v>
      </c>
      <c r="AB4492" t="str">
        <f>HYPERLINK("Melting_Curves/meltCurve_Q8N490_PNKD.pdf", "Melting_Curves/meltCurve_Q8N490_PNKD.pdf")</f>
        <v>Melting_Curves/meltCurve_Q8N490_PNKD.pdf</v>
      </c>
    </row>
    <row r="4493" spans="1:28" x14ac:dyDescent="0.25">
      <c r="A4493" t="s">
        <v>4497</v>
      </c>
      <c r="B4493">
        <v>0.99193492352474899</v>
      </c>
      <c r="C4493">
        <v>0.99132854975481299</v>
      </c>
      <c r="D4493">
        <v>0.98435907856733396</v>
      </c>
      <c r="E4493">
        <v>0.85249972360443604</v>
      </c>
      <c r="F4493">
        <v>0.56610387677176299</v>
      </c>
      <c r="G4493">
        <v>0.376781692566793</v>
      </c>
      <c r="H4493">
        <v>0.258796991188394</v>
      </c>
      <c r="I4493">
        <v>0.39852700300170801</v>
      </c>
      <c r="J4493">
        <v>0.38433226070385601</v>
      </c>
      <c r="K4493">
        <v>0.28151608305367398</v>
      </c>
      <c r="L4493">
        <v>1484.09517625942</v>
      </c>
      <c r="M4493">
        <v>28.572844668274499</v>
      </c>
      <c r="N4493">
        <v>53.952669583225202</v>
      </c>
      <c r="O4493">
        <v>51.688332094545899</v>
      </c>
      <c r="P4493">
        <v>-9.2908230061124197E-2</v>
      </c>
      <c r="Q4493">
        <v>0.327720648083691</v>
      </c>
      <c r="R4493">
        <v>0.98113515125550599</v>
      </c>
      <c r="S4493" t="s">
        <v>11163</v>
      </c>
      <c r="T4493" t="s">
        <v>13338</v>
      </c>
      <c r="U4493" t="s">
        <v>13338</v>
      </c>
      <c r="V4493" t="s">
        <v>13338</v>
      </c>
      <c r="W4493" t="s">
        <v>17775</v>
      </c>
      <c r="X4493">
        <v>3</v>
      </c>
      <c r="Y4493" t="s">
        <v>24278</v>
      </c>
      <c r="Z4493" t="s">
        <v>30908</v>
      </c>
      <c r="AA4493">
        <v>0.60003067812332656</v>
      </c>
      <c r="AB4493" t="str">
        <f>HYPERLINK("Melting_Curves/meltCurve_Q8N490_2_PNKD.pdf", "Melting_Curves/meltCurve_Q8N490_2_PNKD.pdf")</f>
        <v>Melting_Curves/meltCurve_Q8N490_2_PNKD.pdf</v>
      </c>
    </row>
    <row r="4494" spans="1:28" x14ac:dyDescent="0.25">
      <c r="A4494" t="s">
        <v>4498</v>
      </c>
      <c r="B4494">
        <v>0.99193492352474899</v>
      </c>
      <c r="C4494">
        <v>0.87246316793283996</v>
      </c>
      <c r="D4494">
        <v>0.97153946915627099</v>
      </c>
      <c r="E4494">
        <v>0.61847169124297796</v>
      </c>
      <c r="F4494">
        <v>1.07447833834482</v>
      </c>
      <c r="G4494">
        <v>0.20158326289246101</v>
      </c>
      <c r="H4494">
        <v>0.21126279567179901</v>
      </c>
      <c r="I4494">
        <v>0.127243654760094</v>
      </c>
      <c r="J4494">
        <v>0.16172451402961899</v>
      </c>
      <c r="K4494">
        <v>0.21972581094626401</v>
      </c>
      <c r="L4494">
        <v>13994.961845415</v>
      </c>
      <c r="M4494">
        <v>250</v>
      </c>
      <c r="N4494">
        <v>56.079972625878703</v>
      </c>
      <c r="O4494">
        <v>55.9762733524636</v>
      </c>
      <c r="P4494">
        <v>-0.91558043546341406</v>
      </c>
      <c r="Q4494">
        <v>0.17998763070443499</v>
      </c>
      <c r="R4494">
        <v>0.87847672285050304</v>
      </c>
      <c r="S4494" t="s">
        <v>11164</v>
      </c>
      <c r="T4494" t="s">
        <v>13338</v>
      </c>
      <c r="U4494" t="s">
        <v>13338</v>
      </c>
      <c r="V4494" t="s">
        <v>13338</v>
      </c>
      <c r="W4494" t="s">
        <v>17776</v>
      </c>
      <c r="X4494">
        <v>9</v>
      </c>
      <c r="Y4494" t="s">
        <v>24279</v>
      </c>
      <c r="Z4494" t="s">
        <v>30909</v>
      </c>
      <c r="AA4494">
        <v>0.61685727555081049</v>
      </c>
      <c r="AB4494" t="str">
        <f>HYPERLINK("Melting_Curves/meltCurve_Q8N4C8_5_MINK1.pdf", "Melting_Curves/meltCurve_Q8N4C8_5_MINK1.pdf")</f>
        <v>Melting_Curves/meltCurve_Q8N4C8_5_MINK1.pdf</v>
      </c>
    </row>
    <row r="4495" spans="1:28" x14ac:dyDescent="0.25">
      <c r="A4495" t="s">
        <v>4499</v>
      </c>
      <c r="B4495">
        <v>0.99193492352474899</v>
      </c>
      <c r="C4495">
        <v>0.96249445715523796</v>
      </c>
      <c r="D4495">
        <v>1.0916579753923701</v>
      </c>
      <c r="E4495">
        <v>0.92054660508468</v>
      </c>
      <c r="F4495">
        <v>0.83346197898059504</v>
      </c>
      <c r="G4495">
        <v>0.66295458696349396</v>
      </c>
      <c r="H4495">
        <v>0.565987003299806</v>
      </c>
      <c r="I4495">
        <v>0.72938142611567003</v>
      </c>
      <c r="J4495">
        <v>1.02482984438047</v>
      </c>
      <c r="K4495">
        <v>1.22793346149828</v>
      </c>
      <c r="L4495">
        <v>12400.20878941</v>
      </c>
      <c r="M4495">
        <v>250</v>
      </c>
      <c r="O4495">
        <v>49.5976610470805</v>
      </c>
      <c r="P4495">
        <v>-0.20066716312598501</v>
      </c>
      <c r="Q4495">
        <v>0.84075804919123798</v>
      </c>
      <c r="R4495">
        <v>0.162295187529508</v>
      </c>
      <c r="S4495" t="s">
        <v>11165</v>
      </c>
      <c r="T4495" t="s">
        <v>13338</v>
      </c>
      <c r="U4495" t="s">
        <v>13338</v>
      </c>
      <c r="V4495" t="s">
        <v>13338</v>
      </c>
      <c r="W4495" t="s">
        <v>17777</v>
      </c>
      <c r="X4495">
        <v>8</v>
      </c>
      <c r="Y4495" t="s">
        <v>24280</v>
      </c>
      <c r="Z4495" t="s">
        <v>30910</v>
      </c>
      <c r="AA4495">
        <v>0.89173376832490836</v>
      </c>
      <c r="AB4495" t="str">
        <f>HYPERLINK("Melting_Curves/meltCurve_Q8N4H5_TOMM5.pdf", "Melting_Curves/meltCurve_Q8N4H5_TOMM5.pdf")</f>
        <v>Melting_Curves/meltCurve_Q8N4H5_TOMM5.pdf</v>
      </c>
    </row>
    <row r="4496" spans="1:28" x14ac:dyDescent="0.25">
      <c r="A4496" t="s">
        <v>4500</v>
      </c>
      <c r="B4496">
        <v>0.99193492352474899</v>
      </c>
      <c r="C4496">
        <v>0.91134548577318597</v>
      </c>
      <c r="D4496">
        <v>0.81785536466886399</v>
      </c>
      <c r="E4496">
        <v>0.75571312480637598</v>
      </c>
      <c r="F4496">
        <v>0.52406992238789596</v>
      </c>
      <c r="G4496">
        <v>0.42460735691283702</v>
      </c>
      <c r="H4496">
        <v>0.31367623202356298</v>
      </c>
      <c r="I4496">
        <v>0.10951907428888399</v>
      </c>
      <c r="J4496">
        <v>9.5536458805545899E-2</v>
      </c>
      <c r="K4496">
        <v>7.0173162167133804E-2</v>
      </c>
      <c r="L4496">
        <v>554.70831896013499</v>
      </c>
      <c r="M4496">
        <v>10.222662602206899</v>
      </c>
      <c r="N4496">
        <v>54.262606444709803</v>
      </c>
      <c r="O4496">
        <v>52.309094385944498</v>
      </c>
      <c r="P4496">
        <v>-4.8878847098347E-2</v>
      </c>
      <c r="Q4496">
        <v>0</v>
      </c>
      <c r="R4496">
        <v>0.98604605157797098</v>
      </c>
      <c r="S4496" t="s">
        <v>11166</v>
      </c>
      <c r="T4496" t="s">
        <v>13338</v>
      </c>
      <c r="U4496" t="s">
        <v>13338</v>
      </c>
      <c r="V4496" t="s">
        <v>13338</v>
      </c>
      <c r="W4496" t="s">
        <v>17778</v>
      </c>
      <c r="X4496">
        <v>4</v>
      </c>
      <c r="Y4496" t="s">
        <v>24281</v>
      </c>
      <c r="Z4496" t="s">
        <v>30911</v>
      </c>
      <c r="AA4496">
        <v>0.50413089353942386</v>
      </c>
      <c r="AB4496" t="str">
        <f>HYPERLINK("Melting_Curves/meltCurve_Q8N4P3_HDDC3.pdf", "Melting_Curves/meltCurve_Q8N4P3_HDDC3.pdf")</f>
        <v>Melting_Curves/meltCurve_Q8N4P3_HDDC3.pdf</v>
      </c>
    </row>
    <row r="4497" spans="1:28" x14ac:dyDescent="0.25">
      <c r="A4497" t="s">
        <v>4501</v>
      </c>
      <c r="B4497">
        <v>0.99193492352474899</v>
      </c>
      <c r="C4497">
        <v>0.99209716090425903</v>
      </c>
      <c r="D4497">
        <v>0.94554409282448704</v>
      </c>
      <c r="E4497">
        <v>0.73424352104056501</v>
      </c>
      <c r="F4497">
        <v>0.51196439152825901</v>
      </c>
      <c r="G4497">
        <v>0.23926693549428199</v>
      </c>
      <c r="H4497">
        <v>0.120773319092969</v>
      </c>
      <c r="I4497">
        <v>7.7700213668193602E-2</v>
      </c>
      <c r="J4497">
        <v>7.97442029557624E-2</v>
      </c>
      <c r="K4497">
        <v>8.1285009369618397E-2</v>
      </c>
      <c r="L4497">
        <v>948.41813909181406</v>
      </c>
      <c r="M4497">
        <v>18.025300342834001</v>
      </c>
      <c r="N4497">
        <v>52.954679872917502</v>
      </c>
      <c r="O4497">
        <v>51.981144040601201</v>
      </c>
      <c r="P4497">
        <v>-8.1974967984972294E-2</v>
      </c>
      <c r="Q4497">
        <v>5.4452255072307797E-2</v>
      </c>
      <c r="R4497">
        <v>0.99809705652617897</v>
      </c>
      <c r="S4497" t="s">
        <v>11167</v>
      </c>
      <c r="T4497" t="s">
        <v>13338</v>
      </c>
      <c r="U4497" t="s">
        <v>13338</v>
      </c>
      <c r="V4497" t="s">
        <v>13338</v>
      </c>
      <c r="W4497" t="s">
        <v>17779</v>
      </c>
      <c r="X4497">
        <v>4</v>
      </c>
      <c r="Y4497" t="s">
        <v>24282</v>
      </c>
      <c r="Z4497" t="s">
        <v>30912</v>
      </c>
      <c r="AA4497">
        <v>0.46763758870261463</v>
      </c>
      <c r="AB4497" t="str">
        <f>HYPERLINK("Melting_Curves/meltCurve_Q8N4Q0_ZADH2.pdf", "Melting_Curves/meltCurve_Q8N4Q0_ZADH2.pdf")</f>
        <v>Melting_Curves/meltCurve_Q8N4Q0_ZADH2.pdf</v>
      </c>
    </row>
    <row r="4498" spans="1:28" x14ac:dyDescent="0.25">
      <c r="A4498" t="s">
        <v>4502</v>
      </c>
      <c r="B4498">
        <v>0.99193492352474899</v>
      </c>
      <c r="C4498">
        <v>0.802448103089906</v>
      </c>
      <c r="D4498">
        <v>1.3103173724289401</v>
      </c>
      <c r="E4498">
        <v>0.66865835811392105</v>
      </c>
      <c r="F4498">
        <v>0.64808981964350398</v>
      </c>
      <c r="G4498">
        <v>0.48538353319940503</v>
      </c>
      <c r="H4498">
        <v>0.42295788483845798</v>
      </c>
      <c r="I4498">
        <v>0.43397454991676299</v>
      </c>
      <c r="J4498">
        <v>0.67696878181836995</v>
      </c>
      <c r="K4498">
        <v>0.98468973991857001</v>
      </c>
      <c r="L4498">
        <v>12315.2275786178</v>
      </c>
      <c r="M4498">
        <v>250</v>
      </c>
      <c r="O4498">
        <v>49.2577579892505</v>
      </c>
      <c r="P4498">
        <v>-0.49652409974908202</v>
      </c>
      <c r="Q4498">
        <v>0.60867737776616704</v>
      </c>
      <c r="R4498">
        <v>0.50174070545870397</v>
      </c>
      <c r="S4498" t="s">
        <v>11168</v>
      </c>
      <c r="T4498" t="s">
        <v>13338</v>
      </c>
      <c r="U4498" t="s">
        <v>13338</v>
      </c>
      <c r="V4498" t="s">
        <v>13338</v>
      </c>
      <c r="W4498" t="s">
        <v>17780</v>
      </c>
      <c r="X4498">
        <v>8</v>
      </c>
      <c r="Y4498" t="s">
        <v>24283</v>
      </c>
      <c r="Z4498" t="s">
        <v>30913</v>
      </c>
      <c r="AA4498">
        <v>0.72951133205844809</v>
      </c>
      <c r="AB4498" t="str">
        <f>HYPERLINK("Melting_Curves/meltCurve_Q8N4Q1_CHCHD4.pdf", "Melting_Curves/meltCurve_Q8N4Q1_CHCHD4.pdf")</f>
        <v>Melting_Curves/meltCurve_Q8N4Q1_CHCHD4.pdf</v>
      </c>
    </row>
    <row r="4499" spans="1:28" x14ac:dyDescent="0.25">
      <c r="A4499" t="s">
        <v>4503</v>
      </c>
      <c r="B4499">
        <v>0.99193492352474899</v>
      </c>
      <c r="C4499">
        <v>0.82841282170408603</v>
      </c>
      <c r="D4499">
        <v>1.0129303141319399</v>
      </c>
      <c r="E4499">
        <v>0.82622570997562095</v>
      </c>
      <c r="F4499">
        <v>0.75127839597669699</v>
      </c>
      <c r="G4499">
        <v>0.55234287534173199</v>
      </c>
      <c r="H4499">
        <v>0.40445410355757799</v>
      </c>
      <c r="I4499">
        <v>0.42608115147108699</v>
      </c>
      <c r="J4499">
        <v>0.41378412213174398</v>
      </c>
      <c r="K4499">
        <v>0.44916786359484501</v>
      </c>
      <c r="L4499">
        <v>885.43829919468897</v>
      </c>
      <c r="M4499">
        <v>16.6073141570517</v>
      </c>
      <c r="N4499">
        <v>58.826900330185701</v>
      </c>
      <c r="O4499">
        <v>52.561084985814098</v>
      </c>
      <c r="P4499">
        <v>-4.78334415765099E-2</v>
      </c>
      <c r="Q4499">
        <v>0.39448174280328901</v>
      </c>
      <c r="R4499">
        <v>0.92892093701197698</v>
      </c>
      <c r="S4499" t="s">
        <v>11169</v>
      </c>
      <c r="T4499" t="s">
        <v>13338</v>
      </c>
      <c r="U4499" t="s">
        <v>13338</v>
      </c>
      <c r="V4499" t="s">
        <v>13338</v>
      </c>
      <c r="W4499" t="s">
        <v>17781</v>
      </c>
      <c r="X4499">
        <v>3</v>
      </c>
      <c r="Y4499" t="s">
        <v>24284</v>
      </c>
      <c r="Z4499" t="s">
        <v>30914</v>
      </c>
      <c r="AA4499">
        <v>0.67438802551438004</v>
      </c>
      <c r="AB4499" t="str">
        <f>HYPERLINK("Melting_Curves/meltCurve_Q8N4T8_CBR4.pdf", "Melting_Curves/meltCurve_Q8N4T8_CBR4.pdf")</f>
        <v>Melting_Curves/meltCurve_Q8N4T8_CBR4.pdf</v>
      </c>
    </row>
    <row r="4500" spans="1:28" x14ac:dyDescent="0.25">
      <c r="A4500" t="s">
        <v>4504</v>
      </c>
      <c r="B4500">
        <v>0.99193492352474899</v>
      </c>
      <c r="C4500">
        <v>0.83057493957024997</v>
      </c>
      <c r="D4500">
        <v>1.02839374476366</v>
      </c>
      <c r="E4500">
        <v>0.80352688201140599</v>
      </c>
      <c r="F4500">
        <v>0.71153721302673201</v>
      </c>
      <c r="G4500">
        <v>0.33519534454298699</v>
      </c>
      <c r="H4500">
        <v>0.28822195920048599</v>
      </c>
      <c r="I4500">
        <v>0.42736799173151302</v>
      </c>
      <c r="J4500">
        <v>0.58831856071119903</v>
      </c>
      <c r="K4500">
        <v>0.65058729031833795</v>
      </c>
      <c r="L4500">
        <v>1527.22696056359</v>
      </c>
      <c r="M4500">
        <v>29.731258561474299</v>
      </c>
      <c r="N4500">
        <v>56.428646915457598</v>
      </c>
      <c r="O4500">
        <v>51.136989311080299</v>
      </c>
      <c r="P4500">
        <v>-7.7726532419519295E-2</v>
      </c>
      <c r="Q4500">
        <v>0.46525294967210101</v>
      </c>
      <c r="R4500">
        <v>0.74336359480404302</v>
      </c>
      <c r="S4500" t="s">
        <v>11170</v>
      </c>
      <c r="T4500" t="s">
        <v>13338</v>
      </c>
      <c r="U4500" t="s">
        <v>13338</v>
      </c>
      <c r="V4500" t="s">
        <v>13338</v>
      </c>
      <c r="W4500" t="s">
        <v>17782</v>
      </c>
      <c r="X4500">
        <v>4</v>
      </c>
      <c r="Y4500" t="s">
        <v>24285</v>
      </c>
      <c r="Z4500" t="s">
        <v>30915</v>
      </c>
      <c r="AA4500">
        <v>0.67132513338879796</v>
      </c>
      <c r="AB4500" t="str">
        <f>HYPERLINK("Melting_Curves/meltCurve_Q8N4V1_MMGT1.pdf", "Melting_Curves/meltCurve_Q8N4V1_MMGT1.pdf")</f>
        <v>Melting_Curves/meltCurve_Q8N4V1_MMGT1.pdf</v>
      </c>
    </row>
    <row r="4501" spans="1:28" x14ac:dyDescent="0.25">
      <c r="A4501" t="s">
        <v>4505</v>
      </c>
      <c r="B4501">
        <v>0.99193492352474899</v>
      </c>
      <c r="C4501">
        <v>0.83603415756919497</v>
      </c>
      <c r="D4501">
        <v>0.94813327673622305</v>
      </c>
      <c r="E4501">
        <v>0.67696105038804799</v>
      </c>
      <c r="F4501">
        <v>0.542214121386972</v>
      </c>
      <c r="G4501">
        <v>0.35998312841474001</v>
      </c>
      <c r="H4501">
        <v>0.22138746701718201</v>
      </c>
      <c r="I4501">
        <v>0.15291827379094</v>
      </c>
      <c r="J4501">
        <v>0.158680379146978</v>
      </c>
      <c r="K4501">
        <v>0.153421225273566</v>
      </c>
      <c r="L4501">
        <v>639.03723439803196</v>
      </c>
      <c r="M4501">
        <v>12.117267618909001</v>
      </c>
      <c r="N4501">
        <v>53.570565784658399</v>
      </c>
      <c r="O4501">
        <v>51.363016387792896</v>
      </c>
      <c r="P4501">
        <v>-5.3927757349793902E-2</v>
      </c>
      <c r="Q4501">
        <v>8.5850223778498005E-2</v>
      </c>
      <c r="R4501">
        <v>0.97860870784214704</v>
      </c>
      <c r="S4501" t="s">
        <v>11171</v>
      </c>
      <c r="T4501" t="s">
        <v>13338</v>
      </c>
      <c r="U4501" t="s">
        <v>13338</v>
      </c>
      <c r="V4501" t="s">
        <v>13338</v>
      </c>
      <c r="W4501" t="s">
        <v>17783</v>
      </c>
      <c r="X4501">
        <v>20</v>
      </c>
      <c r="Y4501" t="s">
        <v>24286</v>
      </c>
      <c r="Z4501" t="s">
        <v>30916</v>
      </c>
      <c r="AA4501">
        <v>0.50024401842564026</v>
      </c>
      <c r="AB4501" t="str">
        <f>HYPERLINK("Melting_Curves/meltCurve_Q8N543_OGFOD1.pdf", "Melting_Curves/meltCurve_Q8N543_OGFOD1.pdf")</f>
        <v>Melting_Curves/meltCurve_Q8N543_OGFOD1.pdf</v>
      </c>
    </row>
    <row r="4502" spans="1:28" x14ac:dyDescent="0.25">
      <c r="A4502" t="s">
        <v>4506</v>
      </c>
      <c r="B4502">
        <v>0.99193492352474899</v>
      </c>
      <c r="C4502">
        <v>0.37110576327828998</v>
      </c>
      <c r="D4502">
        <v>0.84107268316167605</v>
      </c>
      <c r="E4502">
        <v>0.37563545016133598</v>
      </c>
      <c r="F4502">
        <v>0.391261686700142</v>
      </c>
      <c r="G4502">
        <v>0.34299700688027701</v>
      </c>
      <c r="H4502">
        <v>0.55193804240540101</v>
      </c>
      <c r="I4502">
        <v>0.99066310570876104</v>
      </c>
      <c r="J4502">
        <v>1.40336886286308</v>
      </c>
      <c r="K4502">
        <v>1.78445039215905</v>
      </c>
      <c r="L4502">
        <v>1.0000000000000001E-5</v>
      </c>
      <c r="M4502">
        <v>16.843655033400999</v>
      </c>
      <c r="Q4502">
        <v>0.80444268958412801</v>
      </c>
      <c r="R4502">
        <v>-3.9523939676655598E-14</v>
      </c>
      <c r="S4502" t="s">
        <v>11172</v>
      </c>
      <c r="T4502" t="s">
        <v>13338</v>
      </c>
      <c r="U4502" t="s">
        <v>13338</v>
      </c>
      <c r="V4502" t="s">
        <v>13338</v>
      </c>
      <c r="W4502" t="s">
        <v>17784</v>
      </c>
      <c r="X4502">
        <v>4</v>
      </c>
      <c r="Y4502" t="s">
        <v>24287</v>
      </c>
      <c r="Z4502" t="s">
        <v>30917</v>
      </c>
      <c r="AA4502">
        <v>0.80444269905015375</v>
      </c>
      <c r="AB4502" t="str">
        <f>HYPERLINK("Melting_Curves/meltCurve_Q8N567_ZCCHC9.pdf", "Melting_Curves/meltCurve_Q8N567_ZCCHC9.pdf")</f>
        <v>Melting_Curves/meltCurve_Q8N567_ZCCHC9.pdf</v>
      </c>
    </row>
    <row r="4503" spans="1:28" x14ac:dyDescent="0.25">
      <c r="A4503" t="s">
        <v>4507</v>
      </c>
      <c r="B4503">
        <v>0.99193492352474899</v>
      </c>
      <c r="C4503">
        <v>0.97656760301396595</v>
      </c>
      <c r="D4503">
        <v>0.883849048843938</v>
      </c>
      <c r="E4503">
        <v>0.69746965906825598</v>
      </c>
      <c r="F4503">
        <v>0.43181010652287399</v>
      </c>
      <c r="G4503">
        <v>0.16163903177403699</v>
      </c>
      <c r="H4503">
        <v>0.11739233184157299</v>
      </c>
      <c r="I4503">
        <v>0.124673677576414</v>
      </c>
      <c r="J4503">
        <v>0.11231388754042</v>
      </c>
      <c r="K4503">
        <v>0.152670303957468</v>
      </c>
      <c r="L4503">
        <v>1030.4503812514499</v>
      </c>
      <c r="M4503">
        <v>20.1195621411863</v>
      </c>
      <c r="N4503">
        <v>51.827789130894203</v>
      </c>
      <c r="O4503">
        <v>50.718425741638399</v>
      </c>
      <c r="P4503">
        <v>-8.8698261456994901E-2</v>
      </c>
      <c r="Q4503">
        <v>0.10564786156738599</v>
      </c>
      <c r="R4503">
        <v>0.99398484344585303</v>
      </c>
      <c r="S4503" t="s">
        <v>11173</v>
      </c>
      <c r="T4503" t="s">
        <v>13338</v>
      </c>
      <c r="U4503" t="s">
        <v>13338</v>
      </c>
      <c r="V4503" t="s">
        <v>13338</v>
      </c>
      <c r="W4503" t="s">
        <v>17785</v>
      </c>
      <c r="X4503">
        <v>10</v>
      </c>
      <c r="Y4503" t="s">
        <v>24288</v>
      </c>
      <c r="Z4503" t="s">
        <v>30918</v>
      </c>
      <c r="AA4503">
        <v>0.45229820681533112</v>
      </c>
      <c r="AB4503" t="str">
        <f>HYPERLINK("Melting_Curves/meltCurve_Q8N573_2_OXR1.pdf", "Melting_Curves/meltCurve_Q8N573_2_OXR1.pdf")</f>
        <v>Melting_Curves/meltCurve_Q8N573_2_OXR1.pdf</v>
      </c>
    </row>
    <row r="4504" spans="1:28" x14ac:dyDescent="0.25">
      <c r="A4504" t="s">
        <v>4508</v>
      </c>
      <c r="B4504">
        <v>0.99193492352474899</v>
      </c>
      <c r="C4504">
        <v>1.04715243963336</v>
      </c>
      <c r="D4504">
        <v>1.00831303884097</v>
      </c>
      <c r="E4504">
        <v>0.77817010659993802</v>
      </c>
      <c r="F4504">
        <v>0.46801098200910601</v>
      </c>
      <c r="G4504">
        <v>0.22503595764825701</v>
      </c>
      <c r="H4504">
        <v>0.150841931337305</v>
      </c>
      <c r="I4504">
        <v>0.191606049089316</v>
      </c>
      <c r="J4504">
        <v>0.26678381782335198</v>
      </c>
      <c r="K4504">
        <v>0.20505409791429099</v>
      </c>
      <c r="L4504">
        <v>1468.9603390329701</v>
      </c>
      <c r="M4504">
        <v>28.468688990580901</v>
      </c>
      <c r="N4504">
        <v>52.526470240781798</v>
      </c>
      <c r="O4504">
        <v>51.346585887331798</v>
      </c>
      <c r="P4504">
        <v>-0.111232705829096</v>
      </c>
      <c r="Q4504">
        <v>0.197522327634397</v>
      </c>
      <c r="R4504">
        <v>0.98907781317536703</v>
      </c>
      <c r="S4504" t="s">
        <v>11174</v>
      </c>
      <c r="T4504" t="s">
        <v>13338</v>
      </c>
      <c r="U4504" t="s">
        <v>13338</v>
      </c>
      <c r="V4504" t="s">
        <v>13338</v>
      </c>
      <c r="W4504" t="s">
        <v>17786</v>
      </c>
      <c r="X4504">
        <v>3</v>
      </c>
      <c r="Y4504" t="s">
        <v>24289</v>
      </c>
      <c r="Z4504" t="s">
        <v>30919</v>
      </c>
      <c r="AA4504">
        <v>0.5134447226613168</v>
      </c>
      <c r="AB4504" t="str">
        <f>HYPERLINK("Melting_Curves/meltCurve_Q8N584_2_TTC39C.pdf", "Melting_Curves/meltCurve_Q8N584_2_TTC39C.pdf")</f>
        <v>Melting_Curves/meltCurve_Q8N584_2_TTC39C.pdf</v>
      </c>
    </row>
    <row r="4505" spans="1:28" x14ac:dyDescent="0.25">
      <c r="A4505" t="s">
        <v>4509</v>
      </c>
      <c r="B4505">
        <v>0.99193492352474899</v>
      </c>
      <c r="C4505">
        <v>0.68745929515868298</v>
      </c>
      <c r="D4505">
        <v>0.46778478418758901</v>
      </c>
      <c r="E4505">
        <v>0.23687351852057401</v>
      </c>
      <c r="F4505">
        <v>0.14571587380745199</v>
      </c>
      <c r="G4505">
        <v>0.105370605267069</v>
      </c>
      <c r="H4505">
        <v>7.6846579429833806E-2</v>
      </c>
      <c r="I4505">
        <v>9.8897501115874004E-2</v>
      </c>
      <c r="J4505">
        <v>0.126101898799237</v>
      </c>
      <c r="K4505">
        <v>0.114602513553343</v>
      </c>
      <c r="L4505">
        <v>866.48797332972197</v>
      </c>
      <c r="M4505">
        <v>19.298029658365898</v>
      </c>
      <c r="N4505">
        <v>45.436159457021603</v>
      </c>
      <c r="O4505">
        <v>44.426530118047303</v>
      </c>
      <c r="P4505">
        <v>-9.7547315132565898E-2</v>
      </c>
      <c r="Q4505">
        <v>0.101768138119294</v>
      </c>
      <c r="R4505">
        <v>0.98880493659106306</v>
      </c>
      <c r="S4505" t="s">
        <v>11175</v>
      </c>
      <c r="T4505" t="s">
        <v>13338</v>
      </c>
      <c r="U4505" t="s">
        <v>13338</v>
      </c>
      <c r="V4505" t="s">
        <v>13338</v>
      </c>
      <c r="W4505" t="s">
        <v>17787</v>
      </c>
      <c r="X4505">
        <v>6</v>
      </c>
      <c r="Y4505" t="s">
        <v>24290</v>
      </c>
      <c r="Z4505" t="s">
        <v>30920</v>
      </c>
      <c r="AA4505">
        <v>0.26520097904402079</v>
      </c>
      <c r="AB4505" t="str">
        <f>HYPERLINK("Melting_Curves/meltCurve_Q8N5A5_2_ZGPAT.pdf", "Melting_Curves/meltCurve_Q8N5A5_2_ZGPAT.pdf")</f>
        <v>Melting_Curves/meltCurve_Q8N5A5_2_ZGPAT.pdf</v>
      </c>
    </row>
    <row r="4506" spans="1:28" x14ac:dyDescent="0.25">
      <c r="A4506" t="s">
        <v>4510</v>
      </c>
      <c r="B4506">
        <v>0.99193492352474899</v>
      </c>
      <c r="C4506">
        <v>1.1431380987914399</v>
      </c>
      <c r="D4506">
        <v>0.789418713114723</v>
      </c>
      <c r="E4506">
        <v>0.68702044924542305</v>
      </c>
      <c r="F4506">
        <v>0.31107649716444702</v>
      </c>
      <c r="G4506">
        <v>0.14049029055005499</v>
      </c>
      <c r="H4506">
        <v>4.6316462241373202E-2</v>
      </c>
      <c r="I4506">
        <v>0.120425333758019</v>
      </c>
      <c r="J4506">
        <v>0.119947822817003</v>
      </c>
      <c r="K4506">
        <v>7.0892544370012106E-2</v>
      </c>
      <c r="L4506">
        <v>1102.56753319822</v>
      </c>
      <c r="M4506">
        <v>21.774533435194598</v>
      </c>
      <c r="N4506">
        <v>51.028558436587403</v>
      </c>
      <c r="O4506">
        <v>50.214367923365103</v>
      </c>
      <c r="P4506">
        <v>-0.100043300109491</v>
      </c>
      <c r="Q4506">
        <v>7.7179903994419402E-2</v>
      </c>
      <c r="R4506">
        <v>0.96979018237399905</v>
      </c>
      <c r="S4506" t="s">
        <v>11176</v>
      </c>
      <c r="T4506" t="s">
        <v>13338</v>
      </c>
      <c r="U4506" t="s">
        <v>13338</v>
      </c>
      <c r="V4506" t="s">
        <v>13338</v>
      </c>
      <c r="W4506" t="s">
        <v>17788</v>
      </c>
      <c r="X4506">
        <v>1</v>
      </c>
      <c r="Y4506" t="s">
        <v>24291</v>
      </c>
      <c r="Z4506" t="s">
        <v>30921</v>
      </c>
      <c r="AA4506">
        <v>0.4152296665972392</v>
      </c>
      <c r="AB4506" t="str">
        <f>HYPERLINK("Melting_Curves/meltCurve_Q8N5C7_DTWD1.pdf", "Melting_Curves/meltCurve_Q8N5C7_DTWD1.pdf")</f>
        <v>Melting_Curves/meltCurve_Q8N5C7_DTWD1.pdf</v>
      </c>
    </row>
    <row r="4507" spans="1:28" x14ac:dyDescent="0.25">
      <c r="A4507" t="s">
        <v>4511</v>
      </c>
      <c r="B4507">
        <v>0.99193492352474899</v>
      </c>
      <c r="C4507">
        <v>0.65639820477759803</v>
      </c>
      <c r="D4507">
        <v>0.75090204381829795</v>
      </c>
      <c r="E4507">
        <v>0.50438965427712201</v>
      </c>
      <c r="F4507">
        <v>0.36693684370614199</v>
      </c>
      <c r="G4507">
        <v>0.372540578898233</v>
      </c>
      <c r="H4507">
        <v>0.22465716798103599</v>
      </c>
      <c r="I4507">
        <v>0.34640425836065097</v>
      </c>
      <c r="J4507">
        <v>0.435173793599546</v>
      </c>
      <c r="K4507">
        <v>0.53077641084055405</v>
      </c>
      <c r="L4507">
        <v>694.21060268620295</v>
      </c>
      <c r="M4507">
        <v>15.4245075208185</v>
      </c>
      <c r="N4507">
        <v>49.330955571818599</v>
      </c>
      <c r="O4507">
        <v>44.270852768852798</v>
      </c>
      <c r="P4507">
        <v>-5.4824401602329598E-2</v>
      </c>
      <c r="Q4507">
        <v>0.37063728077225699</v>
      </c>
      <c r="R4507">
        <v>0.79035991933929595</v>
      </c>
      <c r="S4507" t="s">
        <v>11177</v>
      </c>
      <c r="T4507" t="s">
        <v>13338</v>
      </c>
      <c r="U4507" t="s">
        <v>13338</v>
      </c>
      <c r="V4507" t="s">
        <v>13338</v>
      </c>
      <c r="W4507" t="s">
        <v>17789</v>
      </c>
      <c r="X4507">
        <v>5</v>
      </c>
      <c r="Y4507" t="s">
        <v>24292</v>
      </c>
      <c r="Z4507" t="s">
        <v>30922</v>
      </c>
      <c r="AA4507">
        <v>0.49472144970459209</v>
      </c>
      <c r="AB4507" t="str">
        <f>HYPERLINK("Melting_Curves/meltCurve_Q8N5F7_NKAP.pdf", "Melting_Curves/meltCurve_Q8N5F7_NKAP.pdf")</f>
        <v>Melting_Curves/meltCurve_Q8N5F7_NKAP.pdf</v>
      </c>
    </row>
    <row r="4508" spans="1:28" x14ac:dyDescent="0.25">
      <c r="A4508" t="s">
        <v>4512</v>
      </c>
      <c r="B4508">
        <v>0.99193492352474899</v>
      </c>
      <c r="C4508">
        <v>1.17472681676302</v>
      </c>
      <c r="D4508">
        <v>0.98611651835915504</v>
      </c>
      <c r="E4508">
        <v>1.03719315057646</v>
      </c>
      <c r="F4508">
        <v>0.72184184270495599</v>
      </c>
      <c r="G4508">
        <v>0.61361352946171599</v>
      </c>
      <c r="H4508">
        <v>0.52904493302195899</v>
      </c>
      <c r="I4508">
        <v>0.60122062472106397</v>
      </c>
      <c r="J4508">
        <v>0.64141495618272104</v>
      </c>
      <c r="K4508">
        <v>0.79340210996254401</v>
      </c>
      <c r="S4508" t="s">
        <v>11178</v>
      </c>
      <c r="T4508" t="s">
        <v>13338</v>
      </c>
      <c r="U4508" t="s">
        <v>13339</v>
      </c>
      <c r="V4508" t="s">
        <v>13338</v>
      </c>
      <c r="W4508" t="s">
        <v>17790</v>
      </c>
      <c r="X4508">
        <v>2</v>
      </c>
      <c r="Y4508" t="s">
        <v>24293</v>
      </c>
      <c r="Z4508" t="s">
        <v>30923</v>
      </c>
      <c r="AB4508" t="str">
        <f>HYPERLINK("Melting_Curves/meltCurve_Q8N5G0_2_SMIM20.pdf", "Melting_Curves/meltCurve_Q8N5G0_2_SMIM20.pdf")</f>
        <v>Melting_Curves/meltCurve_Q8N5G0_2_SMIM20.pdf</v>
      </c>
    </row>
    <row r="4509" spans="1:28" x14ac:dyDescent="0.25">
      <c r="A4509" t="s">
        <v>4513</v>
      </c>
      <c r="B4509">
        <v>0.99193492352474899</v>
      </c>
      <c r="C4509">
        <v>0.92789898051336905</v>
      </c>
      <c r="D4509">
        <v>0.99060054288795396</v>
      </c>
      <c r="E4509">
        <v>0.644740948668591</v>
      </c>
      <c r="F4509">
        <v>0.16701430847426499</v>
      </c>
      <c r="G4509">
        <v>0.15545255298375499</v>
      </c>
      <c r="H4509">
        <v>8.4863010365316099E-2</v>
      </c>
      <c r="I4509">
        <v>0.100968205787119</v>
      </c>
      <c r="J4509">
        <v>9.4385173216842894E-2</v>
      </c>
      <c r="K4509">
        <v>9.7004165051733607E-2</v>
      </c>
      <c r="L4509">
        <v>2137.29088468093</v>
      </c>
      <c r="M4509">
        <v>42.669659016473901</v>
      </c>
      <c r="N4509">
        <v>50.365130203853298</v>
      </c>
      <c r="O4509">
        <v>49.979599530441597</v>
      </c>
      <c r="P4509">
        <v>-0.191192885616078</v>
      </c>
      <c r="Q4509">
        <v>0.104213272143174</v>
      </c>
      <c r="R4509">
        <v>0.99478595190830599</v>
      </c>
      <c r="S4509" t="s">
        <v>11179</v>
      </c>
      <c r="T4509" t="s">
        <v>13338</v>
      </c>
      <c r="U4509" t="s">
        <v>13338</v>
      </c>
      <c r="V4509" t="s">
        <v>13338</v>
      </c>
      <c r="W4509" t="s">
        <v>17791</v>
      </c>
      <c r="X4509">
        <v>2</v>
      </c>
      <c r="Y4509" t="s">
        <v>24294</v>
      </c>
      <c r="Z4509" t="s">
        <v>30924</v>
      </c>
      <c r="AA4509">
        <v>0.40819703042265942</v>
      </c>
      <c r="AB4509" t="str">
        <f>HYPERLINK("Melting_Curves/meltCurve_Q8N5G2_TMEM57.pdf", "Melting_Curves/meltCurve_Q8N5G2_TMEM57.pdf")</f>
        <v>Melting_Curves/meltCurve_Q8N5G2_TMEM57.pdf</v>
      </c>
    </row>
    <row r="4510" spans="1:28" x14ac:dyDescent="0.25">
      <c r="A4510" t="s">
        <v>4514</v>
      </c>
      <c r="B4510">
        <v>0.99193492352474899</v>
      </c>
      <c r="C4510">
        <v>0.82830350909166806</v>
      </c>
      <c r="D4510">
        <v>1.0362969256268399</v>
      </c>
      <c r="E4510">
        <v>0.64099467159608603</v>
      </c>
      <c r="F4510">
        <v>0.39268739836953298</v>
      </c>
      <c r="G4510">
        <v>0.26179464645450801</v>
      </c>
      <c r="H4510">
        <v>0.245534944410255</v>
      </c>
      <c r="I4510">
        <v>0.26415309178291002</v>
      </c>
      <c r="J4510">
        <v>0.32291179303989598</v>
      </c>
      <c r="K4510">
        <v>0.350795627706257</v>
      </c>
      <c r="L4510">
        <v>1894.4468666816999</v>
      </c>
      <c r="M4510">
        <v>38.111610453368002</v>
      </c>
      <c r="N4510">
        <v>50.895450995332503</v>
      </c>
      <c r="O4510">
        <v>49.571608094134902</v>
      </c>
      <c r="P4510">
        <v>-0.13559579552804599</v>
      </c>
      <c r="Q4510">
        <v>0.294526375558542</v>
      </c>
      <c r="R4510">
        <v>0.94952147502004702</v>
      </c>
      <c r="S4510" t="s">
        <v>11180</v>
      </c>
      <c r="T4510" t="s">
        <v>13338</v>
      </c>
      <c r="U4510" t="s">
        <v>13338</v>
      </c>
      <c r="V4510" t="s">
        <v>13338</v>
      </c>
      <c r="W4510" t="s">
        <v>17792</v>
      </c>
      <c r="X4510">
        <v>2</v>
      </c>
      <c r="Y4510" t="s">
        <v>24295</v>
      </c>
      <c r="Z4510" t="s">
        <v>30925</v>
      </c>
      <c r="AA4510">
        <v>0.52548862603814972</v>
      </c>
      <c r="AB4510" t="str">
        <f>HYPERLINK("Melting_Curves/meltCurve_Q8N5I4_DHRSX.pdf", "Melting_Curves/meltCurve_Q8N5I4_DHRSX.pdf")</f>
        <v>Melting_Curves/meltCurve_Q8N5I4_DHRSX.pdf</v>
      </c>
    </row>
    <row r="4511" spans="1:28" x14ac:dyDescent="0.25">
      <c r="A4511" t="s">
        <v>4515</v>
      </c>
      <c r="B4511">
        <v>0.99193492352474899</v>
      </c>
      <c r="C4511">
        <v>0.89476836926169701</v>
      </c>
      <c r="D4511">
        <v>0.87044907496770396</v>
      </c>
      <c r="E4511">
        <v>0.73492130200629702</v>
      </c>
      <c r="F4511">
        <v>0.57616518985760701</v>
      </c>
      <c r="G4511">
        <v>0.42565810228548001</v>
      </c>
      <c r="H4511">
        <v>0.38430821830644502</v>
      </c>
      <c r="I4511">
        <v>0.55259386815575395</v>
      </c>
      <c r="J4511">
        <v>0.564419279460594</v>
      </c>
      <c r="K4511">
        <v>0.82235022245249301</v>
      </c>
      <c r="L4511">
        <v>1078.9911069614</v>
      </c>
      <c r="M4511">
        <v>22.583886745504799</v>
      </c>
      <c r="O4511">
        <v>47.407170355414301</v>
      </c>
      <c r="P4511">
        <v>-5.3559485271532301E-2</v>
      </c>
      <c r="Q4511">
        <v>0.55028963416952503</v>
      </c>
      <c r="R4511">
        <v>0.67289094449740205</v>
      </c>
      <c r="S4511" t="s">
        <v>11181</v>
      </c>
      <c r="T4511" t="s">
        <v>13338</v>
      </c>
      <c r="U4511" t="s">
        <v>13338</v>
      </c>
      <c r="V4511" t="s">
        <v>13338</v>
      </c>
      <c r="W4511" t="s">
        <v>17793</v>
      </c>
      <c r="X4511">
        <v>7</v>
      </c>
      <c r="Y4511" t="s">
        <v>24296</v>
      </c>
      <c r="Z4511" t="s">
        <v>30926</v>
      </c>
      <c r="AA4511">
        <v>0.6718179208572963</v>
      </c>
      <c r="AB4511" t="str">
        <f>HYPERLINK("Melting_Curves/meltCurve_Q8N5I9_C12orf45.pdf", "Melting_Curves/meltCurve_Q8N5I9_C12orf45.pdf")</f>
        <v>Melting_Curves/meltCurve_Q8N5I9_C12orf45.pdf</v>
      </c>
    </row>
    <row r="4512" spans="1:28" x14ac:dyDescent="0.25">
      <c r="A4512" t="s">
        <v>4516</v>
      </c>
      <c r="B4512">
        <v>0.99193492352474899</v>
      </c>
      <c r="C4512">
        <v>0.90793690383305903</v>
      </c>
      <c r="D4512">
        <v>1.09110190861665</v>
      </c>
      <c r="E4512">
        <v>1.0017722578817501</v>
      </c>
      <c r="F4512">
        <v>0.835610158899046</v>
      </c>
      <c r="G4512">
        <v>0.67964101136137101</v>
      </c>
      <c r="H4512">
        <v>0.81357875882943098</v>
      </c>
      <c r="I4512">
        <v>0.70785276302921996</v>
      </c>
      <c r="J4512">
        <v>0.90239866973643301</v>
      </c>
      <c r="K4512">
        <v>1.0255265546811401</v>
      </c>
      <c r="L4512">
        <v>13150.0409916771</v>
      </c>
      <c r="M4512">
        <v>250</v>
      </c>
      <c r="O4512">
        <v>52.596797917985199</v>
      </c>
      <c r="P4512">
        <v>-0.206999823215472</v>
      </c>
      <c r="Q4512">
        <v>0.82579955431528496</v>
      </c>
      <c r="R4512">
        <v>0.41675073152544601</v>
      </c>
      <c r="S4512" t="s">
        <v>11182</v>
      </c>
      <c r="T4512" t="s">
        <v>13338</v>
      </c>
      <c r="U4512" t="s">
        <v>13338</v>
      </c>
      <c r="V4512" t="s">
        <v>13338</v>
      </c>
      <c r="W4512" t="s">
        <v>17794</v>
      </c>
      <c r="X4512">
        <v>9</v>
      </c>
      <c r="Y4512" t="s">
        <v>24297</v>
      </c>
      <c r="Z4512" t="s">
        <v>30927</v>
      </c>
      <c r="AA4512">
        <v>0.89898077447858471</v>
      </c>
      <c r="AB4512" t="str">
        <f>HYPERLINK("Melting_Curves/meltCurve_Q8N5K1_CISD2.pdf", "Melting_Curves/meltCurve_Q8N5K1_CISD2.pdf")</f>
        <v>Melting_Curves/meltCurve_Q8N5K1_CISD2.pdf</v>
      </c>
    </row>
    <row r="4513" spans="1:28" x14ac:dyDescent="0.25">
      <c r="A4513" t="s">
        <v>4517</v>
      </c>
      <c r="B4513">
        <v>0.99193492352474899</v>
      </c>
      <c r="C4513">
        <v>0.66878614391724001</v>
      </c>
      <c r="D4513">
        <v>0.81609054624389998</v>
      </c>
      <c r="E4513">
        <v>0.50135563184526</v>
      </c>
      <c r="F4513">
        <v>0.51207187483598005</v>
      </c>
      <c r="G4513">
        <v>0.22542214808032299</v>
      </c>
      <c r="H4513">
        <v>0.18091988314944499</v>
      </c>
      <c r="I4513">
        <v>0.27690769062604598</v>
      </c>
      <c r="J4513">
        <v>0.41901342965119898</v>
      </c>
      <c r="K4513">
        <v>0.58792782803934596</v>
      </c>
      <c r="L4513">
        <v>668.86035876722201</v>
      </c>
      <c r="M4513">
        <v>14.4825663785657</v>
      </c>
      <c r="N4513">
        <v>50.177811357677101</v>
      </c>
      <c r="O4513">
        <v>45.330096735064302</v>
      </c>
      <c r="P4513">
        <v>-5.2552999439020601E-2</v>
      </c>
      <c r="Q4513">
        <v>0.342117912136358</v>
      </c>
      <c r="R4513">
        <v>0.69815933747909997</v>
      </c>
      <c r="S4513" t="s">
        <v>11183</v>
      </c>
      <c r="T4513" t="s">
        <v>13338</v>
      </c>
      <c r="U4513" t="s">
        <v>13338</v>
      </c>
      <c r="V4513" t="s">
        <v>13338</v>
      </c>
      <c r="W4513" t="s">
        <v>17795</v>
      </c>
      <c r="X4513">
        <v>1</v>
      </c>
      <c r="Y4513" t="s">
        <v>24298</v>
      </c>
      <c r="Z4513" t="s">
        <v>30928</v>
      </c>
      <c r="AA4513">
        <v>0.49809087775460159</v>
      </c>
      <c r="AB4513" t="str">
        <f>HYPERLINK("Melting_Curves/meltCurve_Q8N5L8_RPP25L.pdf", "Melting_Curves/meltCurve_Q8N5L8_RPP25L.pdf")</f>
        <v>Melting_Curves/meltCurve_Q8N5L8_RPP25L.pdf</v>
      </c>
    </row>
    <row r="4514" spans="1:28" x14ac:dyDescent="0.25">
      <c r="A4514" t="s">
        <v>4518</v>
      </c>
      <c r="B4514">
        <v>0.99193492352474899</v>
      </c>
      <c r="C4514">
        <v>0.94213247215833495</v>
      </c>
      <c r="D4514">
        <v>0.86483319431212702</v>
      </c>
      <c r="E4514">
        <v>0.77460439561222505</v>
      </c>
      <c r="F4514">
        <v>0.68392830726828202</v>
      </c>
      <c r="G4514">
        <v>0.48966125506021102</v>
      </c>
      <c r="H4514">
        <v>0.22678675318952701</v>
      </c>
      <c r="I4514">
        <v>0.119016602083202</v>
      </c>
      <c r="J4514">
        <v>0.108867254698326</v>
      </c>
      <c r="K4514">
        <v>7.4922448362385596E-2</v>
      </c>
      <c r="L4514">
        <v>674.15682356050399</v>
      </c>
      <c r="M4514">
        <v>12.1254350938783</v>
      </c>
      <c r="N4514">
        <v>55.598592378259902</v>
      </c>
      <c r="O4514">
        <v>54.151147452955897</v>
      </c>
      <c r="P4514">
        <v>-5.5992550263907398E-2</v>
      </c>
      <c r="Q4514">
        <v>0</v>
      </c>
      <c r="R4514">
        <v>0.98750557608823197</v>
      </c>
      <c r="S4514" t="s">
        <v>11184</v>
      </c>
      <c r="T4514" t="s">
        <v>13338</v>
      </c>
      <c r="U4514" t="s">
        <v>13338</v>
      </c>
      <c r="V4514" t="s">
        <v>13338</v>
      </c>
      <c r="W4514" t="s">
        <v>17796</v>
      </c>
      <c r="X4514">
        <v>7</v>
      </c>
      <c r="Y4514" t="s">
        <v>24299</v>
      </c>
      <c r="Z4514" t="s">
        <v>30929</v>
      </c>
      <c r="AA4514">
        <v>0.54150229505646763</v>
      </c>
      <c r="AB4514" t="str">
        <f>HYPERLINK("Melting_Curves/meltCurve_Q8N5M1_ATPAF2.pdf", "Melting_Curves/meltCurve_Q8N5M1_ATPAF2.pdf")</f>
        <v>Melting_Curves/meltCurve_Q8N5M1_ATPAF2.pdf</v>
      </c>
    </row>
    <row r="4515" spans="1:28" x14ac:dyDescent="0.25">
      <c r="A4515" t="s">
        <v>4519</v>
      </c>
      <c r="B4515">
        <v>0.99193492352474899</v>
      </c>
      <c r="C4515">
        <v>1.6071925062265799</v>
      </c>
      <c r="D4515">
        <v>0.75367391730415001</v>
      </c>
      <c r="E4515">
        <v>0.70049773213953703</v>
      </c>
      <c r="F4515">
        <v>0.34238978381497198</v>
      </c>
      <c r="G4515">
        <v>0.17242514468085099</v>
      </c>
      <c r="H4515">
        <v>0.143119526639264</v>
      </c>
      <c r="I4515">
        <v>0.25009999195211502</v>
      </c>
      <c r="J4515">
        <v>0.15157729584787</v>
      </c>
      <c r="K4515">
        <v>0.137704038468691</v>
      </c>
      <c r="L4515">
        <v>1332.2393646226301</v>
      </c>
      <c r="M4515">
        <v>26.413382898881199</v>
      </c>
      <c r="N4515">
        <v>51.199967401024097</v>
      </c>
      <c r="O4515">
        <v>50.151597141946297</v>
      </c>
      <c r="P4515">
        <v>-0.11027185354787</v>
      </c>
      <c r="Q4515">
        <v>0.16250793368028299</v>
      </c>
      <c r="R4515">
        <v>0.80215474534729403</v>
      </c>
      <c r="S4515" t="s">
        <v>11185</v>
      </c>
      <c r="T4515" t="s">
        <v>13338</v>
      </c>
      <c r="U4515" t="s">
        <v>13338</v>
      </c>
      <c r="V4515" t="s">
        <v>13338</v>
      </c>
      <c r="W4515" t="s">
        <v>17797</v>
      </c>
      <c r="X4515">
        <v>2</v>
      </c>
      <c r="Y4515" t="s">
        <v>24300</v>
      </c>
      <c r="Z4515" t="s">
        <v>30930</v>
      </c>
      <c r="AA4515">
        <v>0.46063833278398159</v>
      </c>
      <c r="AB4515" t="str">
        <f>HYPERLINK("Melting_Curves/meltCurve_Q8N5M9_JAGN1.pdf", "Melting_Curves/meltCurve_Q8N5M9_JAGN1.pdf")</f>
        <v>Melting_Curves/meltCurve_Q8N5M9_JAGN1.pdf</v>
      </c>
    </row>
    <row r="4516" spans="1:28" x14ac:dyDescent="0.25">
      <c r="A4516" t="s">
        <v>4520</v>
      </c>
      <c r="B4516">
        <v>0.99193492352474899</v>
      </c>
      <c r="C4516">
        <v>1.0183633874014699</v>
      </c>
      <c r="D4516">
        <v>0.787485595515793</v>
      </c>
      <c r="E4516">
        <v>0.81569160482258396</v>
      </c>
      <c r="F4516">
        <v>0.81832231929144195</v>
      </c>
      <c r="G4516">
        <v>0.55460008378980097</v>
      </c>
      <c r="H4516">
        <v>0.41832140300748</v>
      </c>
      <c r="I4516">
        <v>0.475966991551239</v>
      </c>
      <c r="J4516">
        <v>0.42941871517559899</v>
      </c>
      <c r="K4516">
        <v>0.46227230035856898</v>
      </c>
      <c r="L4516">
        <v>586.31887068993501</v>
      </c>
      <c r="M4516">
        <v>10.952966545116</v>
      </c>
      <c r="N4516">
        <v>61.1944979704652</v>
      </c>
      <c r="O4516">
        <v>51.839003650722297</v>
      </c>
      <c r="P4516">
        <v>-3.3121987424252999E-2</v>
      </c>
      <c r="Q4516">
        <v>0.37316631433215502</v>
      </c>
      <c r="R4516">
        <v>0.91056577365728697</v>
      </c>
      <c r="S4516" t="s">
        <v>11186</v>
      </c>
      <c r="T4516" t="s">
        <v>13338</v>
      </c>
      <c r="U4516" t="s">
        <v>13338</v>
      </c>
      <c r="V4516" t="s">
        <v>13338</v>
      </c>
      <c r="W4516" t="s">
        <v>17798</v>
      </c>
      <c r="X4516">
        <v>5</v>
      </c>
      <c r="Y4516" t="s">
        <v>24301</v>
      </c>
      <c r="Z4516" t="s">
        <v>30931</v>
      </c>
      <c r="AA4516">
        <v>0.67452875549395297</v>
      </c>
      <c r="AB4516" t="str">
        <f>HYPERLINK("Melting_Curves/meltCurve_Q8N5N7_MRPL50.pdf", "Melting_Curves/meltCurve_Q8N5N7_MRPL50.pdf")</f>
        <v>Melting_Curves/meltCurve_Q8N5N7_MRPL50.pdf</v>
      </c>
    </row>
    <row r="4517" spans="1:28" x14ac:dyDescent="0.25">
      <c r="A4517" t="s">
        <v>4521</v>
      </c>
      <c r="B4517">
        <v>0.99193492352474899</v>
      </c>
      <c r="C4517">
        <v>0.58029922492423602</v>
      </c>
      <c r="D4517">
        <v>0.88129599353413601</v>
      </c>
      <c r="E4517">
        <v>0.59739167804509097</v>
      </c>
      <c r="F4517">
        <v>0.47662227363592702</v>
      </c>
      <c r="G4517">
        <v>0.27624374378663102</v>
      </c>
      <c r="H4517">
        <v>0.23472422336552401</v>
      </c>
      <c r="I4517">
        <v>0.29694049954622598</v>
      </c>
      <c r="J4517">
        <v>0.380138667008797</v>
      </c>
      <c r="K4517">
        <v>0.59031907440723996</v>
      </c>
      <c r="L4517">
        <v>564.17372799109205</v>
      </c>
      <c r="M4517">
        <v>12.1212635977929</v>
      </c>
      <c r="N4517">
        <v>51.473659865332799</v>
      </c>
      <c r="O4517">
        <v>45.331631553095697</v>
      </c>
      <c r="P4517">
        <v>-4.3903277287817802E-2</v>
      </c>
      <c r="Q4517">
        <v>0.34338665742386298</v>
      </c>
      <c r="R4517">
        <v>0.650217453112101</v>
      </c>
      <c r="S4517" t="s">
        <v>11187</v>
      </c>
      <c r="T4517" t="s">
        <v>13338</v>
      </c>
      <c r="U4517" t="s">
        <v>13338</v>
      </c>
      <c r="V4517" t="s">
        <v>13338</v>
      </c>
      <c r="W4517" t="s">
        <v>17799</v>
      </c>
      <c r="X4517">
        <v>9</v>
      </c>
      <c r="Y4517" t="s">
        <v>24302</v>
      </c>
      <c r="Z4517" t="s">
        <v>30932</v>
      </c>
      <c r="AA4517">
        <v>0.51464694542627354</v>
      </c>
      <c r="AB4517" t="str">
        <f>HYPERLINK("Melting_Curves/meltCurve_Q8N5P1_ZC3H8.pdf", "Melting_Curves/meltCurve_Q8N5P1_ZC3H8.pdf")</f>
        <v>Melting_Curves/meltCurve_Q8N5P1_ZC3H8.pdf</v>
      </c>
    </row>
    <row r="4518" spans="1:28" x14ac:dyDescent="0.25">
      <c r="A4518" t="s">
        <v>4522</v>
      </c>
      <c r="B4518">
        <v>0.99193492352474899</v>
      </c>
      <c r="C4518">
        <v>0.51773034637641202</v>
      </c>
      <c r="D4518">
        <v>0.59797296094726105</v>
      </c>
      <c r="E4518">
        <v>0.31518869605834199</v>
      </c>
      <c r="F4518">
        <v>0.25192594607539898</v>
      </c>
      <c r="G4518">
        <v>5.5585682156637298E-2</v>
      </c>
      <c r="H4518">
        <v>4.4162113843471497E-2</v>
      </c>
      <c r="I4518">
        <v>3.7110991103193902E-3</v>
      </c>
      <c r="J4518">
        <v>1.00866693995276E-2</v>
      </c>
      <c r="K4518">
        <v>1.43511322528366E-2</v>
      </c>
      <c r="L4518">
        <v>529.08371486150304</v>
      </c>
      <c r="M4518">
        <v>11.4397853613732</v>
      </c>
      <c r="N4518">
        <v>46.2494505807962</v>
      </c>
      <c r="O4518">
        <v>44.903885115868299</v>
      </c>
      <c r="P4518">
        <v>-6.3708899577454403E-2</v>
      </c>
      <c r="Q4518">
        <v>0</v>
      </c>
      <c r="R4518">
        <v>0.92824602509008203</v>
      </c>
      <c r="S4518" t="s">
        <v>11188</v>
      </c>
      <c r="T4518" t="s">
        <v>13338</v>
      </c>
      <c r="U4518" t="s">
        <v>13338</v>
      </c>
      <c r="V4518" t="s">
        <v>13338</v>
      </c>
      <c r="W4518" t="s">
        <v>17800</v>
      </c>
      <c r="X4518">
        <v>2</v>
      </c>
      <c r="Y4518" t="s">
        <v>24303</v>
      </c>
      <c r="Z4518" t="s">
        <v>30933</v>
      </c>
      <c r="AA4518">
        <v>0.25693146066893469</v>
      </c>
      <c r="AB4518" t="str">
        <f>HYPERLINK("Melting_Curves/meltCurve_Q8N5Y8_PARP16.pdf", "Melting_Curves/meltCurve_Q8N5Y8_PARP16.pdf")</f>
        <v>Melting_Curves/meltCurve_Q8N5Y8_PARP16.pdf</v>
      </c>
    </row>
    <row r="4519" spans="1:28" x14ac:dyDescent="0.25">
      <c r="A4519" t="s">
        <v>4523</v>
      </c>
      <c r="B4519">
        <v>0.99193492352474899</v>
      </c>
      <c r="C4519">
        <v>1.2229067220446601</v>
      </c>
      <c r="D4519">
        <v>0.75225350320008899</v>
      </c>
      <c r="E4519">
        <v>0.69726059647326399</v>
      </c>
      <c r="F4519">
        <v>0.51708589903469604</v>
      </c>
      <c r="G4519">
        <v>0.51249133552203097</v>
      </c>
      <c r="H4519">
        <v>0.197329215650307</v>
      </c>
      <c r="I4519">
        <v>0.57024812991083795</v>
      </c>
      <c r="J4519">
        <v>0.26762844838500399</v>
      </c>
      <c r="K4519">
        <v>0.65960445462238704</v>
      </c>
      <c r="L4519">
        <v>1123.79737655692</v>
      </c>
      <c r="M4519">
        <v>23.1302408133478</v>
      </c>
      <c r="N4519">
        <v>53.479334448891599</v>
      </c>
      <c r="O4519">
        <v>48.226843223572303</v>
      </c>
      <c r="P4519">
        <v>-6.7173761746440699E-2</v>
      </c>
      <c r="Q4519">
        <v>0.43977769981069798</v>
      </c>
      <c r="R4519">
        <v>0.71963395018343801</v>
      </c>
      <c r="S4519" t="s">
        <v>11189</v>
      </c>
      <c r="T4519" t="s">
        <v>13338</v>
      </c>
      <c r="U4519" t="s">
        <v>13338</v>
      </c>
      <c r="V4519" t="s">
        <v>13338</v>
      </c>
      <c r="W4519" t="s">
        <v>17801</v>
      </c>
      <c r="X4519">
        <v>1</v>
      </c>
      <c r="Y4519" t="s">
        <v>24304</v>
      </c>
      <c r="Z4519" t="s">
        <v>30934</v>
      </c>
      <c r="AA4519">
        <v>0.60593257995714156</v>
      </c>
      <c r="AB4519" t="str">
        <f>HYPERLINK("Melting_Curves/meltCurve_Q8N5Z5_2_KCTD17.pdf", "Melting_Curves/meltCurve_Q8N5Z5_2_KCTD17.pdf")</f>
        <v>Melting_Curves/meltCurve_Q8N5Z5_2_KCTD17.pdf</v>
      </c>
    </row>
    <row r="4520" spans="1:28" x14ac:dyDescent="0.25">
      <c r="A4520" t="s">
        <v>4524</v>
      </c>
      <c r="B4520">
        <v>0.99193492352474899</v>
      </c>
      <c r="C4520">
        <v>0.99988975484887799</v>
      </c>
      <c r="D4520">
        <v>0.81399836542594495</v>
      </c>
      <c r="E4520">
        <v>0.63665623747812605</v>
      </c>
      <c r="F4520">
        <v>0.63402766555659795</v>
      </c>
      <c r="G4520">
        <v>0.461503924336294</v>
      </c>
      <c r="H4520">
        <v>0.36377080597786898</v>
      </c>
      <c r="I4520">
        <v>0.356227411932514</v>
      </c>
      <c r="J4520">
        <v>0.51359727320962301</v>
      </c>
      <c r="K4520">
        <v>0.52933770883325904</v>
      </c>
      <c r="L4520">
        <v>851.47633876807197</v>
      </c>
      <c r="M4520">
        <v>17.5605268115625</v>
      </c>
      <c r="N4520">
        <v>55.329253745105902</v>
      </c>
      <c r="O4520">
        <v>47.8723983108409</v>
      </c>
      <c r="P4520">
        <v>-5.1083909338004399E-2</v>
      </c>
      <c r="Q4520">
        <v>0.44298339736218001</v>
      </c>
      <c r="R4520">
        <v>0.91365789907405204</v>
      </c>
      <c r="S4520" t="s">
        <v>11190</v>
      </c>
      <c r="T4520" t="s">
        <v>13338</v>
      </c>
      <c r="U4520" t="s">
        <v>13338</v>
      </c>
      <c r="V4520" t="s">
        <v>13338</v>
      </c>
      <c r="W4520" t="s">
        <v>17802</v>
      </c>
      <c r="X4520">
        <v>5</v>
      </c>
      <c r="Y4520" t="s">
        <v>24305</v>
      </c>
      <c r="Z4520" t="s">
        <v>30935</v>
      </c>
      <c r="AA4520">
        <v>0.61084079947077552</v>
      </c>
      <c r="AB4520" t="str">
        <f>HYPERLINK("Melting_Curves/meltCurve_Q8N608_4_DPP10.pdf", "Melting_Curves/meltCurve_Q8N608_4_DPP10.pdf")</f>
        <v>Melting_Curves/meltCurve_Q8N608_4_DPP10.pdf</v>
      </c>
    </row>
    <row r="4521" spans="1:28" x14ac:dyDescent="0.25">
      <c r="A4521" t="s">
        <v>4525</v>
      </c>
      <c r="B4521">
        <v>0.99193492352474899</v>
      </c>
      <c r="C4521">
        <v>0.76232570983707004</v>
      </c>
      <c r="D4521">
        <v>0.83304268229295997</v>
      </c>
      <c r="E4521">
        <v>0.56581238282353796</v>
      </c>
      <c r="F4521">
        <v>0.33473805189331701</v>
      </c>
      <c r="G4521">
        <v>0.14185984665006601</v>
      </c>
      <c r="H4521">
        <v>8.5644463197878398E-2</v>
      </c>
      <c r="I4521">
        <v>9.53596281818513E-2</v>
      </c>
      <c r="J4521">
        <v>0.143629420893748</v>
      </c>
      <c r="K4521">
        <v>0.14323495640725301</v>
      </c>
      <c r="L4521">
        <v>723.52611396768702</v>
      </c>
      <c r="M4521">
        <v>14.6164122075979</v>
      </c>
      <c r="N4521">
        <v>50.101228194746</v>
      </c>
      <c r="O4521">
        <v>48.602044553333499</v>
      </c>
      <c r="P4521">
        <v>-6.9152716998757899E-2</v>
      </c>
      <c r="Q4521">
        <v>8.03248571307216E-2</v>
      </c>
      <c r="R4521">
        <v>0.96444123576935603</v>
      </c>
      <c r="S4521" t="s">
        <v>11191</v>
      </c>
      <c r="T4521" t="s">
        <v>13338</v>
      </c>
      <c r="U4521" t="s">
        <v>13338</v>
      </c>
      <c r="V4521" t="s">
        <v>13338</v>
      </c>
      <c r="W4521" t="s">
        <v>17803</v>
      </c>
      <c r="X4521">
        <v>3</v>
      </c>
      <c r="Y4521" t="s">
        <v>24306</v>
      </c>
      <c r="Z4521" t="s">
        <v>30936</v>
      </c>
      <c r="AA4521">
        <v>0.39495495398179881</v>
      </c>
      <c r="AB4521" t="str">
        <f>HYPERLINK("Melting_Curves/meltCurve_Q8N668_COMMD1.pdf", "Melting_Curves/meltCurve_Q8N668_COMMD1.pdf")</f>
        <v>Melting_Curves/meltCurve_Q8N668_COMMD1.pdf</v>
      </c>
    </row>
    <row r="4522" spans="1:28" x14ac:dyDescent="0.25">
      <c r="A4522" t="s">
        <v>4526</v>
      </c>
      <c r="B4522">
        <v>0.99193492352474899</v>
      </c>
      <c r="C4522">
        <v>0.61790625776516905</v>
      </c>
      <c r="D4522">
        <v>0.87279017149694305</v>
      </c>
      <c r="E4522">
        <v>0.57723890182041104</v>
      </c>
      <c r="F4522">
        <v>0.37804310836246502</v>
      </c>
      <c r="G4522">
        <v>0.13996158156147701</v>
      </c>
      <c r="H4522">
        <v>7.62411925990992E-2</v>
      </c>
      <c r="I4522">
        <v>7.1716091619283204E-2</v>
      </c>
      <c r="J4522">
        <v>8.3181835113201694E-2</v>
      </c>
      <c r="K4522">
        <v>0.117137916881407</v>
      </c>
      <c r="L4522">
        <v>551.64277116432902</v>
      </c>
      <c r="M4522">
        <v>10.990026735781701</v>
      </c>
      <c r="N4522">
        <v>50.237287268988403</v>
      </c>
      <c r="O4522">
        <v>48.618798437249303</v>
      </c>
      <c r="P4522">
        <v>-5.62691598726901E-2</v>
      </c>
      <c r="Q4522">
        <v>4.6200860024400697E-3</v>
      </c>
      <c r="R4522">
        <v>0.90851942375363204</v>
      </c>
      <c r="S4522" t="s">
        <v>11192</v>
      </c>
      <c r="T4522" t="s">
        <v>13338</v>
      </c>
      <c r="U4522" t="s">
        <v>13338</v>
      </c>
      <c r="V4522" t="s">
        <v>13338</v>
      </c>
      <c r="W4522" t="s">
        <v>17804</v>
      </c>
      <c r="X4522">
        <v>14</v>
      </c>
      <c r="Y4522" t="s">
        <v>24307</v>
      </c>
      <c r="Z4522" t="s">
        <v>30937</v>
      </c>
      <c r="AA4522">
        <v>0.38171214780503482</v>
      </c>
      <c r="AB4522" t="str">
        <f>HYPERLINK("Melting_Curves/meltCurve_Q8N684_CPSF7.pdf", "Melting_Curves/meltCurve_Q8N684_CPSF7.pdf")</f>
        <v>Melting_Curves/meltCurve_Q8N684_CPSF7.pdf</v>
      </c>
    </row>
    <row r="4523" spans="1:28" x14ac:dyDescent="0.25">
      <c r="A4523" t="s">
        <v>4527</v>
      </c>
      <c r="B4523">
        <v>0.99193492352474899</v>
      </c>
      <c r="C4523">
        <v>1.0022593174738701</v>
      </c>
      <c r="D4523">
        <v>0.97203734330375702</v>
      </c>
      <c r="E4523">
        <v>0.87494421851854698</v>
      </c>
      <c r="F4523">
        <v>0.78634969074421102</v>
      </c>
      <c r="G4523">
        <v>0.68062375561557198</v>
      </c>
      <c r="H4523">
        <v>0.53717502961299401</v>
      </c>
      <c r="I4523">
        <v>0.66224906716321597</v>
      </c>
      <c r="J4523">
        <v>0.62434588184266804</v>
      </c>
      <c r="K4523">
        <v>0.49244788419284402</v>
      </c>
      <c r="L4523">
        <v>831.51973864482898</v>
      </c>
      <c r="M4523">
        <v>15.6543053245613</v>
      </c>
      <c r="O4523">
        <v>52.2734864963371</v>
      </c>
      <c r="P4523">
        <v>-3.3345262177007201E-2</v>
      </c>
      <c r="Q4523">
        <v>0.55464668970974196</v>
      </c>
      <c r="R4523">
        <v>0.93876207374962295</v>
      </c>
      <c r="S4523" t="s">
        <v>11193</v>
      </c>
      <c r="T4523" t="s">
        <v>13338</v>
      </c>
      <c r="U4523" t="s">
        <v>13338</v>
      </c>
      <c r="V4523" t="s">
        <v>13338</v>
      </c>
      <c r="W4523" t="s">
        <v>17805</v>
      </c>
      <c r="X4523">
        <v>2</v>
      </c>
      <c r="Y4523" t="s">
        <v>24308</v>
      </c>
      <c r="Z4523" t="s">
        <v>30938</v>
      </c>
      <c r="AA4523">
        <v>0.75836120026955145</v>
      </c>
      <c r="AB4523" t="str">
        <f>HYPERLINK("Melting_Curves/meltCurve_Q8N697_SLC15A4.pdf", "Melting_Curves/meltCurve_Q8N697_SLC15A4.pdf")</f>
        <v>Melting_Curves/meltCurve_Q8N697_SLC15A4.pdf</v>
      </c>
    </row>
    <row r="4524" spans="1:28" x14ac:dyDescent="0.25">
      <c r="A4524" t="s">
        <v>4528</v>
      </c>
      <c r="B4524">
        <v>0.99193492352474899</v>
      </c>
      <c r="C4524">
        <v>0.83576671660805302</v>
      </c>
      <c r="D4524">
        <v>0.71950444339887099</v>
      </c>
      <c r="E4524">
        <v>0.40135126944882299</v>
      </c>
      <c r="F4524">
        <v>0.166514458134428</v>
      </c>
      <c r="G4524">
        <v>0.118273135861432</v>
      </c>
      <c r="H4524">
        <v>8.0371977327477695E-2</v>
      </c>
      <c r="I4524">
        <v>9.9013898805916004E-2</v>
      </c>
      <c r="J4524">
        <v>0.110080616497493</v>
      </c>
      <c r="K4524">
        <v>0.13326257110027201</v>
      </c>
      <c r="L4524">
        <v>897.06906596210797</v>
      </c>
      <c r="M4524">
        <v>18.8381367410229</v>
      </c>
      <c r="N4524">
        <v>48.135708423463299</v>
      </c>
      <c r="O4524">
        <v>47.092971259056199</v>
      </c>
      <c r="P4524">
        <v>-9.0867689148738898E-2</v>
      </c>
      <c r="Q4524">
        <v>9.1406518022722802E-2</v>
      </c>
      <c r="R4524">
        <v>0.99163868856752002</v>
      </c>
      <c r="S4524" t="s">
        <v>11194</v>
      </c>
      <c r="T4524" t="s">
        <v>13338</v>
      </c>
      <c r="U4524" t="s">
        <v>13338</v>
      </c>
      <c r="V4524" t="s">
        <v>13338</v>
      </c>
      <c r="W4524" t="s">
        <v>17806</v>
      </c>
      <c r="X4524">
        <v>13</v>
      </c>
      <c r="Y4524" t="s">
        <v>24309</v>
      </c>
      <c r="Z4524" t="s">
        <v>30939</v>
      </c>
      <c r="AA4524">
        <v>0.33700123576269903</v>
      </c>
      <c r="AB4524" t="str">
        <f>HYPERLINK("Melting_Curves/meltCurve_Q8N6H7_ARFGAP2.pdf", "Melting_Curves/meltCurve_Q8N6H7_ARFGAP2.pdf")</f>
        <v>Melting_Curves/meltCurve_Q8N6H7_ARFGAP2.pdf</v>
      </c>
    </row>
    <row r="4525" spans="1:28" x14ac:dyDescent="0.25">
      <c r="A4525" t="s">
        <v>4529</v>
      </c>
      <c r="B4525">
        <v>0.99193492352474899</v>
      </c>
      <c r="C4525">
        <v>0.58469714954441399</v>
      </c>
      <c r="D4525">
        <v>0.53367251530257798</v>
      </c>
      <c r="E4525">
        <v>0.199434184168717</v>
      </c>
      <c r="F4525">
        <v>0.14301517360938301</v>
      </c>
      <c r="G4525">
        <v>8.3686832602674593E-2</v>
      </c>
      <c r="H4525">
        <v>5.4612034677610402E-2</v>
      </c>
      <c r="I4525">
        <v>6.3061979693393194E-2</v>
      </c>
      <c r="J4525">
        <v>7.4910404175288506E-2</v>
      </c>
      <c r="K4525">
        <v>9.7618159449999201E-2</v>
      </c>
      <c r="L4525">
        <v>736.46923979047494</v>
      </c>
      <c r="M4525">
        <v>16.378034875047899</v>
      </c>
      <c r="N4525">
        <v>45.351678843144803</v>
      </c>
      <c r="O4525">
        <v>44.312542136376202</v>
      </c>
      <c r="P4525">
        <v>-8.6412854145183696E-2</v>
      </c>
      <c r="Q4525">
        <v>6.4869678083934706E-2</v>
      </c>
      <c r="R4525">
        <v>0.96066873526874297</v>
      </c>
      <c r="S4525" t="s">
        <v>11195</v>
      </c>
      <c r="T4525" t="s">
        <v>13338</v>
      </c>
      <c r="U4525" t="s">
        <v>13338</v>
      </c>
      <c r="V4525" t="s">
        <v>13338</v>
      </c>
      <c r="W4525" t="s">
        <v>17807</v>
      </c>
      <c r="X4525">
        <v>11</v>
      </c>
      <c r="Y4525" t="s">
        <v>24310</v>
      </c>
      <c r="Z4525" t="s">
        <v>30940</v>
      </c>
      <c r="AA4525">
        <v>0.24466617436233501</v>
      </c>
      <c r="AB4525" t="str">
        <f>HYPERLINK("Melting_Curves/meltCurve_Q8N6M0_OTUD6B.pdf", "Melting_Curves/meltCurve_Q8N6M0_OTUD6B.pdf")</f>
        <v>Melting_Curves/meltCurve_Q8N6M0_OTUD6B.pdf</v>
      </c>
    </row>
    <row r="4526" spans="1:28" x14ac:dyDescent="0.25">
      <c r="A4526" t="s">
        <v>4530</v>
      </c>
      <c r="B4526">
        <v>0.99193492352474899</v>
      </c>
      <c r="C4526">
        <v>0.86901105226599595</v>
      </c>
      <c r="D4526">
        <v>0.87295927934861295</v>
      </c>
      <c r="E4526">
        <v>0.67995539414598405</v>
      </c>
      <c r="F4526">
        <v>0.56275887307845696</v>
      </c>
      <c r="G4526">
        <v>0.44148981535354898</v>
      </c>
      <c r="H4526">
        <v>0.32860655052908999</v>
      </c>
      <c r="I4526">
        <v>0.36410736216313899</v>
      </c>
      <c r="J4526">
        <v>0.50810579471391004</v>
      </c>
      <c r="K4526">
        <v>0.72484702233632403</v>
      </c>
      <c r="L4526">
        <v>940.00638603636401</v>
      </c>
      <c r="M4526">
        <v>19.535430528143699</v>
      </c>
      <c r="N4526">
        <v>56.457848348508598</v>
      </c>
      <c r="O4526">
        <v>47.622326084054599</v>
      </c>
      <c r="P4526">
        <v>-5.4140886948680897E-2</v>
      </c>
      <c r="Q4526">
        <v>0.47209294890392201</v>
      </c>
      <c r="R4526">
        <v>0.76381477543505505</v>
      </c>
      <c r="S4526" t="s">
        <v>11196</v>
      </c>
      <c r="T4526" t="s">
        <v>13338</v>
      </c>
      <c r="U4526" t="s">
        <v>13338</v>
      </c>
      <c r="V4526" t="s">
        <v>13338</v>
      </c>
      <c r="W4526" t="s">
        <v>17808</v>
      </c>
      <c r="X4526">
        <v>9</v>
      </c>
      <c r="Y4526" t="s">
        <v>24311</v>
      </c>
      <c r="Z4526" t="s">
        <v>30941</v>
      </c>
      <c r="AA4526">
        <v>0.62280986258514337</v>
      </c>
      <c r="AB4526" t="str">
        <f>HYPERLINK("Melting_Curves/meltCurve_Q8N6N3_C1orf52.pdf", "Melting_Curves/meltCurve_Q8N6N3_C1orf52.pdf")</f>
        <v>Melting_Curves/meltCurve_Q8N6N3_C1orf52.pdf</v>
      </c>
    </row>
    <row r="4527" spans="1:28" x14ac:dyDescent="0.25">
      <c r="A4527" t="s">
        <v>4531</v>
      </c>
      <c r="B4527">
        <v>0.99193492352474899</v>
      </c>
      <c r="C4527">
        <v>0.70108783535218899</v>
      </c>
      <c r="D4527">
        <v>0.90724585712018402</v>
      </c>
      <c r="E4527">
        <v>0.620616201365353</v>
      </c>
      <c r="F4527">
        <v>0.392767518315916</v>
      </c>
      <c r="G4527">
        <v>0.19026179708795399</v>
      </c>
      <c r="H4527">
        <v>0.12025115433323801</v>
      </c>
      <c r="I4527">
        <v>0.107615049618389</v>
      </c>
      <c r="J4527">
        <v>0.14869707222721101</v>
      </c>
      <c r="K4527">
        <v>0.23541217694521999</v>
      </c>
      <c r="L4527">
        <v>734.12504980096503</v>
      </c>
      <c r="M4527">
        <v>14.661505879691401</v>
      </c>
      <c r="N4527">
        <v>50.988197153155703</v>
      </c>
      <c r="O4527">
        <v>49.167764146828702</v>
      </c>
      <c r="P4527">
        <v>-6.5919520436871604E-2</v>
      </c>
      <c r="Q4527">
        <v>0.115845990557209</v>
      </c>
      <c r="R4527">
        <v>0.91917710555160403</v>
      </c>
      <c r="S4527" t="s">
        <v>11197</v>
      </c>
      <c r="T4527" t="s">
        <v>13338</v>
      </c>
      <c r="U4527" t="s">
        <v>13338</v>
      </c>
      <c r="V4527" t="s">
        <v>13338</v>
      </c>
      <c r="W4527" t="s">
        <v>17809</v>
      </c>
      <c r="X4527">
        <v>5</v>
      </c>
      <c r="Y4527" t="s">
        <v>24312</v>
      </c>
      <c r="Z4527" t="s">
        <v>30942</v>
      </c>
      <c r="AA4527">
        <v>0.4345684118669535</v>
      </c>
      <c r="AB4527" t="str">
        <f>HYPERLINK("Melting_Curves/meltCurve_Q8N6N7_ACBD7.pdf", "Melting_Curves/meltCurve_Q8N6N7_ACBD7.pdf")</f>
        <v>Melting_Curves/meltCurve_Q8N6N7_ACBD7.pdf</v>
      </c>
    </row>
    <row r="4528" spans="1:28" x14ac:dyDescent="0.25">
      <c r="A4528" t="s">
        <v>4532</v>
      </c>
      <c r="B4528">
        <v>0.99193492352474899</v>
      </c>
      <c r="C4528">
        <v>0.98499875406190696</v>
      </c>
      <c r="D4528">
        <v>1.00167797840168</v>
      </c>
      <c r="E4528">
        <v>0.84144950993816503</v>
      </c>
      <c r="F4528">
        <v>0.73308372130546096</v>
      </c>
      <c r="G4528">
        <v>0.43423059302094602</v>
      </c>
      <c r="H4528">
        <v>0.197667613256546</v>
      </c>
      <c r="I4528">
        <v>0.25792163065316598</v>
      </c>
      <c r="J4528">
        <v>0.33288710781277497</v>
      </c>
      <c r="K4528">
        <v>0.267026973649793</v>
      </c>
      <c r="L4528">
        <v>1293.10881543449</v>
      </c>
      <c r="M4528">
        <v>23.970660292368098</v>
      </c>
      <c r="N4528">
        <v>55.566053043811799</v>
      </c>
      <c r="O4528">
        <v>53.574242740277697</v>
      </c>
      <c r="P4528">
        <v>-8.3728296313579906E-2</v>
      </c>
      <c r="Q4528">
        <v>0.251483485444636</v>
      </c>
      <c r="R4528">
        <v>0.97617939907928197</v>
      </c>
      <c r="S4528" t="s">
        <v>11198</v>
      </c>
      <c r="T4528" t="s">
        <v>13338</v>
      </c>
      <c r="U4528" t="s">
        <v>13338</v>
      </c>
      <c r="V4528" t="s">
        <v>13338</v>
      </c>
      <c r="W4528" t="s">
        <v>17810</v>
      </c>
      <c r="X4528">
        <v>3</v>
      </c>
      <c r="Y4528" t="s">
        <v>24313</v>
      </c>
      <c r="Z4528" t="s">
        <v>30943</v>
      </c>
      <c r="AA4528">
        <v>0.6069035107449412</v>
      </c>
      <c r="AB4528" t="str">
        <f>HYPERLINK("Melting_Curves/meltCurve_Q8N6Q8_METTL25.pdf", "Melting_Curves/meltCurve_Q8N6Q8_METTL25.pdf")</f>
        <v>Melting_Curves/meltCurve_Q8N6Q8_METTL25.pdf</v>
      </c>
    </row>
    <row r="4529" spans="1:28" x14ac:dyDescent="0.25">
      <c r="A4529" t="s">
        <v>4533</v>
      </c>
      <c r="B4529">
        <v>0.99193492352474899</v>
      </c>
      <c r="C4529">
        <v>0.81284199859210504</v>
      </c>
      <c r="D4529">
        <v>0.90701197585402604</v>
      </c>
      <c r="E4529">
        <v>0.67367284120254001</v>
      </c>
      <c r="F4529">
        <v>0.59132472996163099</v>
      </c>
      <c r="G4529">
        <v>0.29575272553335102</v>
      </c>
      <c r="H4529">
        <v>0.27352754119898598</v>
      </c>
      <c r="I4529">
        <v>0.25449974482152099</v>
      </c>
      <c r="J4529">
        <v>0.31515375064302997</v>
      </c>
      <c r="K4529">
        <v>0.316108106404483</v>
      </c>
      <c r="L4529">
        <v>716.23952871820495</v>
      </c>
      <c r="M4529">
        <v>14.1246901535969</v>
      </c>
      <c r="N4529">
        <v>53.325835838776399</v>
      </c>
      <c r="O4529">
        <v>49.724378873011602</v>
      </c>
      <c r="P4529">
        <v>-5.3265089194725598E-2</v>
      </c>
      <c r="Q4529">
        <v>0.25004090440173798</v>
      </c>
      <c r="R4529">
        <v>0.94204954683556696</v>
      </c>
      <c r="S4529" t="s">
        <v>11199</v>
      </c>
      <c r="T4529" t="s">
        <v>13338</v>
      </c>
      <c r="U4529" t="s">
        <v>13338</v>
      </c>
      <c r="V4529" t="s">
        <v>13338</v>
      </c>
      <c r="W4529" t="s">
        <v>17811</v>
      </c>
      <c r="X4529">
        <v>3</v>
      </c>
      <c r="Y4529" t="s">
        <v>24314</v>
      </c>
      <c r="Z4529" t="s">
        <v>30944</v>
      </c>
      <c r="AA4529">
        <v>0.53705923365811192</v>
      </c>
      <c r="AB4529" t="str">
        <f>HYPERLINK("Melting_Curves/meltCurve_Q8N6S5_ARL6IP6.pdf", "Melting_Curves/meltCurve_Q8N6S5_ARL6IP6.pdf")</f>
        <v>Melting_Curves/meltCurve_Q8N6S5_ARL6IP6.pdf</v>
      </c>
    </row>
    <row r="4530" spans="1:28" x14ac:dyDescent="0.25">
      <c r="A4530" t="s">
        <v>4534</v>
      </c>
      <c r="B4530">
        <v>0.99193492352474899</v>
      </c>
      <c r="C4530">
        <v>0.97522525738236898</v>
      </c>
      <c r="D4530">
        <v>0.96060342079611805</v>
      </c>
      <c r="E4530">
        <v>0.339431209311363</v>
      </c>
      <c r="F4530">
        <v>0.184629313809303</v>
      </c>
      <c r="G4530">
        <v>0.117486668776694</v>
      </c>
      <c r="H4530">
        <v>6.7897781984956093E-2</v>
      </c>
      <c r="I4530">
        <v>7.4401463693293798E-2</v>
      </c>
      <c r="J4530">
        <v>7.4914978678151195E-2</v>
      </c>
      <c r="K4530">
        <v>0.17849195542383101</v>
      </c>
      <c r="L4530">
        <v>2400.4465412045201</v>
      </c>
      <c r="M4530">
        <v>49.422623254426902</v>
      </c>
      <c r="N4530">
        <v>48.823513841946003</v>
      </c>
      <c r="O4530">
        <v>48.490470631598697</v>
      </c>
      <c r="P4530">
        <v>-0.22594853247014801</v>
      </c>
      <c r="Q4530">
        <v>0.113252984599304</v>
      </c>
      <c r="R4530">
        <v>0.99084041793252897</v>
      </c>
      <c r="S4530" t="s">
        <v>11200</v>
      </c>
      <c r="T4530" t="s">
        <v>13338</v>
      </c>
      <c r="U4530" t="s">
        <v>13338</v>
      </c>
      <c r="V4530" t="s">
        <v>13338</v>
      </c>
      <c r="W4530" t="s">
        <v>17812</v>
      </c>
      <c r="X4530">
        <v>8</v>
      </c>
      <c r="Y4530" t="s">
        <v>24315</v>
      </c>
      <c r="Z4530" t="s">
        <v>30945</v>
      </c>
      <c r="AA4530">
        <v>0.36850607350712911</v>
      </c>
      <c r="AB4530" t="str">
        <f>HYPERLINK("Melting_Curves/meltCurve_Q8N6T3_ARFGAP1.pdf", "Melting_Curves/meltCurve_Q8N6T3_ARFGAP1.pdf")</f>
        <v>Melting_Curves/meltCurve_Q8N6T3_ARFGAP1.pdf</v>
      </c>
    </row>
    <row r="4531" spans="1:28" x14ac:dyDescent="0.25">
      <c r="A4531" t="s">
        <v>4535</v>
      </c>
      <c r="B4531">
        <v>0.99193492352474899</v>
      </c>
      <c r="C4531">
        <v>1.05420272464986</v>
      </c>
      <c r="D4531">
        <v>0.81015653113303299</v>
      </c>
      <c r="E4531">
        <v>0.64552831798657595</v>
      </c>
      <c r="F4531">
        <v>0.39202301360237801</v>
      </c>
      <c r="G4531">
        <v>0.25780457083411301</v>
      </c>
      <c r="H4531">
        <v>0.131841056438568</v>
      </c>
      <c r="I4531">
        <v>0.14902352428510801</v>
      </c>
      <c r="J4531">
        <v>0.151472357320173</v>
      </c>
      <c r="K4531">
        <v>0.17928843984616599</v>
      </c>
      <c r="L4531">
        <v>899.58242425761</v>
      </c>
      <c r="M4531">
        <v>17.834735222613901</v>
      </c>
      <c r="N4531">
        <v>51.382755233443902</v>
      </c>
      <c r="O4531">
        <v>49.818583020159203</v>
      </c>
      <c r="P4531">
        <v>-7.70128556179943E-2</v>
      </c>
      <c r="Q4531">
        <v>0.13954989739023299</v>
      </c>
      <c r="R4531">
        <v>0.98721470807322598</v>
      </c>
      <c r="S4531" t="s">
        <v>11201</v>
      </c>
      <c r="T4531" t="s">
        <v>13338</v>
      </c>
      <c r="U4531" t="s">
        <v>13338</v>
      </c>
      <c r="V4531" t="s">
        <v>13338</v>
      </c>
      <c r="W4531" t="s">
        <v>17813</v>
      </c>
      <c r="X4531">
        <v>5</v>
      </c>
      <c r="Y4531" t="s">
        <v>24316</v>
      </c>
      <c r="Z4531" t="s">
        <v>30946</v>
      </c>
      <c r="AA4531">
        <v>0.45382919368132402</v>
      </c>
      <c r="AB4531" t="str">
        <f>HYPERLINK("Melting_Curves/meltCurve_Q8N6T7_SIRT6.pdf", "Melting_Curves/meltCurve_Q8N6T7_SIRT6.pdf")</f>
        <v>Melting_Curves/meltCurve_Q8N6T7_SIRT6.pdf</v>
      </c>
    </row>
    <row r="4532" spans="1:28" x14ac:dyDescent="0.25">
      <c r="A4532" t="s">
        <v>4536</v>
      </c>
      <c r="B4532">
        <v>0.99193492352474899</v>
      </c>
      <c r="C4532">
        <v>0.95898839644785805</v>
      </c>
      <c r="D4532">
        <v>1.0169105043606901</v>
      </c>
      <c r="E4532">
        <v>0.88184603880057599</v>
      </c>
      <c r="F4532">
        <v>0.692853647424023</v>
      </c>
      <c r="G4532">
        <v>0.17972535539085299</v>
      </c>
      <c r="H4532">
        <v>0.10719267760760499</v>
      </c>
      <c r="I4532">
        <v>0.111336022591968</v>
      </c>
      <c r="J4532">
        <v>0.130335614876019</v>
      </c>
      <c r="K4532">
        <v>0.14881445137221</v>
      </c>
      <c r="L4532">
        <v>2274.3895207112701</v>
      </c>
      <c r="M4532">
        <v>42.229258013473903</v>
      </c>
      <c r="N4532">
        <v>54.202545088982802</v>
      </c>
      <c r="O4532">
        <v>53.737790355902099</v>
      </c>
      <c r="P4532">
        <v>-0.17334415330886299</v>
      </c>
      <c r="Q4532">
        <v>0.117662336279798</v>
      </c>
      <c r="R4532">
        <v>0.99119047721568498</v>
      </c>
      <c r="S4532" t="s">
        <v>11202</v>
      </c>
      <c r="T4532" t="s">
        <v>13338</v>
      </c>
      <c r="U4532" t="s">
        <v>13338</v>
      </c>
      <c r="V4532" t="s">
        <v>13338</v>
      </c>
      <c r="W4532" t="s">
        <v>17814</v>
      </c>
      <c r="X4532">
        <v>24</v>
      </c>
      <c r="Y4532" t="s">
        <v>24317</v>
      </c>
      <c r="Z4532" t="s">
        <v>30947</v>
      </c>
      <c r="AA4532">
        <v>0.52818910483273773</v>
      </c>
      <c r="AB4532" t="str">
        <f>HYPERLINK("Melting_Curves/meltCurve_Q8N766_3_EMC1.pdf", "Melting_Curves/meltCurve_Q8N766_3_EMC1.pdf")</f>
        <v>Melting_Curves/meltCurve_Q8N766_3_EMC1.pdf</v>
      </c>
    </row>
    <row r="4533" spans="1:28" x14ac:dyDescent="0.25">
      <c r="A4533" t="s">
        <v>4537</v>
      </c>
      <c r="B4533">
        <v>0.99193492352474899</v>
      </c>
      <c r="C4533">
        <v>0.85446391321466797</v>
      </c>
      <c r="D4533">
        <v>0.90090344615594498</v>
      </c>
      <c r="E4533">
        <v>0.59695968471134397</v>
      </c>
      <c r="F4533">
        <v>0.18853537943606299</v>
      </c>
      <c r="G4533">
        <v>9.9792457684251795E-2</v>
      </c>
      <c r="H4533">
        <v>6.0830279500083802E-2</v>
      </c>
      <c r="I4533">
        <v>7.3702353292117495E-2</v>
      </c>
      <c r="J4533">
        <v>7.9288545559808202E-2</v>
      </c>
      <c r="K4533">
        <v>9.6283393920528995E-2</v>
      </c>
      <c r="L4533">
        <v>1310.8653329271399</v>
      </c>
      <c r="M4533">
        <v>26.282609817106</v>
      </c>
      <c r="N4533">
        <v>50.159651085680501</v>
      </c>
      <c r="O4533">
        <v>49.589716187928303</v>
      </c>
      <c r="P4533">
        <v>-0.123344983615437</v>
      </c>
      <c r="Q4533">
        <v>6.9106903718570298E-2</v>
      </c>
      <c r="R4533">
        <v>0.98524307254703603</v>
      </c>
      <c r="S4533" t="s">
        <v>11203</v>
      </c>
      <c r="T4533" t="s">
        <v>13338</v>
      </c>
      <c r="U4533" t="s">
        <v>13338</v>
      </c>
      <c r="V4533" t="s">
        <v>13338</v>
      </c>
      <c r="W4533" t="s">
        <v>17815</v>
      </c>
      <c r="X4533">
        <v>27</v>
      </c>
      <c r="Y4533" t="s">
        <v>24318</v>
      </c>
      <c r="Z4533" t="s">
        <v>30948</v>
      </c>
      <c r="AA4533">
        <v>0.38306097142870721</v>
      </c>
      <c r="AB4533" t="str">
        <f>HYPERLINK("Melting_Curves/meltCurve_Q8N806_UBR7.pdf", "Melting_Curves/meltCurve_Q8N806_UBR7.pdf")</f>
        <v>Melting_Curves/meltCurve_Q8N806_UBR7.pdf</v>
      </c>
    </row>
    <row r="4534" spans="1:28" x14ac:dyDescent="0.25">
      <c r="A4534" t="s">
        <v>4538</v>
      </c>
      <c r="B4534">
        <v>0.99193492352474899</v>
      </c>
      <c r="C4534">
        <v>0.24754269931483999</v>
      </c>
      <c r="D4534">
        <v>0.53969174646156104</v>
      </c>
      <c r="E4534">
        <v>0.123919805091566</v>
      </c>
      <c r="F4534">
        <v>0.12854150163928699</v>
      </c>
      <c r="G4534">
        <v>2.8943718774383599E-2</v>
      </c>
      <c r="H4534">
        <v>1.8099805924246901E-2</v>
      </c>
      <c r="I4534">
        <v>7.6067278071346597E-2</v>
      </c>
      <c r="J4534">
        <v>3.0218914248311999E-2</v>
      </c>
      <c r="K4534">
        <v>3.2088883233926897E-2</v>
      </c>
      <c r="L4534">
        <v>655.10792340647595</v>
      </c>
      <c r="M4534">
        <v>15.114001926229401</v>
      </c>
      <c r="N4534">
        <v>43.571843650530099</v>
      </c>
      <c r="O4534">
        <v>42.6068816380958</v>
      </c>
      <c r="P4534">
        <v>-8.5327938335546805E-2</v>
      </c>
      <c r="Q4534">
        <v>3.7924976537671802E-2</v>
      </c>
      <c r="R4534">
        <v>0.78450058248024601</v>
      </c>
      <c r="S4534" t="s">
        <v>11204</v>
      </c>
      <c r="T4534" t="s">
        <v>13338</v>
      </c>
      <c r="U4534" t="s">
        <v>13338</v>
      </c>
      <c r="V4534" t="s">
        <v>13338</v>
      </c>
      <c r="W4534" t="s">
        <v>17816</v>
      </c>
      <c r="X4534">
        <v>1</v>
      </c>
      <c r="Y4534" t="s">
        <v>24319</v>
      </c>
      <c r="Z4534" t="s">
        <v>30949</v>
      </c>
      <c r="AA4534">
        <v>0.18296903647895121</v>
      </c>
      <c r="AB4534" t="str">
        <f>HYPERLINK("Melting_Curves/meltCurve_Q8N8A6_DDX51.pdf", "Melting_Curves/meltCurve_Q8N8A6_DDX51.pdf")</f>
        <v>Melting_Curves/meltCurve_Q8N8A6_DDX51.pdf</v>
      </c>
    </row>
    <row r="4535" spans="1:28" x14ac:dyDescent="0.25">
      <c r="A4535" t="s">
        <v>4539</v>
      </c>
      <c r="B4535">
        <v>0.99193492352474899</v>
      </c>
      <c r="C4535">
        <v>1.13304540448251</v>
      </c>
      <c r="D4535">
        <v>1.51433792326559</v>
      </c>
      <c r="E4535">
        <v>0.74370948179835805</v>
      </c>
      <c r="F4535">
        <v>0.70742600360191099</v>
      </c>
      <c r="G4535">
        <v>0.44601826464501199</v>
      </c>
      <c r="H4535">
        <v>0.433942870248617</v>
      </c>
      <c r="I4535">
        <v>0.61697413850800698</v>
      </c>
      <c r="J4535">
        <v>0.45095932551926299</v>
      </c>
      <c r="K4535">
        <v>0.95653232099293095</v>
      </c>
      <c r="L4535">
        <v>12370.6189784658</v>
      </c>
      <c r="M4535">
        <v>250</v>
      </c>
      <c r="O4535">
        <v>49.479309370806902</v>
      </c>
      <c r="P4535">
        <v>-0.50276636106718298</v>
      </c>
      <c r="Q4535">
        <v>0.601975483396747</v>
      </c>
      <c r="R4535">
        <v>0.55385818260118902</v>
      </c>
      <c r="S4535" t="s">
        <v>11205</v>
      </c>
      <c r="T4535" t="s">
        <v>13338</v>
      </c>
      <c r="U4535" t="s">
        <v>13338</v>
      </c>
      <c r="V4535" t="s">
        <v>13338</v>
      </c>
      <c r="W4535" t="s">
        <v>17817</v>
      </c>
      <c r="X4535">
        <v>2</v>
      </c>
      <c r="Y4535" t="s">
        <v>24320</v>
      </c>
      <c r="Z4535" t="s">
        <v>30950</v>
      </c>
      <c r="AA4535">
        <v>0.72781864462780077</v>
      </c>
      <c r="AB4535" t="str">
        <f>HYPERLINK("Melting_Curves/meltCurve_Q8N8J7_C4orf32.pdf", "Melting_Curves/meltCurve_Q8N8J7_C4orf32.pdf")</f>
        <v>Melting_Curves/meltCurve_Q8N8J7_C4orf32.pdf</v>
      </c>
    </row>
    <row r="4536" spans="1:28" x14ac:dyDescent="0.25">
      <c r="A4536" t="s">
        <v>4540</v>
      </c>
      <c r="B4536">
        <v>0.99193492352474899</v>
      </c>
      <c r="C4536">
        <v>1.0952822434845</v>
      </c>
      <c r="D4536">
        <v>1.08786724190192</v>
      </c>
      <c r="E4536">
        <v>0.80693764240535804</v>
      </c>
      <c r="F4536">
        <v>0.30909998389827498</v>
      </c>
      <c r="G4536">
        <v>0.22646464695378801</v>
      </c>
      <c r="H4536">
        <v>0.113342502345689</v>
      </c>
      <c r="I4536">
        <v>0.114857870426265</v>
      </c>
      <c r="J4536">
        <v>8.7719853439260295E-2</v>
      </c>
      <c r="K4536">
        <v>5.8188532511978301E-2</v>
      </c>
      <c r="L4536">
        <v>1789.92752150773</v>
      </c>
      <c r="M4536">
        <v>34.7608011124724</v>
      </c>
      <c r="N4536">
        <v>51.858755840664102</v>
      </c>
      <c r="O4536">
        <v>51.323173685763301</v>
      </c>
      <c r="P4536">
        <v>-0.15090273698229301</v>
      </c>
      <c r="Q4536">
        <v>0.108791620555625</v>
      </c>
      <c r="R4536">
        <v>0.98328881029899895</v>
      </c>
      <c r="S4536" t="s">
        <v>11206</v>
      </c>
      <c r="T4536" t="s">
        <v>13338</v>
      </c>
      <c r="U4536" t="s">
        <v>13338</v>
      </c>
      <c r="V4536" t="s">
        <v>13338</v>
      </c>
      <c r="W4536" t="s">
        <v>17818</v>
      </c>
      <c r="X4536">
        <v>3</v>
      </c>
      <c r="Y4536" t="s">
        <v>24321</v>
      </c>
      <c r="Z4536" t="s">
        <v>30951</v>
      </c>
      <c r="AA4536">
        <v>0.45441058899721709</v>
      </c>
      <c r="AB4536" t="str">
        <f>HYPERLINK("Melting_Curves/meltCurve_Q8N8R3_SLC25A29.pdf", "Melting_Curves/meltCurve_Q8N8R3_SLC25A29.pdf")</f>
        <v>Melting_Curves/meltCurve_Q8N8R3_SLC25A29.pdf</v>
      </c>
    </row>
    <row r="4537" spans="1:28" x14ac:dyDescent="0.25">
      <c r="A4537" t="s">
        <v>4541</v>
      </c>
      <c r="B4537">
        <v>0.99193492352474899</v>
      </c>
      <c r="C4537">
        <v>0.83612107654137402</v>
      </c>
      <c r="D4537">
        <v>0.90185360148302696</v>
      </c>
      <c r="E4537">
        <v>0.98402811800817003</v>
      </c>
      <c r="F4537">
        <v>0.40171228829592598</v>
      </c>
      <c r="G4537">
        <v>4.7123476586239103E-2</v>
      </c>
      <c r="H4537">
        <v>0.13523322729954401</v>
      </c>
      <c r="I4537">
        <v>0.27074508915663498</v>
      </c>
      <c r="J4537">
        <v>0.14604774074091401</v>
      </c>
      <c r="K4537">
        <v>0</v>
      </c>
      <c r="L4537">
        <v>13259.9626399395</v>
      </c>
      <c r="M4537">
        <v>250</v>
      </c>
      <c r="N4537">
        <v>53.098044100041797</v>
      </c>
      <c r="O4537">
        <v>53.036457544010098</v>
      </c>
      <c r="P4537">
        <v>-1.0372229807874001</v>
      </c>
      <c r="Q4537">
        <v>0.119829899308323</v>
      </c>
      <c r="R4537">
        <v>0.94720644187137903</v>
      </c>
      <c r="S4537" t="s">
        <v>11207</v>
      </c>
      <c r="T4537" t="s">
        <v>13338</v>
      </c>
      <c r="U4537" t="s">
        <v>13338</v>
      </c>
      <c r="V4537" t="s">
        <v>13338</v>
      </c>
      <c r="W4537" t="s">
        <v>17819</v>
      </c>
      <c r="X4537">
        <v>1</v>
      </c>
      <c r="Y4537" t="s">
        <v>24322</v>
      </c>
      <c r="Z4537" t="s">
        <v>30952</v>
      </c>
      <c r="AA4537">
        <v>0.50248804850032847</v>
      </c>
      <c r="AB4537" t="str">
        <f>HYPERLINK("Melting_Curves/meltCurve_Q8N8R5_C2orf69.pdf", "Melting_Curves/meltCurve_Q8N8R5_C2orf69.pdf")</f>
        <v>Melting_Curves/meltCurve_Q8N8R5_C2orf69.pdf</v>
      </c>
    </row>
    <row r="4538" spans="1:28" x14ac:dyDescent="0.25">
      <c r="A4538" t="s">
        <v>4542</v>
      </c>
      <c r="B4538">
        <v>0.99193492352474899</v>
      </c>
      <c r="C4538">
        <v>0.78529494791695897</v>
      </c>
      <c r="D4538">
        <v>0.99499995279821796</v>
      </c>
      <c r="E4538">
        <v>0.72951285174465097</v>
      </c>
      <c r="F4538">
        <v>0.64516227299425899</v>
      </c>
      <c r="G4538">
        <v>0.43001184871221398</v>
      </c>
      <c r="H4538">
        <v>0.251103283495484</v>
      </c>
      <c r="I4538">
        <v>0.30394501925990203</v>
      </c>
      <c r="J4538">
        <v>0.43188082843473002</v>
      </c>
      <c r="K4538">
        <v>0.54933438135380197</v>
      </c>
      <c r="L4538">
        <v>993.05888291438805</v>
      </c>
      <c r="M4538">
        <v>19.504067143138901</v>
      </c>
      <c r="N4538">
        <v>54.9342330634531</v>
      </c>
      <c r="O4538">
        <v>50.389300449311698</v>
      </c>
      <c r="P4538">
        <v>-6.0000891763470503E-2</v>
      </c>
      <c r="Q4538">
        <v>0.37996642812993198</v>
      </c>
      <c r="R4538">
        <v>0.82107065331030005</v>
      </c>
      <c r="S4538" t="s">
        <v>11208</v>
      </c>
      <c r="T4538" t="s">
        <v>13338</v>
      </c>
      <c r="U4538" t="s">
        <v>13338</v>
      </c>
      <c r="V4538" t="s">
        <v>13338</v>
      </c>
      <c r="W4538" t="s">
        <v>17820</v>
      </c>
      <c r="X4538">
        <v>8</v>
      </c>
      <c r="Y4538" t="s">
        <v>24323</v>
      </c>
      <c r="Z4538" t="s">
        <v>30953</v>
      </c>
      <c r="AA4538">
        <v>0.61458812669150831</v>
      </c>
      <c r="AB4538" t="str">
        <f>HYPERLINK("Melting_Curves/meltCurve_Q8N8S7_2_ENAH.pdf", "Melting_Curves/meltCurve_Q8N8S7_2_ENAH.pdf")</f>
        <v>Melting_Curves/meltCurve_Q8N8S7_2_ENAH.pdf</v>
      </c>
    </row>
    <row r="4539" spans="1:28" x14ac:dyDescent="0.25">
      <c r="A4539" t="s">
        <v>4543</v>
      </c>
      <c r="B4539">
        <v>0.99193492352474899</v>
      </c>
      <c r="C4539">
        <v>1.1046531446669201</v>
      </c>
      <c r="D4539">
        <v>0.89278804048538696</v>
      </c>
      <c r="E4539">
        <v>0.91794459863545197</v>
      </c>
      <c r="F4539">
        <v>0.72572367606761101</v>
      </c>
      <c r="G4539">
        <v>0.508328299394049</v>
      </c>
      <c r="H4539">
        <v>0.38142954216123298</v>
      </c>
      <c r="I4539">
        <v>0.215137822149677</v>
      </c>
      <c r="J4539">
        <v>0.202482090599093</v>
      </c>
      <c r="K4539">
        <v>0.156153202203835</v>
      </c>
      <c r="L4539">
        <v>802.40254989022401</v>
      </c>
      <c r="M4539">
        <v>14.2391633131429</v>
      </c>
      <c r="N4539">
        <v>57.333913704283702</v>
      </c>
      <c r="O4539">
        <v>55.275299451898803</v>
      </c>
      <c r="P4539">
        <v>-5.7438636543567199E-2</v>
      </c>
      <c r="Q4539">
        <v>0.10822157941536099</v>
      </c>
      <c r="R4539">
        <v>0.98069482823409504</v>
      </c>
      <c r="S4539" t="s">
        <v>11209</v>
      </c>
      <c r="T4539" t="s">
        <v>13338</v>
      </c>
      <c r="U4539" t="s">
        <v>13338</v>
      </c>
      <c r="V4539" t="s">
        <v>13338</v>
      </c>
      <c r="W4539" t="s">
        <v>17821</v>
      </c>
      <c r="X4539">
        <v>1</v>
      </c>
      <c r="Y4539" t="s">
        <v>24324</v>
      </c>
      <c r="Z4539" t="s">
        <v>30954</v>
      </c>
      <c r="AA4539">
        <v>0.61012564300151484</v>
      </c>
      <c r="AB4539" t="str">
        <f>HYPERLINK("Melting_Curves/meltCurve_Q8N8Y2_ATP6V0D2.pdf", "Melting_Curves/meltCurve_Q8N8Y2_ATP6V0D2.pdf")</f>
        <v>Melting_Curves/meltCurve_Q8N8Y2_ATP6V0D2.pdf</v>
      </c>
    </row>
    <row r="4540" spans="1:28" x14ac:dyDescent="0.25">
      <c r="A4540" t="s">
        <v>4544</v>
      </c>
      <c r="B4540">
        <v>0.99193492352474899</v>
      </c>
      <c r="C4540">
        <v>0.73236519356565999</v>
      </c>
      <c r="D4540">
        <v>0.71210616495831602</v>
      </c>
      <c r="E4540">
        <v>0.60324579875655904</v>
      </c>
      <c r="F4540">
        <v>0.41861750975601297</v>
      </c>
      <c r="G4540">
        <v>0.26200130862012</v>
      </c>
      <c r="H4540">
        <v>0.16837973700328401</v>
      </c>
      <c r="I4540">
        <v>0.198844258210154</v>
      </c>
      <c r="J4540">
        <v>0.242145046922978</v>
      </c>
      <c r="K4540">
        <v>0.26953394608492398</v>
      </c>
      <c r="L4540">
        <v>537.30418202498095</v>
      </c>
      <c r="M4540">
        <v>11.096753715623301</v>
      </c>
      <c r="N4540">
        <v>50.364940540128103</v>
      </c>
      <c r="O4540">
        <v>46.927249572085401</v>
      </c>
      <c r="P4540">
        <v>-4.8830507514072898E-2</v>
      </c>
      <c r="Q4540">
        <v>0.17426870621024601</v>
      </c>
      <c r="R4540">
        <v>0.94841853844472301</v>
      </c>
      <c r="S4540" t="s">
        <v>11210</v>
      </c>
      <c r="T4540" t="s">
        <v>13338</v>
      </c>
      <c r="U4540" t="s">
        <v>13338</v>
      </c>
      <c r="V4540" t="s">
        <v>13338</v>
      </c>
      <c r="W4540" t="s">
        <v>17822</v>
      </c>
      <c r="X4540">
        <v>1</v>
      </c>
      <c r="Y4540" t="s">
        <v>24325</v>
      </c>
      <c r="Z4540" t="s">
        <v>30955</v>
      </c>
      <c r="AA4540">
        <v>0.44190584564288449</v>
      </c>
      <c r="AB4540" t="str">
        <f>HYPERLINK("Melting_Curves/meltCurve_Q8N8Z6_2_DCBLD1.pdf", "Melting_Curves/meltCurve_Q8N8Z6_2_DCBLD1.pdf")</f>
        <v>Melting_Curves/meltCurve_Q8N8Z6_2_DCBLD1.pdf</v>
      </c>
    </row>
    <row r="4541" spans="1:28" x14ac:dyDescent="0.25">
      <c r="A4541" t="s">
        <v>4545</v>
      </c>
      <c r="B4541">
        <v>0.99193492352474899</v>
      </c>
      <c r="C4541">
        <v>0.50984933848770497</v>
      </c>
      <c r="D4541">
        <v>0.66815585553580803</v>
      </c>
      <c r="E4541">
        <v>0.43879287556224</v>
      </c>
      <c r="F4541">
        <v>0.46364117641267499</v>
      </c>
      <c r="G4541">
        <v>0.17280360983610399</v>
      </c>
      <c r="H4541">
        <v>0.11954935112557701</v>
      </c>
      <c r="I4541">
        <v>0.174167591932952</v>
      </c>
      <c r="J4541">
        <v>0.231187421565023</v>
      </c>
      <c r="K4541">
        <v>0.197144385847001</v>
      </c>
      <c r="L4541">
        <v>437.49309406519001</v>
      </c>
      <c r="M4541">
        <v>9.4037318157738206</v>
      </c>
      <c r="N4541">
        <v>48.0470432220623</v>
      </c>
      <c r="O4541">
        <v>44.564958406512098</v>
      </c>
      <c r="P4541">
        <v>-4.5979763117843998E-2</v>
      </c>
      <c r="Q4541">
        <v>0.12892967782706799</v>
      </c>
      <c r="R4541">
        <v>0.83402927744838595</v>
      </c>
      <c r="S4541" t="s">
        <v>11211</v>
      </c>
      <c r="T4541" t="s">
        <v>13338</v>
      </c>
      <c r="U4541" t="s">
        <v>13338</v>
      </c>
      <c r="V4541" t="s">
        <v>13338</v>
      </c>
      <c r="W4541" t="s">
        <v>17823</v>
      </c>
      <c r="X4541">
        <v>4</v>
      </c>
      <c r="Y4541" t="s">
        <v>24326</v>
      </c>
      <c r="Z4541" t="s">
        <v>30956</v>
      </c>
      <c r="AA4541">
        <v>0.37574854290347942</v>
      </c>
      <c r="AB4541" t="str">
        <f>HYPERLINK("Melting_Curves/meltCurve_Q8N954_GPATCH11.pdf", "Melting_Curves/meltCurve_Q8N954_GPATCH11.pdf")</f>
        <v>Melting_Curves/meltCurve_Q8N954_GPATCH11.pdf</v>
      </c>
    </row>
    <row r="4542" spans="1:28" x14ac:dyDescent="0.25">
      <c r="A4542" t="s">
        <v>4546</v>
      </c>
      <c r="B4542">
        <v>0.99193492352474899</v>
      </c>
      <c r="C4542">
        <v>0.76735457362593795</v>
      </c>
      <c r="D4542">
        <v>1.1766433227431601</v>
      </c>
      <c r="E4542">
        <v>0.83647695729913396</v>
      </c>
      <c r="F4542">
        <v>0.76269919806613795</v>
      </c>
      <c r="G4542">
        <v>0.294346075865762</v>
      </c>
      <c r="H4542">
        <v>0.209275046718849</v>
      </c>
      <c r="I4542">
        <v>0.390718169214546</v>
      </c>
      <c r="J4542">
        <v>0.59456905632270696</v>
      </c>
      <c r="K4542">
        <v>1.24913157621857</v>
      </c>
      <c r="L4542">
        <v>1951.75591857832</v>
      </c>
      <c r="M4542">
        <v>37.986721895493801</v>
      </c>
      <c r="O4542">
        <v>51.238180249544499</v>
      </c>
      <c r="P4542">
        <v>-8.1371382344055193E-2</v>
      </c>
      <c r="Q4542">
        <v>0.56097176282719396</v>
      </c>
      <c r="R4542">
        <v>0.29322820069845501</v>
      </c>
      <c r="S4542" t="s">
        <v>11212</v>
      </c>
      <c r="T4542" t="s">
        <v>13338</v>
      </c>
      <c r="U4542" t="s">
        <v>13338</v>
      </c>
      <c r="V4542" t="s">
        <v>13338</v>
      </c>
      <c r="W4542" t="s">
        <v>17824</v>
      </c>
      <c r="X4542">
        <v>2</v>
      </c>
      <c r="Y4542" t="s">
        <v>24327</v>
      </c>
      <c r="Z4542" t="s">
        <v>30957</v>
      </c>
      <c r="AA4542">
        <v>0.729238760723668</v>
      </c>
      <c r="AB4542" t="str">
        <f>HYPERLINK("Melting_Curves/meltCurve_Q8N999_C12orf29.pdf", "Melting_Curves/meltCurve_Q8N999_C12orf29.pdf")</f>
        <v>Melting_Curves/meltCurve_Q8N999_C12orf29.pdf</v>
      </c>
    </row>
    <row r="4543" spans="1:28" x14ac:dyDescent="0.25">
      <c r="A4543" t="s">
        <v>4547</v>
      </c>
      <c r="B4543">
        <v>0.99193492352474899</v>
      </c>
      <c r="C4543">
        <v>0.64220569786086301</v>
      </c>
      <c r="D4543">
        <v>0.94041916473072096</v>
      </c>
      <c r="E4543">
        <v>0.61577165258733901</v>
      </c>
      <c r="F4543">
        <v>0.49525032282002301</v>
      </c>
      <c r="G4543">
        <v>0.224994055556099</v>
      </c>
      <c r="H4543">
        <v>0.201176140491204</v>
      </c>
      <c r="I4543">
        <v>0.22669976167098299</v>
      </c>
      <c r="J4543">
        <v>0.30702075557404201</v>
      </c>
      <c r="K4543">
        <v>0.39562310800095901</v>
      </c>
      <c r="L4543">
        <v>667.23191825824097</v>
      </c>
      <c r="M4543">
        <v>13.5831979865723</v>
      </c>
      <c r="N4543">
        <v>51.671498168032002</v>
      </c>
      <c r="O4543">
        <v>48.093835678400197</v>
      </c>
      <c r="P4543">
        <v>-5.3372875541357501E-2</v>
      </c>
      <c r="Q4543">
        <v>0.24420598514858399</v>
      </c>
      <c r="R4543">
        <v>0.80722513224426096</v>
      </c>
      <c r="S4543" t="s">
        <v>11213</v>
      </c>
      <c r="T4543" t="s">
        <v>13338</v>
      </c>
      <c r="U4543" t="s">
        <v>13338</v>
      </c>
      <c r="V4543" t="s">
        <v>13338</v>
      </c>
      <c r="W4543" t="s">
        <v>17825</v>
      </c>
      <c r="X4543">
        <v>1</v>
      </c>
      <c r="Y4543" t="s">
        <v>24328</v>
      </c>
      <c r="Z4543" t="s">
        <v>30958</v>
      </c>
      <c r="AA4543">
        <v>0.49627469478763742</v>
      </c>
      <c r="AB4543" t="str">
        <f>HYPERLINK("Melting_Curves/meltCurve_Q8N9A8_2_CNEP1R1.pdf", "Melting_Curves/meltCurve_Q8N9A8_2_CNEP1R1.pdf")</f>
        <v>Melting_Curves/meltCurve_Q8N9A8_2_CNEP1R1.pdf</v>
      </c>
    </row>
    <row r="4544" spans="1:28" x14ac:dyDescent="0.25">
      <c r="A4544" t="s">
        <v>4548</v>
      </c>
      <c r="B4544">
        <v>0.99193492352474899</v>
      </c>
      <c r="C4544">
        <v>0.91572247737725498</v>
      </c>
      <c r="D4544">
        <v>0.75889784105305003</v>
      </c>
      <c r="E4544">
        <v>0.492211740468873</v>
      </c>
      <c r="F4544">
        <v>0.150244887535668</v>
      </c>
      <c r="G4544">
        <v>7.3030150753774101E-2</v>
      </c>
      <c r="H4544">
        <v>3.5170956828189902E-2</v>
      </c>
      <c r="I4544">
        <v>5.1504076855317001E-2</v>
      </c>
      <c r="J4544">
        <v>5.3527528583276598E-2</v>
      </c>
      <c r="K4544">
        <v>4.19586406980791E-2</v>
      </c>
      <c r="L4544">
        <v>961.50000048358504</v>
      </c>
      <c r="M4544">
        <v>19.677854078710201</v>
      </c>
      <c r="N4544">
        <v>49.014146487207903</v>
      </c>
      <c r="O4544">
        <v>48.365812782708801</v>
      </c>
      <c r="P4544">
        <v>-9.8704271018504403E-2</v>
      </c>
      <c r="Q4544">
        <v>2.9620605425649399E-2</v>
      </c>
      <c r="R4544">
        <v>0.99560905816317502</v>
      </c>
      <c r="S4544" t="s">
        <v>11214</v>
      </c>
      <c r="T4544" t="s">
        <v>13338</v>
      </c>
      <c r="U4544" t="s">
        <v>13338</v>
      </c>
      <c r="V4544" t="s">
        <v>13338</v>
      </c>
      <c r="W4544" t="s">
        <v>17826</v>
      </c>
      <c r="X4544">
        <v>2</v>
      </c>
      <c r="Y4544" t="s">
        <v>24329</v>
      </c>
      <c r="Z4544" t="s">
        <v>30959</v>
      </c>
      <c r="AA4544">
        <v>0.33034222299641142</v>
      </c>
      <c r="AB4544" t="str">
        <f>HYPERLINK("Melting_Curves/meltCurve_Q8N9F7_GDPD1.pdf", "Melting_Curves/meltCurve_Q8N9F7_GDPD1.pdf")</f>
        <v>Melting_Curves/meltCurve_Q8N9F7_GDPD1.pdf</v>
      </c>
    </row>
    <row r="4545" spans="1:28" x14ac:dyDescent="0.25">
      <c r="A4545" t="s">
        <v>4549</v>
      </c>
      <c r="B4545">
        <v>0.99193492352474899</v>
      </c>
      <c r="C4545">
        <v>0.423473550686853</v>
      </c>
      <c r="D4545">
        <v>0.36826267127525703</v>
      </c>
      <c r="E4545">
        <v>0.22600410530978801</v>
      </c>
      <c r="F4545">
        <v>0.11652035150075001</v>
      </c>
      <c r="G4545">
        <v>6.6574733615775206E-2</v>
      </c>
      <c r="H4545">
        <v>3.9808277941614401E-2</v>
      </c>
      <c r="I4545">
        <v>8.0794269281924402E-2</v>
      </c>
      <c r="J4545">
        <v>5.3154875971392103E-2</v>
      </c>
      <c r="K4545">
        <v>7.43298750321192E-2</v>
      </c>
      <c r="L4545">
        <v>831.14252602400097</v>
      </c>
      <c r="M4545">
        <v>19.195661218512001</v>
      </c>
      <c r="N4545">
        <v>43.678980389181902</v>
      </c>
      <c r="O4545">
        <v>42.836761778147299</v>
      </c>
      <c r="P4545">
        <v>-0.10340612175743299</v>
      </c>
      <c r="Q4545">
        <v>7.6996959959851202E-2</v>
      </c>
      <c r="R4545">
        <v>0.92466119305387595</v>
      </c>
      <c r="S4545" t="s">
        <v>11215</v>
      </c>
      <c r="T4545" t="s">
        <v>13338</v>
      </c>
      <c r="U4545" t="s">
        <v>13338</v>
      </c>
      <c r="V4545" t="s">
        <v>13338</v>
      </c>
      <c r="W4545" t="s">
        <v>17827</v>
      </c>
      <c r="X4545">
        <v>2</v>
      </c>
      <c r="Y4545" t="s">
        <v>24330</v>
      </c>
      <c r="Z4545" t="s">
        <v>30960</v>
      </c>
      <c r="AA4545">
        <v>0.20080398165381841</v>
      </c>
      <c r="AB4545" t="str">
        <f>HYPERLINK("Melting_Curves/meltCurve_Q8N9M1_C19orf47.pdf", "Melting_Curves/meltCurve_Q8N9M1_C19orf47.pdf")</f>
        <v>Melting_Curves/meltCurve_Q8N9M1_C19orf47.pdf</v>
      </c>
    </row>
    <row r="4546" spans="1:28" x14ac:dyDescent="0.25">
      <c r="A4546" t="s">
        <v>4550</v>
      </c>
      <c r="B4546">
        <v>0.99193492352474899</v>
      </c>
      <c r="C4546">
        <v>1.02838056962014</v>
      </c>
      <c r="D4546">
        <v>0.85020958630618304</v>
      </c>
      <c r="E4546">
        <v>0.40859322387481301</v>
      </c>
      <c r="F4546">
        <v>0.17319700947736999</v>
      </c>
      <c r="G4546">
        <v>9.2844284609084199E-2</v>
      </c>
      <c r="H4546">
        <v>6.6077439877001695E-2</v>
      </c>
      <c r="I4546">
        <v>8.0417817681750298E-2</v>
      </c>
      <c r="J4546">
        <v>9.0547918027594196E-2</v>
      </c>
      <c r="K4546">
        <v>0.113598559905463</v>
      </c>
      <c r="L4546">
        <v>1440.83027004166</v>
      </c>
      <c r="M4546">
        <v>29.640899609461901</v>
      </c>
      <c r="N4546">
        <v>48.930964150279998</v>
      </c>
      <c r="O4546">
        <v>48.389890913082603</v>
      </c>
      <c r="P4546">
        <v>-0.13958960920405999</v>
      </c>
      <c r="Q4546">
        <v>8.8464988836394504E-2</v>
      </c>
      <c r="R4546">
        <v>0.99733784675275605</v>
      </c>
      <c r="S4546" t="s">
        <v>11216</v>
      </c>
      <c r="T4546" t="s">
        <v>13338</v>
      </c>
      <c r="U4546" t="s">
        <v>13338</v>
      </c>
      <c r="V4546" t="s">
        <v>13338</v>
      </c>
      <c r="W4546" t="s">
        <v>17828</v>
      </c>
      <c r="X4546">
        <v>2</v>
      </c>
      <c r="Y4546" t="s">
        <v>24331</v>
      </c>
      <c r="Z4546" t="s">
        <v>30961</v>
      </c>
      <c r="AA4546">
        <v>0.35572298096293398</v>
      </c>
      <c r="AB4546" t="str">
        <f>HYPERLINK("Melting_Curves/meltCurve_Q8N9M5_TMEM102.pdf", "Melting_Curves/meltCurve_Q8N9M5_TMEM102.pdf")</f>
        <v>Melting_Curves/meltCurve_Q8N9M5_TMEM102.pdf</v>
      </c>
    </row>
    <row r="4547" spans="1:28" x14ac:dyDescent="0.25">
      <c r="A4547" t="s">
        <v>4551</v>
      </c>
      <c r="B4547">
        <v>0.99193492352474899</v>
      </c>
      <c r="C4547">
        <v>0.91226969468333896</v>
      </c>
      <c r="D4547">
        <v>0.91471555776012503</v>
      </c>
      <c r="E4547">
        <v>0.86671787849120296</v>
      </c>
      <c r="F4547">
        <v>0.52700603899184695</v>
      </c>
      <c r="G4547">
        <v>0.16251984736535899</v>
      </c>
      <c r="H4547">
        <v>9.2475222742613106E-2</v>
      </c>
      <c r="I4547">
        <v>0.108278300909624</v>
      </c>
      <c r="J4547">
        <v>0.106063724346064</v>
      </c>
      <c r="K4547">
        <v>0.10524448908278999</v>
      </c>
      <c r="L4547">
        <v>1507.91616380408</v>
      </c>
      <c r="M4547">
        <v>28.541888542190801</v>
      </c>
      <c r="N4547">
        <v>53.203533472143199</v>
      </c>
      <c r="O4547">
        <v>52.574382364690102</v>
      </c>
      <c r="P4547">
        <v>-0.123450163121075</v>
      </c>
      <c r="Q4547">
        <v>9.0422591174952702E-2</v>
      </c>
      <c r="R4547">
        <v>0.98914279888783796</v>
      </c>
      <c r="S4547" t="s">
        <v>11217</v>
      </c>
      <c r="T4547" t="s">
        <v>13338</v>
      </c>
      <c r="U4547" t="s">
        <v>13338</v>
      </c>
      <c r="V4547" t="s">
        <v>13338</v>
      </c>
      <c r="W4547" t="s">
        <v>17829</v>
      </c>
      <c r="X4547">
        <v>11</v>
      </c>
      <c r="Y4547" t="s">
        <v>24332</v>
      </c>
      <c r="Z4547" t="s">
        <v>30962</v>
      </c>
      <c r="AA4547">
        <v>0.485956477191203</v>
      </c>
      <c r="AB4547" t="str">
        <f>HYPERLINK("Melting_Curves/meltCurve_Q8N9N7_LRRC57.pdf", "Melting_Curves/meltCurve_Q8N9N7_LRRC57.pdf")</f>
        <v>Melting_Curves/meltCurve_Q8N9N7_LRRC57.pdf</v>
      </c>
    </row>
    <row r="4548" spans="1:28" x14ac:dyDescent="0.25">
      <c r="A4548" t="s">
        <v>4552</v>
      </c>
      <c r="B4548">
        <v>0.99193492352474899</v>
      </c>
      <c r="C4548">
        <v>0.74358514362384698</v>
      </c>
      <c r="D4548">
        <v>0.95640457273695001</v>
      </c>
      <c r="E4548">
        <v>0.72557832562140301</v>
      </c>
      <c r="F4548">
        <v>0.59939802022839805</v>
      </c>
      <c r="G4548">
        <v>0.31216363751662302</v>
      </c>
      <c r="H4548">
        <v>0.20336882456409999</v>
      </c>
      <c r="I4548">
        <v>0.174609227180197</v>
      </c>
      <c r="J4548">
        <v>0.232799438816024</v>
      </c>
      <c r="K4548">
        <v>0.274194900536811</v>
      </c>
      <c r="L4548">
        <v>769.55170559000101</v>
      </c>
      <c r="M4548">
        <v>14.7871677193439</v>
      </c>
      <c r="N4548">
        <v>53.633410913943798</v>
      </c>
      <c r="O4548">
        <v>51.117889683960399</v>
      </c>
      <c r="P4548">
        <v>-5.9481722648736503E-2</v>
      </c>
      <c r="Q4548">
        <v>0.177596315396197</v>
      </c>
      <c r="R4548">
        <v>0.91842724128644404</v>
      </c>
      <c r="S4548" t="s">
        <v>11218</v>
      </c>
      <c r="T4548" t="s">
        <v>13338</v>
      </c>
      <c r="U4548" t="s">
        <v>13338</v>
      </c>
      <c r="V4548" t="s">
        <v>13338</v>
      </c>
      <c r="W4548" t="s">
        <v>17830</v>
      </c>
      <c r="X4548">
        <v>6</v>
      </c>
      <c r="Y4548" t="s">
        <v>24333</v>
      </c>
      <c r="Z4548" t="s">
        <v>30963</v>
      </c>
      <c r="AA4548">
        <v>0.52646634839376572</v>
      </c>
      <c r="AB4548" t="str">
        <f>HYPERLINK("Melting_Curves/meltCurve_Q8N9N8_EIF1AD.pdf", "Melting_Curves/meltCurve_Q8N9N8_EIF1AD.pdf")</f>
        <v>Melting_Curves/meltCurve_Q8N9N8_EIF1AD.pdf</v>
      </c>
    </row>
    <row r="4549" spans="1:28" x14ac:dyDescent="0.25">
      <c r="A4549" t="s">
        <v>4553</v>
      </c>
      <c r="B4549">
        <v>0.99193492352474899</v>
      </c>
      <c r="C4549">
        <v>0.92979499681031297</v>
      </c>
      <c r="D4549">
        <v>0.61065285239813805</v>
      </c>
      <c r="E4549">
        <v>0.85980896616299896</v>
      </c>
      <c r="F4549">
        <v>0.34722202208507302</v>
      </c>
      <c r="G4549">
        <v>0.414588145946436</v>
      </c>
      <c r="H4549">
        <v>0.371321140348918</v>
      </c>
      <c r="I4549">
        <v>0.57287124044117999</v>
      </c>
      <c r="J4549">
        <v>0.20260280058717201</v>
      </c>
      <c r="K4549">
        <v>0.37227682984421001</v>
      </c>
      <c r="L4549">
        <v>599.45583566252003</v>
      </c>
      <c r="M4549">
        <v>12.351243459955301</v>
      </c>
      <c r="N4549">
        <v>53.392597444622197</v>
      </c>
      <c r="O4549">
        <v>47.3144163786639</v>
      </c>
      <c r="P4549">
        <v>-4.3245154889167303E-2</v>
      </c>
      <c r="Q4549">
        <v>0.33749874099475502</v>
      </c>
      <c r="R4549">
        <v>0.73936817723147996</v>
      </c>
      <c r="S4549" t="s">
        <v>11219</v>
      </c>
      <c r="T4549" t="s">
        <v>13338</v>
      </c>
      <c r="U4549" t="s">
        <v>13338</v>
      </c>
      <c r="V4549" t="s">
        <v>13338</v>
      </c>
      <c r="W4549" t="s">
        <v>17831</v>
      </c>
      <c r="X4549">
        <v>1</v>
      </c>
      <c r="Y4549" t="s">
        <v>24334</v>
      </c>
      <c r="Z4549" t="s">
        <v>30964</v>
      </c>
      <c r="AA4549">
        <v>0.54978514994121963</v>
      </c>
      <c r="AB4549" t="str">
        <f>HYPERLINK("Melting_Curves/meltCurve_Q8N9Q2_SREK1IP1.pdf", "Melting_Curves/meltCurve_Q8N9Q2_SREK1IP1.pdf")</f>
        <v>Melting_Curves/meltCurve_Q8N9Q2_SREK1IP1.pdf</v>
      </c>
    </row>
    <row r="4550" spans="1:28" x14ac:dyDescent="0.25">
      <c r="A4550" t="s">
        <v>4554</v>
      </c>
      <c r="B4550">
        <v>0.99193492352474899</v>
      </c>
      <c r="C4550">
        <v>0.83335928900071399</v>
      </c>
      <c r="D4550">
        <v>0.94683795066399201</v>
      </c>
      <c r="E4550">
        <v>0.77480221250679904</v>
      </c>
      <c r="F4550">
        <v>0.30765437971177001</v>
      </c>
      <c r="G4550">
        <v>0.19227410887205701</v>
      </c>
      <c r="H4550">
        <v>0.12540262073735101</v>
      </c>
      <c r="I4550">
        <v>0.120874463804423</v>
      </c>
      <c r="J4550">
        <v>0.14398795966881101</v>
      </c>
      <c r="K4550">
        <v>0.15786740430930499</v>
      </c>
      <c r="L4550">
        <v>1631.0176916130999</v>
      </c>
      <c r="M4550">
        <v>31.943329900361</v>
      </c>
      <c r="N4550">
        <v>51.581196123754303</v>
      </c>
      <c r="O4550">
        <v>50.860864677026399</v>
      </c>
      <c r="P4550">
        <v>-0.135347452331846</v>
      </c>
      <c r="Q4550">
        <v>0.13799175174641601</v>
      </c>
      <c r="R4550">
        <v>0.97633587738484795</v>
      </c>
      <c r="S4550" t="s">
        <v>11220</v>
      </c>
      <c r="T4550" t="s">
        <v>13338</v>
      </c>
      <c r="U4550" t="s">
        <v>13338</v>
      </c>
      <c r="V4550" t="s">
        <v>13338</v>
      </c>
      <c r="W4550" t="s">
        <v>17832</v>
      </c>
      <c r="X4550">
        <v>12</v>
      </c>
      <c r="Y4550" t="s">
        <v>24335</v>
      </c>
      <c r="Z4550" t="s">
        <v>30965</v>
      </c>
      <c r="AA4550">
        <v>0.4605612102256606</v>
      </c>
      <c r="AB4550" t="str">
        <f>HYPERLINK("Melting_Curves/meltCurve_Q8N9R8_SCAI.pdf", "Melting_Curves/meltCurve_Q8N9R8_SCAI.pdf")</f>
        <v>Melting_Curves/meltCurve_Q8N9R8_SCAI.pdf</v>
      </c>
    </row>
    <row r="4551" spans="1:28" x14ac:dyDescent="0.25">
      <c r="A4551" t="s">
        <v>4555</v>
      </c>
      <c r="B4551">
        <v>0.99193492352474899</v>
      </c>
      <c r="C4551">
        <v>0.99238302919742805</v>
      </c>
      <c r="D4551">
        <v>0.95959354515739503</v>
      </c>
      <c r="E4551">
        <v>0.78829678533282999</v>
      </c>
      <c r="F4551">
        <v>0.45875785317298101</v>
      </c>
      <c r="G4551">
        <v>0.2758188286014</v>
      </c>
      <c r="H4551">
        <v>0.139091375060725</v>
      </c>
      <c r="I4551">
        <v>0.12696171924571201</v>
      </c>
      <c r="J4551">
        <v>0.15474016393213499</v>
      </c>
      <c r="K4551">
        <v>0.17376738822989801</v>
      </c>
      <c r="L4551">
        <v>1185.4641884411001</v>
      </c>
      <c r="M4551">
        <v>22.783878144119299</v>
      </c>
      <c r="N4551">
        <v>52.796907703151597</v>
      </c>
      <c r="O4551">
        <v>51.634981136313897</v>
      </c>
      <c r="P4551">
        <v>-9.4787607045345307E-2</v>
      </c>
      <c r="Q4551">
        <v>0.14075011095088999</v>
      </c>
      <c r="R4551">
        <v>0.99740959638388005</v>
      </c>
      <c r="S4551" t="s">
        <v>11221</v>
      </c>
      <c r="T4551" t="s">
        <v>13338</v>
      </c>
      <c r="U4551" t="s">
        <v>13338</v>
      </c>
      <c r="V4551" t="s">
        <v>13338</v>
      </c>
      <c r="W4551" t="s">
        <v>17833</v>
      </c>
      <c r="X4551">
        <v>6</v>
      </c>
      <c r="Y4551" t="s">
        <v>24336</v>
      </c>
      <c r="Z4551" t="s">
        <v>30966</v>
      </c>
      <c r="AA4551">
        <v>0.49469381534274881</v>
      </c>
      <c r="AB4551" t="str">
        <f>HYPERLINK("Melting_Curves/meltCurve_Q8N9V3_2_WDSUB1.pdf", "Melting_Curves/meltCurve_Q8N9V3_2_WDSUB1.pdf")</f>
        <v>Melting_Curves/meltCurve_Q8N9V3_2_WDSUB1.pdf</v>
      </c>
    </row>
    <row r="4552" spans="1:28" x14ac:dyDescent="0.25">
      <c r="A4552" t="s">
        <v>4556</v>
      </c>
      <c r="B4552">
        <v>0.99193492352474899</v>
      </c>
      <c r="C4552">
        <v>0.91074952599980397</v>
      </c>
      <c r="D4552">
        <v>1.01772877781242</v>
      </c>
      <c r="E4552">
        <v>0.67168124666801299</v>
      </c>
      <c r="F4552">
        <v>0.372547952248581</v>
      </c>
      <c r="G4552">
        <v>0.180478799294399</v>
      </c>
      <c r="H4552">
        <v>0.118776621511176</v>
      </c>
      <c r="I4552">
        <v>0.15908202672014199</v>
      </c>
      <c r="J4552">
        <v>0.18022829213158301</v>
      </c>
      <c r="K4552">
        <v>0.220483123600136</v>
      </c>
      <c r="L4552">
        <v>1427.3131388307299</v>
      </c>
      <c r="M4552">
        <v>28.187170534517101</v>
      </c>
      <c r="N4552">
        <v>51.375096223653898</v>
      </c>
      <c r="O4552">
        <v>50.384160125260799</v>
      </c>
      <c r="P4552">
        <v>-0.116575051123136</v>
      </c>
      <c r="Q4552">
        <v>0.16650200590327299</v>
      </c>
      <c r="R4552">
        <v>0.98408731160011698</v>
      </c>
      <c r="S4552" t="s">
        <v>11222</v>
      </c>
      <c r="T4552" t="s">
        <v>13338</v>
      </c>
      <c r="U4552" t="s">
        <v>13338</v>
      </c>
      <c r="V4552" t="s">
        <v>13338</v>
      </c>
      <c r="W4552" t="s">
        <v>17834</v>
      </c>
      <c r="X4552">
        <v>4</v>
      </c>
      <c r="Y4552" t="s">
        <v>24337</v>
      </c>
      <c r="Z4552" t="s">
        <v>30967</v>
      </c>
      <c r="AA4552">
        <v>0.46793567764200678</v>
      </c>
      <c r="AB4552" t="str">
        <f>HYPERLINK("Melting_Curves/meltCurve_Q8NAF0_ZNF579.pdf", "Melting_Curves/meltCurve_Q8NAF0_ZNF579.pdf")</f>
        <v>Melting_Curves/meltCurve_Q8NAF0_ZNF579.pdf</v>
      </c>
    </row>
    <row r="4553" spans="1:28" x14ac:dyDescent="0.25">
      <c r="A4553" t="s">
        <v>4557</v>
      </c>
      <c r="B4553">
        <v>0.99193492352474899</v>
      </c>
      <c r="C4553">
        <v>0.72438201032568605</v>
      </c>
      <c r="D4553">
        <v>0.80123169534022798</v>
      </c>
      <c r="E4553">
        <v>0.36899244073599602</v>
      </c>
      <c r="F4553">
        <v>0.15089617782272599</v>
      </c>
      <c r="G4553">
        <v>0.107249748921749</v>
      </c>
      <c r="H4553">
        <v>7.3232316614872006E-2</v>
      </c>
      <c r="I4553">
        <v>7.3186130027419E-2</v>
      </c>
      <c r="J4553">
        <v>7.7775392665950294E-2</v>
      </c>
      <c r="K4553">
        <v>9.5608264402545995E-2</v>
      </c>
      <c r="L4553">
        <v>827.11351156947501</v>
      </c>
      <c r="M4553">
        <v>17.307519253852</v>
      </c>
      <c r="N4553">
        <v>48.140943126890399</v>
      </c>
      <c r="O4553">
        <v>47.164974641623601</v>
      </c>
      <c r="P4553">
        <v>-8.6296266537414096E-2</v>
      </c>
      <c r="Q4553">
        <v>5.9385581351688102E-2</v>
      </c>
      <c r="R4553">
        <v>0.96134176779343705</v>
      </c>
      <c r="S4553" t="s">
        <v>11223</v>
      </c>
      <c r="T4553" t="s">
        <v>13338</v>
      </c>
      <c r="U4553" t="s">
        <v>13338</v>
      </c>
      <c r="V4553" t="s">
        <v>13338</v>
      </c>
      <c r="W4553" t="s">
        <v>17835</v>
      </c>
      <c r="X4553">
        <v>4</v>
      </c>
      <c r="Y4553" t="s">
        <v>24338</v>
      </c>
      <c r="Z4553" t="s">
        <v>30968</v>
      </c>
      <c r="AA4553">
        <v>0.32185249337005473</v>
      </c>
      <c r="AB4553" t="str">
        <f>HYPERLINK("Melting_Curves/meltCurve_Q8NAV1_PRPF38A.pdf", "Melting_Curves/meltCurve_Q8NAV1_PRPF38A.pdf")</f>
        <v>Melting_Curves/meltCurve_Q8NAV1_PRPF38A.pdf</v>
      </c>
    </row>
    <row r="4554" spans="1:28" x14ac:dyDescent="0.25">
      <c r="A4554" t="s">
        <v>4558</v>
      </c>
      <c r="B4554">
        <v>0.99193492352474899</v>
      </c>
      <c r="C4554">
        <v>0.93527740868990705</v>
      </c>
      <c r="D4554">
        <v>0.69592224480174902</v>
      </c>
      <c r="E4554">
        <v>0.61770938376583895</v>
      </c>
      <c r="F4554">
        <v>0.45278603494598302</v>
      </c>
      <c r="G4554">
        <v>0.30702870345024602</v>
      </c>
      <c r="H4554">
        <v>0.26882167363145698</v>
      </c>
      <c r="I4554">
        <v>0.306038918969466</v>
      </c>
      <c r="J4554">
        <v>0.26022403567005398</v>
      </c>
      <c r="K4554">
        <v>0.41952734085096799</v>
      </c>
      <c r="L4554">
        <v>750.40411984194304</v>
      </c>
      <c r="M4554">
        <v>15.6264527545628</v>
      </c>
      <c r="N4554">
        <v>50.996827386661103</v>
      </c>
      <c r="O4554">
        <v>47.255585347793499</v>
      </c>
      <c r="P4554">
        <v>-5.79494572409417E-2</v>
      </c>
      <c r="Q4554">
        <v>0.29908599608451703</v>
      </c>
      <c r="R4554">
        <v>0.95403527838372904</v>
      </c>
      <c r="S4554" t="s">
        <v>11224</v>
      </c>
      <c r="T4554" t="s">
        <v>13338</v>
      </c>
      <c r="U4554" t="s">
        <v>13338</v>
      </c>
      <c r="V4554" t="s">
        <v>13338</v>
      </c>
      <c r="W4554" t="s">
        <v>17836</v>
      </c>
      <c r="X4554">
        <v>2</v>
      </c>
      <c r="Y4554" t="s">
        <v>24339</v>
      </c>
      <c r="Z4554" t="s">
        <v>30969</v>
      </c>
      <c r="AA4554">
        <v>0.5031043960292092</v>
      </c>
      <c r="AB4554" t="str">
        <f>HYPERLINK("Melting_Curves/meltCurve_Q8NB15_2_ZNF511.pdf", "Melting_Curves/meltCurve_Q8NB15_2_ZNF511.pdf")</f>
        <v>Melting_Curves/meltCurve_Q8NB15_2_ZNF511.pdf</v>
      </c>
    </row>
    <row r="4555" spans="1:28" x14ac:dyDescent="0.25">
      <c r="A4555" t="s">
        <v>4559</v>
      </c>
      <c r="B4555">
        <v>0.99193492352474899</v>
      </c>
      <c r="C4555">
        <v>0.84844306035770301</v>
      </c>
      <c r="D4555">
        <v>0.917382657092358</v>
      </c>
      <c r="E4555">
        <v>0.54646097709788599</v>
      </c>
      <c r="F4555">
        <v>0.20945638380734299</v>
      </c>
      <c r="G4555">
        <v>0.101329761969903</v>
      </c>
      <c r="H4555">
        <v>7.2136616539754506E-2</v>
      </c>
      <c r="I4555">
        <v>7.4606020865966793E-2</v>
      </c>
      <c r="J4555">
        <v>8.7990277672843203E-2</v>
      </c>
      <c r="K4555">
        <v>9.7866549728861496E-2</v>
      </c>
      <c r="L4555">
        <v>1254.79437017437</v>
      </c>
      <c r="M4555">
        <v>25.2835713707141</v>
      </c>
      <c r="N4555">
        <v>49.954158561339398</v>
      </c>
      <c r="O4555">
        <v>49.321504447821802</v>
      </c>
      <c r="P4555">
        <v>-0.118430613992918</v>
      </c>
      <c r="Q4555">
        <v>7.5905754197579306E-2</v>
      </c>
      <c r="R4555">
        <v>0.98547537180229094</v>
      </c>
      <c r="S4555" t="s">
        <v>11225</v>
      </c>
      <c r="T4555" t="s">
        <v>13338</v>
      </c>
      <c r="U4555" t="s">
        <v>13338</v>
      </c>
      <c r="V4555" t="s">
        <v>13338</v>
      </c>
      <c r="W4555" t="s">
        <v>17837</v>
      </c>
      <c r="X4555">
        <v>16</v>
      </c>
      <c r="Y4555" t="s">
        <v>24340</v>
      </c>
      <c r="Z4555" t="s">
        <v>30970</v>
      </c>
      <c r="AA4555">
        <v>0.38054785356928078</v>
      </c>
      <c r="AB4555" t="str">
        <f>HYPERLINK("Melting_Curves/meltCurve_Q8NB16_MLKL.pdf", "Melting_Curves/meltCurve_Q8NB16_MLKL.pdf")</f>
        <v>Melting_Curves/meltCurve_Q8NB16_MLKL.pdf</v>
      </c>
    </row>
    <row r="4556" spans="1:28" x14ac:dyDescent="0.25">
      <c r="A4556" t="s">
        <v>4560</v>
      </c>
      <c r="B4556">
        <v>0.99193492352474899</v>
      </c>
      <c r="C4556">
        <v>1.02745741580758</v>
      </c>
      <c r="D4556">
        <v>0.897552203126463</v>
      </c>
      <c r="E4556">
        <v>0.84732642384835499</v>
      </c>
      <c r="F4556">
        <v>0.67688970869046305</v>
      </c>
      <c r="G4556">
        <v>0.41950678279846998</v>
      </c>
      <c r="H4556">
        <v>0.25809581414309302</v>
      </c>
      <c r="I4556">
        <v>0.25058606445034298</v>
      </c>
      <c r="J4556">
        <v>0.284698679472629</v>
      </c>
      <c r="K4556">
        <v>0.28797825387567</v>
      </c>
      <c r="L4556">
        <v>1040.26218214342</v>
      </c>
      <c r="M4556">
        <v>19.475373002086599</v>
      </c>
      <c r="N4556">
        <v>55.327541465329197</v>
      </c>
      <c r="O4556">
        <v>52.860625617448498</v>
      </c>
      <c r="P4556">
        <v>-6.9540103347278101E-2</v>
      </c>
      <c r="Q4556">
        <v>0.24503606603939901</v>
      </c>
      <c r="R4556">
        <v>0.986242841924311</v>
      </c>
      <c r="S4556" t="s">
        <v>11226</v>
      </c>
      <c r="T4556" t="s">
        <v>13338</v>
      </c>
      <c r="U4556" t="s">
        <v>13338</v>
      </c>
      <c r="V4556" t="s">
        <v>13338</v>
      </c>
      <c r="W4556" t="s">
        <v>17838</v>
      </c>
      <c r="X4556">
        <v>7</v>
      </c>
      <c r="Y4556" t="s">
        <v>24341</v>
      </c>
      <c r="Z4556" t="s">
        <v>30971</v>
      </c>
      <c r="AA4556">
        <v>0.59341807195275242</v>
      </c>
      <c r="AB4556" t="str">
        <f>HYPERLINK("Melting_Curves/meltCurve_Q8NB37_PDDC1.pdf", "Melting_Curves/meltCurve_Q8NB37_PDDC1.pdf")</f>
        <v>Melting_Curves/meltCurve_Q8NB37_PDDC1.pdf</v>
      </c>
    </row>
    <row r="4557" spans="1:28" x14ac:dyDescent="0.25">
      <c r="A4557" t="s">
        <v>4561</v>
      </c>
      <c r="B4557">
        <v>0.99193492352474899</v>
      </c>
      <c r="C4557">
        <v>0.83765879251642905</v>
      </c>
      <c r="D4557">
        <v>0.32548971995959702</v>
      </c>
      <c r="E4557">
        <v>0.65385598771949605</v>
      </c>
      <c r="F4557">
        <v>0.25366516108857101</v>
      </c>
      <c r="G4557">
        <v>0.10210525649591901</v>
      </c>
      <c r="H4557">
        <v>3.6528798765444001E-2</v>
      </c>
      <c r="I4557">
        <v>4.1260630305894497E-2</v>
      </c>
      <c r="J4557">
        <v>0</v>
      </c>
      <c r="K4557">
        <v>1.9681985010813301E-2</v>
      </c>
      <c r="L4557">
        <v>535.31467388624401</v>
      </c>
      <c r="M4557">
        <v>11.1881339676353</v>
      </c>
      <c r="N4557">
        <v>47.846645653689002</v>
      </c>
      <c r="O4557">
        <v>46.394427102986597</v>
      </c>
      <c r="P4557">
        <v>-6.0307189339273801E-2</v>
      </c>
      <c r="Q4557">
        <v>0</v>
      </c>
      <c r="R4557">
        <v>0.86869974130800498</v>
      </c>
      <c r="S4557" t="s">
        <v>11227</v>
      </c>
      <c r="T4557" t="s">
        <v>13338</v>
      </c>
      <c r="U4557" t="s">
        <v>13338</v>
      </c>
      <c r="V4557" t="s">
        <v>13338</v>
      </c>
      <c r="W4557" t="s">
        <v>17839</v>
      </c>
      <c r="X4557">
        <v>2</v>
      </c>
      <c r="Y4557" t="s">
        <v>24342</v>
      </c>
      <c r="Z4557" t="s">
        <v>30972</v>
      </c>
      <c r="AA4557">
        <v>0.306207746220507</v>
      </c>
      <c r="AB4557" t="str">
        <f>HYPERLINK("Melting_Curves/meltCurve_Q8NB42_2_ZNF527.pdf", "Melting_Curves/meltCurve_Q8NB42_2_ZNF527.pdf")</f>
        <v>Melting_Curves/meltCurve_Q8NB42_2_ZNF527.pdf</v>
      </c>
    </row>
    <row r="4558" spans="1:28" x14ac:dyDescent="0.25">
      <c r="A4558" t="s">
        <v>4562</v>
      </c>
      <c r="B4558">
        <v>0.99193492352474899</v>
      </c>
      <c r="C4558">
        <v>1.1781049916750199</v>
      </c>
      <c r="D4558">
        <v>0.86948671215332296</v>
      </c>
      <c r="E4558">
        <v>0.64432150952763201</v>
      </c>
      <c r="F4558">
        <v>0.321204714244125</v>
      </c>
      <c r="G4558">
        <v>0.26235655841570998</v>
      </c>
      <c r="H4558">
        <v>0.153359303728372</v>
      </c>
      <c r="I4558">
        <v>0.16961341048467099</v>
      </c>
      <c r="J4558">
        <v>0.21731837056339401</v>
      </c>
      <c r="K4558">
        <v>0.143883352461495</v>
      </c>
      <c r="L4558">
        <v>1249.8051077427001</v>
      </c>
      <c r="M4558">
        <v>24.9508070887928</v>
      </c>
      <c r="N4558">
        <v>50.977061648837697</v>
      </c>
      <c r="O4558">
        <v>49.772326183411103</v>
      </c>
      <c r="P4558">
        <v>-0.103271675936861</v>
      </c>
      <c r="Q4558">
        <v>0.175978242999345</v>
      </c>
      <c r="R4558">
        <v>0.96760114232993299</v>
      </c>
      <c r="S4558" t="s">
        <v>11228</v>
      </c>
      <c r="T4558" t="s">
        <v>13338</v>
      </c>
      <c r="U4558" t="s">
        <v>13338</v>
      </c>
      <c r="V4558" t="s">
        <v>13338</v>
      </c>
      <c r="W4558" t="s">
        <v>17840</v>
      </c>
      <c r="X4558">
        <v>3</v>
      </c>
      <c r="Y4558" t="s">
        <v>24343</v>
      </c>
      <c r="Z4558" t="s">
        <v>30973</v>
      </c>
      <c r="AA4558">
        <v>0.46054626262929638</v>
      </c>
      <c r="AB4558" t="str">
        <f>HYPERLINK("Melting_Curves/meltCurve_Q8NB46_ANKRD52.pdf", "Melting_Curves/meltCurve_Q8NB46_ANKRD52.pdf")</f>
        <v>Melting_Curves/meltCurve_Q8NB46_ANKRD52.pdf</v>
      </c>
    </row>
    <row r="4559" spans="1:28" x14ac:dyDescent="0.25">
      <c r="A4559" t="s">
        <v>4563</v>
      </c>
      <c r="B4559">
        <v>0.99193492352474899</v>
      </c>
      <c r="C4559">
        <v>1.0530165716106401</v>
      </c>
      <c r="D4559">
        <v>0.99214593725084799</v>
      </c>
      <c r="E4559">
        <v>0.874490718934679</v>
      </c>
      <c r="F4559">
        <v>0.65969196175896205</v>
      </c>
      <c r="G4559">
        <v>0.223010014617706</v>
      </c>
      <c r="H4559">
        <v>7.7248340874728899E-2</v>
      </c>
      <c r="I4559">
        <v>6.8382465996844694E-2</v>
      </c>
      <c r="J4559">
        <v>8.5654571822697603E-2</v>
      </c>
      <c r="K4559">
        <v>8.8139955949033594E-2</v>
      </c>
      <c r="L4559">
        <v>1574.6265119499601</v>
      </c>
      <c r="M4559">
        <v>29.185857790398501</v>
      </c>
      <c r="N4559">
        <v>54.216799993876997</v>
      </c>
      <c r="O4559">
        <v>53.700333353108</v>
      </c>
      <c r="P4559">
        <v>-0.126839419817247</v>
      </c>
      <c r="Q4559">
        <v>6.6497638983615506E-2</v>
      </c>
      <c r="R4559">
        <v>0.99483520906997003</v>
      </c>
      <c r="S4559" t="s">
        <v>11229</v>
      </c>
      <c r="T4559" t="s">
        <v>13338</v>
      </c>
      <c r="U4559" t="s">
        <v>13338</v>
      </c>
      <c r="V4559" t="s">
        <v>13338</v>
      </c>
      <c r="W4559" t="s">
        <v>17841</v>
      </c>
      <c r="X4559">
        <v>14</v>
      </c>
      <c r="Y4559" t="s">
        <v>24344</v>
      </c>
      <c r="Z4559" t="s">
        <v>30974</v>
      </c>
      <c r="AA4559">
        <v>0.50709068945605662</v>
      </c>
      <c r="AB4559" t="str">
        <f>HYPERLINK("Melting_Curves/meltCurve_Q8NB49_3_ATP11C.pdf", "Melting_Curves/meltCurve_Q8NB49_3_ATP11C.pdf")</f>
        <v>Melting_Curves/meltCurve_Q8NB49_3_ATP11C.pdf</v>
      </c>
    </row>
    <row r="4560" spans="1:28" x14ac:dyDescent="0.25">
      <c r="A4560" t="s">
        <v>4564</v>
      </c>
      <c r="B4560">
        <v>0.99193492352474899</v>
      </c>
      <c r="C4560">
        <v>0.63715219312017402</v>
      </c>
      <c r="D4560">
        <v>0.924914231445227</v>
      </c>
      <c r="E4560">
        <v>0.65604562221352503</v>
      </c>
      <c r="F4560">
        <v>0.98685003941346905</v>
      </c>
      <c r="G4560">
        <v>0.516660274393417</v>
      </c>
      <c r="H4560">
        <v>9.7250153628823693E-2</v>
      </c>
      <c r="I4560">
        <v>9.0970591076124194E-2</v>
      </c>
      <c r="J4560">
        <v>0.101155970237701</v>
      </c>
      <c r="K4560">
        <v>0.105460089097951</v>
      </c>
      <c r="L4560">
        <v>3890.4176388415599</v>
      </c>
      <c r="M4560">
        <v>68.635786698357293</v>
      </c>
      <c r="N4560">
        <v>56.859793698784401</v>
      </c>
      <c r="O4560">
        <v>56.633997912624302</v>
      </c>
      <c r="P4560">
        <v>-0.27372738586772399</v>
      </c>
      <c r="Q4560">
        <v>9.6548722591659197E-2</v>
      </c>
      <c r="R4560">
        <v>0.80993889629246796</v>
      </c>
      <c r="S4560" t="s">
        <v>11230</v>
      </c>
      <c r="T4560" t="s">
        <v>13338</v>
      </c>
      <c r="U4560" t="s">
        <v>13338</v>
      </c>
      <c r="V4560" t="s">
        <v>13338</v>
      </c>
      <c r="W4560" t="s">
        <v>17842</v>
      </c>
      <c r="X4560">
        <v>19</v>
      </c>
      <c r="Y4560" t="s">
        <v>24345</v>
      </c>
      <c r="Z4560" t="s">
        <v>30975</v>
      </c>
      <c r="AA4560">
        <v>0.60012512658106432</v>
      </c>
      <c r="AB4560" t="str">
        <f>HYPERLINK("Melting_Curves/meltCurve_Q8NB90_SPATA5.pdf", "Melting_Curves/meltCurve_Q8NB90_SPATA5.pdf")</f>
        <v>Melting_Curves/meltCurve_Q8NB90_SPATA5.pdf</v>
      </c>
    </row>
    <row r="4561" spans="1:28" x14ac:dyDescent="0.25">
      <c r="A4561" t="s">
        <v>4565</v>
      </c>
      <c r="B4561">
        <v>0.99193492352474899</v>
      </c>
      <c r="C4561">
        <v>1.0116981040717301</v>
      </c>
      <c r="D4561">
        <v>0.98899843799940701</v>
      </c>
      <c r="E4561">
        <v>0.53277336559447697</v>
      </c>
      <c r="F4561">
        <v>0.12414020420538199</v>
      </c>
      <c r="G4561">
        <v>8.2523754978129901E-2</v>
      </c>
      <c r="H4561">
        <v>4.09276187254142E-2</v>
      </c>
      <c r="I4561">
        <v>6.02862308749995E-2</v>
      </c>
      <c r="J4561">
        <v>7.11945847544731E-2</v>
      </c>
      <c r="K4561">
        <v>5.9132341438919898E-2</v>
      </c>
      <c r="L4561">
        <v>2155.3602827466402</v>
      </c>
      <c r="M4561">
        <v>43.430391098783403</v>
      </c>
      <c r="N4561">
        <v>49.784653474625102</v>
      </c>
      <c r="O4561">
        <v>49.523073098636601</v>
      </c>
      <c r="P4561">
        <v>-0.20523529927883799</v>
      </c>
      <c r="Q4561">
        <v>6.3893901218946503E-2</v>
      </c>
      <c r="R4561">
        <v>0.99908324577686303</v>
      </c>
      <c r="S4561" t="s">
        <v>11231</v>
      </c>
      <c r="T4561" t="s">
        <v>13338</v>
      </c>
      <c r="U4561" t="s">
        <v>13338</v>
      </c>
      <c r="V4561" t="s">
        <v>13338</v>
      </c>
      <c r="W4561" t="s">
        <v>17843</v>
      </c>
      <c r="X4561">
        <v>4</v>
      </c>
      <c r="Y4561" t="s">
        <v>24346</v>
      </c>
      <c r="Z4561" t="s">
        <v>30976</v>
      </c>
      <c r="AA4561">
        <v>0.36704077619305242</v>
      </c>
      <c r="AB4561" t="str">
        <f>HYPERLINK("Melting_Curves/meltCurve_Q8NBA8_DTWD2.pdf", "Melting_Curves/meltCurve_Q8NBA8_DTWD2.pdf")</f>
        <v>Melting_Curves/meltCurve_Q8NBA8_DTWD2.pdf</v>
      </c>
    </row>
    <row r="4562" spans="1:28" x14ac:dyDescent="0.25">
      <c r="A4562" t="s">
        <v>4566</v>
      </c>
      <c r="B4562">
        <v>0.99193492352474899</v>
      </c>
      <c r="C4562">
        <v>0.85055491045367404</v>
      </c>
      <c r="D4562">
        <v>0.84920472998234897</v>
      </c>
      <c r="E4562">
        <v>0.56238186414534996</v>
      </c>
      <c r="F4562">
        <v>0.208792864543802</v>
      </c>
      <c r="G4562">
        <v>0.118727449708809</v>
      </c>
      <c r="H4562">
        <v>8.0027535832809096E-2</v>
      </c>
      <c r="I4562">
        <v>8.6081572998799802E-2</v>
      </c>
      <c r="J4562">
        <v>7.4592037675349193E-2</v>
      </c>
      <c r="K4562">
        <v>6.3924063997629899E-2</v>
      </c>
      <c r="L4562">
        <v>979.019884931251</v>
      </c>
      <c r="M4562">
        <v>19.7596744271601</v>
      </c>
      <c r="N4562">
        <v>49.863075302540501</v>
      </c>
      <c r="O4562">
        <v>49.047266675790198</v>
      </c>
      <c r="P4562">
        <v>-9.4780840326147198E-2</v>
      </c>
      <c r="Q4562">
        <v>5.8975880548968303E-2</v>
      </c>
      <c r="R4562">
        <v>0.98814735657310104</v>
      </c>
      <c r="S4562" t="s">
        <v>11232</v>
      </c>
      <c r="T4562" t="s">
        <v>13338</v>
      </c>
      <c r="U4562" t="s">
        <v>13338</v>
      </c>
      <c r="V4562" t="s">
        <v>13338</v>
      </c>
      <c r="W4562" t="s">
        <v>17844</v>
      </c>
      <c r="X4562">
        <v>15</v>
      </c>
      <c r="Y4562" t="s">
        <v>24347</v>
      </c>
      <c r="Z4562" t="s">
        <v>30977</v>
      </c>
      <c r="AA4562">
        <v>0.37186818394257809</v>
      </c>
      <c r="AB4562" t="str">
        <f>HYPERLINK("Melting_Curves/meltCurve_Q8NBF2_NHLRC2.pdf", "Melting_Curves/meltCurve_Q8NBF2_NHLRC2.pdf")</f>
        <v>Melting_Curves/meltCurve_Q8NBF2_NHLRC2.pdf</v>
      </c>
    </row>
    <row r="4563" spans="1:28" x14ac:dyDescent="0.25">
      <c r="A4563" t="s">
        <v>4567</v>
      </c>
      <c r="B4563">
        <v>0.99193492352474899</v>
      </c>
      <c r="C4563">
        <v>0.884297398689599</v>
      </c>
      <c r="D4563">
        <v>0.90156737946879995</v>
      </c>
      <c r="E4563">
        <v>0.73758216268387</v>
      </c>
      <c r="F4563">
        <v>0.462988514350542</v>
      </c>
      <c r="G4563">
        <v>0.166700446038655</v>
      </c>
      <c r="H4563">
        <v>5.2881567826292601E-2</v>
      </c>
      <c r="I4563">
        <v>6.42838155732606E-2</v>
      </c>
      <c r="J4563">
        <v>6.7133576522149296E-2</v>
      </c>
      <c r="K4563">
        <v>0.100447143995797</v>
      </c>
      <c r="L4563">
        <v>992.49654711620803</v>
      </c>
      <c r="M4563">
        <v>19.076000222045199</v>
      </c>
      <c r="N4563">
        <v>52.279650150169303</v>
      </c>
      <c r="O4563">
        <v>51.4668821981832</v>
      </c>
      <c r="P4563">
        <v>-8.8608639146384102E-2</v>
      </c>
      <c r="Q4563">
        <v>4.3775890526539303E-2</v>
      </c>
      <c r="R4563">
        <v>0.98695849773587996</v>
      </c>
      <c r="S4563" t="s">
        <v>11233</v>
      </c>
      <c r="T4563" t="s">
        <v>13338</v>
      </c>
      <c r="U4563" t="s">
        <v>13338</v>
      </c>
      <c r="V4563" t="s">
        <v>13338</v>
      </c>
      <c r="W4563" t="s">
        <v>17845</v>
      </c>
      <c r="X4563">
        <v>4</v>
      </c>
      <c r="Y4563" t="s">
        <v>24348</v>
      </c>
      <c r="Z4563" t="s">
        <v>30978</v>
      </c>
      <c r="AA4563">
        <v>0.44156314440861849</v>
      </c>
      <c r="AB4563" t="str">
        <f>HYPERLINK("Melting_Curves/meltCurve_Q8NBF6_AVL9.pdf", "Melting_Curves/meltCurve_Q8NBF6_AVL9.pdf")</f>
        <v>Melting_Curves/meltCurve_Q8NBF6_AVL9.pdf</v>
      </c>
    </row>
    <row r="4564" spans="1:28" x14ac:dyDescent="0.25">
      <c r="A4564" t="s">
        <v>4568</v>
      </c>
      <c r="B4564">
        <v>0.99193492352474899</v>
      </c>
      <c r="C4564">
        <v>0.95346553119339905</v>
      </c>
      <c r="D4564">
        <v>0.86670371284183201</v>
      </c>
      <c r="E4564">
        <v>0.86555892282175195</v>
      </c>
      <c r="F4564">
        <v>0.55935282487564097</v>
      </c>
      <c r="G4564">
        <v>0.32514964818202602</v>
      </c>
      <c r="H4564">
        <v>0.166305826299945</v>
      </c>
      <c r="I4564">
        <v>0.17556726815854801</v>
      </c>
      <c r="J4564">
        <v>0.232234262632875</v>
      </c>
      <c r="K4564">
        <v>0.25817510727478998</v>
      </c>
      <c r="L4564">
        <v>1203.4137405762001</v>
      </c>
      <c r="M4564">
        <v>22.866379536143899</v>
      </c>
      <c r="N4564">
        <v>53.8034770602885</v>
      </c>
      <c r="O4564">
        <v>52.230535249465298</v>
      </c>
      <c r="P4564">
        <v>-8.7933767832391693E-2</v>
      </c>
      <c r="Q4564">
        <v>0.19659520685507101</v>
      </c>
      <c r="R4564">
        <v>0.97837454216977005</v>
      </c>
      <c r="S4564" t="s">
        <v>11234</v>
      </c>
      <c r="T4564" t="s">
        <v>13338</v>
      </c>
      <c r="U4564" t="s">
        <v>13338</v>
      </c>
      <c r="V4564" t="s">
        <v>13338</v>
      </c>
      <c r="W4564" t="s">
        <v>17846</v>
      </c>
      <c r="X4564">
        <v>7</v>
      </c>
      <c r="Y4564" t="s">
        <v>24349</v>
      </c>
      <c r="Z4564" t="s">
        <v>30979</v>
      </c>
      <c r="AA4564">
        <v>0.54349255286438514</v>
      </c>
      <c r="AB4564" t="str">
        <f>HYPERLINK("Melting_Curves/meltCurve_Q8NBI6_XXYLT1.pdf", "Melting_Curves/meltCurve_Q8NBI6_XXYLT1.pdf")</f>
        <v>Melting_Curves/meltCurve_Q8NBI6_XXYLT1.pdf</v>
      </c>
    </row>
    <row r="4565" spans="1:28" x14ac:dyDescent="0.25">
      <c r="A4565" t="s">
        <v>4569</v>
      </c>
      <c r="B4565">
        <v>0.99193492352474899</v>
      </c>
      <c r="C4565">
        <v>1.0490118361924401</v>
      </c>
      <c r="D4565">
        <v>0.94682702808246599</v>
      </c>
      <c r="E4565">
        <v>0.91543173741232298</v>
      </c>
      <c r="F4565">
        <v>0.70776206010965104</v>
      </c>
      <c r="G4565">
        <v>0.69966535211145398</v>
      </c>
      <c r="H4565">
        <v>0.53751372340778203</v>
      </c>
      <c r="I4565">
        <v>0.91274818389058898</v>
      </c>
      <c r="J4565">
        <v>0.924979026877912</v>
      </c>
      <c r="K4565">
        <v>1.40582475017458</v>
      </c>
      <c r="L4565">
        <v>15000</v>
      </c>
      <c r="M4565">
        <v>215.743857234865</v>
      </c>
      <c r="O4565">
        <v>69.520926485216606</v>
      </c>
      <c r="P4565">
        <v>0.38791176510751701</v>
      </c>
      <c r="Q4565">
        <v>1.5</v>
      </c>
      <c r="R4565">
        <v>0.16519018926085</v>
      </c>
      <c r="S4565" t="s">
        <v>11235</v>
      </c>
      <c r="T4565" t="s">
        <v>13338</v>
      </c>
      <c r="U4565" t="s">
        <v>13338</v>
      </c>
      <c r="V4565" t="s">
        <v>13338</v>
      </c>
      <c r="W4565" t="s">
        <v>17847</v>
      </c>
      <c r="X4565">
        <v>9</v>
      </c>
      <c r="Y4565" t="s">
        <v>24350</v>
      </c>
      <c r="Z4565" t="s">
        <v>30980</v>
      </c>
      <c r="AA4565">
        <v>1.0089534307916601</v>
      </c>
      <c r="AB4565" t="str">
        <f>HYPERLINK("Melting_Curves/meltCurve_Q8NBJ4_2_GOLM1.pdf", "Melting_Curves/meltCurve_Q8NBJ4_2_GOLM1.pdf")</f>
        <v>Melting_Curves/meltCurve_Q8NBJ4_2_GOLM1.pdf</v>
      </c>
    </row>
    <row r="4566" spans="1:28" x14ac:dyDescent="0.25">
      <c r="A4566" t="s">
        <v>4570</v>
      </c>
      <c r="B4566">
        <v>0.99193492352474899</v>
      </c>
      <c r="C4566">
        <v>0.79619322269426795</v>
      </c>
      <c r="D4566">
        <v>0.89844904862526498</v>
      </c>
      <c r="E4566">
        <v>0.52014225730071195</v>
      </c>
      <c r="F4566">
        <v>0.28157267743938302</v>
      </c>
      <c r="G4566">
        <v>0.13718162654979599</v>
      </c>
      <c r="H4566">
        <v>9.8750446982686202E-2</v>
      </c>
      <c r="I4566">
        <v>0.113175556840792</v>
      </c>
      <c r="J4566">
        <v>0.124979266993636</v>
      </c>
      <c r="K4566">
        <v>0.15887930717111901</v>
      </c>
      <c r="L4566">
        <v>979.22711825338399</v>
      </c>
      <c r="M4566">
        <v>19.863995884912299</v>
      </c>
      <c r="N4566">
        <v>49.9139279227185</v>
      </c>
      <c r="O4566">
        <v>48.805123536815799</v>
      </c>
      <c r="P4566">
        <v>-9.0672437024007096E-2</v>
      </c>
      <c r="Q4566">
        <v>0.108914088011358</v>
      </c>
      <c r="R4566">
        <v>0.96968254535401499</v>
      </c>
      <c r="S4566" t="s">
        <v>11236</v>
      </c>
      <c r="T4566" t="s">
        <v>13338</v>
      </c>
      <c r="U4566" t="s">
        <v>13338</v>
      </c>
      <c r="V4566" t="s">
        <v>13338</v>
      </c>
      <c r="W4566" t="s">
        <v>17848</v>
      </c>
      <c r="X4566">
        <v>12</v>
      </c>
      <c r="Y4566" t="s">
        <v>24351</v>
      </c>
      <c r="Z4566" t="s">
        <v>30981</v>
      </c>
      <c r="AA4566">
        <v>0.39767256625026282</v>
      </c>
      <c r="AB4566" t="str">
        <f>HYPERLINK("Melting_Curves/meltCurve_Q8NBJ5_COLGALT1.pdf", "Melting_Curves/meltCurve_Q8NBJ5_COLGALT1.pdf")</f>
        <v>Melting_Curves/meltCurve_Q8NBJ5_COLGALT1.pdf</v>
      </c>
    </row>
    <row r="4567" spans="1:28" x14ac:dyDescent="0.25">
      <c r="A4567" t="s">
        <v>4571</v>
      </c>
      <c r="B4567">
        <v>0.99193492352474899</v>
      </c>
      <c r="C4567">
        <v>0.94152243600165797</v>
      </c>
      <c r="D4567">
        <v>0.88372532117847902</v>
      </c>
      <c r="E4567">
        <v>0.63197386994746796</v>
      </c>
      <c r="F4567">
        <v>0.55128016963219795</v>
      </c>
      <c r="G4567">
        <v>0.25307624947033402</v>
      </c>
      <c r="H4567">
        <v>8.0585733180527405E-2</v>
      </c>
      <c r="I4567">
        <v>0.27866257326869898</v>
      </c>
      <c r="J4567">
        <v>0.24215760781460599</v>
      </c>
      <c r="K4567">
        <v>0.28602657555018401</v>
      </c>
      <c r="L4567">
        <v>890.89854557507294</v>
      </c>
      <c r="M4567">
        <v>17.6095236878582</v>
      </c>
      <c r="N4567">
        <v>52.178668766700198</v>
      </c>
      <c r="O4567">
        <v>49.952953730204399</v>
      </c>
      <c r="P4567">
        <v>-6.9863172798237505E-2</v>
      </c>
      <c r="Q4567">
        <v>0.20731891554326501</v>
      </c>
      <c r="R4567">
        <v>0.94666261483470504</v>
      </c>
      <c r="S4567" t="s">
        <v>11237</v>
      </c>
      <c r="T4567" t="s">
        <v>13338</v>
      </c>
      <c r="U4567" t="s">
        <v>13338</v>
      </c>
      <c r="V4567" t="s">
        <v>13338</v>
      </c>
      <c r="W4567" t="s">
        <v>17849</v>
      </c>
      <c r="X4567">
        <v>1</v>
      </c>
      <c r="Y4567" t="s">
        <v>24352</v>
      </c>
      <c r="Z4567" t="s">
        <v>30982</v>
      </c>
      <c r="AA4567">
        <v>0.50115560425134287</v>
      </c>
      <c r="AB4567" t="str">
        <f>HYPERLINK("Melting_Curves/meltCurve_Q8NBK3_4_SUMF1.pdf", "Melting_Curves/meltCurve_Q8NBK3_4_SUMF1.pdf")</f>
        <v>Melting_Curves/meltCurve_Q8NBK3_4_SUMF1.pdf</v>
      </c>
    </row>
    <row r="4568" spans="1:28" x14ac:dyDescent="0.25">
      <c r="A4568" t="s">
        <v>4572</v>
      </c>
      <c r="B4568">
        <v>0.99193492352474899</v>
      </c>
      <c r="C4568">
        <v>0.84376567541052905</v>
      </c>
      <c r="D4568">
        <v>0.94352634655815104</v>
      </c>
      <c r="E4568">
        <v>0.70138073412603896</v>
      </c>
      <c r="F4568">
        <v>0.32911709384849303</v>
      </c>
      <c r="G4568">
        <v>0.15842845464309299</v>
      </c>
      <c r="H4568">
        <v>8.4239876972964894E-2</v>
      </c>
      <c r="I4568">
        <v>0.113415954705787</v>
      </c>
      <c r="J4568">
        <v>0.11789597484427</v>
      </c>
      <c r="K4568">
        <v>0.18201847192581599</v>
      </c>
      <c r="L4568">
        <v>1301.4425111522301</v>
      </c>
      <c r="M4568">
        <v>25.623059467907598</v>
      </c>
      <c r="N4568">
        <v>51.327069136122901</v>
      </c>
      <c r="O4568">
        <v>50.485508895674698</v>
      </c>
      <c r="P4568">
        <v>-0.11200963812124901</v>
      </c>
      <c r="Q4568">
        <v>0.11723362799303701</v>
      </c>
      <c r="R4568">
        <v>0.97769065146521805</v>
      </c>
      <c r="S4568" t="s">
        <v>11238</v>
      </c>
      <c r="T4568" t="s">
        <v>13338</v>
      </c>
      <c r="U4568" t="s">
        <v>13338</v>
      </c>
      <c r="V4568" t="s">
        <v>13338</v>
      </c>
      <c r="W4568" t="s">
        <v>17850</v>
      </c>
      <c r="X4568">
        <v>10</v>
      </c>
      <c r="Y4568" t="s">
        <v>24353</v>
      </c>
      <c r="Z4568" t="s">
        <v>30983</v>
      </c>
      <c r="AA4568">
        <v>0.4423679658720166</v>
      </c>
      <c r="AB4568" t="str">
        <f>HYPERLINK("Melting_Curves/meltCurve_Q8NBL1_POGLUT1.pdf", "Melting_Curves/meltCurve_Q8NBL1_POGLUT1.pdf")</f>
        <v>Melting_Curves/meltCurve_Q8NBL1_POGLUT1.pdf</v>
      </c>
    </row>
    <row r="4569" spans="1:28" x14ac:dyDescent="0.25">
      <c r="A4569" t="s">
        <v>4573</v>
      </c>
      <c r="B4569">
        <v>0.99193492352474899</v>
      </c>
      <c r="C4569">
        <v>1.0441476957193201</v>
      </c>
      <c r="D4569">
        <v>0.92070196534162096</v>
      </c>
      <c r="E4569">
        <v>0.64549315834474497</v>
      </c>
      <c r="F4569">
        <v>0.301541765054119</v>
      </c>
      <c r="G4569">
        <v>0.22337025795623</v>
      </c>
      <c r="H4569">
        <v>6.7975849842852196E-2</v>
      </c>
      <c r="I4569">
        <v>3.1959915571921502E-2</v>
      </c>
      <c r="J4569">
        <v>2.7491917695936501E-2</v>
      </c>
      <c r="K4569">
        <v>4.8868454326856402E-2</v>
      </c>
      <c r="L4569">
        <v>1026.0729965647199</v>
      </c>
      <c r="M4569">
        <v>20.098284602652701</v>
      </c>
      <c r="N4569">
        <v>51.256473760000297</v>
      </c>
      <c r="O4569">
        <v>50.555406139372799</v>
      </c>
      <c r="P4569">
        <v>-9.5575489099818903E-2</v>
      </c>
      <c r="Q4569">
        <v>3.83849147304305E-2</v>
      </c>
      <c r="R4569">
        <v>0.99263271708427503</v>
      </c>
      <c r="S4569" t="s">
        <v>11239</v>
      </c>
      <c r="T4569" t="s">
        <v>13338</v>
      </c>
      <c r="U4569" t="s">
        <v>13338</v>
      </c>
      <c r="V4569" t="s">
        <v>13338</v>
      </c>
      <c r="W4569" t="s">
        <v>17851</v>
      </c>
      <c r="X4569">
        <v>3</v>
      </c>
      <c r="Y4569" t="s">
        <v>24354</v>
      </c>
      <c r="Z4569" t="s">
        <v>30984</v>
      </c>
      <c r="AA4569">
        <v>0.40589366176777308</v>
      </c>
      <c r="AB4569" t="str">
        <f>HYPERLINK("Melting_Curves/meltCurve_Q8NBM4_4_UBAC2.pdf", "Melting_Curves/meltCurve_Q8NBM4_4_UBAC2.pdf")</f>
        <v>Melting_Curves/meltCurve_Q8NBM4_4_UBAC2.pdf</v>
      </c>
    </row>
    <row r="4570" spans="1:28" x14ac:dyDescent="0.25">
      <c r="A4570" t="s">
        <v>4574</v>
      </c>
      <c r="B4570">
        <v>0.99193492352474899</v>
      </c>
      <c r="C4570">
        <v>0.87302689252708998</v>
      </c>
      <c r="D4570">
        <v>1.0188898497624901</v>
      </c>
      <c r="E4570">
        <v>0.76888713466500602</v>
      </c>
      <c r="F4570">
        <v>0.61806923961007798</v>
      </c>
      <c r="G4570">
        <v>0.52958009532945705</v>
      </c>
      <c r="H4570">
        <v>0.27908065893499201</v>
      </c>
      <c r="I4570">
        <v>0.13548018959371799</v>
      </c>
      <c r="J4570">
        <v>0.16883970798106801</v>
      </c>
      <c r="K4570">
        <v>0.16093970788773601</v>
      </c>
      <c r="L4570">
        <v>666.574135979998</v>
      </c>
      <c r="M4570">
        <v>12.036545004532901</v>
      </c>
      <c r="N4570">
        <v>55.906449292295299</v>
      </c>
      <c r="O4570">
        <v>53.917033690802</v>
      </c>
      <c r="P4570">
        <v>-5.2828524647622402E-2</v>
      </c>
      <c r="Q4570">
        <v>5.3655689005515303E-2</v>
      </c>
      <c r="R4570">
        <v>0.96967440827155305</v>
      </c>
      <c r="S4570" t="s">
        <v>11240</v>
      </c>
      <c r="T4570" t="s">
        <v>13338</v>
      </c>
      <c r="U4570" t="s">
        <v>13338</v>
      </c>
      <c r="V4570" t="s">
        <v>13338</v>
      </c>
      <c r="W4570" t="s">
        <v>17852</v>
      </c>
      <c r="X4570">
        <v>5</v>
      </c>
      <c r="Y4570" t="s">
        <v>24355</v>
      </c>
      <c r="Z4570" t="s">
        <v>30985</v>
      </c>
      <c r="AA4570">
        <v>0.55989311513557927</v>
      </c>
      <c r="AB4570" t="str">
        <f>HYPERLINK("Melting_Curves/meltCurve_Q8NBM8_PCYOX1L.pdf", "Melting_Curves/meltCurve_Q8NBM8_PCYOX1L.pdf")</f>
        <v>Melting_Curves/meltCurve_Q8NBM8_PCYOX1L.pdf</v>
      </c>
    </row>
    <row r="4571" spans="1:28" x14ac:dyDescent="0.25">
      <c r="A4571" t="s">
        <v>4575</v>
      </c>
      <c r="B4571">
        <v>0.99193492352474899</v>
      </c>
      <c r="C4571">
        <v>0.89985495159526097</v>
      </c>
      <c r="D4571">
        <v>0.99382409931083804</v>
      </c>
      <c r="E4571">
        <v>0.81820579675886596</v>
      </c>
      <c r="F4571">
        <v>0.74841328871794799</v>
      </c>
      <c r="G4571">
        <v>0.456755920624411</v>
      </c>
      <c r="H4571">
        <v>0.38499178138911</v>
      </c>
      <c r="I4571">
        <v>0.32838563370216201</v>
      </c>
      <c r="J4571">
        <v>0.38640314700180001</v>
      </c>
      <c r="K4571">
        <v>0.38326324687341901</v>
      </c>
      <c r="L4571">
        <v>1025.47295125556</v>
      </c>
      <c r="M4571">
        <v>19.242646296847301</v>
      </c>
      <c r="N4571">
        <v>56.736567999295197</v>
      </c>
      <c r="O4571">
        <v>52.726143463113203</v>
      </c>
      <c r="P4571">
        <v>-5.9803555760243897E-2</v>
      </c>
      <c r="Q4571">
        <v>0.34456181248037399</v>
      </c>
      <c r="R4571">
        <v>0.96642716881758095</v>
      </c>
      <c r="S4571" t="s">
        <v>11241</v>
      </c>
      <c r="T4571" t="s">
        <v>13338</v>
      </c>
      <c r="U4571" t="s">
        <v>13338</v>
      </c>
      <c r="V4571" t="s">
        <v>13338</v>
      </c>
      <c r="W4571" t="s">
        <v>17853</v>
      </c>
      <c r="X4571">
        <v>6</v>
      </c>
      <c r="Y4571" t="s">
        <v>24356</v>
      </c>
      <c r="Z4571" t="s">
        <v>30986</v>
      </c>
      <c r="AA4571">
        <v>0.64454278443544299</v>
      </c>
      <c r="AB4571" t="str">
        <f>HYPERLINK("Melting_Curves/meltCurve_Q8NBN3_TMEM87A.pdf", "Melting_Curves/meltCurve_Q8NBN3_TMEM87A.pdf")</f>
        <v>Melting_Curves/meltCurve_Q8NBN3_TMEM87A.pdf</v>
      </c>
    </row>
    <row r="4572" spans="1:28" x14ac:dyDescent="0.25">
      <c r="A4572" t="s">
        <v>4576</v>
      </c>
      <c r="B4572">
        <v>0.99193492352474899</v>
      </c>
      <c r="C4572">
        <v>0.86934019149460695</v>
      </c>
      <c r="D4572">
        <v>0.79586051312442396</v>
      </c>
      <c r="E4572">
        <v>0.56791945580191805</v>
      </c>
      <c r="F4572">
        <v>0.41621299913103099</v>
      </c>
      <c r="G4572">
        <v>0.26368849806403599</v>
      </c>
      <c r="H4572">
        <v>0.1323559618722</v>
      </c>
      <c r="I4572">
        <v>0.14087778536048401</v>
      </c>
      <c r="J4572">
        <v>0.12554173531898699</v>
      </c>
      <c r="K4572">
        <v>9.5943715805140106E-2</v>
      </c>
      <c r="L4572">
        <v>609.69735849816698</v>
      </c>
      <c r="M4572">
        <v>12.0709510539728</v>
      </c>
      <c r="N4572">
        <v>51.095081841524198</v>
      </c>
      <c r="O4572">
        <v>49.183142577706903</v>
      </c>
      <c r="P4572">
        <v>-5.74068773300523E-2</v>
      </c>
      <c r="Q4572">
        <v>6.4601942040584504E-2</v>
      </c>
      <c r="R4572">
        <v>0.99548227652157595</v>
      </c>
      <c r="S4572" t="s">
        <v>11242</v>
      </c>
      <c r="T4572" t="s">
        <v>13338</v>
      </c>
      <c r="U4572" t="s">
        <v>13338</v>
      </c>
      <c r="V4572" t="s">
        <v>13338</v>
      </c>
      <c r="W4572" t="s">
        <v>17854</v>
      </c>
      <c r="X4572">
        <v>1</v>
      </c>
      <c r="Y4572" t="s">
        <v>24357</v>
      </c>
      <c r="Z4572" t="s">
        <v>30987</v>
      </c>
      <c r="AA4572">
        <v>0.4234300952169533</v>
      </c>
      <c r="AB4572" t="str">
        <f>HYPERLINK("Melting_Curves/meltCurve_Q8NBP0_TTC13.pdf", "Melting_Curves/meltCurve_Q8NBP0_TTC13.pdf")</f>
        <v>Melting_Curves/meltCurve_Q8NBP0_TTC13.pdf</v>
      </c>
    </row>
    <row r="4573" spans="1:28" x14ac:dyDescent="0.25">
      <c r="A4573" t="s">
        <v>4577</v>
      </c>
      <c r="B4573">
        <v>0.99193492352474899</v>
      </c>
      <c r="C4573">
        <v>0.98651659138438996</v>
      </c>
      <c r="D4573">
        <v>1.0241334722367601</v>
      </c>
      <c r="E4573">
        <v>0.54998423421861597</v>
      </c>
      <c r="F4573">
        <v>0.17048349228463</v>
      </c>
      <c r="G4573">
        <v>0.10746604670941701</v>
      </c>
      <c r="H4573">
        <v>5.6665744015716599E-2</v>
      </c>
      <c r="I4573">
        <v>6.8770323600548106E-2</v>
      </c>
      <c r="J4573">
        <v>7.4151457947336699E-2</v>
      </c>
      <c r="K4573">
        <v>6.9013687951577501E-2</v>
      </c>
      <c r="L4573">
        <v>2031.4309189872599</v>
      </c>
      <c r="M4573">
        <v>40.841494123131902</v>
      </c>
      <c r="N4573">
        <v>49.948778125401198</v>
      </c>
      <c r="O4573">
        <v>49.620595727468597</v>
      </c>
      <c r="P4573">
        <v>-0.18957971677750601</v>
      </c>
      <c r="Q4573">
        <v>7.8678311520888403E-2</v>
      </c>
      <c r="R4573">
        <v>0.99652179774515404</v>
      </c>
      <c r="S4573" t="s">
        <v>11243</v>
      </c>
      <c r="T4573" t="s">
        <v>13338</v>
      </c>
      <c r="U4573" t="s">
        <v>13338</v>
      </c>
      <c r="V4573" t="s">
        <v>13338</v>
      </c>
      <c r="W4573" t="s">
        <v>17855</v>
      </c>
      <c r="X4573">
        <v>10</v>
      </c>
      <c r="Y4573" t="s">
        <v>24358</v>
      </c>
      <c r="Z4573" t="s">
        <v>30988</v>
      </c>
      <c r="AA4573">
        <v>0.38082069577430688</v>
      </c>
      <c r="AB4573" t="str">
        <f>HYPERLINK("Melting_Curves/meltCurve_Q8NBU5_ATAD1.pdf", "Melting_Curves/meltCurve_Q8NBU5_ATAD1.pdf")</f>
        <v>Melting_Curves/meltCurve_Q8NBU5_ATAD1.pdf</v>
      </c>
    </row>
    <row r="4574" spans="1:28" x14ac:dyDescent="0.25">
      <c r="A4574" t="s">
        <v>4578</v>
      </c>
      <c r="B4574">
        <v>0.99193492352474899</v>
      </c>
      <c r="C4574">
        <v>1.0175367956121599</v>
      </c>
      <c r="D4574">
        <v>0.92378630325160105</v>
      </c>
      <c r="E4574">
        <v>0.834150998599129</v>
      </c>
      <c r="F4574">
        <v>0.327224017548989</v>
      </c>
      <c r="G4574">
        <v>0.135903428616379</v>
      </c>
      <c r="H4574">
        <v>8.5722659898503806E-2</v>
      </c>
      <c r="I4574">
        <v>8.5309679261777599E-2</v>
      </c>
      <c r="J4574">
        <v>9.6303641646230898E-2</v>
      </c>
      <c r="K4574">
        <v>9.5628703221430897E-2</v>
      </c>
      <c r="L4574">
        <v>1765.4558229129</v>
      </c>
      <c r="M4574">
        <v>34.186513739022203</v>
      </c>
      <c r="N4574">
        <v>51.942701479640903</v>
      </c>
      <c r="O4574">
        <v>51.4661116353995</v>
      </c>
      <c r="P4574">
        <v>-0.15114954459466701</v>
      </c>
      <c r="Q4574">
        <v>8.9810368251654199E-2</v>
      </c>
      <c r="R4574">
        <v>0.99703524242207797</v>
      </c>
      <c r="S4574" t="s">
        <v>11244</v>
      </c>
      <c r="T4574" t="s">
        <v>13338</v>
      </c>
      <c r="U4574" t="s">
        <v>13338</v>
      </c>
      <c r="V4574" t="s">
        <v>13338</v>
      </c>
      <c r="W4574" t="s">
        <v>17856</v>
      </c>
      <c r="X4574">
        <v>13</v>
      </c>
      <c r="Y4574" t="s">
        <v>24359</v>
      </c>
      <c r="Z4574" t="s">
        <v>30989</v>
      </c>
      <c r="AA4574">
        <v>0.4474745427669648</v>
      </c>
      <c r="AB4574" t="str">
        <f>HYPERLINK("Melting_Curves/meltCurve_Q8NBX0_SCCPDH.pdf", "Melting_Curves/meltCurve_Q8NBX0_SCCPDH.pdf")</f>
        <v>Melting_Curves/meltCurve_Q8NBX0_SCCPDH.pdf</v>
      </c>
    </row>
    <row r="4575" spans="1:28" x14ac:dyDescent="0.25">
      <c r="A4575" t="s">
        <v>4579</v>
      </c>
      <c r="B4575">
        <v>0.99193492352474899</v>
      </c>
      <c r="C4575">
        <v>0.82834557615488402</v>
      </c>
      <c r="D4575">
        <v>0.518833568904285</v>
      </c>
      <c r="E4575">
        <v>0.40163537999967902</v>
      </c>
      <c r="F4575">
        <v>0.28501416848923899</v>
      </c>
      <c r="G4575">
        <v>0.185224915974987</v>
      </c>
      <c r="H4575">
        <v>0.197177690491082</v>
      </c>
      <c r="I4575">
        <v>0.32871522405415898</v>
      </c>
      <c r="J4575">
        <v>0.29224321577478701</v>
      </c>
      <c r="K4575">
        <v>0.43582846534327402</v>
      </c>
      <c r="L4575">
        <v>1141.93311768902</v>
      </c>
      <c r="M4575">
        <v>25.467305871452002</v>
      </c>
      <c r="N4575">
        <v>46.430949308737198</v>
      </c>
      <c r="O4575">
        <v>44.565453519165999</v>
      </c>
      <c r="P4575">
        <v>-0.101268130695886</v>
      </c>
      <c r="Q4575">
        <v>0.29116902969469299</v>
      </c>
      <c r="R4575">
        <v>0.92665672972895996</v>
      </c>
      <c r="S4575" t="s">
        <v>11245</v>
      </c>
      <c r="T4575" t="s">
        <v>13338</v>
      </c>
      <c r="U4575" t="s">
        <v>13338</v>
      </c>
      <c r="V4575" t="s">
        <v>13338</v>
      </c>
      <c r="W4575" t="s">
        <v>17857</v>
      </c>
      <c r="X4575">
        <v>2</v>
      </c>
      <c r="Y4575" t="s">
        <v>24360</v>
      </c>
      <c r="Z4575" t="s">
        <v>30990</v>
      </c>
      <c r="AA4575">
        <v>0.41238043812340142</v>
      </c>
      <c r="AB4575" t="str">
        <f>HYPERLINK("Melting_Curves/meltCurve_Q8NBZ0_INO80E.pdf", "Melting_Curves/meltCurve_Q8NBZ0_INO80E.pdf")</f>
        <v>Melting_Curves/meltCurve_Q8NBZ0_INO80E.pdf</v>
      </c>
    </row>
    <row r="4576" spans="1:28" x14ac:dyDescent="0.25">
      <c r="A4576" t="s">
        <v>4580</v>
      </c>
      <c r="B4576">
        <v>0.99193492352474899</v>
      </c>
      <c r="C4576">
        <v>0.83453103080189805</v>
      </c>
      <c r="D4576">
        <v>0.86160128616095799</v>
      </c>
      <c r="E4576">
        <v>0.74410170383464502</v>
      </c>
      <c r="F4576">
        <v>0.62585868826514901</v>
      </c>
      <c r="G4576">
        <v>0.47683536319453002</v>
      </c>
      <c r="H4576">
        <v>0.29848027651152997</v>
      </c>
      <c r="I4576">
        <v>0.20380224427188601</v>
      </c>
      <c r="J4576">
        <v>0.118896622555418</v>
      </c>
      <c r="K4576">
        <v>0.122520536701134</v>
      </c>
      <c r="L4576">
        <v>513.91358463547704</v>
      </c>
      <c r="M4576">
        <v>9.2864876882792107</v>
      </c>
      <c r="N4576">
        <v>55.339930639853399</v>
      </c>
      <c r="O4576">
        <v>52.9554086694258</v>
      </c>
      <c r="P4576">
        <v>-4.38693544135818E-2</v>
      </c>
      <c r="Q4576">
        <v>0</v>
      </c>
      <c r="R4576">
        <v>0.98382254199992403</v>
      </c>
      <c r="S4576" t="s">
        <v>11246</v>
      </c>
      <c r="T4576" t="s">
        <v>13338</v>
      </c>
      <c r="U4576" t="s">
        <v>13338</v>
      </c>
      <c r="V4576" t="s">
        <v>13338</v>
      </c>
      <c r="W4576" t="s">
        <v>17858</v>
      </c>
      <c r="X4576">
        <v>5</v>
      </c>
      <c r="Y4576" t="s">
        <v>24361</v>
      </c>
      <c r="Z4576" t="s">
        <v>30991</v>
      </c>
      <c r="AA4576">
        <v>0.53600337422529909</v>
      </c>
      <c r="AB4576" t="str">
        <f>HYPERLINK("Melting_Curves/meltCurve_Q8NBZ7_UXS1.pdf", "Melting_Curves/meltCurve_Q8NBZ7_UXS1.pdf")</f>
        <v>Melting_Curves/meltCurve_Q8NBZ7_UXS1.pdf</v>
      </c>
    </row>
    <row r="4577" spans="1:28" x14ac:dyDescent="0.25">
      <c r="A4577" t="s">
        <v>4581</v>
      </c>
      <c r="B4577">
        <v>0.99193492352474899</v>
      </c>
      <c r="C4577">
        <v>0.630493165787675</v>
      </c>
      <c r="D4577">
        <v>0.87213940216706798</v>
      </c>
      <c r="E4577">
        <v>0.55449446059793805</v>
      </c>
      <c r="F4577">
        <v>0.55309713483398204</v>
      </c>
      <c r="G4577">
        <v>0.287640830073493</v>
      </c>
      <c r="H4577">
        <v>0.372734385875506</v>
      </c>
      <c r="I4577">
        <v>0.38933290790094999</v>
      </c>
      <c r="J4577">
        <v>0.63086737754747702</v>
      </c>
      <c r="K4577">
        <v>0.76995165780491404</v>
      </c>
      <c r="L4577">
        <v>682.68605291635095</v>
      </c>
      <c r="M4577">
        <v>15.385021725087199</v>
      </c>
      <c r="N4577">
        <v>67.015741683270093</v>
      </c>
      <c r="O4577">
        <v>43.644008875888296</v>
      </c>
      <c r="P4577">
        <v>-4.4311561073438303E-2</v>
      </c>
      <c r="Q4577">
        <v>0.49723639578449103</v>
      </c>
      <c r="R4577">
        <v>0.45694523700685802</v>
      </c>
      <c r="S4577" t="s">
        <v>11247</v>
      </c>
      <c r="T4577" t="s">
        <v>13338</v>
      </c>
      <c r="U4577" t="s">
        <v>13338</v>
      </c>
      <c r="V4577" t="s">
        <v>13338</v>
      </c>
      <c r="W4577" t="s">
        <v>17859</v>
      </c>
      <c r="X4577">
        <v>26</v>
      </c>
      <c r="Y4577" t="s">
        <v>24362</v>
      </c>
      <c r="Z4577" t="s">
        <v>30992</v>
      </c>
      <c r="AA4577">
        <v>0.58701042274521475</v>
      </c>
      <c r="AB4577" t="str">
        <f>HYPERLINK("Melting_Curves/meltCurve_Q8NC51_SERBP1.pdf", "Melting_Curves/meltCurve_Q8NC51_SERBP1.pdf")</f>
        <v>Melting_Curves/meltCurve_Q8NC51_SERBP1.pdf</v>
      </c>
    </row>
    <row r="4578" spans="1:28" x14ac:dyDescent="0.25">
      <c r="A4578" t="s">
        <v>4582</v>
      </c>
      <c r="B4578">
        <v>0.99193492352474899</v>
      </c>
      <c r="C4578">
        <v>0.687599996182091</v>
      </c>
      <c r="D4578">
        <v>0.688251571187945</v>
      </c>
      <c r="E4578">
        <v>0.33671990013569703</v>
      </c>
      <c r="F4578">
        <v>0.24422554859873699</v>
      </c>
      <c r="G4578">
        <v>0.13710070047896999</v>
      </c>
      <c r="H4578">
        <v>9.0464184230494807E-2</v>
      </c>
      <c r="I4578">
        <v>0.10553082419455199</v>
      </c>
      <c r="J4578">
        <v>0.11158927054731201</v>
      </c>
      <c r="K4578">
        <v>0.12718894844982301</v>
      </c>
      <c r="L4578">
        <v>664.10222188129103</v>
      </c>
      <c r="M4578">
        <v>14.1912523349124</v>
      </c>
      <c r="N4578">
        <v>47.445636143303197</v>
      </c>
      <c r="O4578">
        <v>45.8967795358705</v>
      </c>
      <c r="P4578">
        <v>-7.0488880316823196E-2</v>
      </c>
      <c r="Q4578">
        <v>8.8225437433591597E-2</v>
      </c>
      <c r="R4578">
        <v>0.96831493558230297</v>
      </c>
      <c r="S4578" t="s">
        <v>11248</v>
      </c>
      <c r="T4578" t="s">
        <v>13338</v>
      </c>
      <c r="U4578" t="s">
        <v>13338</v>
      </c>
      <c r="V4578" t="s">
        <v>13338</v>
      </c>
      <c r="W4578" t="s">
        <v>17860</v>
      </c>
      <c r="X4578">
        <v>9</v>
      </c>
      <c r="Y4578" t="s">
        <v>24363</v>
      </c>
      <c r="Z4578" t="s">
        <v>30993</v>
      </c>
      <c r="AA4578">
        <v>0.32290203359236719</v>
      </c>
      <c r="AB4578" t="str">
        <f>HYPERLINK("Melting_Curves/meltCurve_Q8NC56_LEMD2.pdf", "Melting_Curves/meltCurve_Q8NC56_LEMD2.pdf")</f>
        <v>Melting_Curves/meltCurve_Q8NC56_LEMD2.pdf</v>
      </c>
    </row>
    <row r="4579" spans="1:28" x14ac:dyDescent="0.25">
      <c r="A4579" t="s">
        <v>4583</v>
      </c>
      <c r="B4579">
        <v>0.99193492352474899</v>
      </c>
      <c r="C4579">
        <v>0.45354870454095803</v>
      </c>
      <c r="D4579">
        <v>0.82697175675141998</v>
      </c>
      <c r="E4579">
        <v>0.27398353428143102</v>
      </c>
      <c r="F4579">
        <v>0.16671103630533299</v>
      </c>
      <c r="G4579">
        <v>7.2098630321233606E-2</v>
      </c>
      <c r="H4579">
        <v>3.9853605131896702E-2</v>
      </c>
      <c r="I4579">
        <v>6.3250540031896701E-2</v>
      </c>
      <c r="J4579">
        <v>5.8948791826420599E-2</v>
      </c>
      <c r="K4579">
        <v>5.01419005485522E-2</v>
      </c>
      <c r="L4579">
        <v>554.10037605654998</v>
      </c>
      <c r="M4579">
        <v>11.8425599332136</v>
      </c>
      <c r="N4579">
        <v>46.827464515010703</v>
      </c>
      <c r="O4579">
        <v>45.514576266185202</v>
      </c>
      <c r="P4579">
        <v>-6.4748998775904704E-2</v>
      </c>
      <c r="Q4579">
        <v>4.8517436929993597E-3</v>
      </c>
      <c r="R4579">
        <v>0.83305200263966395</v>
      </c>
      <c r="S4579" t="s">
        <v>11249</v>
      </c>
      <c r="T4579" t="s">
        <v>13338</v>
      </c>
      <c r="U4579" t="s">
        <v>13338</v>
      </c>
      <c r="V4579" t="s">
        <v>13338</v>
      </c>
      <c r="W4579" t="s">
        <v>17861</v>
      </c>
      <c r="X4579">
        <v>6</v>
      </c>
      <c r="Y4579" t="s">
        <v>24364</v>
      </c>
      <c r="Z4579" t="s">
        <v>30994</v>
      </c>
      <c r="AA4579">
        <v>0.27354468734202431</v>
      </c>
      <c r="AB4579" t="str">
        <f>HYPERLINK("Melting_Curves/meltCurve_Q8NC60_NOA1.pdf", "Melting_Curves/meltCurve_Q8NC60_NOA1.pdf")</f>
        <v>Melting_Curves/meltCurve_Q8NC60_NOA1.pdf</v>
      </c>
    </row>
    <row r="4580" spans="1:28" x14ac:dyDescent="0.25">
      <c r="A4580" t="s">
        <v>4584</v>
      </c>
      <c r="B4580">
        <v>0.99193492352474899</v>
      </c>
      <c r="C4580">
        <v>0.94194968450345795</v>
      </c>
      <c r="D4580">
        <v>0.76923935211455297</v>
      </c>
      <c r="E4580">
        <v>0.57645049830936501</v>
      </c>
      <c r="F4580">
        <v>0.32914682709863302</v>
      </c>
      <c r="G4580">
        <v>0.15651537226242099</v>
      </c>
      <c r="H4580">
        <v>0.10798972285106</v>
      </c>
      <c r="I4580">
        <v>0.13829334586050901</v>
      </c>
      <c r="J4580">
        <v>0.115730165918941</v>
      </c>
      <c r="K4580">
        <v>0.102737048859493</v>
      </c>
      <c r="L4580">
        <v>811.48853210028403</v>
      </c>
      <c r="M4580">
        <v>16.349950921061001</v>
      </c>
      <c r="N4580">
        <v>50.246585307112099</v>
      </c>
      <c r="O4580">
        <v>48.907816894134498</v>
      </c>
      <c r="P4580">
        <v>-7.6011899645267805E-2</v>
      </c>
      <c r="Q4580">
        <v>9.0564090434834807E-2</v>
      </c>
      <c r="R4580">
        <v>0.995748070880484</v>
      </c>
      <c r="S4580" t="s">
        <v>11250</v>
      </c>
      <c r="T4580" t="s">
        <v>13338</v>
      </c>
      <c r="U4580" t="s">
        <v>13338</v>
      </c>
      <c r="V4580" t="s">
        <v>13338</v>
      </c>
      <c r="W4580" t="s">
        <v>17862</v>
      </c>
      <c r="X4580">
        <v>2</v>
      </c>
      <c r="Y4580" t="s">
        <v>24365</v>
      </c>
      <c r="Z4580" t="s">
        <v>30995</v>
      </c>
      <c r="AA4580">
        <v>0.401291293464413</v>
      </c>
      <c r="AB4580" t="str">
        <f>HYPERLINK("Melting_Curves/meltCurve_Q8NC96_NECAP1.pdf", "Melting_Curves/meltCurve_Q8NC96_NECAP1.pdf")</f>
        <v>Melting_Curves/meltCurve_Q8NC96_NECAP1.pdf</v>
      </c>
    </row>
    <row r="4581" spans="1:28" x14ac:dyDescent="0.25">
      <c r="A4581" t="s">
        <v>4585</v>
      </c>
      <c r="B4581">
        <v>0.99193492352474899</v>
      </c>
      <c r="C4581">
        <v>0.52749136316716605</v>
      </c>
      <c r="D4581">
        <v>0.96509593956770701</v>
      </c>
      <c r="E4581">
        <v>0.52011330234887598</v>
      </c>
      <c r="F4581">
        <v>0.230796118257282</v>
      </c>
      <c r="G4581">
        <v>0.120410865221628</v>
      </c>
      <c r="H4581">
        <v>6.9912999966072406E-2</v>
      </c>
      <c r="I4581">
        <v>5.6552995781383703E-2</v>
      </c>
      <c r="J4581">
        <v>8.88760015113986E-2</v>
      </c>
      <c r="K4581">
        <v>6.4701913552783999E-2</v>
      </c>
      <c r="L4581">
        <v>610.558990431692</v>
      </c>
      <c r="M4581">
        <v>12.3574269289967</v>
      </c>
      <c r="N4581">
        <v>49.459065997351203</v>
      </c>
      <c r="O4581">
        <v>48.167842362183897</v>
      </c>
      <c r="P4581">
        <v>-6.3746528484741494E-2</v>
      </c>
      <c r="Q4581">
        <v>6.3065893344431698E-3</v>
      </c>
      <c r="R4581">
        <v>0.84422315107974899</v>
      </c>
      <c r="S4581" t="s">
        <v>11251</v>
      </c>
      <c r="T4581" t="s">
        <v>13338</v>
      </c>
      <c r="U4581" t="s">
        <v>13338</v>
      </c>
      <c r="V4581" t="s">
        <v>13338</v>
      </c>
      <c r="W4581" t="s">
        <v>17863</v>
      </c>
      <c r="X4581">
        <v>7</v>
      </c>
      <c r="Y4581" t="s">
        <v>24366</v>
      </c>
      <c r="Z4581" t="s">
        <v>30996</v>
      </c>
      <c r="AA4581">
        <v>0.35188009354549071</v>
      </c>
      <c r="AB4581" t="str">
        <f>HYPERLINK("Melting_Curves/meltCurve_Q8NCA5_2_FAM98A.pdf", "Melting_Curves/meltCurve_Q8NCA5_2_FAM98A.pdf")</f>
        <v>Melting_Curves/meltCurve_Q8NCA5_2_FAM98A.pdf</v>
      </c>
    </row>
    <row r="4582" spans="1:28" x14ac:dyDescent="0.25">
      <c r="A4582" t="s">
        <v>4586</v>
      </c>
      <c r="B4582">
        <v>0.99193492352474899</v>
      </c>
      <c r="C4582">
        <v>0.98920249517505199</v>
      </c>
      <c r="D4582">
        <v>0.92441607622044897</v>
      </c>
      <c r="E4582">
        <v>0.84766351719217703</v>
      </c>
      <c r="F4582">
        <v>0.766396111158827</v>
      </c>
      <c r="G4582">
        <v>0.57386040629471202</v>
      </c>
      <c r="H4582">
        <v>0.45598903607975</v>
      </c>
      <c r="I4582">
        <v>0.55099609472529498</v>
      </c>
      <c r="J4582">
        <v>0.71879649779072097</v>
      </c>
      <c r="K4582">
        <v>0.745845971086046</v>
      </c>
      <c r="L4582">
        <v>1197.7219029893199</v>
      </c>
      <c r="M4582">
        <v>23.671143520559799</v>
      </c>
      <c r="O4582">
        <v>50.241427291886502</v>
      </c>
      <c r="P4582">
        <v>-4.5787357787720799E-2</v>
      </c>
      <c r="Q4582">
        <v>0.61127627259614004</v>
      </c>
      <c r="R4582">
        <v>0.77816680786635595</v>
      </c>
      <c r="S4582" t="s">
        <v>11252</v>
      </c>
      <c r="T4582" t="s">
        <v>13338</v>
      </c>
      <c r="U4582" t="s">
        <v>13338</v>
      </c>
      <c r="V4582" t="s">
        <v>13338</v>
      </c>
      <c r="W4582" t="s">
        <v>17864</v>
      </c>
      <c r="X4582">
        <v>7</v>
      </c>
      <c r="Y4582" t="s">
        <v>24367</v>
      </c>
      <c r="Z4582" t="s">
        <v>30997</v>
      </c>
      <c r="AA4582">
        <v>0.75249974126549291</v>
      </c>
      <c r="AB4582" t="str">
        <f>HYPERLINK("Melting_Curves/meltCurve_Q8NCC3_PLA2G15.pdf", "Melting_Curves/meltCurve_Q8NCC3_PLA2G15.pdf")</f>
        <v>Melting_Curves/meltCurve_Q8NCC3_PLA2G15.pdf</v>
      </c>
    </row>
    <row r="4583" spans="1:28" x14ac:dyDescent="0.25">
      <c r="A4583" t="s">
        <v>4587</v>
      </c>
      <c r="B4583">
        <v>0.99193492352474899</v>
      </c>
      <c r="C4583">
        <v>0.88318725880279603</v>
      </c>
      <c r="D4583">
        <v>0.87493217891803698</v>
      </c>
      <c r="E4583">
        <v>0.53406005357183695</v>
      </c>
      <c r="F4583">
        <v>0.184446618013488</v>
      </c>
      <c r="G4583">
        <v>8.6536510713710393E-2</v>
      </c>
      <c r="H4583">
        <v>6.0010750804056899E-2</v>
      </c>
      <c r="I4583">
        <v>7.6352333397895905E-2</v>
      </c>
      <c r="J4583">
        <v>0.10321253872271501</v>
      </c>
      <c r="K4583">
        <v>8.1677170233492302E-2</v>
      </c>
      <c r="L4583">
        <v>1214.75677140164</v>
      </c>
      <c r="M4583">
        <v>24.586314544383701</v>
      </c>
      <c r="N4583">
        <v>49.710797243834101</v>
      </c>
      <c r="O4583">
        <v>49.084462895614301</v>
      </c>
      <c r="P4583">
        <v>-0.11651364491739701</v>
      </c>
      <c r="Q4583">
        <v>6.9575473936427296E-2</v>
      </c>
      <c r="R4583">
        <v>0.99134023962199902</v>
      </c>
      <c r="S4583" t="s">
        <v>11253</v>
      </c>
      <c r="T4583" t="s">
        <v>13338</v>
      </c>
      <c r="U4583" t="s">
        <v>13338</v>
      </c>
      <c r="V4583" t="s">
        <v>13338</v>
      </c>
      <c r="W4583" t="s">
        <v>17865</v>
      </c>
      <c r="X4583">
        <v>3</v>
      </c>
      <c r="Y4583" t="s">
        <v>24368</v>
      </c>
      <c r="Z4583" t="s">
        <v>30998</v>
      </c>
      <c r="AA4583">
        <v>0.36990786146971899</v>
      </c>
      <c r="AB4583" t="str">
        <f>HYPERLINK("Melting_Curves/meltCurve_Q8NCE2_2_MTMR14.pdf", "Melting_Curves/meltCurve_Q8NCE2_2_MTMR14.pdf")</f>
        <v>Melting_Curves/meltCurve_Q8NCE2_2_MTMR14.pdf</v>
      </c>
    </row>
    <row r="4584" spans="1:28" x14ac:dyDescent="0.25">
      <c r="A4584" t="s">
        <v>4588</v>
      </c>
      <c r="B4584">
        <v>0.99193492352474899</v>
      </c>
      <c r="C4584">
        <v>0.87119395977207303</v>
      </c>
      <c r="D4584">
        <v>0.80270125446496099</v>
      </c>
      <c r="E4584">
        <v>0.470251155386403</v>
      </c>
      <c r="F4584">
        <v>0.28299229483275901</v>
      </c>
      <c r="G4584">
        <v>0.12986629390356</v>
      </c>
      <c r="H4584">
        <v>9.3756256775137603E-2</v>
      </c>
      <c r="I4584">
        <v>8.67919859382347E-2</v>
      </c>
      <c r="J4584">
        <v>0.11167468752974601</v>
      </c>
      <c r="K4584">
        <v>0.15525389900540101</v>
      </c>
      <c r="L4584">
        <v>882.56134916764302</v>
      </c>
      <c r="M4584">
        <v>18.101791468705802</v>
      </c>
      <c r="N4584">
        <v>49.344908983606203</v>
      </c>
      <c r="O4584">
        <v>48.172130229299199</v>
      </c>
      <c r="P4584">
        <v>-8.4813694020515598E-2</v>
      </c>
      <c r="Q4584">
        <v>9.72253958826578E-2</v>
      </c>
      <c r="R4584">
        <v>0.99107965370284601</v>
      </c>
      <c r="S4584" t="s">
        <v>11254</v>
      </c>
      <c r="T4584" t="s">
        <v>13338</v>
      </c>
      <c r="U4584" t="s">
        <v>13338</v>
      </c>
      <c r="V4584" t="s">
        <v>13338</v>
      </c>
      <c r="W4584" t="s">
        <v>17866</v>
      </c>
      <c r="X4584">
        <v>2</v>
      </c>
      <c r="Y4584" t="s">
        <v>24369</v>
      </c>
      <c r="Z4584" t="s">
        <v>30999</v>
      </c>
      <c r="AA4584">
        <v>0.37623461734447128</v>
      </c>
      <c r="AB4584" t="str">
        <f>HYPERLINK("Melting_Curves/meltCurve_Q8NCF5_NFATC2IP.pdf", "Melting_Curves/meltCurve_Q8NCF5_NFATC2IP.pdf")</f>
        <v>Melting_Curves/meltCurve_Q8NCF5_NFATC2IP.pdf</v>
      </c>
    </row>
    <row r="4585" spans="1:28" x14ac:dyDescent="0.25">
      <c r="A4585" t="s">
        <v>4589</v>
      </c>
      <c r="B4585">
        <v>0.99193492352474899</v>
      </c>
      <c r="C4585">
        <v>0.73830245454811205</v>
      </c>
      <c r="D4585">
        <v>0.94789923874847504</v>
      </c>
      <c r="E4585">
        <v>0.75708784726542699</v>
      </c>
      <c r="F4585">
        <v>0.646441534516493</v>
      </c>
      <c r="G4585">
        <v>0.29366155819519701</v>
      </c>
      <c r="H4585">
        <v>0.11717028761800601</v>
      </c>
      <c r="I4585">
        <v>0.11306963155447</v>
      </c>
      <c r="J4585">
        <v>0.142803802220767</v>
      </c>
      <c r="K4585">
        <v>0.107541001644808</v>
      </c>
      <c r="L4585">
        <v>780.216821193481</v>
      </c>
      <c r="M4585">
        <v>14.5618062736817</v>
      </c>
      <c r="N4585">
        <v>53.9582302491009</v>
      </c>
      <c r="O4585">
        <v>52.599606747675097</v>
      </c>
      <c r="P4585">
        <v>-6.5857456404248296E-2</v>
      </c>
      <c r="Q4585">
        <v>4.8556359719066203E-2</v>
      </c>
      <c r="R4585">
        <v>0.93567898825831597</v>
      </c>
      <c r="S4585" t="s">
        <v>11255</v>
      </c>
      <c r="T4585" t="s">
        <v>13338</v>
      </c>
      <c r="U4585" t="s">
        <v>13338</v>
      </c>
      <c r="V4585" t="s">
        <v>13338</v>
      </c>
      <c r="W4585" t="s">
        <v>17867</v>
      </c>
      <c r="X4585">
        <v>3</v>
      </c>
      <c r="Y4585" t="s">
        <v>24370</v>
      </c>
      <c r="Z4585" t="s">
        <v>31000</v>
      </c>
      <c r="AA4585">
        <v>0.49995312200154191</v>
      </c>
      <c r="AB4585" t="str">
        <f>HYPERLINK("Melting_Curves/meltCurve_Q8NCG7_4_DAGLB.pdf", "Melting_Curves/meltCurve_Q8NCG7_4_DAGLB.pdf")</f>
        <v>Melting_Curves/meltCurve_Q8NCG7_4_DAGLB.pdf</v>
      </c>
    </row>
    <row r="4586" spans="1:28" x14ac:dyDescent="0.25">
      <c r="A4586" t="s">
        <v>4590</v>
      </c>
      <c r="B4586">
        <v>0.99193492352474899</v>
      </c>
      <c r="C4586">
        <v>0.632885419645697</v>
      </c>
      <c r="D4586">
        <v>0.68369712244731895</v>
      </c>
      <c r="E4586">
        <v>0.421504913930703</v>
      </c>
      <c r="F4586">
        <v>0.32028011225195602</v>
      </c>
      <c r="G4586">
        <v>0.186538371491064</v>
      </c>
      <c r="H4586">
        <v>0.175896602637721</v>
      </c>
      <c r="I4586">
        <v>0.26402320130080198</v>
      </c>
      <c r="J4586">
        <v>0.32839886041927302</v>
      </c>
      <c r="K4586">
        <v>0.45575764101097299</v>
      </c>
      <c r="L4586">
        <v>721.92036095872697</v>
      </c>
      <c r="M4586">
        <v>16.051929322073399</v>
      </c>
      <c r="N4586">
        <v>47.379199317048602</v>
      </c>
      <c r="O4586">
        <v>44.293420118511897</v>
      </c>
      <c r="P4586">
        <v>-6.5359541247160299E-2</v>
      </c>
      <c r="Q4586">
        <v>0.27864788444773603</v>
      </c>
      <c r="R4586">
        <v>0.83590177598510196</v>
      </c>
      <c r="S4586" t="s">
        <v>11256</v>
      </c>
      <c r="T4586" t="s">
        <v>13338</v>
      </c>
      <c r="U4586" t="s">
        <v>13338</v>
      </c>
      <c r="V4586" t="s">
        <v>13338</v>
      </c>
      <c r="W4586" t="s">
        <v>17868</v>
      </c>
      <c r="X4586">
        <v>5</v>
      </c>
      <c r="Y4586" t="s">
        <v>24371</v>
      </c>
      <c r="Z4586" t="s">
        <v>31001</v>
      </c>
      <c r="AA4586">
        <v>0.41835884248657229</v>
      </c>
      <c r="AB4586" t="str">
        <f>HYPERLINK("Melting_Curves/meltCurve_Q8NCN4_RNF169.pdf", "Melting_Curves/meltCurve_Q8NCN4_RNF169.pdf")</f>
        <v>Melting_Curves/meltCurve_Q8NCN4_RNF169.pdf</v>
      </c>
    </row>
    <row r="4587" spans="1:28" x14ac:dyDescent="0.25">
      <c r="A4587" t="s">
        <v>4591</v>
      </c>
      <c r="B4587">
        <v>0.99193492352474899</v>
      </c>
      <c r="C4587">
        <v>0.90080625982714202</v>
      </c>
      <c r="D4587">
        <v>0.94399058612056996</v>
      </c>
      <c r="E4587">
        <v>0.73420179517317896</v>
      </c>
      <c r="F4587">
        <v>0.46958656149588301</v>
      </c>
      <c r="G4587">
        <v>0.116364951591134</v>
      </c>
      <c r="H4587">
        <v>6.8688485568317595E-2</v>
      </c>
      <c r="I4587">
        <v>7.6207361950769104E-2</v>
      </c>
      <c r="J4587">
        <v>9.7006605473859295E-2</v>
      </c>
      <c r="K4587">
        <v>8.0875028281264194E-2</v>
      </c>
      <c r="L4587">
        <v>1144.6398845624501</v>
      </c>
      <c r="M4587">
        <v>22.0277718497614</v>
      </c>
      <c r="N4587">
        <v>52.258282472108903</v>
      </c>
      <c r="O4587">
        <v>51.540890694114601</v>
      </c>
      <c r="P4587">
        <v>-0.100605809874475</v>
      </c>
      <c r="Q4587">
        <v>5.8424909814568597E-2</v>
      </c>
      <c r="R4587">
        <v>0.98734340651680796</v>
      </c>
      <c r="S4587" t="s">
        <v>11257</v>
      </c>
      <c r="T4587" t="s">
        <v>13338</v>
      </c>
      <c r="U4587" t="s">
        <v>13338</v>
      </c>
      <c r="V4587" t="s">
        <v>13338</v>
      </c>
      <c r="W4587" t="s">
        <v>17869</v>
      </c>
      <c r="X4587">
        <v>13</v>
      </c>
      <c r="Y4587" t="s">
        <v>24372</v>
      </c>
      <c r="Z4587" t="s">
        <v>31002</v>
      </c>
      <c r="AA4587">
        <v>0.44483125346149832</v>
      </c>
      <c r="AB4587" t="str">
        <f>HYPERLINK("Melting_Curves/meltCurve_Q8NCN5_PDPR.pdf", "Melting_Curves/meltCurve_Q8NCN5_PDPR.pdf")</f>
        <v>Melting_Curves/meltCurve_Q8NCN5_PDPR.pdf</v>
      </c>
    </row>
    <row r="4588" spans="1:28" x14ac:dyDescent="0.25">
      <c r="A4588" t="s">
        <v>4592</v>
      </c>
      <c r="B4588">
        <v>0.99193492352474899</v>
      </c>
      <c r="C4588">
        <v>0.91329531655166396</v>
      </c>
      <c r="D4588">
        <v>0.93239474890267604</v>
      </c>
      <c r="E4588">
        <v>0.83766901805397098</v>
      </c>
      <c r="F4588">
        <v>0.72215857883700796</v>
      </c>
      <c r="G4588">
        <v>0.56694731022648903</v>
      </c>
      <c r="H4588">
        <v>0.48758773119632698</v>
      </c>
      <c r="I4588">
        <v>0.45334963758625701</v>
      </c>
      <c r="J4588">
        <v>0.31365527805232302</v>
      </c>
      <c r="K4588">
        <v>0.17213172260659701</v>
      </c>
      <c r="L4588">
        <v>464.25084339399899</v>
      </c>
      <c r="M4588">
        <v>7.7472205956967901</v>
      </c>
      <c r="N4588">
        <v>59.924825624740301</v>
      </c>
      <c r="O4588">
        <v>56.324769085767898</v>
      </c>
      <c r="P4588">
        <v>-3.4430218091576099E-2</v>
      </c>
      <c r="Q4588">
        <v>0</v>
      </c>
      <c r="R4588">
        <v>0.97873544769115395</v>
      </c>
      <c r="S4588" t="s">
        <v>11258</v>
      </c>
      <c r="T4588" t="s">
        <v>13338</v>
      </c>
      <c r="U4588" t="s">
        <v>13338</v>
      </c>
      <c r="V4588" t="s">
        <v>13338</v>
      </c>
      <c r="W4588" t="s">
        <v>17870</v>
      </c>
      <c r="X4588">
        <v>11</v>
      </c>
      <c r="Y4588" t="s">
        <v>24373</v>
      </c>
      <c r="Z4588" t="s">
        <v>31003</v>
      </c>
      <c r="AA4588">
        <v>0.64794314669743047</v>
      </c>
      <c r="AB4588" t="str">
        <f>HYPERLINK("Melting_Curves/meltCurve_Q8NCW5_APOA1BP.pdf", "Melting_Curves/meltCurve_Q8NCW5_APOA1BP.pdf")</f>
        <v>Melting_Curves/meltCurve_Q8NCW5_APOA1BP.pdf</v>
      </c>
    </row>
    <row r="4589" spans="1:28" x14ac:dyDescent="0.25">
      <c r="A4589" t="s">
        <v>4593</v>
      </c>
      <c r="B4589">
        <v>0.99193492352474899</v>
      </c>
      <c r="C4589">
        <v>0.77842602462610699</v>
      </c>
      <c r="D4589">
        <v>0.74486157788836205</v>
      </c>
      <c r="E4589">
        <v>0.27506840095183199</v>
      </c>
      <c r="F4589">
        <v>0.18332744463957401</v>
      </c>
      <c r="G4589">
        <v>0.10432374342907</v>
      </c>
      <c r="H4589">
        <v>7.6433363052798894E-2</v>
      </c>
      <c r="I4589">
        <v>6.9473862568431105E-2</v>
      </c>
      <c r="J4589">
        <v>8.9803584967813294E-2</v>
      </c>
      <c r="K4589">
        <v>6.8879791566349699E-2</v>
      </c>
      <c r="L4589">
        <v>895.90589640502799</v>
      </c>
      <c r="M4589">
        <v>18.964283016991399</v>
      </c>
      <c r="N4589">
        <v>47.608580145032697</v>
      </c>
      <c r="O4589">
        <v>46.725857455177099</v>
      </c>
      <c r="P4589">
        <v>-9.45725720339822E-2</v>
      </c>
      <c r="Q4589">
        <v>6.7972766074650207E-2</v>
      </c>
      <c r="R4589">
        <v>0.978797524789776</v>
      </c>
      <c r="S4589" t="s">
        <v>11259</v>
      </c>
      <c r="T4589" t="s">
        <v>13338</v>
      </c>
      <c r="U4589" t="s">
        <v>13338</v>
      </c>
      <c r="V4589" t="s">
        <v>13338</v>
      </c>
      <c r="W4589" t="s">
        <v>17871</v>
      </c>
      <c r="X4589">
        <v>8</v>
      </c>
      <c r="Y4589" t="s">
        <v>24374</v>
      </c>
      <c r="Z4589" t="s">
        <v>31004</v>
      </c>
      <c r="AA4589">
        <v>0.30814205228810321</v>
      </c>
      <c r="AB4589" t="str">
        <f>HYPERLINK("Melting_Curves/meltCurve_Q8ND04_SMG8.pdf", "Melting_Curves/meltCurve_Q8ND04_SMG8.pdf")</f>
        <v>Melting_Curves/meltCurve_Q8ND04_SMG8.pdf</v>
      </c>
    </row>
    <row r="4590" spans="1:28" x14ac:dyDescent="0.25">
      <c r="A4590" t="s">
        <v>4594</v>
      </c>
      <c r="B4590">
        <v>0.99193492352474899</v>
      </c>
      <c r="C4590">
        <v>0.74778502207341702</v>
      </c>
      <c r="D4590">
        <v>0.66595604747305703</v>
      </c>
      <c r="E4590">
        <v>0.275075154413782</v>
      </c>
      <c r="F4590">
        <v>0.19586420264148999</v>
      </c>
      <c r="G4590">
        <v>0.116916178143494</v>
      </c>
      <c r="H4590">
        <v>0.100723723822357</v>
      </c>
      <c r="I4590">
        <v>9.29147338722765E-2</v>
      </c>
      <c r="J4590">
        <v>0.11086418987689101</v>
      </c>
      <c r="K4590">
        <v>0.14315008373604199</v>
      </c>
      <c r="L4590">
        <v>828.58284428524803</v>
      </c>
      <c r="M4590">
        <v>17.837937395254201</v>
      </c>
      <c r="N4590">
        <v>47.043033014887399</v>
      </c>
      <c r="O4590">
        <v>45.878621054873697</v>
      </c>
      <c r="P4590">
        <v>-8.7427889361725894E-2</v>
      </c>
      <c r="Q4590">
        <v>0.100598899129294</v>
      </c>
      <c r="R4590">
        <v>0.98053827460953402</v>
      </c>
      <c r="S4590" t="s">
        <v>11260</v>
      </c>
      <c r="T4590" t="s">
        <v>13338</v>
      </c>
      <c r="U4590" t="s">
        <v>13338</v>
      </c>
      <c r="V4590" t="s">
        <v>13338</v>
      </c>
      <c r="W4590" t="s">
        <v>17872</v>
      </c>
      <c r="X4590">
        <v>15</v>
      </c>
      <c r="Y4590" t="s">
        <v>24375</v>
      </c>
      <c r="Z4590" t="s">
        <v>31005</v>
      </c>
      <c r="AA4590">
        <v>0.31144534663809043</v>
      </c>
      <c r="AB4590" t="str">
        <f>HYPERLINK("Melting_Curves/meltCurve_Q8ND24_RNF214.pdf", "Melting_Curves/meltCurve_Q8ND24_RNF214.pdf")</f>
        <v>Melting_Curves/meltCurve_Q8ND24_RNF214.pdf</v>
      </c>
    </row>
    <row r="4591" spans="1:28" x14ac:dyDescent="0.25">
      <c r="A4591" t="s">
        <v>4595</v>
      </c>
      <c r="B4591">
        <v>0.99193492352474899</v>
      </c>
      <c r="C4591">
        <v>0.93512713101161904</v>
      </c>
      <c r="D4591">
        <v>1.1291383380770801</v>
      </c>
      <c r="E4591">
        <v>0.62066527435413199</v>
      </c>
      <c r="F4591">
        <v>0.43024230362982402</v>
      </c>
      <c r="G4591">
        <v>0.21862919202446901</v>
      </c>
      <c r="H4591">
        <v>0.17497305879170499</v>
      </c>
      <c r="I4591">
        <v>0.15454268462689999</v>
      </c>
      <c r="J4591">
        <v>0.223770341637577</v>
      </c>
      <c r="K4591">
        <v>0.25784367404400799</v>
      </c>
      <c r="L4591">
        <v>1477.8605080525299</v>
      </c>
      <c r="M4591">
        <v>29.2816161207714</v>
      </c>
      <c r="N4591">
        <v>51.410391843310798</v>
      </c>
      <c r="O4591">
        <v>50.236952180249503</v>
      </c>
      <c r="P4591">
        <v>-0.11551912645337201</v>
      </c>
      <c r="Q4591">
        <v>0.20724496894656499</v>
      </c>
      <c r="R4591">
        <v>0.95792607829634602</v>
      </c>
      <c r="S4591" t="s">
        <v>11261</v>
      </c>
      <c r="T4591" t="s">
        <v>13338</v>
      </c>
      <c r="U4591" t="s">
        <v>13338</v>
      </c>
      <c r="V4591" t="s">
        <v>13338</v>
      </c>
      <c r="W4591" t="s">
        <v>17873</v>
      </c>
      <c r="X4591">
        <v>3</v>
      </c>
      <c r="Y4591" t="s">
        <v>24376</v>
      </c>
      <c r="Z4591" t="s">
        <v>31006</v>
      </c>
      <c r="AA4591">
        <v>0.48912032467459149</v>
      </c>
      <c r="AB4591" t="str">
        <f>HYPERLINK("Melting_Curves/meltCurve_Q8ND25_ZNRF1.pdf", "Melting_Curves/meltCurve_Q8ND25_ZNRF1.pdf")</f>
        <v>Melting_Curves/meltCurve_Q8ND25_ZNRF1.pdf</v>
      </c>
    </row>
    <row r="4592" spans="1:28" x14ac:dyDescent="0.25">
      <c r="A4592" t="s">
        <v>4596</v>
      </c>
      <c r="B4592">
        <v>0.99193492352474899</v>
      </c>
      <c r="C4592">
        <v>0.61614976801474597</v>
      </c>
      <c r="D4592">
        <v>0.66862790628163005</v>
      </c>
      <c r="E4592">
        <v>0.30647365647160801</v>
      </c>
      <c r="F4592">
        <v>0.15633878225130801</v>
      </c>
      <c r="G4592">
        <v>0.17450469199826801</v>
      </c>
      <c r="H4592">
        <v>0.13331340489388099</v>
      </c>
      <c r="I4592">
        <v>0.174152768722109</v>
      </c>
      <c r="J4592">
        <v>0.18697253995923699</v>
      </c>
      <c r="K4592">
        <v>0.25071665025141399</v>
      </c>
      <c r="L4592">
        <v>745.974026017043</v>
      </c>
      <c r="M4592">
        <v>16.448597156377801</v>
      </c>
      <c r="N4592">
        <v>46.473973110628002</v>
      </c>
      <c r="O4592">
        <v>44.697401553292998</v>
      </c>
      <c r="P4592">
        <v>-7.6927589784312106E-2</v>
      </c>
      <c r="Q4592">
        <v>0.16388700322486699</v>
      </c>
      <c r="R4592">
        <v>0.91920965276585498</v>
      </c>
      <c r="S4592" t="s">
        <v>11262</v>
      </c>
      <c r="T4592" t="s">
        <v>13338</v>
      </c>
      <c r="U4592" t="s">
        <v>13338</v>
      </c>
      <c r="V4592" t="s">
        <v>13338</v>
      </c>
      <c r="W4592" t="s">
        <v>17874</v>
      </c>
      <c r="X4592">
        <v>1</v>
      </c>
      <c r="Y4592" t="s">
        <v>24377</v>
      </c>
      <c r="Z4592" t="s">
        <v>31007</v>
      </c>
      <c r="AA4592">
        <v>0.33428389282159349</v>
      </c>
      <c r="AB4592" t="str">
        <f>HYPERLINK("Melting_Curves/meltCurve_Q8ND30_PPFIBP2.pdf", "Melting_Curves/meltCurve_Q8ND30_PPFIBP2.pdf")</f>
        <v>Melting_Curves/meltCurve_Q8ND30_PPFIBP2.pdf</v>
      </c>
    </row>
    <row r="4593" spans="1:28" x14ac:dyDescent="0.25">
      <c r="A4593" t="s">
        <v>4597</v>
      </c>
      <c r="B4593">
        <v>0.99193492352474899</v>
      </c>
      <c r="C4593">
        <v>0.62847666050214801</v>
      </c>
      <c r="D4593">
        <v>0.83586313391510103</v>
      </c>
      <c r="E4593">
        <v>0.51830240968080599</v>
      </c>
      <c r="F4593">
        <v>0.27339675309582501</v>
      </c>
      <c r="G4593">
        <v>0.14743378171832999</v>
      </c>
      <c r="H4593">
        <v>9.6066787841274495E-2</v>
      </c>
      <c r="I4593">
        <v>0.118099842009892</v>
      </c>
      <c r="J4593">
        <v>0.14396125342668001</v>
      </c>
      <c r="K4593">
        <v>0.19945581615904201</v>
      </c>
      <c r="L4593">
        <v>622.53671969152003</v>
      </c>
      <c r="M4593">
        <v>12.8759996051285</v>
      </c>
      <c r="N4593">
        <v>49.153773627023597</v>
      </c>
      <c r="O4593">
        <v>47.226958812035399</v>
      </c>
      <c r="P4593">
        <v>-6.1690970550423399E-2</v>
      </c>
      <c r="Q4593">
        <v>9.5078397881405305E-2</v>
      </c>
      <c r="R4593">
        <v>0.90367709707074495</v>
      </c>
      <c r="S4593" t="s">
        <v>11263</v>
      </c>
      <c r="T4593" t="s">
        <v>13338</v>
      </c>
      <c r="U4593" t="s">
        <v>13338</v>
      </c>
      <c r="V4593" t="s">
        <v>13338</v>
      </c>
      <c r="W4593" t="s">
        <v>17875</v>
      </c>
      <c r="X4593">
        <v>10</v>
      </c>
      <c r="Y4593" t="s">
        <v>24378</v>
      </c>
      <c r="Z4593" t="s">
        <v>31008</v>
      </c>
      <c r="AA4593">
        <v>0.3774581078971565</v>
      </c>
      <c r="AB4593" t="str">
        <f>HYPERLINK("Melting_Curves/meltCurve_Q8ND56_2_LSM14A.pdf", "Melting_Curves/meltCurve_Q8ND56_2_LSM14A.pdf")</f>
        <v>Melting_Curves/meltCurve_Q8ND56_2_LSM14A.pdf</v>
      </c>
    </row>
    <row r="4594" spans="1:28" x14ac:dyDescent="0.25">
      <c r="A4594" t="s">
        <v>4598</v>
      </c>
      <c r="B4594">
        <v>0.99193492352474899</v>
      </c>
      <c r="C4594">
        <v>0.96871558572168304</v>
      </c>
      <c r="D4594">
        <v>0.91764634857183303</v>
      </c>
      <c r="E4594">
        <v>0.67337358562857297</v>
      </c>
      <c r="F4594">
        <v>0.30993444157766997</v>
      </c>
      <c r="G4594">
        <v>0.17732421811077401</v>
      </c>
      <c r="H4594">
        <v>0.16427065611587999</v>
      </c>
      <c r="I4594">
        <v>0.28921302968507401</v>
      </c>
      <c r="J4594">
        <v>0.38540624056543199</v>
      </c>
      <c r="K4594">
        <v>0.45000851266076303</v>
      </c>
      <c r="L4594">
        <v>2131.1652676671201</v>
      </c>
      <c r="M4594">
        <v>42.885095400242797</v>
      </c>
      <c r="N4594">
        <v>50.720035063731402</v>
      </c>
      <c r="O4594">
        <v>49.587107871649799</v>
      </c>
      <c r="P4594">
        <v>-0.153538154469503</v>
      </c>
      <c r="Q4594">
        <v>0.28987006729445097</v>
      </c>
      <c r="R4594">
        <v>0.92848581569730104</v>
      </c>
      <c r="S4594" t="s">
        <v>11264</v>
      </c>
      <c r="T4594" t="s">
        <v>13338</v>
      </c>
      <c r="U4594" t="s">
        <v>13338</v>
      </c>
      <c r="V4594" t="s">
        <v>13338</v>
      </c>
      <c r="W4594" t="s">
        <v>17876</v>
      </c>
      <c r="X4594">
        <v>2</v>
      </c>
      <c r="Y4594" t="s">
        <v>24379</v>
      </c>
      <c r="Z4594" t="s">
        <v>31009</v>
      </c>
      <c r="AA4594">
        <v>0.52147572921040386</v>
      </c>
      <c r="AB4594" t="str">
        <f>HYPERLINK("Melting_Curves/meltCurve_Q8ND76_3_CCNY.pdf", "Melting_Curves/meltCurve_Q8ND76_3_CCNY.pdf")</f>
        <v>Melting_Curves/meltCurve_Q8ND76_3_CCNY.pdf</v>
      </c>
    </row>
    <row r="4595" spans="1:28" x14ac:dyDescent="0.25">
      <c r="A4595" t="s">
        <v>4599</v>
      </c>
      <c r="B4595">
        <v>0.99193492352474899</v>
      </c>
      <c r="C4595">
        <v>0.97114914411856401</v>
      </c>
      <c r="D4595">
        <v>0.89690841397048904</v>
      </c>
      <c r="E4595">
        <v>0.83966331860884402</v>
      </c>
      <c r="F4595">
        <v>0.64416475929598005</v>
      </c>
      <c r="G4595">
        <v>0.57817348539475799</v>
      </c>
      <c r="H4595">
        <v>0.47031514537552099</v>
      </c>
      <c r="I4595">
        <v>0.52448965015008098</v>
      </c>
      <c r="J4595">
        <v>0.61271573544559099</v>
      </c>
      <c r="K4595">
        <v>0.82443477501434304</v>
      </c>
      <c r="L4595">
        <v>1256.7565053533399</v>
      </c>
      <c r="M4595">
        <v>25.362102337748201</v>
      </c>
      <c r="O4595">
        <v>49.247548212839497</v>
      </c>
      <c r="P4595">
        <v>-5.1654173943039498E-2</v>
      </c>
      <c r="Q4595">
        <v>0.598801543555604</v>
      </c>
      <c r="R4595">
        <v>0.75439021384309202</v>
      </c>
      <c r="S4595" t="s">
        <v>11265</v>
      </c>
      <c r="T4595" t="s">
        <v>13338</v>
      </c>
      <c r="U4595" t="s">
        <v>13338</v>
      </c>
      <c r="V4595" t="s">
        <v>13338</v>
      </c>
      <c r="W4595" t="s">
        <v>17877</v>
      </c>
      <c r="X4595">
        <v>1</v>
      </c>
      <c r="Y4595" t="s">
        <v>24380</v>
      </c>
      <c r="Z4595" t="s">
        <v>31010</v>
      </c>
      <c r="AA4595">
        <v>0.73001794376565787</v>
      </c>
      <c r="AB4595" t="str">
        <f>HYPERLINK("Melting_Curves/meltCurve_Q8NDC0_MAPK1IP1L.pdf", "Melting_Curves/meltCurve_Q8NDC0_MAPK1IP1L.pdf")</f>
        <v>Melting_Curves/meltCurve_Q8NDC0_MAPK1IP1L.pdf</v>
      </c>
    </row>
    <row r="4596" spans="1:28" x14ac:dyDescent="0.25">
      <c r="A4596" t="s">
        <v>4600</v>
      </c>
      <c r="B4596">
        <v>0.99193492352474899</v>
      </c>
      <c r="C4596">
        <v>0.59521804420400803</v>
      </c>
      <c r="D4596">
        <v>1.11944582770265</v>
      </c>
      <c r="E4596">
        <v>0.58647574478892905</v>
      </c>
      <c r="F4596">
        <v>0.57193861286673198</v>
      </c>
      <c r="G4596">
        <v>0.27027882568783201</v>
      </c>
      <c r="H4596">
        <v>0.59491760719801301</v>
      </c>
      <c r="I4596">
        <v>0.50243050804901002</v>
      </c>
      <c r="J4596">
        <v>0.81510710768574701</v>
      </c>
      <c r="K4596">
        <v>1.1781742893295899</v>
      </c>
      <c r="L4596">
        <v>706.21295075194701</v>
      </c>
      <c r="M4596">
        <v>16.414017957083399</v>
      </c>
      <c r="O4596">
        <v>42.4015777424896</v>
      </c>
      <c r="P4596">
        <v>-3.2441094625907399E-2</v>
      </c>
      <c r="Q4596">
        <v>0.66480941709929198</v>
      </c>
      <c r="R4596">
        <v>9.3815762816415904E-2</v>
      </c>
      <c r="S4596" t="s">
        <v>11266</v>
      </c>
      <c r="T4596" t="s">
        <v>13338</v>
      </c>
      <c r="U4596" t="s">
        <v>13338</v>
      </c>
      <c r="V4596" t="s">
        <v>13338</v>
      </c>
      <c r="W4596" t="s">
        <v>17878</v>
      </c>
      <c r="X4596">
        <v>10</v>
      </c>
      <c r="Y4596" t="s">
        <v>24381</v>
      </c>
      <c r="Z4596" t="s">
        <v>31011</v>
      </c>
      <c r="AA4596">
        <v>0.7104063763994598</v>
      </c>
      <c r="AB4596" t="str">
        <f>HYPERLINK("Melting_Curves/meltCurve_Q8NDD1_2_C1orf131.pdf", "Melting_Curves/meltCurve_Q8NDD1_2_C1orf131.pdf")</f>
        <v>Melting_Curves/meltCurve_Q8NDD1_2_C1orf131.pdf</v>
      </c>
    </row>
    <row r="4597" spans="1:28" x14ac:dyDescent="0.25">
      <c r="A4597" t="s">
        <v>4601</v>
      </c>
      <c r="B4597">
        <v>0.99193492352474899</v>
      </c>
      <c r="C4597">
        <v>0.42343253211201098</v>
      </c>
      <c r="D4597">
        <v>0.81308743190182897</v>
      </c>
      <c r="E4597">
        <v>0.42375708481894198</v>
      </c>
      <c r="F4597">
        <v>0.43191952750726298</v>
      </c>
      <c r="G4597">
        <v>0.19040924949183999</v>
      </c>
      <c r="H4597">
        <v>0.28665211673406099</v>
      </c>
      <c r="I4597">
        <v>0.27148151721252201</v>
      </c>
      <c r="J4597">
        <v>0.476134766075754</v>
      </c>
      <c r="K4597">
        <v>0.61327637337454499</v>
      </c>
      <c r="L4597">
        <v>646.30401154883498</v>
      </c>
      <c r="M4597">
        <v>14.9860556197275</v>
      </c>
      <c r="N4597">
        <v>47.598432496385499</v>
      </c>
      <c r="O4597">
        <v>42.380944340476198</v>
      </c>
      <c r="P4597">
        <v>-5.5021115557869101E-2</v>
      </c>
      <c r="Q4597">
        <v>0.37765866220787597</v>
      </c>
      <c r="R4597">
        <v>0.479694747537107</v>
      </c>
      <c r="S4597" t="s">
        <v>11267</v>
      </c>
      <c r="T4597" t="s">
        <v>13338</v>
      </c>
      <c r="U4597" t="s">
        <v>13338</v>
      </c>
      <c r="V4597" t="s">
        <v>13338</v>
      </c>
      <c r="W4597" t="s">
        <v>17879</v>
      </c>
      <c r="X4597">
        <v>11</v>
      </c>
      <c r="Y4597" t="s">
        <v>24381</v>
      </c>
      <c r="Z4597" t="s">
        <v>31012</v>
      </c>
      <c r="AA4597">
        <v>0.46823625434275767</v>
      </c>
      <c r="AB4597" t="str">
        <f>HYPERLINK("Melting_Curves/meltCurve_Q8NDD1_3_C1orf131.pdf", "Melting_Curves/meltCurve_Q8NDD1_3_C1orf131.pdf")</f>
        <v>Melting_Curves/meltCurve_Q8NDD1_3_C1orf131.pdf</v>
      </c>
    </row>
    <row r="4598" spans="1:28" x14ac:dyDescent="0.25">
      <c r="A4598" t="s">
        <v>4602</v>
      </c>
      <c r="B4598">
        <v>0.99193492352474899</v>
      </c>
      <c r="C4598">
        <v>0.63392688902181904</v>
      </c>
      <c r="D4598">
        <v>0.42234485436960201</v>
      </c>
      <c r="E4598">
        <v>0.16675674519220701</v>
      </c>
      <c r="F4598">
        <v>0.111921692296203</v>
      </c>
      <c r="G4598">
        <v>5.0731317021819898E-2</v>
      </c>
      <c r="H4598">
        <v>3.3764302947347398E-2</v>
      </c>
      <c r="I4598">
        <v>6.00074768055349E-2</v>
      </c>
      <c r="J4598">
        <v>8.6490514023193896E-2</v>
      </c>
      <c r="K4598">
        <v>4.94564669902696E-2</v>
      </c>
      <c r="L4598">
        <v>876.94118650043004</v>
      </c>
      <c r="M4598">
        <v>19.6704428597358</v>
      </c>
      <c r="N4598">
        <v>44.853337779237499</v>
      </c>
      <c r="O4598">
        <v>44.128576060500698</v>
      </c>
      <c r="P4598">
        <v>-0.105183214372592</v>
      </c>
      <c r="Q4598">
        <v>5.6162757555298398E-2</v>
      </c>
      <c r="R4598">
        <v>0.98440474596393202</v>
      </c>
      <c r="S4598" t="s">
        <v>11268</v>
      </c>
      <c r="T4598" t="s">
        <v>13338</v>
      </c>
      <c r="U4598" t="s">
        <v>13338</v>
      </c>
      <c r="V4598" t="s">
        <v>13338</v>
      </c>
      <c r="W4598" t="s">
        <v>17880</v>
      </c>
      <c r="X4598">
        <v>6</v>
      </c>
      <c r="Y4598" t="s">
        <v>24382</v>
      </c>
      <c r="Z4598" t="s">
        <v>31013</v>
      </c>
      <c r="AA4598">
        <v>0.21779293026861071</v>
      </c>
      <c r="AB4598" t="str">
        <f>HYPERLINK("Melting_Curves/meltCurve_Q8NDI1_3_EHBP1.pdf", "Melting_Curves/meltCurve_Q8NDI1_3_EHBP1.pdf")</f>
        <v>Melting_Curves/meltCurve_Q8NDI1_3_EHBP1.pdf</v>
      </c>
    </row>
    <row r="4599" spans="1:28" x14ac:dyDescent="0.25">
      <c r="A4599" t="s">
        <v>4603</v>
      </c>
      <c r="B4599">
        <v>0.99193492352474899</v>
      </c>
      <c r="C4599">
        <v>0.30389500879259002</v>
      </c>
      <c r="D4599">
        <v>0.53881917694432002</v>
      </c>
      <c r="E4599">
        <v>0.168850721014246</v>
      </c>
      <c r="F4599">
        <v>0.13570162595006599</v>
      </c>
      <c r="G4599">
        <v>9.7211680978391599E-2</v>
      </c>
      <c r="H4599">
        <v>5.2565034097276697E-2</v>
      </c>
      <c r="I4599">
        <v>6.2325909999353502E-2</v>
      </c>
      <c r="J4599">
        <v>7.8587916337250305E-2</v>
      </c>
      <c r="K4599">
        <v>8.2050864591377906E-2</v>
      </c>
      <c r="L4599">
        <v>663.895678660101</v>
      </c>
      <c r="M4599">
        <v>15.2829051767922</v>
      </c>
      <c r="N4599">
        <v>43.886287297846003</v>
      </c>
      <c r="O4599">
        <v>42.717022705524997</v>
      </c>
      <c r="P4599">
        <v>-8.3019060907026598E-2</v>
      </c>
      <c r="Q4599">
        <v>7.1905719440380503E-2</v>
      </c>
      <c r="R4599">
        <v>0.81547703253766401</v>
      </c>
      <c r="S4599" t="s">
        <v>11269</v>
      </c>
      <c r="T4599" t="s">
        <v>13338</v>
      </c>
      <c r="U4599" t="s">
        <v>13338</v>
      </c>
      <c r="V4599" t="s">
        <v>13338</v>
      </c>
      <c r="W4599" t="s">
        <v>17881</v>
      </c>
      <c r="X4599">
        <v>8</v>
      </c>
      <c r="Y4599" t="s">
        <v>24383</v>
      </c>
      <c r="Z4599" t="s">
        <v>31014</v>
      </c>
      <c r="AA4599">
        <v>0.21348586580303089</v>
      </c>
      <c r="AB4599" t="str">
        <f>HYPERLINK("Melting_Curves/meltCurve_Q8NDT2_RBM15B.pdf", "Melting_Curves/meltCurve_Q8NDT2_RBM15B.pdf")</f>
        <v>Melting_Curves/meltCurve_Q8NDT2_RBM15B.pdf</v>
      </c>
    </row>
    <row r="4600" spans="1:28" x14ac:dyDescent="0.25">
      <c r="A4600" t="s">
        <v>4604</v>
      </c>
      <c r="B4600">
        <v>0.99193492352474899</v>
      </c>
      <c r="C4600">
        <v>0.923055124674526</v>
      </c>
      <c r="D4600">
        <v>0.85200013444882405</v>
      </c>
      <c r="E4600">
        <v>0.73827870069533896</v>
      </c>
      <c r="F4600">
        <v>0.43602011517309502</v>
      </c>
      <c r="G4600">
        <v>0.17706233076908801</v>
      </c>
      <c r="H4600">
        <v>6.0632237392163897E-2</v>
      </c>
      <c r="I4600">
        <v>8.7354439465722702E-2</v>
      </c>
      <c r="J4600">
        <v>9.9227091434032993E-2</v>
      </c>
      <c r="K4600">
        <v>0.10433271190634</v>
      </c>
      <c r="L4600">
        <v>947.03871515949504</v>
      </c>
      <c r="M4600">
        <v>18.3208080399686</v>
      </c>
      <c r="N4600">
        <v>52.055288456561897</v>
      </c>
      <c r="O4600">
        <v>51.087916279658899</v>
      </c>
      <c r="P4600">
        <v>-8.4276646294853305E-2</v>
      </c>
      <c r="Q4600">
        <v>6.0015231675570102E-2</v>
      </c>
      <c r="R4600">
        <v>0.98907644644971504</v>
      </c>
      <c r="S4600" t="s">
        <v>11270</v>
      </c>
      <c r="T4600" t="s">
        <v>13338</v>
      </c>
      <c r="U4600" t="s">
        <v>13338</v>
      </c>
      <c r="V4600" t="s">
        <v>13338</v>
      </c>
      <c r="W4600" t="s">
        <v>17882</v>
      </c>
      <c r="X4600">
        <v>2</v>
      </c>
      <c r="Y4600" t="s">
        <v>24384</v>
      </c>
      <c r="Z4600" t="s">
        <v>31015</v>
      </c>
      <c r="AA4600">
        <v>0.44158754132432249</v>
      </c>
      <c r="AB4600" t="str">
        <f>HYPERLINK("Melting_Curves/meltCurve_Q8NDV3_2_SMC1B.pdf", "Melting_Curves/meltCurve_Q8NDV3_2_SMC1B.pdf")</f>
        <v>Melting_Curves/meltCurve_Q8NDV3_2_SMC1B.pdf</v>
      </c>
    </row>
    <row r="4601" spans="1:28" x14ac:dyDescent="0.25">
      <c r="A4601" t="s">
        <v>4605</v>
      </c>
      <c r="B4601">
        <v>0.99193492352474899</v>
      </c>
      <c r="C4601">
        <v>0.84375095416716595</v>
      </c>
      <c r="D4601">
        <v>0.88489715610128505</v>
      </c>
      <c r="E4601">
        <v>0.62789330587200798</v>
      </c>
      <c r="F4601">
        <v>0.31813094119545299</v>
      </c>
      <c r="G4601">
        <v>0.15699525475145601</v>
      </c>
      <c r="H4601">
        <v>0.10893051635883801</v>
      </c>
      <c r="I4601">
        <v>0.141254219575012</v>
      </c>
      <c r="J4601">
        <v>0.23135076832242199</v>
      </c>
      <c r="K4601">
        <v>0.15527130655708599</v>
      </c>
      <c r="L4601">
        <v>1064.09702003332</v>
      </c>
      <c r="M4601">
        <v>21.330459527978899</v>
      </c>
      <c r="N4601">
        <v>50.686289157679802</v>
      </c>
      <c r="O4601">
        <v>49.454009852228097</v>
      </c>
      <c r="P4601">
        <v>-9.2420381405490401E-2</v>
      </c>
      <c r="Q4601">
        <v>0.14292635096183501</v>
      </c>
      <c r="R4601">
        <v>0.973025091373936</v>
      </c>
      <c r="S4601" t="s">
        <v>11271</v>
      </c>
      <c r="T4601" t="s">
        <v>13338</v>
      </c>
      <c r="U4601" t="s">
        <v>13338</v>
      </c>
      <c r="V4601" t="s">
        <v>13338</v>
      </c>
      <c r="W4601" t="s">
        <v>17883</v>
      </c>
      <c r="X4601">
        <v>2</v>
      </c>
      <c r="Y4601" t="s">
        <v>24385</v>
      </c>
      <c r="Z4601" t="s">
        <v>31016</v>
      </c>
      <c r="AA4601">
        <v>0.43588190626083628</v>
      </c>
      <c r="AB4601" t="str">
        <f>HYPERLINK("Melting_Curves/meltCurve_Q8NDZ4_C3orf58.pdf", "Melting_Curves/meltCurve_Q8NDZ4_C3orf58.pdf")</f>
        <v>Melting_Curves/meltCurve_Q8NDZ4_C3orf58.pdf</v>
      </c>
    </row>
    <row r="4602" spans="1:28" x14ac:dyDescent="0.25">
      <c r="A4602" t="s">
        <v>4606</v>
      </c>
      <c r="B4602">
        <v>0.99193492352474899</v>
      </c>
      <c r="C4602">
        <v>1.0029621877078501</v>
      </c>
      <c r="D4602">
        <v>0.94900703779706497</v>
      </c>
      <c r="E4602">
        <v>0.70627967886806198</v>
      </c>
      <c r="F4602">
        <v>0.38529115294938998</v>
      </c>
      <c r="G4602">
        <v>0.18103945554145101</v>
      </c>
      <c r="H4602">
        <v>0.10945805741775901</v>
      </c>
      <c r="I4602">
        <v>0.14493862856008699</v>
      </c>
      <c r="J4602">
        <v>0.13875415614153</v>
      </c>
      <c r="K4602">
        <v>0.156392692383717</v>
      </c>
      <c r="L4602">
        <v>1262.6809422470601</v>
      </c>
      <c r="M4602">
        <v>24.726005139596001</v>
      </c>
      <c r="N4602">
        <v>51.6981704308945</v>
      </c>
      <c r="O4602">
        <v>50.736407827033602</v>
      </c>
      <c r="P4602">
        <v>-0.105962449617066</v>
      </c>
      <c r="Q4602">
        <v>0.13029566745654</v>
      </c>
      <c r="R4602">
        <v>0.99778901195869396</v>
      </c>
      <c r="S4602" t="s">
        <v>11272</v>
      </c>
      <c r="T4602" t="s">
        <v>13338</v>
      </c>
      <c r="U4602" t="s">
        <v>13338</v>
      </c>
      <c r="V4602" t="s">
        <v>13338</v>
      </c>
      <c r="W4602" t="s">
        <v>17884</v>
      </c>
      <c r="X4602">
        <v>11</v>
      </c>
      <c r="Y4602" t="s">
        <v>24386</v>
      </c>
      <c r="Z4602" t="s">
        <v>31017</v>
      </c>
      <c r="AA4602">
        <v>0.4591618443039987</v>
      </c>
      <c r="AB4602" t="str">
        <f>HYPERLINK("Melting_Curves/meltCurve_Q8NE01_CNNM3.pdf", "Melting_Curves/meltCurve_Q8NE01_CNNM3.pdf")</f>
        <v>Melting_Curves/meltCurve_Q8NE01_CNNM3.pdf</v>
      </c>
    </row>
    <row r="4603" spans="1:28" x14ac:dyDescent="0.25">
      <c r="A4603" t="s">
        <v>4607</v>
      </c>
      <c r="B4603">
        <v>0.99193492352474899</v>
      </c>
      <c r="C4603">
        <v>0.69730481452481496</v>
      </c>
      <c r="D4603">
        <v>0.92164852044772805</v>
      </c>
      <c r="E4603">
        <v>0.62375290641591496</v>
      </c>
      <c r="F4603">
        <v>0.33928544511407199</v>
      </c>
      <c r="G4603">
        <v>0.10657529410545399</v>
      </c>
      <c r="H4603">
        <v>6.5222699624427394E-2</v>
      </c>
      <c r="I4603">
        <v>7.7618888536719902E-2</v>
      </c>
      <c r="J4603">
        <v>8.2264329189806695E-2</v>
      </c>
      <c r="K4603">
        <v>9.4211759159258293E-2</v>
      </c>
      <c r="L4603">
        <v>822.29754284819205</v>
      </c>
      <c r="M4603">
        <v>16.2909470790112</v>
      </c>
      <c r="N4603">
        <v>50.749124970543797</v>
      </c>
      <c r="O4603">
        <v>49.733556692399802</v>
      </c>
      <c r="P4603">
        <v>-7.8456637320798495E-2</v>
      </c>
      <c r="Q4603">
        <v>4.2009863036435502E-2</v>
      </c>
      <c r="R4603">
        <v>0.936509732257233</v>
      </c>
      <c r="S4603" t="s">
        <v>11273</v>
      </c>
      <c r="T4603" t="s">
        <v>13338</v>
      </c>
      <c r="U4603" t="s">
        <v>13338</v>
      </c>
      <c r="V4603" t="s">
        <v>13338</v>
      </c>
      <c r="W4603" t="s">
        <v>17885</v>
      </c>
      <c r="X4603">
        <v>41</v>
      </c>
      <c r="Y4603" t="s">
        <v>24387</v>
      </c>
      <c r="Z4603" t="s">
        <v>31018</v>
      </c>
      <c r="AA4603">
        <v>0.39600541280666851</v>
      </c>
      <c r="AB4603" t="str">
        <f>HYPERLINK("Melting_Curves/meltCurve_Q8NE71_ABCF1.pdf", "Melting_Curves/meltCurve_Q8NE71_ABCF1.pdf")</f>
        <v>Melting_Curves/meltCurve_Q8NE71_ABCF1.pdf</v>
      </c>
    </row>
    <row r="4604" spans="1:28" x14ac:dyDescent="0.25">
      <c r="A4604" t="s">
        <v>4608</v>
      </c>
      <c r="B4604">
        <v>0.99193492352474899</v>
      </c>
      <c r="C4604">
        <v>1.03126423453729</v>
      </c>
      <c r="D4604">
        <v>1.1170499631262101</v>
      </c>
      <c r="E4604">
        <v>0.84256644484384702</v>
      </c>
      <c r="F4604">
        <v>0.314047944872131</v>
      </c>
      <c r="G4604">
        <v>0.14834405944898801</v>
      </c>
      <c r="H4604">
        <v>7.4605430665340006E-2</v>
      </c>
      <c r="I4604">
        <v>7.3106636631350905E-2</v>
      </c>
      <c r="J4604">
        <v>0.107074067618092</v>
      </c>
      <c r="K4604">
        <v>6.92031852360383E-2</v>
      </c>
      <c r="L4604">
        <v>2010.4357026094899</v>
      </c>
      <c r="M4604">
        <v>38.883112595564398</v>
      </c>
      <c r="N4604">
        <v>51.962184016473103</v>
      </c>
      <c r="O4604">
        <v>51.568424237678101</v>
      </c>
      <c r="P4604">
        <v>-0.17197955177591001</v>
      </c>
      <c r="Q4604">
        <v>8.7656325894526405E-2</v>
      </c>
      <c r="R4604">
        <v>0.98990744285216803</v>
      </c>
      <c r="S4604" t="s">
        <v>11274</v>
      </c>
      <c r="T4604" t="s">
        <v>13338</v>
      </c>
      <c r="U4604" t="s">
        <v>13338</v>
      </c>
      <c r="V4604" t="s">
        <v>13338</v>
      </c>
      <c r="W4604" t="s">
        <v>17886</v>
      </c>
      <c r="X4604">
        <v>6</v>
      </c>
      <c r="Y4604" t="s">
        <v>24388</v>
      </c>
      <c r="Z4604" t="s">
        <v>31019</v>
      </c>
      <c r="AA4604">
        <v>0.4470608622724237</v>
      </c>
      <c r="AB4604" t="str">
        <f>HYPERLINK("Melting_Curves/meltCurve_Q8NE86_3_MCU.pdf", "Melting_Curves/meltCurve_Q8NE86_3_MCU.pdf")</f>
        <v>Melting_Curves/meltCurve_Q8NE86_3_MCU.pdf</v>
      </c>
    </row>
    <row r="4605" spans="1:28" x14ac:dyDescent="0.25">
      <c r="A4605" t="s">
        <v>4609</v>
      </c>
      <c r="B4605">
        <v>0.99193492352474899</v>
      </c>
      <c r="C4605">
        <v>0.92847602726235401</v>
      </c>
      <c r="D4605">
        <v>0.88718884378350904</v>
      </c>
      <c r="E4605">
        <v>0.71276604923492404</v>
      </c>
      <c r="F4605">
        <v>0.33537062195446099</v>
      </c>
      <c r="G4605">
        <v>0.13812029675510101</v>
      </c>
      <c r="H4605">
        <v>7.5382501763347404E-2</v>
      </c>
      <c r="I4605">
        <v>7.2433969526421005E-2</v>
      </c>
      <c r="J4605">
        <v>8.7956564531859696E-2</v>
      </c>
      <c r="K4605">
        <v>9.0609340478216505E-2</v>
      </c>
      <c r="L4605">
        <v>1131.2744580599599</v>
      </c>
      <c r="M4605">
        <v>22.146216674546501</v>
      </c>
      <c r="N4605">
        <v>51.416346473617203</v>
      </c>
      <c r="O4605">
        <v>50.671017956975902</v>
      </c>
      <c r="P4605">
        <v>-0.10194083489339301</v>
      </c>
      <c r="Q4605">
        <v>6.7048812866287694E-2</v>
      </c>
      <c r="R4605">
        <v>0.99492370801779495</v>
      </c>
      <c r="S4605" t="s">
        <v>11275</v>
      </c>
      <c r="T4605" t="s">
        <v>13338</v>
      </c>
      <c r="U4605" t="s">
        <v>13338</v>
      </c>
      <c r="V4605" t="s">
        <v>13338</v>
      </c>
      <c r="W4605" t="s">
        <v>17887</v>
      </c>
      <c r="X4605">
        <v>15</v>
      </c>
      <c r="Y4605" t="s">
        <v>24389</v>
      </c>
      <c r="Z4605" t="s">
        <v>31020</v>
      </c>
      <c r="AA4605">
        <v>0.42235875117522281</v>
      </c>
      <c r="AB4605" t="str">
        <f>HYPERLINK("Melting_Curves/meltCurve_Q8NEB9_PIK3C3.pdf", "Melting_Curves/meltCurve_Q8NEB9_PIK3C3.pdf")</f>
        <v>Melting_Curves/meltCurve_Q8NEB9_PIK3C3.pdf</v>
      </c>
    </row>
    <row r="4606" spans="1:28" x14ac:dyDescent="0.25">
      <c r="A4606" t="s">
        <v>4610</v>
      </c>
      <c r="B4606">
        <v>0.99193492352474899</v>
      </c>
      <c r="C4606">
        <v>0.99129553800603099</v>
      </c>
      <c r="D4606">
        <v>0.59436069969817096</v>
      </c>
      <c r="E4606">
        <v>0.26832282434406002</v>
      </c>
      <c r="F4606">
        <v>0.20347579392148299</v>
      </c>
      <c r="G4606">
        <v>0.105265366598256</v>
      </c>
      <c r="H4606">
        <v>5.43989001688071E-2</v>
      </c>
      <c r="I4606">
        <v>8.4566908532375099E-2</v>
      </c>
      <c r="J4606">
        <v>8.4630870006603506E-2</v>
      </c>
      <c r="K4606">
        <v>8.7756011554885105E-2</v>
      </c>
      <c r="L4606">
        <v>1203.37194174366</v>
      </c>
      <c r="M4606">
        <v>25.756621903755299</v>
      </c>
      <c r="N4606">
        <v>47.101084048558199</v>
      </c>
      <c r="O4606">
        <v>46.441990837076702</v>
      </c>
      <c r="P4606">
        <v>-0.125637514246178</v>
      </c>
      <c r="Q4606">
        <v>9.3858804571568893E-2</v>
      </c>
      <c r="R4606">
        <v>0.98848935034601104</v>
      </c>
      <c r="S4606" t="s">
        <v>11276</v>
      </c>
      <c r="T4606" t="s">
        <v>13338</v>
      </c>
      <c r="U4606" t="s">
        <v>13338</v>
      </c>
      <c r="V4606" t="s">
        <v>13338</v>
      </c>
      <c r="W4606" t="s">
        <v>17888</v>
      </c>
      <c r="X4606">
        <v>4</v>
      </c>
      <c r="Y4606" t="s">
        <v>24390</v>
      </c>
      <c r="Z4606" t="s">
        <v>31021</v>
      </c>
      <c r="AA4606">
        <v>0.30448015975570059</v>
      </c>
      <c r="AB4606" t="str">
        <f>HYPERLINK("Melting_Curves/meltCurve_Q8NEC7_GSTCD.pdf", "Melting_Curves/meltCurve_Q8NEC7_GSTCD.pdf")</f>
        <v>Melting_Curves/meltCurve_Q8NEC7_GSTCD.pdf</v>
      </c>
    </row>
    <row r="4607" spans="1:28" x14ac:dyDescent="0.25">
      <c r="A4607" t="s">
        <v>4611</v>
      </c>
      <c r="B4607">
        <v>0.99193492352474899</v>
      </c>
      <c r="C4607">
        <v>0.41486544870270398</v>
      </c>
      <c r="D4607">
        <v>0.68378831647971405</v>
      </c>
      <c r="E4607">
        <v>0.38816444881547901</v>
      </c>
      <c r="F4607">
        <v>0.24971179137067401</v>
      </c>
      <c r="G4607">
        <v>0.165356612870424</v>
      </c>
      <c r="H4607">
        <v>0.13083585014117299</v>
      </c>
      <c r="I4607">
        <v>0.22336092505078001</v>
      </c>
      <c r="J4607">
        <v>0.34107489801306001</v>
      </c>
      <c r="K4607">
        <v>0.37306662681143299</v>
      </c>
      <c r="L4607">
        <v>638.22072132793903</v>
      </c>
      <c r="M4607">
        <v>14.606745054614199</v>
      </c>
      <c r="N4607">
        <v>45.7917655711869</v>
      </c>
      <c r="O4607">
        <v>42.899109067895203</v>
      </c>
      <c r="P4607">
        <v>-6.4363037706071602E-2</v>
      </c>
      <c r="Q4607">
        <v>0.243963700881623</v>
      </c>
      <c r="R4607">
        <v>0.70667208414405203</v>
      </c>
      <c r="S4607" t="s">
        <v>11277</v>
      </c>
      <c r="T4607" t="s">
        <v>13338</v>
      </c>
      <c r="U4607" t="s">
        <v>13338</v>
      </c>
      <c r="V4607" t="s">
        <v>13338</v>
      </c>
      <c r="W4607" t="s">
        <v>17889</v>
      </c>
      <c r="X4607">
        <v>3</v>
      </c>
      <c r="Y4607" t="s">
        <v>24391</v>
      </c>
      <c r="Z4607" t="s">
        <v>31022</v>
      </c>
      <c r="AA4607">
        <v>0.36721557410395228</v>
      </c>
      <c r="AB4607" t="str">
        <f>HYPERLINK("Melting_Curves/meltCurve_Q8NEF9_SRFBP1.pdf", "Melting_Curves/meltCurve_Q8NEF9_SRFBP1.pdf")</f>
        <v>Melting_Curves/meltCurve_Q8NEF9_SRFBP1.pdf</v>
      </c>
    </row>
    <row r="4608" spans="1:28" x14ac:dyDescent="0.25">
      <c r="A4608" t="s">
        <v>4612</v>
      </c>
      <c r="B4608">
        <v>0.99193492352474899</v>
      </c>
      <c r="C4608">
        <v>0.799444856204788</v>
      </c>
      <c r="D4608">
        <v>0.71233714813828697</v>
      </c>
      <c r="E4608">
        <v>0.303632860714802</v>
      </c>
      <c r="F4608">
        <v>0.19937827188543</v>
      </c>
      <c r="G4608">
        <v>8.6668035521174802E-2</v>
      </c>
      <c r="H4608">
        <v>6.0532764441301602E-2</v>
      </c>
      <c r="I4608">
        <v>3.8269120182011403E-2</v>
      </c>
      <c r="J4608">
        <v>3.9177858470491302E-2</v>
      </c>
      <c r="K4608">
        <v>2.7554684749139399E-2</v>
      </c>
      <c r="L4608">
        <v>792.95531289770702</v>
      </c>
      <c r="M4608">
        <v>16.669303373700401</v>
      </c>
      <c r="N4608">
        <v>47.742237184283098</v>
      </c>
      <c r="O4608">
        <v>46.9010100262714</v>
      </c>
      <c r="P4608">
        <v>-8.6263727086792405E-2</v>
      </c>
      <c r="Q4608">
        <v>2.9213326520204801E-2</v>
      </c>
      <c r="R4608">
        <v>0.98952360619191504</v>
      </c>
      <c r="S4608" t="s">
        <v>11278</v>
      </c>
      <c r="T4608" t="s">
        <v>13338</v>
      </c>
      <c r="U4608" t="s">
        <v>13338</v>
      </c>
      <c r="V4608" t="s">
        <v>13338</v>
      </c>
      <c r="W4608" t="s">
        <v>17890</v>
      </c>
      <c r="X4608">
        <v>7</v>
      </c>
      <c r="Y4608" t="s">
        <v>24392</v>
      </c>
      <c r="Z4608" t="s">
        <v>31023</v>
      </c>
      <c r="AA4608">
        <v>0.29471853844423701</v>
      </c>
      <c r="AB4608" t="str">
        <f>HYPERLINK("Melting_Curves/meltCurve_Q8NEL9_2_DDHD1.pdf", "Melting_Curves/meltCurve_Q8NEL9_2_DDHD1.pdf")</f>
        <v>Melting_Curves/meltCurve_Q8NEL9_2_DDHD1.pdf</v>
      </c>
    </row>
    <row r="4609" spans="1:28" x14ac:dyDescent="0.25">
      <c r="A4609" t="s">
        <v>4613</v>
      </c>
      <c r="B4609">
        <v>0.99193492352474899</v>
      </c>
      <c r="C4609">
        <v>0.80826660765135405</v>
      </c>
      <c r="D4609">
        <v>0.57854304223222097</v>
      </c>
      <c r="E4609">
        <v>0.378696891553784</v>
      </c>
      <c r="F4609">
        <v>0.188140898567314</v>
      </c>
      <c r="G4609">
        <v>0.137431846240158</v>
      </c>
      <c r="H4609">
        <v>0.11006294738851199</v>
      </c>
      <c r="I4609">
        <v>7.3768410444168403E-2</v>
      </c>
      <c r="J4609">
        <v>7.4230229852594004E-2</v>
      </c>
      <c r="K4609">
        <v>7.8780119642757607E-2</v>
      </c>
      <c r="L4609">
        <v>724.970591764029</v>
      </c>
      <c r="M4609">
        <v>15.46457323718</v>
      </c>
      <c r="N4609">
        <v>47.356169425436903</v>
      </c>
      <c r="O4609">
        <v>46.116532123208898</v>
      </c>
      <c r="P4609">
        <v>-7.7798248800610995E-2</v>
      </c>
      <c r="Q4609">
        <v>7.2082044686751195E-2</v>
      </c>
      <c r="R4609">
        <v>0.99520600885157795</v>
      </c>
      <c r="S4609" t="s">
        <v>11279</v>
      </c>
      <c r="T4609" t="s">
        <v>13338</v>
      </c>
      <c r="U4609" t="s">
        <v>13338</v>
      </c>
      <c r="V4609" t="s">
        <v>13338</v>
      </c>
      <c r="W4609" t="s">
        <v>17891</v>
      </c>
      <c r="X4609">
        <v>2</v>
      </c>
      <c r="Y4609" t="s">
        <v>24393</v>
      </c>
      <c r="Z4609" t="s">
        <v>31024</v>
      </c>
      <c r="AA4609">
        <v>0.30871193641308509</v>
      </c>
      <c r="AB4609" t="str">
        <f>HYPERLINK("Melting_Curves/meltCurve_Q8NEM2_SHCBP1.pdf", "Melting_Curves/meltCurve_Q8NEM2_SHCBP1.pdf")</f>
        <v>Melting_Curves/meltCurve_Q8NEM2_SHCBP1.pdf</v>
      </c>
    </row>
    <row r="4610" spans="1:28" x14ac:dyDescent="0.25">
      <c r="A4610" t="s">
        <v>4614</v>
      </c>
      <c r="B4610">
        <v>0.99193492352474899</v>
      </c>
      <c r="C4610">
        <v>0.91264507818297702</v>
      </c>
      <c r="D4610">
        <v>0.910469024635429</v>
      </c>
      <c r="E4610">
        <v>0.60289368828685896</v>
      </c>
      <c r="F4610">
        <v>0.23902121112000199</v>
      </c>
      <c r="G4610">
        <v>0.14475004057195401</v>
      </c>
      <c r="H4610">
        <v>0.101840526907228</v>
      </c>
      <c r="I4610">
        <v>8.5937891552326506E-2</v>
      </c>
      <c r="J4610">
        <v>7.2615400552019801E-2</v>
      </c>
      <c r="K4610">
        <v>5.7196877261792303E-2</v>
      </c>
      <c r="L4610">
        <v>1170.34988605584</v>
      </c>
      <c r="M4610">
        <v>23.3583613202447</v>
      </c>
      <c r="N4610">
        <v>50.447413368634898</v>
      </c>
      <c r="O4610">
        <v>49.741211276784099</v>
      </c>
      <c r="P4610">
        <v>-0.108774405056804</v>
      </c>
      <c r="Q4610">
        <v>7.3483728143723795E-2</v>
      </c>
      <c r="R4610">
        <v>0.99541256541496603</v>
      </c>
      <c r="S4610" t="s">
        <v>11280</v>
      </c>
      <c r="T4610" t="s">
        <v>13338</v>
      </c>
      <c r="U4610" t="s">
        <v>13338</v>
      </c>
      <c r="V4610" t="s">
        <v>13338</v>
      </c>
      <c r="W4610" t="s">
        <v>17892</v>
      </c>
      <c r="X4610">
        <v>4</v>
      </c>
      <c r="Y4610" t="s">
        <v>24394</v>
      </c>
      <c r="Z4610" t="s">
        <v>31025</v>
      </c>
      <c r="AA4610">
        <v>0.39503374948127412</v>
      </c>
      <c r="AB4610" t="str">
        <f>HYPERLINK("Melting_Curves/meltCurve_Q8NEN9_PDZD8.pdf", "Melting_Curves/meltCurve_Q8NEN9_PDZD8.pdf")</f>
        <v>Melting_Curves/meltCurve_Q8NEN9_PDZD8.pdf</v>
      </c>
    </row>
    <row r="4611" spans="1:28" x14ac:dyDescent="0.25">
      <c r="A4611" t="s">
        <v>4615</v>
      </c>
      <c r="B4611">
        <v>0.99193492352474899</v>
      </c>
      <c r="C4611">
        <v>1.1301909882077601</v>
      </c>
      <c r="D4611">
        <v>1.1300416755081</v>
      </c>
      <c r="E4611">
        <v>0.98480751370481701</v>
      </c>
      <c r="F4611">
        <v>0.60518145862598305</v>
      </c>
      <c r="G4611">
        <v>0.72551204795442803</v>
      </c>
      <c r="H4611">
        <v>0.33949772649885801</v>
      </c>
      <c r="I4611">
        <v>0.26250939708454002</v>
      </c>
      <c r="J4611">
        <v>0.190246521817278</v>
      </c>
      <c r="K4611">
        <v>0.12801926925159701</v>
      </c>
      <c r="L4611">
        <v>835.07721231510902</v>
      </c>
      <c r="M4611">
        <v>14.4225219122866</v>
      </c>
      <c r="N4611">
        <v>58.487492051885297</v>
      </c>
      <c r="O4611">
        <v>56.821908014462501</v>
      </c>
      <c r="P4611">
        <v>-5.9189157496737199E-2</v>
      </c>
      <c r="Q4611">
        <v>6.7335279764442299E-2</v>
      </c>
      <c r="R4611">
        <v>0.93004817578604804</v>
      </c>
      <c r="S4611" t="s">
        <v>11281</v>
      </c>
      <c r="T4611" t="s">
        <v>13338</v>
      </c>
      <c r="U4611" t="s">
        <v>13338</v>
      </c>
      <c r="V4611" t="s">
        <v>13338</v>
      </c>
      <c r="W4611" t="s">
        <v>17893</v>
      </c>
      <c r="X4611">
        <v>3</v>
      </c>
      <c r="Y4611" t="s">
        <v>24395</v>
      </c>
      <c r="Z4611" t="s">
        <v>31026</v>
      </c>
      <c r="AA4611">
        <v>0.63670322106559829</v>
      </c>
      <c r="AB4611" t="str">
        <f>HYPERLINK("Melting_Curves/meltCurve_Q8NEW0_SLC30A7.pdf", "Melting_Curves/meltCurve_Q8NEW0_SLC30A7.pdf")</f>
        <v>Melting_Curves/meltCurve_Q8NEW0_SLC30A7.pdf</v>
      </c>
    </row>
    <row r="4612" spans="1:28" x14ac:dyDescent="0.25">
      <c r="A4612" t="s">
        <v>4616</v>
      </c>
      <c r="B4612">
        <v>0.99193492352474899</v>
      </c>
      <c r="C4612">
        <v>0.87394029348556201</v>
      </c>
      <c r="D4612">
        <v>0.691735805521279</v>
      </c>
      <c r="E4612">
        <v>0.245525607757727</v>
      </c>
      <c r="F4612">
        <v>0.106975163422683</v>
      </c>
      <c r="G4612">
        <v>8.0177380374095802E-2</v>
      </c>
      <c r="H4612">
        <v>5.0135952455884703E-2</v>
      </c>
      <c r="I4612">
        <v>7.0371336981165294E-2</v>
      </c>
      <c r="J4612">
        <v>8.4302608526192202E-2</v>
      </c>
      <c r="K4612">
        <v>9.4186453907620996E-2</v>
      </c>
      <c r="L4612">
        <v>1202.1446703015099</v>
      </c>
      <c r="M4612">
        <v>25.576564955581901</v>
      </c>
      <c r="N4612">
        <v>47.280054928239103</v>
      </c>
      <c r="O4612">
        <v>46.717280618122501</v>
      </c>
      <c r="P4612">
        <v>-0.127307244301294</v>
      </c>
      <c r="Q4612">
        <v>6.9870850090973199E-2</v>
      </c>
      <c r="R4612">
        <v>0.99576443530625403</v>
      </c>
      <c r="S4612" t="s">
        <v>11282</v>
      </c>
      <c r="T4612" t="s">
        <v>13338</v>
      </c>
      <c r="U4612" t="s">
        <v>13338</v>
      </c>
      <c r="V4612" t="s">
        <v>13338</v>
      </c>
      <c r="W4612" t="s">
        <v>17894</v>
      </c>
      <c r="X4612">
        <v>1</v>
      </c>
      <c r="Y4612" t="s">
        <v>24396</v>
      </c>
      <c r="Z4612" t="s">
        <v>31027</v>
      </c>
      <c r="AA4612">
        <v>0.29485423216205642</v>
      </c>
      <c r="AB4612" t="str">
        <f>HYPERLINK("Melting_Curves/meltCurve_Q8NEZ2_2_VPS37A.pdf", "Melting_Curves/meltCurve_Q8NEZ2_2_VPS37A.pdf")</f>
        <v>Melting_Curves/meltCurve_Q8NEZ2_2_VPS37A.pdf</v>
      </c>
    </row>
    <row r="4613" spans="1:28" x14ac:dyDescent="0.25">
      <c r="A4613" t="s">
        <v>4617</v>
      </c>
      <c r="B4613">
        <v>0.99193492352474899</v>
      </c>
      <c r="C4613">
        <v>2.4347927072178002</v>
      </c>
      <c r="D4613">
        <v>0.63924281822333096</v>
      </c>
      <c r="E4613">
        <v>1.66589567661576</v>
      </c>
      <c r="F4613">
        <v>0.18334856514040099</v>
      </c>
      <c r="G4613">
        <v>0.37886936137554</v>
      </c>
      <c r="H4613">
        <v>0.29681623009431901</v>
      </c>
      <c r="I4613">
        <v>0.83391608673042406</v>
      </c>
      <c r="J4613">
        <v>0.77496571824028404</v>
      </c>
      <c r="K4613">
        <v>0.99602122341087196</v>
      </c>
      <c r="L4613">
        <v>6626.4262122161099</v>
      </c>
      <c r="M4613">
        <v>128.77415145979401</v>
      </c>
      <c r="O4613">
        <v>51.445331930724201</v>
      </c>
      <c r="P4613">
        <v>-0.26558306111831098</v>
      </c>
      <c r="Q4613">
        <v>0.575597826525301</v>
      </c>
      <c r="R4613">
        <v>0.237979010151597</v>
      </c>
      <c r="S4613" t="s">
        <v>11283</v>
      </c>
      <c r="T4613" t="s">
        <v>13338</v>
      </c>
      <c r="U4613" t="s">
        <v>13338</v>
      </c>
      <c r="V4613" t="s">
        <v>13338</v>
      </c>
      <c r="W4613" t="s">
        <v>17895</v>
      </c>
      <c r="X4613">
        <v>3</v>
      </c>
      <c r="Y4613" t="s">
        <v>24397</v>
      </c>
      <c r="Z4613" t="s">
        <v>31028</v>
      </c>
      <c r="AA4613">
        <v>0.73783196091181558</v>
      </c>
      <c r="AB4613" t="str">
        <f>HYPERLINK("Melting_Curves/meltCurve_Q8NEZ4_MLL3.pdf", "Melting_Curves/meltCurve_Q8NEZ4_MLL3.pdf")</f>
        <v>Melting_Curves/meltCurve_Q8NEZ4_MLL3.pdf</v>
      </c>
    </row>
    <row r="4614" spans="1:28" x14ac:dyDescent="0.25">
      <c r="A4614" t="s">
        <v>4618</v>
      </c>
      <c r="B4614">
        <v>0.99193492352474899</v>
      </c>
      <c r="C4614">
        <v>0.90950890777652305</v>
      </c>
      <c r="D4614">
        <v>0.84648940896331104</v>
      </c>
      <c r="E4614">
        <v>0.49645973146211902</v>
      </c>
      <c r="F4614">
        <v>0.23940575416468601</v>
      </c>
      <c r="G4614">
        <v>0.12470980796792</v>
      </c>
      <c r="H4614">
        <v>7.6409273997009003E-2</v>
      </c>
      <c r="I4614">
        <v>7.5931131834367102E-2</v>
      </c>
      <c r="J4614">
        <v>7.8935866910123401E-2</v>
      </c>
      <c r="K4614">
        <v>8.6514941616658694E-2</v>
      </c>
      <c r="L4614">
        <v>1008.46033349087</v>
      </c>
      <c r="M4614">
        <v>20.475706407299501</v>
      </c>
      <c r="N4614">
        <v>49.620941517034602</v>
      </c>
      <c r="O4614">
        <v>48.788993277149302</v>
      </c>
      <c r="P4614">
        <v>-9.7505981144485707E-2</v>
      </c>
      <c r="Q4614">
        <v>7.0688448101212803E-2</v>
      </c>
      <c r="R4614">
        <v>0.99755538567768498</v>
      </c>
      <c r="S4614" t="s">
        <v>11284</v>
      </c>
      <c r="T4614" t="s">
        <v>13338</v>
      </c>
      <c r="U4614" t="s">
        <v>13338</v>
      </c>
      <c r="V4614" t="s">
        <v>13338</v>
      </c>
      <c r="W4614" t="s">
        <v>17896</v>
      </c>
      <c r="X4614">
        <v>8</v>
      </c>
      <c r="Y4614" t="s">
        <v>24398</v>
      </c>
      <c r="Z4614" t="s">
        <v>31029</v>
      </c>
      <c r="AA4614">
        <v>0.36966336236176922</v>
      </c>
      <c r="AB4614" t="str">
        <f>HYPERLINK("Melting_Curves/meltCurve_Q8NEZ5_FBXO22.pdf", "Melting_Curves/meltCurve_Q8NEZ5_FBXO22.pdf")</f>
        <v>Melting_Curves/meltCurve_Q8NEZ5_FBXO22.pdf</v>
      </c>
    </row>
    <row r="4615" spans="1:28" x14ac:dyDescent="0.25">
      <c r="A4615" t="s">
        <v>4619</v>
      </c>
      <c r="B4615">
        <v>0.99193492352474899</v>
      </c>
      <c r="C4615">
        <v>1.20786626192836</v>
      </c>
      <c r="D4615">
        <v>0.97769261535198604</v>
      </c>
      <c r="E4615">
        <v>0.777359187296638</v>
      </c>
      <c r="F4615">
        <v>0.27448407223941002</v>
      </c>
      <c r="G4615">
        <v>0.13015169588477901</v>
      </c>
      <c r="H4615">
        <v>7.53725896862949E-2</v>
      </c>
      <c r="I4615">
        <v>0.106728103756417</v>
      </c>
      <c r="J4615">
        <v>0.133705301214573</v>
      </c>
      <c r="K4615">
        <v>0.19248881388147801</v>
      </c>
      <c r="L4615">
        <v>1990.4263804714799</v>
      </c>
      <c r="M4615">
        <v>39.039285731543998</v>
      </c>
      <c r="N4615">
        <v>51.363671414445101</v>
      </c>
      <c r="O4615">
        <v>50.851983830773101</v>
      </c>
      <c r="P4615">
        <v>-0.16793759027174501</v>
      </c>
      <c r="Q4615">
        <v>0.12499012438680999</v>
      </c>
      <c r="R4615">
        <v>0.97143884575608397</v>
      </c>
      <c r="S4615" t="s">
        <v>11285</v>
      </c>
      <c r="T4615" t="s">
        <v>13338</v>
      </c>
      <c r="U4615" t="s">
        <v>13338</v>
      </c>
      <c r="V4615" t="s">
        <v>13338</v>
      </c>
      <c r="W4615" t="s">
        <v>17897</v>
      </c>
      <c r="X4615">
        <v>7</v>
      </c>
      <c r="Y4615" t="s">
        <v>24399</v>
      </c>
      <c r="Z4615" t="s">
        <v>31030</v>
      </c>
      <c r="AA4615">
        <v>0.44863418857687443</v>
      </c>
      <c r="AB4615" t="str">
        <f>HYPERLINK("Melting_Curves/meltCurve_Q8NF37_LPCAT1.pdf", "Melting_Curves/meltCurve_Q8NF37_LPCAT1.pdf")</f>
        <v>Melting_Curves/meltCurve_Q8NF37_LPCAT1.pdf</v>
      </c>
    </row>
    <row r="4616" spans="1:28" x14ac:dyDescent="0.25">
      <c r="A4616" t="s">
        <v>4620</v>
      </c>
      <c r="B4616">
        <v>0.99193492352474899</v>
      </c>
      <c r="C4616">
        <v>0.83776810350226605</v>
      </c>
      <c r="D4616">
        <v>0.81936918135891401</v>
      </c>
      <c r="E4616">
        <v>0.72153114049311695</v>
      </c>
      <c r="F4616">
        <v>0.63834930270583001</v>
      </c>
      <c r="G4616">
        <v>0.39648793420468598</v>
      </c>
      <c r="H4616">
        <v>0.416451409149449</v>
      </c>
      <c r="I4616">
        <v>0.50544111495801403</v>
      </c>
      <c r="J4616">
        <v>0.57973246312454196</v>
      </c>
      <c r="K4616">
        <v>0.78609047867520598</v>
      </c>
      <c r="L4616">
        <v>763.26034040554896</v>
      </c>
      <c r="M4616">
        <v>16.3860233725459</v>
      </c>
      <c r="O4616">
        <v>45.9027980102627</v>
      </c>
      <c r="P4616">
        <v>-4.0598092159170401E-2</v>
      </c>
      <c r="Q4616">
        <v>0.54511658503455296</v>
      </c>
      <c r="R4616">
        <v>0.654262935906336</v>
      </c>
      <c r="S4616" t="s">
        <v>11286</v>
      </c>
      <c r="T4616" t="s">
        <v>13338</v>
      </c>
      <c r="U4616" t="s">
        <v>13338</v>
      </c>
      <c r="V4616" t="s">
        <v>13338</v>
      </c>
      <c r="W4616" t="s">
        <v>17898</v>
      </c>
      <c r="X4616">
        <v>79</v>
      </c>
      <c r="Y4616" t="s">
        <v>24400</v>
      </c>
      <c r="Z4616" t="s">
        <v>31031</v>
      </c>
      <c r="AA4616">
        <v>0.6554256718345276</v>
      </c>
      <c r="AB4616" t="str">
        <f>HYPERLINK("Melting_Curves/meltCurve_Q8NFC6_BOD1L1.pdf", "Melting_Curves/meltCurve_Q8NFC6_BOD1L1.pdf")</f>
        <v>Melting_Curves/meltCurve_Q8NFC6_BOD1L1.pdf</v>
      </c>
    </row>
    <row r="4617" spans="1:28" x14ac:dyDescent="0.25">
      <c r="A4617" t="s">
        <v>4621</v>
      </c>
      <c r="B4617">
        <v>0.99193492352474899</v>
      </c>
      <c r="C4617">
        <v>0.94246693738007703</v>
      </c>
      <c r="D4617">
        <v>0.79760078938886003</v>
      </c>
      <c r="E4617">
        <v>0.54249543426333902</v>
      </c>
      <c r="F4617">
        <v>0.24354250592353699</v>
      </c>
      <c r="G4617">
        <v>0.14445341860911501</v>
      </c>
      <c r="H4617">
        <v>8.68688711481196E-2</v>
      </c>
      <c r="I4617">
        <v>0.117873929834723</v>
      </c>
      <c r="J4617">
        <v>0.13491308520106199</v>
      </c>
      <c r="K4617">
        <v>0.153327842739998</v>
      </c>
      <c r="L4617">
        <v>1008.78713719725</v>
      </c>
      <c r="M4617">
        <v>20.554029588493101</v>
      </c>
      <c r="N4617">
        <v>49.689307900784399</v>
      </c>
      <c r="O4617">
        <v>48.622286579320402</v>
      </c>
      <c r="P4617">
        <v>-9.3908793903163507E-2</v>
      </c>
      <c r="Q4617">
        <v>0.11142944438225801</v>
      </c>
      <c r="R4617">
        <v>0.99485558473976299</v>
      </c>
      <c r="S4617" t="s">
        <v>11287</v>
      </c>
      <c r="T4617" t="s">
        <v>13338</v>
      </c>
      <c r="U4617" t="s">
        <v>13338</v>
      </c>
      <c r="V4617" t="s">
        <v>13338</v>
      </c>
      <c r="W4617" t="s">
        <v>17899</v>
      </c>
      <c r="X4617">
        <v>7</v>
      </c>
      <c r="Y4617" t="s">
        <v>24401</v>
      </c>
      <c r="Z4617" t="s">
        <v>31032</v>
      </c>
      <c r="AA4617">
        <v>0.39213023927929558</v>
      </c>
      <c r="AB4617" t="str">
        <f>HYPERLINK("Melting_Curves/meltCurve_Q8NFF5_2_FLAD1.pdf", "Melting_Curves/meltCurve_Q8NFF5_2_FLAD1.pdf")</f>
        <v>Melting_Curves/meltCurve_Q8NFF5_2_FLAD1.pdf</v>
      </c>
    </row>
    <row r="4618" spans="1:28" x14ac:dyDescent="0.25">
      <c r="A4618" t="s">
        <v>4622</v>
      </c>
      <c r="B4618">
        <v>0.99193492352474899</v>
      </c>
      <c r="C4618">
        <v>1.5276293645459</v>
      </c>
      <c r="D4618">
        <v>0.76953228462781198</v>
      </c>
      <c r="E4618">
        <v>0.77826001538371203</v>
      </c>
      <c r="F4618">
        <v>0.203203769777867</v>
      </c>
      <c r="G4618">
        <v>0.16592543329693599</v>
      </c>
      <c r="H4618">
        <v>4.9072636588823097E-2</v>
      </c>
      <c r="I4618">
        <v>0.10533699308495301</v>
      </c>
      <c r="J4618">
        <v>0.137764401092551</v>
      </c>
      <c r="K4618">
        <v>0.12619839627563201</v>
      </c>
      <c r="L4618">
        <v>1964.3587668049199</v>
      </c>
      <c r="M4618">
        <v>38.697220520459602</v>
      </c>
      <c r="N4618">
        <v>51.086316239212699</v>
      </c>
      <c r="O4618">
        <v>50.627278534383997</v>
      </c>
      <c r="P4618">
        <v>-0.17029308020832301</v>
      </c>
      <c r="Q4618">
        <v>0.10882958794014699</v>
      </c>
      <c r="R4618">
        <v>0.85305095601333203</v>
      </c>
      <c r="S4618" t="s">
        <v>11288</v>
      </c>
      <c r="T4618" t="s">
        <v>13338</v>
      </c>
      <c r="U4618" t="s">
        <v>13338</v>
      </c>
      <c r="V4618" t="s">
        <v>13338</v>
      </c>
      <c r="W4618" t="s">
        <v>17900</v>
      </c>
      <c r="X4618">
        <v>1</v>
      </c>
      <c r="Y4618" t="s">
        <v>24402</v>
      </c>
      <c r="Z4618" t="s">
        <v>31033</v>
      </c>
      <c r="AA4618">
        <v>0.43187298653795192</v>
      </c>
      <c r="AB4618" t="str">
        <f>HYPERLINK("Melting_Curves/meltCurve_Q8NFG4_FLCN.pdf", "Melting_Curves/meltCurve_Q8NFG4_FLCN.pdf")</f>
        <v>Melting_Curves/meltCurve_Q8NFG4_FLCN.pdf</v>
      </c>
    </row>
    <row r="4619" spans="1:28" x14ac:dyDescent="0.25">
      <c r="A4619" t="s">
        <v>4623</v>
      </c>
      <c r="B4619">
        <v>0.99193492352474899</v>
      </c>
      <c r="C4619">
        <v>0.84547825794693299</v>
      </c>
      <c r="D4619">
        <v>0.82351872544321103</v>
      </c>
      <c r="E4619">
        <v>0.76975096540971599</v>
      </c>
      <c r="F4619">
        <v>0.77841673110615905</v>
      </c>
      <c r="G4619">
        <v>0.48933477315974699</v>
      </c>
      <c r="H4619">
        <v>0.30889717752264301</v>
      </c>
      <c r="I4619">
        <v>0.12551686057012601</v>
      </c>
      <c r="J4619">
        <v>0.11441316880848</v>
      </c>
      <c r="K4619">
        <v>8.3537941865589702E-2</v>
      </c>
      <c r="L4619">
        <v>633.75571338784505</v>
      </c>
      <c r="M4619">
        <v>11.2727423226643</v>
      </c>
      <c r="N4619">
        <v>56.220192340552501</v>
      </c>
      <c r="O4619">
        <v>54.538083352094297</v>
      </c>
      <c r="P4619">
        <v>-5.16895787019667E-2</v>
      </c>
      <c r="Q4619">
        <v>0</v>
      </c>
      <c r="R4619">
        <v>0.95412608340965599</v>
      </c>
      <c r="S4619" t="s">
        <v>11289</v>
      </c>
      <c r="T4619" t="s">
        <v>13338</v>
      </c>
      <c r="U4619" t="s">
        <v>13338</v>
      </c>
      <c r="V4619" t="s">
        <v>13338</v>
      </c>
      <c r="W4619" t="s">
        <v>17901</v>
      </c>
      <c r="X4619">
        <v>5</v>
      </c>
      <c r="Y4619" t="s">
        <v>24403</v>
      </c>
      <c r="Z4619" t="s">
        <v>31034</v>
      </c>
      <c r="AA4619">
        <v>0.56061241633597259</v>
      </c>
      <c r="AB4619" t="str">
        <f>HYPERLINK("Melting_Curves/meltCurve_Q8NFH3_NUP43.pdf", "Melting_Curves/meltCurve_Q8NFH3_NUP43.pdf")</f>
        <v>Melting_Curves/meltCurve_Q8NFH3_NUP43.pdf</v>
      </c>
    </row>
    <row r="4620" spans="1:28" x14ac:dyDescent="0.25">
      <c r="A4620" t="s">
        <v>4624</v>
      </c>
      <c r="B4620">
        <v>0.99193492352474899</v>
      </c>
      <c r="C4620">
        <v>0.729947159555423</v>
      </c>
      <c r="D4620">
        <v>0.86587344946990796</v>
      </c>
      <c r="E4620">
        <v>0.59582911059875698</v>
      </c>
      <c r="F4620">
        <v>0.52104907236235898</v>
      </c>
      <c r="G4620">
        <v>0.31013755784327901</v>
      </c>
      <c r="H4620">
        <v>0.124661686461569</v>
      </c>
      <c r="I4620">
        <v>7.66264583993293E-2</v>
      </c>
      <c r="J4620">
        <v>8.2248108374053094E-2</v>
      </c>
      <c r="K4620">
        <v>9.1148520210211498E-2</v>
      </c>
      <c r="L4620">
        <v>532.302488850278</v>
      </c>
      <c r="M4620">
        <v>10.2343143267431</v>
      </c>
      <c r="N4620">
        <v>52.011536073383901</v>
      </c>
      <c r="O4620">
        <v>50.1430989368803</v>
      </c>
      <c r="P4620">
        <v>-5.1048266772716802E-2</v>
      </c>
      <c r="Q4620">
        <v>0</v>
      </c>
      <c r="R4620">
        <v>0.95550596018670197</v>
      </c>
      <c r="S4620" t="s">
        <v>11290</v>
      </c>
      <c r="T4620" t="s">
        <v>13338</v>
      </c>
      <c r="U4620" t="s">
        <v>13338</v>
      </c>
      <c r="V4620" t="s">
        <v>13338</v>
      </c>
      <c r="W4620" t="s">
        <v>17902</v>
      </c>
      <c r="X4620">
        <v>6</v>
      </c>
      <c r="Y4620" t="s">
        <v>24404</v>
      </c>
      <c r="Z4620" t="s">
        <v>31035</v>
      </c>
      <c r="AA4620">
        <v>0.43736072740758453</v>
      </c>
      <c r="AB4620" t="str">
        <f>HYPERLINK("Melting_Curves/meltCurve_Q8NFH4_NUP37.pdf", "Melting_Curves/meltCurve_Q8NFH4_NUP37.pdf")</f>
        <v>Melting_Curves/meltCurve_Q8NFH4_NUP37.pdf</v>
      </c>
    </row>
    <row r="4621" spans="1:28" x14ac:dyDescent="0.25">
      <c r="A4621" t="s">
        <v>4625</v>
      </c>
      <c r="B4621">
        <v>0.99193492352474899</v>
      </c>
      <c r="C4621">
        <v>0.66096396354861198</v>
      </c>
      <c r="D4621">
        <v>0.92515405616510304</v>
      </c>
      <c r="E4621">
        <v>0.57376431291164998</v>
      </c>
      <c r="F4621">
        <v>0.57041490935730199</v>
      </c>
      <c r="G4621">
        <v>0.21341494730462901</v>
      </c>
      <c r="H4621">
        <v>5.9438053415267401E-2</v>
      </c>
      <c r="I4621">
        <v>6.8524393943003803E-2</v>
      </c>
      <c r="J4621">
        <v>0.16846658025452799</v>
      </c>
      <c r="K4621">
        <v>0.17346664861686101</v>
      </c>
      <c r="L4621">
        <v>571.98369066890496</v>
      </c>
      <c r="M4621">
        <v>11.1442134577707</v>
      </c>
      <c r="N4621">
        <v>51.709112050970099</v>
      </c>
      <c r="O4621">
        <v>49.756127086692899</v>
      </c>
      <c r="P4621">
        <v>-5.3790549943311901E-2</v>
      </c>
      <c r="Q4621">
        <v>3.9662734460920598E-2</v>
      </c>
      <c r="R4621">
        <v>0.87693069562455594</v>
      </c>
      <c r="S4621" t="s">
        <v>11291</v>
      </c>
      <c r="T4621" t="s">
        <v>13338</v>
      </c>
      <c r="U4621" t="s">
        <v>13338</v>
      </c>
      <c r="V4621" t="s">
        <v>13338</v>
      </c>
      <c r="W4621" t="s">
        <v>17903</v>
      </c>
      <c r="X4621">
        <v>7</v>
      </c>
      <c r="Y4621" t="s">
        <v>24405</v>
      </c>
      <c r="Z4621" t="s">
        <v>31036</v>
      </c>
      <c r="AA4621">
        <v>0.43612080186701019</v>
      </c>
      <c r="AB4621" t="str">
        <f>HYPERLINK("Melting_Curves/meltCurve_Q8NFI3_ENGASE.pdf", "Melting_Curves/meltCurve_Q8NFI3_ENGASE.pdf")</f>
        <v>Melting_Curves/meltCurve_Q8NFI3_ENGASE.pdf</v>
      </c>
    </row>
    <row r="4622" spans="1:28" x14ac:dyDescent="0.25">
      <c r="A4622" t="s">
        <v>4626</v>
      </c>
      <c r="B4622">
        <v>0.99193492352474899</v>
      </c>
      <c r="C4622">
        <v>1.0264969199144101</v>
      </c>
      <c r="D4622">
        <v>1.0947526102562199</v>
      </c>
      <c r="E4622">
        <v>0.84117955351100004</v>
      </c>
      <c r="F4622">
        <v>0.47308362261945602</v>
      </c>
      <c r="G4622">
        <v>0.257630864755512</v>
      </c>
      <c r="H4622">
        <v>0.13041720519578401</v>
      </c>
      <c r="I4622">
        <v>0.15278775542582801</v>
      </c>
      <c r="J4622">
        <v>0.18286867111702901</v>
      </c>
      <c r="K4622">
        <v>0.23257087348609601</v>
      </c>
      <c r="L4622">
        <v>1637.6541710773899</v>
      </c>
      <c r="M4622">
        <v>31.3823883476052</v>
      </c>
      <c r="N4622">
        <v>52.918886321215702</v>
      </c>
      <c r="O4622">
        <v>51.973336645816701</v>
      </c>
      <c r="P4622">
        <v>-0.124287979265317</v>
      </c>
      <c r="Q4622">
        <v>0.176655904664515</v>
      </c>
      <c r="R4622">
        <v>0.98619131751481803</v>
      </c>
      <c r="S4622" t="s">
        <v>11292</v>
      </c>
      <c r="T4622" t="s">
        <v>13338</v>
      </c>
      <c r="U4622" t="s">
        <v>13338</v>
      </c>
      <c r="V4622" t="s">
        <v>13338</v>
      </c>
      <c r="W4622" t="s">
        <v>17904</v>
      </c>
      <c r="X4622">
        <v>7</v>
      </c>
      <c r="Y4622" t="s">
        <v>24406</v>
      </c>
      <c r="Z4622" t="s">
        <v>31037</v>
      </c>
      <c r="AA4622">
        <v>0.51586422034205293</v>
      </c>
      <c r="AB4622" t="str">
        <f>HYPERLINK("Melting_Curves/meltCurve_Q8NFQ8_TOR1AIP2.pdf", "Melting_Curves/meltCurve_Q8NFQ8_TOR1AIP2.pdf")</f>
        <v>Melting_Curves/meltCurve_Q8NFQ8_TOR1AIP2.pdf</v>
      </c>
    </row>
    <row r="4623" spans="1:28" x14ac:dyDescent="0.25">
      <c r="A4623" t="s">
        <v>4627</v>
      </c>
      <c r="B4623">
        <v>0.99193492352474899</v>
      </c>
      <c r="C4623">
        <v>0.94076882227860403</v>
      </c>
      <c r="D4623">
        <v>0.63213736934158105</v>
      </c>
      <c r="E4623">
        <v>0.50335447238431097</v>
      </c>
      <c r="F4623">
        <v>0.33470238886098402</v>
      </c>
      <c r="G4623">
        <v>0.12510032531409401</v>
      </c>
      <c r="H4623">
        <v>5.5564493529608301E-2</v>
      </c>
      <c r="I4623">
        <v>0.175444274127212</v>
      </c>
      <c r="J4623">
        <v>0.24256623439733299</v>
      </c>
      <c r="K4623">
        <v>0.18931259135445899</v>
      </c>
      <c r="L4623">
        <v>811.21426287963902</v>
      </c>
      <c r="M4623">
        <v>16.964609320413501</v>
      </c>
      <c r="N4623">
        <v>48.855942603169701</v>
      </c>
      <c r="O4623">
        <v>47.1684185630684</v>
      </c>
      <c r="P4623">
        <v>-7.6315525336957096E-2</v>
      </c>
      <c r="Q4623">
        <v>0.15130169763722801</v>
      </c>
      <c r="R4623">
        <v>0.95711394554708695</v>
      </c>
      <c r="S4623" t="s">
        <v>11293</v>
      </c>
      <c r="T4623" t="s">
        <v>13338</v>
      </c>
      <c r="U4623" t="s">
        <v>13338</v>
      </c>
      <c r="V4623" t="s">
        <v>13338</v>
      </c>
      <c r="W4623" t="s">
        <v>17905</v>
      </c>
      <c r="X4623">
        <v>4</v>
      </c>
      <c r="Y4623" t="s">
        <v>24407</v>
      </c>
      <c r="Z4623" t="s">
        <v>31038</v>
      </c>
      <c r="AA4623">
        <v>0.38961678068480332</v>
      </c>
      <c r="AB4623" t="str">
        <f>HYPERLINK("Melting_Curves/meltCurve_Q8NFU3_TSTD1.pdf", "Melting_Curves/meltCurve_Q8NFU3_TSTD1.pdf")</f>
        <v>Melting_Curves/meltCurve_Q8NFU3_TSTD1.pdf</v>
      </c>
    </row>
    <row r="4624" spans="1:28" x14ac:dyDescent="0.25">
      <c r="A4624" t="s">
        <v>4628</v>
      </c>
      <c r="B4624">
        <v>0.99193492352474899</v>
      </c>
      <c r="C4624">
        <v>1.4808555432202899</v>
      </c>
      <c r="D4624">
        <v>0.67027888544118797</v>
      </c>
      <c r="E4624">
        <v>1.1662843671160701</v>
      </c>
      <c r="F4624">
        <v>0.27934663303636498</v>
      </c>
      <c r="G4624">
        <v>0.20570294431830799</v>
      </c>
      <c r="H4624">
        <v>0.14901634087299401</v>
      </c>
      <c r="I4624">
        <v>0.30242457629814301</v>
      </c>
      <c r="J4624">
        <v>0.51427374412651605</v>
      </c>
      <c r="K4624">
        <v>0.43855480267601099</v>
      </c>
      <c r="L4624">
        <v>12875.4038403707</v>
      </c>
      <c r="M4624">
        <v>250</v>
      </c>
      <c r="N4624">
        <v>51.7070952302781</v>
      </c>
      <c r="O4624">
        <v>51.498307542226001</v>
      </c>
      <c r="P4624">
        <v>-0.83151812024101301</v>
      </c>
      <c r="Q4624">
        <v>0.31485142566934299</v>
      </c>
      <c r="R4624">
        <v>0.74734028093437999</v>
      </c>
      <c r="S4624" t="s">
        <v>11294</v>
      </c>
      <c r="T4624" t="s">
        <v>13338</v>
      </c>
      <c r="U4624" t="s">
        <v>13338</v>
      </c>
      <c r="V4624" t="s">
        <v>13338</v>
      </c>
      <c r="W4624" t="s">
        <v>17906</v>
      </c>
      <c r="X4624">
        <v>4</v>
      </c>
      <c r="Y4624" t="s">
        <v>24407</v>
      </c>
      <c r="Z4624" t="s">
        <v>31039</v>
      </c>
      <c r="AA4624">
        <v>0.57759053141753836</v>
      </c>
      <c r="AB4624" t="str">
        <f>HYPERLINK("Melting_Curves/meltCurve_Q8NFU3_4_TSTD1.pdf", "Melting_Curves/meltCurve_Q8NFU3_4_TSTD1.pdf")</f>
        <v>Melting_Curves/meltCurve_Q8NFU3_4_TSTD1.pdf</v>
      </c>
    </row>
    <row r="4625" spans="1:28" x14ac:dyDescent="0.25">
      <c r="A4625" t="s">
        <v>4629</v>
      </c>
      <c r="B4625">
        <v>0.99193492352474899</v>
      </c>
      <c r="C4625">
        <v>0.99791128835677101</v>
      </c>
      <c r="D4625">
        <v>0.77425411268560596</v>
      </c>
      <c r="E4625">
        <v>0.72196019449638205</v>
      </c>
      <c r="F4625">
        <v>0.154739255454129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1491.16953921819</v>
      </c>
      <c r="M4625">
        <v>29.442056270637199</v>
      </c>
      <c r="N4625">
        <v>50.647602243558197</v>
      </c>
      <c r="O4625">
        <v>50.415670437684398</v>
      </c>
      <c r="P4625">
        <v>-0.14599757702282001</v>
      </c>
      <c r="Q4625">
        <v>0</v>
      </c>
      <c r="R4625">
        <v>0.97784526308967501</v>
      </c>
      <c r="S4625" t="s">
        <v>11295</v>
      </c>
      <c r="T4625" t="s">
        <v>13338</v>
      </c>
      <c r="U4625" t="s">
        <v>13338</v>
      </c>
      <c r="V4625" t="s">
        <v>13338</v>
      </c>
      <c r="W4625" t="s">
        <v>17907</v>
      </c>
      <c r="X4625">
        <v>1</v>
      </c>
      <c r="Y4625" t="s">
        <v>24408</v>
      </c>
      <c r="Z4625" t="s">
        <v>31040</v>
      </c>
      <c r="AA4625">
        <v>0.36141144513880152</v>
      </c>
      <c r="AB4625" t="str">
        <f>HYPERLINK("Melting_Curves/meltCurve_Q8NFU5_IPMK.pdf", "Melting_Curves/meltCurve_Q8NFU5_IPMK.pdf")</f>
        <v>Melting_Curves/meltCurve_Q8NFU5_IPMK.pdf</v>
      </c>
    </row>
    <row r="4626" spans="1:28" x14ac:dyDescent="0.25">
      <c r="A4626" t="s">
        <v>4630</v>
      </c>
      <c r="B4626">
        <v>0.99193492352474899</v>
      </c>
      <c r="C4626">
        <v>0.92214716670657004</v>
      </c>
      <c r="D4626">
        <v>0.77732828345851501</v>
      </c>
      <c r="E4626">
        <v>0.368353871770986</v>
      </c>
      <c r="F4626">
        <v>0.18972701401081599</v>
      </c>
      <c r="G4626">
        <v>0.119199083794309</v>
      </c>
      <c r="H4626">
        <v>8.3500455817678301E-2</v>
      </c>
      <c r="I4626">
        <v>9.01759755261997E-2</v>
      </c>
      <c r="J4626">
        <v>0.111377097936858</v>
      </c>
      <c r="K4626">
        <v>0.15878079876707801</v>
      </c>
      <c r="L4626">
        <v>1173.31477363766</v>
      </c>
      <c r="M4626">
        <v>24.4961687285473</v>
      </c>
      <c r="N4626">
        <v>48.380635345372902</v>
      </c>
      <c r="O4626">
        <v>47.5821171620981</v>
      </c>
      <c r="P4626">
        <v>-0.114752462312902</v>
      </c>
      <c r="Q4626">
        <v>0.108418263018145</v>
      </c>
      <c r="R4626">
        <v>0.99581091596225702</v>
      </c>
      <c r="S4626" t="s">
        <v>11296</v>
      </c>
      <c r="T4626" t="s">
        <v>13338</v>
      </c>
      <c r="U4626" t="s">
        <v>13338</v>
      </c>
      <c r="V4626" t="s">
        <v>13338</v>
      </c>
      <c r="W4626" t="s">
        <v>17908</v>
      </c>
      <c r="X4626">
        <v>5</v>
      </c>
      <c r="Y4626" t="s">
        <v>24409</v>
      </c>
      <c r="Z4626" t="s">
        <v>31041</v>
      </c>
      <c r="AA4626">
        <v>0.35137122330712439</v>
      </c>
      <c r="AB4626" t="str">
        <f>HYPERLINK("Melting_Curves/meltCurve_Q8NFV4_4_ABHD11.pdf", "Melting_Curves/meltCurve_Q8NFV4_4_ABHD11.pdf")</f>
        <v>Melting_Curves/meltCurve_Q8NFV4_4_ABHD11.pdf</v>
      </c>
    </row>
    <row r="4627" spans="1:28" x14ac:dyDescent="0.25">
      <c r="A4627" t="s">
        <v>4631</v>
      </c>
      <c r="B4627">
        <v>0.99193492352474899</v>
      </c>
      <c r="C4627">
        <v>0.67806884510465104</v>
      </c>
      <c r="D4627">
        <v>0.95497064556660105</v>
      </c>
      <c r="E4627">
        <v>0.592728939957192</v>
      </c>
      <c r="F4627">
        <v>0.16498166042562401</v>
      </c>
      <c r="G4627">
        <v>0.121103798226496</v>
      </c>
      <c r="H4627">
        <v>0.103381913452774</v>
      </c>
      <c r="I4627">
        <v>0.116013699338176</v>
      </c>
      <c r="J4627">
        <v>0.113639420899841</v>
      </c>
      <c r="K4627">
        <v>0.11999734389637801</v>
      </c>
      <c r="L4627">
        <v>1705.25047236513</v>
      </c>
      <c r="M4627">
        <v>34.271160459901402</v>
      </c>
      <c r="N4627">
        <v>50.111858419777803</v>
      </c>
      <c r="O4627">
        <v>49.589091703520197</v>
      </c>
      <c r="P4627">
        <v>-0.15418882403886999</v>
      </c>
      <c r="Q4627">
        <v>0.107581506178651</v>
      </c>
      <c r="R4627">
        <v>0.91675762056301702</v>
      </c>
      <c r="S4627" t="s">
        <v>11297</v>
      </c>
      <c r="T4627" t="s">
        <v>13338</v>
      </c>
      <c r="U4627" t="s">
        <v>13338</v>
      </c>
      <c r="V4627" t="s">
        <v>13338</v>
      </c>
      <c r="W4627" t="s">
        <v>17909</v>
      </c>
      <c r="X4627">
        <v>11</v>
      </c>
      <c r="Y4627" t="s">
        <v>24410</v>
      </c>
      <c r="Z4627" t="s">
        <v>31042</v>
      </c>
      <c r="AA4627">
        <v>0.40204112647708068</v>
      </c>
      <c r="AB4627" t="str">
        <f>HYPERLINK("Melting_Curves/meltCurve_Q8NFW8_CMAS.pdf", "Melting_Curves/meltCurve_Q8NFW8_CMAS.pdf")</f>
        <v>Melting_Curves/meltCurve_Q8NFW8_CMAS.pdf</v>
      </c>
    </row>
    <row r="4628" spans="1:28" x14ac:dyDescent="0.25">
      <c r="A4628" t="s">
        <v>4632</v>
      </c>
      <c r="B4628">
        <v>0.99193492352474899</v>
      </c>
      <c r="C4628">
        <v>0.88870299570533795</v>
      </c>
      <c r="D4628">
        <v>0.86819890312746795</v>
      </c>
      <c r="E4628">
        <v>0.621670393280083</v>
      </c>
      <c r="F4628">
        <v>7.1386690660538002E-2</v>
      </c>
      <c r="G4628">
        <v>4.0948875735475003E-2</v>
      </c>
      <c r="H4628">
        <v>2.4203251651027598E-2</v>
      </c>
      <c r="I4628">
        <v>6.9762281674056806E-2</v>
      </c>
      <c r="J4628">
        <v>5.6025717304720397E-2</v>
      </c>
      <c r="K4628">
        <v>5.2364582038357498E-2</v>
      </c>
      <c r="L4628">
        <v>1959.2298348161501</v>
      </c>
      <c r="M4628">
        <v>39.198436574308197</v>
      </c>
      <c r="N4628">
        <v>50.087288848090303</v>
      </c>
      <c r="O4628">
        <v>49.852791424997498</v>
      </c>
      <c r="P4628">
        <v>-0.188822437511109</v>
      </c>
      <c r="Q4628">
        <v>3.9420452262793601E-2</v>
      </c>
      <c r="R4628">
        <v>0.98265118979991495</v>
      </c>
      <c r="S4628" t="s">
        <v>11298</v>
      </c>
      <c r="T4628" t="s">
        <v>13338</v>
      </c>
      <c r="U4628" t="s">
        <v>13338</v>
      </c>
      <c r="V4628" t="s">
        <v>13338</v>
      </c>
      <c r="W4628" t="s">
        <v>17910</v>
      </c>
      <c r="X4628">
        <v>5</v>
      </c>
      <c r="Y4628" t="s">
        <v>24411</v>
      </c>
      <c r="Z4628" t="s">
        <v>31043</v>
      </c>
      <c r="AA4628">
        <v>0.36250674055803328</v>
      </c>
      <c r="AB4628" t="str">
        <f>HYPERLINK("Melting_Curves/meltCurve_Q8NFY9_KBTBD8.pdf", "Melting_Curves/meltCurve_Q8NFY9_KBTBD8.pdf")</f>
        <v>Melting_Curves/meltCurve_Q8NFY9_KBTBD8.pdf</v>
      </c>
    </row>
    <row r="4629" spans="1:28" x14ac:dyDescent="0.25">
      <c r="A4629" t="s">
        <v>4633</v>
      </c>
      <c r="B4629">
        <v>0.99193492352474899</v>
      </c>
      <c r="C4629">
        <v>0.95976669948258597</v>
      </c>
      <c r="D4629">
        <v>0.95237957384636396</v>
      </c>
      <c r="E4629">
        <v>0.91126011181224897</v>
      </c>
      <c r="F4629">
        <v>0.65716245158931397</v>
      </c>
      <c r="G4629">
        <v>0.55272133526148004</v>
      </c>
      <c r="H4629">
        <v>0.45227962334713301</v>
      </c>
      <c r="I4629">
        <v>0.62985394959118501</v>
      </c>
      <c r="J4629">
        <v>0.57420566561916098</v>
      </c>
      <c r="K4629">
        <v>0.64239569093520899</v>
      </c>
      <c r="L4629">
        <v>2037.01558041414</v>
      </c>
      <c r="M4629">
        <v>39.7414704276514</v>
      </c>
      <c r="O4629">
        <v>51.127404447734101</v>
      </c>
      <c r="P4629">
        <v>-8.3671196025787001E-2</v>
      </c>
      <c r="Q4629">
        <v>0.56942891541671203</v>
      </c>
      <c r="R4629">
        <v>0.92459125163923706</v>
      </c>
      <c r="S4629" t="s">
        <v>11299</v>
      </c>
      <c r="T4629" t="s">
        <v>13338</v>
      </c>
      <c r="U4629" t="s">
        <v>13338</v>
      </c>
      <c r="V4629" t="s">
        <v>13338</v>
      </c>
      <c r="W4629" t="s">
        <v>17911</v>
      </c>
      <c r="X4629">
        <v>5</v>
      </c>
      <c r="Y4629" t="s">
        <v>24412</v>
      </c>
      <c r="Z4629" t="s">
        <v>31044</v>
      </c>
      <c r="AA4629">
        <v>0.73253417161134504</v>
      </c>
      <c r="AB4629" t="str">
        <f>HYPERLINK("Melting_Curves/meltCurve_Q8NFZ8_CADM4.pdf", "Melting_Curves/meltCurve_Q8NFZ8_CADM4.pdf")</f>
        <v>Melting_Curves/meltCurve_Q8NFZ8_CADM4.pdf</v>
      </c>
    </row>
    <row r="4630" spans="1:28" x14ac:dyDescent="0.25">
      <c r="A4630" t="s">
        <v>4634</v>
      </c>
      <c r="B4630">
        <v>0.99193492352474899</v>
      </c>
      <c r="C4630">
        <v>0.87717693190463597</v>
      </c>
      <c r="D4630">
        <v>1.06142094188285</v>
      </c>
      <c r="E4630">
        <v>0.79654925594963899</v>
      </c>
      <c r="F4630">
        <v>0.55476967401906996</v>
      </c>
      <c r="G4630">
        <v>0.54675179246527805</v>
      </c>
      <c r="H4630">
        <v>0.476620698767249</v>
      </c>
      <c r="I4630">
        <v>0.52433641541572495</v>
      </c>
      <c r="J4630">
        <v>0.70719335200824196</v>
      </c>
      <c r="K4630">
        <v>0.78192529356003204</v>
      </c>
      <c r="L4630">
        <v>12398.640417662</v>
      </c>
      <c r="M4630">
        <v>250</v>
      </c>
      <c r="O4630">
        <v>49.591382429096399</v>
      </c>
      <c r="P4630">
        <v>-0.50588479322041302</v>
      </c>
      <c r="Q4630">
        <v>0.59859953579394898</v>
      </c>
      <c r="R4630">
        <v>0.76400028417626697</v>
      </c>
      <c r="S4630" t="s">
        <v>11300</v>
      </c>
      <c r="T4630" t="s">
        <v>13338</v>
      </c>
      <c r="U4630" t="s">
        <v>13338</v>
      </c>
      <c r="V4630" t="s">
        <v>13338</v>
      </c>
      <c r="W4630" t="s">
        <v>17912</v>
      </c>
      <c r="X4630">
        <v>4</v>
      </c>
      <c r="Y4630" t="s">
        <v>24413</v>
      </c>
      <c r="Z4630" t="s">
        <v>31045</v>
      </c>
      <c r="AA4630">
        <v>0.72700985637571136</v>
      </c>
      <c r="AB4630" t="str">
        <f>HYPERLINK("Melting_Curves/meltCurve_Q8NG11_2_TSPAN14.pdf", "Melting_Curves/meltCurve_Q8NG11_2_TSPAN14.pdf")</f>
        <v>Melting_Curves/meltCurve_Q8NG11_2_TSPAN14.pdf</v>
      </c>
    </row>
    <row r="4631" spans="1:28" x14ac:dyDescent="0.25">
      <c r="A4631" t="s">
        <v>4635</v>
      </c>
      <c r="B4631">
        <v>0.99193492352474899</v>
      </c>
      <c r="C4631">
        <v>0.96926129137319805</v>
      </c>
      <c r="D4631">
        <v>1.02657093240958</v>
      </c>
      <c r="E4631">
        <v>0.72692037705055801</v>
      </c>
      <c r="F4631">
        <v>0.26243989093102799</v>
      </c>
      <c r="G4631">
        <v>0.104785777699945</v>
      </c>
      <c r="H4631">
        <v>6.6934131826451804E-2</v>
      </c>
      <c r="I4631">
        <v>0.103102609203265</v>
      </c>
      <c r="J4631">
        <v>0.100538164514121</v>
      </c>
      <c r="K4631">
        <v>0.12588976392676801</v>
      </c>
      <c r="L4631">
        <v>1828.9860050386901</v>
      </c>
      <c r="M4631">
        <v>35.976238291917298</v>
      </c>
      <c r="N4631">
        <v>51.146467534311903</v>
      </c>
      <c r="O4631">
        <v>50.682418186202099</v>
      </c>
      <c r="P4631">
        <v>-0.16018912214175901</v>
      </c>
      <c r="Q4631">
        <v>9.7321393977239407E-2</v>
      </c>
      <c r="R4631">
        <v>0.99659538563325301</v>
      </c>
      <c r="S4631" t="s">
        <v>11301</v>
      </c>
      <c r="T4631" t="s">
        <v>13338</v>
      </c>
      <c r="U4631" t="s">
        <v>13338</v>
      </c>
      <c r="V4631" t="s">
        <v>13338</v>
      </c>
      <c r="W4631" t="s">
        <v>17913</v>
      </c>
      <c r="X4631">
        <v>4</v>
      </c>
      <c r="Y4631" t="s">
        <v>24414</v>
      </c>
      <c r="Z4631" t="s">
        <v>31046</v>
      </c>
      <c r="AA4631">
        <v>0.42737847697192072</v>
      </c>
      <c r="AB4631" t="str">
        <f>HYPERLINK("Melting_Curves/meltCurve_Q8NG68_TTL.pdf", "Melting_Curves/meltCurve_Q8NG68_TTL.pdf")</f>
        <v>Melting_Curves/meltCurve_Q8NG68_TTL.pdf</v>
      </c>
    </row>
    <row r="4632" spans="1:28" x14ac:dyDescent="0.25">
      <c r="A4632" t="s">
        <v>4636</v>
      </c>
      <c r="B4632">
        <v>0.99193492352474899</v>
      </c>
      <c r="C4632">
        <v>1.0466323958612</v>
      </c>
      <c r="D4632">
        <v>0.76282383207238802</v>
      </c>
      <c r="E4632">
        <v>0.84650439607189698</v>
      </c>
      <c r="F4632">
        <v>0.53031920010955802</v>
      </c>
      <c r="G4632">
        <v>0.68972497172678704</v>
      </c>
      <c r="H4632">
        <v>0.46100918620360898</v>
      </c>
      <c r="I4632">
        <v>0.659079333880354</v>
      </c>
      <c r="J4632">
        <v>0.49559252410008497</v>
      </c>
      <c r="K4632">
        <v>0.97548998405521004</v>
      </c>
      <c r="L4632">
        <v>1115.0728427507399</v>
      </c>
      <c r="M4632">
        <v>23.867594065123502</v>
      </c>
      <c r="O4632">
        <v>46.394854730682702</v>
      </c>
      <c r="P4632">
        <v>-4.5693251276107502E-2</v>
      </c>
      <c r="Q4632">
        <v>0.64472372871871497</v>
      </c>
      <c r="R4632">
        <v>0.47458531153629102</v>
      </c>
      <c r="S4632" t="s">
        <v>11302</v>
      </c>
      <c r="T4632" t="s">
        <v>13338</v>
      </c>
      <c r="U4632" t="s">
        <v>13338</v>
      </c>
      <c r="V4632" t="s">
        <v>13338</v>
      </c>
      <c r="W4632" t="s">
        <v>17914</v>
      </c>
      <c r="X4632">
        <v>2</v>
      </c>
      <c r="Y4632" t="s">
        <v>24415</v>
      </c>
      <c r="Z4632" t="s">
        <v>31047</v>
      </c>
      <c r="AA4632">
        <v>0.72783675671054693</v>
      </c>
      <c r="AB4632" t="str">
        <f>HYPERLINK("Melting_Curves/meltCurve_Q8NHG7_SVIP.pdf", "Melting_Curves/meltCurve_Q8NHG7_SVIP.pdf")</f>
        <v>Melting_Curves/meltCurve_Q8NHG7_SVIP.pdf</v>
      </c>
    </row>
    <row r="4633" spans="1:28" x14ac:dyDescent="0.25">
      <c r="A4633" t="s">
        <v>4637</v>
      </c>
      <c r="B4633">
        <v>0.99193492352474899</v>
      </c>
      <c r="C4633">
        <v>1.05849635971153</v>
      </c>
      <c r="D4633">
        <v>0.991760207387818</v>
      </c>
      <c r="E4633">
        <v>0.98161687257135199</v>
      </c>
      <c r="F4633">
        <v>0.72479955930404605</v>
      </c>
      <c r="G4633">
        <v>0.47150237508626203</v>
      </c>
      <c r="H4633">
        <v>0.44094939680001199</v>
      </c>
      <c r="I4633">
        <v>0.376008770706587</v>
      </c>
      <c r="J4633">
        <v>0.44619058947287499</v>
      </c>
      <c r="K4633">
        <v>0.47826549751290598</v>
      </c>
      <c r="L4633">
        <v>2356.79058730212</v>
      </c>
      <c r="M4633">
        <v>44.244012886154202</v>
      </c>
      <c r="N4633">
        <v>55.846505583170703</v>
      </c>
      <c r="O4633">
        <v>53.159533030554599</v>
      </c>
      <c r="P4633">
        <v>-0.117526007027159</v>
      </c>
      <c r="Q4633">
        <v>0.43516705225540803</v>
      </c>
      <c r="R4633">
        <v>0.987316887282077</v>
      </c>
      <c r="S4633" t="s">
        <v>11303</v>
      </c>
      <c r="T4633" t="s">
        <v>13338</v>
      </c>
      <c r="U4633" t="s">
        <v>13338</v>
      </c>
      <c r="V4633" t="s">
        <v>13338</v>
      </c>
      <c r="W4633" t="s">
        <v>17915</v>
      </c>
      <c r="X4633">
        <v>5</v>
      </c>
      <c r="Y4633" t="s">
        <v>24416</v>
      </c>
      <c r="Z4633" t="s">
        <v>31048</v>
      </c>
      <c r="AA4633">
        <v>0.68667061032570298</v>
      </c>
      <c r="AB4633" t="str">
        <f>HYPERLINK("Melting_Curves/meltCurve_Q8NHG8_ZNRF2.pdf", "Melting_Curves/meltCurve_Q8NHG8_ZNRF2.pdf")</f>
        <v>Melting_Curves/meltCurve_Q8NHG8_ZNRF2.pdf</v>
      </c>
    </row>
    <row r="4634" spans="1:28" x14ac:dyDescent="0.25">
      <c r="A4634" t="s">
        <v>4638</v>
      </c>
      <c r="B4634">
        <v>0.99193492352474899</v>
      </c>
      <c r="C4634">
        <v>0.93885948721782497</v>
      </c>
      <c r="D4634">
        <v>0.848340650201446</v>
      </c>
      <c r="E4634">
        <v>0.49729830792886698</v>
      </c>
      <c r="F4634">
        <v>0.28460186973139501</v>
      </c>
      <c r="G4634">
        <v>0.22268229269871601</v>
      </c>
      <c r="H4634">
        <v>0.15692471783849199</v>
      </c>
      <c r="I4634">
        <v>0.228034546166963</v>
      </c>
      <c r="J4634">
        <v>0.19510325336078899</v>
      </c>
      <c r="K4634">
        <v>0.15144036445732501</v>
      </c>
      <c r="L4634">
        <v>1125.7647768807001</v>
      </c>
      <c r="M4634">
        <v>23.120589157492802</v>
      </c>
      <c r="N4634">
        <v>49.663045965238801</v>
      </c>
      <c r="O4634">
        <v>48.331159674180398</v>
      </c>
      <c r="P4634">
        <v>-9.7831180220840502E-2</v>
      </c>
      <c r="Q4634">
        <v>0.18199210498722099</v>
      </c>
      <c r="R4634">
        <v>0.99506830725372897</v>
      </c>
      <c r="S4634" t="s">
        <v>11304</v>
      </c>
      <c r="T4634" t="s">
        <v>13338</v>
      </c>
      <c r="U4634" t="s">
        <v>13338</v>
      </c>
      <c r="V4634" t="s">
        <v>13338</v>
      </c>
      <c r="W4634" t="s">
        <v>17916</v>
      </c>
      <c r="X4634">
        <v>2</v>
      </c>
      <c r="Y4634" t="s">
        <v>24417</v>
      </c>
      <c r="Z4634" t="s">
        <v>31049</v>
      </c>
      <c r="AA4634">
        <v>0.4274825653179628</v>
      </c>
      <c r="AB4634" t="str">
        <f>HYPERLINK("Melting_Curves/meltCurve_Q8NHP6_MOSPD2.pdf", "Melting_Curves/meltCurve_Q8NHP6_MOSPD2.pdf")</f>
        <v>Melting_Curves/meltCurve_Q8NHP6_MOSPD2.pdf</v>
      </c>
    </row>
    <row r="4635" spans="1:28" x14ac:dyDescent="0.25">
      <c r="A4635" t="s">
        <v>4639</v>
      </c>
      <c r="B4635">
        <v>0.99193492352474899</v>
      </c>
      <c r="C4635">
        <v>0.99852751256308603</v>
      </c>
      <c r="D4635">
        <v>0.893922369392948</v>
      </c>
      <c r="E4635">
        <v>0.82644979328560197</v>
      </c>
      <c r="F4635">
        <v>0.72713593970526202</v>
      </c>
      <c r="G4635">
        <v>0.52132839560560595</v>
      </c>
      <c r="H4635">
        <v>0.35771543832952801</v>
      </c>
      <c r="I4635">
        <v>0.26318032871500702</v>
      </c>
      <c r="J4635">
        <v>0.24454232166225501</v>
      </c>
      <c r="K4635">
        <v>0.22364213284113299</v>
      </c>
      <c r="L4635">
        <v>668.74150733766203</v>
      </c>
      <c r="M4635">
        <v>11.995403003756</v>
      </c>
      <c r="N4635">
        <v>57.2853112472379</v>
      </c>
      <c r="O4635">
        <v>54.268200065291801</v>
      </c>
      <c r="P4635">
        <v>-4.7674189866937701E-2</v>
      </c>
      <c r="Q4635">
        <v>0.137480229448561</v>
      </c>
      <c r="R4635">
        <v>0.99438324961976399</v>
      </c>
      <c r="S4635" t="s">
        <v>11305</v>
      </c>
      <c r="T4635" t="s">
        <v>13338</v>
      </c>
      <c r="U4635" t="s">
        <v>13338</v>
      </c>
      <c r="V4635" t="s">
        <v>13338</v>
      </c>
      <c r="W4635" t="s">
        <v>17917</v>
      </c>
      <c r="X4635">
        <v>10</v>
      </c>
      <c r="Y4635" t="s">
        <v>24418</v>
      </c>
      <c r="Z4635" t="s">
        <v>31050</v>
      </c>
      <c r="AA4635">
        <v>0.60858142405597815</v>
      </c>
      <c r="AB4635" t="str">
        <f>HYPERLINK("Melting_Curves/meltCurve_Q8NHP8_PLBD2.pdf", "Melting_Curves/meltCurve_Q8NHP8_PLBD2.pdf")</f>
        <v>Melting_Curves/meltCurve_Q8NHP8_PLBD2.pdf</v>
      </c>
    </row>
    <row r="4636" spans="1:28" x14ac:dyDescent="0.25">
      <c r="A4636" t="s">
        <v>4640</v>
      </c>
      <c r="B4636">
        <v>0.99193492352474899</v>
      </c>
      <c r="C4636">
        <v>0.40057522287652297</v>
      </c>
      <c r="D4636">
        <v>0.72075814512276404</v>
      </c>
      <c r="E4636">
        <v>0.25619857699469301</v>
      </c>
      <c r="F4636">
        <v>0.15809511704350299</v>
      </c>
      <c r="G4636">
        <v>0.11363384750661799</v>
      </c>
      <c r="H4636">
        <v>8.5362063821821196E-2</v>
      </c>
      <c r="I4636">
        <v>0.14498027755689299</v>
      </c>
      <c r="J4636">
        <v>0.16232611234334099</v>
      </c>
      <c r="K4636">
        <v>0.173737856130248</v>
      </c>
      <c r="L4636">
        <v>599.51605969424804</v>
      </c>
      <c r="M4636">
        <v>13.402495934053601</v>
      </c>
      <c r="N4636">
        <v>45.605729975625302</v>
      </c>
      <c r="O4636">
        <v>43.7710282990164</v>
      </c>
      <c r="P4636">
        <v>-6.7889298362709793E-2</v>
      </c>
      <c r="Q4636">
        <v>0.113264186909229</v>
      </c>
      <c r="R4636">
        <v>0.79016349744760594</v>
      </c>
      <c r="S4636" t="s">
        <v>11306</v>
      </c>
      <c r="T4636" t="s">
        <v>13338</v>
      </c>
      <c r="U4636" t="s">
        <v>13338</v>
      </c>
      <c r="V4636" t="s">
        <v>13338</v>
      </c>
      <c r="W4636" t="s">
        <v>17918</v>
      </c>
      <c r="X4636">
        <v>4</v>
      </c>
      <c r="Y4636" t="s">
        <v>24419</v>
      </c>
      <c r="Z4636" t="s">
        <v>31051</v>
      </c>
      <c r="AA4636">
        <v>0.29000455003731318</v>
      </c>
      <c r="AB4636" t="str">
        <f>HYPERLINK("Melting_Curves/meltCurve_Q8NHQ9_DDX55.pdf", "Melting_Curves/meltCurve_Q8NHQ9_DDX55.pdf")</f>
        <v>Melting_Curves/meltCurve_Q8NHQ9_DDX55.pdf</v>
      </c>
    </row>
    <row r="4637" spans="1:28" x14ac:dyDescent="0.25">
      <c r="A4637" t="s">
        <v>4641</v>
      </c>
      <c r="B4637">
        <v>0.99193492352474899</v>
      </c>
      <c r="C4637">
        <v>0.81626575297422799</v>
      </c>
      <c r="D4637">
        <v>0.54116003046039496</v>
      </c>
      <c r="E4637">
        <v>0.255830527610585</v>
      </c>
      <c r="F4637">
        <v>0.16354076085152999</v>
      </c>
      <c r="G4637">
        <v>8.4081190490892396E-2</v>
      </c>
      <c r="H4637">
        <v>6.2249606227243098E-2</v>
      </c>
      <c r="I4637">
        <v>8.1247435083579803E-2</v>
      </c>
      <c r="J4637">
        <v>8.7688720613113905E-2</v>
      </c>
      <c r="K4637">
        <v>7.3123451637481796E-2</v>
      </c>
      <c r="L4637">
        <v>911.80360330317706</v>
      </c>
      <c r="M4637">
        <v>19.787789545644799</v>
      </c>
      <c r="N4637">
        <v>46.460841476385802</v>
      </c>
      <c r="O4637">
        <v>45.616236529189997</v>
      </c>
      <c r="P4637">
        <v>-0.100314067503288</v>
      </c>
      <c r="Q4637">
        <v>7.5026568407987701E-2</v>
      </c>
      <c r="R4637">
        <v>0.99734211403886197</v>
      </c>
      <c r="S4637" t="s">
        <v>11307</v>
      </c>
      <c r="T4637" t="s">
        <v>13338</v>
      </c>
      <c r="U4637" t="s">
        <v>13338</v>
      </c>
      <c r="V4637" t="s">
        <v>13338</v>
      </c>
      <c r="W4637" t="s">
        <v>17919</v>
      </c>
      <c r="X4637">
        <v>11</v>
      </c>
      <c r="Y4637" t="s">
        <v>24420</v>
      </c>
      <c r="Z4637" t="s">
        <v>31052</v>
      </c>
      <c r="AA4637">
        <v>0.27703173127886349</v>
      </c>
      <c r="AB4637" t="str">
        <f>HYPERLINK("Melting_Curves/meltCurve_Q8NHU6_TDRD7.pdf", "Melting_Curves/meltCurve_Q8NHU6_TDRD7.pdf")</f>
        <v>Melting_Curves/meltCurve_Q8NHU6_TDRD7.pdf</v>
      </c>
    </row>
    <row r="4638" spans="1:28" x14ac:dyDescent="0.25">
      <c r="A4638" t="s">
        <v>4642</v>
      </c>
      <c r="B4638">
        <v>0.99193492352474899</v>
      </c>
      <c r="C4638">
        <v>0.899889642921195</v>
      </c>
      <c r="D4638">
        <v>0.79759618699588597</v>
      </c>
      <c r="E4638">
        <v>0.62163931881028001</v>
      </c>
      <c r="F4638">
        <v>0.280773404982673</v>
      </c>
      <c r="G4638">
        <v>0.17146067345016899</v>
      </c>
      <c r="H4638">
        <v>0.106912631559125</v>
      </c>
      <c r="I4638">
        <v>0.113521276685908</v>
      </c>
      <c r="J4638">
        <v>7.8526469583732106E-2</v>
      </c>
      <c r="K4638">
        <v>6.9134984498642901E-2</v>
      </c>
      <c r="L4638">
        <v>809.76475955175204</v>
      </c>
      <c r="M4638">
        <v>16.183280156271199</v>
      </c>
      <c r="N4638">
        <v>50.450636696619398</v>
      </c>
      <c r="O4638">
        <v>49.291800558341897</v>
      </c>
      <c r="P4638">
        <v>-7.6986648398278706E-2</v>
      </c>
      <c r="Q4638">
        <v>6.2112034136904699E-2</v>
      </c>
      <c r="R4638">
        <v>0.99379361604860805</v>
      </c>
      <c r="S4638" t="s">
        <v>11308</v>
      </c>
      <c r="T4638" t="s">
        <v>13338</v>
      </c>
      <c r="U4638" t="s">
        <v>13338</v>
      </c>
      <c r="V4638" t="s">
        <v>13338</v>
      </c>
      <c r="W4638" t="s">
        <v>17920</v>
      </c>
      <c r="X4638">
        <v>9</v>
      </c>
      <c r="Y4638" t="s">
        <v>24421</v>
      </c>
      <c r="Z4638" t="s">
        <v>31053</v>
      </c>
      <c r="AA4638">
        <v>0.39539097909922472</v>
      </c>
      <c r="AB4638" t="str">
        <f>HYPERLINK("Melting_Curves/meltCurve_Q8NHV1_GIMAP7.pdf", "Melting_Curves/meltCurve_Q8NHV1_GIMAP7.pdf")</f>
        <v>Melting_Curves/meltCurve_Q8NHV1_GIMAP7.pdf</v>
      </c>
    </row>
    <row r="4639" spans="1:28" x14ac:dyDescent="0.25">
      <c r="A4639" t="s">
        <v>4643</v>
      </c>
      <c r="B4639">
        <v>0.99193492352474899</v>
      </c>
      <c r="C4639">
        <v>0.70713449840432197</v>
      </c>
      <c r="D4639">
        <v>0.92148508159949405</v>
      </c>
      <c r="E4639">
        <v>0.64122033486282204</v>
      </c>
      <c r="F4639">
        <v>0.57176129142527399</v>
      </c>
      <c r="G4639">
        <v>0.24558808294217499</v>
      </c>
      <c r="H4639">
        <v>0.13722833885582</v>
      </c>
      <c r="I4639">
        <v>0.118144021223497</v>
      </c>
      <c r="J4639">
        <v>0.13392120881297701</v>
      </c>
      <c r="K4639">
        <v>0.14007533424254301</v>
      </c>
      <c r="L4639">
        <v>568.98864962043399</v>
      </c>
      <c r="M4639">
        <v>10.8807184605866</v>
      </c>
      <c r="N4639">
        <v>52.572622126728099</v>
      </c>
      <c r="O4639">
        <v>50.619926692182297</v>
      </c>
      <c r="P4639">
        <v>-5.22463647851545E-2</v>
      </c>
      <c r="Q4639">
        <v>2.8087140478268598E-2</v>
      </c>
      <c r="R4639">
        <v>0.92646489858734105</v>
      </c>
      <c r="S4639" t="s">
        <v>11309</v>
      </c>
      <c r="T4639" t="s">
        <v>13338</v>
      </c>
      <c r="U4639" t="s">
        <v>13338</v>
      </c>
      <c r="V4639" t="s">
        <v>13338</v>
      </c>
      <c r="W4639" t="s">
        <v>17921</v>
      </c>
      <c r="X4639">
        <v>13</v>
      </c>
      <c r="Y4639" t="s">
        <v>24422</v>
      </c>
      <c r="Z4639" t="s">
        <v>31054</v>
      </c>
      <c r="AA4639">
        <v>0.45908131809272962</v>
      </c>
      <c r="AB4639" t="str">
        <f>HYPERLINK("Melting_Curves/meltCurve_Q8NHV4_NEDD1.pdf", "Melting_Curves/meltCurve_Q8NHV4_NEDD1.pdf")</f>
        <v>Melting_Curves/meltCurve_Q8NHV4_NEDD1.pdf</v>
      </c>
    </row>
    <row r="4640" spans="1:28" x14ac:dyDescent="0.25">
      <c r="A4640" t="s">
        <v>4644</v>
      </c>
      <c r="B4640">
        <v>0.99193492352474899</v>
      </c>
      <c r="C4640">
        <v>0.69567414759888702</v>
      </c>
      <c r="D4640">
        <v>0.74590574078684702</v>
      </c>
      <c r="E4640">
        <v>0.48200629907223302</v>
      </c>
      <c r="F4640">
        <v>0.47516333137190198</v>
      </c>
      <c r="G4640">
        <v>0.293779340352533</v>
      </c>
      <c r="H4640">
        <v>0.30738390091393603</v>
      </c>
      <c r="I4640">
        <v>0.35647293725496199</v>
      </c>
      <c r="J4640">
        <v>0.462676728555031</v>
      </c>
      <c r="K4640">
        <v>0.82573720012910301</v>
      </c>
      <c r="L4640">
        <v>829.80316224303601</v>
      </c>
      <c r="M4640">
        <v>18.753787226413198</v>
      </c>
      <c r="N4640">
        <v>50.476399035430497</v>
      </c>
      <c r="O4640">
        <v>43.753341289172603</v>
      </c>
      <c r="P4640">
        <v>-5.8875744658999002E-2</v>
      </c>
      <c r="Q4640">
        <v>0.45058520023118998</v>
      </c>
      <c r="R4640">
        <v>0.55241834063016004</v>
      </c>
      <c r="S4640" t="s">
        <v>11310</v>
      </c>
      <c r="T4640" t="s">
        <v>13338</v>
      </c>
      <c r="U4640" t="s">
        <v>13338</v>
      </c>
      <c r="V4640" t="s">
        <v>13338</v>
      </c>
      <c r="W4640" t="s">
        <v>17922</v>
      </c>
      <c r="X4640">
        <v>3</v>
      </c>
      <c r="Y4640" t="s">
        <v>24423</v>
      </c>
      <c r="Z4640" t="s">
        <v>31055</v>
      </c>
      <c r="AA4640">
        <v>0.5402682181610724</v>
      </c>
      <c r="AB4640" t="str">
        <f>HYPERLINK("Melting_Curves/meltCurve_Q8NHZ8_CDC26.pdf", "Melting_Curves/meltCurve_Q8NHZ8_CDC26.pdf")</f>
        <v>Melting_Curves/meltCurve_Q8NHZ8_CDC26.pdf</v>
      </c>
    </row>
    <row r="4641" spans="1:28" x14ac:dyDescent="0.25">
      <c r="A4641" t="s">
        <v>4645</v>
      </c>
      <c r="B4641">
        <v>0.99193492352474899</v>
      </c>
      <c r="C4641">
        <v>0.80545813200471095</v>
      </c>
      <c r="D4641">
        <v>0.80700619814878005</v>
      </c>
      <c r="E4641">
        <v>0.508343467052909</v>
      </c>
      <c r="F4641">
        <v>0.223789664343441</v>
      </c>
      <c r="G4641">
        <v>9.9766914138162993E-2</v>
      </c>
      <c r="H4641">
        <v>7.5407822769808994E-2</v>
      </c>
      <c r="I4641">
        <v>9.8906644627453494E-2</v>
      </c>
      <c r="J4641">
        <v>0.108451659176602</v>
      </c>
      <c r="K4641">
        <v>0.114922209829699</v>
      </c>
      <c r="L4641">
        <v>859.05589914616201</v>
      </c>
      <c r="M4641">
        <v>17.597781142013101</v>
      </c>
      <c r="N4641">
        <v>49.270736105338599</v>
      </c>
      <c r="O4641">
        <v>48.198859215264498</v>
      </c>
      <c r="P4641">
        <v>-8.4441798767533105E-2</v>
      </c>
      <c r="Q4641">
        <v>7.49335882424539E-2</v>
      </c>
      <c r="R4641">
        <v>0.98031618220116901</v>
      </c>
      <c r="S4641" t="s">
        <v>11311</v>
      </c>
      <c r="T4641" t="s">
        <v>13338</v>
      </c>
      <c r="U4641" t="s">
        <v>13338</v>
      </c>
      <c r="V4641" t="s">
        <v>13338</v>
      </c>
      <c r="W4641" t="s">
        <v>17923</v>
      </c>
      <c r="X4641">
        <v>8</v>
      </c>
      <c r="Y4641" t="s">
        <v>24424</v>
      </c>
      <c r="Z4641" t="s">
        <v>31056</v>
      </c>
      <c r="AA4641">
        <v>0.36361112758509789</v>
      </c>
      <c r="AB4641" t="str">
        <f>HYPERLINK("Melting_Curves/meltCurve_Q8NI08_2_NCOA7.pdf", "Melting_Curves/meltCurve_Q8NI08_2_NCOA7.pdf")</f>
        <v>Melting_Curves/meltCurve_Q8NI08_2_NCOA7.pdf</v>
      </c>
    </row>
    <row r="4642" spans="1:28" x14ac:dyDescent="0.25">
      <c r="A4642" t="s">
        <v>4646</v>
      </c>
      <c r="B4642">
        <v>0.99193492352474899</v>
      </c>
      <c r="C4642">
        <v>0.77791701616999698</v>
      </c>
      <c r="D4642">
        <v>1.00728984035522</v>
      </c>
      <c r="E4642">
        <v>0.69173584880088501</v>
      </c>
      <c r="F4642">
        <v>0.77353882199804802</v>
      </c>
      <c r="G4642">
        <v>0.610666848585115</v>
      </c>
      <c r="H4642">
        <v>0.48433567110291897</v>
      </c>
      <c r="I4642">
        <v>0.34616565871400101</v>
      </c>
      <c r="J4642">
        <v>0.40830700700907202</v>
      </c>
      <c r="K4642">
        <v>0.41837803229674603</v>
      </c>
      <c r="L4642">
        <v>423.72716173134302</v>
      </c>
      <c r="M4642">
        <v>7.5742240815701498</v>
      </c>
      <c r="N4642">
        <v>60.796612223279602</v>
      </c>
      <c r="O4642">
        <v>52.442879187467703</v>
      </c>
      <c r="P4642">
        <v>-2.7954334407721101E-2</v>
      </c>
      <c r="Q4642">
        <v>0.22686420579643601</v>
      </c>
      <c r="R4642">
        <v>0.86170501938017396</v>
      </c>
      <c r="S4642" t="s">
        <v>11312</v>
      </c>
      <c r="T4642" t="s">
        <v>13338</v>
      </c>
      <c r="U4642" t="s">
        <v>13338</v>
      </c>
      <c r="V4642" t="s">
        <v>13338</v>
      </c>
      <c r="W4642" t="s">
        <v>17924</v>
      </c>
      <c r="X4642">
        <v>1</v>
      </c>
      <c r="Y4642" t="s">
        <v>24425</v>
      </c>
      <c r="Z4642" t="s">
        <v>31057</v>
      </c>
      <c r="AA4642">
        <v>0.65290352603225366</v>
      </c>
      <c r="AB4642" t="str">
        <f>HYPERLINK("Melting_Curves/meltCurve_Q8NI22_2_MCFD2.pdf", "Melting_Curves/meltCurve_Q8NI22_2_MCFD2.pdf")</f>
        <v>Melting_Curves/meltCurve_Q8NI22_2_MCFD2.pdf</v>
      </c>
    </row>
    <row r="4643" spans="1:28" x14ac:dyDescent="0.25">
      <c r="A4643" t="s">
        <v>4647</v>
      </c>
      <c r="B4643">
        <v>0.99193492352474899</v>
      </c>
      <c r="C4643">
        <v>0.64147264674844995</v>
      </c>
      <c r="D4643">
        <v>0.80151803281602496</v>
      </c>
      <c r="E4643">
        <v>0.32389762144036799</v>
      </c>
      <c r="F4643">
        <v>0.16383686184739199</v>
      </c>
      <c r="G4643">
        <v>9.2673594791097699E-2</v>
      </c>
      <c r="H4643">
        <v>6.0568073646341598E-2</v>
      </c>
      <c r="I4643">
        <v>6.9354350946074395E-2</v>
      </c>
      <c r="J4643">
        <v>8.02581422075625E-2</v>
      </c>
      <c r="K4643">
        <v>9.0023163125757699E-2</v>
      </c>
      <c r="L4643">
        <v>717.13013955567601</v>
      </c>
      <c r="M4643">
        <v>15.140959949860999</v>
      </c>
      <c r="N4643">
        <v>47.672413334386</v>
      </c>
      <c r="O4643">
        <v>46.560441042853697</v>
      </c>
      <c r="P4643">
        <v>-7.7507172567731306E-2</v>
      </c>
      <c r="Q4643">
        <v>4.6714200890018202E-2</v>
      </c>
      <c r="R4643">
        <v>0.930947965234454</v>
      </c>
      <c r="S4643" t="s">
        <v>11313</v>
      </c>
      <c r="T4643" t="s">
        <v>13338</v>
      </c>
      <c r="U4643" t="s">
        <v>13338</v>
      </c>
      <c r="V4643" t="s">
        <v>13338</v>
      </c>
      <c r="W4643" t="s">
        <v>17925</v>
      </c>
      <c r="X4643">
        <v>33</v>
      </c>
      <c r="Y4643" t="s">
        <v>24426</v>
      </c>
      <c r="Z4643" t="s">
        <v>31058</v>
      </c>
      <c r="AA4643">
        <v>0.30557126927174683</v>
      </c>
      <c r="AB4643" t="str">
        <f>HYPERLINK("Melting_Curves/meltCurve_Q8NI27_THOC2.pdf", "Melting_Curves/meltCurve_Q8NI27_THOC2.pdf")</f>
        <v>Melting_Curves/meltCurve_Q8NI27_THOC2.pdf</v>
      </c>
    </row>
    <row r="4644" spans="1:28" x14ac:dyDescent="0.25">
      <c r="A4644" t="s">
        <v>4648</v>
      </c>
      <c r="B4644">
        <v>0.99193492352474899</v>
      </c>
      <c r="C4644">
        <v>0.64545483508870505</v>
      </c>
      <c r="D4644">
        <v>0.80211980548361705</v>
      </c>
      <c r="E4644">
        <v>0.34220446960900502</v>
      </c>
      <c r="F4644">
        <v>0.125130980471717</v>
      </c>
      <c r="G4644">
        <v>7.4593628091841502E-2</v>
      </c>
      <c r="H4644">
        <v>4.8098325684790298E-2</v>
      </c>
      <c r="I4644">
        <v>4.7743099729832698E-2</v>
      </c>
      <c r="J4644">
        <v>6.1662957685407603E-2</v>
      </c>
      <c r="K4644">
        <v>6.2078590498058701E-2</v>
      </c>
      <c r="L4644">
        <v>732.928504290761</v>
      </c>
      <c r="M4644">
        <v>15.4105727906563</v>
      </c>
      <c r="N4644">
        <v>47.7159446662194</v>
      </c>
      <c r="O4644">
        <v>46.780844997850899</v>
      </c>
      <c r="P4644">
        <v>-8.03414327312518E-2</v>
      </c>
      <c r="Q4644">
        <v>2.4540473331454801E-2</v>
      </c>
      <c r="R4644">
        <v>0.93550806664337105</v>
      </c>
      <c r="S4644" t="s">
        <v>11314</v>
      </c>
      <c r="T4644" t="s">
        <v>13338</v>
      </c>
      <c r="U4644" t="s">
        <v>13338</v>
      </c>
      <c r="V4644" t="s">
        <v>13338</v>
      </c>
      <c r="W4644" t="s">
        <v>17926</v>
      </c>
      <c r="X4644">
        <v>15</v>
      </c>
      <c r="Y4644" t="s">
        <v>24427</v>
      </c>
      <c r="Z4644" t="s">
        <v>31059</v>
      </c>
      <c r="AA4644">
        <v>0.29465365199633792</v>
      </c>
      <c r="AB4644" t="str">
        <f>HYPERLINK("Melting_Curves/meltCurve_Q8NI36_WDR36.pdf", "Melting_Curves/meltCurve_Q8NI36_WDR36.pdf")</f>
        <v>Melting_Curves/meltCurve_Q8NI36_WDR36.pdf</v>
      </c>
    </row>
    <row r="4645" spans="1:28" x14ac:dyDescent="0.25">
      <c r="A4645" t="s">
        <v>4649</v>
      </c>
      <c r="B4645">
        <v>0.99193492352474899</v>
      </c>
      <c r="C4645">
        <v>0.96612079034759102</v>
      </c>
      <c r="D4645">
        <v>0.80520690085179403</v>
      </c>
      <c r="E4645">
        <v>0.549906459711901</v>
      </c>
      <c r="F4645">
        <v>0.22829952844620999</v>
      </c>
      <c r="G4645">
        <v>0.13934536250265001</v>
      </c>
      <c r="H4645">
        <v>7.3101705327804398E-2</v>
      </c>
      <c r="I4645">
        <v>0.107240830536504</v>
      </c>
      <c r="J4645">
        <v>0.10380781463722601</v>
      </c>
      <c r="K4645">
        <v>0.122946590491194</v>
      </c>
      <c r="L4645">
        <v>1040.3021184705599</v>
      </c>
      <c r="M4645">
        <v>21.105542578624199</v>
      </c>
      <c r="N4645">
        <v>49.770144719524502</v>
      </c>
      <c r="O4645">
        <v>48.854345024671503</v>
      </c>
      <c r="P4645">
        <v>-9.8065657136262002E-2</v>
      </c>
      <c r="Q4645">
        <v>9.20282284270907E-2</v>
      </c>
      <c r="R4645">
        <v>0.99629707659304001</v>
      </c>
      <c r="S4645" t="s">
        <v>11315</v>
      </c>
      <c r="T4645" t="s">
        <v>13338</v>
      </c>
      <c r="U4645" t="s">
        <v>13338</v>
      </c>
      <c r="V4645" t="s">
        <v>13338</v>
      </c>
      <c r="W4645" t="s">
        <v>17927</v>
      </c>
      <c r="X4645">
        <v>8</v>
      </c>
      <c r="Y4645" t="s">
        <v>24428</v>
      </c>
      <c r="Z4645" t="s">
        <v>31060</v>
      </c>
      <c r="AA4645">
        <v>0.38459483764002661</v>
      </c>
      <c r="AB4645" t="str">
        <f>HYPERLINK("Melting_Curves/meltCurve_Q8NI37_PPTC7.pdf", "Melting_Curves/meltCurve_Q8NI37_PPTC7.pdf")</f>
        <v>Melting_Curves/meltCurve_Q8NI37_PPTC7.pdf</v>
      </c>
    </row>
    <row r="4646" spans="1:28" x14ac:dyDescent="0.25">
      <c r="A4646" t="s">
        <v>4650</v>
      </c>
      <c r="B4646">
        <v>0.99193492352474899</v>
      </c>
      <c r="C4646">
        <v>0.66810047609756795</v>
      </c>
      <c r="D4646">
        <v>0.68162696379291399</v>
      </c>
      <c r="E4646">
        <v>0.53117183563438397</v>
      </c>
      <c r="F4646">
        <v>0.43060410353791501</v>
      </c>
      <c r="G4646">
        <v>0.27495722377722298</v>
      </c>
      <c r="H4646">
        <v>0.26943529464628801</v>
      </c>
      <c r="I4646">
        <v>0.36181420043262902</v>
      </c>
      <c r="J4646">
        <v>0.42568848541868398</v>
      </c>
      <c r="K4646">
        <v>0.587037374986909</v>
      </c>
      <c r="L4646">
        <v>717.29885295076895</v>
      </c>
      <c r="M4646">
        <v>16.1231303083851</v>
      </c>
      <c r="N4646">
        <v>49.045411165072899</v>
      </c>
      <c r="O4646">
        <v>43.821300386411899</v>
      </c>
      <c r="P4646">
        <v>-5.62786080044025E-2</v>
      </c>
      <c r="Q4646">
        <v>0.38820463078381001</v>
      </c>
      <c r="R4646">
        <v>0.77260254499719905</v>
      </c>
      <c r="S4646" t="s">
        <v>11316</v>
      </c>
      <c r="T4646" t="s">
        <v>13338</v>
      </c>
      <c r="U4646" t="s">
        <v>13338</v>
      </c>
      <c r="V4646" t="s">
        <v>13338</v>
      </c>
      <c r="W4646" t="s">
        <v>17928</v>
      </c>
      <c r="X4646">
        <v>9</v>
      </c>
      <c r="Y4646" t="s">
        <v>24429</v>
      </c>
      <c r="Z4646" t="s">
        <v>31061</v>
      </c>
      <c r="AA4646">
        <v>0.49764105885014759</v>
      </c>
      <c r="AB4646" t="str">
        <f>HYPERLINK("Melting_Curves/meltCurve_Q8TA86_RP9.pdf", "Melting_Curves/meltCurve_Q8TA86_RP9.pdf")</f>
        <v>Melting_Curves/meltCurve_Q8TA86_RP9.pdf</v>
      </c>
    </row>
    <row r="4647" spans="1:28" x14ac:dyDescent="0.25">
      <c r="A4647" t="s">
        <v>4651</v>
      </c>
      <c r="B4647">
        <v>0.99193492352474899</v>
      </c>
      <c r="C4647">
        <v>0.81355149762443002</v>
      </c>
      <c r="D4647">
        <v>0.97695651420600205</v>
      </c>
      <c r="E4647">
        <v>0.67595112038669203</v>
      </c>
      <c r="F4647">
        <v>0.79691449608753995</v>
      </c>
      <c r="G4647">
        <v>0.57129136740641095</v>
      </c>
      <c r="H4647">
        <v>0.399973267098577</v>
      </c>
      <c r="I4647">
        <v>0.33691171948825799</v>
      </c>
      <c r="J4647">
        <v>0.32310048506350902</v>
      </c>
      <c r="K4647">
        <v>0.238234089073941</v>
      </c>
      <c r="L4647">
        <v>418.00206418954201</v>
      </c>
      <c r="M4647">
        <v>7.1004780989864198</v>
      </c>
      <c r="N4647">
        <v>58.869568927605002</v>
      </c>
      <c r="O4647">
        <v>54.735567660395901</v>
      </c>
      <c r="P4647">
        <v>-3.2487885334745302E-2</v>
      </c>
      <c r="Q4647">
        <v>0</v>
      </c>
      <c r="R4647">
        <v>0.92220405666877203</v>
      </c>
      <c r="S4647" t="s">
        <v>11317</v>
      </c>
      <c r="T4647" t="s">
        <v>13338</v>
      </c>
      <c r="U4647" t="s">
        <v>13338</v>
      </c>
      <c r="V4647" t="s">
        <v>13338</v>
      </c>
      <c r="W4647" t="s">
        <v>17929</v>
      </c>
      <c r="X4647">
        <v>9</v>
      </c>
      <c r="Y4647" t="s">
        <v>24430</v>
      </c>
      <c r="Z4647" t="s">
        <v>31062</v>
      </c>
      <c r="AA4647">
        <v>0.61898749455602398</v>
      </c>
      <c r="AB4647" t="str">
        <f>HYPERLINK("Melting_Curves/meltCurve_Q8TAA3_5_PSMA8.pdf", "Melting_Curves/meltCurve_Q8TAA3_5_PSMA8.pdf")</f>
        <v>Melting_Curves/meltCurve_Q8TAA3_5_PSMA8.pdf</v>
      </c>
    </row>
    <row r="4648" spans="1:28" x14ac:dyDescent="0.25">
      <c r="A4648" t="s">
        <v>4652</v>
      </c>
      <c r="B4648">
        <v>0.99193492352474899</v>
      </c>
      <c r="C4648">
        <v>0.85896724014086201</v>
      </c>
      <c r="D4648">
        <v>0.78905872961655699</v>
      </c>
      <c r="E4648">
        <v>0.317187108870155</v>
      </c>
      <c r="F4648">
        <v>0.315351193716911</v>
      </c>
      <c r="G4648">
        <v>0.14835311560300701</v>
      </c>
      <c r="H4648">
        <v>0.11121989040695</v>
      </c>
      <c r="I4648">
        <v>0.115175153422497</v>
      </c>
      <c r="J4648">
        <v>0.18271851084783899</v>
      </c>
      <c r="K4648">
        <v>0.18270585950762999</v>
      </c>
      <c r="L4648">
        <v>1038.87182309585</v>
      </c>
      <c r="M4648">
        <v>21.858841748618801</v>
      </c>
      <c r="N4648">
        <v>48.314018251575099</v>
      </c>
      <c r="O4648">
        <v>47.134005226322799</v>
      </c>
      <c r="P4648">
        <v>-9.8564451945565804E-2</v>
      </c>
      <c r="Q4648">
        <v>0.14988563052283699</v>
      </c>
      <c r="R4648">
        <v>0.97229164659478595</v>
      </c>
      <c r="S4648" t="s">
        <v>11318</v>
      </c>
      <c r="T4648" t="s">
        <v>13338</v>
      </c>
      <c r="U4648" t="s">
        <v>13338</v>
      </c>
      <c r="V4648" t="s">
        <v>13338</v>
      </c>
      <c r="W4648" t="s">
        <v>17930</v>
      </c>
      <c r="X4648">
        <v>3</v>
      </c>
      <c r="Y4648" t="s">
        <v>24431</v>
      </c>
      <c r="Z4648" t="s">
        <v>31063</v>
      </c>
      <c r="AA4648">
        <v>0.37324169904283089</v>
      </c>
      <c r="AB4648" t="str">
        <f>HYPERLINK("Melting_Curves/meltCurve_Q8TAA5_GRPEL2.pdf", "Melting_Curves/meltCurve_Q8TAA5_GRPEL2.pdf")</f>
        <v>Melting_Curves/meltCurve_Q8TAA5_GRPEL2.pdf</v>
      </c>
    </row>
    <row r="4649" spans="1:28" x14ac:dyDescent="0.25">
      <c r="A4649" t="s">
        <v>4653</v>
      </c>
      <c r="B4649">
        <v>0.99193492352474899</v>
      </c>
      <c r="C4649">
        <v>0.980652333388083</v>
      </c>
      <c r="D4649">
        <v>0.984761175518168</v>
      </c>
      <c r="E4649">
        <v>0.881320988883872</v>
      </c>
      <c r="F4649">
        <v>0.71872298868754003</v>
      </c>
      <c r="G4649">
        <v>0.58499864680115099</v>
      </c>
      <c r="H4649">
        <v>0.36943534862156502</v>
      </c>
      <c r="I4649">
        <v>0.23362233915916999</v>
      </c>
      <c r="J4649">
        <v>0.17190941163684001</v>
      </c>
      <c r="K4649">
        <v>0.16787890264205499</v>
      </c>
      <c r="L4649">
        <v>737.72609971905001</v>
      </c>
      <c r="M4649">
        <v>12.8876744165843</v>
      </c>
      <c r="N4649">
        <v>57.863931238023298</v>
      </c>
      <c r="O4649">
        <v>55.917081726535102</v>
      </c>
      <c r="P4649">
        <v>-5.3907049903743301E-2</v>
      </c>
      <c r="Q4649">
        <v>6.4602643616616204E-2</v>
      </c>
      <c r="R4649">
        <v>0.99692086540907399</v>
      </c>
      <c r="S4649" t="s">
        <v>11319</v>
      </c>
      <c r="T4649" t="s">
        <v>13338</v>
      </c>
      <c r="U4649" t="s">
        <v>13338</v>
      </c>
      <c r="V4649" t="s">
        <v>13338</v>
      </c>
      <c r="W4649" t="s">
        <v>17931</v>
      </c>
      <c r="X4649">
        <v>6</v>
      </c>
      <c r="Y4649" t="s">
        <v>24432</v>
      </c>
      <c r="Z4649" t="s">
        <v>31064</v>
      </c>
      <c r="AA4649">
        <v>0.61714876947187414</v>
      </c>
      <c r="AB4649" t="str">
        <f>HYPERLINK("Melting_Curves/meltCurve_Q8TAA9_2_VANGL1.pdf", "Melting_Curves/meltCurve_Q8TAA9_2_VANGL1.pdf")</f>
        <v>Melting_Curves/meltCurve_Q8TAA9_2_VANGL1.pdf</v>
      </c>
    </row>
    <row r="4650" spans="1:28" x14ac:dyDescent="0.25">
      <c r="A4650" t="s">
        <v>4654</v>
      </c>
      <c r="B4650">
        <v>0.99193492352474899</v>
      </c>
      <c r="C4650">
        <v>0.92348930914675598</v>
      </c>
      <c r="D4650">
        <v>0.82922770159984305</v>
      </c>
      <c r="E4650">
        <v>0.949036509770253</v>
      </c>
      <c r="F4650">
        <v>0.68470877322961199</v>
      </c>
      <c r="G4650">
        <v>0.60465620467779402</v>
      </c>
      <c r="H4650">
        <v>0.29702589434161297</v>
      </c>
      <c r="I4650">
        <v>0.20353429304461099</v>
      </c>
      <c r="J4650">
        <v>0.17005896775169799</v>
      </c>
      <c r="K4650">
        <v>0.22147678607642801</v>
      </c>
      <c r="L4650">
        <v>755.52914932655801</v>
      </c>
      <c r="M4650">
        <v>13.3968065656065</v>
      </c>
      <c r="N4650">
        <v>57.310408443493799</v>
      </c>
      <c r="O4650">
        <v>55.184095991545597</v>
      </c>
      <c r="P4650">
        <v>-5.4861242058582199E-2</v>
      </c>
      <c r="Q4650">
        <v>9.6205197961566194E-2</v>
      </c>
      <c r="R4650">
        <v>0.95841743976296701</v>
      </c>
      <c r="S4650" t="s">
        <v>11320</v>
      </c>
      <c r="T4650" t="s">
        <v>13338</v>
      </c>
      <c r="U4650" t="s">
        <v>13338</v>
      </c>
      <c r="V4650" t="s">
        <v>13338</v>
      </c>
      <c r="W4650" t="s">
        <v>17932</v>
      </c>
      <c r="X4650">
        <v>1</v>
      </c>
      <c r="Y4650" t="s">
        <v>24433</v>
      </c>
      <c r="Z4650" t="s">
        <v>31065</v>
      </c>
      <c r="AA4650">
        <v>0.60668419058088074</v>
      </c>
      <c r="AB4650" t="str">
        <f>HYPERLINK("Melting_Curves/meltCurve_Q8TAC1_RFESD.pdf", "Melting_Curves/meltCurve_Q8TAC1_RFESD.pdf")</f>
        <v>Melting_Curves/meltCurve_Q8TAC1_RFESD.pdf</v>
      </c>
    </row>
    <row r="4651" spans="1:28" x14ac:dyDescent="0.25">
      <c r="A4651" t="s">
        <v>4655</v>
      </c>
      <c r="B4651">
        <v>0.99193492352474899</v>
      </c>
      <c r="C4651">
        <v>0.49486637185399601</v>
      </c>
      <c r="D4651">
        <v>0.43894607490413601</v>
      </c>
      <c r="E4651">
        <v>0.22135676096419499</v>
      </c>
      <c r="F4651">
        <v>0.157426328927223</v>
      </c>
      <c r="G4651">
        <v>0.10642245666622401</v>
      </c>
      <c r="H4651">
        <v>5.9385242463808302E-2</v>
      </c>
      <c r="I4651">
        <v>8.9635211927201697E-2</v>
      </c>
      <c r="J4651">
        <v>6.5398740224583099E-2</v>
      </c>
      <c r="K4651">
        <v>0.23552959594574699</v>
      </c>
      <c r="L4651">
        <v>820.70043014102805</v>
      </c>
      <c r="M4651">
        <v>18.7977516225925</v>
      </c>
      <c r="N4651">
        <v>44.286601791383902</v>
      </c>
      <c r="O4651">
        <v>43.174398558160199</v>
      </c>
      <c r="P4651">
        <v>-9.6132973426989302E-2</v>
      </c>
      <c r="Q4651">
        <v>0.116849545514549</v>
      </c>
      <c r="R4651">
        <v>0.91730216531173103</v>
      </c>
      <c r="S4651" t="s">
        <v>11321</v>
      </c>
      <c r="T4651" t="s">
        <v>13338</v>
      </c>
      <c r="U4651" t="s">
        <v>13338</v>
      </c>
      <c r="V4651" t="s">
        <v>13338</v>
      </c>
      <c r="W4651" t="s">
        <v>17933</v>
      </c>
      <c r="X4651">
        <v>3</v>
      </c>
      <c r="Y4651" t="s">
        <v>24434</v>
      </c>
      <c r="Z4651" t="s">
        <v>31066</v>
      </c>
      <c r="AA4651">
        <v>0.24549502984525801</v>
      </c>
      <c r="AB4651" t="str">
        <f>HYPERLINK("Melting_Curves/meltCurve_Q8TAD8_SNIP1.pdf", "Melting_Curves/meltCurve_Q8TAD8_SNIP1.pdf")</f>
        <v>Melting_Curves/meltCurve_Q8TAD8_SNIP1.pdf</v>
      </c>
    </row>
    <row r="4652" spans="1:28" x14ac:dyDescent="0.25">
      <c r="A4652" t="s">
        <v>4656</v>
      </c>
      <c r="B4652">
        <v>0.99193492352474899</v>
      </c>
      <c r="C4652">
        <v>0.82614852429976904</v>
      </c>
      <c r="D4652">
        <v>0.75031655712440604</v>
      </c>
      <c r="E4652">
        <v>0.677423188917055</v>
      </c>
      <c r="F4652">
        <v>0.55766046988627105</v>
      </c>
      <c r="G4652">
        <v>0.41964232302263599</v>
      </c>
      <c r="H4652">
        <v>0.49996333420864902</v>
      </c>
      <c r="I4652">
        <v>0.60782658403102896</v>
      </c>
      <c r="J4652">
        <v>0.67417908560120698</v>
      </c>
      <c r="K4652">
        <v>0.63733023685807899</v>
      </c>
      <c r="L4652">
        <v>856.69022901169001</v>
      </c>
      <c r="M4652">
        <v>19.137031854297099</v>
      </c>
      <c r="O4652">
        <v>44.285870271496101</v>
      </c>
      <c r="P4652">
        <v>-4.65550723378267E-2</v>
      </c>
      <c r="Q4652">
        <v>0.56907591031681704</v>
      </c>
      <c r="R4652">
        <v>0.78038152497294899</v>
      </c>
      <c r="S4652" t="s">
        <v>11322</v>
      </c>
      <c r="T4652" t="s">
        <v>13338</v>
      </c>
      <c r="U4652" t="s">
        <v>13338</v>
      </c>
      <c r="V4652" t="s">
        <v>13338</v>
      </c>
      <c r="W4652" t="s">
        <v>17934</v>
      </c>
      <c r="X4652">
        <v>9</v>
      </c>
      <c r="Y4652" t="s">
        <v>24435</v>
      </c>
      <c r="Z4652" t="s">
        <v>31067</v>
      </c>
      <c r="AA4652">
        <v>0.64584405114372956</v>
      </c>
      <c r="AB4652" t="str">
        <f>HYPERLINK("Melting_Curves/meltCurve_Q8TAE8_GADD45GIP1.pdf", "Melting_Curves/meltCurve_Q8TAE8_GADD45GIP1.pdf")</f>
        <v>Melting_Curves/meltCurve_Q8TAE8_GADD45GIP1.pdf</v>
      </c>
    </row>
    <row r="4653" spans="1:28" x14ac:dyDescent="0.25">
      <c r="A4653" t="s">
        <v>4657</v>
      </c>
      <c r="B4653">
        <v>0.99193492352474899</v>
      </c>
      <c r="C4653">
        <v>0.86533067163694499</v>
      </c>
      <c r="D4653">
        <v>0.93510812116577102</v>
      </c>
      <c r="E4653">
        <v>0.69969543012260804</v>
      </c>
      <c r="F4653">
        <v>0.71765292720420903</v>
      </c>
      <c r="G4653">
        <v>0.48358788315690299</v>
      </c>
      <c r="H4653">
        <v>0.186532801115113</v>
      </c>
      <c r="I4653">
        <v>0.153800064082077</v>
      </c>
      <c r="J4653">
        <v>0.13132738594483001</v>
      </c>
      <c r="K4653">
        <v>0.14057938969245801</v>
      </c>
      <c r="L4653">
        <v>609.06962494961397</v>
      </c>
      <c r="M4653">
        <v>10.9736224094994</v>
      </c>
      <c r="N4653">
        <v>55.503060175197298</v>
      </c>
      <c r="O4653">
        <v>53.755394150087398</v>
      </c>
      <c r="P4653">
        <v>-5.10523657961389E-2</v>
      </c>
      <c r="Q4653">
        <v>0</v>
      </c>
      <c r="R4653">
        <v>0.96283752546229595</v>
      </c>
      <c r="S4653" t="s">
        <v>11323</v>
      </c>
      <c r="T4653" t="s">
        <v>13338</v>
      </c>
      <c r="U4653" t="s">
        <v>13338</v>
      </c>
      <c r="V4653" t="s">
        <v>13338</v>
      </c>
      <c r="W4653" t="s">
        <v>17935</v>
      </c>
      <c r="X4653">
        <v>23</v>
      </c>
      <c r="Y4653" t="s">
        <v>24436</v>
      </c>
      <c r="Z4653" t="s">
        <v>31068</v>
      </c>
      <c r="AA4653">
        <v>0.53966581821066795</v>
      </c>
      <c r="AB4653" t="str">
        <f>HYPERLINK("Melting_Curves/meltCurve_Q8TAF3_WDR48.pdf", "Melting_Curves/meltCurve_Q8TAF3_WDR48.pdf")</f>
        <v>Melting_Curves/meltCurve_Q8TAF3_WDR48.pdf</v>
      </c>
    </row>
    <row r="4654" spans="1:28" x14ac:dyDescent="0.25">
      <c r="A4654" t="s">
        <v>4658</v>
      </c>
      <c r="B4654">
        <v>0.99193492352474899</v>
      </c>
      <c r="C4654">
        <v>0.766021565690581</v>
      </c>
      <c r="D4654">
        <v>0.83113920563989596</v>
      </c>
      <c r="E4654">
        <v>0.63898813354661499</v>
      </c>
      <c r="F4654">
        <v>0.62823849166630896</v>
      </c>
      <c r="G4654">
        <v>0.46198585012101601</v>
      </c>
      <c r="H4654">
        <v>0.28242419105189998</v>
      </c>
      <c r="I4654">
        <v>0.19944741865388499</v>
      </c>
      <c r="J4654">
        <v>0.20689933140572001</v>
      </c>
      <c r="K4654">
        <v>0.155786817976935</v>
      </c>
      <c r="L4654">
        <v>408.80786139516903</v>
      </c>
      <c r="M4654">
        <v>7.4936391008757504</v>
      </c>
      <c r="N4654">
        <v>54.553983119765903</v>
      </c>
      <c r="O4654">
        <v>51.074269338071801</v>
      </c>
      <c r="P4654">
        <v>-3.6733020813584101E-2</v>
      </c>
      <c r="Q4654">
        <v>0</v>
      </c>
      <c r="R4654">
        <v>0.96141043595265097</v>
      </c>
      <c r="S4654" t="s">
        <v>11324</v>
      </c>
      <c r="T4654" t="s">
        <v>13338</v>
      </c>
      <c r="U4654" t="s">
        <v>13338</v>
      </c>
      <c r="V4654" t="s">
        <v>13338</v>
      </c>
      <c r="W4654" t="s">
        <v>17936</v>
      </c>
      <c r="X4654">
        <v>6</v>
      </c>
      <c r="Y4654" t="s">
        <v>24437</v>
      </c>
      <c r="Z4654" t="s">
        <v>31069</v>
      </c>
      <c r="AA4654">
        <v>0.51582944213118709</v>
      </c>
      <c r="AB4654" t="str">
        <f>HYPERLINK("Melting_Curves/meltCurve_Q8TAP6_CEP76.pdf", "Melting_Curves/meltCurve_Q8TAP6_CEP76.pdf")</f>
        <v>Melting_Curves/meltCurve_Q8TAP6_CEP76.pdf</v>
      </c>
    </row>
    <row r="4655" spans="1:28" x14ac:dyDescent="0.25">
      <c r="A4655" t="s">
        <v>4659</v>
      </c>
      <c r="B4655">
        <v>0.99193492352474899</v>
      </c>
      <c r="C4655">
        <v>0.92438221182527702</v>
      </c>
      <c r="D4655">
        <v>0.94422472189446005</v>
      </c>
      <c r="E4655">
        <v>0.80281408095120499</v>
      </c>
      <c r="F4655">
        <v>0.66581836311482301</v>
      </c>
      <c r="G4655">
        <v>0.38509852695278501</v>
      </c>
      <c r="H4655">
        <v>0.29980747945154101</v>
      </c>
      <c r="I4655">
        <v>0.31093528167489898</v>
      </c>
      <c r="J4655">
        <v>0.45347748522774201</v>
      </c>
      <c r="K4655">
        <v>0.39519163277770297</v>
      </c>
      <c r="L4655">
        <v>1139.0139871741301</v>
      </c>
      <c r="M4655">
        <v>21.916439360919099</v>
      </c>
      <c r="N4655">
        <v>55.024706852072804</v>
      </c>
      <c r="O4655">
        <v>51.543858870403199</v>
      </c>
      <c r="P4655">
        <v>-6.8899691078506797E-2</v>
      </c>
      <c r="Q4655">
        <v>0.351851486815138</v>
      </c>
      <c r="R4655">
        <v>0.95203092837734604</v>
      </c>
      <c r="S4655" t="s">
        <v>11325</v>
      </c>
      <c r="T4655" t="s">
        <v>13338</v>
      </c>
      <c r="U4655" t="s">
        <v>13338</v>
      </c>
      <c r="V4655" t="s">
        <v>13338</v>
      </c>
      <c r="W4655" t="s">
        <v>17937</v>
      </c>
      <c r="X4655">
        <v>1</v>
      </c>
      <c r="Y4655" t="s">
        <v>24438</v>
      </c>
      <c r="Z4655" t="s">
        <v>31070</v>
      </c>
      <c r="AA4655">
        <v>0.61806893749808145</v>
      </c>
      <c r="AB4655" t="str">
        <f>HYPERLINK("Melting_Curves/meltCurve_Q8TAP8_PPP1R35.pdf", "Melting_Curves/meltCurve_Q8TAP8_PPP1R35.pdf")</f>
        <v>Melting_Curves/meltCurve_Q8TAP8_PPP1R35.pdf</v>
      </c>
    </row>
    <row r="4656" spans="1:28" x14ac:dyDescent="0.25">
      <c r="A4656" t="s">
        <v>4660</v>
      </c>
      <c r="B4656">
        <v>0.99193492352474899</v>
      </c>
      <c r="C4656">
        <v>0.68726062826934198</v>
      </c>
      <c r="D4656">
        <v>0.51462585022763696</v>
      </c>
      <c r="E4656">
        <v>0.18763592560322701</v>
      </c>
      <c r="F4656">
        <v>0.12362198326596099</v>
      </c>
      <c r="G4656">
        <v>8.0658922800418906E-2</v>
      </c>
      <c r="H4656">
        <v>5.2701718659685502E-2</v>
      </c>
      <c r="I4656">
        <v>5.2394935919559397E-2</v>
      </c>
      <c r="J4656">
        <v>6.6361003920569803E-2</v>
      </c>
      <c r="K4656">
        <v>6.2224566437498699E-2</v>
      </c>
      <c r="L4656">
        <v>835.40109893677595</v>
      </c>
      <c r="M4656">
        <v>18.421107416480702</v>
      </c>
      <c r="N4656">
        <v>45.639085329589498</v>
      </c>
      <c r="O4656">
        <v>44.8259268675532</v>
      </c>
      <c r="P4656">
        <v>-9.7087797089502895E-2</v>
      </c>
      <c r="Q4656">
        <v>5.5029118312810599E-2</v>
      </c>
      <c r="R4656">
        <v>0.98739024573696899</v>
      </c>
      <c r="S4656" t="s">
        <v>11326</v>
      </c>
      <c r="T4656" t="s">
        <v>13338</v>
      </c>
      <c r="U4656" t="s">
        <v>13338</v>
      </c>
      <c r="V4656" t="s">
        <v>13338</v>
      </c>
      <c r="W4656" t="s">
        <v>17938</v>
      </c>
      <c r="X4656">
        <v>24</v>
      </c>
      <c r="Y4656" t="s">
        <v>24439</v>
      </c>
      <c r="Z4656" t="s">
        <v>31071</v>
      </c>
      <c r="AA4656">
        <v>0.24218976341748771</v>
      </c>
      <c r="AB4656" t="str">
        <f>HYPERLINK("Melting_Curves/meltCurve_Q8TAQ2_SMARCC2.pdf", "Melting_Curves/meltCurve_Q8TAQ2_SMARCC2.pdf")</f>
        <v>Melting_Curves/meltCurve_Q8TAQ2_SMARCC2.pdf</v>
      </c>
    </row>
    <row r="4657" spans="1:28" x14ac:dyDescent="0.25">
      <c r="A4657" t="s">
        <v>4661</v>
      </c>
      <c r="B4657">
        <v>0.99193492352474899</v>
      </c>
      <c r="C4657">
        <v>0.786080070434103</v>
      </c>
      <c r="D4657">
        <v>0.79889148988900105</v>
      </c>
      <c r="E4657">
        <v>0.57986142414487896</v>
      </c>
      <c r="F4657">
        <v>0.225586677939113</v>
      </c>
      <c r="G4657">
        <v>7.8563504509718204E-2</v>
      </c>
      <c r="H4657">
        <v>4.5323460034459799E-2</v>
      </c>
      <c r="I4657">
        <v>5.8388616355683598E-2</v>
      </c>
      <c r="J4657">
        <v>7.1252019664103203E-2</v>
      </c>
      <c r="K4657">
        <v>5.3335207019060499E-2</v>
      </c>
      <c r="L4657">
        <v>786.514471179515</v>
      </c>
      <c r="M4657">
        <v>15.8821797452743</v>
      </c>
      <c r="N4657">
        <v>49.654292752998998</v>
      </c>
      <c r="O4657">
        <v>48.756663772086597</v>
      </c>
      <c r="P4657">
        <v>-7.9753139467703502E-2</v>
      </c>
      <c r="Q4657">
        <v>2.0743227712913499E-2</v>
      </c>
      <c r="R4657">
        <v>0.97497299564570294</v>
      </c>
      <c r="S4657" t="s">
        <v>11327</v>
      </c>
      <c r="T4657" t="s">
        <v>13338</v>
      </c>
      <c r="U4657" t="s">
        <v>13338</v>
      </c>
      <c r="V4657" t="s">
        <v>13338</v>
      </c>
      <c r="W4657" t="s">
        <v>17939</v>
      </c>
      <c r="X4657">
        <v>21</v>
      </c>
      <c r="Y4657" t="s">
        <v>24440</v>
      </c>
      <c r="Z4657" t="s">
        <v>31072</v>
      </c>
      <c r="AA4657">
        <v>0.352901502578782</v>
      </c>
      <c r="AB4657" t="str">
        <f>HYPERLINK("Melting_Curves/meltCurve_Q8TAT6_NPLOC4.pdf", "Melting_Curves/meltCurve_Q8TAT6_NPLOC4.pdf")</f>
        <v>Melting_Curves/meltCurve_Q8TAT6_NPLOC4.pdf</v>
      </c>
    </row>
    <row r="4658" spans="1:28" x14ac:dyDescent="0.25">
      <c r="A4658" t="s">
        <v>4662</v>
      </c>
      <c r="B4658">
        <v>0.99193492352474899</v>
      </c>
      <c r="C4658">
        <v>0.64254710265164305</v>
      </c>
      <c r="D4658">
        <v>1.0859285400852501</v>
      </c>
      <c r="E4658">
        <v>0.63663741210406499</v>
      </c>
      <c r="F4658">
        <v>0.30810005066669199</v>
      </c>
      <c r="G4658">
        <v>0.14103665561757101</v>
      </c>
      <c r="H4658">
        <v>8.2925133786461894E-2</v>
      </c>
      <c r="I4658">
        <v>0.139793660793575</v>
      </c>
      <c r="J4658">
        <v>0.14949744426391201</v>
      </c>
      <c r="K4658">
        <v>0.109677110474592</v>
      </c>
      <c r="L4658">
        <v>1506.66880623473</v>
      </c>
      <c r="M4658">
        <v>29.84821982095</v>
      </c>
      <c r="N4658">
        <v>50.947585883914698</v>
      </c>
      <c r="O4658">
        <v>50.2527274054152</v>
      </c>
      <c r="P4658">
        <v>-0.130623797416802</v>
      </c>
      <c r="Q4658">
        <v>0.12032834110698599</v>
      </c>
      <c r="R4658">
        <v>0.88812543476229</v>
      </c>
      <c r="S4658" t="s">
        <v>11328</v>
      </c>
      <c r="T4658" t="s">
        <v>13338</v>
      </c>
      <c r="U4658" t="s">
        <v>13338</v>
      </c>
      <c r="V4658" t="s">
        <v>13338</v>
      </c>
      <c r="W4658" t="s">
        <v>17940</v>
      </c>
      <c r="X4658">
        <v>5</v>
      </c>
      <c r="Y4658" t="s">
        <v>24441</v>
      </c>
      <c r="Z4658" t="s">
        <v>31073</v>
      </c>
      <c r="AA4658">
        <v>0.4330987031747226</v>
      </c>
      <c r="AB4658" t="str">
        <f>HYPERLINK("Melting_Curves/meltCurve_Q8TAV0_FAM76A.pdf", "Melting_Curves/meltCurve_Q8TAV0_FAM76A.pdf")</f>
        <v>Melting_Curves/meltCurve_Q8TAV0_FAM76A.pdf</v>
      </c>
    </row>
    <row r="4659" spans="1:28" x14ac:dyDescent="0.25">
      <c r="A4659" t="s">
        <v>4663</v>
      </c>
      <c r="B4659">
        <v>0.99193492352474899</v>
      </c>
      <c r="C4659">
        <v>1.1082234728899401</v>
      </c>
      <c r="D4659">
        <v>1.14160286724425</v>
      </c>
      <c r="E4659">
        <v>0.62791788311804597</v>
      </c>
      <c r="F4659">
        <v>3.63348233683723</v>
      </c>
      <c r="G4659">
        <v>0.32977091392811297</v>
      </c>
      <c r="H4659">
        <v>0.17402882237167</v>
      </c>
      <c r="I4659">
        <v>0.29101750711297503</v>
      </c>
      <c r="J4659">
        <v>0.35186390374777499</v>
      </c>
      <c r="K4659">
        <v>0.28949298035202398</v>
      </c>
      <c r="L4659">
        <v>14056.1001350398</v>
      </c>
      <c r="M4659">
        <v>250</v>
      </c>
      <c r="N4659">
        <v>56.406160576648901</v>
      </c>
      <c r="O4659">
        <v>56.220802258343099</v>
      </c>
      <c r="P4659">
        <v>-0.80420094400169095</v>
      </c>
      <c r="Q4659">
        <v>0.27659484109702098</v>
      </c>
      <c r="R4659">
        <v>0.25438971843375902</v>
      </c>
      <c r="S4659" t="s">
        <v>11329</v>
      </c>
      <c r="T4659" t="s">
        <v>13338</v>
      </c>
      <c r="U4659" t="s">
        <v>13338</v>
      </c>
      <c r="V4659" t="s">
        <v>13338</v>
      </c>
      <c r="W4659" t="s">
        <v>17941</v>
      </c>
      <c r="X4659">
        <v>1</v>
      </c>
      <c r="Y4659" t="s">
        <v>24442</v>
      </c>
      <c r="Z4659" t="s">
        <v>31074</v>
      </c>
      <c r="AA4659">
        <v>0.66789338997855974</v>
      </c>
      <c r="AB4659" t="str">
        <f>HYPERLINK("Melting_Curves/meltCurve_Q8TAY7_FAM110D.pdf", "Melting_Curves/meltCurve_Q8TAY7_FAM110D.pdf")</f>
        <v>Melting_Curves/meltCurve_Q8TAY7_FAM110D.pdf</v>
      </c>
    </row>
    <row r="4660" spans="1:28" x14ac:dyDescent="0.25">
      <c r="A4660" t="s">
        <v>4664</v>
      </c>
      <c r="B4660">
        <v>0.99193492352474899</v>
      </c>
      <c r="C4660">
        <v>0.70773818424871004</v>
      </c>
      <c r="D4660">
        <v>0.95084608748212396</v>
      </c>
      <c r="E4660">
        <v>0.58557769079157596</v>
      </c>
      <c r="F4660">
        <v>0.213178627649695</v>
      </c>
      <c r="G4660">
        <v>0.114762260429396</v>
      </c>
      <c r="H4660">
        <v>7.0080970250241695E-2</v>
      </c>
      <c r="I4660">
        <v>7.9802221741158294E-2</v>
      </c>
      <c r="J4660">
        <v>8.4676230666659205E-2</v>
      </c>
      <c r="K4660">
        <v>6.4489998189938502E-2</v>
      </c>
      <c r="L4660">
        <v>1147.5957391878401</v>
      </c>
      <c r="M4660">
        <v>22.982806312576301</v>
      </c>
      <c r="N4660">
        <v>50.2293764765896</v>
      </c>
      <c r="O4660">
        <v>49.559393942452303</v>
      </c>
      <c r="P4660">
        <v>-0.108581754199536</v>
      </c>
      <c r="Q4660">
        <v>6.3449051416983704E-2</v>
      </c>
      <c r="R4660">
        <v>0.93951688018595103</v>
      </c>
      <c r="S4660" t="s">
        <v>11330</v>
      </c>
      <c r="T4660" t="s">
        <v>13338</v>
      </c>
      <c r="U4660" t="s">
        <v>13338</v>
      </c>
      <c r="V4660" t="s">
        <v>13338</v>
      </c>
      <c r="W4660" t="s">
        <v>17942</v>
      </c>
      <c r="X4660">
        <v>7</v>
      </c>
      <c r="Y4660" t="s">
        <v>24443</v>
      </c>
      <c r="Z4660" t="s">
        <v>31075</v>
      </c>
      <c r="AA4660">
        <v>0.38343844524065512</v>
      </c>
      <c r="AB4660" t="str">
        <f>HYPERLINK("Melting_Curves/meltCurve_Q8TB03_CXorf38.pdf", "Melting_Curves/meltCurve_Q8TB03_CXorf38.pdf")</f>
        <v>Melting_Curves/meltCurve_Q8TB03_CXorf38.pdf</v>
      </c>
    </row>
    <row r="4661" spans="1:28" x14ac:dyDescent="0.25">
      <c r="A4661" t="s">
        <v>4665</v>
      </c>
      <c r="B4661">
        <v>0.99193492352474899</v>
      </c>
      <c r="C4661">
        <v>0.871484511649393</v>
      </c>
      <c r="D4661">
        <v>1.0301445620519101</v>
      </c>
      <c r="E4661">
        <v>0.77993687647986798</v>
      </c>
      <c r="F4661">
        <v>0.56712737021268</v>
      </c>
      <c r="G4661">
        <v>0.25189259481279802</v>
      </c>
      <c r="H4661">
        <v>5.4026905035231998E-2</v>
      </c>
      <c r="I4661">
        <v>6.7259701821899595E-2</v>
      </c>
      <c r="J4661">
        <v>8.1336236567712494E-2</v>
      </c>
      <c r="K4661">
        <v>7.8321514073386403E-2</v>
      </c>
      <c r="L4661">
        <v>1110.6822165076601</v>
      </c>
      <c r="M4661">
        <v>20.849896323378101</v>
      </c>
      <c r="N4661">
        <v>53.515566909800498</v>
      </c>
      <c r="O4661">
        <v>52.787621477095399</v>
      </c>
      <c r="P4661">
        <v>-9.4249061899600806E-2</v>
      </c>
      <c r="Q4661">
        <v>4.5549894511320299E-2</v>
      </c>
      <c r="R4661">
        <v>0.98182713901655305</v>
      </c>
      <c r="S4661" t="s">
        <v>11331</v>
      </c>
      <c r="T4661" t="s">
        <v>13338</v>
      </c>
      <c r="U4661" t="s">
        <v>13338</v>
      </c>
      <c r="V4661" t="s">
        <v>13338</v>
      </c>
      <c r="W4661" t="s">
        <v>17943</v>
      </c>
      <c r="X4661">
        <v>11</v>
      </c>
      <c r="Y4661" t="s">
        <v>24444</v>
      </c>
      <c r="Z4661" t="s">
        <v>31076</v>
      </c>
      <c r="AA4661">
        <v>0.47994630173494901</v>
      </c>
      <c r="AB4661" t="str">
        <f>HYPERLINK("Melting_Curves/meltCurve_Q8TB36_GDAP1.pdf", "Melting_Curves/meltCurve_Q8TB36_GDAP1.pdf")</f>
        <v>Melting_Curves/meltCurve_Q8TB36_GDAP1.pdf</v>
      </c>
    </row>
    <row r="4662" spans="1:28" x14ac:dyDescent="0.25">
      <c r="A4662" t="s">
        <v>4666</v>
      </c>
      <c r="B4662">
        <v>0.99193492352474899</v>
      </c>
      <c r="C4662">
        <v>1.0742054236652701</v>
      </c>
      <c r="D4662">
        <v>0.92466713079727103</v>
      </c>
      <c r="E4662">
        <v>0.93284896225966696</v>
      </c>
      <c r="F4662">
        <v>0.69535368338497805</v>
      </c>
      <c r="G4662">
        <v>0.46816192316696997</v>
      </c>
      <c r="H4662">
        <v>0.120332237071436</v>
      </c>
      <c r="I4662">
        <v>9.5338679415460301E-2</v>
      </c>
      <c r="J4662">
        <v>9.3130772567050102E-2</v>
      </c>
      <c r="K4662">
        <v>9.8487940738959598E-2</v>
      </c>
      <c r="L4662">
        <v>1165.3810367605399</v>
      </c>
      <c r="M4662">
        <v>21.0281926338305</v>
      </c>
      <c r="N4662">
        <v>55.741258728166002</v>
      </c>
      <c r="O4662">
        <v>54.926035229827797</v>
      </c>
      <c r="P4662">
        <v>-9.0250320172906198E-2</v>
      </c>
      <c r="Q4662">
        <v>5.70830354958929E-2</v>
      </c>
      <c r="R4662">
        <v>0.98788598985593201</v>
      </c>
      <c r="S4662" t="s">
        <v>11332</v>
      </c>
      <c r="T4662" t="s">
        <v>13338</v>
      </c>
      <c r="U4662" t="s">
        <v>13338</v>
      </c>
      <c r="V4662" t="s">
        <v>13338</v>
      </c>
      <c r="W4662" t="s">
        <v>17944</v>
      </c>
      <c r="X4662">
        <v>5</v>
      </c>
      <c r="Y4662" t="s">
        <v>24445</v>
      </c>
      <c r="Z4662" t="s">
        <v>31077</v>
      </c>
      <c r="AA4662">
        <v>0.55325827807036554</v>
      </c>
      <c r="AB4662" t="str">
        <f>HYPERLINK("Melting_Curves/meltCurve_Q8TB37_NUBPL.pdf", "Melting_Curves/meltCurve_Q8TB37_NUBPL.pdf")</f>
        <v>Melting_Curves/meltCurve_Q8TB37_NUBPL.pdf</v>
      </c>
    </row>
    <row r="4663" spans="1:28" x14ac:dyDescent="0.25">
      <c r="A4663" t="s">
        <v>4667</v>
      </c>
      <c r="B4663">
        <v>0.99193492352474899</v>
      </c>
      <c r="C4663">
        <v>1.1512486823844399</v>
      </c>
      <c r="D4663">
        <v>1.2396316863794701</v>
      </c>
      <c r="E4663">
        <v>1.2115042766439701</v>
      </c>
      <c r="F4663">
        <v>1.0594716231032</v>
      </c>
      <c r="G4663">
        <v>0.77200982054155398</v>
      </c>
      <c r="H4663">
        <v>0.443174810441824</v>
      </c>
      <c r="I4663">
        <v>0.17435139854491899</v>
      </c>
      <c r="J4663">
        <v>0.15511659664262201</v>
      </c>
      <c r="K4663">
        <v>0.16917769634538601</v>
      </c>
      <c r="L4663">
        <v>1871.6009480197899</v>
      </c>
      <c r="M4663">
        <v>31.608582761499701</v>
      </c>
      <c r="N4663">
        <v>59.8373243391366</v>
      </c>
      <c r="O4663">
        <v>58.9763077302634</v>
      </c>
      <c r="P4663">
        <v>-0.115138084372016</v>
      </c>
      <c r="Q4663">
        <v>0.140691252343743</v>
      </c>
      <c r="R4663">
        <v>0.92614022866955004</v>
      </c>
      <c r="S4663" t="s">
        <v>11333</v>
      </c>
      <c r="T4663" t="s">
        <v>13338</v>
      </c>
      <c r="U4663" t="s">
        <v>13338</v>
      </c>
      <c r="V4663" t="s">
        <v>13338</v>
      </c>
      <c r="W4663" t="s">
        <v>17945</v>
      </c>
      <c r="X4663">
        <v>9</v>
      </c>
      <c r="Y4663" t="s">
        <v>24446</v>
      </c>
      <c r="Z4663" t="s">
        <v>31078</v>
      </c>
      <c r="AA4663">
        <v>0.69603025256005702</v>
      </c>
      <c r="AB4663" t="str">
        <f>HYPERLINK("Melting_Curves/meltCurve_Q8TB61_3_SLC35B2.pdf", "Melting_Curves/meltCurve_Q8TB61_3_SLC35B2.pdf")</f>
        <v>Melting_Curves/meltCurve_Q8TB61_3_SLC35B2.pdf</v>
      </c>
    </row>
    <row r="4664" spans="1:28" x14ac:dyDescent="0.25">
      <c r="A4664" t="s">
        <v>4668</v>
      </c>
      <c r="B4664">
        <v>0.99193492352474899</v>
      </c>
      <c r="C4664">
        <v>0.87210214127139096</v>
      </c>
      <c r="D4664">
        <v>0.85402492343328296</v>
      </c>
      <c r="E4664">
        <v>0.59714592184902504</v>
      </c>
      <c r="F4664">
        <v>0.22735633467008201</v>
      </c>
      <c r="G4664">
        <v>0.101124520902014</v>
      </c>
      <c r="H4664">
        <v>6.9983073235729595E-2</v>
      </c>
      <c r="I4664">
        <v>9.4605191922369894E-2</v>
      </c>
      <c r="J4664">
        <v>0.11784199637371399</v>
      </c>
      <c r="K4664">
        <v>0.13441235729529</v>
      </c>
      <c r="L4664">
        <v>1117.6356845978701</v>
      </c>
      <c r="M4664">
        <v>22.4989066658955</v>
      </c>
      <c r="N4664">
        <v>50.1051328190511</v>
      </c>
      <c r="O4664">
        <v>49.287670591000001</v>
      </c>
      <c r="P4664">
        <v>-0.10410302167195799</v>
      </c>
      <c r="Q4664">
        <v>8.7797338953200799E-2</v>
      </c>
      <c r="R4664">
        <v>0.98531092257366903</v>
      </c>
      <c r="S4664" t="s">
        <v>11334</v>
      </c>
      <c r="T4664" t="s">
        <v>13338</v>
      </c>
      <c r="U4664" t="s">
        <v>13338</v>
      </c>
      <c r="V4664" t="s">
        <v>13338</v>
      </c>
      <c r="W4664" t="s">
        <v>17946</v>
      </c>
      <c r="X4664">
        <v>17</v>
      </c>
      <c r="Y4664" t="s">
        <v>24447</v>
      </c>
      <c r="Z4664" t="s">
        <v>31079</v>
      </c>
      <c r="AA4664">
        <v>0.39204100073781167</v>
      </c>
      <c r="AB4664" t="str">
        <f>HYPERLINK("Melting_Curves/meltCurve_Q8TB72_3_PUM2.pdf", "Melting_Curves/meltCurve_Q8TB72_3_PUM2.pdf")</f>
        <v>Melting_Curves/meltCurve_Q8TB72_3_PUM2.pdf</v>
      </c>
    </row>
    <row r="4665" spans="1:28" x14ac:dyDescent="0.25">
      <c r="A4665" t="s">
        <v>4669</v>
      </c>
      <c r="B4665">
        <v>0.99193492352474899</v>
      </c>
      <c r="C4665">
        <v>0.67587842511621798</v>
      </c>
      <c r="D4665">
        <v>0.65292640970823601</v>
      </c>
      <c r="E4665">
        <v>0.47867202244969398</v>
      </c>
      <c r="F4665">
        <v>0.38642640486558899</v>
      </c>
      <c r="G4665">
        <v>0.285693806801536</v>
      </c>
      <c r="H4665">
        <v>0.192406916405579</v>
      </c>
      <c r="I4665">
        <v>0.193632729553121</v>
      </c>
      <c r="J4665">
        <v>0.24522242515072901</v>
      </c>
      <c r="K4665">
        <v>0.32602095819544302</v>
      </c>
      <c r="L4665">
        <v>568.88195805128203</v>
      </c>
      <c r="M4665">
        <v>12.306170029076</v>
      </c>
      <c r="N4665">
        <v>48.578996855421799</v>
      </c>
      <c r="O4665">
        <v>45.057570561718599</v>
      </c>
      <c r="P4665">
        <v>-5.29686152056415E-2</v>
      </c>
      <c r="Q4665">
        <v>0.224416964763647</v>
      </c>
      <c r="R4665">
        <v>0.93616019269782302</v>
      </c>
      <c r="S4665" t="s">
        <v>11335</v>
      </c>
      <c r="T4665" t="s">
        <v>13338</v>
      </c>
      <c r="U4665" t="s">
        <v>13338</v>
      </c>
      <c r="V4665" t="s">
        <v>13338</v>
      </c>
      <c r="W4665" t="s">
        <v>17947</v>
      </c>
      <c r="X4665">
        <v>2</v>
      </c>
      <c r="Y4665" t="s">
        <v>24448</v>
      </c>
      <c r="Z4665" t="s">
        <v>31080</v>
      </c>
      <c r="AA4665">
        <v>0.41843189726406671</v>
      </c>
      <c r="AB4665" t="str">
        <f>HYPERLINK("Melting_Curves/meltCurve_Q8TB96_ITFG1.pdf", "Melting_Curves/meltCurve_Q8TB96_ITFG1.pdf")</f>
        <v>Melting_Curves/meltCurve_Q8TB96_ITFG1.pdf</v>
      </c>
    </row>
    <row r="4666" spans="1:28" x14ac:dyDescent="0.25">
      <c r="A4666" t="s">
        <v>4670</v>
      </c>
      <c r="B4666">
        <v>0.99193492352474899</v>
      </c>
      <c r="C4666">
        <v>0.918381744713061</v>
      </c>
      <c r="D4666">
        <v>0.81113018843005802</v>
      </c>
      <c r="E4666">
        <v>0.54768368131480105</v>
      </c>
      <c r="F4666">
        <v>0.29536530468503103</v>
      </c>
      <c r="G4666">
        <v>0.18008328218889999</v>
      </c>
      <c r="H4666">
        <v>0.123982699936441</v>
      </c>
      <c r="I4666">
        <v>0.16485849360562699</v>
      </c>
      <c r="J4666">
        <v>0.18869483255265901</v>
      </c>
      <c r="K4666">
        <v>0.21188082915522199</v>
      </c>
      <c r="L4666">
        <v>983.79945228953</v>
      </c>
      <c r="M4666">
        <v>20.1048990596151</v>
      </c>
      <c r="N4666">
        <v>49.891222164131001</v>
      </c>
      <c r="O4666">
        <v>48.456918416349097</v>
      </c>
      <c r="P4666">
        <v>-8.7120079259872293E-2</v>
      </c>
      <c r="Q4666">
        <v>0.160117965554578</v>
      </c>
      <c r="R4666">
        <v>0.99196375426615802</v>
      </c>
      <c r="S4666" t="s">
        <v>11336</v>
      </c>
      <c r="T4666" t="s">
        <v>13338</v>
      </c>
      <c r="U4666" t="s">
        <v>13338</v>
      </c>
      <c r="V4666" t="s">
        <v>13338</v>
      </c>
      <c r="W4666" t="s">
        <v>17948</v>
      </c>
      <c r="X4666">
        <v>25</v>
      </c>
      <c r="Y4666" t="s">
        <v>24449</v>
      </c>
      <c r="Z4666" t="s">
        <v>31081</v>
      </c>
      <c r="AA4666">
        <v>0.4218632425940444</v>
      </c>
      <c r="AB4666" t="str">
        <f>HYPERLINK("Melting_Curves/meltCurve_Q8TBA6_2_GOLGA5.pdf", "Melting_Curves/meltCurve_Q8TBA6_2_GOLGA5.pdf")</f>
        <v>Melting_Curves/meltCurve_Q8TBA6_2_GOLGA5.pdf</v>
      </c>
    </row>
    <row r="4667" spans="1:28" x14ac:dyDescent="0.25">
      <c r="A4667" t="s">
        <v>4671</v>
      </c>
      <c r="B4667">
        <v>0.99193492352474899</v>
      </c>
      <c r="C4667">
        <v>0.78507696358815304</v>
      </c>
      <c r="D4667">
        <v>0.91876389155005</v>
      </c>
      <c r="E4667">
        <v>0.53304369640666505</v>
      </c>
      <c r="F4667">
        <v>0.29295678340088999</v>
      </c>
      <c r="G4667">
        <v>0.22408744128938099</v>
      </c>
      <c r="H4667">
        <v>0.11451081613234899</v>
      </c>
      <c r="I4667">
        <v>9.43205035088968E-2</v>
      </c>
      <c r="J4667">
        <v>8.9734600418106006E-2</v>
      </c>
      <c r="K4667">
        <v>9.7890357657797397E-2</v>
      </c>
      <c r="L4667">
        <v>800.76290414296204</v>
      </c>
      <c r="M4667">
        <v>16.068770112635001</v>
      </c>
      <c r="N4667">
        <v>50.360455099344797</v>
      </c>
      <c r="O4667">
        <v>49.080850620719502</v>
      </c>
      <c r="P4667">
        <v>-7.5520634902741399E-2</v>
      </c>
      <c r="Q4667">
        <v>7.7382740777367898E-2</v>
      </c>
      <c r="R4667">
        <v>0.96807268124812096</v>
      </c>
      <c r="S4667" t="s">
        <v>11337</v>
      </c>
      <c r="T4667" t="s">
        <v>13338</v>
      </c>
      <c r="U4667" t="s">
        <v>13338</v>
      </c>
      <c r="V4667" t="s">
        <v>13338</v>
      </c>
      <c r="W4667" t="s">
        <v>17949</v>
      </c>
      <c r="X4667">
        <v>9</v>
      </c>
      <c r="Y4667" t="s">
        <v>24450</v>
      </c>
      <c r="Z4667" t="s">
        <v>31082</v>
      </c>
      <c r="AA4667">
        <v>0.39932112458193092</v>
      </c>
      <c r="AB4667" t="str">
        <f>HYPERLINK("Melting_Curves/meltCurve_Q8TBB5_3_KLHDC4.pdf", "Melting_Curves/meltCurve_Q8TBB5_3_KLHDC4.pdf")</f>
        <v>Melting_Curves/meltCurve_Q8TBB5_3_KLHDC4.pdf</v>
      </c>
    </row>
    <row r="4668" spans="1:28" x14ac:dyDescent="0.25">
      <c r="A4668" t="s">
        <v>4672</v>
      </c>
      <c r="B4668">
        <v>0.99193492352474899</v>
      </c>
      <c r="C4668">
        <v>0.96331650295261595</v>
      </c>
      <c r="D4668">
        <v>0.89289794580760795</v>
      </c>
      <c r="E4668">
        <v>0.61927554043111699</v>
      </c>
      <c r="F4668">
        <v>0.20646083696570899</v>
      </c>
      <c r="G4668">
        <v>0.12306249975423</v>
      </c>
      <c r="H4668">
        <v>6.90943053688758E-2</v>
      </c>
      <c r="I4668">
        <v>7.1313805500912306E-2</v>
      </c>
      <c r="J4668">
        <v>7.9944871050387598E-2</v>
      </c>
      <c r="K4668">
        <v>9.1743763084605398E-2</v>
      </c>
      <c r="L4668">
        <v>1340.5070682119101</v>
      </c>
      <c r="M4668">
        <v>26.773601644632599</v>
      </c>
      <c r="N4668">
        <v>50.370618572597202</v>
      </c>
      <c r="O4668">
        <v>49.791419457851198</v>
      </c>
      <c r="P4668">
        <v>-0.124450561433834</v>
      </c>
      <c r="Q4668">
        <v>7.42363522359962E-2</v>
      </c>
      <c r="R4668">
        <v>0.99768756027219996</v>
      </c>
      <c r="S4668" t="s">
        <v>11338</v>
      </c>
      <c r="T4668" t="s">
        <v>13338</v>
      </c>
      <c r="U4668" t="s">
        <v>13338</v>
      </c>
      <c r="V4668" t="s">
        <v>13338</v>
      </c>
      <c r="W4668" t="s">
        <v>17950</v>
      </c>
      <c r="X4668">
        <v>14</v>
      </c>
      <c r="Y4668" t="s">
        <v>24451</v>
      </c>
      <c r="Z4668" t="s">
        <v>31083</v>
      </c>
      <c r="AA4668">
        <v>0.3921432787795987</v>
      </c>
      <c r="AB4668" t="str">
        <f>HYPERLINK("Melting_Curves/meltCurve_Q8TBC4_UBA3.pdf", "Melting_Curves/meltCurve_Q8TBC4_UBA3.pdf")</f>
        <v>Melting_Curves/meltCurve_Q8TBC4_UBA3.pdf</v>
      </c>
    </row>
    <row r="4669" spans="1:28" x14ac:dyDescent="0.25">
      <c r="A4669" t="s">
        <v>4673</v>
      </c>
      <c r="B4669">
        <v>0.99193492352474899</v>
      </c>
      <c r="C4669">
        <v>1.1149531326283899</v>
      </c>
      <c r="D4669">
        <v>0.86457959659498196</v>
      </c>
      <c r="E4669">
        <v>0.80230895872722696</v>
      </c>
      <c r="F4669">
        <v>0.424373724432902</v>
      </c>
      <c r="G4669">
        <v>0.17553979323652499</v>
      </c>
      <c r="H4669">
        <v>9.7055961144322703E-2</v>
      </c>
      <c r="I4669">
        <v>9.6913296454420095E-2</v>
      </c>
      <c r="J4669">
        <v>9.3191184329223895E-2</v>
      </c>
      <c r="K4669">
        <v>6.7276367767667905E-2</v>
      </c>
      <c r="L4669">
        <v>1209.7408953468801</v>
      </c>
      <c r="M4669">
        <v>23.239620569778101</v>
      </c>
      <c r="N4669">
        <v>52.414125073394999</v>
      </c>
      <c r="O4669">
        <v>51.674238132051102</v>
      </c>
      <c r="P4669">
        <v>-0.104162327946366</v>
      </c>
      <c r="Q4669">
        <v>7.3579597292635399E-2</v>
      </c>
      <c r="R4669">
        <v>0.98466762897286797</v>
      </c>
      <c r="S4669" t="s">
        <v>11339</v>
      </c>
      <c r="T4669" t="s">
        <v>13338</v>
      </c>
      <c r="U4669" t="s">
        <v>13338</v>
      </c>
      <c r="V4669" t="s">
        <v>13338</v>
      </c>
      <c r="W4669" t="s">
        <v>17951</v>
      </c>
      <c r="X4669">
        <v>6</v>
      </c>
      <c r="Y4669" t="s">
        <v>24452</v>
      </c>
      <c r="Z4669" t="s">
        <v>31084</v>
      </c>
      <c r="AA4669">
        <v>0.4555739689970088</v>
      </c>
      <c r="AB4669" t="str">
        <f>HYPERLINK("Melting_Curves/meltCurve_Q8TBE9_NANP.pdf", "Melting_Curves/meltCurve_Q8TBE9_NANP.pdf")</f>
        <v>Melting_Curves/meltCurve_Q8TBE9_NANP.pdf</v>
      </c>
    </row>
    <row r="4670" spans="1:28" x14ac:dyDescent="0.25">
      <c r="A4670" t="s">
        <v>4674</v>
      </c>
      <c r="B4670">
        <v>0.99193492352474899</v>
      </c>
      <c r="C4670">
        <v>0.60977090583688698</v>
      </c>
      <c r="D4670">
        <v>0.71857301266736195</v>
      </c>
      <c r="E4670">
        <v>0.472122310261121</v>
      </c>
      <c r="F4670">
        <v>0.366417481187643</v>
      </c>
      <c r="G4670">
        <v>0.25587634587117303</v>
      </c>
      <c r="H4670">
        <v>0.19210375670093999</v>
      </c>
      <c r="I4670">
        <v>0.18799953315426801</v>
      </c>
      <c r="J4670">
        <v>0.19884446068428199</v>
      </c>
      <c r="K4670">
        <v>0.22603761309683601</v>
      </c>
      <c r="L4670">
        <v>496.39112864910999</v>
      </c>
      <c r="M4670">
        <v>10.5460987583846</v>
      </c>
      <c r="N4670">
        <v>48.828227120241998</v>
      </c>
      <c r="O4670">
        <v>45.470818430818902</v>
      </c>
      <c r="P4670">
        <v>-4.8836235070383198E-2</v>
      </c>
      <c r="Q4670">
        <v>0.158079785980583</v>
      </c>
      <c r="R4670">
        <v>0.92431760125116702</v>
      </c>
      <c r="S4670" t="s">
        <v>11340</v>
      </c>
      <c r="T4670" t="s">
        <v>13338</v>
      </c>
      <c r="U4670" t="s">
        <v>13338</v>
      </c>
      <c r="V4670" t="s">
        <v>13338</v>
      </c>
      <c r="W4670" t="s">
        <v>17952</v>
      </c>
      <c r="X4670">
        <v>2</v>
      </c>
      <c r="Y4670" t="s">
        <v>24453</v>
      </c>
      <c r="Z4670" t="s">
        <v>31085</v>
      </c>
      <c r="AA4670">
        <v>0.40053675517691462</v>
      </c>
      <c r="AB4670" t="str">
        <f>HYPERLINK("Melting_Curves/meltCurve_Q8TBF4_ZCRB1.pdf", "Melting_Curves/meltCurve_Q8TBF4_ZCRB1.pdf")</f>
        <v>Melting_Curves/meltCurve_Q8TBF4_ZCRB1.pdf</v>
      </c>
    </row>
    <row r="4671" spans="1:28" x14ac:dyDescent="0.25">
      <c r="A4671" t="s">
        <v>4675</v>
      </c>
      <c r="B4671">
        <v>0.99193492352474899</v>
      </c>
      <c r="C4671">
        <v>0.99506246264273102</v>
      </c>
      <c r="D4671">
        <v>0.98531445990355504</v>
      </c>
      <c r="E4671">
        <v>0.74501139387045101</v>
      </c>
      <c r="F4671">
        <v>0.46671146751230602</v>
      </c>
      <c r="G4671">
        <v>0.28987561754522301</v>
      </c>
      <c r="H4671">
        <v>0.18573359782687901</v>
      </c>
      <c r="I4671">
        <v>0.196735313376771</v>
      </c>
      <c r="J4671">
        <v>0.208387168237818</v>
      </c>
      <c r="K4671">
        <v>0.18666534678244101</v>
      </c>
      <c r="L4671">
        <v>1170.6869014249401</v>
      </c>
      <c r="M4671">
        <v>22.697744613782199</v>
      </c>
      <c r="N4671">
        <v>52.667590230712001</v>
      </c>
      <c r="O4671">
        <v>51.181889534395701</v>
      </c>
      <c r="P4671">
        <v>-9.0085438677721605E-2</v>
      </c>
      <c r="Q4671">
        <v>0.18746962036811701</v>
      </c>
      <c r="R4671">
        <v>0.99757722986584296</v>
      </c>
      <c r="S4671" t="s">
        <v>11341</v>
      </c>
      <c r="T4671" t="s">
        <v>13338</v>
      </c>
      <c r="U4671" t="s">
        <v>13338</v>
      </c>
      <c r="V4671" t="s">
        <v>13338</v>
      </c>
      <c r="W4671" t="s">
        <v>17953</v>
      </c>
      <c r="X4671">
        <v>4</v>
      </c>
      <c r="Y4671" t="s">
        <v>24454</v>
      </c>
      <c r="Z4671" t="s">
        <v>31086</v>
      </c>
      <c r="AA4671">
        <v>0.50992532407242019</v>
      </c>
      <c r="AB4671" t="str">
        <f>HYPERLINK("Melting_Curves/meltCurve_Q8TBM8_DNAJB14.pdf", "Melting_Curves/meltCurve_Q8TBM8_DNAJB14.pdf")</f>
        <v>Melting_Curves/meltCurve_Q8TBM8_DNAJB14.pdf</v>
      </c>
    </row>
    <row r="4672" spans="1:28" x14ac:dyDescent="0.25">
      <c r="A4672" t="s">
        <v>4676</v>
      </c>
      <c r="B4672">
        <v>0.99193492352474899</v>
      </c>
      <c r="C4672">
        <v>1.14769317291886</v>
      </c>
      <c r="D4672">
        <v>0.86393508018357601</v>
      </c>
      <c r="E4672">
        <v>0.85532344100941404</v>
      </c>
      <c r="F4672">
        <v>0.280857215630194</v>
      </c>
      <c r="G4672">
        <v>0.142832432779402</v>
      </c>
      <c r="H4672">
        <v>9.1064293356190401E-2</v>
      </c>
      <c r="I4672">
        <v>0.12163328679817199</v>
      </c>
      <c r="J4672">
        <v>0.13306354394888101</v>
      </c>
      <c r="K4672">
        <v>0.17117655896821099</v>
      </c>
      <c r="L4672">
        <v>2222.61412428628</v>
      </c>
      <c r="M4672">
        <v>43.286759719086099</v>
      </c>
      <c r="N4672">
        <v>51.700678915961902</v>
      </c>
      <c r="O4672">
        <v>51.237060716941201</v>
      </c>
      <c r="P4672">
        <v>-0.18409604147494801</v>
      </c>
      <c r="Q4672">
        <v>0.12836856349766901</v>
      </c>
      <c r="R4672">
        <v>0.97418509904138695</v>
      </c>
      <c r="S4672" t="s">
        <v>11342</v>
      </c>
      <c r="T4672" t="s">
        <v>13338</v>
      </c>
      <c r="U4672" t="s">
        <v>13338</v>
      </c>
      <c r="V4672" t="s">
        <v>13338</v>
      </c>
      <c r="W4672" t="s">
        <v>17954</v>
      </c>
      <c r="X4672">
        <v>2</v>
      </c>
      <c r="Y4672" t="s">
        <v>24455</v>
      </c>
      <c r="Z4672" t="s">
        <v>31087</v>
      </c>
      <c r="AA4672">
        <v>0.46066612821380709</v>
      </c>
      <c r="AB4672" t="str">
        <f>HYPERLINK("Melting_Curves/meltCurve_Q8TBN0_RAB3IL1.pdf", "Melting_Curves/meltCurve_Q8TBN0_RAB3IL1.pdf")</f>
        <v>Melting_Curves/meltCurve_Q8TBN0_RAB3IL1.pdf</v>
      </c>
    </row>
    <row r="4673" spans="1:28" x14ac:dyDescent="0.25">
      <c r="A4673" t="s">
        <v>4677</v>
      </c>
      <c r="B4673">
        <v>0.99193492352474899</v>
      </c>
      <c r="C4673">
        <v>0.96848849054194697</v>
      </c>
      <c r="D4673">
        <v>1.1746019481063701</v>
      </c>
      <c r="E4673">
        <v>0.96718842896505097</v>
      </c>
      <c r="F4673">
        <v>0.82607427797375499</v>
      </c>
      <c r="G4673">
        <v>0.60739818322691197</v>
      </c>
      <c r="H4673">
        <v>0.30424851825689297</v>
      </c>
      <c r="I4673">
        <v>0.159022927368585</v>
      </c>
      <c r="J4673">
        <v>0.14094782671456099</v>
      </c>
      <c r="K4673">
        <v>0.105348569120212</v>
      </c>
      <c r="L4673">
        <v>1218.66640752751</v>
      </c>
      <c r="M4673">
        <v>21.236385045111799</v>
      </c>
      <c r="N4673">
        <v>57.907963967120601</v>
      </c>
      <c r="O4673">
        <v>56.884202832921098</v>
      </c>
      <c r="P4673">
        <v>-8.5200873597457399E-2</v>
      </c>
      <c r="Q4673">
        <v>8.7140631719841793E-2</v>
      </c>
      <c r="R4673">
        <v>0.97733854467597203</v>
      </c>
      <c r="S4673" t="s">
        <v>11343</v>
      </c>
      <c r="T4673" t="s">
        <v>13338</v>
      </c>
      <c r="U4673" t="s">
        <v>13338</v>
      </c>
      <c r="V4673" t="s">
        <v>13338</v>
      </c>
      <c r="W4673" t="s">
        <v>17955</v>
      </c>
      <c r="X4673">
        <v>3</v>
      </c>
      <c r="Y4673" t="s">
        <v>24456</v>
      </c>
      <c r="Z4673" t="s">
        <v>31088</v>
      </c>
      <c r="AA4673">
        <v>0.62631900951607555</v>
      </c>
      <c r="AB4673" t="str">
        <f>HYPERLINK("Melting_Curves/meltCurve_Q8TBP6_SLC25A40.pdf", "Melting_Curves/meltCurve_Q8TBP6_SLC25A40.pdf")</f>
        <v>Melting_Curves/meltCurve_Q8TBP6_SLC25A40.pdf</v>
      </c>
    </row>
    <row r="4674" spans="1:28" x14ac:dyDescent="0.25">
      <c r="A4674" t="s">
        <v>4678</v>
      </c>
      <c r="B4674">
        <v>0.99193492352474899</v>
      </c>
      <c r="C4674">
        <v>0.68193046857228001</v>
      </c>
      <c r="D4674">
        <v>0.75072816538306997</v>
      </c>
      <c r="E4674">
        <v>0.59482848986077896</v>
      </c>
      <c r="F4674">
        <v>0.402291887934068</v>
      </c>
      <c r="G4674">
        <v>0.28369680116958801</v>
      </c>
      <c r="H4674">
        <v>0.32401129927115602</v>
      </c>
      <c r="I4674">
        <v>0.30601827412023402</v>
      </c>
      <c r="J4674">
        <v>0.42528152576016098</v>
      </c>
      <c r="K4674">
        <v>0.274274501769879</v>
      </c>
      <c r="L4674">
        <v>557.39198837131596</v>
      </c>
      <c r="M4674">
        <v>11.902769346359801</v>
      </c>
      <c r="N4674">
        <v>50.564691046263803</v>
      </c>
      <c r="O4674">
        <v>45.565653403400503</v>
      </c>
      <c r="P4674">
        <v>-4.6215890794980299E-2</v>
      </c>
      <c r="Q4674">
        <v>0.292489529845056</v>
      </c>
      <c r="R4674">
        <v>0.89407220814348198</v>
      </c>
      <c r="S4674" t="s">
        <v>11344</v>
      </c>
      <c r="T4674" t="s">
        <v>13338</v>
      </c>
      <c r="U4674" t="s">
        <v>13338</v>
      </c>
      <c r="V4674" t="s">
        <v>13338</v>
      </c>
      <c r="W4674" t="s">
        <v>17956</v>
      </c>
      <c r="X4674">
        <v>1</v>
      </c>
      <c r="Y4674" t="s">
        <v>24457</v>
      </c>
      <c r="Z4674" t="s">
        <v>31089</v>
      </c>
      <c r="AA4674">
        <v>0.48408005160794432</v>
      </c>
      <c r="AB4674" t="str">
        <f>HYPERLINK("Melting_Curves/meltCurve_Q8TBQ9_TMEM167A.pdf", "Melting_Curves/meltCurve_Q8TBQ9_TMEM167A.pdf")</f>
        <v>Melting_Curves/meltCurve_Q8TBQ9_TMEM167A.pdf</v>
      </c>
    </row>
    <row r="4675" spans="1:28" x14ac:dyDescent="0.25">
      <c r="A4675" t="s">
        <v>4679</v>
      </c>
      <c r="B4675">
        <v>0.99193492352474899</v>
      </c>
      <c r="C4675">
        <v>0.70479438676723805</v>
      </c>
      <c r="D4675">
        <v>0.755077438790277</v>
      </c>
      <c r="E4675">
        <v>0.40608644437494201</v>
      </c>
      <c r="F4675">
        <v>0.15903649167459399</v>
      </c>
      <c r="G4675">
        <v>8.6161416055270001E-2</v>
      </c>
      <c r="H4675">
        <v>5.5861666763625702E-2</v>
      </c>
      <c r="I4675">
        <v>6.1143450231553299E-2</v>
      </c>
      <c r="J4675">
        <v>6.9800630218715104E-2</v>
      </c>
      <c r="K4675">
        <v>7.2448508509164206E-2</v>
      </c>
      <c r="L4675">
        <v>716.03406515542804</v>
      </c>
      <c r="M4675">
        <v>14.975900052235399</v>
      </c>
      <c r="N4675">
        <v>48.038639816722899</v>
      </c>
      <c r="O4675">
        <v>46.984200077737597</v>
      </c>
      <c r="P4675">
        <v>-7.6980730550856802E-2</v>
      </c>
      <c r="Q4675">
        <v>3.40453446147495E-2</v>
      </c>
      <c r="R4675">
        <v>0.96583841526587599</v>
      </c>
      <c r="S4675" t="s">
        <v>11345</v>
      </c>
      <c r="T4675" t="s">
        <v>13338</v>
      </c>
      <c r="U4675" t="s">
        <v>13338</v>
      </c>
      <c r="V4675" t="s">
        <v>13338</v>
      </c>
      <c r="W4675" t="s">
        <v>17957</v>
      </c>
      <c r="X4675">
        <v>9</v>
      </c>
      <c r="Y4675" t="s">
        <v>24458</v>
      </c>
      <c r="Z4675" t="s">
        <v>31090</v>
      </c>
      <c r="AA4675">
        <v>0.31075793949524799</v>
      </c>
      <c r="AB4675" t="str">
        <f>HYPERLINK("Melting_Curves/meltCurve_Q8TBX8_PIP4K2C.pdf", "Melting_Curves/meltCurve_Q8TBX8_PIP4K2C.pdf")</f>
        <v>Melting_Curves/meltCurve_Q8TBX8_PIP4K2C.pdf</v>
      </c>
    </row>
    <row r="4676" spans="1:28" x14ac:dyDescent="0.25">
      <c r="A4676" t="s">
        <v>4680</v>
      </c>
      <c r="B4676">
        <v>0.99193492352474899</v>
      </c>
      <c r="C4676">
        <v>0.78799054340792096</v>
      </c>
      <c r="D4676">
        <v>0.80608285165110005</v>
      </c>
      <c r="E4676">
        <v>0.65463876487233696</v>
      </c>
      <c r="F4676">
        <v>0.41854844820351</v>
      </c>
      <c r="G4676">
        <v>0.14651956589403201</v>
      </c>
      <c r="H4676">
        <v>6.5565147975123306E-2</v>
      </c>
      <c r="I4676">
        <v>5.1516971856847699E-2</v>
      </c>
      <c r="J4676">
        <v>6.7882072045849701E-2</v>
      </c>
      <c r="K4676">
        <v>8.8957485428518002E-2</v>
      </c>
      <c r="L4676">
        <v>649.48733132515099</v>
      </c>
      <c r="M4676">
        <v>12.7141608657421</v>
      </c>
      <c r="N4676">
        <v>51.083808271280702</v>
      </c>
      <c r="O4676">
        <v>49.869480993576403</v>
      </c>
      <c r="P4676">
        <v>-6.3749184375873597E-2</v>
      </c>
      <c r="Q4676">
        <v>4.1509361948925399E-6</v>
      </c>
      <c r="R4676">
        <v>0.97181114636568999</v>
      </c>
      <c r="S4676" t="s">
        <v>11346</v>
      </c>
      <c r="T4676" t="s">
        <v>13338</v>
      </c>
      <c r="U4676" t="s">
        <v>13338</v>
      </c>
      <c r="V4676" t="s">
        <v>13338</v>
      </c>
      <c r="W4676" t="s">
        <v>17958</v>
      </c>
      <c r="X4676">
        <v>3</v>
      </c>
      <c r="Y4676" t="s">
        <v>24459</v>
      </c>
      <c r="Z4676" t="s">
        <v>31091</v>
      </c>
      <c r="AA4676">
        <v>0.39930131790034729</v>
      </c>
      <c r="AB4676" t="str">
        <f>HYPERLINK("Melting_Curves/meltCurve_Q8TBZ3_WDR20.pdf", "Melting_Curves/meltCurve_Q8TBZ3_WDR20.pdf")</f>
        <v>Melting_Curves/meltCurve_Q8TBZ3_WDR20.pdf</v>
      </c>
    </row>
    <row r="4677" spans="1:28" x14ac:dyDescent="0.25">
      <c r="A4677" t="s">
        <v>4681</v>
      </c>
      <c r="B4677">
        <v>0.99193492352474899</v>
      </c>
      <c r="C4677">
        <v>0.95409121938518104</v>
      </c>
      <c r="D4677">
        <v>0.86629660435571298</v>
      </c>
      <c r="E4677">
        <v>0.67747448302381597</v>
      </c>
      <c r="F4677">
        <v>0.23645958544889101</v>
      </c>
      <c r="G4677">
        <v>0.107116704631427</v>
      </c>
      <c r="H4677">
        <v>9.2467721348271803E-2</v>
      </c>
      <c r="I4677">
        <v>0.126275134320606</v>
      </c>
      <c r="J4677">
        <v>0.14361380035569099</v>
      </c>
      <c r="K4677">
        <v>0.17389643341667799</v>
      </c>
      <c r="L4677">
        <v>1479.17494255408</v>
      </c>
      <c r="M4677">
        <v>29.4636518278792</v>
      </c>
      <c r="N4677">
        <v>50.6756095950267</v>
      </c>
      <c r="O4677">
        <v>49.973819721360499</v>
      </c>
      <c r="P4677">
        <v>-0.12970191144667301</v>
      </c>
      <c r="Q4677">
        <v>0.120047378915038</v>
      </c>
      <c r="R4677">
        <v>0.98800575013206704</v>
      </c>
      <c r="S4677" t="s">
        <v>11347</v>
      </c>
      <c r="T4677" t="s">
        <v>13338</v>
      </c>
      <c r="U4677" t="s">
        <v>13338</v>
      </c>
      <c r="V4677" t="s">
        <v>13338</v>
      </c>
      <c r="W4677" t="s">
        <v>17959</v>
      </c>
      <c r="X4677">
        <v>5</v>
      </c>
      <c r="Y4677" t="s">
        <v>24460</v>
      </c>
      <c r="Z4677" t="s">
        <v>31092</v>
      </c>
      <c r="AA4677">
        <v>0.42499366687996148</v>
      </c>
      <c r="AB4677" t="str">
        <f>HYPERLINK("Melting_Curves/meltCurve_Q8TBZ6_TRMT10A.pdf", "Melting_Curves/meltCurve_Q8TBZ6_TRMT10A.pdf")</f>
        <v>Melting_Curves/meltCurve_Q8TBZ6_TRMT10A.pdf</v>
      </c>
    </row>
    <row r="4678" spans="1:28" x14ac:dyDescent="0.25">
      <c r="A4678" t="s">
        <v>4682</v>
      </c>
      <c r="B4678">
        <v>0.99193492352474899</v>
      </c>
      <c r="C4678">
        <v>0.91672996165146403</v>
      </c>
      <c r="D4678">
        <v>0.71225955169639599</v>
      </c>
      <c r="E4678">
        <v>0.31043990841649499</v>
      </c>
      <c r="F4678">
        <v>0.17933705844485201</v>
      </c>
      <c r="G4678">
        <v>0.13354727559092899</v>
      </c>
      <c r="H4678">
        <v>8.22807527814199E-2</v>
      </c>
      <c r="I4678">
        <v>0.104635122138535</v>
      </c>
      <c r="J4678">
        <v>8.7678010118115601E-2</v>
      </c>
      <c r="K4678">
        <v>0.118954061290965</v>
      </c>
      <c r="L4678">
        <v>1129.7876070427201</v>
      </c>
      <c r="M4678">
        <v>23.872448797177402</v>
      </c>
      <c r="N4678">
        <v>47.782566100468003</v>
      </c>
      <c r="O4678">
        <v>46.997664057852397</v>
      </c>
      <c r="P4678">
        <v>-0.114039328071411</v>
      </c>
      <c r="Q4678">
        <v>0.101978097769708</v>
      </c>
      <c r="R4678">
        <v>0.99813299328151395</v>
      </c>
      <c r="S4678" t="s">
        <v>11348</v>
      </c>
      <c r="T4678" t="s">
        <v>13338</v>
      </c>
      <c r="U4678" t="s">
        <v>13338</v>
      </c>
      <c r="V4678" t="s">
        <v>13338</v>
      </c>
      <c r="W4678" t="s">
        <v>17960</v>
      </c>
      <c r="X4678">
        <v>14</v>
      </c>
      <c r="Y4678" t="s">
        <v>24461</v>
      </c>
      <c r="Z4678" t="s">
        <v>31093</v>
      </c>
      <c r="AA4678">
        <v>0.33009545603263418</v>
      </c>
      <c r="AB4678" t="str">
        <f>HYPERLINK("Melting_Curves/meltCurve_Q8TC07_2_TBC1D15.pdf", "Melting_Curves/meltCurve_Q8TC07_2_TBC1D15.pdf")</f>
        <v>Melting_Curves/meltCurve_Q8TC07_2_TBC1D15.pdf</v>
      </c>
    </row>
    <row r="4679" spans="1:28" x14ac:dyDescent="0.25">
      <c r="A4679" t="s">
        <v>4683</v>
      </c>
      <c r="B4679">
        <v>0.99193492352474899</v>
      </c>
      <c r="C4679">
        <v>0.82519802822414001</v>
      </c>
      <c r="D4679">
        <v>0.65234468357714703</v>
      </c>
      <c r="E4679">
        <v>0.197542320703852</v>
      </c>
      <c r="F4679">
        <v>0.149401443906687</v>
      </c>
      <c r="G4679">
        <v>7.2828176637831199E-2</v>
      </c>
      <c r="H4679">
        <v>5.0681105925313198E-2</v>
      </c>
      <c r="I4679">
        <v>5.6234550988717401E-2</v>
      </c>
      <c r="J4679">
        <v>6.19885262848077E-2</v>
      </c>
      <c r="K4679">
        <v>5.3021973504716699E-2</v>
      </c>
      <c r="L4679">
        <v>1036.8915877889101</v>
      </c>
      <c r="M4679">
        <v>22.233508436754502</v>
      </c>
      <c r="N4679">
        <v>46.882280214188398</v>
      </c>
      <c r="O4679">
        <v>46.264098061151003</v>
      </c>
      <c r="P4679">
        <v>-0.113536071552295</v>
      </c>
      <c r="Q4679">
        <v>5.5024723542573102E-2</v>
      </c>
      <c r="R4679">
        <v>0.99109876385523099</v>
      </c>
      <c r="S4679" t="s">
        <v>11349</v>
      </c>
      <c r="T4679" t="s">
        <v>13338</v>
      </c>
      <c r="U4679" t="s">
        <v>13338</v>
      </c>
      <c r="V4679" t="s">
        <v>13338</v>
      </c>
      <c r="W4679" t="s">
        <v>17961</v>
      </c>
      <c r="X4679">
        <v>7</v>
      </c>
      <c r="Y4679" t="s">
        <v>24462</v>
      </c>
      <c r="Z4679" t="s">
        <v>31094</v>
      </c>
      <c r="AA4679">
        <v>0.27514850705487409</v>
      </c>
      <c r="AB4679" t="str">
        <f>HYPERLINK("Melting_Curves/meltCurve_Q8TC12_RDH11.pdf", "Melting_Curves/meltCurve_Q8TC12_RDH11.pdf")</f>
        <v>Melting_Curves/meltCurve_Q8TC12_RDH11.pdf</v>
      </c>
    </row>
    <row r="4680" spans="1:28" x14ac:dyDescent="0.25">
      <c r="A4680" t="s">
        <v>4684</v>
      </c>
      <c r="B4680">
        <v>0.99193492352474899</v>
      </c>
      <c r="C4680">
        <v>0.725249184888763</v>
      </c>
      <c r="D4680">
        <v>0.95264540033321998</v>
      </c>
      <c r="E4680">
        <v>0.56867783158995799</v>
      </c>
      <c r="F4680">
        <v>0.638763367811365</v>
      </c>
      <c r="G4680">
        <v>1.07899954410526</v>
      </c>
      <c r="H4680">
        <v>0.476828916910081</v>
      </c>
      <c r="I4680">
        <v>0.24559141068178</v>
      </c>
      <c r="J4680">
        <v>0.48707529877593297</v>
      </c>
      <c r="K4680">
        <v>0.31235787787326502</v>
      </c>
      <c r="L4680">
        <v>303.87664019968298</v>
      </c>
      <c r="M4680">
        <v>4.8830204973504898</v>
      </c>
      <c r="N4680">
        <v>62.231286854902002</v>
      </c>
      <c r="O4680">
        <v>54.009091473700799</v>
      </c>
      <c r="P4680">
        <v>-2.27529315094851E-2</v>
      </c>
      <c r="Q4680">
        <v>0</v>
      </c>
      <c r="R4680">
        <v>0.50414544593739696</v>
      </c>
      <c r="S4680" t="s">
        <v>11350</v>
      </c>
      <c r="T4680" t="s">
        <v>13338</v>
      </c>
      <c r="U4680" t="s">
        <v>13338</v>
      </c>
      <c r="V4680" t="s">
        <v>13338</v>
      </c>
      <c r="W4680" t="s">
        <v>17962</v>
      </c>
      <c r="X4680">
        <v>6</v>
      </c>
      <c r="Y4680" t="s">
        <v>24463</v>
      </c>
      <c r="Z4680" t="s">
        <v>31095</v>
      </c>
      <c r="AA4680">
        <v>0.65613954908116345</v>
      </c>
      <c r="AB4680" t="str">
        <f>HYPERLINK("Melting_Curves/meltCurve_Q8TC24_SEC61A2.pdf", "Melting_Curves/meltCurve_Q8TC24_SEC61A2.pdf")</f>
        <v>Melting_Curves/meltCurve_Q8TC24_SEC61A2.pdf</v>
      </c>
    </row>
    <row r="4681" spans="1:28" x14ac:dyDescent="0.25">
      <c r="A4681" t="s">
        <v>4685</v>
      </c>
      <c r="B4681">
        <v>0.99193492352474899</v>
      </c>
      <c r="C4681">
        <v>0.86178216082848702</v>
      </c>
      <c r="D4681">
        <v>0.92697487731357697</v>
      </c>
      <c r="E4681">
        <v>0.80576445365716798</v>
      </c>
      <c r="F4681">
        <v>0.74577695405524103</v>
      </c>
      <c r="G4681">
        <v>0.22694279307110901</v>
      </c>
      <c r="H4681">
        <v>0.11928278522062501</v>
      </c>
      <c r="I4681">
        <v>0.13017203037573399</v>
      </c>
      <c r="J4681">
        <v>0.15905089633920899</v>
      </c>
      <c r="K4681">
        <v>0.14337858384920099</v>
      </c>
      <c r="L4681">
        <v>1715.74861316445</v>
      </c>
      <c r="M4681">
        <v>31.721068042745902</v>
      </c>
      <c r="N4681">
        <v>54.574084662389502</v>
      </c>
      <c r="O4681">
        <v>53.875008288315598</v>
      </c>
      <c r="P4681">
        <v>-0.129103063742664</v>
      </c>
      <c r="Q4681">
        <v>0.122930810902331</v>
      </c>
      <c r="R4681">
        <v>0.95716997111067403</v>
      </c>
      <c r="S4681" t="s">
        <v>11351</v>
      </c>
      <c r="T4681" t="s">
        <v>13338</v>
      </c>
      <c r="U4681" t="s">
        <v>13338</v>
      </c>
      <c r="V4681" t="s">
        <v>13338</v>
      </c>
      <c r="W4681" t="s">
        <v>17963</v>
      </c>
      <c r="X4681">
        <v>6</v>
      </c>
      <c r="Y4681" t="s">
        <v>24464</v>
      </c>
      <c r="Z4681" t="s">
        <v>31096</v>
      </c>
      <c r="AA4681">
        <v>0.5399968442115255</v>
      </c>
      <c r="AB4681" t="str">
        <f>HYPERLINK("Melting_Curves/meltCurve_Q8TCA0_LRRC20.pdf", "Melting_Curves/meltCurve_Q8TCA0_LRRC20.pdf")</f>
        <v>Melting_Curves/meltCurve_Q8TCA0_LRRC20.pdf</v>
      </c>
    </row>
    <row r="4682" spans="1:28" x14ac:dyDescent="0.25">
      <c r="A4682" t="s">
        <v>4686</v>
      </c>
      <c r="B4682">
        <v>0.99193492352474899</v>
      </c>
      <c r="C4682">
        <v>0.923799785871673</v>
      </c>
      <c r="D4682">
        <v>0.99095138128556604</v>
      </c>
      <c r="E4682">
        <v>0.907902928615684</v>
      </c>
      <c r="F4682">
        <v>0.75921116518454101</v>
      </c>
      <c r="G4682">
        <v>0.67248164249299103</v>
      </c>
      <c r="H4682">
        <v>0.586957783355469</v>
      </c>
      <c r="I4682">
        <v>0.60471541862449096</v>
      </c>
      <c r="J4682">
        <v>0.62683176002073204</v>
      </c>
      <c r="K4682">
        <v>1.0232045623650701</v>
      </c>
      <c r="L4682">
        <v>1922.5243801644499</v>
      </c>
      <c r="M4682">
        <v>37.9210907109521</v>
      </c>
      <c r="O4682">
        <v>50.557651151335897</v>
      </c>
      <c r="P4682">
        <v>-5.5529268532299503E-2</v>
      </c>
      <c r="Q4682">
        <v>0.70386693205429196</v>
      </c>
      <c r="R4682">
        <v>0.50531749285793603</v>
      </c>
      <c r="S4682" t="s">
        <v>11352</v>
      </c>
      <c r="T4682" t="s">
        <v>13338</v>
      </c>
      <c r="U4682" t="s">
        <v>13338</v>
      </c>
      <c r="V4682" t="s">
        <v>13338</v>
      </c>
      <c r="W4682" t="s">
        <v>17964</v>
      </c>
      <c r="X4682">
        <v>2</v>
      </c>
      <c r="Y4682" t="s">
        <v>24465</v>
      </c>
      <c r="Z4682" t="s">
        <v>31097</v>
      </c>
      <c r="AA4682">
        <v>0.81062391808223</v>
      </c>
      <c r="AB4682" t="str">
        <f>HYPERLINK("Melting_Curves/meltCurve_Q8TCD1_C18orf32.pdf", "Melting_Curves/meltCurve_Q8TCD1_C18orf32.pdf")</f>
        <v>Melting_Curves/meltCurve_Q8TCD1_C18orf32.pdf</v>
      </c>
    </row>
    <row r="4683" spans="1:28" x14ac:dyDescent="0.25">
      <c r="A4683" t="s">
        <v>4687</v>
      </c>
      <c r="B4683">
        <v>0.99193492352474899</v>
      </c>
      <c r="C4683">
        <v>0.87486681020401302</v>
      </c>
      <c r="D4683">
        <v>0.922696654260455</v>
      </c>
      <c r="E4683">
        <v>0.76036270436793096</v>
      </c>
      <c r="F4683">
        <v>0.66894387058317795</v>
      </c>
      <c r="G4683">
        <v>0.46090258067748202</v>
      </c>
      <c r="H4683">
        <v>0.314230261661338</v>
      </c>
      <c r="I4683">
        <v>0.222945338765732</v>
      </c>
      <c r="J4683">
        <v>0.28770258393103898</v>
      </c>
      <c r="K4683">
        <v>0.24830605251785601</v>
      </c>
      <c r="L4683">
        <v>631.90252705213595</v>
      </c>
      <c r="M4683">
        <v>11.731994202185501</v>
      </c>
      <c r="N4683">
        <v>55.870578376184298</v>
      </c>
      <c r="O4683">
        <v>52.368010712777199</v>
      </c>
      <c r="P4683">
        <v>-4.6381096535753903E-2</v>
      </c>
      <c r="Q4683">
        <v>0.172094077386829</v>
      </c>
      <c r="R4683">
        <v>0.97830678519457204</v>
      </c>
      <c r="S4683" t="s">
        <v>11353</v>
      </c>
      <c r="T4683" t="s">
        <v>13338</v>
      </c>
      <c r="U4683" t="s">
        <v>13338</v>
      </c>
      <c r="V4683" t="s">
        <v>13338</v>
      </c>
      <c r="W4683" t="s">
        <v>17965</v>
      </c>
      <c r="X4683">
        <v>7</v>
      </c>
      <c r="Y4683" t="s">
        <v>24466</v>
      </c>
      <c r="Z4683" t="s">
        <v>31098</v>
      </c>
      <c r="AA4683">
        <v>0.57700231236175914</v>
      </c>
      <c r="AB4683" t="str">
        <f>HYPERLINK("Melting_Curves/meltCurve_Q8TCD5_NT5C.pdf", "Melting_Curves/meltCurve_Q8TCD5_NT5C.pdf")</f>
        <v>Melting_Curves/meltCurve_Q8TCD5_NT5C.pdf</v>
      </c>
    </row>
    <row r="4684" spans="1:28" x14ac:dyDescent="0.25">
      <c r="A4684" t="s">
        <v>4688</v>
      </c>
      <c r="B4684">
        <v>0.99193492352474899</v>
      </c>
      <c r="C4684">
        <v>0.81686601047253604</v>
      </c>
      <c r="D4684">
        <v>0.73212534083362801</v>
      </c>
      <c r="E4684">
        <v>0.41192937083289699</v>
      </c>
      <c r="F4684">
        <v>0.16379035184326099</v>
      </c>
      <c r="G4684">
        <v>9.96025507145437E-2</v>
      </c>
      <c r="H4684">
        <v>5.3846909928019701E-2</v>
      </c>
      <c r="I4684">
        <v>6.0339614056492297E-2</v>
      </c>
      <c r="J4684">
        <v>9.7598945582097696E-2</v>
      </c>
      <c r="K4684">
        <v>4.8412374551873603E-2</v>
      </c>
      <c r="L4684">
        <v>825.86807946303497</v>
      </c>
      <c r="M4684">
        <v>17.202711411485499</v>
      </c>
      <c r="N4684">
        <v>48.286589721410998</v>
      </c>
      <c r="O4684">
        <v>47.373367831027203</v>
      </c>
      <c r="P4684">
        <v>-8.6499000797920195E-2</v>
      </c>
      <c r="Q4684">
        <v>4.7241598270179E-2</v>
      </c>
      <c r="R4684">
        <v>0.99078789805412104</v>
      </c>
      <c r="S4684" t="s">
        <v>11354</v>
      </c>
      <c r="T4684" t="s">
        <v>13338</v>
      </c>
      <c r="U4684" t="s">
        <v>13338</v>
      </c>
      <c r="V4684" t="s">
        <v>13338</v>
      </c>
      <c r="W4684" t="s">
        <v>17966</v>
      </c>
      <c r="X4684">
        <v>4</v>
      </c>
      <c r="Y4684" t="s">
        <v>24467</v>
      </c>
      <c r="Z4684" t="s">
        <v>31099</v>
      </c>
      <c r="AA4684">
        <v>0.3201334474328244</v>
      </c>
      <c r="AB4684" t="str">
        <f>HYPERLINK("Melting_Curves/meltCurve_Q8TCE6_2_FAM45A.pdf", "Melting_Curves/meltCurve_Q8TCE6_2_FAM45A.pdf")</f>
        <v>Melting_Curves/meltCurve_Q8TCE6_2_FAM45A.pdf</v>
      </c>
    </row>
    <row r="4685" spans="1:28" x14ac:dyDescent="0.25">
      <c r="A4685" t="s">
        <v>4689</v>
      </c>
      <c r="B4685">
        <v>0.99193492352474899</v>
      </c>
      <c r="C4685">
        <v>0.72654943710120401</v>
      </c>
      <c r="D4685">
        <v>0.33516895873623098</v>
      </c>
      <c r="E4685">
        <v>0.18355254698731699</v>
      </c>
      <c r="F4685">
        <v>0.14513787746628201</v>
      </c>
      <c r="G4685">
        <v>8.2325833926618797E-2</v>
      </c>
      <c r="H4685">
        <v>3.7386954245300003E-2</v>
      </c>
      <c r="I4685">
        <v>4.78258704420109E-2</v>
      </c>
      <c r="J4685">
        <v>4.3815283851543901E-2</v>
      </c>
      <c r="K4685">
        <v>4.0638635239631897E-2</v>
      </c>
      <c r="L4685">
        <v>1054.08168112868</v>
      </c>
      <c r="M4685">
        <v>23.6628934566194</v>
      </c>
      <c r="N4685">
        <v>44.807943271389298</v>
      </c>
      <c r="O4685">
        <v>44.231285652629602</v>
      </c>
      <c r="P4685">
        <v>-0.125100180386366</v>
      </c>
      <c r="Q4685">
        <v>6.4653939316681702E-2</v>
      </c>
      <c r="R4685">
        <v>0.98862683922809103</v>
      </c>
      <c r="S4685" t="s">
        <v>11355</v>
      </c>
      <c r="T4685" t="s">
        <v>13338</v>
      </c>
      <c r="U4685" t="s">
        <v>13338</v>
      </c>
      <c r="V4685" t="s">
        <v>13338</v>
      </c>
      <c r="W4685" t="s">
        <v>17967</v>
      </c>
      <c r="X4685">
        <v>8</v>
      </c>
      <c r="Y4685" t="s">
        <v>24468</v>
      </c>
      <c r="Z4685" t="s">
        <v>31100</v>
      </c>
      <c r="AA4685">
        <v>0.21762052957628311</v>
      </c>
      <c r="AB4685" t="str">
        <f>HYPERLINK("Melting_Curves/meltCurve_Q8TCG1_KIAA1524.pdf", "Melting_Curves/meltCurve_Q8TCG1_KIAA1524.pdf")</f>
        <v>Melting_Curves/meltCurve_Q8TCG1_KIAA1524.pdf</v>
      </c>
    </row>
    <row r="4686" spans="1:28" x14ac:dyDescent="0.25">
      <c r="A4686" t="s">
        <v>4690</v>
      </c>
      <c r="B4686">
        <v>0.99193492352474899</v>
      </c>
      <c r="C4686">
        <v>0.74119138372202498</v>
      </c>
      <c r="D4686">
        <v>0.90762113565031699</v>
      </c>
      <c r="E4686">
        <v>0.56754389701361696</v>
      </c>
      <c r="F4686">
        <v>0.29442572990464</v>
      </c>
      <c r="G4686">
        <v>0.208071898990765</v>
      </c>
      <c r="H4686">
        <v>0.319227509361105</v>
      </c>
      <c r="I4686">
        <v>0.79036931023262502</v>
      </c>
      <c r="J4686">
        <v>0.90038176685103199</v>
      </c>
      <c r="K4686">
        <v>1.53518025914044</v>
      </c>
      <c r="L4686">
        <v>1096.53737555374</v>
      </c>
      <c r="M4686">
        <v>25.7155074439824</v>
      </c>
      <c r="O4686">
        <v>42.3857380106138</v>
      </c>
      <c r="P4686">
        <v>-4.90883656999389E-2</v>
      </c>
      <c r="Q4686">
        <v>0.67636313712254803</v>
      </c>
      <c r="R4686">
        <v>5.8875187305781E-2</v>
      </c>
      <c r="S4686" t="s">
        <v>11356</v>
      </c>
      <c r="T4686" t="s">
        <v>13338</v>
      </c>
      <c r="U4686" t="s">
        <v>13338</v>
      </c>
      <c r="V4686" t="s">
        <v>13338</v>
      </c>
      <c r="W4686" t="s">
        <v>17968</v>
      </c>
      <c r="X4686">
        <v>5</v>
      </c>
      <c r="Y4686" t="s">
        <v>24469</v>
      </c>
      <c r="Z4686" t="s">
        <v>31101</v>
      </c>
      <c r="AA4686">
        <v>0.70965592175529657</v>
      </c>
      <c r="AB4686" t="str">
        <f>HYPERLINK("Melting_Curves/meltCurve_Q8TCG2_PI4K2B.pdf", "Melting_Curves/meltCurve_Q8TCG2_PI4K2B.pdf")</f>
        <v>Melting_Curves/meltCurve_Q8TCG2_PI4K2B.pdf</v>
      </c>
    </row>
    <row r="4687" spans="1:28" x14ac:dyDescent="0.25">
      <c r="A4687" t="s">
        <v>4691</v>
      </c>
      <c r="B4687">
        <v>0.99193492352474899</v>
      </c>
      <c r="C4687">
        <v>0.829907784462666</v>
      </c>
      <c r="D4687">
        <v>1.0774434543620099</v>
      </c>
      <c r="E4687">
        <v>0.73142785357012596</v>
      </c>
      <c r="F4687">
        <v>0.43944537459280603</v>
      </c>
      <c r="G4687">
        <v>0.17059382614036001</v>
      </c>
      <c r="H4687">
        <v>9.4244553085391397E-2</v>
      </c>
      <c r="I4687">
        <v>0.104541971491177</v>
      </c>
      <c r="J4687">
        <v>0.11885799482308899</v>
      </c>
      <c r="K4687">
        <v>0.13987160614736899</v>
      </c>
      <c r="L4687">
        <v>1324.04755019256</v>
      </c>
      <c r="M4687">
        <v>25.581279047612401</v>
      </c>
      <c r="N4687">
        <v>52.247530135710001</v>
      </c>
      <c r="O4687">
        <v>51.445267758648903</v>
      </c>
      <c r="P4687">
        <v>-0.11107846042571</v>
      </c>
      <c r="Q4687">
        <v>0.106472902733042</v>
      </c>
      <c r="R4687">
        <v>0.96784976494827801</v>
      </c>
      <c r="S4687" t="s">
        <v>11357</v>
      </c>
      <c r="T4687" t="s">
        <v>13338</v>
      </c>
      <c r="U4687" t="s">
        <v>13338</v>
      </c>
      <c r="V4687" t="s">
        <v>13338</v>
      </c>
      <c r="W4687" t="s">
        <v>17969</v>
      </c>
      <c r="X4687">
        <v>17</v>
      </c>
      <c r="Y4687" t="s">
        <v>24470</v>
      </c>
      <c r="Z4687" t="s">
        <v>31102</v>
      </c>
      <c r="AA4687">
        <v>0.46447213569744661</v>
      </c>
      <c r="AB4687" t="str">
        <f>HYPERLINK("Melting_Curves/meltCurve_Q8TCJ2_STT3B.pdf", "Melting_Curves/meltCurve_Q8TCJ2_STT3B.pdf")</f>
        <v>Melting_Curves/meltCurve_Q8TCJ2_STT3B.pdf</v>
      </c>
    </row>
    <row r="4688" spans="1:28" x14ac:dyDescent="0.25">
      <c r="A4688" t="s">
        <v>4692</v>
      </c>
      <c r="B4688">
        <v>0.99193492352474899</v>
      </c>
      <c r="C4688">
        <v>0.72196011774982904</v>
      </c>
      <c r="D4688">
        <v>0.87350250420180697</v>
      </c>
      <c r="E4688">
        <v>0.41628506178269198</v>
      </c>
      <c r="F4688">
        <v>0.17867751239304799</v>
      </c>
      <c r="G4688">
        <v>9.7239111747294604E-2</v>
      </c>
      <c r="H4688">
        <v>5.0990434192365E-2</v>
      </c>
      <c r="I4688">
        <v>5.98243068400926E-2</v>
      </c>
      <c r="J4688">
        <v>6.4119744356697705E-2</v>
      </c>
      <c r="K4688">
        <v>6.1642984426356698E-2</v>
      </c>
      <c r="L4688">
        <v>872.59130496243597</v>
      </c>
      <c r="M4688">
        <v>17.946177403713101</v>
      </c>
      <c r="N4688">
        <v>48.848580435029298</v>
      </c>
      <c r="O4688">
        <v>48.031007021666099</v>
      </c>
      <c r="P4688">
        <v>-8.9694231758999696E-2</v>
      </c>
      <c r="Q4688">
        <v>3.9820211987214499E-2</v>
      </c>
      <c r="R4688">
        <v>0.95419926526489296</v>
      </c>
      <c r="S4688" t="s">
        <v>11358</v>
      </c>
      <c r="T4688" t="s">
        <v>13338</v>
      </c>
      <c r="U4688" t="s">
        <v>13338</v>
      </c>
      <c r="V4688" t="s">
        <v>13338</v>
      </c>
      <c r="W4688" t="s">
        <v>17970</v>
      </c>
      <c r="X4688">
        <v>24</v>
      </c>
      <c r="Y4688" t="s">
        <v>24471</v>
      </c>
      <c r="Z4688" t="s">
        <v>31103</v>
      </c>
      <c r="AA4688">
        <v>0.33266061035755801</v>
      </c>
      <c r="AB4688" t="str">
        <f>HYPERLINK("Melting_Curves/meltCurve_Q8TCS8_PNPT1.pdf", "Melting_Curves/meltCurve_Q8TCS8_PNPT1.pdf")</f>
        <v>Melting_Curves/meltCurve_Q8TCS8_PNPT1.pdf</v>
      </c>
    </row>
    <row r="4689" spans="1:28" x14ac:dyDescent="0.25">
      <c r="A4689" t="s">
        <v>4693</v>
      </c>
      <c r="B4689">
        <v>0.99193492352474899</v>
      </c>
      <c r="C4689">
        <v>0.733334036249911</v>
      </c>
      <c r="D4689">
        <v>1.03352913642842</v>
      </c>
      <c r="E4689">
        <v>0.62478578242772798</v>
      </c>
      <c r="F4689">
        <v>0.77772242778248202</v>
      </c>
      <c r="G4689">
        <v>0.55781208635795698</v>
      </c>
      <c r="H4689">
        <v>0.33780438892307801</v>
      </c>
      <c r="I4689">
        <v>0.28094454258949197</v>
      </c>
      <c r="J4689">
        <v>0.37244553169448802</v>
      </c>
      <c r="K4689">
        <v>0.38759065101731199</v>
      </c>
      <c r="L4689">
        <v>485.63854909259601</v>
      </c>
      <c r="M4689">
        <v>9.0031183138007105</v>
      </c>
      <c r="N4689">
        <v>57.832168622930297</v>
      </c>
      <c r="O4689">
        <v>51.479327042780902</v>
      </c>
      <c r="P4689">
        <v>-3.3814412352739902E-2</v>
      </c>
      <c r="Q4689">
        <v>0.22716483846328001</v>
      </c>
      <c r="R4689">
        <v>0.80126320119214101</v>
      </c>
      <c r="S4689" t="s">
        <v>11359</v>
      </c>
      <c r="T4689" t="s">
        <v>13338</v>
      </c>
      <c r="U4689" t="s">
        <v>13338</v>
      </c>
      <c r="V4689" t="s">
        <v>13338</v>
      </c>
      <c r="W4689" t="s">
        <v>17971</v>
      </c>
      <c r="X4689">
        <v>2</v>
      </c>
      <c r="Y4689" t="s">
        <v>24472</v>
      </c>
      <c r="Z4689" t="s">
        <v>31104</v>
      </c>
      <c r="AA4689">
        <v>0.61144411699912349</v>
      </c>
      <c r="AB4689" t="str">
        <f>HYPERLINK("Melting_Curves/meltCurve_Q8TCT7_4_SPPL2B.pdf", "Melting_Curves/meltCurve_Q8TCT7_4_SPPL2B.pdf")</f>
        <v>Melting_Curves/meltCurve_Q8TCT7_4_SPPL2B.pdf</v>
      </c>
    </row>
    <row r="4690" spans="1:28" x14ac:dyDescent="0.25">
      <c r="A4690" t="s">
        <v>4694</v>
      </c>
      <c r="B4690">
        <v>0.99193492352474899</v>
      </c>
      <c r="C4690">
        <v>0.88880469846426602</v>
      </c>
      <c r="D4690">
        <v>0.84541322666242702</v>
      </c>
      <c r="E4690">
        <v>0.84089285562397298</v>
      </c>
      <c r="F4690">
        <v>0.40764198281811798</v>
      </c>
      <c r="G4690">
        <v>0.75705883012266595</v>
      </c>
      <c r="H4690">
        <v>0.39288290052724001</v>
      </c>
      <c r="I4690">
        <v>0.40965189009638597</v>
      </c>
      <c r="J4690">
        <v>0.30565050401625699</v>
      </c>
      <c r="K4690">
        <v>0.25747348355084598</v>
      </c>
      <c r="L4690">
        <v>359.87023328347101</v>
      </c>
      <c r="M4690">
        <v>6.1263124189797002</v>
      </c>
      <c r="N4690">
        <v>58.741757030479498</v>
      </c>
      <c r="O4690">
        <v>53.406329124946303</v>
      </c>
      <c r="P4690">
        <v>-2.8764046977246101E-2</v>
      </c>
      <c r="Q4690">
        <v>0</v>
      </c>
      <c r="R4690">
        <v>0.832671045863836</v>
      </c>
      <c r="S4690" t="s">
        <v>11360</v>
      </c>
      <c r="T4690" t="s">
        <v>13338</v>
      </c>
      <c r="U4690" t="s">
        <v>13338</v>
      </c>
      <c r="V4690" t="s">
        <v>13338</v>
      </c>
      <c r="W4690" t="s">
        <v>17972</v>
      </c>
      <c r="X4690">
        <v>1</v>
      </c>
      <c r="Y4690" t="s">
        <v>24473</v>
      </c>
      <c r="Z4690" t="s">
        <v>31105</v>
      </c>
      <c r="AA4690">
        <v>0.60817961908356288</v>
      </c>
      <c r="AB4690" t="str">
        <f>HYPERLINK("Melting_Curves/meltCurve_Q8TCT8_SPPL2A.pdf", "Melting_Curves/meltCurve_Q8TCT8_SPPL2A.pdf")</f>
        <v>Melting_Curves/meltCurve_Q8TCT8_SPPL2A.pdf</v>
      </c>
    </row>
    <row r="4691" spans="1:28" x14ac:dyDescent="0.25">
      <c r="A4691" t="s">
        <v>4695</v>
      </c>
      <c r="B4691">
        <v>0.99193492352474899</v>
      </c>
      <c r="C4691">
        <v>0.94594980497473602</v>
      </c>
      <c r="D4691">
        <v>0.99072470173458305</v>
      </c>
      <c r="E4691">
        <v>0.76290967730149895</v>
      </c>
      <c r="F4691">
        <v>0.69766847144365396</v>
      </c>
      <c r="G4691">
        <v>0.45541292532439298</v>
      </c>
      <c r="H4691">
        <v>0.21574551562452801</v>
      </c>
      <c r="I4691">
        <v>0.14448828405551301</v>
      </c>
      <c r="J4691">
        <v>0.15064134108347499</v>
      </c>
      <c r="K4691">
        <v>0.14679430731590101</v>
      </c>
      <c r="L4691">
        <v>798.20454294608601</v>
      </c>
      <c r="M4691">
        <v>14.5228857009932</v>
      </c>
      <c r="N4691">
        <v>55.584655695158801</v>
      </c>
      <c r="O4691">
        <v>53.951279397603301</v>
      </c>
      <c r="P4691">
        <v>-6.2250302422904698E-2</v>
      </c>
      <c r="Q4691">
        <v>7.5087830996151406E-2</v>
      </c>
      <c r="R4691">
        <v>0.98611007145792795</v>
      </c>
      <c r="S4691" t="s">
        <v>11361</v>
      </c>
      <c r="T4691" t="s">
        <v>13338</v>
      </c>
      <c r="U4691" t="s">
        <v>13338</v>
      </c>
      <c r="V4691" t="s">
        <v>13338</v>
      </c>
      <c r="W4691" t="s">
        <v>17973</v>
      </c>
      <c r="X4691">
        <v>6</v>
      </c>
      <c r="Y4691" t="s">
        <v>24474</v>
      </c>
      <c r="Z4691" t="s">
        <v>31106</v>
      </c>
      <c r="AA4691">
        <v>0.55486423016083919</v>
      </c>
      <c r="AB4691" t="str">
        <f>HYPERLINK("Melting_Curves/meltCurve_Q8TCT9_5_HM13.pdf", "Melting_Curves/meltCurve_Q8TCT9_5_HM13.pdf")</f>
        <v>Melting_Curves/meltCurve_Q8TCT9_5_HM13.pdf</v>
      </c>
    </row>
    <row r="4692" spans="1:28" x14ac:dyDescent="0.25">
      <c r="A4692" t="s">
        <v>4696</v>
      </c>
      <c r="B4692">
        <v>0.99193492352474899</v>
      </c>
      <c r="C4692">
        <v>0.50830951555547599</v>
      </c>
      <c r="D4692">
        <v>0.78299203967271602</v>
      </c>
      <c r="E4692">
        <v>0.53358117357216195</v>
      </c>
      <c r="F4692">
        <v>0.67709148679469999</v>
      </c>
      <c r="G4692">
        <v>0.38412786145674499</v>
      </c>
      <c r="H4692">
        <v>0.34121671922684299</v>
      </c>
      <c r="I4692">
        <v>0.34160179017474201</v>
      </c>
      <c r="J4692">
        <v>0.492498653153912</v>
      </c>
      <c r="K4692">
        <v>0.56153449843160896</v>
      </c>
      <c r="L4692">
        <v>460.85673526895698</v>
      </c>
      <c r="M4692">
        <v>10.470276415578001</v>
      </c>
      <c r="N4692">
        <v>54.043935006842503</v>
      </c>
      <c r="O4692">
        <v>42.5009985634955</v>
      </c>
      <c r="P4692">
        <v>-3.5221322586004002E-2</v>
      </c>
      <c r="Q4692">
        <v>0.42835092620387399</v>
      </c>
      <c r="R4692">
        <v>0.53860206257766696</v>
      </c>
      <c r="S4692" t="s">
        <v>11362</v>
      </c>
      <c r="T4692" t="s">
        <v>13338</v>
      </c>
      <c r="U4692" t="s">
        <v>13338</v>
      </c>
      <c r="V4692" t="s">
        <v>13338</v>
      </c>
      <c r="W4692" t="s">
        <v>17974</v>
      </c>
      <c r="X4692">
        <v>3</v>
      </c>
      <c r="Y4692" t="s">
        <v>24475</v>
      </c>
      <c r="Z4692" t="s">
        <v>31107</v>
      </c>
      <c r="AA4692">
        <v>0.54495909455009095</v>
      </c>
      <c r="AB4692" t="str">
        <f>HYPERLINK("Melting_Curves/meltCurve_Q8TCZ2_6_CD99L2.pdf", "Melting_Curves/meltCurve_Q8TCZ2_6_CD99L2.pdf")</f>
        <v>Melting_Curves/meltCurve_Q8TCZ2_6_CD99L2.pdf</v>
      </c>
    </row>
    <row r="4693" spans="1:28" x14ac:dyDescent="0.25">
      <c r="A4693" t="s">
        <v>4697</v>
      </c>
      <c r="B4693">
        <v>0.99193492352474899</v>
      </c>
      <c r="C4693">
        <v>0.90203567907362103</v>
      </c>
      <c r="D4693">
        <v>0.71594603473837204</v>
      </c>
      <c r="E4693">
        <v>0.68535093095294497</v>
      </c>
      <c r="F4693">
        <v>0.430290262909378</v>
      </c>
      <c r="G4693">
        <v>0.284100378567756</v>
      </c>
      <c r="H4693">
        <v>0.13136099383643801</v>
      </c>
      <c r="I4693">
        <v>0.107730442876734</v>
      </c>
      <c r="J4693">
        <v>9.6235225291098805E-2</v>
      </c>
      <c r="K4693">
        <v>0.14530137368240001</v>
      </c>
      <c r="L4693">
        <v>584.18549932232304</v>
      </c>
      <c r="M4693">
        <v>11.390497265789101</v>
      </c>
      <c r="N4693">
        <v>51.698866363765902</v>
      </c>
      <c r="O4693">
        <v>49.782632948913097</v>
      </c>
      <c r="P4693">
        <v>-5.4736779776014002E-2</v>
      </c>
      <c r="Q4693">
        <v>4.33648390923944E-2</v>
      </c>
      <c r="R4693">
        <v>0.98233074567119605</v>
      </c>
      <c r="S4693" t="s">
        <v>11363</v>
      </c>
      <c r="T4693" t="s">
        <v>13338</v>
      </c>
      <c r="U4693" t="s">
        <v>13338</v>
      </c>
      <c r="V4693" t="s">
        <v>13338</v>
      </c>
      <c r="W4693" t="s">
        <v>17975</v>
      </c>
      <c r="X4693">
        <v>1</v>
      </c>
      <c r="Y4693" t="s">
        <v>24476</v>
      </c>
      <c r="Z4693" t="s">
        <v>31108</v>
      </c>
      <c r="AA4693">
        <v>0.43619586359356249</v>
      </c>
      <c r="AB4693" t="str">
        <f>HYPERLINK("Melting_Curves/meltCurve_Q8TD08_2_MAPK15.pdf", "Melting_Curves/meltCurve_Q8TD08_2_MAPK15.pdf")</f>
        <v>Melting_Curves/meltCurve_Q8TD08_2_MAPK15.pdf</v>
      </c>
    </row>
    <row r="4694" spans="1:28" x14ac:dyDescent="0.25">
      <c r="A4694" t="s">
        <v>4698</v>
      </c>
      <c r="B4694">
        <v>0.99193492352474899</v>
      </c>
      <c r="C4694">
        <v>0.88226822983474695</v>
      </c>
      <c r="D4694">
        <v>0.72975470313327295</v>
      </c>
      <c r="E4694">
        <v>0.29469891512438101</v>
      </c>
      <c r="F4694">
        <v>0.18845421706857299</v>
      </c>
      <c r="G4694">
        <v>0.109743501941015</v>
      </c>
      <c r="H4694">
        <v>7.1218781383203297E-2</v>
      </c>
      <c r="I4694">
        <v>8.74421416491417E-2</v>
      </c>
      <c r="J4694">
        <v>9.87235038025321E-2</v>
      </c>
      <c r="K4694">
        <v>0.102847056964535</v>
      </c>
      <c r="L4694">
        <v>1092.94300082977</v>
      </c>
      <c r="M4694">
        <v>23.074445549036898</v>
      </c>
      <c r="N4694">
        <v>47.780207758886803</v>
      </c>
      <c r="O4694">
        <v>47.014478178531398</v>
      </c>
      <c r="P4694">
        <v>-0.111576452470946</v>
      </c>
      <c r="Q4694">
        <v>9.0662705768147694E-2</v>
      </c>
      <c r="R4694">
        <v>0.99506733804935099</v>
      </c>
      <c r="S4694" t="s">
        <v>11364</v>
      </c>
      <c r="T4694" t="s">
        <v>13338</v>
      </c>
      <c r="U4694" t="s">
        <v>13338</v>
      </c>
      <c r="V4694" t="s">
        <v>13338</v>
      </c>
      <c r="W4694" t="s">
        <v>17976</v>
      </c>
      <c r="X4694">
        <v>18</v>
      </c>
      <c r="Y4694" t="s">
        <v>24477</v>
      </c>
      <c r="Z4694" t="s">
        <v>31109</v>
      </c>
      <c r="AA4694">
        <v>0.32354697338593252</v>
      </c>
      <c r="AB4694" t="str">
        <f>HYPERLINK("Melting_Curves/meltCurve_Q8TD16_2_BICD2.pdf", "Melting_Curves/meltCurve_Q8TD16_2_BICD2.pdf")</f>
        <v>Melting_Curves/meltCurve_Q8TD16_2_BICD2.pdf</v>
      </c>
    </row>
    <row r="4695" spans="1:28" x14ac:dyDescent="0.25">
      <c r="A4695" t="s">
        <v>4699</v>
      </c>
      <c r="B4695">
        <v>0.99193492352474899</v>
      </c>
      <c r="C4695">
        <v>1.1052012664500599</v>
      </c>
      <c r="D4695">
        <v>1.0012843241079099</v>
      </c>
      <c r="E4695">
        <v>0.71240610920360303</v>
      </c>
      <c r="F4695">
        <v>0.239051390393754</v>
      </c>
      <c r="G4695">
        <v>0.117904414308296</v>
      </c>
      <c r="H4695">
        <v>7.0951111675615505E-2</v>
      </c>
      <c r="I4695">
        <v>8.3115402817792394E-2</v>
      </c>
      <c r="J4695">
        <v>9.3925537314997795E-2</v>
      </c>
      <c r="K4695">
        <v>9.6065213906690206E-2</v>
      </c>
      <c r="L4695">
        <v>1818.10814812021</v>
      </c>
      <c r="M4695">
        <v>35.841550938945304</v>
      </c>
      <c r="N4695">
        <v>51.003505563334301</v>
      </c>
      <c r="O4695">
        <v>50.5691325461041</v>
      </c>
      <c r="P4695">
        <v>-0.16150849853396701</v>
      </c>
      <c r="Q4695">
        <v>8.8508342569953199E-2</v>
      </c>
      <c r="R4695">
        <v>0.992879420070505</v>
      </c>
      <c r="S4695" t="s">
        <v>11365</v>
      </c>
      <c r="T4695" t="s">
        <v>13338</v>
      </c>
      <c r="U4695" t="s">
        <v>13338</v>
      </c>
      <c r="V4695" t="s">
        <v>13338</v>
      </c>
      <c r="W4695" t="s">
        <v>17977</v>
      </c>
      <c r="X4695">
        <v>25</v>
      </c>
      <c r="Y4695" t="s">
        <v>24478</v>
      </c>
      <c r="Z4695" t="s">
        <v>31110</v>
      </c>
      <c r="AA4695">
        <v>0.41839282137335931</v>
      </c>
      <c r="AB4695" t="str">
        <f>HYPERLINK("Melting_Curves/meltCurve_Q8TD19_NEK9.pdf", "Melting_Curves/meltCurve_Q8TD19_NEK9.pdf")</f>
        <v>Melting_Curves/meltCurve_Q8TD19_NEK9.pdf</v>
      </c>
    </row>
    <row r="4696" spans="1:28" x14ac:dyDescent="0.25">
      <c r="A4696" t="s">
        <v>4700</v>
      </c>
      <c r="B4696">
        <v>0.99193492352474899</v>
      </c>
      <c r="C4696">
        <v>0.97682872183862501</v>
      </c>
      <c r="D4696">
        <v>0.92066663319934605</v>
      </c>
      <c r="E4696">
        <v>0.51113827508424203</v>
      </c>
      <c r="F4696">
        <v>0.29384168115312598</v>
      </c>
      <c r="G4696">
        <v>0.21750779088052</v>
      </c>
      <c r="H4696">
        <v>8.5016521049161298E-2</v>
      </c>
      <c r="I4696">
        <v>0.13491309697711801</v>
      </c>
      <c r="J4696">
        <v>9.1549606656471993E-2</v>
      </c>
      <c r="K4696">
        <v>9.47675384904903E-2</v>
      </c>
      <c r="L4696">
        <v>1109.8620144567101</v>
      </c>
      <c r="M4696">
        <v>22.3570774581333</v>
      </c>
      <c r="N4696">
        <v>50.197559385416497</v>
      </c>
      <c r="O4696">
        <v>49.250485895455697</v>
      </c>
      <c r="P4696">
        <v>-0.101061297608893</v>
      </c>
      <c r="Q4696">
        <v>0.10950547526575501</v>
      </c>
      <c r="R4696">
        <v>0.99174975095496598</v>
      </c>
      <c r="S4696" t="s">
        <v>11366</v>
      </c>
      <c r="T4696" t="s">
        <v>13338</v>
      </c>
      <c r="U4696" t="s">
        <v>13338</v>
      </c>
      <c r="V4696" t="s">
        <v>13338</v>
      </c>
      <c r="W4696" t="s">
        <v>17978</v>
      </c>
      <c r="X4696">
        <v>4</v>
      </c>
      <c r="Y4696" t="s">
        <v>24479</v>
      </c>
      <c r="Z4696" t="s">
        <v>31111</v>
      </c>
      <c r="AA4696">
        <v>0.40566654734934993</v>
      </c>
      <c r="AB4696" t="str">
        <f>HYPERLINK("Melting_Curves/meltCurve_Q8TD30_GPT2.pdf", "Melting_Curves/meltCurve_Q8TD30_GPT2.pdf")</f>
        <v>Melting_Curves/meltCurve_Q8TD30_GPT2.pdf</v>
      </c>
    </row>
    <row r="4697" spans="1:28" x14ac:dyDescent="0.25">
      <c r="A4697" t="s">
        <v>4701</v>
      </c>
      <c r="B4697">
        <v>0.99193492352474899</v>
      </c>
      <c r="C4697">
        <v>0.94405403674845201</v>
      </c>
      <c r="D4697">
        <v>0.84800259963935598</v>
      </c>
      <c r="E4697">
        <v>0.51305484879920404</v>
      </c>
      <c r="F4697">
        <v>0.390500198065312</v>
      </c>
      <c r="G4697">
        <v>0.23476195406344899</v>
      </c>
      <c r="H4697">
        <v>0.234508989179252</v>
      </c>
      <c r="I4697">
        <v>0.326042434558591</v>
      </c>
      <c r="J4697">
        <v>0.44220647018800502</v>
      </c>
      <c r="K4697">
        <v>0.53215607738494497</v>
      </c>
      <c r="L4697">
        <v>1470.23390281815</v>
      </c>
      <c r="M4697">
        <v>30.820326434794602</v>
      </c>
      <c r="N4697">
        <v>49.706685685475698</v>
      </c>
      <c r="O4697">
        <v>47.503901702510603</v>
      </c>
      <c r="P4697">
        <v>-0.104518949986063</v>
      </c>
      <c r="Q4697">
        <v>0.355616276491732</v>
      </c>
      <c r="R4697">
        <v>0.90149134321595803</v>
      </c>
      <c r="S4697" t="s">
        <v>11367</v>
      </c>
      <c r="T4697" t="s">
        <v>13338</v>
      </c>
      <c r="U4697" t="s">
        <v>13338</v>
      </c>
      <c r="V4697" t="s">
        <v>13338</v>
      </c>
      <c r="W4697" t="s">
        <v>17979</v>
      </c>
      <c r="X4697">
        <v>1</v>
      </c>
      <c r="Y4697" t="s">
        <v>24480</v>
      </c>
      <c r="Z4697" t="s">
        <v>31112</v>
      </c>
      <c r="AA4697">
        <v>0.52473726557845146</v>
      </c>
      <c r="AB4697" t="str">
        <f>HYPERLINK("Melting_Curves/meltCurve_Q8TD55_2_PLEKHO2.pdf", "Melting_Curves/meltCurve_Q8TD55_2_PLEKHO2.pdf")</f>
        <v>Melting_Curves/meltCurve_Q8TD55_2_PLEKHO2.pdf</v>
      </c>
    </row>
    <row r="4698" spans="1:28" x14ac:dyDescent="0.25">
      <c r="A4698" t="s">
        <v>4702</v>
      </c>
      <c r="B4698">
        <v>0.99193492352474899</v>
      </c>
      <c r="C4698">
        <v>0.44266021326077098</v>
      </c>
      <c r="D4698">
        <v>0.296369655522497</v>
      </c>
      <c r="E4698">
        <v>0.17542816822992599</v>
      </c>
      <c r="F4698">
        <v>0.12040194002403599</v>
      </c>
      <c r="G4698">
        <v>6.5607570494990899E-2</v>
      </c>
      <c r="H4698">
        <v>5.2188942598230002E-2</v>
      </c>
      <c r="I4698">
        <v>5.3819403175425801E-2</v>
      </c>
      <c r="J4698">
        <v>7.8625046467309306E-2</v>
      </c>
      <c r="K4698">
        <v>6.1406736187375098E-2</v>
      </c>
      <c r="L4698">
        <v>1142.11345735327</v>
      </c>
      <c r="M4698">
        <v>26.645760238799301</v>
      </c>
      <c r="N4698">
        <v>43.1736051300689</v>
      </c>
      <c r="O4698">
        <v>42.623630936793603</v>
      </c>
      <c r="P4698">
        <v>-0.142649525907874</v>
      </c>
      <c r="Q4698">
        <v>8.7258063691517701E-2</v>
      </c>
      <c r="R4698">
        <v>0.95358984351037701</v>
      </c>
      <c r="S4698" t="s">
        <v>11368</v>
      </c>
      <c r="T4698" t="s">
        <v>13338</v>
      </c>
      <c r="U4698" t="s">
        <v>13338</v>
      </c>
      <c r="V4698" t="s">
        <v>13338</v>
      </c>
      <c r="W4698" t="s">
        <v>17980</v>
      </c>
      <c r="X4698">
        <v>3</v>
      </c>
      <c r="Y4698" t="s">
        <v>24481</v>
      </c>
      <c r="Z4698" t="s">
        <v>31113</v>
      </c>
      <c r="AA4698">
        <v>0.1860349668920738</v>
      </c>
      <c r="AB4698" t="str">
        <f>HYPERLINK("Melting_Curves/meltCurve_Q8TDB6_DTX3L.pdf", "Melting_Curves/meltCurve_Q8TDB6_DTX3L.pdf")</f>
        <v>Melting_Curves/meltCurve_Q8TDB6_DTX3L.pdf</v>
      </c>
    </row>
    <row r="4699" spans="1:28" x14ac:dyDescent="0.25">
      <c r="A4699" t="s">
        <v>4703</v>
      </c>
      <c r="B4699">
        <v>0.99193492352474899</v>
      </c>
      <c r="C4699">
        <v>0.37761548822018998</v>
      </c>
      <c r="D4699">
        <v>0.89787473664460804</v>
      </c>
      <c r="E4699">
        <v>0.17362887911508801</v>
      </c>
      <c r="F4699">
        <v>0.150818278961624</v>
      </c>
      <c r="G4699">
        <v>9.9596369292335798E-2</v>
      </c>
      <c r="H4699">
        <v>7.2249323055193299E-2</v>
      </c>
      <c r="I4699">
        <v>7.8517837437782595E-2</v>
      </c>
      <c r="J4699">
        <v>0.12596325073485801</v>
      </c>
      <c r="K4699">
        <v>0.10420186833150701</v>
      </c>
      <c r="L4699">
        <v>582.73794234323702</v>
      </c>
      <c r="M4699">
        <v>12.7022544859769</v>
      </c>
      <c r="N4699">
        <v>46.306277845357499</v>
      </c>
      <c r="O4699">
        <v>44.7842668697268</v>
      </c>
      <c r="P4699">
        <v>-6.69802239502508E-2</v>
      </c>
      <c r="Q4699">
        <v>5.5575607635097599E-2</v>
      </c>
      <c r="R4699">
        <v>0.71983216514090498</v>
      </c>
      <c r="S4699" t="s">
        <v>11369</v>
      </c>
      <c r="T4699" t="s">
        <v>13338</v>
      </c>
      <c r="U4699" t="s">
        <v>13338</v>
      </c>
      <c r="V4699" t="s">
        <v>13338</v>
      </c>
      <c r="W4699" t="s">
        <v>17981</v>
      </c>
      <c r="X4699">
        <v>2</v>
      </c>
      <c r="Y4699" t="s">
        <v>24482</v>
      </c>
      <c r="Z4699" t="s">
        <v>31114</v>
      </c>
      <c r="AA4699">
        <v>0.27957935881303392</v>
      </c>
      <c r="AB4699" t="str">
        <f>HYPERLINK("Melting_Curves/meltCurve_Q8TDD1_DDX54.pdf", "Melting_Curves/meltCurve_Q8TDD1_DDX54.pdf")</f>
        <v>Melting_Curves/meltCurve_Q8TDD1_DDX54.pdf</v>
      </c>
    </row>
    <row r="4700" spans="1:28" x14ac:dyDescent="0.25">
      <c r="A4700" t="s">
        <v>4704</v>
      </c>
      <c r="B4700">
        <v>0.99193492352474899</v>
      </c>
      <c r="C4700">
        <v>1.0874046334499701</v>
      </c>
      <c r="D4700">
        <v>0.82524747456944503</v>
      </c>
      <c r="E4700">
        <v>0.70247955288568098</v>
      </c>
      <c r="F4700">
        <v>0.43490988014808002</v>
      </c>
      <c r="G4700">
        <v>0.27621021371900401</v>
      </c>
      <c r="H4700">
        <v>0.20881962601686299</v>
      </c>
      <c r="I4700">
        <v>0.27985031994205101</v>
      </c>
      <c r="J4700">
        <v>0.29267215548320602</v>
      </c>
      <c r="K4700">
        <v>0.48558041449790101</v>
      </c>
      <c r="L4700">
        <v>1206.7633622586</v>
      </c>
      <c r="M4700">
        <v>24.265800474900001</v>
      </c>
      <c r="N4700">
        <v>51.730804640884699</v>
      </c>
      <c r="O4700">
        <v>49.396981318700597</v>
      </c>
      <c r="P4700">
        <v>-8.5439744794890193E-2</v>
      </c>
      <c r="Q4700">
        <v>0.30430458924966802</v>
      </c>
      <c r="R4700">
        <v>0.92684961446459202</v>
      </c>
      <c r="S4700" t="s">
        <v>11370</v>
      </c>
      <c r="T4700" t="s">
        <v>13338</v>
      </c>
      <c r="U4700" t="s">
        <v>13338</v>
      </c>
      <c r="V4700" t="s">
        <v>13338</v>
      </c>
      <c r="W4700" t="s">
        <v>17982</v>
      </c>
      <c r="X4700">
        <v>8</v>
      </c>
      <c r="Y4700" t="s">
        <v>24483</v>
      </c>
      <c r="Z4700" t="s">
        <v>31115</v>
      </c>
      <c r="AA4700">
        <v>0.53655253566808558</v>
      </c>
      <c r="AB4700" t="str">
        <f>HYPERLINK("Melting_Curves/meltCurve_Q8TDH9_BLOC1S5.pdf", "Melting_Curves/meltCurve_Q8TDH9_BLOC1S5.pdf")</f>
        <v>Melting_Curves/meltCurve_Q8TDH9_BLOC1S5.pdf</v>
      </c>
    </row>
    <row r="4701" spans="1:28" x14ac:dyDescent="0.25">
      <c r="A4701" t="s">
        <v>4705</v>
      </c>
      <c r="B4701">
        <v>0.99193492352474899</v>
      </c>
      <c r="C4701">
        <v>0.72859623608884905</v>
      </c>
      <c r="D4701">
        <v>0.59334375021181196</v>
      </c>
      <c r="E4701">
        <v>0.44485385435330899</v>
      </c>
      <c r="F4701">
        <v>0.29509356766327</v>
      </c>
      <c r="G4701">
        <v>0.225247632847074</v>
      </c>
      <c r="H4701">
        <v>0.19073600880799299</v>
      </c>
      <c r="I4701">
        <v>0.392616160823891</v>
      </c>
      <c r="J4701">
        <v>0.132279755797822</v>
      </c>
      <c r="K4701">
        <v>0.75450318587475196</v>
      </c>
      <c r="L4701">
        <v>925.87039275234997</v>
      </c>
      <c r="M4701">
        <v>20.825652431944398</v>
      </c>
      <c r="N4701">
        <v>46.955806431330103</v>
      </c>
      <c r="O4701">
        <v>44.054322511796499</v>
      </c>
      <c r="P4701">
        <v>-7.8610929763017298E-2</v>
      </c>
      <c r="Q4701">
        <v>0.334847996051505</v>
      </c>
      <c r="R4701">
        <v>0.62956681459041497</v>
      </c>
      <c r="S4701" t="s">
        <v>11371</v>
      </c>
      <c r="T4701" t="s">
        <v>13338</v>
      </c>
      <c r="U4701" t="s">
        <v>13338</v>
      </c>
      <c r="V4701" t="s">
        <v>13338</v>
      </c>
      <c r="W4701" t="s">
        <v>17983</v>
      </c>
      <c r="X4701">
        <v>10</v>
      </c>
      <c r="Y4701" t="s">
        <v>24484</v>
      </c>
      <c r="Z4701" t="s">
        <v>31116</v>
      </c>
      <c r="AA4701">
        <v>0.44466412783214188</v>
      </c>
      <c r="AB4701" t="str">
        <f>HYPERLINK("Melting_Curves/meltCurve_Q8TDI0_CHD5.pdf", "Melting_Curves/meltCurve_Q8TDI0_CHD5.pdf")</f>
        <v>Melting_Curves/meltCurve_Q8TDI0_CHD5.pdf</v>
      </c>
    </row>
    <row r="4702" spans="1:28" x14ac:dyDescent="0.25">
      <c r="A4702" t="s">
        <v>4706</v>
      </c>
      <c r="B4702">
        <v>0.99193492352474899</v>
      </c>
      <c r="C4702">
        <v>0.81757991072050595</v>
      </c>
      <c r="D4702">
        <v>0.87077286044789604</v>
      </c>
      <c r="E4702">
        <v>0.68476830136358502</v>
      </c>
      <c r="F4702">
        <v>0.76723257477626605</v>
      </c>
      <c r="G4702">
        <v>0.56213120118992199</v>
      </c>
      <c r="H4702">
        <v>0.448874896121842</v>
      </c>
      <c r="I4702">
        <v>0.432314038686889</v>
      </c>
      <c r="J4702">
        <v>0.46121659087783801</v>
      </c>
      <c r="K4702">
        <v>0.19814646676216899</v>
      </c>
      <c r="L4702">
        <v>332.25004727704999</v>
      </c>
      <c r="M4702">
        <v>5.5416755392696704</v>
      </c>
      <c r="N4702">
        <v>59.954809477441501</v>
      </c>
      <c r="O4702">
        <v>53.505783654199298</v>
      </c>
      <c r="P4702">
        <v>-2.60039593891765E-2</v>
      </c>
      <c r="Q4702">
        <v>0</v>
      </c>
      <c r="R4702">
        <v>0.90510009953227599</v>
      </c>
      <c r="S4702" t="s">
        <v>11372</v>
      </c>
      <c r="T4702" t="s">
        <v>13338</v>
      </c>
      <c r="U4702" t="s">
        <v>13338</v>
      </c>
      <c r="V4702" t="s">
        <v>13338</v>
      </c>
      <c r="W4702" t="s">
        <v>17984</v>
      </c>
      <c r="X4702">
        <v>13</v>
      </c>
      <c r="Y4702" t="s">
        <v>24485</v>
      </c>
      <c r="Z4702" t="s">
        <v>31117</v>
      </c>
      <c r="AA4702">
        <v>0.62607991259733919</v>
      </c>
      <c r="AB4702" t="str">
        <f>HYPERLINK("Melting_Curves/meltCurve_Q8TDQ7_GNPDA2.pdf", "Melting_Curves/meltCurve_Q8TDQ7_GNPDA2.pdf")</f>
        <v>Melting_Curves/meltCurve_Q8TDQ7_GNPDA2.pdf</v>
      </c>
    </row>
    <row r="4703" spans="1:28" x14ac:dyDescent="0.25">
      <c r="A4703" t="s">
        <v>4707</v>
      </c>
      <c r="B4703">
        <v>0.99193492352474899</v>
      </c>
      <c r="C4703">
        <v>0.78747241029436099</v>
      </c>
      <c r="D4703">
        <v>0.95770491475513297</v>
      </c>
      <c r="E4703">
        <v>0.67124755300092598</v>
      </c>
      <c r="F4703">
        <v>0.64369190950302002</v>
      </c>
      <c r="G4703">
        <v>0.25728024153309698</v>
      </c>
      <c r="H4703">
        <v>0.121419472536537</v>
      </c>
      <c r="I4703">
        <v>9.3756539532484306E-2</v>
      </c>
      <c r="J4703">
        <v>0.101404694900705</v>
      </c>
      <c r="K4703">
        <v>9.7290651200606496E-2</v>
      </c>
      <c r="L4703">
        <v>702.62991922307504</v>
      </c>
      <c r="M4703">
        <v>13.178236165276999</v>
      </c>
      <c r="N4703">
        <v>53.447889993848797</v>
      </c>
      <c r="O4703">
        <v>52.134552753596601</v>
      </c>
      <c r="P4703">
        <v>-6.2203807799423402E-2</v>
      </c>
      <c r="Q4703">
        <v>1.58244526101111E-2</v>
      </c>
      <c r="R4703">
        <v>0.948909190159131</v>
      </c>
      <c r="S4703" t="s">
        <v>11373</v>
      </c>
      <c r="T4703" t="s">
        <v>13338</v>
      </c>
      <c r="U4703" t="s">
        <v>13338</v>
      </c>
      <c r="V4703" t="s">
        <v>13338</v>
      </c>
      <c r="W4703" t="s">
        <v>17985</v>
      </c>
      <c r="X4703">
        <v>4</v>
      </c>
      <c r="Y4703" t="s">
        <v>24486</v>
      </c>
      <c r="Z4703" t="s">
        <v>31118</v>
      </c>
      <c r="AA4703">
        <v>0.47731054393123629</v>
      </c>
      <c r="AB4703" t="str">
        <f>HYPERLINK("Melting_Curves/meltCurve_Q8TDW0_LRRC8C.pdf", "Melting_Curves/meltCurve_Q8TDW0_LRRC8C.pdf")</f>
        <v>Melting_Curves/meltCurve_Q8TDW0_LRRC8C.pdf</v>
      </c>
    </row>
    <row r="4704" spans="1:28" x14ac:dyDescent="0.25">
      <c r="A4704" t="s">
        <v>4708</v>
      </c>
      <c r="B4704">
        <v>0.99193492352474899</v>
      </c>
      <c r="C4704">
        <v>1.1570772845010999</v>
      </c>
      <c r="D4704">
        <v>1.1241280967478899</v>
      </c>
      <c r="E4704">
        <v>0.95616602965401198</v>
      </c>
      <c r="F4704">
        <v>0.30138176427783497</v>
      </c>
      <c r="G4704">
        <v>0.15841627679633299</v>
      </c>
      <c r="H4704">
        <v>0.104760414230667</v>
      </c>
      <c r="I4704">
        <v>0.126602749663216</v>
      </c>
      <c r="J4704">
        <v>0.10709251660423</v>
      </c>
      <c r="K4704">
        <v>0.14333734964001299</v>
      </c>
      <c r="L4704">
        <v>3153.6725573857002</v>
      </c>
      <c r="M4704">
        <v>60.655946974954801</v>
      </c>
      <c r="N4704">
        <v>52.244617946022998</v>
      </c>
      <c r="O4704">
        <v>51.9363526040596</v>
      </c>
      <c r="P4704">
        <v>-0.25496507653744799</v>
      </c>
      <c r="Q4704">
        <v>0.12674964404912001</v>
      </c>
      <c r="R4704">
        <v>0.97897635264220495</v>
      </c>
      <c r="S4704" t="s">
        <v>11374</v>
      </c>
      <c r="T4704" t="s">
        <v>13338</v>
      </c>
      <c r="U4704" t="s">
        <v>13338</v>
      </c>
      <c r="V4704" t="s">
        <v>13338</v>
      </c>
      <c r="W4704" t="s">
        <v>17986</v>
      </c>
      <c r="X4704">
        <v>8</v>
      </c>
      <c r="Y4704" t="s">
        <v>24487</v>
      </c>
      <c r="Z4704" t="s">
        <v>31119</v>
      </c>
      <c r="AA4704">
        <v>0.47719863775734422</v>
      </c>
      <c r="AB4704" t="str">
        <f>HYPERLINK("Melting_Curves/meltCurve_Q8TDX7_NEK7.pdf", "Melting_Curves/meltCurve_Q8TDX7_NEK7.pdf")</f>
        <v>Melting_Curves/meltCurve_Q8TDX7_NEK7.pdf</v>
      </c>
    </row>
    <row r="4705" spans="1:28" x14ac:dyDescent="0.25">
      <c r="A4705" t="s">
        <v>4709</v>
      </c>
      <c r="B4705">
        <v>0.99193492352474899</v>
      </c>
      <c r="C4705">
        <v>0.62442825422131698</v>
      </c>
      <c r="D4705">
        <v>1.15623582843669</v>
      </c>
      <c r="E4705">
        <v>0.73268795459171498</v>
      </c>
      <c r="F4705">
        <v>1.0160947036475101</v>
      </c>
      <c r="G4705">
        <v>0.61802084730568296</v>
      </c>
      <c r="H4705">
        <v>0.85652797053557395</v>
      </c>
      <c r="I4705">
        <v>0.70510886942509998</v>
      </c>
      <c r="J4705">
        <v>0.686028337699369</v>
      </c>
      <c r="K4705">
        <v>1.0823502796036499</v>
      </c>
      <c r="L4705">
        <v>349.249402331299</v>
      </c>
      <c r="M4705">
        <v>8.5877198434303494</v>
      </c>
      <c r="Q4705">
        <v>0.81491022112621703</v>
      </c>
      <c r="R4705">
        <v>2.6667649729516199E-2</v>
      </c>
      <c r="S4705" t="s">
        <v>11375</v>
      </c>
      <c r="T4705" t="s">
        <v>13338</v>
      </c>
      <c r="U4705" t="s">
        <v>13338</v>
      </c>
      <c r="V4705" t="s">
        <v>13338</v>
      </c>
      <c r="W4705" t="s">
        <v>17987</v>
      </c>
      <c r="X4705">
        <v>2</v>
      </c>
      <c r="Y4705" t="s">
        <v>24488</v>
      </c>
      <c r="Z4705" t="s">
        <v>31120</v>
      </c>
      <c r="AA4705">
        <v>0.84345384184624128</v>
      </c>
      <c r="AB4705" t="str">
        <f>HYPERLINK("Melting_Curves/meltCurve_Q8TDY2_2_RB1CC1.pdf", "Melting_Curves/meltCurve_Q8TDY2_2_RB1CC1.pdf")</f>
        <v>Melting_Curves/meltCurve_Q8TDY2_2_RB1CC1.pdf</v>
      </c>
    </row>
    <row r="4706" spans="1:28" x14ac:dyDescent="0.25">
      <c r="A4706" t="s">
        <v>4710</v>
      </c>
      <c r="B4706">
        <v>0.99193492352474899</v>
      </c>
      <c r="C4706">
        <v>1.0170326668621701</v>
      </c>
      <c r="D4706">
        <v>0.51980597828535402</v>
      </c>
      <c r="E4706">
        <v>0.23106913924929101</v>
      </c>
      <c r="F4706">
        <v>0.17331242504054001</v>
      </c>
      <c r="G4706">
        <v>0.10335944350195</v>
      </c>
      <c r="H4706">
        <v>6.5468136757808701E-2</v>
      </c>
      <c r="I4706">
        <v>7.2214578633034099E-2</v>
      </c>
      <c r="J4706">
        <v>6.80981881489819E-2</v>
      </c>
      <c r="K4706">
        <v>6.9284866845783694E-2</v>
      </c>
      <c r="L4706">
        <v>1549.3945807959201</v>
      </c>
      <c r="M4706">
        <v>33.609483966496697</v>
      </c>
      <c r="N4706">
        <v>46.394588839502198</v>
      </c>
      <c r="O4706">
        <v>45.937658324823097</v>
      </c>
      <c r="P4706">
        <v>-0.16532967404043999</v>
      </c>
      <c r="Q4706">
        <v>9.6109569035962503E-2</v>
      </c>
      <c r="R4706">
        <v>0.98453721103444702</v>
      </c>
      <c r="S4706" t="s">
        <v>11376</v>
      </c>
      <c r="T4706" t="s">
        <v>13338</v>
      </c>
      <c r="U4706" t="s">
        <v>13338</v>
      </c>
      <c r="V4706" t="s">
        <v>13338</v>
      </c>
      <c r="W4706" t="s">
        <v>17988</v>
      </c>
      <c r="X4706">
        <v>17</v>
      </c>
      <c r="Y4706" t="s">
        <v>24489</v>
      </c>
      <c r="Z4706" t="s">
        <v>31121</v>
      </c>
      <c r="AA4706">
        <v>0.28416891335633637</v>
      </c>
      <c r="AB4706" t="str">
        <f>HYPERLINK("Melting_Curves/meltCurve_Q8TDZ2_MICAL1.pdf", "Melting_Curves/meltCurve_Q8TDZ2_MICAL1.pdf")</f>
        <v>Melting_Curves/meltCurve_Q8TDZ2_MICAL1.pdf</v>
      </c>
    </row>
    <row r="4707" spans="1:28" x14ac:dyDescent="0.25">
      <c r="A4707" t="s">
        <v>4711</v>
      </c>
      <c r="B4707">
        <v>0.99193492352474899</v>
      </c>
      <c r="C4707">
        <v>0.60641482953164205</v>
      </c>
      <c r="D4707">
        <v>0.92168039331498497</v>
      </c>
      <c r="E4707">
        <v>0.58184958194119696</v>
      </c>
      <c r="F4707">
        <v>0.48244457266886098</v>
      </c>
      <c r="G4707">
        <v>9.9872030052985297E-2</v>
      </c>
      <c r="H4707">
        <v>5.3829047730946301E-2</v>
      </c>
      <c r="I4707">
        <v>9.0245460988245096E-2</v>
      </c>
      <c r="J4707">
        <v>2.9155770590028302E-2</v>
      </c>
      <c r="K4707">
        <v>1.23436910754621</v>
      </c>
      <c r="L4707">
        <v>826.34808674602698</v>
      </c>
      <c r="M4707">
        <v>17.347144571453899</v>
      </c>
      <c r="N4707">
        <v>50.501802453002398</v>
      </c>
      <c r="O4707">
        <v>47.016458232822202</v>
      </c>
      <c r="P4707">
        <v>-6.3356917247582703E-2</v>
      </c>
      <c r="Q4707">
        <v>0.31316706127190802</v>
      </c>
      <c r="R4707">
        <v>0.27755877654863098</v>
      </c>
      <c r="S4707" t="s">
        <v>11377</v>
      </c>
      <c r="T4707" t="s">
        <v>13338</v>
      </c>
      <c r="U4707" t="s">
        <v>13338</v>
      </c>
      <c r="V4707" t="s">
        <v>13338</v>
      </c>
      <c r="W4707" t="s">
        <v>17989</v>
      </c>
      <c r="X4707">
        <v>5</v>
      </c>
      <c r="Y4707" t="s">
        <v>24490</v>
      </c>
      <c r="Z4707" t="s">
        <v>31122</v>
      </c>
      <c r="AA4707">
        <v>0.501324417337356</v>
      </c>
      <c r="AB4707" t="str">
        <f>HYPERLINK("Melting_Curves/meltCurve_Q8TE04_2_PANK1.pdf", "Melting_Curves/meltCurve_Q8TE04_2_PANK1.pdf")</f>
        <v>Melting_Curves/meltCurve_Q8TE04_2_PANK1.pdf</v>
      </c>
    </row>
    <row r="4708" spans="1:28" x14ac:dyDescent="0.25">
      <c r="A4708" t="s">
        <v>4712</v>
      </c>
      <c r="B4708">
        <v>0.99193492352474899</v>
      </c>
      <c r="C4708">
        <v>0.79028174289719999</v>
      </c>
      <c r="D4708">
        <v>0.91748982485988695</v>
      </c>
      <c r="E4708">
        <v>0.63500973652870096</v>
      </c>
      <c r="F4708">
        <v>0.39825370228694501</v>
      </c>
      <c r="G4708">
        <v>0.14826943694917299</v>
      </c>
      <c r="H4708">
        <v>8.57417726808897E-2</v>
      </c>
      <c r="I4708">
        <v>9.0946589987559404E-2</v>
      </c>
      <c r="J4708">
        <v>0.110454597794071</v>
      </c>
      <c r="K4708">
        <v>9.1005088813323198E-2</v>
      </c>
      <c r="L4708">
        <v>845.20591972407897</v>
      </c>
      <c r="M4708">
        <v>16.611495804100699</v>
      </c>
      <c r="N4708">
        <v>51.279366932439501</v>
      </c>
      <c r="O4708">
        <v>50.160563267783999</v>
      </c>
      <c r="P4708">
        <v>-7.7782629548710805E-2</v>
      </c>
      <c r="Q4708">
        <v>6.0564693925149703E-2</v>
      </c>
      <c r="R4708">
        <v>0.96969956948061398</v>
      </c>
      <c r="S4708" t="s">
        <v>11378</v>
      </c>
      <c r="T4708" t="s">
        <v>13338</v>
      </c>
      <c r="U4708" t="s">
        <v>13338</v>
      </c>
      <c r="V4708" t="s">
        <v>13338</v>
      </c>
      <c r="W4708" t="s">
        <v>17990</v>
      </c>
      <c r="X4708">
        <v>12</v>
      </c>
      <c r="Y4708" t="s">
        <v>24491</v>
      </c>
      <c r="Z4708" t="s">
        <v>31123</v>
      </c>
      <c r="AA4708">
        <v>0.41958513104643103</v>
      </c>
      <c r="AB4708" t="str">
        <f>HYPERLINK("Melting_Curves/meltCurve_Q8TEA1_NSUN6.pdf", "Melting_Curves/meltCurve_Q8TEA1_NSUN6.pdf")</f>
        <v>Melting_Curves/meltCurve_Q8TEA1_NSUN6.pdf</v>
      </c>
    </row>
    <row r="4709" spans="1:28" x14ac:dyDescent="0.25">
      <c r="A4709" t="s">
        <v>4713</v>
      </c>
      <c r="B4709">
        <v>0.99193492352474899</v>
      </c>
      <c r="C4709">
        <v>1.03244413411568</v>
      </c>
      <c r="D4709">
        <v>0.91591281251419099</v>
      </c>
      <c r="E4709">
        <v>0.75917412526407302</v>
      </c>
      <c r="F4709">
        <v>0.79568704806111201</v>
      </c>
      <c r="G4709">
        <v>0.45852341181616502</v>
      </c>
      <c r="H4709">
        <v>0.47486203207989902</v>
      </c>
      <c r="I4709">
        <v>0.430890049052566</v>
      </c>
      <c r="J4709">
        <v>0.63847632587360403</v>
      </c>
      <c r="K4709">
        <v>0.51881055820288002</v>
      </c>
      <c r="L4709">
        <v>936.43170836302397</v>
      </c>
      <c r="M4709">
        <v>18.338540094091702</v>
      </c>
      <c r="O4709">
        <v>50.468008823275802</v>
      </c>
      <c r="P4709">
        <v>-4.5556277010953397E-2</v>
      </c>
      <c r="Q4709">
        <v>0.49853605371480803</v>
      </c>
      <c r="R4709">
        <v>0.86719053206786401</v>
      </c>
      <c r="S4709" t="s">
        <v>11379</v>
      </c>
      <c r="T4709" t="s">
        <v>13338</v>
      </c>
      <c r="U4709" t="s">
        <v>13338</v>
      </c>
      <c r="V4709" t="s">
        <v>13338</v>
      </c>
      <c r="W4709" t="s">
        <v>17991</v>
      </c>
      <c r="X4709">
        <v>5</v>
      </c>
      <c r="Y4709" t="s">
        <v>24492</v>
      </c>
      <c r="Z4709" t="s">
        <v>31124</v>
      </c>
      <c r="AA4709">
        <v>0.69163307293086873</v>
      </c>
      <c r="AB4709" t="str">
        <f>HYPERLINK("Melting_Curves/meltCurve_Q8TEA8_DTD1.pdf", "Melting_Curves/meltCurve_Q8TEA8_DTD1.pdf")</f>
        <v>Melting_Curves/meltCurve_Q8TEA8_DTD1.pdf</v>
      </c>
    </row>
    <row r="4710" spans="1:28" x14ac:dyDescent="0.25">
      <c r="A4710" t="s">
        <v>4714</v>
      </c>
      <c r="B4710">
        <v>0.99193492352474899</v>
      </c>
      <c r="C4710">
        <v>1.08378010535171</v>
      </c>
      <c r="D4710">
        <v>1.0173757106654</v>
      </c>
      <c r="E4710">
        <v>0.88557693199986098</v>
      </c>
      <c r="F4710">
        <v>0.79097509534321797</v>
      </c>
      <c r="G4710">
        <v>0.49174430807852598</v>
      </c>
      <c r="H4710">
        <v>0.165348862270183</v>
      </c>
      <c r="I4710">
        <v>0.11067654376906701</v>
      </c>
      <c r="J4710">
        <v>0.123460868579019</v>
      </c>
      <c r="K4710">
        <v>9.5490856549897696E-2</v>
      </c>
      <c r="L4710">
        <v>1269.6708473362801</v>
      </c>
      <c r="M4710">
        <v>22.679617145880702</v>
      </c>
      <c r="N4710">
        <v>56.391323032414398</v>
      </c>
      <c r="O4710">
        <v>55.553109257405602</v>
      </c>
      <c r="P4710">
        <v>-9.4334627771087004E-2</v>
      </c>
      <c r="Q4710">
        <v>7.5737808590414707E-2</v>
      </c>
      <c r="R4710">
        <v>0.98997243203205298</v>
      </c>
      <c r="S4710" t="s">
        <v>11380</v>
      </c>
      <c r="T4710" t="s">
        <v>13338</v>
      </c>
      <c r="U4710" t="s">
        <v>13338</v>
      </c>
      <c r="V4710" t="s">
        <v>13338</v>
      </c>
      <c r="W4710" t="s">
        <v>17992</v>
      </c>
      <c r="X4710">
        <v>7</v>
      </c>
      <c r="Y4710" t="s">
        <v>24493</v>
      </c>
      <c r="Z4710" t="s">
        <v>31125</v>
      </c>
      <c r="AA4710">
        <v>0.57807329814500741</v>
      </c>
      <c r="AB4710" t="str">
        <f>HYPERLINK("Melting_Curves/meltCurve_Q8TEB1_2_DCAF11.pdf", "Melting_Curves/meltCurve_Q8TEB1_2_DCAF11.pdf")</f>
        <v>Melting_Curves/meltCurve_Q8TEB1_2_DCAF11.pdf</v>
      </c>
    </row>
    <row r="4711" spans="1:28" x14ac:dyDescent="0.25">
      <c r="A4711" t="s">
        <v>4715</v>
      </c>
      <c r="B4711">
        <v>0.99193492352474899</v>
      </c>
      <c r="C4711">
        <v>0.606536713746469</v>
      </c>
      <c r="D4711">
        <v>0.85840202667453802</v>
      </c>
      <c r="E4711">
        <v>0.54744040448253195</v>
      </c>
      <c r="F4711">
        <v>0.51779290866584005</v>
      </c>
      <c r="G4711">
        <v>0.29009578559093502</v>
      </c>
      <c r="H4711">
        <v>0.16677939925059199</v>
      </c>
      <c r="I4711">
        <v>0.124013819634128</v>
      </c>
      <c r="J4711">
        <v>0.104418631223992</v>
      </c>
      <c r="K4711">
        <v>9.8611905552048698E-2</v>
      </c>
      <c r="L4711">
        <v>436.19526375642602</v>
      </c>
      <c r="M4711">
        <v>8.4975865936652504</v>
      </c>
      <c r="N4711">
        <v>51.331657622124702</v>
      </c>
      <c r="O4711">
        <v>48.725602694172899</v>
      </c>
      <c r="P4711">
        <v>-4.3638514184887699E-2</v>
      </c>
      <c r="Q4711">
        <v>0</v>
      </c>
      <c r="R4711">
        <v>0.90487790801357804</v>
      </c>
      <c r="S4711" t="s">
        <v>11381</v>
      </c>
      <c r="T4711" t="s">
        <v>13338</v>
      </c>
      <c r="U4711" t="s">
        <v>13338</v>
      </c>
      <c r="V4711" t="s">
        <v>13338</v>
      </c>
      <c r="W4711" t="s">
        <v>17993</v>
      </c>
      <c r="X4711">
        <v>6</v>
      </c>
      <c r="Y4711" t="s">
        <v>24494</v>
      </c>
      <c r="Z4711" t="s">
        <v>31126</v>
      </c>
      <c r="AA4711">
        <v>0.42606016297696397</v>
      </c>
      <c r="AB4711" t="str">
        <f>HYPERLINK("Melting_Curves/meltCurve_Q8TED0_UTP15.pdf", "Melting_Curves/meltCurve_Q8TED0_UTP15.pdf")</f>
        <v>Melting_Curves/meltCurve_Q8TED0_UTP15.pdf</v>
      </c>
    </row>
    <row r="4712" spans="1:28" x14ac:dyDescent="0.25">
      <c r="A4712" t="s">
        <v>4716</v>
      </c>
      <c r="B4712">
        <v>0.99193492352474899</v>
      </c>
      <c r="C4712">
        <v>0.89666556912246498</v>
      </c>
      <c r="D4712">
        <v>0.73391768650525702</v>
      </c>
      <c r="E4712">
        <v>0.36620432454570201</v>
      </c>
      <c r="F4712">
        <v>0.228238786017012</v>
      </c>
      <c r="G4712">
        <v>0.12777046880604501</v>
      </c>
      <c r="H4712">
        <v>8.9317696594599205E-2</v>
      </c>
      <c r="I4712">
        <v>0.14051887562923099</v>
      </c>
      <c r="J4712">
        <v>0.12175556029459</v>
      </c>
      <c r="K4712">
        <v>0.16929414923535299</v>
      </c>
      <c r="L4712">
        <v>1027.45587241661</v>
      </c>
      <c r="M4712">
        <v>21.603260521052299</v>
      </c>
      <c r="N4712">
        <v>48.202196123542699</v>
      </c>
      <c r="O4712">
        <v>47.158339274791501</v>
      </c>
      <c r="P4712">
        <v>-0.10021020074421599</v>
      </c>
      <c r="Q4712">
        <v>0.12501513169998399</v>
      </c>
      <c r="R4712">
        <v>0.994341606308906</v>
      </c>
      <c r="S4712" t="s">
        <v>11382</v>
      </c>
      <c r="T4712" t="s">
        <v>13338</v>
      </c>
      <c r="U4712" t="s">
        <v>13338</v>
      </c>
      <c r="V4712" t="s">
        <v>13338</v>
      </c>
      <c r="W4712" t="s">
        <v>17994</v>
      </c>
      <c r="X4712">
        <v>4</v>
      </c>
      <c r="Y4712" t="s">
        <v>24495</v>
      </c>
      <c r="Z4712" t="s">
        <v>31127</v>
      </c>
      <c r="AA4712">
        <v>0.35615307093560811</v>
      </c>
      <c r="AB4712" t="str">
        <f>HYPERLINK("Melting_Curves/meltCurve_Q8TEH3_DENND1A.pdf", "Melting_Curves/meltCurve_Q8TEH3_DENND1A.pdf")</f>
        <v>Melting_Curves/meltCurve_Q8TEH3_DENND1A.pdf</v>
      </c>
    </row>
    <row r="4713" spans="1:28" x14ac:dyDescent="0.25">
      <c r="A4713" t="s">
        <v>4717</v>
      </c>
      <c r="B4713">
        <v>0.99193492352474899</v>
      </c>
      <c r="C4713">
        <v>0.90725482740001995</v>
      </c>
      <c r="D4713">
        <v>0.99505090904599902</v>
      </c>
      <c r="E4713">
        <v>0.75311353271203696</v>
      </c>
      <c r="F4713">
        <v>0.38872096618490698</v>
      </c>
      <c r="G4713">
        <v>0.166979830422573</v>
      </c>
      <c r="H4713">
        <v>0.10207100163638499</v>
      </c>
      <c r="I4713">
        <v>0.10254315065358</v>
      </c>
      <c r="J4713">
        <v>0.102447112565816</v>
      </c>
      <c r="K4713">
        <v>9.0219555763650594E-2</v>
      </c>
      <c r="L4713">
        <v>1317.61176858666</v>
      </c>
      <c r="M4713">
        <v>25.524906014623799</v>
      </c>
      <c r="N4713">
        <v>52.033626450676202</v>
      </c>
      <c r="O4713">
        <v>51.306917079025602</v>
      </c>
      <c r="P4713">
        <v>-0.112970605816059</v>
      </c>
      <c r="Q4713">
        <v>9.1694793783439102E-2</v>
      </c>
      <c r="R4713">
        <v>0.99371935503646802</v>
      </c>
      <c r="S4713" t="s">
        <v>11383</v>
      </c>
      <c r="T4713" t="s">
        <v>13338</v>
      </c>
      <c r="U4713" t="s">
        <v>13338</v>
      </c>
      <c r="V4713" t="s">
        <v>13338</v>
      </c>
      <c r="W4713" t="s">
        <v>17995</v>
      </c>
      <c r="X4713">
        <v>34</v>
      </c>
      <c r="Y4713" t="s">
        <v>24496</v>
      </c>
      <c r="Z4713" t="s">
        <v>31128</v>
      </c>
      <c r="AA4713">
        <v>0.45146385973383762</v>
      </c>
      <c r="AB4713" t="str">
        <f>HYPERLINK("Melting_Curves/meltCurve_Q8TEM1_NUP210.pdf", "Melting_Curves/meltCurve_Q8TEM1_NUP210.pdf")</f>
        <v>Melting_Curves/meltCurve_Q8TEM1_NUP210.pdf</v>
      </c>
    </row>
    <row r="4714" spans="1:28" x14ac:dyDescent="0.25">
      <c r="A4714" t="s">
        <v>4718</v>
      </c>
      <c r="B4714">
        <v>0.99193492352474899</v>
      </c>
      <c r="C4714">
        <v>0.88158646075698899</v>
      </c>
      <c r="D4714">
        <v>0.67580548409590802</v>
      </c>
      <c r="E4714">
        <v>0.317799018725759</v>
      </c>
      <c r="F4714">
        <v>0.28331316792261702</v>
      </c>
      <c r="G4714">
        <v>0.17946201342201301</v>
      </c>
      <c r="H4714">
        <v>0.108664109585831</v>
      </c>
      <c r="I4714">
        <v>8.2595889022274799E-2</v>
      </c>
      <c r="J4714">
        <v>7.3402775240874296E-2</v>
      </c>
      <c r="K4714">
        <v>0.11187433478942101</v>
      </c>
      <c r="L4714">
        <v>827.76272490399401</v>
      </c>
      <c r="M4714">
        <v>17.477116552479099</v>
      </c>
      <c r="N4714">
        <v>47.968396370068596</v>
      </c>
      <c r="O4714">
        <v>46.755617620705202</v>
      </c>
      <c r="P4714">
        <v>-8.4200544205123004E-2</v>
      </c>
      <c r="Q4714">
        <v>9.9020408648923405E-2</v>
      </c>
      <c r="R4714">
        <v>0.988550143463785</v>
      </c>
      <c r="S4714" t="s">
        <v>11384</v>
      </c>
      <c r="T4714" t="s">
        <v>13338</v>
      </c>
      <c r="U4714" t="s">
        <v>13338</v>
      </c>
      <c r="V4714" t="s">
        <v>13338</v>
      </c>
      <c r="W4714" t="s">
        <v>17996</v>
      </c>
      <c r="X4714">
        <v>2</v>
      </c>
      <c r="Y4714" t="s">
        <v>24497</v>
      </c>
      <c r="Z4714" t="s">
        <v>31129</v>
      </c>
      <c r="AA4714">
        <v>0.33755760540330448</v>
      </c>
      <c r="AB4714" t="str">
        <f>HYPERLINK("Melting_Curves/meltCurve_Q8TEQ0_2_SNX29.pdf", "Melting_Curves/meltCurve_Q8TEQ0_2_SNX29.pdf")</f>
        <v>Melting_Curves/meltCurve_Q8TEQ0_2_SNX29.pdf</v>
      </c>
    </row>
    <row r="4715" spans="1:28" x14ac:dyDescent="0.25">
      <c r="A4715" t="s">
        <v>4719</v>
      </c>
      <c r="B4715">
        <v>0.99193492352474899</v>
      </c>
      <c r="C4715">
        <v>0.75284253861538697</v>
      </c>
      <c r="D4715">
        <v>0.86375824769668796</v>
      </c>
      <c r="E4715">
        <v>0.41288918814485198</v>
      </c>
      <c r="F4715">
        <v>0.196916332369449</v>
      </c>
      <c r="G4715">
        <v>0.112203584250974</v>
      </c>
      <c r="H4715">
        <v>7.6849100792099598E-2</v>
      </c>
      <c r="I4715">
        <v>8.8398048924888201E-2</v>
      </c>
      <c r="J4715">
        <v>9.7111407015709306E-2</v>
      </c>
      <c r="K4715">
        <v>0.112652318024014</v>
      </c>
      <c r="L4715">
        <v>942.27568984870095</v>
      </c>
      <c r="M4715">
        <v>19.459228997508799</v>
      </c>
      <c r="N4715">
        <v>48.852525909538997</v>
      </c>
      <c r="O4715">
        <v>47.920382947717599</v>
      </c>
      <c r="P4715">
        <v>-9.3541028684923505E-2</v>
      </c>
      <c r="Q4715">
        <v>7.86152278855691E-2</v>
      </c>
      <c r="R4715">
        <v>0.96131473632419695</v>
      </c>
      <c r="S4715" t="s">
        <v>11385</v>
      </c>
      <c r="T4715" t="s">
        <v>13338</v>
      </c>
      <c r="U4715" t="s">
        <v>13338</v>
      </c>
      <c r="V4715" t="s">
        <v>13338</v>
      </c>
      <c r="W4715" t="s">
        <v>17997</v>
      </c>
      <c r="X4715">
        <v>25</v>
      </c>
      <c r="Y4715" t="s">
        <v>24498</v>
      </c>
      <c r="Z4715" t="s">
        <v>31130</v>
      </c>
      <c r="AA4715">
        <v>0.35107014880265469</v>
      </c>
      <c r="AB4715" t="str">
        <f>HYPERLINK("Melting_Curves/meltCurve_Q8TEQ6_GEMIN5.pdf", "Melting_Curves/meltCurve_Q8TEQ6_GEMIN5.pdf")</f>
        <v>Melting_Curves/meltCurve_Q8TEQ6_GEMIN5.pdf</v>
      </c>
    </row>
    <row r="4716" spans="1:28" x14ac:dyDescent="0.25">
      <c r="A4716" t="s">
        <v>4720</v>
      </c>
      <c r="B4716">
        <v>0.99193492352474899</v>
      </c>
      <c r="C4716">
        <v>0.62486049000828003</v>
      </c>
      <c r="D4716">
        <v>0.511844151721076</v>
      </c>
      <c r="E4716">
        <v>0.23351736406645701</v>
      </c>
      <c r="F4716">
        <v>0.15515771168606499</v>
      </c>
      <c r="G4716">
        <v>0.14081901327707699</v>
      </c>
      <c r="H4716">
        <v>8.0033765402820506E-2</v>
      </c>
      <c r="I4716">
        <v>8.6933648835731403E-2</v>
      </c>
      <c r="J4716">
        <v>0.113751671806159</v>
      </c>
      <c r="K4716">
        <v>0.110667189619635</v>
      </c>
      <c r="L4716">
        <v>767.42941414030395</v>
      </c>
      <c r="M4716">
        <v>17.093843830782401</v>
      </c>
      <c r="N4716">
        <v>45.473211582357898</v>
      </c>
      <c r="O4716">
        <v>44.294158117351103</v>
      </c>
      <c r="P4716">
        <v>-8.7061333063978494E-2</v>
      </c>
      <c r="Q4716">
        <v>9.7669244272559796E-2</v>
      </c>
      <c r="R4716">
        <v>0.97391585357454802</v>
      </c>
      <c r="S4716" t="s">
        <v>11386</v>
      </c>
      <c r="T4716" t="s">
        <v>13338</v>
      </c>
      <c r="U4716" t="s">
        <v>13338</v>
      </c>
      <c r="V4716" t="s">
        <v>13338</v>
      </c>
      <c r="W4716" t="s">
        <v>17998</v>
      </c>
      <c r="X4716">
        <v>7</v>
      </c>
      <c r="Y4716" t="s">
        <v>24499</v>
      </c>
      <c r="Z4716" t="s">
        <v>31131</v>
      </c>
      <c r="AA4716">
        <v>0.26701379160939592</v>
      </c>
      <c r="AB4716" t="str">
        <f>HYPERLINK("Melting_Curves/meltCurve_Q8TEW0_7_PARD3.pdf", "Melting_Curves/meltCurve_Q8TEW0_7_PARD3.pdf")</f>
        <v>Melting_Curves/meltCurve_Q8TEW0_7_PARD3.pdf</v>
      </c>
    </row>
    <row r="4717" spans="1:28" x14ac:dyDescent="0.25">
      <c r="A4717" t="s">
        <v>4721</v>
      </c>
      <c r="B4717">
        <v>0.99193492352474899</v>
      </c>
      <c r="C4717">
        <v>0.82304705320620297</v>
      </c>
      <c r="D4717">
        <v>0.53600705362228196</v>
      </c>
      <c r="E4717">
        <v>0.24256948337053799</v>
      </c>
      <c r="F4717">
        <v>0.12536790359627401</v>
      </c>
      <c r="G4717">
        <v>7.8958510694686193E-2</v>
      </c>
      <c r="H4717">
        <v>6.1587630104972001E-2</v>
      </c>
      <c r="I4717">
        <v>7.3684967036072899E-2</v>
      </c>
      <c r="J4717">
        <v>6.8118924608901205E-2</v>
      </c>
      <c r="K4717">
        <v>7.1389741862957504E-2</v>
      </c>
      <c r="L4717">
        <v>960.73558992696098</v>
      </c>
      <c r="M4717">
        <v>20.865315647617599</v>
      </c>
      <c r="N4717">
        <v>46.362567571947103</v>
      </c>
      <c r="O4717">
        <v>45.627939369134197</v>
      </c>
      <c r="P4717">
        <v>-0.10670520341782599</v>
      </c>
      <c r="Q4717">
        <v>6.6660707230299099E-2</v>
      </c>
      <c r="R4717">
        <v>0.99885091843677998</v>
      </c>
      <c r="S4717" t="s">
        <v>11387</v>
      </c>
      <c r="T4717" t="s">
        <v>13338</v>
      </c>
      <c r="U4717" t="s">
        <v>13338</v>
      </c>
      <c r="V4717" t="s">
        <v>13338</v>
      </c>
      <c r="W4717" t="s">
        <v>17999</v>
      </c>
      <c r="X4717">
        <v>15</v>
      </c>
      <c r="Y4717" t="s">
        <v>24500</v>
      </c>
      <c r="Z4717" t="s">
        <v>31132</v>
      </c>
      <c r="AA4717">
        <v>0.26776902092742572</v>
      </c>
      <c r="AB4717" t="str">
        <f>HYPERLINK("Melting_Curves/meltCurve_Q8TEX9_IPO4.pdf", "Melting_Curves/meltCurve_Q8TEX9_IPO4.pdf")</f>
        <v>Melting_Curves/meltCurve_Q8TEX9_IPO4.pdf</v>
      </c>
    </row>
    <row r="4718" spans="1:28" x14ac:dyDescent="0.25">
      <c r="A4718" t="s">
        <v>4722</v>
      </c>
      <c r="B4718">
        <v>0.99193492352474899</v>
      </c>
      <c r="C4718">
        <v>0.76263486165616601</v>
      </c>
      <c r="D4718">
        <v>0.90793747253301205</v>
      </c>
      <c r="E4718">
        <v>0.70816733419626099</v>
      </c>
      <c r="F4718">
        <v>0.66121309155641494</v>
      </c>
      <c r="G4718">
        <v>0.44127133203096303</v>
      </c>
      <c r="H4718">
        <v>0.35485059744206598</v>
      </c>
      <c r="I4718">
        <v>0.31439091002634301</v>
      </c>
      <c r="J4718">
        <v>0.27202324515802401</v>
      </c>
      <c r="K4718">
        <v>0.25657181137011298</v>
      </c>
      <c r="L4718">
        <v>420.89755545716702</v>
      </c>
      <c r="M4718">
        <v>7.6836194445120398</v>
      </c>
      <c r="N4718">
        <v>56.275339605337997</v>
      </c>
      <c r="O4718">
        <v>51.438350164037601</v>
      </c>
      <c r="P4718">
        <v>-3.3937140575583301E-2</v>
      </c>
      <c r="Q4718">
        <v>9.2417828658807197E-2</v>
      </c>
      <c r="R4718">
        <v>0.94813545346574102</v>
      </c>
      <c r="S4718" t="s">
        <v>11388</v>
      </c>
      <c r="T4718" t="s">
        <v>13338</v>
      </c>
      <c r="U4718" t="s">
        <v>13338</v>
      </c>
      <c r="V4718" t="s">
        <v>13338</v>
      </c>
      <c r="W4718" t="s">
        <v>18000</v>
      </c>
      <c r="X4718">
        <v>10</v>
      </c>
      <c r="Y4718" t="s">
        <v>24501</v>
      </c>
      <c r="Z4718" t="s">
        <v>31133</v>
      </c>
      <c r="AA4718">
        <v>0.56571523388314815</v>
      </c>
      <c r="AB4718" t="str">
        <f>HYPERLINK("Melting_Curves/meltCurve_Q8TF01_PNISR.pdf", "Melting_Curves/meltCurve_Q8TF01_PNISR.pdf")</f>
        <v>Melting_Curves/meltCurve_Q8TF01_PNISR.pdf</v>
      </c>
    </row>
    <row r="4719" spans="1:28" x14ac:dyDescent="0.25">
      <c r="A4719" t="s">
        <v>4723</v>
      </c>
      <c r="B4719">
        <v>0.99193492352474899</v>
      </c>
      <c r="C4719">
        <v>0.94178269856270902</v>
      </c>
      <c r="D4719">
        <v>0.84736187100267302</v>
      </c>
      <c r="E4719">
        <v>0.57380993803166602</v>
      </c>
      <c r="F4719">
        <v>0.25834986114145803</v>
      </c>
      <c r="G4719">
        <v>0.118894141726406</v>
      </c>
      <c r="H4719">
        <v>5.35626439403733E-2</v>
      </c>
      <c r="I4719">
        <v>7.4228396350006401E-2</v>
      </c>
      <c r="J4719">
        <v>6.3882674033084605E-2</v>
      </c>
      <c r="K4719">
        <v>4.2353156389932201E-2</v>
      </c>
      <c r="L4719">
        <v>987.68175086037797</v>
      </c>
      <c r="M4719">
        <v>19.761160213062499</v>
      </c>
      <c r="N4719">
        <v>50.217211834184198</v>
      </c>
      <c r="O4719">
        <v>49.477588799206401</v>
      </c>
      <c r="P4719">
        <v>-9.5420157964894503E-2</v>
      </c>
      <c r="Q4719">
        <v>4.43888760255731E-2</v>
      </c>
      <c r="R4719">
        <v>0.99877321836856503</v>
      </c>
      <c r="S4719" t="s">
        <v>11389</v>
      </c>
      <c r="T4719" t="s">
        <v>13338</v>
      </c>
      <c r="U4719" t="s">
        <v>13338</v>
      </c>
      <c r="V4719" t="s">
        <v>13338</v>
      </c>
      <c r="W4719" t="s">
        <v>18001</v>
      </c>
      <c r="X4719">
        <v>9</v>
      </c>
      <c r="Y4719" t="s">
        <v>24502</v>
      </c>
      <c r="Z4719" t="s">
        <v>31134</v>
      </c>
      <c r="AA4719">
        <v>0.37593906966796481</v>
      </c>
      <c r="AB4719" t="str">
        <f>HYPERLINK("Melting_Curves/meltCurve_Q8TF05_2_PPP4R1.pdf", "Melting_Curves/meltCurve_Q8TF05_2_PPP4R1.pdf")</f>
        <v>Melting_Curves/meltCurve_Q8TF05_2_PPP4R1.pdf</v>
      </c>
    </row>
    <row r="4720" spans="1:28" x14ac:dyDescent="0.25">
      <c r="A4720" t="s">
        <v>4724</v>
      </c>
      <c r="B4720">
        <v>0.99193492352474899</v>
      </c>
      <c r="C4720">
        <v>0.82072718731241101</v>
      </c>
      <c r="D4720">
        <v>0.46774883171881299</v>
      </c>
      <c r="E4720">
        <v>0.23944300567249199</v>
      </c>
      <c r="F4720">
        <v>0.16007375189685299</v>
      </c>
      <c r="G4720">
        <v>0.14248449926333601</v>
      </c>
      <c r="H4720">
        <v>0.107206142623329</v>
      </c>
      <c r="I4720">
        <v>0.148952532866444</v>
      </c>
      <c r="J4720">
        <v>0.15264116963494001</v>
      </c>
      <c r="K4720">
        <v>0.16553362215563999</v>
      </c>
      <c r="L4720">
        <v>1155.03264794907</v>
      </c>
      <c r="M4720">
        <v>25.5742426749222</v>
      </c>
      <c r="N4720">
        <v>45.771922116983497</v>
      </c>
      <c r="O4720">
        <v>44.890477283615802</v>
      </c>
      <c r="P4720">
        <v>-0.121915863090892</v>
      </c>
      <c r="Q4720">
        <v>0.14401476876944999</v>
      </c>
      <c r="R4720">
        <v>0.99686165755537304</v>
      </c>
      <c r="S4720" t="s">
        <v>11390</v>
      </c>
      <c r="T4720" t="s">
        <v>13338</v>
      </c>
      <c r="U4720" t="s">
        <v>13338</v>
      </c>
      <c r="V4720" t="s">
        <v>13338</v>
      </c>
      <c r="W4720" t="s">
        <v>18002</v>
      </c>
      <c r="X4720">
        <v>7</v>
      </c>
      <c r="Y4720" t="s">
        <v>24503</v>
      </c>
      <c r="Z4720" t="s">
        <v>31135</v>
      </c>
      <c r="AA4720">
        <v>0.29930444413286988</v>
      </c>
      <c r="AB4720" t="str">
        <f>HYPERLINK("Melting_Curves/meltCurve_Q8TF42_UBASH3B.pdf", "Melting_Curves/meltCurve_Q8TF42_UBASH3B.pdf")</f>
        <v>Melting_Curves/meltCurve_Q8TF42_UBASH3B.pdf</v>
      </c>
    </row>
    <row r="4721" spans="1:28" x14ac:dyDescent="0.25">
      <c r="A4721" t="s">
        <v>4725</v>
      </c>
      <c r="B4721">
        <v>0.99193492352474899</v>
      </c>
      <c r="C4721">
        <v>0.94443888266682596</v>
      </c>
      <c r="D4721">
        <v>1.09962280455671</v>
      </c>
      <c r="E4721">
        <v>0.81658954873232203</v>
      </c>
      <c r="F4721">
        <v>0.80063814570963199</v>
      </c>
      <c r="G4721">
        <v>0.59692044024618396</v>
      </c>
      <c r="H4721">
        <v>0.383728494541624</v>
      </c>
      <c r="I4721">
        <v>0.45230666773042</v>
      </c>
      <c r="J4721">
        <v>0.57090687516133898</v>
      </c>
      <c r="K4721">
        <v>0.69888616754376498</v>
      </c>
      <c r="L4721">
        <v>1319.5254788188499</v>
      </c>
      <c r="M4721">
        <v>25.082725479942798</v>
      </c>
      <c r="O4721">
        <v>52.275975808256902</v>
      </c>
      <c r="P4721">
        <v>-5.6513223009973197E-2</v>
      </c>
      <c r="Q4721">
        <v>0.528879796791764</v>
      </c>
      <c r="R4721">
        <v>0.81601130776109698</v>
      </c>
      <c r="S4721" t="s">
        <v>11391</v>
      </c>
      <c r="T4721" t="s">
        <v>13338</v>
      </c>
      <c r="U4721" t="s">
        <v>13338</v>
      </c>
      <c r="V4721" t="s">
        <v>13338</v>
      </c>
      <c r="W4721" t="s">
        <v>18003</v>
      </c>
      <c r="X4721">
        <v>2</v>
      </c>
      <c r="Y4721" t="s">
        <v>24504</v>
      </c>
      <c r="Z4721" t="s">
        <v>31136</v>
      </c>
      <c r="AA4721">
        <v>0.73115687072300828</v>
      </c>
      <c r="AB4721" t="str">
        <f>HYPERLINK("Melting_Curves/meltCurve_Q8TF71_SLC16A10.pdf", "Melting_Curves/meltCurve_Q8TF71_SLC16A10.pdf")</f>
        <v>Melting_Curves/meltCurve_Q8TF71_SLC16A10.pdf</v>
      </c>
    </row>
    <row r="4722" spans="1:28" x14ac:dyDescent="0.25">
      <c r="A4722" t="s">
        <v>4726</v>
      </c>
      <c r="B4722">
        <v>0.99193492352474899</v>
      </c>
      <c r="C4722">
        <v>0.88355487631272001</v>
      </c>
      <c r="D4722">
        <v>0.97189069765368497</v>
      </c>
      <c r="E4722">
        <v>0.89794766814070104</v>
      </c>
      <c r="F4722">
        <v>0.77054055200725402</v>
      </c>
      <c r="G4722">
        <v>0.46063852806937999</v>
      </c>
      <c r="H4722">
        <v>0.27245521965547098</v>
      </c>
      <c r="I4722">
        <v>0.32776993456904902</v>
      </c>
      <c r="J4722">
        <v>0.36966491884845398</v>
      </c>
      <c r="K4722">
        <v>0.52248670333985003</v>
      </c>
      <c r="L4722">
        <v>1863.38263650512</v>
      </c>
      <c r="M4722">
        <v>34.6247541641442</v>
      </c>
      <c r="N4722">
        <v>56.015108038775303</v>
      </c>
      <c r="O4722">
        <v>53.637924156431701</v>
      </c>
      <c r="P4722">
        <v>-0.101421439098066</v>
      </c>
      <c r="Q4722">
        <v>0.371546122243189</v>
      </c>
      <c r="R4722">
        <v>0.92183749862449205</v>
      </c>
      <c r="S4722" t="s">
        <v>11392</v>
      </c>
      <c r="T4722" t="s">
        <v>13338</v>
      </c>
      <c r="U4722" t="s">
        <v>13338</v>
      </c>
      <c r="V4722" t="s">
        <v>13338</v>
      </c>
      <c r="W4722" t="s">
        <v>18004</v>
      </c>
      <c r="X4722">
        <v>2</v>
      </c>
      <c r="Y4722" t="s">
        <v>24505</v>
      </c>
      <c r="Z4722" t="s">
        <v>31137</v>
      </c>
      <c r="AA4722">
        <v>0.6640907375117352</v>
      </c>
      <c r="AB4722" t="str">
        <f>HYPERLINK("Melting_Curves/meltCurve_Q8TF74_WIPF2.pdf", "Melting_Curves/meltCurve_Q8TF74_WIPF2.pdf")</f>
        <v>Melting_Curves/meltCurve_Q8TF74_WIPF2.pdf</v>
      </c>
    </row>
    <row r="4723" spans="1:28" x14ac:dyDescent="0.25">
      <c r="A4723" t="s">
        <v>4727</v>
      </c>
      <c r="B4723">
        <v>0.99193492352474899</v>
      </c>
      <c r="C4723">
        <v>0.74345743393252695</v>
      </c>
      <c r="D4723">
        <v>0.82819905541682404</v>
      </c>
      <c r="E4723">
        <v>0.64248144460944001</v>
      </c>
      <c r="F4723">
        <v>0.31127888272758902</v>
      </c>
      <c r="G4723">
        <v>0.239745489349763</v>
      </c>
      <c r="H4723">
        <v>0.18513349738385701</v>
      </c>
      <c r="I4723">
        <v>0.19205106668036101</v>
      </c>
      <c r="J4723">
        <v>0.23819419900820599</v>
      </c>
      <c r="K4723">
        <v>0.15859415814993</v>
      </c>
      <c r="L4723">
        <v>666.13557330876097</v>
      </c>
      <c r="M4723">
        <v>13.507577668061201</v>
      </c>
      <c r="N4723">
        <v>50.6565285864313</v>
      </c>
      <c r="O4723">
        <v>48.2724468873622</v>
      </c>
      <c r="P4723">
        <v>-5.9449704537917002E-2</v>
      </c>
      <c r="Q4723">
        <v>0.15030033707891899</v>
      </c>
      <c r="R4723">
        <v>0.94704419522321204</v>
      </c>
      <c r="S4723" t="s">
        <v>11393</v>
      </c>
      <c r="T4723" t="s">
        <v>13338</v>
      </c>
      <c r="U4723" t="s">
        <v>13338</v>
      </c>
      <c r="V4723" t="s">
        <v>13338</v>
      </c>
      <c r="W4723" t="s">
        <v>18005</v>
      </c>
      <c r="X4723">
        <v>2</v>
      </c>
      <c r="Y4723" t="s">
        <v>24506</v>
      </c>
      <c r="Z4723" t="s">
        <v>31138</v>
      </c>
      <c r="AA4723">
        <v>0.43919825520727601</v>
      </c>
      <c r="AB4723" t="str">
        <f>HYPERLINK("Melting_Curves/meltCurve_Q8WTS1_ABHD5.pdf", "Melting_Curves/meltCurve_Q8WTS1_ABHD5.pdf")</f>
        <v>Melting_Curves/meltCurve_Q8WTS1_ABHD5.pdf</v>
      </c>
    </row>
    <row r="4724" spans="1:28" x14ac:dyDescent="0.25">
      <c r="A4724" t="s">
        <v>4728</v>
      </c>
      <c r="B4724">
        <v>0.99193492352474899</v>
      </c>
      <c r="C4724">
        <v>0.89409653302209902</v>
      </c>
      <c r="D4724">
        <v>0.81100716430880504</v>
      </c>
      <c r="E4724">
        <v>0.27040810382756902</v>
      </c>
      <c r="F4724">
        <v>0.197673767454217</v>
      </c>
      <c r="G4724">
        <v>0.12971699083305799</v>
      </c>
      <c r="H4724">
        <v>8.4703073714653396E-2</v>
      </c>
      <c r="I4724">
        <v>7.8566274281234402E-2</v>
      </c>
      <c r="J4724">
        <v>7.2470592398271194E-2</v>
      </c>
      <c r="K4724">
        <v>6.4015288394928399E-2</v>
      </c>
      <c r="L4724">
        <v>1378.5392881458899</v>
      </c>
      <c r="M4724">
        <v>28.895894387501201</v>
      </c>
      <c r="N4724">
        <v>48.0381735750506</v>
      </c>
      <c r="O4724">
        <v>47.480363011846698</v>
      </c>
      <c r="P4724">
        <v>-0.138410802853423</v>
      </c>
      <c r="Q4724">
        <v>9.0286626979077703E-2</v>
      </c>
      <c r="R4724">
        <v>0.98819186290315997</v>
      </c>
      <c r="S4724" t="s">
        <v>11394</v>
      </c>
      <c r="T4724" t="s">
        <v>13338</v>
      </c>
      <c r="U4724" t="s">
        <v>13338</v>
      </c>
      <c r="V4724" t="s">
        <v>13338</v>
      </c>
      <c r="W4724" t="s">
        <v>18006</v>
      </c>
      <c r="X4724">
        <v>5</v>
      </c>
      <c r="Y4724" t="s">
        <v>24507</v>
      </c>
      <c r="Z4724" t="s">
        <v>31139</v>
      </c>
      <c r="AA4724">
        <v>0.32990789296076278</v>
      </c>
      <c r="AB4724" t="str">
        <f>HYPERLINK("Melting_Curves/meltCurve_Q8WTS6_SETD7.pdf", "Melting_Curves/meltCurve_Q8WTS6_SETD7.pdf")</f>
        <v>Melting_Curves/meltCurve_Q8WTS6_SETD7.pdf</v>
      </c>
    </row>
    <row r="4725" spans="1:28" x14ac:dyDescent="0.25">
      <c r="A4725" t="s">
        <v>4729</v>
      </c>
      <c r="B4725">
        <v>0.99193492352474899</v>
      </c>
      <c r="C4725">
        <v>1.1420757514090101</v>
      </c>
      <c r="D4725">
        <v>0.66672098272579405</v>
      </c>
      <c r="E4725">
        <v>0.33497965547346098</v>
      </c>
      <c r="F4725">
        <v>0.16026038803342901</v>
      </c>
      <c r="G4725">
        <v>0.123948308650601</v>
      </c>
      <c r="H4725">
        <v>8.7534283678545294E-2</v>
      </c>
      <c r="I4725">
        <v>9.8733390565291193E-2</v>
      </c>
      <c r="J4725">
        <v>9.6173722908170195E-2</v>
      </c>
      <c r="K4725">
        <v>0.125563494081184</v>
      </c>
      <c r="L4725">
        <v>1404.52762176018</v>
      </c>
      <c r="M4725">
        <v>29.663828088092099</v>
      </c>
      <c r="N4725">
        <v>47.754698778053502</v>
      </c>
      <c r="O4725">
        <v>47.134527750987097</v>
      </c>
      <c r="P4725">
        <v>-0.13978077173182099</v>
      </c>
      <c r="Q4725">
        <v>0.11158361521032099</v>
      </c>
      <c r="R4725">
        <v>0.97195047492314701</v>
      </c>
      <c r="S4725" t="s">
        <v>11395</v>
      </c>
      <c r="T4725" t="s">
        <v>13338</v>
      </c>
      <c r="U4725" t="s">
        <v>13338</v>
      </c>
      <c r="V4725" t="s">
        <v>13338</v>
      </c>
      <c r="W4725" t="s">
        <v>18007</v>
      </c>
      <c r="X4725">
        <v>7</v>
      </c>
      <c r="Y4725" t="s">
        <v>24508</v>
      </c>
      <c r="Z4725" t="s">
        <v>31140</v>
      </c>
      <c r="AA4725">
        <v>0.3346481083478377</v>
      </c>
      <c r="AB4725" t="str">
        <f>HYPERLINK("Melting_Curves/meltCurve_Q8WTW3_COG1.pdf", "Melting_Curves/meltCurve_Q8WTW3_COG1.pdf")</f>
        <v>Melting_Curves/meltCurve_Q8WTW3_COG1.pdf</v>
      </c>
    </row>
    <row r="4726" spans="1:28" x14ac:dyDescent="0.25">
      <c r="A4726" t="s">
        <v>4730</v>
      </c>
      <c r="B4726">
        <v>0.99193492352474899</v>
      </c>
      <c r="C4726">
        <v>0.95147721099271199</v>
      </c>
      <c r="D4726">
        <v>0.91884014759007604</v>
      </c>
      <c r="E4726">
        <v>0.59793952573453701</v>
      </c>
      <c r="F4726">
        <v>0.22982832218652899</v>
      </c>
      <c r="G4726">
        <v>0.17461527453144901</v>
      </c>
      <c r="H4726">
        <v>0.10168102972219401</v>
      </c>
      <c r="I4726">
        <v>0.111721226708346</v>
      </c>
      <c r="J4726">
        <v>0.11620673798638501</v>
      </c>
      <c r="K4726">
        <v>7.8326394504250205E-2</v>
      </c>
      <c r="L4726">
        <v>1314.5565288687999</v>
      </c>
      <c r="M4726">
        <v>26.3301117566808</v>
      </c>
      <c r="N4726">
        <v>50.370601080528502</v>
      </c>
      <c r="O4726">
        <v>49.640657137138803</v>
      </c>
      <c r="P4726">
        <v>-0.11885536925599299</v>
      </c>
      <c r="Q4726">
        <v>0.103688720889966</v>
      </c>
      <c r="R4726">
        <v>0.99703712338281303</v>
      </c>
      <c r="S4726" t="s">
        <v>11396</v>
      </c>
      <c r="T4726" t="s">
        <v>13338</v>
      </c>
      <c r="U4726" t="s">
        <v>13338</v>
      </c>
      <c r="V4726" t="s">
        <v>13338</v>
      </c>
      <c r="W4726" t="s">
        <v>18008</v>
      </c>
      <c r="X4726">
        <v>4</v>
      </c>
      <c r="Y4726" t="s">
        <v>24509</v>
      </c>
      <c r="Z4726" t="s">
        <v>31141</v>
      </c>
      <c r="AA4726">
        <v>0.40745780211896782</v>
      </c>
      <c r="AB4726" t="str">
        <f>HYPERLINK("Melting_Curves/meltCurve_Q8WU10_PYROXD1.pdf", "Melting_Curves/meltCurve_Q8WU10_PYROXD1.pdf")</f>
        <v>Melting_Curves/meltCurve_Q8WU10_PYROXD1.pdf</v>
      </c>
    </row>
    <row r="4727" spans="1:28" x14ac:dyDescent="0.25">
      <c r="A4727" t="s">
        <v>4731</v>
      </c>
      <c r="B4727">
        <v>0.99193492352474899</v>
      </c>
      <c r="C4727">
        <v>1.2621565070274501</v>
      </c>
      <c r="D4727">
        <v>0.90732492743958404</v>
      </c>
      <c r="E4727">
        <v>1.05295846554266</v>
      </c>
      <c r="F4727">
        <v>0.64808749951731404</v>
      </c>
      <c r="G4727">
        <v>0.592607355068551</v>
      </c>
      <c r="H4727">
        <v>0.410323819772905</v>
      </c>
      <c r="I4727">
        <v>0.51571896029631603</v>
      </c>
      <c r="J4727">
        <v>0.47631135100081601</v>
      </c>
      <c r="K4727">
        <v>0.42202994692434598</v>
      </c>
      <c r="L4727">
        <v>5385.0995159488903</v>
      </c>
      <c r="M4727">
        <v>101.97549282280799</v>
      </c>
      <c r="N4727">
        <v>54.626031626166203</v>
      </c>
      <c r="O4727">
        <v>52.787483087148303</v>
      </c>
      <c r="P4727">
        <v>-0.24958125647341101</v>
      </c>
      <c r="Q4727">
        <v>0.48321837053435601</v>
      </c>
      <c r="R4727">
        <v>0.87530432931841395</v>
      </c>
      <c r="S4727" t="s">
        <v>11397</v>
      </c>
      <c r="T4727" t="s">
        <v>13338</v>
      </c>
      <c r="U4727" t="s">
        <v>13338</v>
      </c>
      <c r="V4727" t="s">
        <v>13338</v>
      </c>
      <c r="W4727" t="s">
        <v>18009</v>
      </c>
      <c r="X4727">
        <v>12</v>
      </c>
      <c r="Y4727" t="s">
        <v>24510</v>
      </c>
      <c r="Z4727" t="s">
        <v>31142</v>
      </c>
      <c r="AA4727">
        <v>0.70413407585127308</v>
      </c>
      <c r="AB4727" t="str">
        <f>HYPERLINK("Melting_Curves/meltCurve_Q8WU39_MZB1.pdf", "Melting_Curves/meltCurve_Q8WU39_MZB1.pdf")</f>
        <v>Melting_Curves/meltCurve_Q8WU39_MZB1.pdf</v>
      </c>
    </row>
    <row r="4728" spans="1:28" x14ac:dyDescent="0.25">
      <c r="A4728" t="s">
        <v>4732</v>
      </c>
      <c r="B4728">
        <v>0.99193492352474899</v>
      </c>
      <c r="C4728">
        <v>0.88365948644127501</v>
      </c>
      <c r="D4728">
        <v>0.83906194721955896</v>
      </c>
      <c r="E4728">
        <v>0.54084313651374505</v>
      </c>
      <c r="F4728">
        <v>0.34214992928316301</v>
      </c>
      <c r="G4728">
        <v>0.19369663820586899</v>
      </c>
      <c r="H4728">
        <v>0.13267951125165001</v>
      </c>
      <c r="I4728">
        <v>0.10741411193961101</v>
      </c>
      <c r="J4728">
        <v>0.134503516970122</v>
      </c>
      <c r="K4728">
        <v>0.12663428096309901</v>
      </c>
      <c r="L4728">
        <v>811.72264105169302</v>
      </c>
      <c r="M4728">
        <v>16.35811234342</v>
      </c>
      <c r="N4728">
        <v>50.339346852415197</v>
      </c>
      <c r="O4728">
        <v>48.898221614331497</v>
      </c>
      <c r="P4728">
        <v>-7.4944135244949805E-2</v>
      </c>
      <c r="Q4728">
        <v>0.10396226937028601</v>
      </c>
      <c r="R4728">
        <v>0.99519493411595605</v>
      </c>
      <c r="S4728" t="s">
        <v>11398</v>
      </c>
      <c r="T4728" t="s">
        <v>13338</v>
      </c>
      <c r="U4728" t="s">
        <v>13338</v>
      </c>
      <c r="V4728" t="s">
        <v>13338</v>
      </c>
      <c r="W4728" t="s">
        <v>18010</v>
      </c>
      <c r="X4728">
        <v>4</v>
      </c>
      <c r="Y4728" t="s">
        <v>24511</v>
      </c>
      <c r="Z4728" t="s">
        <v>31143</v>
      </c>
      <c r="AA4728">
        <v>0.40978695913732971</v>
      </c>
      <c r="AB4728" t="str">
        <f>HYPERLINK("Melting_Curves/meltCurve_Q8WU76_2_SCFD2.pdf", "Melting_Curves/meltCurve_Q8WU76_2_SCFD2.pdf")</f>
        <v>Melting_Curves/meltCurve_Q8WU76_2_SCFD2.pdf</v>
      </c>
    </row>
    <row r="4729" spans="1:28" x14ac:dyDescent="0.25">
      <c r="A4729" t="s">
        <v>4733</v>
      </c>
      <c r="B4729">
        <v>0.99193492352474899</v>
      </c>
      <c r="C4729">
        <v>0.98538601329619402</v>
      </c>
      <c r="D4729">
        <v>0.69954381512636499</v>
      </c>
      <c r="E4729">
        <v>0.37444811724901</v>
      </c>
      <c r="F4729">
        <v>0.12330584575039701</v>
      </c>
      <c r="G4729">
        <v>0.113023649481478</v>
      </c>
      <c r="H4729">
        <v>8.2680213411537098E-2</v>
      </c>
      <c r="I4729">
        <v>0.142571692554255</v>
      </c>
      <c r="J4729">
        <v>0.161090139339824</v>
      </c>
      <c r="K4729">
        <v>0.155340995585454</v>
      </c>
      <c r="L4729">
        <v>1250.3089607547499</v>
      </c>
      <c r="M4729">
        <v>26.365751620294599</v>
      </c>
      <c r="N4729">
        <v>47.938500526671199</v>
      </c>
      <c r="O4729">
        <v>47.151425323718698</v>
      </c>
      <c r="P4729">
        <v>-0.12250139470249601</v>
      </c>
      <c r="Q4729">
        <v>0.123703728550939</v>
      </c>
      <c r="R4729">
        <v>0.99069730154404301</v>
      </c>
      <c r="S4729" t="s">
        <v>11399</v>
      </c>
      <c r="T4729" t="s">
        <v>13338</v>
      </c>
      <c r="U4729" t="s">
        <v>13338</v>
      </c>
      <c r="V4729" t="s">
        <v>13338</v>
      </c>
      <c r="W4729" t="s">
        <v>18011</v>
      </c>
      <c r="X4729">
        <v>6</v>
      </c>
      <c r="Y4729" t="s">
        <v>24512</v>
      </c>
      <c r="Z4729" t="s">
        <v>31144</v>
      </c>
      <c r="AA4729">
        <v>0.3474198685223252</v>
      </c>
      <c r="AB4729" t="str">
        <f>HYPERLINK("Melting_Curves/meltCurve_Q8WU79_SMAP2.pdf", "Melting_Curves/meltCurve_Q8WU79_SMAP2.pdf")</f>
        <v>Melting_Curves/meltCurve_Q8WU79_SMAP2.pdf</v>
      </c>
    </row>
    <row r="4730" spans="1:28" x14ac:dyDescent="0.25">
      <c r="A4730" t="s">
        <v>4734</v>
      </c>
      <c r="B4730">
        <v>0.99193492352474899</v>
      </c>
      <c r="C4730">
        <v>0.580429736335767</v>
      </c>
      <c r="D4730">
        <v>0.87402012896919601</v>
      </c>
      <c r="E4730">
        <v>0.60467045841023404</v>
      </c>
      <c r="F4730">
        <v>0.49784566844934203</v>
      </c>
      <c r="G4730">
        <v>0.23343818483839601</v>
      </c>
      <c r="H4730">
        <v>0.15257715212072701</v>
      </c>
      <c r="I4730">
        <v>0.16181321277893801</v>
      </c>
      <c r="J4730">
        <v>0.20591266871625999</v>
      </c>
      <c r="K4730">
        <v>0.27350133577737701</v>
      </c>
      <c r="L4730">
        <v>473.35401748643301</v>
      </c>
      <c r="M4730">
        <v>9.4990552957222896</v>
      </c>
      <c r="N4730">
        <v>51.2095686626717</v>
      </c>
      <c r="O4730">
        <v>47.773123831360998</v>
      </c>
      <c r="P4730">
        <v>-4.4129633524815998E-2</v>
      </c>
      <c r="Q4730">
        <v>0.112769156595999</v>
      </c>
      <c r="R4730">
        <v>0.83713243510064095</v>
      </c>
      <c r="S4730" t="s">
        <v>11400</v>
      </c>
      <c r="T4730" t="s">
        <v>13338</v>
      </c>
      <c r="U4730" t="s">
        <v>13338</v>
      </c>
      <c r="V4730" t="s">
        <v>13338</v>
      </c>
      <c r="W4730" t="s">
        <v>18012</v>
      </c>
      <c r="X4730">
        <v>13</v>
      </c>
      <c r="Y4730" t="s">
        <v>24513</v>
      </c>
      <c r="Z4730" t="s">
        <v>31145</v>
      </c>
      <c r="AA4730">
        <v>0.44712337089423138</v>
      </c>
      <c r="AB4730" t="str">
        <f>HYPERLINK("Melting_Curves/meltCurve_Q8WU90_ZC3H15.pdf", "Melting_Curves/meltCurve_Q8WU90_ZC3H15.pdf")</f>
        <v>Melting_Curves/meltCurve_Q8WU90_ZC3H15.pdf</v>
      </c>
    </row>
    <row r="4731" spans="1:28" x14ac:dyDescent="0.25">
      <c r="A4731" t="s">
        <v>4735</v>
      </c>
      <c r="B4731">
        <v>0.99193492352474899</v>
      </c>
      <c r="C4731">
        <v>0.82037031163779195</v>
      </c>
      <c r="D4731">
        <v>0.83623037743161399</v>
      </c>
      <c r="E4731">
        <v>0.39584614103949001</v>
      </c>
      <c r="F4731">
        <v>0.164305274848636</v>
      </c>
      <c r="G4731">
        <v>8.7805361871337001E-2</v>
      </c>
      <c r="H4731">
        <v>5.9694174751068398E-2</v>
      </c>
      <c r="I4731">
        <v>7.9962431969316003E-2</v>
      </c>
      <c r="J4731">
        <v>9.8224815775420193E-2</v>
      </c>
      <c r="K4731">
        <v>0.113535026116087</v>
      </c>
      <c r="L4731">
        <v>1104.6812974299501</v>
      </c>
      <c r="M4731">
        <v>22.867539733258401</v>
      </c>
      <c r="N4731">
        <v>48.664814424228503</v>
      </c>
      <c r="O4731">
        <v>47.942951597426301</v>
      </c>
      <c r="P4731">
        <v>-0.110038169673776</v>
      </c>
      <c r="Q4731">
        <v>7.7215284032063097E-2</v>
      </c>
      <c r="R4731">
        <v>0.98123693425367697</v>
      </c>
      <c r="S4731" t="s">
        <v>11401</v>
      </c>
      <c r="T4731" t="s">
        <v>13338</v>
      </c>
      <c r="U4731" t="s">
        <v>13338</v>
      </c>
      <c r="V4731" t="s">
        <v>13338</v>
      </c>
      <c r="W4731" t="s">
        <v>18013</v>
      </c>
      <c r="X4731">
        <v>16</v>
      </c>
      <c r="Y4731" t="s">
        <v>24514</v>
      </c>
      <c r="Z4731" t="s">
        <v>31146</v>
      </c>
      <c r="AA4731">
        <v>0.34259853589506312</v>
      </c>
      <c r="AB4731" t="str">
        <f>HYPERLINK("Melting_Curves/meltCurve_Q8WUA2_PPIL4.pdf", "Melting_Curves/meltCurve_Q8WUA2_PPIL4.pdf")</f>
        <v>Melting_Curves/meltCurve_Q8WUA2_PPIL4.pdf</v>
      </c>
    </row>
    <row r="4732" spans="1:28" x14ac:dyDescent="0.25">
      <c r="A4732" t="s">
        <v>4736</v>
      </c>
      <c r="B4732">
        <v>0.99193492352474899</v>
      </c>
      <c r="C4732">
        <v>0.471396820473796</v>
      </c>
      <c r="D4732">
        <v>0.57817019064882402</v>
      </c>
      <c r="E4732">
        <v>0.26958123831471698</v>
      </c>
      <c r="F4732">
        <v>0.18880359199539701</v>
      </c>
      <c r="G4732">
        <v>7.6578092082090196E-2</v>
      </c>
      <c r="H4732">
        <v>5.6191767154030903E-2</v>
      </c>
      <c r="I4732">
        <v>9.3317460970556806E-2</v>
      </c>
      <c r="J4732">
        <v>0.107776996771069</v>
      </c>
      <c r="K4732">
        <v>0.10103077019470701</v>
      </c>
      <c r="L4732">
        <v>603.21902511572705</v>
      </c>
      <c r="M4732">
        <v>13.444425627822</v>
      </c>
      <c r="N4732">
        <v>45.389465903561501</v>
      </c>
      <c r="O4732">
        <v>43.9098189473197</v>
      </c>
      <c r="P4732">
        <v>-7.1075071829205999E-2</v>
      </c>
      <c r="Q4732">
        <v>7.1612256052852902E-2</v>
      </c>
      <c r="R4732">
        <v>0.90173853572026497</v>
      </c>
      <c r="S4732" t="s">
        <v>11402</v>
      </c>
      <c r="T4732" t="s">
        <v>13338</v>
      </c>
      <c r="U4732" t="s">
        <v>13338</v>
      </c>
      <c r="V4732" t="s">
        <v>13338</v>
      </c>
      <c r="W4732" t="s">
        <v>18014</v>
      </c>
      <c r="X4732">
        <v>4</v>
      </c>
      <c r="Y4732" t="s">
        <v>24515</v>
      </c>
      <c r="Z4732" t="s">
        <v>31147</v>
      </c>
      <c r="AA4732">
        <v>0.26006401961907888</v>
      </c>
      <c r="AB4732" t="str">
        <f>HYPERLINK("Melting_Curves/meltCurve_Q8WUA4_GTF3C2.pdf", "Melting_Curves/meltCurve_Q8WUA4_GTF3C2.pdf")</f>
        <v>Melting_Curves/meltCurve_Q8WUA4_GTF3C2.pdf</v>
      </c>
    </row>
    <row r="4733" spans="1:28" x14ac:dyDescent="0.25">
      <c r="A4733" t="s">
        <v>4737</v>
      </c>
      <c r="B4733">
        <v>0.99193492352474899</v>
      </c>
      <c r="C4733">
        <v>0.92827802220723898</v>
      </c>
      <c r="D4733">
        <v>0.60764632076484704</v>
      </c>
      <c r="E4733">
        <v>0.478488940441952</v>
      </c>
      <c r="F4733">
        <v>0.46202850896783998</v>
      </c>
      <c r="G4733">
        <v>9.32603469057217E-2</v>
      </c>
      <c r="H4733">
        <v>0</v>
      </c>
      <c r="I4733">
        <v>0</v>
      </c>
      <c r="J4733">
        <v>0</v>
      </c>
      <c r="K4733">
        <v>0</v>
      </c>
      <c r="L4733">
        <v>641.87032653041797</v>
      </c>
      <c r="M4733">
        <v>12.991603175673999</v>
      </c>
      <c r="N4733">
        <v>49.406552615069103</v>
      </c>
      <c r="O4733">
        <v>48.279896763324103</v>
      </c>
      <c r="P4733">
        <v>-6.72842374502607E-2</v>
      </c>
      <c r="Q4733">
        <v>0</v>
      </c>
      <c r="R4733">
        <v>0.95455916028020005</v>
      </c>
      <c r="S4733" t="s">
        <v>11403</v>
      </c>
      <c r="T4733" t="s">
        <v>13338</v>
      </c>
      <c r="U4733" t="s">
        <v>13338</v>
      </c>
      <c r="V4733" t="s">
        <v>13338</v>
      </c>
      <c r="W4733" t="s">
        <v>18015</v>
      </c>
      <c r="X4733">
        <v>1</v>
      </c>
      <c r="Y4733" t="s">
        <v>24516</v>
      </c>
      <c r="Z4733" t="s">
        <v>31148</v>
      </c>
      <c r="AA4733">
        <v>0.34494920073563567</v>
      </c>
      <c r="AB4733" t="str">
        <f>HYPERLINK("Melting_Curves/meltCurve_Q8WUA8_TSKU.pdf", "Melting_Curves/meltCurve_Q8WUA8_TSKU.pdf")</f>
        <v>Melting_Curves/meltCurve_Q8WUA8_TSKU.pdf</v>
      </c>
    </row>
    <row r="4734" spans="1:28" x14ac:dyDescent="0.25">
      <c r="A4734" t="s">
        <v>4738</v>
      </c>
      <c r="B4734">
        <v>0.99193492352474899</v>
      </c>
      <c r="C4734">
        <v>0.84808894425756198</v>
      </c>
      <c r="D4734">
        <v>0.58623829946912598</v>
      </c>
      <c r="E4734">
        <v>0.32011715704062899</v>
      </c>
      <c r="F4734">
        <v>0.14581503442376301</v>
      </c>
      <c r="G4734">
        <v>5.4519721744819602E-2</v>
      </c>
      <c r="H4734">
        <v>3.5628665551280699E-2</v>
      </c>
      <c r="I4734">
        <v>5.86993942458802E-2</v>
      </c>
      <c r="J4734">
        <v>7.6765078659029901E-2</v>
      </c>
      <c r="K4734">
        <v>8.03798596270444E-2</v>
      </c>
      <c r="L4734">
        <v>878.48055854263498</v>
      </c>
      <c r="M4734">
        <v>18.774928798659399</v>
      </c>
      <c r="N4734">
        <v>47.071141882991498</v>
      </c>
      <c r="O4734">
        <v>46.268960858932601</v>
      </c>
      <c r="P4734">
        <v>-9.6069577889197802E-2</v>
      </c>
      <c r="Q4734">
        <v>5.3023557407855797E-2</v>
      </c>
      <c r="R4734">
        <v>0.995953228011489</v>
      </c>
      <c r="S4734" t="s">
        <v>11404</v>
      </c>
      <c r="T4734" t="s">
        <v>13338</v>
      </c>
      <c r="U4734" t="s">
        <v>13338</v>
      </c>
      <c r="V4734" t="s">
        <v>13338</v>
      </c>
      <c r="W4734" t="s">
        <v>18016</v>
      </c>
      <c r="X4734">
        <v>3</v>
      </c>
      <c r="Y4734" t="s">
        <v>24517</v>
      </c>
      <c r="Z4734" t="s">
        <v>31149</v>
      </c>
      <c r="AA4734">
        <v>0.28345495146087563</v>
      </c>
      <c r="AB4734" t="str">
        <f>HYPERLINK("Melting_Curves/meltCurve_Q8WUB8_3_PHF10.pdf", "Melting_Curves/meltCurve_Q8WUB8_3_PHF10.pdf")</f>
        <v>Melting_Curves/meltCurve_Q8WUB8_3_PHF10.pdf</v>
      </c>
    </row>
    <row r="4735" spans="1:28" x14ac:dyDescent="0.25">
      <c r="A4735" t="s">
        <v>4739</v>
      </c>
      <c r="B4735">
        <v>0.99193492352474899</v>
      </c>
      <c r="C4735">
        <v>1.2630417850426701</v>
      </c>
      <c r="D4735">
        <v>0.919553225220339</v>
      </c>
      <c r="E4735">
        <v>0.96479229540646305</v>
      </c>
      <c r="F4735">
        <v>0.66050189307948104</v>
      </c>
      <c r="G4735">
        <v>0.562513201272129</v>
      </c>
      <c r="H4735">
        <v>0.40944150921996397</v>
      </c>
      <c r="I4735">
        <v>0.556078709318092</v>
      </c>
      <c r="J4735">
        <v>0.29574889382589598</v>
      </c>
      <c r="K4735">
        <v>0.15778148362043801</v>
      </c>
      <c r="L4735">
        <v>696.39230141475002</v>
      </c>
      <c r="M4735">
        <v>12.2689209432012</v>
      </c>
      <c r="N4735">
        <v>59.1639191187016</v>
      </c>
      <c r="O4735">
        <v>55.315917810553401</v>
      </c>
      <c r="P4735">
        <v>-4.4577911185548803E-2</v>
      </c>
      <c r="Q4735">
        <v>0.19623802371791799</v>
      </c>
      <c r="R4735">
        <v>0.86496399481847597</v>
      </c>
      <c r="S4735" t="s">
        <v>11405</v>
      </c>
      <c r="T4735" t="s">
        <v>13338</v>
      </c>
      <c r="U4735" t="s">
        <v>13338</v>
      </c>
      <c r="V4735" t="s">
        <v>13338</v>
      </c>
      <c r="W4735" t="s">
        <v>18017</v>
      </c>
      <c r="X4735">
        <v>13</v>
      </c>
      <c r="Y4735" t="s">
        <v>24518</v>
      </c>
      <c r="Z4735" t="s">
        <v>31150</v>
      </c>
      <c r="AA4735">
        <v>0.65950687297416666</v>
      </c>
      <c r="AB4735" t="str">
        <f>HYPERLINK("Melting_Curves/meltCurve_Q8WUD1_RAB2B.pdf", "Melting_Curves/meltCurve_Q8WUD1_RAB2B.pdf")</f>
        <v>Melting_Curves/meltCurve_Q8WUD1_RAB2B.pdf</v>
      </c>
    </row>
    <row r="4736" spans="1:28" x14ac:dyDescent="0.25">
      <c r="A4736" t="s">
        <v>4740</v>
      </c>
      <c r="B4736">
        <v>0.99193492352474899</v>
      </c>
      <c r="C4736">
        <v>1.0174330380277901</v>
      </c>
      <c r="D4736">
        <v>0.81770999717798898</v>
      </c>
      <c r="E4736">
        <v>0.58190805466214202</v>
      </c>
      <c r="F4736">
        <v>0.30848019677161498</v>
      </c>
      <c r="G4736">
        <v>0.20890466019516599</v>
      </c>
      <c r="H4736">
        <v>0.21627326351293999</v>
      </c>
      <c r="I4736">
        <v>0.25940797485351103</v>
      </c>
      <c r="J4736">
        <v>0.31702496794321799</v>
      </c>
      <c r="K4736">
        <v>0.34471670394510001</v>
      </c>
      <c r="L4736">
        <v>1273.7308582901701</v>
      </c>
      <c r="M4736">
        <v>26.196698110998799</v>
      </c>
      <c r="N4736">
        <v>50.0589969967385</v>
      </c>
      <c r="O4736">
        <v>48.341121593799201</v>
      </c>
      <c r="P4736">
        <v>-9.9670664493908004E-2</v>
      </c>
      <c r="Q4736">
        <v>0.26431353688528703</v>
      </c>
      <c r="R4736">
        <v>0.97501889740752701</v>
      </c>
      <c r="S4736" t="s">
        <v>11406</v>
      </c>
      <c r="T4736" t="s">
        <v>13338</v>
      </c>
      <c r="U4736" t="s">
        <v>13338</v>
      </c>
      <c r="V4736" t="s">
        <v>13338</v>
      </c>
      <c r="W4736" t="s">
        <v>18018</v>
      </c>
      <c r="X4736">
        <v>3</v>
      </c>
      <c r="Y4736" t="s">
        <v>24519</v>
      </c>
      <c r="Z4736" t="s">
        <v>31151</v>
      </c>
      <c r="AA4736">
        <v>0.48164835006434031</v>
      </c>
      <c r="AB4736" t="str">
        <f>HYPERLINK("Melting_Curves/meltCurve_Q8WUF5_PPP1R13L.pdf", "Melting_Curves/meltCurve_Q8WUF5_PPP1R13L.pdf")</f>
        <v>Melting_Curves/meltCurve_Q8WUF5_PPP1R13L.pdf</v>
      </c>
    </row>
    <row r="4737" spans="1:28" x14ac:dyDescent="0.25">
      <c r="A4737" t="s">
        <v>4741</v>
      </c>
      <c r="B4737">
        <v>0.99193492352474899</v>
      </c>
      <c r="C4737">
        <v>0.65907654110424696</v>
      </c>
      <c r="D4737">
        <v>0.63569551801750102</v>
      </c>
      <c r="E4737">
        <v>0.51589731856585497</v>
      </c>
      <c r="F4737">
        <v>0.34324838775338201</v>
      </c>
      <c r="G4737">
        <v>0.20176989866674</v>
      </c>
      <c r="H4737">
        <v>9.8483669585053502E-2</v>
      </c>
      <c r="I4737">
        <v>0.13676559490075099</v>
      </c>
      <c r="J4737">
        <v>9.7831658294642701E-2</v>
      </c>
      <c r="K4737">
        <v>9.4760412104967898E-2</v>
      </c>
      <c r="L4737">
        <v>456.14781967923398</v>
      </c>
      <c r="M4737">
        <v>9.3990316682233495</v>
      </c>
      <c r="N4737">
        <v>48.8119585893024</v>
      </c>
      <c r="O4737">
        <v>46.486554554422703</v>
      </c>
      <c r="P4737">
        <v>-4.9248059282939897E-2</v>
      </c>
      <c r="Q4737">
        <v>2.6298213842971398E-2</v>
      </c>
      <c r="R4737">
        <v>0.961361150617286</v>
      </c>
      <c r="S4737" t="s">
        <v>11407</v>
      </c>
      <c r="T4737" t="s">
        <v>13338</v>
      </c>
      <c r="U4737" t="s">
        <v>13338</v>
      </c>
      <c r="V4737" t="s">
        <v>13338</v>
      </c>
      <c r="W4737" t="s">
        <v>18019</v>
      </c>
      <c r="X4737">
        <v>2</v>
      </c>
      <c r="Y4737" t="s">
        <v>24520</v>
      </c>
      <c r="Z4737" t="s">
        <v>31152</v>
      </c>
      <c r="AA4737">
        <v>0.35738195157289049</v>
      </c>
      <c r="AB4737" t="str">
        <f>HYPERLINK("Melting_Curves/meltCurve_Q8WUF8_3_FAM172A.pdf", "Melting_Curves/meltCurve_Q8WUF8_3_FAM172A.pdf")</f>
        <v>Melting_Curves/meltCurve_Q8WUF8_3_FAM172A.pdf</v>
      </c>
    </row>
    <row r="4738" spans="1:28" x14ac:dyDescent="0.25">
      <c r="A4738" t="s">
        <v>4742</v>
      </c>
      <c r="B4738">
        <v>0.99193492352474899</v>
      </c>
      <c r="C4738">
        <v>0.87349613657033098</v>
      </c>
      <c r="D4738">
        <v>1.0102420566983099</v>
      </c>
      <c r="E4738">
        <v>0.69654119520871705</v>
      </c>
      <c r="F4738">
        <v>0.63253122511875204</v>
      </c>
      <c r="G4738">
        <v>0.35078914255070898</v>
      </c>
      <c r="H4738">
        <v>0.184162378566706</v>
      </c>
      <c r="I4738">
        <v>0.146684413196283</v>
      </c>
      <c r="J4738">
        <v>0.12748122886910199</v>
      </c>
      <c r="K4738">
        <v>0.133632739479665</v>
      </c>
      <c r="L4738">
        <v>765.87297960825595</v>
      </c>
      <c r="M4738">
        <v>14.285661362535601</v>
      </c>
      <c r="N4738">
        <v>54.228356304932902</v>
      </c>
      <c r="O4738">
        <v>52.593578155747998</v>
      </c>
      <c r="P4738">
        <v>-6.2819600626858194E-2</v>
      </c>
      <c r="Q4738">
        <v>7.50151473153855E-2</v>
      </c>
      <c r="R4738">
        <v>0.97365311602487703</v>
      </c>
      <c r="S4738" t="s">
        <v>11408</v>
      </c>
      <c r="T4738" t="s">
        <v>13338</v>
      </c>
      <c r="U4738" t="s">
        <v>13338</v>
      </c>
      <c r="V4738" t="s">
        <v>13338</v>
      </c>
      <c r="W4738" t="s">
        <v>18020</v>
      </c>
      <c r="X4738">
        <v>4</v>
      </c>
      <c r="Y4738" t="s">
        <v>24521</v>
      </c>
      <c r="Z4738" t="s">
        <v>31153</v>
      </c>
      <c r="AA4738">
        <v>0.51528712246950015</v>
      </c>
      <c r="AB4738" t="str">
        <f>HYPERLINK("Melting_Curves/meltCurve_Q8WUH1_CHURC1.pdf", "Melting_Curves/meltCurve_Q8WUH1_CHURC1.pdf")</f>
        <v>Melting_Curves/meltCurve_Q8WUH1_CHURC1.pdf</v>
      </c>
    </row>
    <row r="4739" spans="1:28" x14ac:dyDescent="0.25">
      <c r="A4739" t="s">
        <v>4743</v>
      </c>
      <c r="B4739">
        <v>0.99193492352474899</v>
      </c>
      <c r="C4739">
        <v>0.76239130747066897</v>
      </c>
      <c r="D4739">
        <v>0.66374954570433298</v>
      </c>
      <c r="E4739">
        <v>0.20806285515454501</v>
      </c>
      <c r="F4739">
        <v>0.19228874165802401</v>
      </c>
      <c r="G4739">
        <v>0.118957672656911</v>
      </c>
      <c r="H4739">
        <v>7.9394130913886807E-2</v>
      </c>
      <c r="I4739">
        <v>5.2961867036426198E-2</v>
      </c>
      <c r="J4739">
        <v>4.84510960559612E-2</v>
      </c>
      <c r="K4739">
        <v>5.5617442489786902E-2</v>
      </c>
      <c r="L4739">
        <v>842.55425850641302</v>
      </c>
      <c r="M4739">
        <v>18.0905124094276</v>
      </c>
      <c r="N4739">
        <v>46.899189858764203</v>
      </c>
      <c r="O4739">
        <v>46.016452111331603</v>
      </c>
      <c r="P4739">
        <v>-9.2500375936013096E-2</v>
      </c>
      <c r="Q4739">
        <v>5.8880605928417297E-2</v>
      </c>
      <c r="R4739">
        <v>0.97868190339476901</v>
      </c>
      <c r="S4739" t="s">
        <v>11409</v>
      </c>
      <c r="T4739" t="s">
        <v>13338</v>
      </c>
      <c r="U4739" t="s">
        <v>13338</v>
      </c>
      <c r="V4739" t="s">
        <v>13338</v>
      </c>
      <c r="W4739" t="s">
        <v>18021</v>
      </c>
      <c r="X4739">
        <v>5</v>
      </c>
      <c r="Y4739" t="s">
        <v>24522</v>
      </c>
      <c r="Z4739" t="s">
        <v>31154</v>
      </c>
      <c r="AA4739">
        <v>0.28269632436533609</v>
      </c>
      <c r="AB4739" t="str">
        <f>HYPERLINK("Melting_Curves/meltCurve_Q8WUH2_TGFBRAP1.pdf", "Melting_Curves/meltCurve_Q8WUH2_TGFBRAP1.pdf")</f>
        <v>Melting_Curves/meltCurve_Q8WUH2_TGFBRAP1.pdf</v>
      </c>
    </row>
    <row r="4740" spans="1:28" x14ac:dyDescent="0.25">
      <c r="A4740" t="s">
        <v>4744</v>
      </c>
      <c r="B4740">
        <v>0.99193492352474899</v>
      </c>
      <c r="C4740">
        <v>0.77817451057911902</v>
      </c>
      <c r="D4740">
        <v>0.55981610888787503</v>
      </c>
      <c r="E4740">
        <v>0.25522257543868898</v>
      </c>
      <c r="F4740">
        <v>0.14760420216815601</v>
      </c>
      <c r="G4740">
        <v>8.1642425144445196E-2</v>
      </c>
      <c r="H4740">
        <v>7.4458724525466202E-2</v>
      </c>
      <c r="I4740">
        <v>9.6139829197490895E-2</v>
      </c>
      <c r="J4740">
        <v>0.14047113626718799</v>
      </c>
      <c r="K4740">
        <v>0.13986405232255</v>
      </c>
      <c r="L4740">
        <v>931.11420103023102</v>
      </c>
      <c r="M4740">
        <v>20.318379498928898</v>
      </c>
      <c r="N4740">
        <v>46.3410208193987</v>
      </c>
      <c r="O4740">
        <v>45.389234457232703</v>
      </c>
      <c r="P4740">
        <v>-0.100608260904791</v>
      </c>
      <c r="Q4740">
        <v>0.101032271736234</v>
      </c>
      <c r="R4740">
        <v>0.99067851020850495</v>
      </c>
      <c r="S4740" t="s">
        <v>11410</v>
      </c>
      <c r="T4740" t="s">
        <v>13338</v>
      </c>
      <c r="U4740" t="s">
        <v>13338</v>
      </c>
      <c r="V4740" t="s">
        <v>13338</v>
      </c>
      <c r="W4740" t="s">
        <v>18022</v>
      </c>
      <c r="X4740">
        <v>3</v>
      </c>
      <c r="Y4740" t="s">
        <v>24523</v>
      </c>
      <c r="Z4740" t="s">
        <v>31155</v>
      </c>
      <c r="AA4740">
        <v>0.28919151140245702</v>
      </c>
      <c r="AB4740" t="str">
        <f>HYPERLINK("Melting_Curves/meltCurve_Q8WUH6_C12orf23.pdf", "Melting_Curves/meltCurve_Q8WUH6_C12orf23.pdf")</f>
        <v>Melting_Curves/meltCurve_Q8WUH6_C12orf23.pdf</v>
      </c>
    </row>
    <row r="4741" spans="1:28" x14ac:dyDescent="0.25">
      <c r="A4741" t="s">
        <v>4745</v>
      </c>
      <c r="B4741">
        <v>0.99193492352474899</v>
      </c>
      <c r="C4741">
        <v>0.96606818754753798</v>
      </c>
      <c r="D4741">
        <v>0.85729429642861499</v>
      </c>
      <c r="E4741">
        <v>0.68338115721185499</v>
      </c>
      <c r="F4741">
        <v>0.50182863496185504</v>
      </c>
      <c r="G4741">
        <v>0.25800677152964502</v>
      </c>
      <c r="H4741">
        <v>0.17651905903444701</v>
      </c>
      <c r="I4741">
        <v>0.219265254985785</v>
      </c>
      <c r="J4741">
        <v>0.25439312400346098</v>
      </c>
      <c r="K4741">
        <v>0.266209482067642</v>
      </c>
      <c r="L4741">
        <v>911.70329327097204</v>
      </c>
      <c r="M4741">
        <v>17.9923300495417</v>
      </c>
      <c r="N4741">
        <v>52.252438309413797</v>
      </c>
      <c r="O4741">
        <v>50.058259270966602</v>
      </c>
      <c r="P4741">
        <v>-7.1002222835786402E-2</v>
      </c>
      <c r="Q4741">
        <v>0.20986953551500301</v>
      </c>
      <c r="R4741">
        <v>0.98376529915031996</v>
      </c>
      <c r="S4741" t="s">
        <v>11411</v>
      </c>
      <c r="T4741" t="s">
        <v>13338</v>
      </c>
      <c r="U4741" t="s">
        <v>13338</v>
      </c>
      <c r="V4741" t="s">
        <v>13338</v>
      </c>
      <c r="W4741" t="s">
        <v>18023</v>
      </c>
      <c r="X4741">
        <v>6</v>
      </c>
      <c r="Y4741" t="s">
        <v>24524</v>
      </c>
      <c r="Z4741" t="s">
        <v>31156</v>
      </c>
      <c r="AA4741">
        <v>0.50431400685507566</v>
      </c>
      <c r="AB4741" t="str">
        <f>HYPERLINK("Melting_Curves/meltCurve_Q8WUI4_3_HDAC7.pdf", "Melting_Curves/meltCurve_Q8WUI4_3_HDAC7.pdf")</f>
        <v>Melting_Curves/meltCurve_Q8WUI4_3_HDAC7.pdf</v>
      </c>
    </row>
    <row r="4742" spans="1:28" x14ac:dyDescent="0.25">
      <c r="A4742" t="s">
        <v>4746</v>
      </c>
      <c r="B4742">
        <v>0.99193492352474899</v>
      </c>
      <c r="C4742">
        <v>0.84445425190894796</v>
      </c>
      <c r="D4742">
        <v>0.90580685354146895</v>
      </c>
      <c r="E4742">
        <v>0.52939042321872198</v>
      </c>
      <c r="F4742">
        <v>0.140737920075376</v>
      </c>
      <c r="G4742">
        <v>6.9575729449157506E-2</v>
      </c>
      <c r="H4742">
        <v>4.2786175186421797E-2</v>
      </c>
      <c r="I4742">
        <v>4.0107253807381997E-2</v>
      </c>
      <c r="J4742">
        <v>4.1786367791381403E-2</v>
      </c>
      <c r="K4742">
        <v>6.1039766572319597E-2</v>
      </c>
      <c r="L4742">
        <v>1335.8846502336601</v>
      </c>
      <c r="M4742">
        <v>26.964465102085001</v>
      </c>
      <c r="N4742">
        <v>49.6949867290664</v>
      </c>
      <c r="O4742">
        <v>49.272334564615598</v>
      </c>
      <c r="P4742">
        <v>-0.131379653994111</v>
      </c>
      <c r="Q4742">
        <v>3.9726204430802298E-2</v>
      </c>
      <c r="R4742">
        <v>0.98541442537875801</v>
      </c>
      <c r="S4742" t="s">
        <v>11412</v>
      </c>
      <c r="T4742" t="s">
        <v>13338</v>
      </c>
      <c r="U4742" t="s">
        <v>13338</v>
      </c>
      <c r="V4742" t="s">
        <v>13338</v>
      </c>
      <c r="W4742" t="s">
        <v>18024</v>
      </c>
      <c r="X4742">
        <v>3</v>
      </c>
      <c r="Y4742" t="s">
        <v>24525</v>
      </c>
      <c r="Z4742" t="s">
        <v>31157</v>
      </c>
      <c r="AA4742">
        <v>0.35249685976510819</v>
      </c>
      <c r="AB4742" t="str">
        <f>HYPERLINK("Melting_Curves/meltCurve_Q8WUJ0_STYX.pdf", "Melting_Curves/meltCurve_Q8WUJ0_STYX.pdf")</f>
        <v>Melting_Curves/meltCurve_Q8WUJ0_STYX.pdf</v>
      </c>
    </row>
    <row r="4743" spans="1:28" x14ac:dyDescent="0.25">
      <c r="A4743" t="s">
        <v>4747</v>
      </c>
      <c r="B4743">
        <v>0.99193492352474899</v>
      </c>
      <c r="C4743">
        <v>1.37850160924522</v>
      </c>
      <c r="D4743">
        <v>0.99600033354850703</v>
      </c>
      <c r="E4743">
        <v>0.73745354678507602</v>
      </c>
      <c r="F4743">
        <v>0.184751149832934</v>
      </c>
      <c r="G4743">
        <v>0.117294324510377</v>
      </c>
      <c r="H4743">
        <v>6.1965174778866601E-2</v>
      </c>
      <c r="I4743">
        <v>0.11659588362053599</v>
      </c>
      <c r="J4743">
        <v>0.13551415643183101</v>
      </c>
      <c r="K4743">
        <v>0</v>
      </c>
      <c r="L4743">
        <v>2216.77851794355</v>
      </c>
      <c r="M4743">
        <v>43.769741756972003</v>
      </c>
      <c r="N4743">
        <v>50.861480955530602</v>
      </c>
      <c r="O4743">
        <v>50.541008289847298</v>
      </c>
      <c r="P4743">
        <v>-0.19821195694826901</v>
      </c>
      <c r="Q4743">
        <v>8.4498665814086202E-2</v>
      </c>
      <c r="R4743">
        <v>0.93165006219796298</v>
      </c>
      <c r="S4743" t="s">
        <v>11413</v>
      </c>
      <c r="T4743" t="s">
        <v>13338</v>
      </c>
      <c r="U4743" t="s">
        <v>13338</v>
      </c>
      <c r="V4743" t="s">
        <v>13338</v>
      </c>
      <c r="W4743" t="s">
        <v>18025</v>
      </c>
      <c r="X4743">
        <v>1</v>
      </c>
      <c r="Y4743" t="s">
        <v>24526</v>
      </c>
      <c r="Z4743" t="s">
        <v>31158</v>
      </c>
      <c r="AA4743">
        <v>0.41206419582338361</v>
      </c>
      <c r="AB4743" t="str">
        <f>HYPERLINK("Melting_Curves/meltCurve_Q8WUK0_PTPMT1.pdf", "Melting_Curves/meltCurve_Q8WUK0_PTPMT1.pdf")</f>
        <v>Melting_Curves/meltCurve_Q8WUK0_PTPMT1.pdf</v>
      </c>
    </row>
    <row r="4744" spans="1:28" x14ac:dyDescent="0.25">
      <c r="A4744" t="s">
        <v>4748</v>
      </c>
      <c r="B4744">
        <v>0.99193492352474899</v>
      </c>
      <c r="C4744">
        <v>0.86348487856871303</v>
      </c>
      <c r="D4744">
        <v>0.88730679142722901</v>
      </c>
      <c r="E4744">
        <v>0.67551866002369398</v>
      </c>
      <c r="F4744">
        <v>0.207853634581009</v>
      </c>
      <c r="G4744">
        <v>0.126240862404883</v>
      </c>
      <c r="H4744">
        <v>8.6710010759092807E-2</v>
      </c>
      <c r="I4744">
        <v>8.4062612723994207E-2</v>
      </c>
      <c r="J4744">
        <v>0.10269484912505999</v>
      </c>
      <c r="K4744">
        <v>8.9310806076433893E-2</v>
      </c>
      <c r="L4744">
        <v>1387.0849943205801</v>
      </c>
      <c r="M4744">
        <v>27.568145143125498</v>
      </c>
      <c r="N4744">
        <v>50.650140392228302</v>
      </c>
      <c r="O4744">
        <v>50.052268716759599</v>
      </c>
      <c r="P4744">
        <v>-0.12621104567943001</v>
      </c>
      <c r="Q4744">
        <v>8.3421760982597001E-2</v>
      </c>
      <c r="R4744">
        <v>0.98307498090901702</v>
      </c>
      <c r="S4744" t="s">
        <v>11414</v>
      </c>
      <c r="T4744" t="s">
        <v>13338</v>
      </c>
      <c r="U4744" t="s">
        <v>13338</v>
      </c>
      <c r="V4744" t="s">
        <v>13338</v>
      </c>
      <c r="W4744" t="s">
        <v>18026</v>
      </c>
      <c r="X4744">
        <v>16</v>
      </c>
      <c r="Y4744" t="s">
        <v>24527</v>
      </c>
      <c r="Z4744" t="s">
        <v>31159</v>
      </c>
      <c r="AA4744">
        <v>0.40532109190153681</v>
      </c>
      <c r="AB4744" t="str">
        <f>HYPERLINK("Melting_Curves/meltCurve_Q8WUM0_NUP133.pdf", "Melting_Curves/meltCurve_Q8WUM0_NUP133.pdf")</f>
        <v>Melting_Curves/meltCurve_Q8WUM0_NUP133.pdf</v>
      </c>
    </row>
    <row r="4745" spans="1:28" x14ac:dyDescent="0.25">
      <c r="A4745" t="s">
        <v>4749</v>
      </c>
      <c r="B4745">
        <v>0.99193492352474899</v>
      </c>
      <c r="C4745">
        <v>0.88387080142136798</v>
      </c>
      <c r="D4745">
        <v>0.76275900792296503</v>
      </c>
      <c r="E4745">
        <v>0.18954938587443801</v>
      </c>
      <c r="F4745">
        <v>0.13678987758771799</v>
      </c>
      <c r="G4745">
        <v>7.9507954622976607E-2</v>
      </c>
      <c r="H4745">
        <v>5.2631483614307403E-2</v>
      </c>
      <c r="I4745">
        <v>6.0783928016928203E-2</v>
      </c>
      <c r="J4745">
        <v>7.4077700256872395E-2</v>
      </c>
      <c r="K4745">
        <v>8.5891775856996894E-2</v>
      </c>
      <c r="L4745">
        <v>1635.52028780213</v>
      </c>
      <c r="M4745">
        <v>34.646651264000397</v>
      </c>
      <c r="N4745">
        <v>47.426387457668397</v>
      </c>
      <c r="O4745">
        <v>47.049302854675801</v>
      </c>
      <c r="P4745">
        <v>-0.170394074168321</v>
      </c>
      <c r="Q4745">
        <v>7.4439719656785502E-2</v>
      </c>
      <c r="R4745">
        <v>0.990641004734509</v>
      </c>
      <c r="S4745" t="s">
        <v>11415</v>
      </c>
      <c r="T4745" t="s">
        <v>13338</v>
      </c>
      <c r="U4745" t="s">
        <v>13338</v>
      </c>
      <c r="V4745" t="s">
        <v>13338</v>
      </c>
      <c r="W4745" t="s">
        <v>18027</v>
      </c>
      <c r="X4745">
        <v>47</v>
      </c>
      <c r="Y4745" t="s">
        <v>24528</v>
      </c>
      <c r="Z4745" t="s">
        <v>31160</v>
      </c>
      <c r="AA4745">
        <v>0.30084424665887022</v>
      </c>
      <c r="AB4745" t="str">
        <f>HYPERLINK("Melting_Curves/meltCurve_Q8WUM4_PDCD6IP.pdf", "Melting_Curves/meltCurve_Q8WUM4_PDCD6IP.pdf")</f>
        <v>Melting_Curves/meltCurve_Q8WUM4_PDCD6IP.pdf</v>
      </c>
    </row>
    <row r="4746" spans="1:28" x14ac:dyDescent="0.25">
      <c r="A4746" t="s">
        <v>4750</v>
      </c>
      <c r="B4746">
        <v>0.99193492352474899</v>
      </c>
      <c r="C4746">
        <v>1.05442019032656</v>
      </c>
      <c r="D4746">
        <v>1.0006753286807699</v>
      </c>
      <c r="E4746">
        <v>0.83293688347012595</v>
      </c>
      <c r="F4746">
        <v>0.67508669177635805</v>
      </c>
      <c r="G4746">
        <v>0.47586094254239097</v>
      </c>
      <c r="H4746">
        <v>0.37937160900945899</v>
      </c>
      <c r="I4746">
        <v>0.445776599048821</v>
      </c>
      <c r="J4746">
        <v>0.39825105534077998</v>
      </c>
      <c r="K4746">
        <v>0.46204782975856201</v>
      </c>
      <c r="L4746">
        <v>1248.8316102107101</v>
      </c>
      <c r="M4746">
        <v>23.930512559140698</v>
      </c>
      <c r="N4746">
        <v>56.354676005312299</v>
      </c>
      <c r="O4746">
        <v>51.825431358350798</v>
      </c>
      <c r="P4746">
        <v>-6.7548605958414498E-2</v>
      </c>
      <c r="Q4746">
        <v>0.41485932264533398</v>
      </c>
      <c r="R4746">
        <v>0.98146176391337803</v>
      </c>
      <c r="S4746" t="s">
        <v>11416</v>
      </c>
      <c r="T4746" t="s">
        <v>13338</v>
      </c>
      <c r="U4746" t="s">
        <v>13338</v>
      </c>
      <c r="V4746" t="s">
        <v>13338</v>
      </c>
      <c r="W4746" t="s">
        <v>18028</v>
      </c>
      <c r="X4746">
        <v>5</v>
      </c>
      <c r="Y4746" t="s">
        <v>24529</v>
      </c>
      <c r="Z4746" t="s">
        <v>31161</v>
      </c>
      <c r="AA4746">
        <v>0.65835474154481965</v>
      </c>
      <c r="AB4746" t="str">
        <f>HYPERLINK("Melting_Curves/meltCurve_Q8WUM9_SLC20A1.pdf", "Melting_Curves/meltCurve_Q8WUM9_SLC20A1.pdf")</f>
        <v>Melting_Curves/meltCurve_Q8WUM9_SLC20A1.pdf</v>
      </c>
    </row>
    <row r="4747" spans="1:28" x14ac:dyDescent="0.25">
      <c r="A4747" t="s">
        <v>4751</v>
      </c>
      <c r="B4747">
        <v>0.99193492352474899</v>
      </c>
      <c r="C4747">
        <v>1.1748436860129701</v>
      </c>
      <c r="D4747">
        <v>0.82889280939619703</v>
      </c>
      <c r="E4747">
        <v>0.78748008643051004</v>
      </c>
      <c r="F4747">
        <v>0.48662285006127898</v>
      </c>
      <c r="G4747">
        <v>0.26807423375639799</v>
      </c>
      <c r="H4747">
        <v>0.130071074880243</v>
      </c>
      <c r="I4747">
        <v>0.21739670894101601</v>
      </c>
      <c r="J4747">
        <v>0.19026858425717399</v>
      </c>
      <c r="K4747">
        <v>0.23023634260098999</v>
      </c>
      <c r="L4747">
        <v>1136.98179864143</v>
      </c>
      <c r="M4747">
        <v>21.9964384465598</v>
      </c>
      <c r="N4747">
        <v>52.767265574624602</v>
      </c>
      <c r="O4747">
        <v>51.2678321329279</v>
      </c>
      <c r="P4747">
        <v>-8.7852687435305499E-2</v>
      </c>
      <c r="Q4747">
        <v>0.18097355790399</v>
      </c>
      <c r="R4747">
        <v>0.95560979249148403</v>
      </c>
      <c r="S4747" t="s">
        <v>11417</v>
      </c>
      <c r="T4747" t="s">
        <v>13338</v>
      </c>
      <c r="U4747" t="s">
        <v>13338</v>
      </c>
      <c r="V4747" t="s">
        <v>13338</v>
      </c>
      <c r="W4747" t="s">
        <v>18029</v>
      </c>
      <c r="X4747">
        <v>4</v>
      </c>
      <c r="Y4747" t="s">
        <v>24530</v>
      </c>
      <c r="Z4747" t="s">
        <v>31162</v>
      </c>
      <c r="AA4747">
        <v>0.50962085955012493</v>
      </c>
      <c r="AB4747" t="str">
        <f>HYPERLINK("Melting_Curves/meltCurve_Q8WUN7_UBTD2.pdf", "Melting_Curves/meltCurve_Q8WUN7_UBTD2.pdf")</f>
        <v>Melting_Curves/meltCurve_Q8WUN7_UBTD2.pdf</v>
      </c>
    </row>
    <row r="4748" spans="1:28" x14ac:dyDescent="0.25">
      <c r="A4748" t="s">
        <v>4752</v>
      </c>
      <c r="B4748">
        <v>0.99193492352474899</v>
      </c>
      <c r="C4748">
        <v>1.2783132312330101</v>
      </c>
      <c r="D4748">
        <v>1.30493959643686</v>
      </c>
      <c r="E4748">
        <v>1.27415682600803</v>
      </c>
      <c r="F4748">
        <v>1.0885115672601999</v>
      </c>
      <c r="G4748">
        <v>0.94358839977421105</v>
      </c>
      <c r="H4748">
        <v>0.81558560381635303</v>
      </c>
      <c r="I4748">
        <v>0.93822449950023801</v>
      </c>
      <c r="J4748">
        <v>1.0477735292802</v>
      </c>
      <c r="K4748">
        <v>1.36955892019979</v>
      </c>
      <c r="L4748">
        <v>15000</v>
      </c>
      <c r="M4748">
        <v>221.63875731580899</v>
      </c>
      <c r="O4748">
        <v>67.672184296422301</v>
      </c>
      <c r="P4748">
        <v>0.30278710973481399</v>
      </c>
      <c r="Q4748">
        <v>1.3697957017464799</v>
      </c>
      <c r="R4748">
        <v>8.6993214012825601E-2</v>
      </c>
      <c r="S4748" t="s">
        <v>11418</v>
      </c>
      <c r="T4748" t="s">
        <v>13338</v>
      </c>
      <c r="U4748" t="s">
        <v>13338</v>
      </c>
      <c r="V4748" t="s">
        <v>13338</v>
      </c>
      <c r="W4748" t="s">
        <v>18030</v>
      </c>
      <c r="X4748">
        <v>2</v>
      </c>
      <c r="Y4748" t="s">
        <v>24531</v>
      </c>
      <c r="Z4748" t="s">
        <v>31163</v>
      </c>
      <c r="AA4748">
        <v>1.0285726772245261</v>
      </c>
      <c r="AB4748" t="str">
        <f>HYPERLINK("Melting_Curves/meltCurve_Q8WUR7_C15orf40.pdf", "Melting_Curves/meltCurve_Q8WUR7_C15orf40.pdf")</f>
        <v>Melting_Curves/meltCurve_Q8WUR7_C15orf40.pdf</v>
      </c>
    </row>
    <row r="4749" spans="1:28" x14ac:dyDescent="0.25">
      <c r="A4749" t="s">
        <v>4753</v>
      </c>
      <c r="B4749">
        <v>0.99193492352474899</v>
      </c>
      <c r="C4749">
        <v>0.637992803045482</v>
      </c>
      <c r="D4749">
        <v>0.87407621775227096</v>
      </c>
      <c r="E4749">
        <v>0.56969688127208895</v>
      </c>
      <c r="F4749">
        <v>0.27880928104675601</v>
      </c>
      <c r="G4749">
        <v>8.3768793357037102E-2</v>
      </c>
      <c r="H4749">
        <v>5.5767227386605597E-2</v>
      </c>
      <c r="I4749">
        <v>4.8707941241196498E-2</v>
      </c>
      <c r="J4749">
        <v>6.5099617057317705E-2</v>
      </c>
      <c r="K4749">
        <v>5.9644000611317201E-2</v>
      </c>
      <c r="L4749">
        <v>652.21702521193401</v>
      </c>
      <c r="M4749">
        <v>13.108330281935499</v>
      </c>
      <c r="N4749">
        <v>49.755919243525099</v>
      </c>
      <c r="O4749">
        <v>48.640673906253099</v>
      </c>
      <c r="P4749">
        <v>-6.7384825537417495E-2</v>
      </c>
      <c r="Q4749">
        <v>0</v>
      </c>
      <c r="R4749">
        <v>0.92284328521758796</v>
      </c>
      <c r="S4749" t="s">
        <v>11419</v>
      </c>
      <c r="T4749" t="s">
        <v>13338</v>
      </c>
      <c r="U4749" t="s">
        <v>13338</v>
      </c>
      <c r="V4749" t="s">
        <v>13338</v>
      </c>
      <c r="W4749" t="s">
        <v>18031</v>
      </c>
      <c r="X4749">
        <v>6</v>
      </c>
      <c r="Y4749" t="s">
        <v>24532</v>
      </c>
      <c r="Z4749" t="s">
        <v>31164</v>
      </c>
      <c r="AA4749">
        <v>0.35559123917285412</v>
      </c>
      <c r="AB4749" t="str">
        <f>HYPERLINK("Melting_Curves/meltCurve_Q8WUX2_CHAC2.pdf", "Melting_Curves/meltCurve_Q8WUX2_CHAC2.pdf")</f>
        <v>Melting_Curves/meltCurve_Q8WUX2_CHAC2.pdf</v>
      </c>
    </row>
    <row r="4750" spans="1:28" x14ac:dyDescent="0.25">
      <c r="A4750" t="s">
        <v>4754</v>
      </c>
      <c r="B4750">
        <v>0.99193492352474899</v>
      </c>
      <c r="C4750">
        <v>0.74042822417495602</v>
      </c>
      <c r="D4750">
        <v>0.46161098783504301</v>
      </c>
      <c r="E4750">
        <v>0.20508054452891</v>
      </c>
      <c r="F4750">
        <v>0.140059531638065</v>
      </c>
      <c r="G4750">
        <v>0.10391205365728599</v>
      </c>
      <c r="H4750">
        <v>7.5223249098415795E-2</v>
      </c>
      <c r="I4750">
        <v>8.5642548792747103E-2</v>
      </c>
      <c r="J4750">
        <v>0.11654893196200999</v>
      </c>
      <c r="K4750">
        <v>0.105724127803938</v>
      </c>
      <c r="L4750">
        <v>968.083442805441</v>
      </c>
      <c r="M4750">
        <v>21.488596575358699</v>
      </c>
      <c r="N4750">
        <v>45.504871942337203</v>
      </c>
      <c r="O4750">
        <v>44.6663186940876</v>
      </c>
      <c r="P4750">
        <v>-0.10867506937256199</v>
      </c>
      <c r="Q4750">
        <v>9.6451678108855396E-2</v>
      </c>
      <c r="R4750">
        <v>0.99498391616492199</v>
      </c>
      <c r="S4750" t="s">
        <v>11420</v>
      </c>
      <c r="T4750" t="s">
        <v>13338</v>
      </c>
      <c r="U4750" t="s">
        <v>13338</v>
      </c>
      <c r="V4750" t="s">
        <v>13338</v>
      </c>
      <c r="W4750" t="s">
        <v>18032</v>
      </c>
      <c r="X4750">
        <v>8</v>
      </c>
      <c r="Y4750" t="s">
        <v>24533</v>
      </c>
      <c r="Z4750" t="s">
        <v>31165</v>
      </c>
      <c r="AA4750">
        <v>0.26142967069818979</v>
      </c>
      <c r="AB4750" t="str">
        <f>HYPERLINK("Melting_Curves/meltCurve_Q8WUX9_CHMP7.pdf", "Melting_Curves/meltCurve_Q8WUX9_CHMP7.pdf")</f>
        <v>Melting_Curves/meltCurve_Q8WUX9_CHMP7.pdf</v>
      </c>
    </row>
    <row r="4751" spans="1:28" x14ac:dyDescent="0.25">
      <c r="A4751" t="s">
        <v>4755</v>
      </c>
      <c r="B4751">
        <v>0.99193492352474899</v>
      </c>
      <c r="C4751">
        <v>0.93387016287499702</v>
      </c>
      <c r="D4751">
        <v>1.0738298445352801</v>
      </c>
      <c r="E4751">
        <v>0.89322422781063704</v>
      </c>
      <c r="F4751">
        <v>0.95896470312682902</v>
      </c>
      <c r="G4751">
        <v>0.66774992784528397</v>
      </c>
      <c r="H4751">
        <v>0.42995345538961899</v>
      </c>
      <c r="I4751">
        <v>0.352951397504561</v>
      </c>
      <c r="J4751">
        <v>0.40514026451330098</v>
      </c>
      <c r="K4751">
        <v>0.38562785626476498</v>
      </c>
      <c r="L4751">
        <v>2104.60441168239</v>
      </c>
      <c r="M4751">
        <v>37.184656910564499</v>
      </c>
      <c r="N4751">
        <v>58.852298211656397</v>
      </c>
      <c r="O4751">
        <v>56.435782491565398</v>
      </c>
      <c r="P4751">
        <v>-0.102191425872998</v>
      </c>
      <c r="Q4751">
        <v>0.37961109960467998</v>
      </c>
      <c r="R4751">
        <v>0.97037262877408903</v>
      </c>
      <c r="S4751" t="s">
        <v>11421</v>
      </c>
      <c r="T4751" t="s">
        <v>13338</v>
      </c>
      <c r="U4751" t="s">
        <v>13338</v>
      </c>
      <c r="V4751" t="s">
        <v>13338</v>
      </c>
      <c r="W4751" t="s">
        <v>18033</v>
      </c>
      <c r="X4751">
        <v>8</v>
      </c>
      <c r="Y4751" t="s">
        <v>24534</v>
      </c>
      <c r="Z4751" t="s">
        <v>31166</v>
      </c>
      <c r="AA4751">
        <v>0.72563819385851158</v>
      </c>
      <c r="AB4751" t="str">
        <f>HYPERLINK("Melting_Curves/meltCurve_Q8WUY1_THEM6.pdf", "Melting_Curves/meltCurve_Q8WUY1_THEM6.pdf")</f>
        <v>Melting_Curves/meltCurve_Q8WUY1_THEM6.pdf</v>
      </c>
    </row>
    <row r="4752" spans="1:28" x14ac:dyDescent="0.25">
      <c r="A4752" t="s">
        <v>4756</v>
      </c>
      <c r="B4752">
        <v>0.99193492352474899</v>
      </c>
      <c r="C4752">
        <v>1.1211669552043999</v>
      </c>
      <c r="D4752">
        <v>0.83442282855306804</v>
      </c>
      <c r="E4752">
        <v>0.663323910143923</v>
      </c>
      <c r="F4752">
        <v>0.179701536079024</v>
      </c>
      <c r="G4752">
        <v>8.3708354993382195E-2</v>
      </c>
      <c r="H4752">
        <v>4.3298746947465903E-2</v>
      </c>
      <c r="I4752">
        <v>5.1057388402986202E-2</v>
      </c>
      <c r="J4752">
        <v>6.1957041585851698E-2</v>
      </c>
      <c r="K4752">
        <v>7.6481924339221394E-2</v>
      </c>
      <c r="L4752">
        <v>1447.6815514333</v>
      </c>
      <c r="M4752">
        <v>28.784758035785998</v>
      </c>
      <c r="N4752">
        <v>50.483040650354901</v>
      </c>
      <c r="O4752">
        <v>50.052488371586598</v>
      </c>
      <c r="P4752">
        <v>-0.13640407121286599</v>
      </c>
      <c r="Q4752">
        <v>5.1260540982897999E-2</v>
      </c>
      <c r="R4752">
        <v>0.98196539846198805</v>
      </c>
      <c r="S4752" t="s">
        <v>11422</v>
      </c>
      <c r="T4752" t="s">
        <v>13338</v>
      </c>
      <c r="U4752" t="s">
        <v>13338</v>
      </c>
      <c r="V4752" t="s">
        <v>13338</v>
      </c>
      <c r="W4752" t="s">
        <v>18034</v>
      </c>
      <c r="X4752">
        <v>4</v>
      </c>
      <c r="Y4752" t="s">
        <v>24535</v>
      </c>
      <c r="Z4752" t="s">
        <v>31167</v>
      </c>
      <c r="AA4752">
        <v>0.38319259441505132</v>
      </c>
      <c r="AB4752" t="str">
        <f>HYPERLINK("Melting_Curves/meltCurve_Q8WUY8_NAT14.pdf", "Melting_Curves/meltCurve_Q8WUY8_NAT14.pdf")</f>
        <v>Melting_Curves/meltCurve_Q8WUY8_NAT14.pdf</v>
      </c>
    </row>
    <row r="4753" spans="1:28" x14ac:dyDescent="0.25">
      <c r="A4753" t="s">
        <v>4757</v>
      </c>
      <c r="B4753">
        <v>0.99193492352474899</v>
      </c>
      <c r="C4753">
        <v>0.72969924541710696</v>
      </c>
      <c r="D4753">
        <v>0.76270794058913305</v>
      </c>
      <c r="E4753">
        <v>0.47603082494892102</v>
      </c>
      <c r="F4753">
        <v>0.25801608372992602</v>
      </c>
      <c r="G4753">
        <v>0.15601058192096801</v>
      </c>
      <c r="H4753">
        <v>6.9080410820461E-2</v>
      </c>
      <c r="I4753">
        <v>8.4187100537148299E-2</v>
      </c>
      <c r="J4753">
        <v>8.9926875449118801E-2</v>
      </c>
      <c r="K4753">
        <v>7.9304889320097702E-2</v>
      </c>
      <c r="L4753">
        <v>627.26362105837995</v>
      </c>
      <c r="M4753">
        <v>12.8995884773831</v>
      </c>
      <c r="N4753">
        <v>48.942967469011201</v>
      </c>
      <c r="O4753">
        <v>47.502495846680603</v>
      </c>
      <c r="P4753">
        <v>-6.5185657340684905E-2</v>
      </c>
      <c r="Q4753">
        <v>3.9994887720578902E-2</v>
      </c>
      <c r="R4753">
        <v>0.97527789506343698</v>
      </c>
      <c r="S4753" t="s">
        <v>11423</v>
      </c>
      <c r="T4753" t="s">
        <v>13338</v>
      </c>
      <c r="U4753" t="s">
        <v>13338</v>
      </c>
      <c r="V4753" t="s">
        <v>13338</v>
      </c>
      <c r="W4753" t="s">
        <v>18035</v>
      </c>
      <c r="X4753">
        <v>8</v>
      </c>
      <c r="Y4753" t="s">
        <v>24536</v>
      </c>
      <c r="Z4753" t="s">
        <v>31168</v>
      </c>
      <c r="AA4753">
        <v>0.34785094990020238</v>
      </c>
      <c r="AB4753" t="str">
        <f>HYPERLINK("Melting_Curves/meltCurve_Q8WV22_NSMCE1.pdf", "Melting_Curves/meltCurve_Q8WV22_NSMCE1.pdf")</f>
        <v>Melting_Curves/meltCurve_Q8WV22_NSMCE1.pdf</v>
      </c>
    </row>
    <row r="4754" spans="1:28" x14ac:dyDescent="0.25">
      <c r="A4754" t="s">
        <v>4758</v>
      </c>
      <c r="B4754">
        <v>0.99193492352474899</v>
      </c>
      <c r="C4754">
        <v>0.88468637602760003</v>
      </c>
      <c r="D4754">
        <v>0.91647177146554604</v>
      </c>
      <c r="E4754">
        <v>0.71521983057823701</v>
      </c>
      <c r="F4754">
        <v>0.28131963193186799</v>
      </c>
      <c r="G4754">
        <v>0.18572932076979301</v>
      </c>
      <c r="H4754">
        <v>9.5183306246843999E-2</v>
      </c>
      <c r="I4754">
        <v>0.116516582978271</v>
      </c>
      <c r="J4754">
        <v>0.123579505779396</v>
      </c>
      <c r="K4754">
        <v>0.121664790639297</v>
      </c>
      <c r="L4754">
        <v>1338.5003509792</v>
      </c>
      <c r="M4754">
        <v>26.389858574942998</v>
      </c>
      <c r="N4754">
        <v>51.211527802079097</v>
      </c>
      <c r="O4754">
        <v>50.431695203586202</v>
      </c>
      <c r="P4754">
        <v>-0.116192069893659</v>
      </c>
      <c r="Q4754">
        <v>0.111825556930438</v>
      </c>
      <c r="R4754">
        <v>0.98787335649026797</v>
      </c>
      <c r="S4754" t="s">
        <v>11424</v>
      </c>
      <c r="T4754" t="s">
        <v>13338</v>
      </c>
      <c r="U4754" t="s">
        <v>13338</v>
      </c>
      <c r="V4754" t="s">
        <v>13338</v>
      </c>
      <c r="W4754" t="s">
        <v>18036</v>
      </c>
      <c r="X4754">
        <v>4</v>
      </c>
      <c r="Y4754" t="s">
        <v>24537</v>
      </c>
      <c r="Z4754" t="s">
        <v>31169</v>
      </c>
      <c r="AA4754">
        <v>0.43639192194043669</v>
      </c>
      <c r="AB4754" t="str">
        <f>HYPERLINK("Melting_Curves/meltCurve_Q8WV74_NUDT8.pdf", "Melting_Curves/meltCurve_Q8WV74_NUDT8.pdf")</f>
        <v>Melting_Curves/meltCurve_Q8WV74_NUDT8.pdf</v>
      </c>
    </row>
    <row r="4755" spans="1:28" x14ac:dyDescent="0.25">
      <c r="A4755" t="s">
        <v>4759</v>
      </c>
      <c r="B4755">
        <v>0.99193492352474899</v>
      </c>
      <c r="C4755">
        <v>0.70329966849743097</v>
      </c>
      <c r="D4755">
        <v>0.85896409287719999</v>
      </c>
      <c r="E4755">
        <v>0.615052426792841</v>
      </c>
      <c r="F4755">
        <v>0.37334644611862899</v>
      </c>
      <c r="G4755">
        <v>0.232640216899136</v>
      </c>
      <c r="H4755">
        <v>0.16518464595319801</v>
      </c>
      <c r="I4755">
        <v>0.164849568862621</v>
      </c>
      <c r="J4755">
        <v>0.17038998813570699</v>
      </c>
      <c r="K4755">
        <v>0.199125833008786</v>
      </c>
      <c r="L4755">
        <v>609.57275995001805</v>
      </c>
      <c r="M4755">
        <v>12.2632170405436</v>
      </c>
      <c r="N4755">
        <v>50.854336231019303</v>
      </c>
      <c r="O4755">
        <v>48.441054687085497</v>
      </c>
      <c r="P4755">
        <v>-5.5655634705655099E-2</v>
      </c>
      <c r="Q4755">
        <v>0.12081130794299</v>
      </c>
      <c r="R4755">
        <v>0.93933179044940096</v>
      </c>
      <c r="S4755" t="s">
        <v>11425</v>
      </c>
      <c r="T4755" t="s">
        <v>13338</v>
      </c>
      <c r="U4755" t="s">
        <v>13338</v>
      </c>
      <c r="V4755" t="s">
        <v>13338</v>
      </c>
      <c r="W4755" t="s">
        <v>18037</v>
      </c>
      <c r="X4755">
        <v>2</v>
      </c>
      <c r="Y4755" t="s">
        <v>24538</v>
      </c>
      <c r="Z4755" t="s">
        <v>31170</v>
      </c>
      <c r="AA4755">
        <v>0.43520180729934033</v>
      </c>
      <c r="AB4755" t="str">
        <f>HYPERLINK("Melting_Curves/meltCurve_Q8WV92_MITD1.pdf", "Melting_Curves/meltCurve_Q8WV92_MITD1.pdf")</f>
        <v>Melting_Curves/meltCurve_Q8WV92_MITD1.pdf</v>
      </c>
    </row>
    <row r="4756" spans="1:28" x14ac:dyDescent="0.25">
      <c r="A4756" t="s">
        <v>4760</v>
      </c>
      <c r="B4756">
        <v>0.99193492352474899</v>
      </c>
      <c r="C4756">
        <v>1.0222496699452399</v>
      </c>
      <c r="D4756">
        <v>0.55698045218266101</v>
      </c>
      <c r="E4756">
        <v>0.25679431054842999</v>
      </c>
      <c r="F4756">
        <v>7.3479843046011004E-2</v>
      </c>
      <c r="G4756">
        <v>7.7742222784129997E-2</v>
      </c>
      <c r="H4756">
        <v>4.0493630421932103E-2</v>
      </c>
      <c r="I4756">
        <v>4.9731158277828702E-2</v>
      </c>
      <c r="J4756">
        <v>4.8747319261764503E-2</v>
      </c>
      <c r="K4756">
        <v>4.63811148757894E-2</v>
      </c>
      <c r="L4756">
        <v>1323.3943175438001</v>
      </c>
      <c r="M4756">
        <v>28.392106606753298</v>
      </c>
      <c r="N4756">
        <v>46.805648092189003</v>
      </c>
      <c r="O4756">
        <v>46.381951391980998</v>
      </c>
      <c r="P4756">
        <v>-0.14452819023632099</v>
      </c>
      <c r="Q4756">
        <v>5.5590312370673703E-2</v>
      </c>
      <c r="R4756">
        <v>0.98816471558743502</v>
      </c>
      <c r="S4756" t="s">
        <v>11426</v>
      </c>
      <c r="T4756" t="s">
        <v>13338</v>
      </c>
      <c r="U4756" t="s">
        <v>13338</v>
      </c>
      <c r="V4756" t="s">
        <v>13338</v>
      </c>
      <c r="W4756" t="s">
        <v>18038</v>
      </c>
      <c r="X4756">
        <v>6</v>
      </c>
      <c r="Y4756" t="s">
        <v>24539</v>
      </c>
      <c r="Z4756" t="s">
        <v>31171</v>
      </c>
      <c r="AA4756">
        <v>0.27013082299884789</v>
      </c>
      <c r="AB4756" t="str">
        <f>HYPERLINK("Melting_Curves/meltCurve_Q8WVB6_CHTF18.pdf", "Melting_Curves/meltCurve_Q8WVB6_CHTF18.pdf")</f>
        <v>Melting_Curves/meltCurve_Q8WVB6_CHTF18.pdf</v>
      </c>
    </row>
    <row r="4757" spans="1:28" x14ac:dyDescent="0.25">
      <c r="A4757" t="s">
        <v>4761</v>
      </c>
      <c r="B4757">
        <v>0.99193492352474899</v>
      </c>
      <c r="C4757">
        <v>0.82172614103422903</v>
      </c>
      <c r="D4757">
        <v>0.64058925179960902</v>
      </c>
      <c r="E4757">
        <v>0.28677752669152501</v>
      </c>
      <c r="F4757">
        <v>0.17641245835016001</v>
      </c>
      <c r="G4757">
        <v>0.118265357148731</v>
      </c>
      <c r="H4757">
        <v>9.46660236116042E-2</v>
      </c>
      <c r="I4757">
        <v>0.11069112318336199</v>
      </c>
      <c r="J4757">
        <v>0.15277675611784999</v>
      </c>
      <c r="K4757">
        <v>0.27443184935715398</v>
      </c>
      <c r="L4757">
        <v>1033.62196469126</v>
      </c>
      <c r="M4757">
        <v>22.331297786005798</v>
      </c>
      <c r="N4757">
        <v>46.999523075519001</v>
      </c>
      <c r="O4757">
        <v>45.919434465764702</v>
      </c>
      <c r="P4757">
        <v>-0.10409778634811299</v>
      </c>
      <c r="Q4757">
        <v>0.14380076923791901</v>
      </c>
      <c r="R4757">
        <v>0.97164414699725399</v>
      </c>
      <c r="S4757" t="s">
        <v>11427</v>
      </c>
      <c r="T4757" t="s">
        <v>13338</v>
      </c>
      <c r="U4757" t="s">
        <v>13338</v>
      </c>
      <c r="V4757" t="s">
        <v>13338</v>
      </c>
      <c r="W4757" t="s">
        <v>18039</v>
      </c>
      <c r="X4757">
        <v>14</v>
      </c>
      <c r="Y4757" t="s">
        <v>24540</v>
      </c>
      <c r="Z4757" t="s">
        <v>31172</v>
      </c>
      <c r="AA4757">
        <v>0.3332995351238851</v>
      </c>
      <c r="AB4757" t="str">
        <f>HYPERLINK("Melting_Curves/meltCurve_Q8WVC0_LEO1.pdf", "Melting_Curves/meltCurve_Q8WVC0_LEO1.pdf")</f>
        <v>Melting_Curves/meltCurve_Q8WVC0_LEO1.pdf</v>
      </c>
    </row>
    <row r="4758" spans="1:28" x14ac:dyDescent="0.25">
      <c r="A4758" t="s">
        <v>4762</v>
      </c>
      <c r="B4758">
        <v>0.99193492352474899</v>
      </c>
      <c r="C4758">
        <v>1.2224830328840799</v>
      </c>
      <c r="D4758">
        <v>0.62615942207995001</v>
      </c>
      <c r="E4758">
        <v>0.34714984167249802</v>
      </c>
      <c r="F4758">
        <v>0.165315853589655</v>
      </c>
      <c r="G4758">
        <v>0.14175096411271601</v>
      </c>
      <c r="H4758">
        <v>9.8317706260300494E-2</v>
      </c>
      <c r="I4758">
        <v>0.19622756325351801</v>
      </c>
      <c r="J4758">
        <v>0.22063191759604001</v>
      </c>
      <c r="K4758">
        <v>0.32595392521619199</v>
      </c>
      <c r="L4758">
        <v>11504.530988103101</v>
      </c>
      <c r="M4758">
        <v>250</v>
      </c>
      <c r="N4758">
        <v>46.120954221236801</v>
      </c>
      <c r="O4758">
        <v>46.015178936032598</v>
      </c>
      <c r="P4758">
        <v>-1.06809713307109</v>
      </c>
      <c r="Q4758">
        <v>0.21362110696929101</v>
      </c>
      <c r="R4758">
        <v>0.92570038717326997</v>
      </c>
      <c r="S4758" t="s">
        <v>11428</v>
      </c>
      <c r="T4758" t="s">
        <v>13338</v>
      </c>
      <c r="U4758" t="s">
        <v>13338</v>
      </c>
      <c r="V4758" t="s">
        <v>13338</v>
      </c>
      <c r="W4758" t="s">
        <v>18040</v>
      </c>
      <c r="X4758">
        <v>1</v>
      </c>
      <c r="Y4758" t="s">
        <v>24541</v>
      </c>
      <c r="Z4758" t="s">
        <v>31173</v>
      </c>
      <c r="AA4758">
        <v>0.3714354708475513</v>
      </c>
      <c r="AB4758" t="str">
        <f>HYPERLINK("Melting_Curves/meltCurve_Q8WVD3_RNF138.pdf", "Melting_Curves/meltCurve_Q8WVD3_RNF138.pdf")</f>
        <v>Melting_Curves/meltCurve_Q8WVD3_RNF138.pdf</v>
      </c>
    </row>
    <row r="4759" spans="1:28" x14ac:dyDescent="0.25">
      <c r="A4759" t="s">
        <v>4763</v>
      </c>
      <c r="B4759">
        <v>0.99193492352474899</v>
      </c>
      <c r="C4759">
        <v>0.66945812381722303</v>
      </c>
      <c r="D4759">
        <v>0.56018135166341199</v>
      </c>
      <c r="E4759">
        <v>0.148153396345482</v>
      </c>
      <c r="F4759">
        <v>7.6329735332209603E-2</v>
      </c>
      <c r="G4759">
        <v>3.8596024809526598E-2</v>
      </c>
      <c r="H4759">
        <v>2.35536985722592E-2</v>
      </c>
      <c r="I4759">
        <v>3.10665880393655E-2</v>
      </c>
      <c r="J4759">
        <v>7.2173470906706005E-2</v>
      </c>
      <c r="K4759">
        <v>0</v>
      </c>
      <c r="L4759">
        <v>839.14108796055098</v>
      </c>
      <c r="M4759">
        <v>18.4013460463011</v>
      </c>
      <c r="N4759">
        <v>45.702184645800997</v>
      </c>
      <c r="O4759">
        <v>45.0738301191085</v>
      </c>
      <c r="P4759">
        <v>-0.100052359624453</v>
      </c>
      <c r="Q4759">
        <v>1.97371269542434E-2</v>
      </c>
      <c r="R4759">
        <v>0.975513332752866</v>
      </c>
      <c r="S4759" t="s">
        <v>11429</v>
      </c>
      <c r="T4759" t="s">
        <v>13338</v>
      </c>
      <c r="U4759" t="s">
        <v>13338</v>
      </c>
      <c r="V4759" t="s">
        <v>13338</v>
      </c>
      <c r="W4759" t="s">
        <v>18041</v>
      </c>
      <c r="X4759">
        <v>2</v>
      </c>
      <c r="Y4759" t="s">
        <v>24542</v>
      </c>
      <c r="Z4759" t="s">
        <v>31174</v>
      </c>
      <c r="AA4759">
        <v>0.22171361469708489</v>
      </c>
      <c r="AB4759" t="str">
        <f>HYPERLINK("Melting_Curves/meltCurve_Q8WVE0_N6AMT2.pdf", "Melting_Curves/meltCurve_Q8WVE0_N6AMT2.pdf")</f>
        <v>Melting_Curves/meltCurve_Q8WVE0_N6AMT2.pdf</v>
      </c>
    </row>
    <row r="4760" spans="1:28" x14ac:dyDescent="0.25">
      <c r="A4760" t="s">
        <v>4764</v>
      </c>
      <c r="B4760">
        <v>0.99193492352474899</v>
      </c>
      <c r="C4760">
        <v>0.85066767167548596</v>
      </c>
      <c r="D4760">
        <v>0.52453901143885395</v>
      </c>
      <c r="E4760">
        <v>0.16663499962983599</v>
      </c>
      <c r="F4760">
        <v>0.104168491750775</v>
      </c>
      <c r="G4760">
        <v>5.8864503769810499E-2</v>
      </c>
      <c r="H4760">
        <v>4.1328793990237103E-2</v>
      </c>
      <c r="I4760">
        <v>4.5595799461588399E-2</v>
      </c>
      <c r="J4760">
        <v>5.8642321846354303E-2</v>
      </c>
      <c r="K4760">
        <v>5.7806487232381999E-2</v>
      </c>
      <c r="L4760">
        <v>1147.78874546059</v>
      </c>
      <c r="M4760">
        <v>24.993297334612901</v>
      </c>
      <c r="N4760">
        <v>46.128606815852898</v>
      </c>
      <c r="O4760">
        <v>45.632880371957498</v>
      </c>
      <c r="P4760">
        <v>-0.12973934347122901</v>
      </c>
      <c r="Q4760">
        <v>5.2497681669762798E-2</v>
      </c>
      <c r="R4760">
        <v>0.99885925278515497</v>
      </c>
      <c r="S4760" t="s">
        <v>11430</v>
      </c>
      <c r="T4760" t="s">
        <v>13338</v>
      </c>
      <c r="U4760" t="s">
        <v>13338</v>
      </c>
      <c r="V4760" t="s">
        <v>13338</v>
      </c>
      <c r="W4760" t="s">
        <v>18042</v>
      </c>
      <c r="X4760">
        <v>7</v>
      </c>
      <c r="Y4760" t="s">
        <v>24543</v>
      </c>
      <c r="Z4760" t="s">
        <v>31175</v>
      </c>
      <c r="AA4760">
        <v>0.2483873414672903</v>
      </c>
      <c r="AB4760" t="str">
        <f>HYPERLINK("Melting_Curves/meltCurve_Q8WVJ2_NUDCD2.pdf", "Melting_Curves/meltCurve_Q8WVJ2_NUDCD2.pdf")</f>
        <v>Melting_Curves/meltCurve_Q8WVJ2_NUDCD2.pdf</v>
      </c>
    </row>
    <row r="4761" spans="1:28" x14ac:dyDescent="0.25">
      <c r="A4761" t="s">
        <v>4765</v>
      </c>
      <c r="B4761">
        <v>0.99193492352474899</v>
      </c>
      <c r="C4761">
        <v>0.77245114585643604</v>
      </c>
      <c r="D4761">
        <v>0.87017843921956906</v>
      </c>
      <c r="E4761">
        <v>0.65083958706168099</v>
      </c>
      <c r="F4761">
        <v>0.51231774274305797</v>
      </c>
      <c r="G4761">
        <v>0.34812458617103498</v>
      </c>
      <c r="H4761">
        <v>0.36309801792484098</v>
      </c>
      <c r="I4761">
        <v>0.42881170239134903</v>
      </c>
      <c r="J4761">
        <v>0.59973893851121396</v>
      </c>
      <c r="K4761">
        <v>0.70779938197525705</v>
      </c>
      <c r="L4761">
        <v>834.85393184688905</v>
      </c>
      <c r="M4761">
        <v>17.8894135646899</v>
      </c>
      <c r="N4761">
        <v>58.743273851451399</v>
      </c>
      <c r="O4761">
        <v>46.096074322865597</v>
      </c>
      <c r="P4761">
        <v>-4.9740394605984797E-2</v>
      </c>
      <c r="Q4761">
        <v>0.48735703327756202</v>
      </c>
      <c r="R4761">
        <v>0.67450823333912902</v>
      </c>
      <c r="S4761" t="s">
        <v>11431</v>
      </c>
      <c r="T4761" t="s">
        <v>13338</v>
      </c>
      <c r="U4761" t="s">
        <v>13338</v>
      </c>
      <c r="V4761" t="s">
        <v>13338</v>
      </c>
      <c r="W4761" t="s">
        <v>18043</v>
      </c>
      <c r="X4761">
        <v>6</v>
      </c>
      <c r="Y4761" t="s">
        <v>24544</v>
      </c>
      <c r="Z4761" t="s">
        <v>31176</v>
      </c>
      <c r="AA4761">
        <v>0.6110496938120541</v>
      </c>
      <c r="AB4761" t="str">
        <f>HYPERLINK("Melting_Curves/meltCurve_Q8WVK2_SNRNP27.pdf", "Melting_Curves/meltCurve_Q8WVK2_SNRNP27.pdf")</f>
        <v>Melting_Curves/meltCurve_Q8WVK2_SNRNP27.pdf</v>
      </c>
    </row>
    <row r="4762" spans="1:28" x14ac:dyDescent="0.25">
      <c r="A4762" t="s">
        <v>4766</v>
      </c>
      <c r="B4762">
        <v>0.99193492352474899</v>
      </c>
      <c r="C4762">
        <v>0.39566868228580199</v>
      </c>
      <c r="D4762">
        <v>0.22677065781447001</v>
      </c>
      <c r="E4762">
        <v>0.140364541963058</v>
      </c>
      <c r="F4762">
        <v>0.10499760185900101</v>
      </c>
      <c r="G4762">
        <v>7.0355814057183205E-2</v>
      </c>
      <c r="H4762">
        <v>5.9467133501559702E-2</v>
      </c>
      <c r="I4762">
        <v>7.0016066405180197E-2</v>
      </c>
      <c r="J4762">
        <v>7.1550744667646604E-2</v>
      </c>
      <c r="K4762">
        <v>9.0155969664419397E-2</v>
      </c>
      <c r="L4762">
        <v>2057.9342624563301</v>
      </c>
      <c r="M4762">
        <v>48.591789986071603</v>
      </c>
      <c r="N4762">
        <v>42.547335768679602</v>
      </c>
      <c r="O4762">
        <v>42.279935942318197</v>
      </c>
      <c r="P4762">
        <v>-0.258525466380854</v>
      </c>
      <c r="Q4762">
        <v>0.10022415396188</v>
      </c>
      <c r="R4762">
        <v>0.97403020476417601</v>
      </c>
      <c r="S4762" t="s">
        <v>11432</v>
      </c>
      <c r="T4762" t="s">
        <v>13338</v>
      </c>
      <c r="U4762" t="s">
        <v>13338</v>
      </c>
      <c r="V4762" t="s">
        <v>13338</v>
      </c>
      <c r="W4762" t="s">
        <v>18044</v>
      </c>
      <c r="X4762">
        <v>1</v>
      </c>
      <c r="Y4762" t="s">
        <v>24545</v>
      </c>
      <c r="Z4762" t="s">
        <v>31177</v>
      </c>
      <c r="AA4762">
        <v>0.17378571643976179</v>
      </c>
      <c r="AB4762" t="str">
        <f>HYPERLINK("Melting_Curves/meltCurve_Q8WVK7_SKA2.pdf", "Melting_Curves/meltCurve_Q8WVK7_SKA2.pdf")</f>
        <v>Melting_Curves/meltCurve_Q8WVK7_SKA2.pdf</v>
      </c>
    </row>
    <row r="4763" spans="1:28" x14ac:dyDescent="0.25">
      <c r="A4763" t="s">
        <v>4767</v>
      </c>
      <c r="B4763">
        <v>0.99193492352474899</v>
      </c>
      <c r="C4763">
        <v>0.79504497592526802</v>
      </c>
      <c r="D4763">
        <v>0.82222057781771096</v>
      </c>
      <c r="E4763">
        <v>0.72490620461643995</v>
      </c>
      <c r="F4763">
        <v>0.53661958680473298</v>
      </c>
      <c r="G4763">
        <v>0.232844743321624</v>
      </c>
      <c r="H4763">
        <v>0.13222865194864999</v>
      </c>
      <c r="I4763">
        <v>0.142333705631077</v>
      </c>
      <c r="J4763">
        <v>0.17182214860320399</v>
      </c>
      <c r="K4763">
        <v>0.18126723450076501</v>
      </c>
      <c r="L4763">
        <v>645.51050674832197</v>
      </c>
      <c r="M4763">
        <v>12.4880775711745</v>
      </c>
      <c r="N4763">
        <v>52.498969346143802</v>
      </c>
      <c r="O4763">
        <v>50.418370422326902</v>
      </c>
      <c r="P4763">
        <v>-5.6515070466996102E-2</v>
      </c>
      <c r="Q4763">
        <v>8.7510667326722802E-2</v>
      </c>
      <c r="R4763">
        <v>0.95422545808314696</v>
      </c>
      <c r="S4763" t="s">
        <v>11433</v>
      </c>
      <c r="T4763" t="s">
        <v>13338</v>
      </c>
      <c r="U4763" t="s">
        <v>13338</v>
      </c>
      <c r="V4763" t="s">
        <v>13338</v>
      </c>
      <c r="W4763" t="s">
        <v>18045</v>
      </c>
      <c r="X4763">
        <v>2</v>
      </c>
      <c r="Y4763" t="s">
        <v>24546</v>
      </c>
      <c r="Z4763" t="s">
        <v>31178</v>
      </c>
      <c r="AA4763">
        <v>0.47008636367580681</v>
      </c>
      <c r="AB4763" t="str">
        <f>HYPERLINK("Melting_Curves/meltCurve_Q8WVL7_ANKRD49.pdf", "Melting_Curves/meltCurve_Q8WVL7_ANKRD49.pdf")</f>
        <v>Melting_Curves/meltCurve_Q8WVL7_ANKRD49.pdf</v>
      </c>
    </row>
    <row r="4764" spans="1:28" x14ac:dyDescent="0.25">
      <c r="A4764" t="s">
        <v>4768</v>
      </c>
      <c r="B4764">
        <v>0.99193492352474899</v>
      </c>
      <c r="C4764">
        <v>0.44225642434368401</v>
      </c>
      <c r="D4764">
        <v>0.77462064418782295</v>
      </c>
      <c r="E4764">
        <v>0.34313029431054998</v>
      </c>
      <c r="F4764">
        <v>0.162595446577982</v>
      </c>
      <c r="G4764">
        <v>6.7991897437701496E-2</v>
      </c>
      <c r="H4764">
        <v>3.8271574623447498E-2</v>
      </c>
      <c r="I4764">
        <v>2.92030807515677E-2</v>
      </c>
      <c r="J4764">
        <v>5.2826034356939701E-2</v>
      </c>
      <c r="K4764">
        <v>6.6295589554089804E-2</v>
      </c>
      <c r="L4764">
        <v>527.88705257774097</v>
      </c>
      <c r="M4764">
        <v>11.2892961083041</v>
      </c>
      <c r="N4764">
        <v>46.759965433492397</v>
      </c>
      <c r="O4764">
        <v>45.364806803578603</v>
      </c>
      <c r="P4764">
        <v>-6.2232945540721403E-2</v>
      </c>
      <c r="Q4764">
        <v>0</v>
      </c>
      <c r="R4764">
        <v>0.84875839662970698</v>
      </c>
      <c r="S4764" t="s">
        <v>11434</v>
      </c>
      <c r="T4764" t="s">
        <v>13338</v>
      </c>
      <c r="U4764" t="s">
        <v>13338</v>
      </c>
      <c r="V4764" t="s">
        <v>13338</v>
      </c>
      <c r="W4764" t="s">
        <v>18046</v>
      </c>
      <c r="X4764">
        <v>7</v>
      </c>
      <c r="Y4764" t="s">
        <v>24547</v>
      </c>
      <c r="Z4764" t="s">
        <v>31179</v>
      </c>
      <c r="AA4764">
        <v>0.27306908123139639</v>
      </c>
      <c r="AB4764" t="str">
        <f>HYPERLINK("Melting_Curves/meltCurve_Q8WVM0_TFB1M.pdf", "Melting_Curves/meltCurve_Q8WVM0_TFB1M.pdf")</f>
        <v>Melting_Curves/meltCurve_Q8WVM0_TFB1M.pdf</v>
      </c>
    </row>
    <row r="4765" spans="1:28" x14ac:dyDescent="0.25">
      <c r="A4765" t="s">
        <v>4769</v>
      </c>
      <c r="B4765">
        <v>0.99193492352474899</v>
      </c>
      <c r="C4765">
        <v>0.87435493077318605</v>
      </c>
      <c r="D4765">
        <v>0.80684225568936196</v>
      </c>
      <c r="E4765">
        <v>0.37816701349572002</v>
      </c>
      <c r="F4765">
        <v>0.142617317800874</v>
      </c>
      <c r="G4765">
        <v>7.3386531206954306E-2</v>
      </c>
      <c r="H4765">
        <v>4.7438071857783801E-2</v>
      </c>
      <c r="I4765">
        <v>4.8296590225034401E-2</v>
      </c>
      <c r="J4765">
        <v>5.3637137203549602E-2</v>
      </c>
      <c r="K4765">
        <v>7.3469994701331906E-2</v>
      </c>
      <c r="L4765">
        <v>1112.6400888947301</v>
      </c>
      <c r="M4765">
        <v>23.035792260305499</v>
      </c>
      <c r="N4765">
        <v>48.518408690002502</v>
      </c>
      <c r="O4765">
        <v>47.940910692515402</v>
      </c>
      <c r="P4765">
        <v>-0.114224416648775</v>
      </c>
      <c r="Q4765">
        <v>4.9145619181575298E-2</v>
      </c>
      <c r="R4765">
        <v>0.994242460209663</v>
      </c>
      <c r="S4765" t="s">
        <v>11435</v>
      </c>
      <c r="T4765" t="s">
        <v>13338</v>
      </c>
      <c r="U4765" t="s">
        <v>13338</v>
      </c>
      <c r="V4765" t="s">
        <v>13338</v>
      </c>
      <c r="W4765" t="s">
        <v>18047</v>
      </c>
      <c r="X4765">
        <v>21</v>
      </c>
      <c r="Y4765" t="s">
        <v>24548</v>
      </c>
      <c r="Z4765" t="s">
        <v>31180</v>
      </c>
      <c r="AA4765">
        <v>0.3222136895008415</v>
      </c>
      <c r="AB4765" t="str">
        <f>HYPERLINK("Melting_Curves/meltCurve_Q8WVM8_SCFD1.pdf", "Melting_Curves/meltCurve_Q8WVM8_SCFD1.pdf")</f>
        <v>Melting_Curves/meltCurve_Q8WVM8_SCFD1.pdf</v>
      </c>
    </row>
    <row r="4766" spans="1:28" x14ac:dyDescent="0.25">
      <c r="A4766" t="s">
        <v>4770</v>
      </c>
      <c r="B4766">
        <v>0.99193492352474899</v>
      </c>
      <c r="C4766">
        <v>1.1903494203312099</v>
      </c>
      <c r="D4766">
        <v>0.96544108812652896</v>
      </c>
      <c r="E4766">
        <v>0.92210880261141204</v>
      </c>
      <c r="F4766">
        <v>0.41755874299675599</v>
      </c>
      <c r="G4766">
        <v>0.22395770181307101</v>
      </c>
      <c r="H4766">
        <v>0.12605732302474701</v>
      </c>
      <c r="I4766">
        <v>0.13417145877903</v>
      </c>
      <c r="J4766">
        <v>0.13333448790140401</v>
      </c>
      <c r="K4766">
        <v>0.109916930815797</v>
      </c>
      <c r="L4766">
        <v>1966.3712526290201</v>
      </c>
      <c r="M4766">
        <v>37.587010274593602</v>
      </c>
      <c r="N4766">
        <v>52.751091234472597</v>
      </c>
      <c r="O4766">
        <v>52.167734563422101</v>
      </c>
      <c r="P4766">
        <v>-0.156079741886157</v>
      </c>
      <c r="Q4766">
        <v>0.13349762486657499</v>
      </c>
      <c r="R4766">
        <v>0.97659206966987799</v>
      </c>
      <c r="S4766" t="s">
        <v>11436</v>
      </c>
      <c r="T4766" t="s">
        <v>13338</v>
      </c>
      <c r="U4766" t="s">
        <v>13338</v>
      </c>
      <c r="V4766" t="s">
        <v>13338</v>
      </c>
      <c r="W4766" t="s">
        <v>18048</v>
      </c>
      <c r="X4766">
        <v>5</v>
      </c>
      <c r="Y4766" t="s">
        <v>24549</v>
      </c>
      <c r="Z4766" t="s">
        <v>31181</v>
      </c>
      <c r="AA4766">
        <v>0.49275033558377601</v>
      </c>
      <c r="AB4766" t="str">
        <f>HYPERLINK("Melting_Curves/meltCurve_Q8WVQ1_CANT1.pdf", "Melting_Curves/meltCurve_Q8WVQ1_CANT1.pdf")</f>
        <v>Melting_Curves/meltCurve_Q8WVQ1_CANT1.pdf</v>
      </c>
    </row>
    <row r="4767" spans="1:28" x14ac:dyDescent="0.25">
      <c r="A4767" t="s">
        <v>4771</v>
      </c>
      <c r="B4767">
        <v>0.99193492352474899</v>
      </c>
      <c r="C4767">
        <v>0.85648251879140402</v>
      </c>
      <c r="D4767">
        <v>0.88290896475190705</v>
      </c>
      <c r="E4767">
        <v>0.45581727190362298</v>
      </c>
      <c r="F4767">
        <v>0.26955280260224102</v>
      </c>
      <c r="G4767">
        <v>0.368128785789268</v>
      </c>
      <c r="H4767">
        <v>0.19177728310605599</v>
      </c>
      <c r="I4767">
        <v>0.22674465924380099</v>
      </c>
      <c r="J4767">
        <v>0.18142967895217099</v>
      </c>
      <c r="K4767">
        <v>0.187771875214122</v>
      </c>
      <c r="L4767">
        <v>1104.8060671754399</v>
      </c>
      <c r="M4767">
        <v>22.8709796430959</v>
      </c>
      <c r="N4767">
        <v>49.5237560048364</v>
      </c>
      <c r="O4767">
        <v>47.941263012241699</v>
      </c>
      <c r="P4767">
        <v>-9.3616863062654404E-2</v>
      </c>
      <c r="Q4767">
        <v>0.215070764152925</v>
      </c>
      <c r="R4767">
        <v>0.96026518280226003</v>
      </c>
      <c r="S4767" t="s">
        <v>11437</v>
      </c>
      <c r="T4767" t="s">
        <v>13338</v>
      </c>
      <c r="U4767" t="s">
        <v>13338</v>
      </c>
      <c r="V4767" t="s">
        <v>13338</v>
      </c>
      <c r="W4767" t="s">
        <v>18049</v>
      </c>
      <c r="X4767">
        <v>6</v>
      </c>
      <c r="Y4767" t="s">
        <v>24550</v>
      </c>
      <c r="Z4767" t="s">
        <v>31182</v>
      </c>
      <c r="AA4767">
        <v>0.44075828051476568</v>
      </c>
      <c r="AB4767" t="str">
        <f>HYPERLINK("Melting_Curves/meltCurve_Q8WVT3_TRAPPC12.pdf", "Melting_Curves/meltCurve_Q8WVT3_TRAPPC12.pdf")</f>
        <v>Melting_Curves/meltCurve_Q8WVT3_TRAPPC12.pdf</v>
      </c>
    </row>
    <row r="4768" spans="1:28" x14ac:dyDescent="0.25">
      <c r="A4768" t="s">
        <v>4772</v>
      </c>
      <c r="B4768">
        <v>0.99193492352474899</v>
      </c>
      <c r="C4768">
        <v>1.0030401984406501</v>
      </c>
      <c r="D4768">
        <v>0.93788141852602103</v>
      </c>
      <c r="E4768">
        <v>0.38860520586888297</v>
      </c>
      <c r="F4768">
        <v>0.206346650463852</v>
      </c>
      <c r="G4768">
        <v>0.10353967913161</v>
      </c>
      <c r="H4768">
        <v>6.4517054004890606E-2</v>
      </c>
      <c r="I4768">
        <v>8.3983161663393396E-2</v>
      </c>
      <c r="J4768">
        <v>9.8464478602188404E-2</v>
      </c>
      <c r="K4768">
        <v>7.7901592629053495E-2</v>
      </c>
      <c r="L4768">
        <v>1786.89962813171</v>
      </c>
      <c r="M4768">
        <v>36.640281823763502</v>
      </c>
      <c r="N4768">
        <v>49.051836123412301</v>
      </c>
      <c r="O4768">
        <v>48.624131050176999</v>
      </c>
      <c r="P4768">
        <v>-0.17043107064507401</v>
      </c>
      <c r="Q4768">
        <v>9.5308449121879094E-2</v>
      </c>
      <c r="R4768">
        <v>0.99487290465090905</v>
      </c>
      <c r="S4768" t="s">
        <v>11438</v>
      </c>
      <c r="T4768" t="s">
        <v>13338</v>
      </c>
      <c r="U4768" t="s">
        <v>13338</v>
      </c>
      <c r="V4768" t="s">
        <v>13338</v>
      </c>
      <c r="W4768" t="s">
        <v>18050</v>
      </c>
      <c r="X4768">
        <v>8</v>
      </c>
      <c r="Y4768" t="s">
        <v>24551</v>
      </c>
      <c r="Z4768" t="s">
        <v>31183</v>
      </c>
      <c r="AA4768">
        <v>0.36339035700298722</v>
      </c>
      <c r="AB4768" t="str">
        <f>HYPERLINK("Melting_Curves/meltCurve_Q8WVX9_FAR1.pdf", "Melting_Curves/meltCurve_Q8WVX9_FAR1.pdf")</f>
        <v>Melting_Curves/meltCurve_Q8WVX9_FAR1.pdf</v>
      </c>
    </row>
    <row r="4769" spans="1:28" x14ac:dyDescent="0.25">
      <c r="A4769" t="s">
        <v>4773</v>
      </c>
      <c r="B4769">
        <v>0.99193492352474899</v>
      </c>
      <c r="C4769">
        <v>0.74216009157450102</v>
      </c>
      <c r="D4769">
        <v>0.87171027536226597</v>
      </c>
      <c r="E4769">
        <v>0.38575311717486699</v>
      </c>
      <c r="F4769">
        <v>0.14168931460220999</v>
      </c>
      <c r="G4769">
        <v>8.5064248242396903E-2</v>
      </c>
      <c r="H4769">
        <v>6.9938149141203498E-2</v>
      </c>
      <c r="I4769">
        <v>0.10585184562512399</v>
      </c>
      <c r="J4769">
        <v>0.17452439278999701</v>
      </c>
      <c r="K4769">
        <v>0.15947355239920499</v>
      </c>
      <c r="L4769">
        <v>1256.6690274423199</v>
      </c>
      <c r="M4769">
        <v>26.1005738023796</v>
      </c>
      <c r="N4769">
        <v>48.6042234219547</v>
      </c>
      <c r="O4769">
        <v>47.867213939858402</v>
      </c>
      <c r="P4769">
        <v>-0.121485003297727</v>
      </c>
      <c r="Q4769">
        <v>0.10881919615516</v>
      </c>
      <c r="R4769">
        <v>0.94203534057119898</v>
      </c>
      <c r="S4769" t="s">
        <v>11439</v>
      </c>
      <c r="T4769" t="s">
        <v>13338</v>
      </c>
      <c r="U4769" t="s">
        <v>13338</v>
      </c>
      <c r="V4769" t="s">
        <v>13338</v>
      </c>
      <c r="W4769" t="s">
        <v>18051</v>
      </c>
      <c r="X4769">
        <v>11</v>
      </c>
      <c r="Y4769" t="s">
        <v>24552</v>
      </c>
      <c r="Z4769" t="s">
        <v>31184</v>
      </c>
      <c r="AA4769">
        <v>0.35803020134708941</v>
      </c>
      <c r="AB4769" t="str">
        <f>HYPERLINK("Melting_Curves/meltCurve_Q8WVY7_UBLCP1.pdf", "Melting_Curves/meltCurve_Q8WVY7_UBLCP1.pdf")</f>
        <v>Melting_Curves/meltCurve_Q8WVY7_UBLCP1.pdf</v>
      </c>
    </row>
    <row r="4770" spans="1:28" x14ac:dyDescent="0.25">
      <c r="A4770" t="s">
        <v>4774</v>
      </c>
      <c r="B4770">
        <v>0.99193492352474899</v>
      </c>
      <c r="C4770">
        <v>1.24439516351766</v>
      </c>
      <c r="D4770">
        <v>1.1730655158315999</v>
      </c>
      <c r="E4770">
        <v>0.94562867879710399</v>
      </c>
      <c r="F4770">
        <v>0.59066206503270602</v>
      </c>
      <c r="G4770">
        <v>0.33545137801324498</v>
      </c>
      <c r="H4770">
        <v>0.238645526337498</v>
      </c>
      <c r="I4770">
        <v>0.241412481426895</v>
      </c>
      <c r="J4770">
        <v>0.28729476433855</v>
      </c>
      <c r="K4770">
        <v>0.35084619945768603</v>
      </c>
      <c r="L4770">
        <v>2191.2092137838099</v>
      </c>
      <c r="M4770">
        <v>41.462459850373101</v>
      </c>
      <c r="N4770">
        <v>53.9279823946909</v>
      </c>
      <c r="O4770">
        <v>52.725562382230002</v>
      </c>
      <c r="P4770">
        <v>-0.14114712019894601</v>
      </c>
      <c r="Q4770">
        <v>0.28204505844170702</v>
      </c>
      <c r="R4770">
        <v>0.93338903999853196</v>
      </c>
      <c r="S4770" t="s">
        <v>11440</v>
      </c>
      <c r="T4770" t="s">
        <v>13338</v>
      </c>
      <c r="U4770" t="s">
        <v>13338</v>
      </c>
      <c r="V4770" t="s">
        <v>13338</v>
      </c>
      <c r="W4770" t="s">
        <v>18052</v>
      </c>
      <c r="X4770">
        <v>3</v>
      </c>
      <c r="Y4770" t="s">
        <v>24553</v>
      </c>
      <c r="Z4770" t="s">
        <v>31185</v>
      </c>
      <c r="AA4770">
        <v>0.59195983322151768</v>
      </c>
      <c r="AB4770" t="str">
        <f>HYPERLINK("Melting_Curves/meltCurve_Q8WVZ9_KBTBD7.pdf", "Melting_Curves/meltCurve_Q8WVZ9_KBTBD7.pdf")</f>
        <v>Melting_Curves/meltCurve_Q8WVZ9_KBTBD7.pdf</v>
      </c>
    </row>
    <row r="4771" spans="1:28" x14ac:dyDescent="0.25">
      <c r="A4771" t="s">
        <v>4775</v>
      </c>
      <c r="B4771">
        <v>0.99193492352474899</v>
      </c>
      <c r="C4771">
        <v>0.81291608646573099</v>
      </c>
      <c r="D4771">
        <v>0.856746162105956</v>
      </c>
      <c r="E4771">
        <v>0.70954215051788705</v>
      </c>
      <c r="F4771">
        <v>0.48357389739512202</v>
      </c>
      <c r="G4771">
        <v>0.160180325564484</v>
      </c>
      <c r="H4771">
        <v>9.3384633252083807E-2</v>
      </c>
      <c r="I4771">
        <v>8.5973546019674996E-2</v>
      </c>
      <c r="J4771">
        <v>6.4347409880123205E-2</v>
      </c>
      <c r="K4771">
        <v>0.27712410171879798</v>
      </c>
      <c r="L4771">
        <v>865.21103561294206</v>
      </c>
      <c r="M4771">
        <v>16.8765835439063</v>
      </c>
      <c r="N4771">
        <v>51.931083100787099</v>
      </c>
      <c r="O4771">
        <v>50.563371930604703</v>
      </c>
      <c r="P4771">
        <v>-7.5348416755846206E-2</v>
      </c>
      <c r="Q4771">
        <v>9.7061860786869097E-2</v>
      </c>
      <c r="R4771">
        <v>0.93654352994870305</v>
      </c>
      <c r="S4771" t="s">
        <v>11441</v>
      </c>
      <c r="T4771" t="s">
        <v>13338</v>
      </c>
      <c r="U4771" t="s">
        <v>13338</v>
      </c>
      <c r="V4771" t="s">
        <v>13338</v>
      </c>
      <c r="W4771" t="s">
        <v>18053</v>
      </c>
      <c r="X4771">
        <v>4</v>
      </c>
      <c r="Y4771" t="s">
        <v>24554</v>
      </c>
      <c r="Z4771" t="s">
        <v>31186</v>
      </c>
      <c r="AA4771">
        <v>0.45315362995373071</v>
      </c>
      <c r="AB4771" t="str">
        <f>HYPERLINK("Melting_Curves/meltCurve_Q8WW01_TSEN15.pdf", "Melting_Curves/meltCurve_Q8WW01_TSEN15.pdf")</f>
        <v>Melting_Curves/meltCurve_Q8WW01_TSEN15.pdf</v>
      </c>
    </row>
    <row r="4772" spans="1:28" x14ac:dyDescent="0.25">
      <c r="A4772" t="s">
        <v>4776</v>
      </c>
      <c r="B4772">
        <v>0.99193492352474899</v>
      </c>
      <c r="C4772">
        <v>0.86235190928564198</v>
      </c>
      <c r="D4772">
        <v>0.87404544049878496</v>
      </c>
      <c r="E4772">
        <v>0.80416267382127804</v>
      </c>
      <c r="F4772">
        <v>0.67778589030480296</v>
      </c>
      <c r="G4772">
        <v>0.55690640280808901</v>
      </c>
      <c r="H4772">
        <v>0.51921752930337695</v>
      </c>
      <c r="I4772">
        <v>0.67333356848023496</v>
      </c>
      <c r="J4772">
        <v>0.72964423343062801</v>
      </c>
      <c r="K4772">
        <v>1.02467514264702</v>
      </c>
      <c r="L4772">
        <v>845.30067487097097</v>
      </c>
      <c r="M4772">
        <v>18.6342629647325</v>
      </c>
      <c r="O4772">
        <v>44.849968969364802</v>
      </c>
      <c r="P4772">
        <v>-3.0967281796025498E-2</v>
      </c>
      <c r="Q4772">
        <v>0.70187780798499799</v>
      </c>
      <c r="R4772">
        <v>0.34008590498014202</v>
      </c>
      <c r="S4772" t="s">
        <v>11442</v>
      </c>
      <c r="T4772" t="s">
        <v>13338</v>
      </c>
      <c r="U4772" t="s">
        <v>13338</v>
      </c>
      <c r="V4772" t="s">
        <v>13338</v>
      </c>
      <c r="W4772" t="s">
        <v>18054</v>
      </c>
      <c r="X4772">
        <v>10</v>
      </c>
      <c r="Y4772" t="s">
        <v>24555</v>
      </c>
      <c r="Z4772" t="s">
        <v>31187</v>
      </c>
      <c r="AA4772">
        <v>0.76088868424067191</v>
      </c>
      <c r="AB4772" t="str">
        <f>HYPERLINK("Melting_Curves/meltCurve_Q8WW12_PCNP.pdf", "Melting_Curves/meltCurve_Q8WW12_PCNP.pdf")</f>
        <v>Melting_Curves/meltCurve_Q8WW12_PCNP.pdf</v>
      </c>
    </row>
    <row r="4773" spans="1:28" x14ac:dyDescent="0.25">
      <c r="A4773" t="s">
        <v>4777</v>
      </c>
      <c r="B4773">
        <v>0.99193492352474899</v>
      </c>
      <c r="C4773">
        <v>0.83503331849559703</v>
      </c>
      <c r="D4773">
        <v>1.0188143026448899</v>
      </c>
      <c r="E4773">
        <v>0.725690643882824</v>
      </c>
      <c r="F4773">
        <v>0.68072283910714904</v>
      </c>
      <c r="G4773">
        <v>0.32572120457903803</v>
      </c>
      <c r="H4773">
        <v>0.133456868231699</v>
      </c>
      <c r="I4773">
        <v>0.108810867962765</v>
      </c>
      <c r="J4773">
        <v>0.12159923107816201</v>
      </c>
      <c r="K4773">
        <v>9.1768889068706505E-2</v>
      </c>
      <c r="L4773">
        <v>859.56947808880398</v>
      </c>
      <c r="M4773">
        <v>15.9002380738849</v>
      </c>
      <c r="N4773">
        <v>54.406388532127401</v>
      </c>
      <c r="O4773">
        <v>53.226731641445703</v>
      </c>
      <c r="P4773">
        <v>-7.1093975263677001E-2</v>
      </c>
      <c r="Q4773">
        <v>4.8115935997286703E-2</v>
      </c>
      <c r="R4773">
        <v>0.96219042880329697</v>
      </c>
      <c r="S4773" t="s">
        <v>11443</v>
      </c>
      <c r="T4773" t="s">
        <v>13338</v>
      </c>
      <c r="U4773" t="s">
        <v>13338</v>
      </c>
      <c r="V4773" t="s">
        <v>13338</v>
      </c>
      <c r="W4773" t="s">
        <v>18055</v>
      </c>
      <c r="X4773">
        <v>9</v>
      </c>
      <c r="Y4773" t="s">
        <v>24556</v>
      </c>
      <c r="Z4773" t="s">
        <v>31188</v>
      </c>
      <c r="AA4773">
        <v>0.51231439982463467</v>
      </c>
      <c r="AB4773" t="str">
        <f>HYPERLINK("Melting_Curves/meltCurve_Q8WW59_SPRYD4.pdf", "Melting_Curves/meltCurve_Q8WW59_SPRYD4.pdf")</f>
        <v>Melting_Curves/meltCurve_Q8WW59_SPRYD4.pdf</v>
      </c>
    </row>
    <row r="4774" spans="1:28" x14ac:dyDescent="0.25">
      <c r="A4774" t="s">
        <v>4778</v>
      </c>
      <c r="B4774">
        <v>0.99193492352474899</v>
      </c>
      <c r="C4774">
        <v>0.889657265370696</v>
      </c>
      <c r="D4774">
        <v>0.94924077407697205</v>
      </c>
      <c r="E4774">
        <v>0.85354510185497101</v>
      </c>
      <c r="F4774">
        <v>0.79849084290337002</v>
      </c>
      <c r="G4774">
        <v>0.53477925148902095</v>
      </c>
      <c r="H4774">
        <v>0.40511142679284601</v>
      </c>
      <c r="I4774">
        <v>0.29938295511041702</v>
      </c>
      <c r="J4774">
        <v>0.32642449942149898</v>
      </c>
      <c r="K4774">
        <v>0.28777877482542202</v>
      </c>
      <c r="L4774">
        <v>783.56496479037605</v>
      </c>
      <c r="M4774">
        <v>14.105342589729901</v>
      </c>
      <c r="N4774">
        <v>58.194267521655902</v>
      </c>
      <c r="O4774">
        <v>54.470147033237602</v>
      </c>
      <c r="P4774">
        <v>-4.9431999506972801E-2</v>
      </c>
      <c r="Q4774">
        <v>0.236538276405694</v>
      </c>
      <c r="R4774">
        <v>0.97616785956154595</v>
      </c>
      <c r="S4774" t="s">
        <v>11444</v>
      </c>
      <c r="T4774" t="s">
        <v>13338</v>
      </c>
      <c r="U4774" t="s">
        <v>13338</v>
      </c>
      <c r="V4774" t="s">
        <v>13338</v>
      </c>
      <c r="W4774" t="s">
        <v>18056</v>
      </c>
      <c r="X4774">
        <v>2</v>
      </c>
      <c r="Y4774" t="s">
        <v>24557</v>
      </c>
      <c r="Z4774" t="s">
        <v>31189</v>
      </c>
      <c r="AA4774">
        <v>0.64719369445246755</v>
      </c>
      <c r="AB4774" t="str">
        <f>HYPERLINK("Melting_Curves/meltCurve_Q8WWB7_2_C1orf85.pdf", "Melting_Curves/meltCurve_Q8WWB7_2_C1orf85.pdf")</f>
        <v>Melting_Curves/meltCurve_Q8WWB7_2_C1orf85.pdf</v>
      </c>
    </row>
    <row r="4775" spans="1:28" x14ac:dyDescent="0.25">
      <c r="A4775" t="s">
        <v>4779</v>
      </c>
      <c r="B4775">
        <v>0.99193492352474899</v>
      </c>
      <c r="C4775">
        <v>1.10800002308253</v>
      </c>
      <c r="D4775">
        <v>1.0083463464792399</v>
      </c>
      <c r="E4775">
        <v>0.76620569832225105</v>
      </c>
      <c r="F4775">
        <v>0.36100448323088102</v>
      </c>
      <c r="G4775">
        <v>0.22817060675385301</v>
      </c>
      <c r="H4775">
        <v>7.9768352480370994E-2</v>
      </c>
      <c r="I4775">
        <v>0.10072492623474399</v>
      </c>
      <c r="J4775">
        <v>8.8102337717124807E-2</v>
      </c>
      <c r="K4775">
        <v>9.4503472007252398E-2</v>
      </c>
      <c r="L4775">
        <v>1383.2546801865301</v>
      </c>
      <c r="M4775">
        <v>26.780687951641301</v>
      </c>
      <c r="N4775">
        <v>52.062599665176798</v>
      </c>
      <c r="O4775">
        <v>51.3657830770576</v>
      </c>
      <c r="P4775">
        <v>-0.11791415433810699</v>
      </c>
      <c r="Q4775">
        <v>9.5364449400158993E-2</v>
      </c>
      <c r="R4775">
        <v>0.98867132064017604</v>
      </c>
      <c r="S4775" t="s">
        <v>11445</v>
      </c>
      <c r="T4775" t="s">
        <v>13338</v>
      </c>
      <c r="U4775" t="s">
        <v>13338</v>
      </c>
      <c r="V4775" t="s">
        <v>13338</v>
      </c>
      <c r="W4775" t="s">
        <v>18057</v>
      </c>
      <c r="X4775">
        <v>5</v>
      </c>
      <c r="Y4775" t="s">
        <v>24558</v>
      </c>
      <c r="Z4775" t="s">
        <v>31190</v>
      </c>
      <c r="AA4775">
        <v>0.45389593699820768</v>
      </c>
      <c r="AB4775" t="str">
        <f>HYPERLINK("Melting_Curves/meltCurve_Q8WWC4_C2orf47.pdf", "Melting_Curves/meltCurve_Q8WWC4_C2orf47.pdf")</f>
        <v>Melting_Curves/meltCurve_Q8WWC4_C2orf47.pdf</v>
      </c>
    </row>
    <row r="4776" spans="1:28" x14ac:dyDescent="0.25">
      <c r="A4776" t="s">
        <v>4780</v>
      </c>
      <c r="B4776">
        <v>0.99193492352474899</v>
      </c>
      <c r="C4776">
        <v>0.91567052787924696</v>
      </c>
      <c r="D4776">
        <v>0.84771023631776299</v>
      </c>
      <c r="E4776">
        <v>0.45276586508157501</v>
      </c>
      <c r="F4776">
        <v>0.13359941199546799</v>
      </c>
      <c r="G4776">
        <v>7.6421889498065804E-2</v>
      </c>
      <c r="H4776">
        <v>4.2663496379756798E-2</v>
      </c>
      <c r="I4776">
        <v>4.2819677514655402E-2</v>
      </c>
      <c r="J4776">
        <v>5.4446590392180999E-2</v>
      </c>
      <c r="K4776">
        <v>3.8476337386702697E-2</v>
      </c>
      <c r="L4776">
        <v>1213.11929957237</v>
      </c>
      <c r="M4776">
        <v>24.7813447685756</v>
      </c>
      <c r="N4776">
        <v>49.116497707216602</v>
      </c>
      <c r="O4776">
        <v>48.637491509374499</v>
      </c>
      <c r="P4776">
        <v>-0.122334338522953</v>
      </c>
      <c r="Q4776">
        <v>3.96078113585836E-2</v>
      </c>
      <c r="R4776">
        <v>0.99721386739337903</v>
      </c>
      <c r="S4776" t="s">
        <v>11446</v>
      </c>
      <c r="T4776" t="s">
        <v>13338</v>
      </c>
      <c r="U4776" t="s">
        <v>13338</v>
      </c>
      <c r="V4776" t="s">
        <v>13338</v>
      </c>
      <c r="W4776" t="s">
        <v>18058</v>
      </c>
      <c r="X4776">
        <v>8</v>
      </c>
      <c r="Y4776" t="s">
        <v>24559</v>
      </c>
      <c r="Z4776" t="s">
        <v>31191</v>
      </c>
      <c r="AA4776">
        <v>0.33488197461943597</v>
      </c>
      <c r="AB4776" t="str">
        <f>HYPERLINK("Melting_Curves/meltCurve_Q8WWH5_TRUB1.pdf", "Melting_Curves/meltCurve_Q8WWH5_TRUB1.pdf")</f>
        <v>Melting_Curves/meltCurve_Q8WWH5_TRUB1.pdf</v>
      </c>
    </row>
    <row r="4777" spans="1:28" x14ac:dyDescent="0.25">
      <c r="A4777" t="s">
        <v>4781</v>
      </c>
      <c r="B4777">
        <v>0.99193492352474899</v>
      </c>
      <c r="C4777">
        <v>0.88453814620730498</v>
      </c>
      <c r="D4777">
        <v>0.99102113287584503</v>
      </c>
      <c r="E4777">
        <v>0.83531352030496697</v>
      </c>
      <c r="F4777">
        <v>0.75341377484151595</v>
      </c>
      <c r="G4777">
        <v>0.65664858748010702</v>
      </c>
      <c r="H4777">
        <v>0.62132062987325698</v>
      </c>
      <c r="I4777">
        <v>0.91459789837973204</v>
      </c>
      <c r="J4777">
        <v>0.96516320287984902</v>
      </c>
      <c r="K4777">
        <v>1.1883898936909401</v>
      </c>
      <c r="L4777">
        <v>920.55317230995502</v>
      </c>
      <c r="M4777">
        <v>21.0303164901893</v>
      </c>
      <c r="O4777">
        <v>43.382651796073397</v>
      </c>
      <c r="P4777">
        <v>-1.7736486308328501E-2</v>
      </c>
      <c r="Q4777">
        <v>0.85365217363336299</v>
      </c>
      <c r="R4777">
        <v>6.43168825952916E-2</v>
      </c>
      <c r="S4777" t="s">
        <v>11447</v>
      </c>
      <c r="T4777" t="s">
        <v>13338</v>
      </c>
      <c r="U4777" t="s">
        <v>13338</v>
      </c>
      <c r="V4777" t="s">
        <v>13338</v>
      </c>
      <c r="W4777" t="s">
        <v>18059</v>
      </c>
      <c r="X4777">
        <v>3</v>
      </c>
      <c r="Y4777" t="s">
        <v>24560</v>
      </c>
      <c r="Z4777" t="s">
        <v>31192</v>
      </c>
      <c r="AA4777">
        <v>0.87469252338160575</v>
      </c>
      <c r="AB4777" t="str">
        <f>HYPERLINK("Melting_Curves/meltCurve_Q8WWI5_SLC44A1.pdf", "Melting_Curves/meltCurve_Q8WWI5_SLC44A1.pdf")</f>
        <v>Melting_Curves/meltCurve_Q8WWI5_SLC44A1.pdf</v>
      </c>
    </row>
    <row r="4778" spans="1:28" x14ac:dyDescent="0.25">
      <c r="A4778" t="s">
        <v>4782</v>
      </c>
      <c r="B4778">
        <v>0.99193492352474899</v>
      </c>
      <c r="C4778">
        <v>0.15447564226316499</v>
      </c>
      <c r="D4778">
        <v>0.32578180739901702</v>
      </c>
      <c r="E4778">
        <v>6.7566072071387595E-2</v>
      </c>
      <c r="F4778">
        <v>6.1742494348952501E-2</v>
      </c>
      <c r="G4778">
        <v>2.91354684201332E-2</v>
      </c>
      <c r="H4778">
        <v>2.67505428762933E-2</v>
      </c>
      <c r="I4778">
        <v>2.8465136482365299E-2</v>
      </c>
      <c r="J4778">
        <v>4.5975170504522399E-2</v>
      </c>
      <c r="K4778">
        <v>0.113515779030676</v>
      </c>
      <c r="L4778">
        <v>4127.4946499305797</v>
      </c>
      <c r="M4778">
        <v>98.730906263433099</v>
      </c>
      <c r="N4778">
        <v>41.886862317067397</v>
      </c>
      <c r="O4778">
        <v>41.788353837156997</v>
      </c>
      <c r="P4778">
        <v>-0.53912096686388</v>
      </c>
      <c r="Q4778">
        <v>8.7257371754388399E-2</v>
      </c>
      <c r="R4778">
        <v>0.91143753642292802</v>
      </c>
      <c r="S4778" t="s">
        <v>11448</v>
      </c>
      <c r="T4778" t="s">
        <v>13338</v>
      </c>
      <c r="U4778" t="s">
        <v>13338</v>
      </c>
      <c r="V4778" t="s">
        <v>13338</v>
      </c>
      <c r="W4778" t="s">
        <v>18060</v>
      </c>
      <c r="X4778">
        <v>2</v>
      </c>
      <c r="Y4778" t="s">
        <v>24561</v>
      </c>
      <c r="Z4778" t="s">
        <v>31193</v>
      </c>
      <c r="AA4778">
        <v>0.14275256199699279</v>
      </c>
      <c r="AB4778" t="str">
        <f>HYPERLINK("Melting_Curves/meltCurve_Q8WWK9_5_CKAP2.pdf", "Melting_Curves/meltCurve_Q8WWK9_5_CKAP2.pdf")</f>
        <v>Melting_Curves/meltCurve_Q8WWK9_5_CKAP2.pdf</v>
      </c>
    </row>
    <row r="4779" spans="1:28" x14ac:dyDescent="0.25">
      <c r="A4779" t="s">
        <v>4783</v>
      </c>
      <c r="B4779">
        <v>0.99193492352474899</v>
      </c>
      <c r="C4779">
        <v>0.67600196681693103</v>
      </c>
      <c r="D4779">
        <v>0.82016044647366304</v>
      </c>
      <c r="E4779">
        <v>0.54536942225602003</v>
      </c>
      <c r="F4779">
        <v>0.318423328917675</v>
      </c>
      <c r="G4779">
        <v>0.13586537245124</v>
      </c>
      <c r="H4779">
        <v>9.4939109383037498E-2</v>
      </c>
      <c r="I4779">
        <v>0.124135935766311</v>
      </c>
      <c r="J4779">
        <v>0.14775104006769399</v>
      </c>
      <c r="K4779">
        <v>0.20404014275309701</v>
      </c>
      <c r="L4779">
        <v>641.81948781951405</v>
      </c>
      <c r="M4779">
        <v>13.175280681134099</v>
      </c>
      <c r="N4779">
        <v>49.541534238714299</v>
      </c>
      <c r="O4779">
        <v>47.632684913673899</v>
      </c>
      <c r="P4779">
        <v>-6.2330120280832402E-2</v>
      </c>
      <c r="Q4779">
        <v>9.8781034566231593E-2</v>
      </c>
      <c r="R4779">
        <v>0.92540699456972497</v>
      </c>
      <c r="S4779" t="s">
        <v>11449</v>
      </c>
      <c r="T4779" t="s">
        <v>13338</v>
      </c>
      <c r="U4779" t="s">
        <v>13338</v>
      </c>
      <c r="V4779" t="s">
        <v>13338</v>
      </c>
      <c r="W4779" t="s">
        <v>18061</v>
      </c>
      <c r="X4779">
        <v>35</v>
      </c>
      <c r="Y4779" t="s">
        <v>24562</v>
      </c>
      <c r="Z4779" t="s">
        <v>31194</v>
      </c>
      <c r="AA4779">
        <v>0.38916205765821221</v>
      </c>
      <c r="AB4779" t="str">
        <f>HYPERLINK("Melting_Curves/meltCurve_Q8WWM7_ATXN2L.pdf", "Melting_Curves/meltCurve_Q8WWM7_ATXN2L.pdf")</f>
        <v>Melting_Curves/meltCurve_Q8WWM7_ATXN2L.pdf</v>
      </c>
    </row>
    <row r="4780" spans="1:28" x14ac:dyDescent="0.25">
      <c r="A4780" t="s">
        <v>4784</v>
      </c>
      <c r="B4780">
        <v>0.99193492352474899</v>
      </c>
      <c r="C4780">
        <v>0.94045894970624899</v>
      </c>
      <c r="D4780">
        <v>0.88500507814185103</v>
      </c>
      <c r="E4780">
        <v>0.711253272706317</v>
      </c>
      <c r="F4780">
        <v>0.231118133371568</v>
      </c>
      <c r="G4780">
        <v>0.165877446302786</v>
      </c>
      <c r="H4780">
        <v>0.11155259038901499</v>
      </c>
      <c r="I4780">
        <v>0.12769888802403701</v>
      </c>
      <c r="J4780">
        <v>0.13204988551629099</v>
      </c>
      <c r="K4780">
        <v>0.14323660324857199</v>
      </c>
      <c r="L4780">
        <v>1599.8476463495299</v>
      </c>
      <c r="M4780">
        <v>31.720232548756002</v>
      </c>
      <c r="N4780">
        <v>50.901516264306899</v>
      </c>
      <c r="O4780">
        <v>50.2370006355793</v>
      </c>
      <c r="P4780">
        <v>-0.137986334167851</v>
      </c>
      <c r="Q4780">
        <v>0.125859703639015</v>
      </c>
      <c r="R4780">
        <v>0.99075325149235205</v>
      </c>
      <c r="S4780" t="s">
        <v>11450</v>
      </c>
      <c r="T4780" t="s">
        <v>13338</v>
      </c>
      <c r="U4780" t="s">
        <v>13338</v>
      </c>
      <c r="V4780" t="s">
        <v>13338</v>
      </c>
      <c r="W4780" t="s">
        <v>18062</v>
      </c>
      <c r="X4780">
        <v>11</v>
      </c>
      <c r="Y4780" t="s">
        <v>24563</v>
      </c>
      <c r="Z4780" t="s">
        <v>31195</v>
      </c>
      <c r="AA4780">
        <v>0.43481599709499308</v>
      </c>
      <c r="AB4780" t="str">
        <f>HYPERLINK("Melting_Curves/meltCurve_Q8WWP7_GIMAP1.pdf", "Melting_Curves/meltCurve_Q8WWP7_GIMAP1.pdf")</f>
        <v>Melting_Curves/meltCurve_Q8WWP7_GIMAP1.pdf</v>
      </c>
    </row>
    <row r="4781" spans="1:28" x14ac:dyDescent="0.25">
      <c r="A4781" t="s">
        <v>4785</v>
      </c>
      <c r="B4781">
        <v>0.99193492352474899</v>
      </c>
      <c r="C4781">
        <v>0.74959434168996297</v>
      </c>
      <c r="D4781">
        <v>0.60125539536997896</v>
      </c>
      <c r="E4781">
        <v>0.276686743845792</v>
      </c>
      <c r="F4781">
        <v>8.3873155342700401E-2</v>
      </c>
      <c r="G4781">
        <v>4.15843488023699E-2</v>
      </c>
      <c r="H4781">
        <v>2.9954820542311199E-2</v>
      </c>
      <c r="I4781">
        <v>4.7160304055492298E-2</v>
      </c>
      <c r="J4781">
        <v>5.5715780066689903E-2</v>
      </c>
      <c r="K4781">
        <v>4.8282152102981597E-2</v>
      </c>
      <c r="L4781">
        <v>826.79050191694205</v>
      </c>
      <c r="M4781">
        <v>17.790921348542401</v>
      </c>
      <c r="N4781">
        <v>46.624723459226402</v>
      </c>
      <c r="O4781">
        <v>45.897390530833697</v>
      </c>
      <c r="P4781">
        <v>-9.4178489093381307E-2</v>
      </c>
      <c r="Q4781">
        <v>2.81958005214961E-2</v>
      </c>
      <c r="R4781">
        <v>0.98963068677899901</v>
      </c>
      <c r="S4781" t="s">
        <v>11451</v>
      </c>
      <c r="T4781" t="s">
        <v>13338</v>
      </c>
      <c r="U4781" t="s">
        <v>13338</v>
      </c>
      <c r="V4781" t="s">
        <v>13338</v>
      </c>
      <c r="W4781" t="s">
        <v>18063</v>
      </c>
      <c r="X4781">
        <v>4</v>
      </c>
      <c r="Y4781" t="s">
        <v>24564</v>
      </c>
      <c r="Z4781" t="s">
        <v>31196</v>
      </c>
      <c r="AA4781">
        <v>0.25681254919148899</v>
      </c>
      <c r="AB4781" t="str">
        <f>HYPERLINK("Melting_Curves/meltCurve_Q8WWV3_RTN4IP1.pdf", "Melting_Curves/meltCurve_Q8WWV3_RTN4IP1.pdf")</f>
        <v>Melting_Curves/meltCurve_Q8WWV3_RTN4IP1.pdf</v>
      </c>
    </row>
    <row r="4782" spans="1:28" x14ac:dyDescent="0.25">
      <c r="A4782" t="s">
        <v>4786</v>
      </c>
      <c r="B4782">
        <v>0.99193492352474899</v>
      </c>
      <c r="C4782">
        <v>0.80509175348674999</v>
      </c>
      <c r="D4782">
        <v>0.64794189590665696</v>
      </c>
      <c r="E4782">
        <v>0.22134088423383999</v>
      </c>
      <c r="F4782">
        <v>0.17964602157850099</v>
      </c>
      <c r="G4782">
        <v>6.8499529515391705E-2</v>
      </c>
      <c r="H4782">
        <v>3.8592167778320398E-2</v>
      </c>
      <c r="I4782">
        <v>3.4324367282722403E-2</v>
      </c>
      <c r="J4782">
        <v>3.7456404958323801E-2</v>
      </c>
      <c r="K4782">
        <v>3.2236410738247699E-2</v>
      </c>
      <c r="L4782">
        <v>879.87630835903997</v>
      </c>
      <c r="M4782">
        <v>18.7951202136062</v>
      </c>
      <c r="N4782">
        <v>46.991231119750097</v>
      </c>
      <c r="O4782">
        <v>46.2937877934935</v>
      </c>
      <c r="P4782">
        <v>-9.80318358062508E-2</v>
      </c>
      <c r="Q4782">
        <v>3.4201188013449499E-2</v>
      </c>
      <c r="R4782">
        <v>0.98952410967439797</v>
      </c>
      <c r="S4782" t="s">
        <v>11452</v>
      </c>
      <c r="T4782" t="s">
        <v>13338</v>
      </c>
      <c r="U4782" t="s">
        <v>13338</v>
      </c>
      <c r="V4782" t="s">
        <v>13338</v>
      </c>
      <c r="W4782" t="s">
        <v>18064</v>
      </c>
      <c r="X4782">
        <v>3</v>
      </c>
      <c r="Y4782" t="s">
        <v>24565</v>
      </c>
      <c r="Z4782" t="s">
        <v>31197</v>
      </c>
      <c r="AA4782">
        <v>0.26992639128567403</v>
      </c>
      <c r="AB4782" t="str">
        <f>HYPERLINK("Melting_Curves/meltCurve_Q8WWW0_2_RASSF5.pdf", "Melting_Curves/meltCurve_Q8WWW0_2_RASSF5.pdf")</f>
        <v>Melting_Curves/meltCurve_Q8WWW0_2_RASSF5.pdf</v>
      </c>
    </row>
    <row r="4783" spans="1:28" x14ac:dyDescent="0.25">
      <c r="A4783" t="s">
        <v>4787</v>
      </c>
      <c r="B4783">
        <v>0.99193492352474899</v>
      </c>
      <c r="C4783">
        <v>1.04905561526988</v>
      </c>
      <c r="D4783">
        <v>1.0667091676153799</v>
      </c>
      <c r="E4783">
        <v>0.65770844616542301</v>
      </c>
      <c r="F4783">
        <v>0.49478768550537999</v>
      </c>
      <c r="G4783">
        <v>0.24912547132294499</v>
      </c>
      <c r="H4783">
        <v>0.178742349545367</v>
      </c>
      <c r="I4783">
        <v>0.20174992150005</v>
      </c>
      <c r="J4783">
        <v>0.26247562718591</v>
      </c>
      <c r="K4783">
        <v>0.271063784034342</v>
      </c>
      <c r="L4783">
        <v>1308.4498486381401</v>
      </c>
      <c r="M4783">
        <v>25.6999396484599</v>
      </c>
      <c r="N4783">
        <v>52.138818484533701</v>
      </c>
      <c r="O4783">
        <v>50.607308083999399</v>
      </c>
      <c r="P4783">
        <v>-9.8163868293540901E-2</v>
      </c>
      <c r="Q4783">
        <v>0.22680763986640701</v>
      </c>
      <c r="R4783">
        <v>0.97027079351026502</v>
      </c>
      <c r="S4783" t="s">
        <v>11453</v>
      </c>
      <c r="T4783" t="s">
        <v>13338</v>
      </c>
      <c r="U4783" t="s">
        <v>13338</v>
      </c>
      <c r="V4783" t="s">
        <v>13338</v>
      </c>
      <c r="W4783" t="s">
        <v>18065</v>
      </c>
      <c r="X4783">
        <v>1</v>
      </c>
      <c r="Y4783" t="s">
        <v>24566</v>
      </c>
      <c r="Z4783" t="s">
        <v>31198</v>
      </c>
      <c r="AA4783">
        <v>0.5146660094995763</v>
      </c>
      <c r="AB4783" t="str">
        <f>HYPERLINK("Melting_Curves/meltCurve_Q8WWX9_SELM.pdf", "Melting_Curves/meltCurve_Q8WWX9_SELM.pdf")</f>
        <v>Melting_Curves/meltCurve_Q8WWX9_SELM.pdf</v>
      </c>
    </row>
    <row r="4784" spans="1:28" x14ac:dyDescent="0.25">
      <c r="A4784" t="s">
        <v>4788</v>
      </c>
      <c r="B4784">
        <v>0.99193492352474899</v>
      </c>
      <c r="C4784">
        <v>0.72685864838506398</v>
      </c>
      <c r="D4784">
        <v>0.48083524865843802</v>
      </c>
      <c r="E4784">
        <v>0.201750648463208</v>
      </c>
      <c r="F4784">
        <v>0.11280120074118501</v>
      </c>
      <c r="G4784">
        <v>6.7001662574054904E-2</v>
      </c>
      <c r="H4784">
        <v>4.9651537719674503E-2</v>
      </c>
      <c r="I4784">
        <v>5.2290272748258197E-2</v>
      </c>
      <c r="J4784">
        <v>5.6778602601539503E-2</v>
      </c>
      <c r="K4784">
        <v>6.2557054788859298E-2</v>
      </c>
      <c r="L4784">
        <v>882.99230683089604</v>
      </c>
      <c r="M4784">
        <v>19.4602354196319</v>
      </c>
      <c r="N4784">
        <v>45.6379120817898</v>
      </c>
      <c r="O4784">
        <v>44.903192092307897</v>
      </c>
      <c r="P4784">
        <v>-0.102586830474945</v>
      </c>
      <c r="Q4784">
        <v>5.31853300524135E-2</v>
      </c>
      <c r="R4784">
        <v>0.99473249231297001</v>
      </c>
      <c r="S4784" t="s">
        <v>11454</v>
      </c>
      <c r="T4784" t="s">
        <v>13338</v>
      </c>
      <c r="U4784" t="s">
        <v>13338</v>
      </c>
      <c r="V4784" t="s">
        <v>13338</v>
      </c>
      <c r="W4784" t="s">
        <v>18066</v>
      </c>
      <c r="X4784">
        <v>15</v>
      </c>
      <c r="Y4784" t="s">
        <v>24567</v>
      </c>
      <c r="Z4784" t="s">
        <v>31199</v>
      </c>
      <c r="AA4784">
        <v>0.23922079165378429</v>
      </c>
      <c r="AB4784" t="str">
        <f>HYPERLINK("Melting_Curves/meltCurve_Q8WWY3_PRPF31.pdf", "Melting_Curves/meltCurve_Q8WWY3_PRPF31.pdf")</f>
        <v>Melting_Curves/meltCurve_Q8WWY3_PRPF31.pdf</v>
      </c>
    </row>
    <row r="4785" spans="1:28" x14ac:dyDescent="0.25">
      <c r="A4785" t="s">
        <v>4789</v>
      </c>
      <c r="B4785">
        <v>0.99193492352474899</v>
      </c>
      <c r="C4785">
        <v>0.82162665393593204</v>
      </c>
      <c r="D4785">
        <v>0.79012978907268405</v>
      </c>
      <c r="E4785">
        <v>0.34352746841924697</v>
      </c>
      <c r="F4785">
        <v>0.15901886625029599</v>
      </c>
      <c r="G4785">
        <v>8.5141107523484402E-2</v>
      </c>
      <c r="H4785">
        <v>4.3355927815476002E-2</v>
      </c>
      <c r="I4785">
        <v>5.4140341897952603E-2</v>
      </c>
      <c r="J4785">
        <v>5.7477681781259497E-2</v>
      </c>
      <c r="K4785">
        <v>6.30372868498741E-2</v>
      </c>
      <c r="L4785">
        <v>978.60779080645</v>
      </c>
      <c r="M4785">
        <v>20.3879886398339</v>
      </c>
      <c r="N4785">
        <v>48.230593059457803</v>
      </c>
      <c r="O4785">
        <v>47.544608204850903</v>
      </c>
      <c r="P4785">
        <v>-0.102213186226395</v>
      </c>
      <c r="Q4785">
        <v>4.6587799620791702E-2</v>
      </c>
      <c r="R4785">
        <v>0.98733656852098195</v>
      </c>
      <c r="S4785" t="s">
        <v>11455</v>
      </c>
      <c r="T4785" t="s">
        <v>13338</v>
      </c>
      <c r="U4785" t="s">
        <v>13338</v>
      </c>
      <c r="V4785" t="s">
        <v>13338</v>
      </c>
      <c r="W4785" t="s">
        <v>18067</v>
      </c>
      <c r="X4785">
        <v>18</v>
      </c>
      <c r="Y4785" t="s">
        <v>24568</v>
      </c>
      <c r="Z4785" t="s">
        <v>31200</v>
      </c>
      <c r="AA4785">
        <v>0.31381472861528198</v>
      </c>
      <c r="AB4785" t="str">
        <f>HYPERLINK("Melting_Curves/meltCurve_Q8WX92_NELFB.pdf", "Melting_Curves/meltCurve_Q8WX92_NELFB.pdf")</f>
        <v>Melting_Curves/meltCurve_Q8WX92_NELFB.pdf</v>
      </c>
    </row>
    <row r="4786" spans="1:28" x14ac:dyDescent="0.25">
      <c r="A4786" t="s">
        <v>4790</v>
      </c>
      <c r="B4786">
        <v>0.99193492352474899</v>
      </c>
      <c r="C4786">
        <v>0.89768485460556802</v>
      </c>
      <c r="D4786">
        <v>0.72756895717262904</v>
      </c>
      <c r="E4786">
        <v>0.381277375788592</v>
      </c>
      <c r="F4786">
        <v>0.161542627465174</v>
      </c>
      <c r="G4786">
        <v>9.2565260669147706E-2</v>
      </c>
      <c r="H4786">
        <v>6.6022055968757806E-2</v>
      </c>
      <c r="I4786">
        <v>7.4585574323226697E-2</v>
      </c>
      <c r="J4786">
        <v>0.10694228622242601</v>
      </c>
      <c r="K4786">
        <v>9.7963452029756801E-2</v>
      </c>
      <c r="L4786">
        <v>1010.98362484864</v>
      </c>
      <c r="M4786">
        <v>21.145015586441598</v>
      </c>
      <c r="N4786">
        <v>48.193914210816999</v>
      </c>
      <c r="O4786">
        <v>47.390442163191103</v>
      </c>
      <c r="P4786">
        <v>-0.102943092549417</v>
      </c>
      <c r="Q4786">
        <v>7.7155326436407504E-2</v>
      </c>
      <c r="R4786">
        <v>0.99757357768473998</v>
      </c>
      <c r="S4786" t="s">
        <v>11456</v>
      </c>
      <c r="T4786" t="s">
        <v>13338</v>
      </c>
      <c r="U4786" t="s">
        <v>13338</v>
      </c>
      <c r="V4786" t="s">
        <v>13338</v>
      </c>
      <c r="W4786" t="s">
        <v>18068</v>
      </c>
      <c r="X4786">
        <v>10</v>
      </c>
      <c r="Y4786" t="s">
        <v>24569</v>
      </c>
      <c r="Z4786" t="s">
        <v>31201</v>
      </c>
      <c r="AA4786">
        <v>0.3291506876839384</v>
      </c>
      <c r="AB4786" t="str">
        <f>HYPERLINK("Melting_Curves/meltCurve_Q8WX93_3_PALLD.pdf", "Melting_Curves/meltCurve_Q8WX93_3_PALLD.pdf")</f>
        <v>Melting_Curves/meltCurve_Q8WX93_3_PALLD.pdf</v>
      </c>
    </row>
    <row r="4787" spans="1:28" x14ac:dyDescent="0.25">
      <c r="A4787" t="s">
        <v>4791</v>
      </c>
      <c r="B4787">
        <v>0.99193492352474899</v>
      </c>
      <c r="C4787">
        <v>0.61757410681615399</v>
      </c>
      <c r="D4787">
        <v>0.794502691567194</v>
      </c>
      <c r="E4787">
        <v>0.33310527818189101</v>
      </c>
      <c r="F4787">
        <v>0.12085864259800499</v>
      </c>
      <c r="G4787">
        <v>7.1394176648925306E-2</v>
      </c>
      <c r="H4787">
        <v>5.3659304563262303E-2</v>
      </c>
      <c r="I4787">
        <v>5.9335229722583802E-2</v>
      </c>
      <c r="J4787">
        <v>7.8035043608640206E-2</v>
      </c>
      <c r="K4787">
        <v>7.1324455788103994E-2</v>
      </c>
      <c r="L4787">
        <v>708.71389401582906</v>
      </c>
      <c r="M4787">
        <v>14.989411581018</v>
      </c>
      <c r="N4787">
        <v>47.4917339733421</v>
      </c>
      <c r="O4787">
        <v>46.463394446894398</v>
      </c>
      <c r="P4787">
        <v>-7.8064165450711501E-2</v>
      </c>
      <c r="Q4787">
        <v>3.2181434172829697E-2</v>
      </c>
      <c r="R4787">
        <v>0.92277256527121299</v>
      </c>
      <c r="S4787" t="s">
        <v>11457</v>
      </c>
      <c r="T4787" t="s">
        <v>13338</v>
      </c>
      <c r="U4787" t="s">
        <v>13338</v>
      </c>
      <c r="V4787" t="s">
        <v>13338</v>
      </c>
      <c r="W4787" t="s">
        <v>18069</v>
      </c>
      <c r="X4787">
        <v>7</v>
      </c>
      <c r="Y4787" t="s">
        <v>24570</v>
      </c>
      <c r="Z4787" t="s">
        <v>31202</v>
      </c>
      <c r="AA4787">
        <v>0.29296337103699988</v>
      </c>
      <c r="AB4787" t="str">
        <f>HYPERLINK("Melting_Curves/meltCurve_Q8WXA9_2_SREK1.pdf", "Melting_Curves/meltCurve_Q8WXA9_2_SREK1.pdf")</f>
        <v>Melting_Curves/meltCurve_Q8WXA9_2_SREK1.pdf</v>
      </c>
    </row>
    <row r="4788" spans="1:28" x14ac:dyDescent="0.25">
      <c r="A4788" t="s">
        <v>4792</v>
      </c>
      <c r="B4788">
        <v>0.99193492352474899</v>
      </c>
      <c r="C4788">
        <v>0.84208161894016798</v>
      </c>
      <c r="D4788">
        <v>0.86535656723577403</v>
      </c>
      <c r="E4788">
        <v>0.69299926902972597</v>
      </c>
      <c r="F4788">
        <v>0.92931742146238405</v>
      </c>
      <c r="G4788">
        <v>0.616934231461435</v>
      </c>
      <c r="H4788">
        <v>0.33812911908980903</v>
      </c>
      <c r="I4788">
        <v>0.45167966468822301</v>
      </c>
      <c r="J4788">
        <v>0.53524146738365896</v>
      </c>
      <c r="K4788">
        <v>0.62447289113266002</v>
      </c>
      <c r="L4788">
        <v>463.20596817567099</v>
      </c>
      <c r="M4788">
        <v>8.9765683884355205</v>
      </c>
      <c r="N4788">
        <v>68.594828702896905</v>
      </c>
      <c r="O4788">
        <v>49.233717347975599</v>
      </c>
      <c r="P4788">
        <v>-2.5275158573737199E-2</v>
      </c>
      <c r="Q4788">
        <v>0.44590051964390698</v>
      </c>
      <c r="R4788">
        <v>0.65007958767532303</v>
      </c>
      <c r="S4788" t="s">
        <v>11458</v>
      </c>
      <c r="T4788" t="s">
        <v>13338</v>
      </c>
      <c r="U4788" t="s">
        <v>13338</v>
      </c>
      <c r="V4788" t="s">
        <v>13338</v>
      </c>
      <c r="W4788" t="s">
        <v>18070</v>
      </c>
      <c r="X4788">
        <v>2</v>
      </c>
      <c r="Y4788" t="s">
        <v>24571</v>
      </c>
      <c r="Z4788" t="s">
        <v>31203</v>
      </c>
      <c r="AA4788">
        <v>0.68475339416603365</v>
      </c>
      <c r="AB4788" t="str">
        <f>HYPERLINK("Melting_Curves/meltCurve_Q8WXD5_GEMIN6.pdf", "Melting_Curves/meltCurve_Q8WXD5_GEMIN6.pdf")</f>
        <v>Melting_Curves/meltCurve_Q8WXD5_GEMIN6.pdf</v>
      </c>
    </row>
    <row r="4789" spans="1:28" x14ac:dyDescent="0.25">
      <c r="A4789" t="s">
        <v>4793</v>
      </c>
      <c r="B4789">
        <v>0.99193492352474899</v>
      </c>
      <c r="C4789">
        <v>0.92675034328740202</v>
      </c>
      <c r="D4789">
        <v>0.54121544480033301</v>
      </c>
      <c r="E4789">
        <v>0.26197508032863498</v>
      </c>
      <c r="F4789">
        <v>0.18564833850257501</v>
      </c>
      <c r="G4789">
        <v>0.13448788660022001</v>
      </c>
      <c r="H4789">
        <v>8.5068123187911807E-2</v>
      </c>
      <c r="I4789">
        <v>0.13993389456723301</v>
      </c>
      <c r="J4789">
        <v>0.13751085942173899</v>
      </c>
      <c r="K4789">
        <v>0.14337355529342199</v>
      </c>
      <c r="L4789">
        <v>1264.01691024404</v>
      </c>
      <c r="M4789">
        <v>27.4800676796145</v>
      </c>
      <c r="N4789">
        <v>46.530605335619398</v>
      </c>
      <c r="O4789">
        <v>45.756074522295599</v>
      </c>
      <c r="P4789">
        <v>-0.12987189276013</v>
      </c>
      <c r="Q4789">
        <v>0.13502788452855</v>
      </c>
      <c r="R4789">
        <v>0.99448153663550198</v>
      </c>
      <c r="S4789" t="s">
        <v>11459</v>
      </c>
      <c r="T4789" t="s">
        <v>13338</v>
      </c>
      <c r="U4789" t="s">
        <v>13338</v>
      </c>
      <c r="V4789" t="s">
        <v>13338</v>
      </c>
      <c r="W4789" t="s">
        <v>18071</v>
      </c>
      <c r="X4789">
        <v>7</v>
      </c>
      <c r="Y4789" t="s">
        <v>24572</v>
      </c>
      <c r="Z4789" t="s">
        <v>31204</v>
      </c>
      <c r="AA4789">
        <v>0.31438450258487399</v>
      </c>
      <c r="AB4789" t="str">
        <f>HYPERLINK("Melting_Curves/meltCurve_Q8WXE0_CASKIN2.pdf", "Melting_Curves/meltCurve_Q8WXE0_CASKIN2.pdf")</f>
        <v>Melting_Curves/meltCurve_Q8WXE0_CASKIN2.pdf</v>
      </c>
    </row>
    <row r="4790" spans="1:28" x14ac:dyDescent="0.25">
      <c r="A4790" t="s">
        <v>4794</v>
      </c>
      <c r="B4790">
        <v>0.99193492352474899</v>
      </c>
      <c r="C4790">
        <v>0.80698079304537296</v>
      </c>
      <c r="D4790">
        <v>0.86224612336920503</v>
      </c>
      <c r="E4790">
        <v>0.84245541570814797</v>
      </c>
      <c r="F4790">
        <v>0.91705480305301501</v>
      </c>
      <c r="G4790">
        <v>0.26245347974441002</v>
      </c>
      <c r="H4790">
        <v>3.2981459882724801E-2</v>
      </c>
      <c r="I4790">
        <v>6.7720920486347994E-2</v>
      </c>
      <c r="J4790">
        <v>5.3147578470750398E-2</v>
      </c>
      <c r="K4790">
        <v>0</v>
      </c>
      <c r="L4790">
        <v>2893.7226608753799</v>
      </c>
      <c r="M4790">
        <v>52.118846332240899</v>
      </c>
      <c r="N4790">
        <v>55.600240842920201</v>
      </c>
      <c r="O4790">
        <v>55.440059367600803</v>
      </c>
      <c r="P4790">
        <v>-0.226674488494466</v>
      </c>
      <c r="Q4790">
        <v>3.5524465244304297E-2</v>
      </c>
      <c r="R4790">
        <v>0.95004757548805596</v>
      </c>
      <c r="S4790" t="s">
        <v>11460</v>
      </c>
      <c r="T4790" t="s">
        <v>13338</v>
      </c>
      <c r="U4790" t="s">
        <v>13338</v>
      </c>
      <c r="V4790" t="s">
        <v>13338</v>
      </c>
      <c r="W4790" t="s">
        <v>18072</v>
      </c>
      <c r="X4790">
        <v>1</v>
      </c>
      <c r="Y4790" t="s">
        <v>24573</v>
      </c>
      <c r="Z4790" t="s">
        <v>31205</v>
      </c>
      <c r="AA4790">
        <v>0.53670357691796333</v>
      </c>
      <c r="AB4790" t="str">
        <f>HYPERLINK("Melting_Curves/meltCurve_Q8WXE1_5_ATRIP.pdf", "Melting_Curves/meltCurve_Q8WXE1_5_ATRIP.pdf")</f>
        <v>Melting_Curves/meltCurve_Q8WXE1_5_ATRIP.pdf</v>
      </c>
    </row>
    <row r="4791" spans="1:28" x14ac:dyDescent="0.25">
      <c r="A4791" t="s">
        <v>4795</v>
      </c>
      <c r="B4791">
        <v>0.99193492352474899</v>
      </c>
      <c r="C4791">
        <v>0.56913655256916296</v>
      </c>
      <c r="D4791">
        <v>0.67250023987651897</v>
      </c>
      <c r="E4791">
        <v>0.21244296336651</v>
      </c>
      <c r="F4791">
        <v>0.123798627728224</v>
      </c>
      <c r="G4791">
        <v>6.6236715174334701E-2</v>
      </c>
      <c r="H4791">
        <v>5.3957664321290399E-2</v>
      </c>
      <c r="I4791">
        <v>7.6250208595679297E-2</v>
      </c>
      <c r="J4791">
        <v>0.102730004910246</v>
      </c>
      <c r="K4791">
        <v>0.130442687093693</v>
      </c>
      <c r="L4791">
        <v>717.33171155908099</v>
      </c>
      <c r="M4791">
        <v>15.7256601979623</v>
      </c>
      <c r="N4791">
        <v>46.028349532271001</v>
      </c>
      <c r="O4791">
        <v>44.896845792951403</v>
      </c>
      <c r="P4791">
        <v>-8.1810792685289097E-2</v>
      </c>
      <c r="Q4791">
        <v>6.5797679099448697E-2</v>
      </c>
      <c r="R4791">
        <v>0.91707589048832305</v>
      </c>
      <c r="S4791" t="s">
        <v>11461</v>
      </c>
      <c r="T4791" t="s">
        <v>13338</v>
      </c>
      <c r="U4791" t="s">
        <v>13338</v>
      </c>
      <c r="V4791" t="s">
        <v>13338</v>
      </c>
      <c r="W4791" t="s">
        <v>18073</v>
      </c>
      <c r="X4791">
        <v>20</v>
      </c>
      <c r="Y4791" t="s">
        <v>24574</v>
      </c>
      <c r="Z4791" t="s">
        <v>31206</v>
      </c>
      <c r="AA4791">
        <v>0.26617558874948771</v>
      </c>
      <c r="AB4791" t="str">
        <f>HYPERLINK("Melting_Curves/meltCurve_Q8WXF1_PSPC1.pdf", "Melting_Curves/meltCurve_Q8WXF1_PSPC1.pdf")</f>
        <v>Melting_Curves/meltCurve_Q8WXF1_PSPC1.pdf</v>
      </c>
    </row>
    <row r="4792" spans="1:28" x14ac:dyDescent="0.25">
      <c r="A4792" t="s">
        <v>4796</v>
      </c>
      <c r="B4792">
        <v>0.99193492352474899</v>
      </c>
      <c r="C4792">
        <v>0.90664157505492204</v>
      </c>
      <c r="D4792">
        <v>0.33044092071168402</v>
      </c>
      <c r="E4792">
        <v>0.19221378303911499</v>
      </c>
      <c r="F4792">
        <v>0.12766889858709901</v>
      </c>
      <c r="G4792">
        <v>9.2649089715814703E-2</v>
      </c>
      <c r="H4792">
        <v>5.6455817583148001E-2</v>
      </c>
      <c r="I4792">
        <v>7.6499175494830901E-2</v>
      </c>
      <c r="J4792">
        <v>8.3869921034491896E-2</v>
      </c>
      <c r="K4792">
        <v>8.5606970569044094E-2</v>
      </c>
      <c r="L4792">
        <v>1889.24434650227</v>
      </c>
      <c r="M4792">
        <v>42.043121999175902</v>
      </c>
      <c r="N4792">
        <v>45.170198047244</v>
      </c>
      <c r="O4792">
        <v>44.834567347540599</v>
      </c>
      <c r="P4792">
        <v>-0.21146548483885</v>
      </c>
      <c r="Q4792">
        <v>9.7978744823799799E-2</v>
      </c>
      <c r="R4792">
        <v>0.99136323903130397</v>
      </c>
      <c r="S4792" t="s">
        <v>11462</v>
      </c>
      <c r="T4792" t="s">
        <v>13338</v>
      </c>
      <c r="U4792" t="s">
        <v>13338</v>
      </c>
      <c r="V4792" t="s">
        <v>13338</v>
      </c>
      <c r="W4792" t="s">
        <v>18074</v>
      </c>
      <c r="X4792">
        <v>20</v>
      </c>
      <c r="Y4792" t="s">
        <v>24575</v>
      </c>
      <c r="Z4792" t="s">
        <v>31207</v>
      </c>
      <c r="AA4792">
        <v>0.2490582154967331</v>
      </c>
      <c r="AB4792" t="str">
        <f>HYPERLINK("Melting_Curves/meltCurve_Q8WXH0_SYNE2.pdf", "Melting_Curves/meltCurve_Q8WXH0_SYNE2.pdf")</f>
        <v>Melting_Curves/meltCurve_Q8WXH0_SYNE2.pdf</v>
      </c>
    </row>
    <row r="4793" spans="1:28" x14ac:dyDescent="0.25">
      <c r="A4793" t="s">
        <v>4797</v>
      </c>
      <c r="B4793">
        <v>0.99193492352474899</v>
      </c>
      <c r="C4793">
        <v>0.58361422345800595</v>
      </c>
      <c r="D4793">
        <v>0.64787671450294104</v>
      </c>
      <c r="E4793">
        <v>0.29746138321221299</v>
      </c>
      <c r="F4793">
        <v>0.22646196085016401</v>
      </c>
      <c r="G4793">
        <v>0.19538509188122899</v>
      </c>
      <c r="H4793">
        <v>0.16244013620799899</v>
      </c>
      <c r="I4793">
        <v>0.29471184914385101</v>
      </c>
      <c r="J4793">
        <v>0.421945980487824</v>
      </c>
      <c r="K4793">
        <v>0.621953483112897</v>
      </c>
      <c r="L4793">
        <v>921.843874586075</v>
      </c>
      <c r="M4793">
        <v>21.1733991691084</v>
      </c>
      <c r="N4793">
        <v>45.742011422512299</v>
      </c>
      <c r="O4793">
        <v>43.155051230408397</v>
      </c>
      <c r="P4793">
        <v>-8.3440341978364793E-2</v>
      </c>
      <c r="Q4793">
        <v>0.31975425506840399</v>
      </c>
      <c r="R4793">
        <v>0.66343228668702003</v>
      </c>
      <c r="S4793" t="s">
        <v>11463</v>
      </c>
      <c r="T4793" t="s">
        <v>13338</v>
      </c>
      <c r="U4793" t="s">
        <v>13338</v>
      </c>
      <c r="V4793" t="s">
        <v>13338</v>
      </c>
      <c r="W4793" t="s">
        <v>18075</v>
      </c>
      <c r="X4793">
        <v>6</v>
      </c>
      <c r="Y4793" t="s">
        <v>24576</v>
      </c>
      <c r="Z4793" t="s">
        <v>31208</v>
      </c>
      <c r="AA4793">
        <v>0.41258988968510379</v>
      </c>
      <c r="AB4793" t="str">
        <f>HYPERLINK("Melting_Curves/meltCurve_Q8WXI9_GATAD2B.pdf", "Melting_Curves/meltCurve_Q8WXI9_GATAD2B.pdf")</f>
        <v>Melting_Curves/meltCurve_Q8WXI9_GATAD2B.pdf</v>
      </c>
    </row>
    <row r="4794" spans="1:28" x14ac:dyDescent="0.25">
      <c r="A4794" t="s">
        <v>4798</v>
      </c>
      <c r="B4794">
        <v>0.99193492352474899</v>
      </c>
      <c r="C4794">
        <v>0.78356548187665698</v>
      </c>
      <c r="D4794">
        <v>0.89794445411778301</v>
      </c>
      <c r="E4794">
        <v>0.84369745583853395</v>
      </c>
      <c r="F4794">
        <v>0.60395423600732101</v>
      </c>
      <c r="G4794">
        <v>0.55699704804441497</v>
      </c>
      <c r="H4794">
        <v>0.48706023709358298</v>
      </c>
      <c r="I4794">
        <v>0.60343114829389799</v>
      </c>
      <c r="J4794">
        <v>0.43676458815489699</v>
      </c>
      <c r="K4794">
        <v>0.74654578949447303</v>
      </c>
      <c r="L4794">
        <v>619.78766062504906</v>
      </c>
      <c r="M4794">
        <v>12.791516829414499</v>
      </c>
      <c r="O4794">
        <v>47.314602174575001</v>
      </c>
      <c r="P4794">
        <v>-3.0754555524259802E-2</v>
      </c>
      <c r="Q4794">
        <v>0.54505270864434896</v>
      </c>
      <c r="R4794">
        <v>0.67233515130825305</v>
      </c>
      <c r="S4794" t="s">
        <v>11464</v>
      </c>
      <c r="T4794" t="s">
        <v>13338</v>
      </c>
      <c r="U4794" t="s">
        <v>13338</v>
      </c>
      <c r="V4794" t="s">
        <v>13338</v>
      </c>
      <c r="W4794" t="s">
        <v>18076</v>
      </c>
      <c r="X4794">
        <v>1</v>
      </c>
      <c r="Y4794" t="s">
        <v>24577</v>
      </c>
      <c r="Z4794" t="s">
        <v>31209</v>
      </c>
      <c r="AA4794">
        <v>0.68869220176378454</v>
      </c>
      <c r="AB4794" t="str">
        <f>HYPERLINK("Melting_Curves/meltCurve_Q8WXX0_DNAH7.pdf", "Melting_Curves/meltCurve_Q8WXX0_DNAH7.pdf")</f>
        <v>Melting_Curves/meltCurve_Q8WXX0_DNAH7.pdf</v>
      </c>
    </row>
    <row r="4795" spans="1:28" x14ac:dyDescent="0.25">
      <c r="A4795" t="s">
        <v>4799</v>
      </c>
      <c r="B4795">
        <v>0.99193492352474899</v>
      </c>
      <c r="C4795">
        <v>1.07536427856383</v>
      </c>
      <c r="D4795">
        <v>0.978525297698564</v>
      </c>
      <c r="E4795">
        <v>1.0100454195647</v>
      </c>
      <c r="F4795">
        <v>0.37420613144090398</v>
      </c>
      <c r="G4795">
        <v>0.24221159867506101</v>
      </c>
      <c r="H4795">
        <v>0.171820227532931</v>
      </c>
      <c r="I4795">
        <v>0.297360011254234</v>
      </c>
      <c r="J4795">
        <v>0.40433349319308798</v>
      </c>
      <c r="K4795">
        <v>0.498343547824314</v>
      </c>
      <c r="L4795">
        <v>13167.024941343299</v>
      </c>
      <c r="M4795">
        <v>250</v>
      </c>
      <c r="N4795">
        <v>52.887573009658396</v>
      </c>
      <c r="O4795">
        <v>52.664723156993396</v>
      </c>
      <c r="P4795">
        <v>-0.80365246025036197</v>
      </c>
      <c r="Q4795">
        <v>0.32281377159652203</v>
      </c>
      <c r="R4795">
        <v>0.93823554140497201</v>
      </c>
      <c r="S4795" t="s">
        <v>11465</v>
      </c>
      <c r="T4795" t="s">
        <v>13338</v>
      </c>
      <c r="U4795" t="s">
        <v>13338</v>
      </c>
      <c r="V4795" t="s">
        <v>13338</v>
      </c>
      <c r="W4795" t="s">
        <v>18077</v>
      </c>
      <c r="X4795">
        <v>13</v>
      </c>
      <c r="Y4795" t="s">
        <v>24578</v>
      </c>
      <c r="Z4795" t="s">
        <v>31210</v>
      </c>
      <c r="AA4795">
        <v>0.60883178843944441</v>
      </c>
      <c r="AB4795" t="str">
        <f>HYPERLINK("Melting_Curves/meltCurve_Q8WXX5_DNAJC9.pdf", "Melting_Curves/meltCurve_Q8WXX5_DNAJC9.pdf")</f>
        <v>Melting_Curves/meltCurve_Q8WXX5_DNAJC9.pdf</v>
      </c>
    </row>
    <row r="4796" spans="1:28" x14ac:dyDescent="0.25">
      <c r="A4796" t="s">
        <v>4800</v>
      </c>
      <c r="B4796">
        <v>0.99193492352474899</v>
      </c>
      <c r="C4796">
        <v>0.56547635655256701</v>
      </c>
      <c r="D4796">
        <v>0.78977842903963302</v>
      </c>
      <c r="E4796">
        <v>0.46234759395943498</v>
      </c>
      <c r="F4796">
        <v>0.49392173921685401</v>
      </c>
      <c r="G4796">
        <v>0.24992727011659299</v>
      </c>
      <c r="H4796">
        <v>0.24783178368543299</v>
      </c>
      <c r="I4796">
        <v>0.264584519304635</v>
      </c>
      <c r="J4796">
        <v>0.36807628832799899</v>
      </c>
      <c r="K4796">
        <v>0.34471691618710198</v>
      </c>
      <c r="L4796">
        <v>512.04376638770304</v>
      </c>
      <c r="M4796">
        <v>11.128394818559</v>
      </c>
      <c r="N4796">
        <v>49.557621076203702</v>
      </c>
      <c r="O4796">
        <v>44.601565340136801</v>
      </c>
      <c r="P4796">
        <v>-4.5271526781025001E-2</v>
      </c>
      <c r="Q4796">
        <v>0.27445827966998099</v>
      </c>
      <c r="R4796">
        <v>0.79372280175615995</v>
      </c>
      <c r="S4796" t="s">
        <v>11466</v>
      </c>
      <c r="T4796" t="s">
        <v>13338</v>
      </c>
      <c r="U4796" t="s">
        <v>13338</v>
      </c>
      <c r="V4796" t="s">
        <v>13338</v>
      </c>
      <c r="W4796" t="s">
        <v>18078</v>
      </c>
      <c r="X4796">
        <v>5</v>
      </c>
      <c r="Y4796" t="s">
        <v>24579</v>
      </c>
      <c r="Z4796" t="s">
        <v>31211</v>
      </c>
      <c r="AA4796">
        <v>0.45767992093063781</v>
      </c>
      <c r="AB4796" t="str">
        <f>HYPERLINK("Melting_Curves/meltCurve_Q8WY22_BRI3BP.pdf", "Melting_Curves/meltCurve_Q8WY22_BRI3BP.pdf")</f>
        <v>Melting_Curves/meltCurve_Q8WY22_BRI3BP.pdf</v>
      </c>
    </row>
    <row r="4797" spans="1:28" x14ac:dyDescent="0.25">
      <c r="A4797" t="s">
        <v>4801</v>
      </c>
      <c r="B4797">
        <v>0.99193492352474899</v>
      </c>
      <c r="C4797">
        <v>0.65116307253725103</v>
      </c>
      <c r="D4797">
        <v>0.88639078179234798</v>
      </c>
      <c r="E4797">
        <v>0.57675144997862504</v>
      </c>
      <c r="F4797">
        <v>0.59933147463129599</v>
      </c>
      <c r="G4797">
        <v>0.24297046495501001</v>
      </c>
      <c r="H4797">
        <v>0.16092578969280699</v>
      </c>
      <c r="I4797">
        <v>0.26410852777245603</v>
      </c>
      <c r="J4797">
        <v>0.197198063135676</v>
      </c>
      <c r="K4797">
        <v>0.66078972526814805</v>
      </c>
      <c r="L4797">
        <v>602.18838089852795</v>
      </c>
      <c r="M4797">
        <v>12.5145205237936</v>
      </c>
      <c r="N4797">
        <v>51.7953989024018</v>
      </c>
      <c r="O4797">
        <v>46.940049272472002</v>
      </c>
      <c r="P4797">
        <v>-4.70451396789393E-2</v>
      </c>
      <c r="Q4797">
        <v>0.29430799286194997</v>
      </c>
      <c r="R4797">
        <v>0.63287182361215399</v>
      </c>
      <c r="S4797" t="s">
        <v>11467</v>
      </c>
      <c r="T4797" t="s">
        <v>13338</v>
      </c>
      <c r="U4797" t="s">
        <v>13338</v>
      </c>
      <c r="V4797" t="s">
        <v>13338</v>
      </c>
      <c r="W4797" t="s">
        <v>18079</v>
      </c>
      <c r="X4797">
        <v>3</v>
      </c>
      <c r="Y4797" t="s">
        <v>24580</v>
      </c>
      <c r="Z4797" t="s">
        <v>31212</v>
      </c>
      <c r="AA4797">
        <v>0.51072422164534548</v>
      </c>
      <c r="AB4797" t="str">
        <f>HYPERLINK("Melting_Curves/meltCurve_Q8WY54_2_PPM1E.pdf", "Melting_Curves/meltCurve_Q8WY54_2_PPM1E.pdf")</f>
        <v>Melting_Curves/meltCurve_Q8WY54_2_PPM1E.pdf</v>
      </c>
    </row>
    <row r="4798" spans="1:28" x14ac:dyDescent="0.25">
      <c r="A4798" t="s">
        <v>4802</v>
      </c>
      <c r="B4798">
        <v>0.99193492352474899</v>
      </c>
      <c r="C4798">
        <v>1.1451290871504101</v>
      </c>
      <c r="D4798">
        <v>0.73453315230900795</v>
      </c>
      <c r="E4798">
        <v>0.59327819581944896</v>
      </c>
      <c r="F4798">
        <v>0.34728149929742003</v>
      </c>
      <c r="G4798">
        <v>0.28685558056420202</v>
      </c>
      <c r="H4798">
        <v>0.22578204261746099</v>
      </c>
      <c r="I4798">
        <v>0.22550493947167199</v>
      </c>
      <c r="J4798">
        <v>0.21548966404787101</v>
      </c>
      <c r="K4798">
        <v>0.32754934673438002</v>
      </c>
      <c r="L4798">
        <v>1071.9195843140801</v>
      </c>
      <c r="M4798">
        <v>22.000470768336601</v>
      </c>
      <c r="N4798">
        <v>50.292625252541299</v>
      </c>
      <c r="O4798">
        <v>48.325387287124599</v>
      </c>
      <c r="P4798">
        <v>-8.55432762964006E-2</v>
      </c>
      <c r="Q4798">
        <v>0.248412531245322</v>
      </c>
      <c r="R4798">
        <v>0.947990663507292</v>
      </c>
      <c r="S4798" t="s">
        <v>11468</v>
      </c>
      <c r="T4798" t="s">
        <v>13338</v>
      </c>
      <c r="U4798" t="s">
        <v>13338</v>
      </c>
      <c r="V4798" t="s">
        <v>13338</v>
      </c>
      <c r="W4798" t="s">
        <v>18080</v>
      </c>
      <c r="X4798">
        <v>3</v>
      </c>
      <c r="Y4798" t="s">
        <v>24581</v>
      </c>
      <c r="Z4798" t="s">
        <v>31213</v>
      </c>
      <c r="AA4798">
        <v>0.47560955386968878</v>
      </c>
      <c r="AB4798" t="str">
        <f>HYPERLINK("Melting_Curves/meltCurve_Q8WY91_THAP4.pdf", "Melting_Curves/meltCurve_Q8WY91_THAP4.pdf")</f>
        <v>Melting_Curves/meltCurve_Q8WY91_THAP4.pdf</v>
      </c>
    </row>
    <row r="4799" spans="1:28" x14ac:dyDescent="0.25">
      <c r="A4799" t="s">
        <v>4803</v>
      </c>
      <c r="B4799">
        <v>0.99193492352474899</v>
      </c>
      <c r="C4799">
        <v>0.61134306859718102</v>
      </c>
      <c r="D4799">
        <v>0.38898363875249697</v>
      </c>
      <c r="E4799">
        <v>0.155944672607472</v>
      </c>
      <c r="F4799">
        <v>0.11003395514811</v>
      </c>
      <c r="G4799">
        <v>8.4358039340774002E-2</v>
      </c>
      <c r="H4799">
        <v>5.7685752641842399E-2</v>
      </c>
      <c r="I4799">
        <v>5.7956795346749503E-2</v>
      </c>
      <c r="J4799">
        <v>6.50762133958563E-2</v>
      </c>
      <c r="K4799">
        <v>7.2312138235200094E-2</v>
      </c>
      <c r="L4799">
        <v>923.80025661436105</v>
      </c>
      <c r="M4799">
        <v>20.894725253945499</v>
      </c>
      <c r="N4799">
        <v>44.5287738841295</v>
      </c>
      <c r="O4799">
        <v>43.813138847394399</v>
      </c>
      <c r="P4799">
        <v>-0.110998859596029</v>
      </c>
      <c r="Q4799">
        <v>6.9032946219987595E-2</v>
      </c>
      <c r="R4799">
        <v>0.98495206272688396</v>
      </c>
      <c r="S4799" t="s">
        <v>11469</v>
      </c>
      <c r="T4799" t="s">
        <v>13338</v>
      </c>
      <c r="U4799" t="s">
        <v>13338</v>
      </c>
      <c r="V4799" t="s">
        <v>13338</v>
      </c>
      <c r="W4799" t="s">
        <v>18081</v>
      </c>
      <c r="X4799">
        <v>21</v>
      </c>
      <c r="Y4799" t="s">
        <v>24582</v>
      </c>
      <c r="Z4799" t="s">
        <v>31214</v>
      </c>
      <c r="AA4799">
        <v>0.21554884190189461</v>
      </c>
      <c r="AB4799" t="str">
        <f>HYPERLINK("Melting_Curves/meltCurve_Q8WYA6_CTNNBL1.pdf", "Melting_Curves/meltCurve_Q8WYA6_CTNNBL1.pdf")</f>
        <v>Melting_Curves/meltCurve_Q8WYA6_CTNNBL1.pdf</v>
      </c>
    </row>
    <row r="4800" spans="1:28" x14ac:dyDescent="0.25">
      <c r="A4800" t="s">
        <v>4804</v>
      </c>
      <c r="B4800">
        <v>0.99193492352474899</v>
      </c>
      <c r="C4800">
        <v>0.39966606726263798</v>
      </c>
      <c r="D4800">
        <v>0.71783540289425096</v>
      </c>
      <c r="E4800">
        <v>0.29500687969956402</v>
      </c>
      <c r="F4800">
        <v>0.158093450723787</v>
      </c>
      <c r="G4800">
        <v>9.7531733893994998E-2</v>
      </c>
      <c r="H4800">
        <v>6.8762469220473896E-2</v>
      </c>
      <c r="I4800">
        <v>0.111379107484277</v>
      </c>
      <c r="J4800">
        <v>0.126548421424863</v>
      </c>
      <c r="K4800">
        <v>0.131671995192678</v>
      </c>
      <c r="L4800">
        <v>553.71765066839203</v>
      </c>
      <c r="M4800">
        <v>12.239021678784299</v>
      </c>
      <c r="N4800">
        <v>45.856313610738397</v>
      </c>
      <c r="O4800">
        <v>44.085019444584098</v>
      </c>
      <c r="P4800">
        <v>-6.4172087915111406E-2</v>
      </c>
      <c r="Q4800">
        <v>7.5613539015164405E-2</v>
      </c>
      <c r="R4800">
        <v>0.81034489599491799</v>
      </c>
      <c r="S4800" t="s">
        <v>11470</v>
      </c>
      <c r="T4800" t="s">
        <v>13338</v>
      </c>
      <c r="U4800" t="s">
        <v>13338</v>
      </c>
      <c r="V4800" t="s">
        <v>13338</v>
      </c>
      <c r="W4800" t="s">
        <v>18082</v>
      </c>
      <c r="X4800">
        <v>4</v>
      </c>
      <c r="Y4800" t="s">
        <v>24583</v>
      </c>
      <c r="Z4800" t="s">
        <v>31215</v>
      </c>
      <c r="AA4800">
        <v>0.28058785335583641</v>
      </c>
      <c r="AB4800" t="str">
        <f>HYPERLINK("Melting_Curves/meltCurve_Q8WYQ5_3_DGCR8.pdf", "Melting_Curves/meltCurve_Q8WYQ5_3_DGCR8.pdf")</f>
        <v>Melting_Curves/meltCurve_Q8WYQ5_3_DGCR8.pdf</v>
      </c>
    </row>
    <row r="4801" spans="1:28" x14ac:dyDescent="0.25">
      <c r="A4801" t="s">
        <v>4805</v>
      </c>
      <c r="B4801">
        <v>0.99193492352474899</v>
      </c>
      <c r="C4801">
        <v>0.812416087460615</v>
      </c>
      <c r="D4801">
        <v>0.68717124598898605</v>
      </c>
      <c r="E4801">
        <v>0.45219755049480698</v>
      </c>
      <c r="F4801">
        <v>0.27286606380930101</v>
      </c>
      <c r="G4801">
        <v>0.149960022376806</v>
      </c>
      <c r="H4801">
        <v>8.0270274986234305E-2</v>
      </c>
      <c r="I4801">
        <v>0.104980401624557</v>
      </c>
      <c r="J4801">
        <v>8.4894652343014701E-2</v>
      </c>
      <c r="K4801">
        <v>8.4984343856892297E-2</v>
      </c>
      <c r="L4801">
        <v>663.31546826488</v>
      </c>
      <c r="M4801">
        <v>13.755343176684701</v>
      </c>
      <c r="N4801">
        <v>48.675808613408599</v>
      </c>
      <c r="O4801">
        <v>47.237458757127499</v>
      </c>
      <c r="P4801">
        <v>-6.8431278666412201E-2</v>
      </c>
      <c r="Q4801">
        <v>6.0129156056430599E-2</v>
      </c>
      <c r="R4801">
        <v>0.99466793317320501</v>
      </c>
      <c r="S4801" t="s">
        <v>11471</v>
      </c>
      <c r="T4801" t="s">
        <v>13338</v>
      </c>
      <c r="U4801" t="s">
        <v>13338</v>
      </c>
      <c r="V4801" t="s">
        <v>13338</v>
      </c>
      <c r="W4801" t="s">
        <v>18083</v>
      </c>
      <c r="X4801">
        <v>9</v>
      </c>
      <c r="Y4801" t="s">
        <v>24584</v>
      </c>
      <c r="Z4801" t="s">
        <v>31216</v>
      </c>
      <c r="AA4801">
        <v>0.34600884058631221</v>
      </c>
      <c r="AB4801" t="str">
        <f>HYPERLINK("Melting_Curves/meltCurve_Q8WYQ7_LGALS9.pdf", "Melting_Curves/meltCurve_Q8WYQ7_LGALS9.pdf")</f>
        <v>Melting_Curves/meltCurve_Q8WYQ7_LGALS9.pdf</v>
      </c>
    </row>
    <row r="4802" spans="1:28" x14ac:dyDescent="0.25">
      <c r="A4802" t="s">
        <v>4806</v>
      </c>
      <c r="B4802">
        <v>0.99193492352474899</v>
      </c>
      <c r="C4802">
        <v>0.94429921466452904</v>
      </c>
      <c r="D4802">
        <v>0.63116001283670498</v>
      </c>
      <c r="E4802">
        <v>0.267349257784123</v>
      </c>
      <c r="F4802">
        <v>8.0763485186591905E-2</v>
      </c>
      <c r="G4802">
        <v>7.8000957832806195E-2</v>
      </c>
      <c r="H4802">
        <v>9.8144617909447299E-2</v>
      </c>
      <c r="I4802">
        <v>5.6282976465865601E-2</v>
      </c>
      <c r="J4802">
        <v>1.6523359936113799E-2</v>
      </c>
      <c r="K4802">
        <v>1.94614520349932E-2</v>
      </c>
      <c r="L4802">
        <v>1166.8856972850499</v>
      </c>
      <c r="M4802">
        <v>24.828662672352898</v>
      </c>
      <c r="N4802">
        <v>47.190278374574397</v>
      </c>
      <c r="O4802">
        <v>46.695852499047803</v>
      </c>
      <c r="P4802">
        <v>-0.126519456621594</v>
      </c>
      <c r="Q4802">
        <v>4.82210323507751E-2</v>
      </c>
      <c r="R4802">
        <v>0.99563726370130701</v>
      </c>
      <c r="S4802" t="s">
        <v>11472</v>
      </c>
      <c r="T4802" t="s">
        <v>13338</v>
      </c>
      <c r="U4802" t="s">
        <v>13338</v>
      </c>
      <c r="V4802" t="s">
        <v>13338</v>
      </c>
      <c r="W4802" t="s">
        <v>18084</v>
      </c>
      <c r="X4802">
        <v>2</v>
      </c>
      <c r="Y4802" t="s">
        <v>24585</v>
      </c>
      <c r="Z4802" t="s">
        <v>31217</v>
      </c>
      <c r="AA4802">
        <v>0.27885245136072501</v>
      </c>
      <c r="AB4802" t="str">
        <f>HYPERLINK("Melting_Curves/meltCurve_Q8WZ82_OVCA2.pdf", "Melting_Curves/meltCurve_Q8WZ82_OVCA2.pdf")</f>
        <v>Melting_Curves/meltCurve_Q8WZ82_OVCA2.pdf</v>
      </c>
    </row>
    <row r="4803" spans="1:28" x14ac:dyDescent="0.25">
      <c r="A4803" t="s">
        <v>4807</v>
      </c>
      <c r="B4803">
        <v>0.99193492352474899</v>
      </c>
      <c r="C4803">
        <v>0.66658894941438396</v>
      </c>
      <c r="D4803">
        <v>0.84497019920526995</v>
      </c>
      <c r="E4803">
        <v>0.54830593561029195</v>
      </c>
      <c r="F4803">
        <v>0.54608389606670904</v>
      </c>
      <c r="G4803">
        <v>0.397873432117822</v>
      </c>
      <c r="H4803">
        <v>0.26276848110804701</v>
      </c>
      <c r="I4803">
        <v>0.22320805933424301</v>
      </c>
      <c r="J4803">
        <v>0.269587427018672</v>
      </c>
      <c r="K4803">
        <v>0.394571325494389</v>
      </c>
      <c r="L4803">
        <v>464.08597998343498</v>
      </c>
      <c r="M4803">
        <v>9.4930449556052494</v>
      </c>
      <c r="N4803">
        <v>52.347241001557698</v>
      </c>
      <c r="O4803">
        <v>46.865020983655398</v>
      </c>
      <c r="P4803">
        <v>-3.8862084642736702E-2</v>
      </c>
      <c r="Q4803">
        <v>0.23304158454527801</v>
      </c>
      <c r="R4803">
        <v>0.86141096842412102</v>
      </c>
      <c r="S4803" t="s">
        <v>11473</v>
      </c>
      <c r="T4803" t="s">
        <v>13338</v>
      </c>
      <c r="U4803" t="s">
        <v>13338</v>
      </c>
      <c r="V4803" t="s">
        <v>13338</v>
      </c>
      <c r="W4803" t="s">
        <v>18085</v>
      </c>
      <c r="X4803">
        <v>11</v>
      </c>
      <c r="Y4803" t="s">
        <v>24586</v>
      </c>
      <c r="Z4803" t="s">
        <v>31218</v>
      </c>
      <c r="AA4803">
        <v>0.50108306851536777</v>
      </c>
      <c r="AB4803" t="str">
        <f>HYPERLINK("Melting_Curves/meltCurve_Q8WZA0_LZIC.pdf", "Melting_Curves/meltCurve_Q8WZA0_LZIC.pdf")</f>
        <v>Melting_Curves/meltCurve_Q8WZA0_LZIC.pdf</v>
      </c>
    </row>
    <row r="4804" spans="1:28" x14ac:dyDescent="0.25">
      <c r="A4804" t="s">
        <v>4808</v>
      </c>
      <c r="B4804">
        <v>0.99193492352474899</v>
      </c>
      <c r="C4804">
        <v>0.74360976986918004</v>
      </c>
      <c r="D4804">
        <v>0.94100759325362404</v>
      </c>
      <c r="E4804">
        <v>0.50212709195602701</v>
      </c>
      <c r="F4804">
        <v>0.123082881203332</v>
      </c>
      <c r="G4804">
        <v>8.2999521058974596E-2</v>
      </c>
      <c r="H4804">
        <v>5.0994445597058097E-2</v>
      </c>
      <c r="I4804">
        <v>6.1978109739929399E-2</v>
      </c>
      <c r="J4804">
        <v>6.2150224715276099E-2</v>
      </c>
      <c r="K4804">
        <v>6.9084045840484706E-2</v>
      </c>
      <c r="L4804">
        <v>1498.69404879831</v>
      </c>
      <c r="M4804">
        <v>30.3616028843843</v>
      </c>
      <c r="N4804">
        <v>49.558715093775298</v>
      </c>
      <c r="O4804">
        <v>49.148836714333399</v>
      </c>
      <c r="P4804">
        <v>-0.14564975127642801</v>
      </c>
      <c r="Q4804">
        <v>5.6904630955270701E-2</v>
      </c>
      <c r="R4804">
        <v>0.95461779843426098</v>
      </c>
      <c r="S4804" t="s">
        <v>11474</v>
      </c>
      <c r="T4804" t="s">
        <v>13338</v>
      </c>
      <c r="U4804" t="s">
        <v>13338</v>
      </c>
      <c r="V4804" t="s">
        <v>13338</v>
      </c>
      <c r="W4804" t="s">
        <v>18086</v>
      </c>
      <c r="X4804">
        <v>14</v>
      </c>
      <c r="Y4804" t="s">
        <v>24587</v>
      </c>
      <c r="Z4804" t="s">
        <v>31219</v>
      </c>
      <c r="AA4804">
        <v>0.35683270629015063</v>
      </c>
      <c r="AB4804" t="str">
        <f>HYPERLINK("Melting_Curves/meltCurve_Q8WZA9_IRGQ.pdf", "Melting_Curves/meltCurve_Q8WZA9_IRGQ.pdf")</f>
        <v>Melting_Curves/meltCurve_Q8WZA9_IRGQ.pdf</v>
      </c>
    </row>
    <row r="4805" spans="1:28" x14ac:dyDescent="0.25">
      <c r="A4805" t="s">
        <v>4809</v>
      </c>
      <c r="B4805">
        <v>0.99193492352474899</v>
      </c>
      <c r="C4805">
        <v>0.85987407463978904</v>
      </c>
      <c r="D4805">
        <v>1.0065002084678301</v>
      </c>
      <c r="E4805">
        <v>0.85422828303112397</v>
      </c>
      <c r="F4805">
        <v>0.76893564847209905</v>
      </c>
      <c r="G4805">
        <v>0.46861423997363699</v>
      </c>
      <c r="H4805">
        <v>0.50675292970074404</v>
      </c>
      <c r="I4805">
        <v>0.28255880696686603</v>
      </c>
      <c r="J4805">
        <v>0.20943833332624701</v>
      </c>
      <c r="K4805">
        <v>0.165175489772002</v>
      </c>
      <c r="L4805">
        <v>572.67902237271903</v>
      </c>
      <c r="M4805">
        <v>9.7818991234788903</v>
      </c>
      <c r="N4805">
        <v>58.544767251781003</v>
      </c>
      <c r="O4805">
        <v>56.255294998371497</v>
      </c>
      <c r="P4805">
        <v>-4.34940166562593E-2</v>
      </c>
      <c r="Q4805">
        <v>0</v>
      </c>
      <c r="R4805">
        <v>0.95706195598935795</v>
      </c>
      <c r="S4805" t="s">
        <v>11475</v>
      </c>
      <c r="T4805" t="s">
        <v>13338</v>
      </c>
      <c r="U4805" t="s">
        <v>13338</v>
      </c>
      <c r="V4805" t="s">
        <v>13338</v>
      </c>
      <c r="W4805" t="s">
        <v>18087</v>
      </c>
      <c r="X4805">
        <v>6</v>
      </c>
      <c r="Y4805" t="s">
        <v>24588</v>
      </c>
      <c r="Z4805" t="s">
        <v>31220</v>
      </c>
      <c r="AA4805">
        <v>0.62397079968313274</v>
      </c>
      <c r="AB4805" t="str">
        <f>HYPERLINK("Melting_Curves/meltCurve_Q92466_DDB2.pdf", "Melting_Curves/meltCurve_Q92466_DDB2.pdf")</f>
        <v>Melting_Curves/meltCurve_Q92466_DDB2.pdf</v>
      </c>
    </row>
    <row r="4806" spans="1:28" x14ac:dyDescent="0.25">
      <c r="A4806" t="s">
        <v>4810</v>
      </c>
      <c r="B4806">
        <v>0.99193492352474899</v>
      </c>
      <c r="C4806">
        <v>8.5645463243020595E-2</v>
      </c>
      <c r="D4806">
        <v>4.82357547219937E-2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4250.9816414982797</v>
      </c>
      <c r="M4806">
        <v>101.52948945037799</v>
      </c>
      <c r="N4806">
        <v>41.874410368277402</v>
      </c>
      <c r="O4806">
        <v>41.853191472951202</v>
      </c>
      <c r="P4806">
        <v>-0.60282216987905801</v>
      </c>
      <c r="Q4806">
        <v>6.0018794824525596E-3</v>
      </c>
      <c r="R4806">
        <v>0.99766174084630599</v>
      </c>
      <c r="S4806" t="s">
        <v>11476</v>
      </c>
      <c r="T4806" t="s">
        <v>13338</v>
      </c>
      <c r="U4806" t="s">
        <v>13338</v>
      </c>
      <c r="V4806" t="s">
        <v>13338</v>
      </c>
      <c r="W4806" t="s">
        <v>18088</v>
      </c>
      <c r="X4806">
        <v>1</v>
      </c>
      <c r="Y4806" t="s">
        <v>24589</v>
      </c>
      <c r="Z4806" t="s">
        <v>31221</v>
      </c>
      <c r="AA4806">
        <v>6.8491462895715047E-2</v>
      </c>
      <c r="AB4806" t="str">
        <f>HYPERLINK("Melting_Curves/meltCurve_Q92482_2_AQP3.pdf", "Melting_Curves/meltCurve_Q92482_2_AQP3.pdf")</f>
        <v>Melting_Curves/meltCurve_Q92482_2_AQP3.pdf</v>
      </c>
    </row>
    <row r="4807" spans="1:28" x14ac:dyDescent="0.25">
      <c r="A4807" t="s">
        <v>4811</v>
      </c>
      <c r="B4807">
        <v>0.99193492352474899</v>
      </c>
      <c r="C4807">
        <v>0.66480380998404198</v>
      </c>
      <c r="D4807">
        <v>0.93772076171873797</v>
      </c>
      <c r="E4807">
        <v>0.54770026123442195</v>
      </c>
      <c r="F4807">
        <v>0.15901489042568301</v>
      </c>
      <c r="G4807">
        <v>9.05756723529548E-2</v>
      </c>
      <c r="H4807">
        <v>5.0733290637216703E-2</v>
      </c>
      <c r="I4807">
        <v>5.6155802595244601E-2</v>
      </c>
      <c r="J4807">
        <v>5.9508268768218797E-2</v>
      </c>
      <c r="K4807">
        <v>5.6811763294840202E-2</v>
      </c>
      <c r="L4807">
        <v>1088.2723324573101</v>
      </c>
      <c r="M4807">
        <v>21.947453880740301</v>
      </c>
      <c r="N4807">
        <v>49.775769819159201</v>
      </c>
      <c r="O4807">
        <v>49.179222857582801</v>
      </c>
      <c r="P4807">
        <v>-0.107078856877829</v>
      </c>
      <c r="Q4807">
        <v>4.0265089537935297E-2</v>
      </c>
      <c r="R4807">
        <v>0.92199186869580396</v>
      </c>
      <c r="S4807" t="s">
        <v>11477</v>
      </c>
      <c r="T4807" t="s">
        <v>13338</v>
      </c>
      <c r="U4807" t="s">
        <v>13338</v>
      </c>
      <c r="V4807" t="s">
        <v>13338</v>
      </c>
      <c r="W4807" t="s">
        <v>18089</v>
      </c>
      <c r="X4807">
        <v>34</v>
      </c>
      <c r="Y4807" t="s">
        <v>24590</v>
      </c>
      <c r="Z4807" t="s">
        <v>31222</v>
      </c>
      <c r="AA4807">
        <v>0.35802947193560092</v>
      </c>
      <c r="AB4807" t="str">
        <f>HYPERLINK("Melting_Curves/meltCurve_Q92499_DDX1.pdf", "Melting_Curves/meltCurve_Q92499_DDX1.pdf")</f>
        <v>Melting_Curves/meltCurve_Q92499_DDX1.pdf</v>
      </c>
    </row>
    <row r="4808" spans="1:28" x14ac:dyDescent="0.25">
      <c r="A4808" t="s">
        <v>4812</v>
      </c>
      <c r="B4808">
        <v>0.99193492352474899</v>
      </c>
      <c r="C4808">
        <v>0.90720211677139595</v>
      </c>
      <c r="D4808">
        <v>0.70423564910233205</v>
      </c>
      <c r="E4808">
        <v>0.308955089841148</v>
      </c>
      <c r="F4808">
        <v>0.23305373800762499</v>
      </c>
      <c r="G4808">
        <v>0.117076284489225</v>
      </c>
      <c r="H4808">
        <v>6.4523925948005295E-2</v>
      </c>
      <c r="I4808">
        <v>0.10944291563675899</v>
      </c>
      <c r="J4808">
        <v>8.6818762242511699E-2</v>
      </c>
      <c r="K4808">
        <v>7.5238321232992594E-2</v>
      </c>
      <c r="L4808">
        <v>989.52933317842496</v>
      </c>
      <c r="M4808">
        <v>20.8565229780815</v>
      </c>
      <c r="N4808">
        <v>47.886744763520397</v>
      </c>
      <c r="O4808">
        <v>47.014877477002699</v>
      </c>
      <c r="P4808">
        <v>-0.101193578665262</v>
      </c>
      <c r="Q4808">
        <v>8.7580649600754998E-2</v>
      </c>
      <c r="R4808">
        <v>0.99409052688474098</v>
      </c>
      <c r="S4808" t="s">
        <v>11478</v>
      </c>
      <c r="T4808" t="s">
        <v>13338</v>
      </c>
      <c r="U4808" t="s">
        <v>13338</v>
      </c>
      <c r="V4808" t="s">
        <v>13338</v>
      </c>
      <c r="W4808" t="s">
        <v>18090</v>
      </c>
      <c r="X4808">
        <v>3</v>
      </c>
      <c r="Y4808" t="s">
        <v>24591</v>
      </c>
      <c r="Z4808" t="s">
        <v>31223</v>
      </c>
      <c r="AA4808">
        <v>0.32600479608059379</v>
      </c>
      <c r="AB4808" t="str">
        <f>HYPERLINK("Melting_Curves/meltCurve_Q92503_3_SEC14L1.pdf", "Melting_Curves/meltCurve_Q92503_3_SEC14L1.pdf")</f>
        <v>Melting_Curves/meltCurve_Q92503_3_SEC14L1.pdf</v>
      </c>
    </row>
    <row r="4809" spans="1:28" x14ac:dyDescent="0.25">
      <c r="A4809" t="s">
        <v>4813</v>
      </c>
      <c r="B4809">
        <v>0.99193492352474899</v>
      </c>
      <c r="C4809">
        <v>1.1568097267160899</v>
      </c>
      <c r="D4809">
        <v>1.0280149116882</v>
      </c>
      <c r="E4809">
        <v>0.743831902977796</v>
      </c>
      <c r="F4809">
        <v>0.67109212588147804</v>
      </c>
      <c r="G4809">
        <v>0.62793933536933799</v>
      </c>
      <c r="H4809">
        <v>0.39923105214844801</v>
      </c>
      <c r="I4809">
        <v>0.720424317895491</v>
      </c>
      <c r="J4809">
        <v>0.808826672358957</v>
      </c>
      <c r="K4809">
        <v>1.0065978383572101</v>
      </c>
      <c r="L4809">
        <v>12305.5420081504</v>
      </c>
      <c r="M4809">
        <v>250</v>
      </c>
      <c r="O4809">
        <v>49.219018325490303</v>
      </c>
      <c r="P4809">
        <v>-0.37373101468742598</v>
      </c>
      <c r="Q4809">
        <v>0.70568522288084401</v>
      </c>
      <c r="R4809">
        <v>0.51780620945244904</v>
      </c>
      <c r="S4809" t="s">
        <v>11479</v>
      </c>
      <c r="T4809" t="s">
        <v>13338</v>
      </c>
      <c r="U4809" t="s">
        <v>13338</v>
      </c>
      <c r="V4809" t="s">
        <v>13338</v>
      </c>
      <c r="W4809" t="s">
        <v>18091</v>
      </c>
      <c r="X4809">
        <v>1</v>
      </c>
      <c r="Y4809" t="s">
        <v>24592</v>
      </c>
      <c r="Z4809" t="s">
        <v>31224</v>
      </c>
      <c r="AA4809">
        <v>0.79618465797842897</v>
      </c>
      <c r="AB4809" t="str">
        <f>HYPERLINK("Melting_Curves/meltCurve_Q92504_SLC39A7.pdf", "Melting_Curves/meltCurve_Q92504_SLC39A7.pdf")</f>
        <v>Melting_Curves/meltCurve_Q92504_SLC39A7.pdf</v>
      </c>
    </row>
    <row r="4810" spans="1:28" x14ac:dyDescent="0.25">
      <c r="A4810" t="s">
        <v>4814</v>
      </c>
      <c r="B4810">
        <v>0.99193492352474899</v>
      </c>
      <c r="C4810">
        <v>1.0010365988602401</v>
      </c>
      <c r="D4810">
        <v>0.92641751787133597</v>
      </c>
      <c r="E4810">
        <v>0.90305281882018495</v>
      </c>
      <c r="F4810">
        <v>0.79859702862169601</v>
      </c>
      <c r="G4810">
        <v>0.67160641996776205</v>
      </c>
      <c r="H4810">
        <v>0.51840498427742299</v>
      </c>
      <c r="I4810">
        <v>0.52278694366907796</v>
      </c>
      <c r="J4810">
        <v>0.44285336148488502</v>
      </c>
      <c r="K4810">
        <v>0.37098792058399199</v>
      </c>
      <c r="L4810">
        <v>597.27635548677495</v>
      </c>
      <c r="M4810">
        <v>10.3608980417312</v>
      </c>
      <c r="N4810">
        <v>63.1130914662875</v>
      </c>
      <c r="O4810">
        <v>55.623651186457302</v>
      </c>
      <c r="P4810">
        <v>-3.2789264699637298E-2</v>
      </c>
      <c r="Q4810">
        <v>0.29616741389741702</v>
      </c>
      <c r="R4810">
        <v>0.99002402290275604</v>
      </c>
      <c r="S4810" t="s">
        <v>11480</v>
      </c>
      <c r="T4810" t="s">
        <v>13338</v>
      </c>
      <c r="U4810" t="s">
        <v>13338</v>
      </c>
      <c r="V4810" t="s">
        <v>13338</v>
      </c>
      <c r="W4810" t="s">
        <v>18092</v>
      </c>
      <c r="X4810">
        <v>6</v>
      </c>
      <c r="Y4810" t="s">
        <v>24593</v>
      </c>
      <c r="Z4810" t="s">
        <v>31225</v>
      </c>
      <c r="AA4810">
        <v>0.71909139550642998</v>
      </c>
      <c r="AB4810" t="str">
        <f>HYPERLINK("Melting_Curves/meltCurve_Q92506_HSD17B8.pdf", "Melting_Curves/meltCurve_Q92506_HSD17B8.pdf")</f>
        <v>Melting_Curves/meltCurve_Q92506_HSD17B8.pdf</v>
      </c>
    </row>
    <row r="4811" spans="1:28" x14ac:dyDescent="0.25">
      <c r="A4811" t="s">
        <v>4815</v>
      </c>
      <c r="B4811">
        <v>0.99193492352474899</v>
      </c>
      <c r="C4811">
        <v>0.90661660041908998</v>
      </c>
      <c r="D4811">
        <v>0.70159543105466604</v>
      </c>
      <c r="E4811">
        <v>0.59808976144110704</v>
      </c>
      <c r="F4811">
        <v>0.643380197627751</v>
      </c>
      <c r="G4811">
        <v>0.54211630051485205</v>
      </c>
      <c r="H4811">
        <v>0.30633897856766801</v>
      </c>
      <c r="I4811">
        <v>0.20237125935302899</v>
      </c>
      <c r="J4811">
        <v>0.17708467447887799</v>
      </c>
      <c r="K4811">
        <v>0.18315255622009999</v>
      </c>
      <c r="L4811">
        <v>393.05417593467001</v>
      </c>
      <c r="M4811">
        <v>7.1734865290208401</v>
      </c>
      <c r="N4811">
        <v>54.792627561791598</v>
      </c>
      <c r="O4811">
        <v>51.014206055925698</v>
      </c>
      <c r="P4811">
        <v>-3.5213931756586103E-2</v>
      </c>
      <c r="Q4811">
        <v>0</v>
      </c>
      <c r="R4811">
        <v>0.94468345855784097</v>
      </c>
      <c r="S4811" t="s">
        <v>11481</v>
      </c>
      <c r="T4811" t="s">
        <v>13338</v>
      </c>
      <c r="U4811" t="s">
        <v>13338</v>
      </c>
      <c r="V4811" t="s">
        <v>13338</v>
      </c>
      <c r="W4811" t="s">
        <v>18093</v>
      </c>
      <c r="X4811">
        <v>2</v>
      </c>
      <c r="Y4811" t="s">
        <v>24594</v>
      </c>
      <c r="Z4811" t="s">
        <v>31226</v>
      </c>
      <c r="AA4811">
        <v>0.52195479947314249</v>
      </c>
      <c r="AB4811" t="str">
        <f>HYPERLINK("Melting_Curves/meltCurve_Q92508_PIEZO1.pdf", "Melting_Curves/meltCurve_Q92508_PIEZO1.pdf")</f>
        <v>Melting_Curves/meltCurve_Q92508_PIEZO1.pdf</v>
      </c>
    </row>
    <row r="4812" spans="1:28" x14ac:dyDescent="0.25">
      <c r="A4812" t="s">
        <v>4816</v>
      </c>
      <c r="B4812">
        <v>0.99193492352474899</v>
      </c>
      <c r="C4812">
        <v>0.89700194448967896</v>
      </c>
      <c r="D4812">
        <v>0.87143642292635004</v>
      </c>
      <c r="E4812">
        <v>0.71217509002071699</v>
      </c>
      <c r="F4812">
        <v>0.32247334163234997</v>
      </c>
      <c r="G4812">
        <v>0.15033454266648499</v>
      </c>
      <c r="H4812">
        <v>0.11383612253350001</v>
      </c>
      <c r="I4812">
        <v>0.115131881736147</v>
      </c>
      <c r="J4812">
        <v>0.14176941411513999</v>
      </c>
      <c r="K4812">
        <v>0.141926829192385</v>
      </c>
      <c r="L4812">
        <v>1161.7403317329099</v>
      </c>
      <c r="M4812">
        <v>22.918938845771301</v>
      </c>
      <c r="N4812">
        <v>51.262338852173002</v>
      </c>
      <c r="O4812">
        <v>50.307947727379101</v>
      </c>
      <c r="P4812">
        <v>-0.10102064309938801</v>
      </c>
      <c r="Q4812">
        <v>0.113040480089891</v>
      </c>
      <c r="R4812">
        <v>0.98751760561705104</v>
      </c>
      <c r="S4812" t="s">
        <v>11482</v>
      </c>
      <c r="T4812" t="s">
        <v>13338</v>
      </c>
      <c r="U4812" t="s">
        <v>13338</v>
      </c>
      <c r="V4812" t="s">
        <v>13338</v>
      </c>
      <c r="W4812" t="s">
        <v>18094</v>
      </c>
      <c r="X4812">
        <v>11</v>
      </c>
      <c r="Y4812" t="s">
        <v>24595</v>
      </c>
      <c r="Z4812" t="s">
        <v>31227</v>
      </c>
      <c r="AA4812">
        <v>0.4385428834040373</v>
      </c>
      <c r="AB4812" t="str">
        <f>HYPERLINK("Melting_Curves/meltCurve_Q92520_FAM3C.pdf", "Melting_Curves/meltCurve_Q92520_FAM3C.pdf")</f>
        <v>Melting_Curves/meltCurve_Q92520_FAM3C.pdf</v>
      </c>
    </row>
    <row r="4813" spans="1:28" x14ac:dyDescent="0.25">
      <c r="A4813" t="s">
        <v>4817</v>
      </c>
      <c r="B4813">
        <v>0.99193492352474899</v>
      </c>
      <c r="C4813">
        <v>0.80202717083277797</v>
      </c>
      <c r="D4813">
        <v>0.97499040415258198</v>
      </c>
      <c r="E4813">
        <v>1.03663313724714</v>
      </c>
      <c r="F4813">
        <v>0.88978105878353198</v>
      </c>
      <c r="G4813">
        <v>0.60501144978076504</v>
      </c>
      <c r="H4813">
        <v>0.24132834044655799</v>
      </c>
      <c r="I4813">
        <v>0.201976668637873</v>
      </c>
      <c r="J4813">
        <v>0.21775412169456901</v>
      </c>
      <c r="K4813">
        <v>0.27339462620912303</v>
      </c>
      <c r="L4813">
        <v>2069.9819974352499</v>
      </c>
      <c r="M4813">
        <v>36.584476738331396</v>
      </c>
      <c r="N4813">
        <v>57.484749084024003</v>
      </c>
      <c r="O4813">
        <v>56.412623440741001</v>
      </c>
      <c r="P4813">
        <v>-0.12666881108817099</v>
      </c>
      <c r="Q4813">
        <v>0.218717942503451</v>
      </c>
      <c r="R4813">
        <v>0.95747722726123097</v>
      </c>
      <c r="S4813" t="s">
        <v>11483</v>
      </c>
      <c r="T4813" t="s">
        <v>13338</v>
      </c>
      <c r="U4813" t="s">
        <v>13338</v>
      </c>
      <c r="V4813" t="s">
        <v>13338</v>
      </c>
      <c r="W4813" t="s">
        <v>18095</v>
      </c>
      <c r="X4813">
        <v>3</v>
      </c>
      <c r="Y4813" t="s">
        <v>24596</v>
      </c>
      <c r="Z4813" t="s">
        <v>31228</v>
      </c>
      <c r="AA4813">
        <v>0.65413009431587654</v>
      </c>
      <c r="AB4813" t="str">
        <f>HYPERLINK("Melting_Curves/meltCurve_Q92522_H1FX.pdf", "Melting_Curves/meltCurve_Q92522_H1FX.pdf")</f>
        <v>Melting_Curves/meltCurve_Q92522_H1FX.pdf</v>
      </c>
    </row>
    <row r="4814" spans="1:28" x14ac:dyDescent="0.25">
      <c r="A4814" t="s">
        <v>4818</v>
      </c>
      <c r="B4814">
        <v>0.99193492352474899</v>
      </c>
      <c r="C4814">
        <v>1.10910175481914</v>
      </c>
      <c r="D4814">
        <v>0.93862371129308497</v>
      </c>
      <c r="E4814">
        <v>0.71456873690577505</v>
      </c>
      <c r="F4814">
        <v>0.34594038140009398</v>
      </c>
      <c r="G4814">
        <v>0.158138080255945</v>
      </c>
      <c r="H4814">
        <v>8.8457911595770197E-2</v>
      </c>
      <c r="I4814">
        <v>9.2220629852635502E-2</v>
      </c>
      <c r="J4814">
        <v>9.8910558320471395E-2</v>
      </c>
      <c r="K4814">
        <v>0.107697152923955</v>
      </c>
      <c r="L4814">
        <v>1325.35874118021</v>
      </c>
      <c r="M4814">
        <v>25.906552511882701</v>
      </c>
      <c r="N4814">
        <v>51.566672673405101</v>
      </c>
      <c r="O4814">
        <v>50.857298809808597</v>
      </c>
      <c r="P4814">
        <v>-0.115563610743106</v>
      </c>
      <c r="Q4814">
        <v>9.2556300317014395E-2</v>
      </c>
      <c r="R4814">
        <v>0.99124889555783002</v>
      </c>
      <c r="S4814" t="s">
        <v>11484</v>
      </c>
      <c r="T4814" t="s">
        <v>13338</v>
      </c>
      <c r="U4814" t="s">
        <v>13338</v>
      </c>
      <c r="V4814" t="s">
        <v>13338</v>
      </c>
      <c r="W4814" t="s">
        <v>18096</v>
      </c>
      <c r="X4814">
        <v>9</v>
      </c>
      <c r="Y4814" t="s">
        <v>24597</v>
      </c>
      <c r="Z4814" t="s">
        <v>31229</v>
      </c>
      <c r="AA4814">
        <v>0.4377580120560739</v>
      </c>
      <c r="AB4814" t="str">
        <f>HYPERLINK("Melting_Curves/meltCurve_Q92526_CCT6B.pdf", "Melting_Curves/meltCurve_Q92526_CCT6B.pdf")</f>
        <v>Melting_Curves/meltCurve_Q92526_CCT6B.pdf</v>
      </c>
    </row>
    <row r="4815" spans="1:28" x14ac:dyDescent="0.25">
      <c r="A4815" t="s">
        <v>4819</v>
      </c>
      <c r="B4815">
        <v>0.99193492352474899</v>
      </c>
      <c r="C4815">
        <v>1.1455398026901</v>
      </c>
      <c r="D4815">
        <v>1.1640758253563599</v>
      </c>
      <c r="E4815">
        <v>1.00549837167397</v>
      </c>
      <c r="F4815">
        <v>0.72040964861073797</v>
      </c>
      <c r="G4815">
        <v>0.53261949284767396</v>
      </c>
      <c r="H4815">
        <v>0.3639672227038</v>
      </c>
      <c r="I4815">
        <v>0.29463314011939501</v>
      </c>
      <c r="J4815">
        <v>0.395741984386551</v>
      </c>
      <c r="K4815">
        <v>0.22562799940769601</v>
      </c>
      <c r="L4815">
        <v>1393.0201908777201</v>
      </c>
      <c r="M4815">
        <v>25.451799335251199</v>
      </c>
      <c r="N4815">
        <v>56.813138250963597</v>
      </c>
      <c r="O4815">
        <v>54.397178429905701</v>
      </c>
      <c r="P4815">
        <v>-8.1506136321816094E-2</v>
      </c>
      <c r="Q4815">
        <v>0.30320867233006799</v>
      </c>
      <c r="R4815">
        <v>0.94113858835206099</v>
      </c>
      <c r="S4815" t="s">
        <v>11485</v>
      </c>
      <c r="T4815" t="s">
        <v>13338</v>
      </c>
      <c r="U4815" t="s">
        <v>13338</v>
      </c>
      <c r="V4815" t="s">
        <v>13338</v>
      </c>
      <c r="W4815" t="s">
        <v>18097</v>
      </c>
      <c r="X4815">
        <v>2</v>
      </c>
      <c r="Y4815" t="s">
        <v>24598</v>
      </c>
      <c r="Z4815" t="s">
        <v>31230</v>
      </c>
      <c r="AA4815">
        <v>0.65162131717813332</v>
      </c>
      <c r="AB4815" t="str">
        <f>HYPERLINK("Melting_Curves/meltCurve_Q92536_SLC7A6.pdf", "Melting_Curves/meltCurve_Q92536_SLC7A6.pdf")</f>
        <v>Melting_Curves/meltCurve_Q92536_SLC7A6.pdf</v>
      </c>
    </row>
    <row r="4816" spans="1:28" x14ac:dyDescent="0.25">
      <c r="A4816" t="s">
        <v>4820</v>
      </c>
      <c r="B4816">
        <v>0.99193492352474899</v>
      </c>
      <c r="C4816">
        <v>0.94512877453885102</v>
      </c>
      <c r="D4816">
        <v>0.76930887475047804</v>
      </c>
      <c r="E4816">
        <v>0.28800193926765799</v>
      </c>
      <c r="F4816">
        <v>0.168832516342205</v>
      </c>
      <c r="G4816">
        <v>0.109797678918215</v>
      </c>
      <c r="H4816">
        <v>6.2002979327002702E-2</v>
      </c>
      <c r="I4816">
        <v>7.7972483175144797E-2</v>
      </c>
      <c r="J4816">
        <v>8.28428793765284E-2</v>
      </c>
      <c r="K4816">
        <v>8.4433677439277002E-2</v>
      </c>
      <c r="L4816">
        <v>1342.54593409176</v>
      </c>
      <c r="M4816">
        <v>28.185370605472698</v>
      </c>
      <c r="N4816">
        <v>47.951093550213898</v>
      </c>
      <c r="O4816">
        <v>47.3948933939512</v>
      </c>
      <c r="P4816">
        <v>-0.13598698175160201</v>
      </c>
      <c r="Q4816">
        <v>8.5336478744807195E-2</v>
      </c>
      <c r="R4816">
        <v>0.99745752842058</v>
      </c>
      <c r="S4816" t="s">
        <v>11486</v>
      </c>
      <c r="T4816" t="s">
        <v>13338</v>
      </c>
      <c r="U4816" t="s">
        <v>13338</v>
      </c>
      <c r="V4816" t="s">
        <v>13338</v>
      </c>
      <c r="W4816" t="s">
        <v>18098</v>
      </c>
      <c r="X4816">
        <v>25</v>
      </c>
      <c r="Y4816" t="s">
        <v>24599</v>
      </c>
      <c r="Z4816" t="s">
        <v>31231</v>
      </c>
      <c r="AA4816">
        <v>0.32431492478474749</v>
      </c>
      <c r="AB4816" t="str">
        <f>HYPERLINK("Melting_Curves/meltCurve_Q92538_GBF1.pdf", "Melting_Curves/meltCurve_Q92538_GBF1.pdf")</f>
        <v>Melting_Curves/meltCurve_Q92538_GBF1.pdf</v>
      </c>
    </row>
    <row r="4817" spans="1:28" x14ac:dyDescent="0.25">
      <c r="A4817" t="s">
        <v>4821</v>
      </c>
      <c r="B4817">
        <v>0.99193492352474899</v>
      </c>
      <c r="C4817">
        <v>0.97474128630532597</v>
      </c>
      <c r="D4817">
        <v>0.93214108349854496</v>
      </c>
      <c r="E4817">
        <v>0.68102245980026999</v>
      </c>
      <c r="F4817">
        <v>0.235497930075591</v>
      </c>
      <c r="G4817">
        <v>0.13146301457148499</v>
      </c>
      <c r="H4817">
        <v>8.7533228466710897E-2</v>
      </c>
      <c r="I4817">
        <v>0.11573702739300799</v>
      </c>
      <c r="J4817">
        <v>0.13845623410528299</v>
      </c>
      <c r="K4817">
        <v>0.15203958339125401</v>
      </c>
      <c r="L4817">
        <v>1695.97761877055</v>
      </c>
      <c r="M4817">
        <v>33.682605471978903</v>
      </c>
      <c r="N4817">
        <v>50.764081738178099</v>
      </c>
      <c r="O4817">
        <v>50.175239171985801</v>
      </c>
      <c r="P4817">
        <v>-0.147740017053405</v>
      </c>
      <c r="Q4817">
        <v>0.11968080589810801</v>
      </c>
      <c r="R4817">
        <v>0.99682911157114196</v>
      </c>
      <c r="S4817" t="s">
        <v>11487</v>
      </c>
      <c r="T4817" t="s">
        <v>13338</v>
      </c>
      <c r="U4817" t="s">
        <v>13338</v>
      </c>
      <c r="V4817" t="s">
        <v>13338</v>
      </c>
      <c r="W4817" t="s">
        <v>18099</v>
      </c>
      <c r="X4817">
        <v>32</v>
      </c>
      <c r="Y4817" t="s">
        <v>24600</v>
      </c>
      <c r="Z4817" t="s">
        <v>31232</v>
      </c>
      <c r="AA4817">
        <v>0.42777709501745759</v>
      </c>
      <c r="AB4817" t="str">
        <f>HYPERLINK("Melting_Curves/meltCurve_Q92541_RTF1.pdf", "Melting_Curves/meltCurve_Q92541_RTF1.pdf")</f>
        <v>Melting_Curves/meltCurve_Q92541_RTF1.pdf</v>
      </c>
    </row>
    <row r="4818" spans="1:28" x14ac:dyDescent="0.25">
      <c r="A4818" t="s">
        <v>4822</v>
      </c>
      <c r="B4818">
        <v>0.99193492352474899</v>
      </c>
      <c r="C4818">
        <v>1.0033920058068699</v>
      </c>
      <c r="D4818">
        <v>0.92719294943478803</v>
      </c>
      <c r="E4818">
        <v>0.58393589547517399</v>
      </c>
      <c r="F4818">
        <v>0.18156681766064001</v>
      </c>
      <c r="G4818">
        <v>0.107932950349851</v>
      </c>
      <c r="H4818">
        <v>5.53369941774473E-2</v>
      </c>
      <c r="I4818">
        <v>5.4276316885988697E-2</v>
      </c>
      <c r="J4818">
        <v>5.5762559442197802E-2</v>
      </c>
      <c r="K4818">
        <v>5.4278433785085699E-2</v>
      </c>
      <c r="L4818">
        <v>1473.9707959869199</v>
      </c>
      <c r="M4818">
        <v>29.4964657314882</v>
      </c>
      <c r="N4818">
        <v>50.177635023324797</v>
      </c>
      <c r="O4818">
        <v>49.7430947658032</v>
      </c>
      <c r="P4818">
        <v>-0.139770633147588</v>
      </c>
      <c r="Q4818">
        <v>5.7164811629718697E-2</v>
      </c>
      <c r="R4818">
        <v>0.999401221682781</v>
      </c>
      <c r="S4818" t="s">
        <v>11488</v>
      </c>
      <c r="T4818" t="s">
        <v>13338</v>
      </c>
      <c r="U4818" t="s">
        <v>13338</v>
      </c>
      <c r="V4818" t="s">
        <v>13338</v>
      </c>
      <c r="W4818" t="s">
        <v>18100</v>
      </c>
      <c r="X4818">
        <v>16</v>
      </c>
      <c r="Y4818" t="s">
        <v>24601</v>
      </c>
      <c r="Z4818" t="s">
        <v>31233</v>
      </c>
      <c r="AA4818">
        <v>0.37656692510877959</v>
      </c>
      <c r="AB4818" t="str">
        <f>HYPERLINK("Melting_Curves/meltCurve_Q92544_TM9SF4.pdf", "Melting_Curves/meltCurve_Q92544_TM9SF4.pdf")</f>
        <v>Melting_Curves/meltCurve_Q92544_TM9SF4.pdf</v>
      </c>
    </row>
    <row r="4819" spans="1:28" x14ac:dyDescent="0.25">
      <c r="A4819" t="s">
        <v>4823</v>
      </c>
      <c r="B4819">
        <v>0.99193492352474899</v>
      </c>
      <c r="C4819">
        <v>1.3089558033545801</v>
      </c>
      <c r="D4819">
        <v>0.81648479941238905</v>
      </c>
      <c r="E4819">
        <v>0.84534792606947895</v>
      </c>
      <c r="F4819">
        <v>0.189006393603117</v>
      </c>
      <c r="G4819">
        <v>0.14740792154018301</v>
      </c>
      <c r="H4819">
        <v>7.3785074893199201E-2</v>
      </c>
      <c r="I4819">
        <v>6.4487182086145498E-2</v>
      </c>
      <c r="J4819">
        <v>9.8796711428972894E-2</v>
      </c>
      <c r="K4819">
        <v>8.9548950810607694E-2</v>
      </c>
      <c r="L4819">
        <v>2546.2324153895302</v>
      </c>
      <c r="M4819">
        <v>49.839862523005401</v>
      </c>
      <c r="N4819">
        <v>51.296271561142497</v>
      </c>
      <c r="O4819">
        <v>51.006224027936902</v>
      </c>
      <c r="P4819">
        <v>-0.22193301115164299</v>
      </c>
      <c r="Q4819">
        <v>9.1493871725970705E-2</v>
      </c>
      <c r="R4819">
        <v>0.93486080542902505</v>
      </c>
      <c r="S4819" t="s">
        <v>11489</v>
      </c>
      <c r="T4819" t="s">
        <v>13338</v>
      </c>
      <c r="U4819" t="s">
        <v>13338</v>
      </c>
      <c r="V4819" t="s">
        <v>13338</v>
      </c>
      <c r="W4819" t="s">
        <v>18101</v>
      </c>
      <c r="X4819">
        <v>2</v>
      </c>
      <c r="Y4819" t="s">
        <v>24602</v>
      </c>
      <c r="Z4819" t="s">
        <v>31234</v>
      </c>
      <c r="AA4819">
        <v>0.42934647669579529</v>
      </c>
      <c r="AB4819" t="str">
        <f>HYPERLINK("Melting_Curves/meltCurve_Q92546_RGP1.pdf", "Melting_Curves/meltCurve_Q92546_RGP1.pdf")</f>
        <v>Melting_Curves/meltCurve_Q92546_RGP1.pdf</v>
      </c>
    </row>
    <row r="4820" spans="1:28" x14ac:dyDescent="0.25">
      <c r="A4820" t="s">
        <v>4824</v>
      </c>
      <c r="B4820">
        <v>0.99193492352474899</v>
      </c>
      <c r="C4820">
        <v>0.50678116847485399</v>
      </c>
      <c r="D4820">
        <v>0.51375870991629002</v>
      </c>
      <c r="E4820">
        <v>0.26329453704066103</v>
      </c>
      <c r="F4820">
        <v>0.229584318636158</v>
      </c>
      <c r="G4820">
        <v>0.11559271958518701</v>
      </c>
      <c r="H4820">
        <v>6.3331578074464503E-2</v>
      </c>
      <c r="I4820">
        <v>7.1441847094935507E-2</v>
      </c>
      <c r="J4820">
        <v>9.3928391424421498E-2</v>
      </c>
      <c r="K4820">
        <v>0.106652305028479</v>
      </c>
      <c r="L4820">
        <v>617.93532632761105</v>
      </c>
      <c r="M4820">
        <v>13.8267532038477</v>
      </c>
      <c r="N4820">
        <v>45.271227934585298</v>
      </c>
      <c r="O4820">
        <v>43.787566658911103</v>
      </c>
      <c r="P4820">
        <v>-7.2545084445239993E-2</v>
      </c>
      <c r="Q4820">
        <v>8.1163471052836805E-2</v>
      </c>
      <c r="R4820">
        <v>0.92820943042939297</v>
      </c>
      <c r="S4820" t="s">
        <v>11490</v>
      </c>
      <c r="T4820" t="s">
        <v>13338</v>
      </c>
      <c r="U4820" t="s">
        <v>13338</v>
      </c>
      <c r="V4820" t="s">
        <v>13338</v>
      </c>
      <c r="W4820" t="s">
        <v>18102</v>
      </c>
      <c r="X4820">
        <v>6</v>
      </c>
      <c r="Y4820" t="s">
        <v>24603</v>
      </c>
      <c r="Z4820" t="s">
        <v>31235</v>
      </c>
      <c r="AA4820">
        <v>0.26093498326665898</v>
      </c>
      <c r="AB4820" t="str">
        <f>HYPERLINK("Melting_Curves/meltCurve_Q92547_TOPBP1.pdf", "Melting_Curves/meltCurve_Q92547_TOPBP1.pdf")</f>
        <v>Melting_Curves/meltCurve_Q92547_TOPBP1.pdf</v>
      </c>
    </row>
    <row r="4821" spans="1:28" x14ac:dyDescent="0.25">
      <c r="A4821" t="s">
        <v>4825</v>
      </c>
      <c r="B4821">
        <v>0.99193492352474899</v>
      </c>
      <c r="C4821">
        <v>0.92722123757167096</v>
      </c>
      <c r="D4821">
        <v>0.63069772525623002</v>
      </c>
      <c r="E4821">
        <v>0.28906594360443999</v>
      </c>
      <c r="F4821">
        <v>7.7325274438107799E-2</v>
      </c>
      <c r="G4821">
        <v>4.1932853930222697E-2</v>
      </c>
      <c r="H4821">
        <v>2.3533763182353399E-2</v>
      </c>
      <c r="I4821">
        <v>5.2539672639955202E-2</v>
      </c>
      <c r="J4821">
        <v>6.1251675672364003E-2</v>
      </c>
      <c r="K4821">
        <v>2.5875890240388801E-2</v>
      </c>
      <c r="L4821">
        <v>1095.8692725768999</v>
      </c>
      <c r="M4821">
        <v>23.258356153303399</v>
      </c>
      <c r="N4821">
        <v>47.263026134606399</v>
      </c>
      <c r="O4821">
        <v>46.773059685376502</v>
      </c>
      <c r="P4821">
        <v>-0.120013199223995</v>
      </c>
      <c r="Q4821">
        <v>3.4620695742240401E-2</v>
      </c>
      <c r="R4821">
        <v>0.99773308392698101</v>
      </c>
      <c r="S4821" t="s">
        <v>11491</v>
      </c>
      <c r="T4821" t="s">
        <v>13338</v>
      </c>
      <c r="U4821" t="s">
        <v>13338</v>
      </c>
      <c r="V4821" t="s">
        <v>13338</v>
      </c>
      <c r="W4821" t="s">
        <v>18103</v>
      </c>
      <c r="X4821">
        <v>3</v>
      </c>
      <c r="Y4821" t="s">
        <v>24604</v>
      </c>
      <c r="Z4821" t="s">
        <v>31236</v>
      </c>
      <c r="AA4821">
        <v>0.27373079547925327</v>
      </c>
      <c r="AB4821" t="str">
        <f>HYPERLINK("Melting_Curves/meltCurve_Q92551_IP6K1.pdf", "Melting_Curves/meltCurve_Q92551_IP6K1.pdf")</f>
        <v>Melting_Curves/meltCurve_Q92551_IP6K1.pdf</v>
      </c>
    </row>
    <row r="4822" spans="1:28" x14ac:dyDescent="0.25">
      <c r="A4822" t="s">
        <v>4826</v>
      </c>
      <c r="B4822">
        <v>0.99193492352474899</v>
      </c>
      <c r="C4822">
        <v>0.89497797758128805</v>
      </c>
      <c r="D4822">
        <v>0.70467211641862204</v>
      </c>
      <c r="E4822">
        <v>0.63696249525471904</v>
      </c>
      <c r="F4822">
        <v>0.30209919436150801</v>
      </c>
      <c r="G4822">
        <v>0.46836376735055701</v>
      </c>
      <c r="H4822">
        <v>0.32694825179252501</v>
      </c>
      <c r="I4822">
        <v>0.466453493223558</v>
      </c>
      <c r="J4822">
        <v>0.44914842861175203</v>
      </c>
      <c r="K4822">
        <v>0.83599367126082202</v>
      </c>
      <c r="L4822">
        <v>1132.1476218632099</v>
      </c>
      <c r="M4822">
        <v>24.8460372422979</v>
      </c>
      <c r="N4822">
        <v>53.042850636722598</v>
      </c>
      <c r="O4822">
        <v>45.274413991667998</v>
      </c>
      <c r="P4822">
        <v>-7.0666718328934702E-2</v>
      </c>
      <c r="Q4822">
        <v>0.48493179548645798</v>
      </c>
      <c r="R4822">
        <v>0.62574240849155705</v>
      </c>
      <c r="S4822" t="s">
        <v>11492</v>
      </c>
      <c r="T4822" t="s">
        <v>13338</v>
      </c>
      <c r="U4822" t="s">
        <v>13338</v>
      </c>
      <c r="V4822" t="s">
        <v>13338</v>
      </c>
      <c r="W4822" t="s">
        <v>18104</v>
      </c>
      <c r="X4822">
        <v>7</v>
      </c>
      <c r="Y4822" t="s">
        <v>24605</v>
      </c>
      <c r="Z4822" t="s">
        <v>31237</v>
      </c>
      <c r="AA4822">
        <v>0.58546025077123576</v>
      </c>
      <c r="AB4822" t="str">
        <f>HYPERLINK("Melting_Curves/meltCurve_Q92552_MRPS27.pdf", "Melting_Curves/meltCurve_Q92552_MRPS27.pdf")</f>
        <v>Melting_Curves/meltCurve_Q92552_MRPS27.pdf</v>
      </c>
    </row>
    <row r="4823" spans="1:28" x14ac:dyDescent="0.25">
      <c r="A4823" t="s">
        <v>4827</v>
      </c>
      <c r="B4823">
        <v>0.99193492352474899</v>
      </c>
      <c r="C4823">
        <v>0.81784553046261499</v>
      </c>
      <c r="D4823">
        <v>0.80229426798244197</v>
      </c>
      <c r="E4823">
        <v>0.36537406960013002</v>
      </c>
      <c r="F4823">
        <v>0.15145956473337399</v>
      </c>
      <c r="G4823">
        <v>9.5774242320625896E-2</v>
      </c>
      <c r="H4823">
        <v>6.13803786559598E-2</v>
      </c>
      <c r="I4823">
        <v>6.8177854380010797E-2</v>
      </c>
      <c r="J4823">
        <v>8.2090828341065306E-2</v>
      </c>
      <c r="K4823">
        <v>7.78278655938138E-2</v>
      </c>
      <c r="L4823">
        <v>1014.61977070672</v>
      </c>
      <c r="M4823">
        <v>21.118813232678502</v>
      </c>
      <c r="N4823">
        <v>48.351026265936497</v>
      </c>
      <c r="O4823">
        <v>47.618863474873201</v>
      </c>
      <c r="P4823">
        <v>-0.103906704287291</v>
      </c>
      <c r="Q4823">
        <v>6.28660679452063E-2</v>
      </c>
      <c r="R4823">
        <v>0.98525225997996602</v>
      </c>
      <c r="S4823" t="s">
        <v>11493</v>
      </c>
      <c r="T4823" t="s">
        <v>13338</v>
      </c>
      <c r="U4823" t="s">
        <v>13338</v>
      </c>
      <c r="V4823" t="s">
        <v>13338</v>
      </c>
      <c r="W4823" t="s">
        <v>18105</v>
      </c>
      <c r="X4823">
        <v>35</v>
      </c>
      <c r="Y4823" t="s">
        <v>24606</v>
      </c>
      <c r="Z4823" t="s">
        <v>31238</v>
      </c>
      <c r="AA4823">
        <v>0.32597970378141028</v>
      </c>
      <c r="AB4823" t="str">
        <f>HYPERLINK("Melting_Curves/meltCurve_Q92556_ELMO1.pdf", "Melting_Curves/meltCurve_Q92556_ELMO1.pdf")</f>
        <v>Melting_Curves/meltCurve_Q92556_ELMO1.pdf</v>
      </c>
    </row>
    <row r="4824" spans="1:28" x14ac:dyDescent="0.25">
      <c r="A4824" t="s">
        <v>4828</v>
      </c>
      <c r="B4824">
        <v>0.99193492352474899</v>
      </c>
      <c r="C4824">
        <v>0.934142559316117</v>
      </c>
      <c r="D4824">
        <v>0.88872105235307497</v>
      </c>
      <c r="E4824">
        <v>0.61243723538156902</v>
      </c>
      <c r="F4824">
        <v>0.338051620396499</v>
      </c>
      <c r="G4824">
        <v>0.21842508955925999</v>
      </c>
      <c r="H4824">
        <v>0.15085552510931499</v>
      </c>
      <c r="I4824">
        <v>0.15980752430534301</v>
      </c>
      <c r="J4824">
        <v>0.19437465756827099</v>
      </c>
      <c r="K4824">
        <v>0.25157806255599002</v>
      </c>
      <c r="L4824">
        <v>1126.49003323184</v>
      </c>
      <c r="M4824">
        <v>22.646996669790099</v>
      </c>
      <c r="N4824">
        <v>50.760475324226299</v>
      </c>
      <c r="O4824">
        <v>49.358291282739401</v>
      </c>
      <c r="P4824">
        <v>-9.3753151429079098E-2</v>
      </c>
      <c r="Q4824">
        <v>0.18269017050442901</v>
      </c>
      <c r="R4824">
        <v>0.99110896237461499</v>
      </c>
      <c r="S4824" t="s">
        <v>11494</v>
      </c>
      <c r="T4824" t="s">
        <v>13338</v>
      </c>
      <c r="U4824" t="s">
        <v>13338</v>
      </c>
      <c r="V4824" t="s">
        <v>13338</v>
      </c>
      <c r="W4824" t="s">
        <v>18106</v>
      </c>
      <c r="X4824">
        <v>7</v>
      </c>
      <c r="Y4824" t="s">
        <v>24607</v>
      </c>
      <c r="Z4824" t="s">
        <v>31239</v>
      </c>
      <c r="AA4824">
        <v>0.45697082917819309</v>
      </c>
      <c r="AB4824" t="str">
        <f>HYPERLINK("Melting_Curves/meltCurve_Q92558_WASF1.pdf", "Melting_Curves/meltCurve_Q92558_WASF1.pdf")</f>
        <v>Melting_Curves/meltCurve_Q92558_WASF1.pdf</v>
      </c>
    </row>
    <row r="4825" spans="1:28" x14ac:dyDescent="0.25">
      <c r="A4825" t="s">
        <v>4829</v>
      </c>
      <c r="B4825">
        <v>0.99193492352474899</v>
      </c>
      <c r="C4825">
        <v>0.616165360770903</v>
      </c>
      <c r="D4825">
        <v>0.87910173735465502</v>
      </c>
      <c r="E4825">
        <v>0.33420676597723598</v>
      </c>
      <c r="F4825">
        <v>0.134797358679206</v>
      </c>
      <c r="G4825">
        <v>6.63301769539065E-2</v>
      </c>
      <c r="H4825">
        <v>5.63863645687862E-2</v>
      </c>
      <c r="I4825">
        <v>7.8340382158632094E-2</v>
      </c>
      <c r="J4825">
        <v>0.121028784980414</v>
      </c>
      <c r="K4825">
        <v>0.109410291867577</v>
      </c>
      <c r="L4825">
        <v>834.11300285436903</v>
      </c>
      <c r="M4825">
        <v>17.504737647478802</v>
      </c>
      <c r="N4825">
        <v>48.006174029205702</v>
      </c>
      <c r="O4825">
        <v>47.041866463667603</v>
      </c>
      <c r="P4825">
        <v>-8.7377605927928106E-2</v>
      </c>
      <c r="Q4825">
        <v>6.0784767467617899E-2</v>
      </c>
      <c r="R4825">
        <v>0.89104118649258701</v>
      </c>
      <c r="S4825" t="s">
        <v>11495</v>
      </c>
      <c r="T4825" t="s">
        <v>13338</v>
      </c>
      <c r="U4825" t="s">
        <v>13338</v>
      </c>
      <c r="V4825" t="s">
        <v>13338</v>
      </c>
      <c r="W4825" t="s">
        <v>18107</v>
      </c>
      <c r="X4825">
        <v>7</v>
      </c>
      <c r="Y4825" t="s">
        <v>24608</v>
      </c>
      <c r="Z4825" t="s">
        <v>31240</v>
      </c>
      <c r="AA4825">
        <v>0.31818875566823712</v>
      </c>
      <c r="AB4825" t="str">
        <f>HYPERLINK("Melting_Curves/meltCurve_Q92572_AP3S1.pdf", "Melting_Curves/meltCurve_Q92572_AP3S1.pdf")</f>
        <v>Melting_Curves/meltCurve_Q92572_AP3S1.pdf</v>
      </c>
    </row>
    <row r="4826" spans="1:28" x14ac:dyDescent="0.25">
      <c r="A4826" t="s">
        <v>4830</v>
      </c>
      <c r="B4826">
        <v>0.99193492352474899</v>
      </c>
      <c r="C4826">
        <v>0.90853449201815795</v>
      </c>
      <c r="D4826">
        <v>0.86417607353676995</v>
      </c>
      <c r="E4826">
        <v>0.66410613504723304</v>
      </c>
      <c r="F4826">
        <v>0.24307294207385199</v>
      </c>
      <c r="G4826">
        <v>0.10729565814197101</v>
      </c>
      <c r="H4826">
        <v>6.9083510850190599E-2</v>
      </c>
      <c r="I4826">
        <v>6.93967305478735E-2</v>
      </c>
      <c r="J4826">
        <v>7.1120350352268102E-2</v>
      </c>
      <c r="K4826">
        <v>8.8397844743528201E-2</v>
      </c>
      <c r="L4826">
        <v>1173.72817262231</v>
      </c>
      <c r="M4826">
        <v>23.2950525722745</v>
      </c>
      <c r="N4826">
        <v>50.669626287072496</v>
      </c>
      <c r="O4826">
        <v>50.018403161763601</v>
      </c>
      <c r="P4826">
        <v>-0.109300840903111</v>
      </c>
      <c r="Q4826">
        <v>6.12674353880968E-2</v>
      </c>
      <c r="R4826">
        <v>0.99161615461283004</v>
      </c>
      <c r="S4826" t="s">
        <v>11496</v>
      </c>
      <c r="T4826" t="s">
        <v>13338</v>
      </c>
      <c r="U4826" t="s">
        <v>13338</v>
      </c>
      <c r="V4826" t="s">
        <v>13338</v>
      </c>
      <c r="W4826" t="s">
        <v>18108</v>
      </c>
      <c r="X4826">
        <v>9</v>
      </c>
      <c r="Y4826" t="s">
        <v>24609</v>
      </c>
      <c r="Z4826" t="s">
        <v>31241</v>
      </c>
      <c r="AA4826">
        <v>0.3959272071624152</v>
      </c>
      <c r="AB4826" t="str">
        <f>HYPERLINK("Melting_Curves/meltCurve_Q92575_UBXN4.pdf", "Melting_Curves/meltCurve_Q92575_UBXN4.pdf")</f>
        <v>Melting_Curves/meltCurve_Q92575_UBXN4.pdf</v>
      </c>
    </row>
    <row r="4827" spans="1:28" x14ac:dyDescent="0.25">
      <c r="A4827" t="s">
        <v>4831</v>
      </c>
      <c r="B4827">
        <v>0.99193492352474899</v>
      </c>
      <c r="C4827">
        <v>0.52166619963725303</v>
      </c>
      <c r="D4827">
        <v>0.80421139341685099</v>
      </c>
      <c r="E4827">
        <v>0.55646465029244896</v>
      </c>
      <c r="F4827">
        <v>0.51055109846276903</v>
      </c>
      <c r="G4827">
        <v>0.29830176882645298</v>
      </c>
      <c r="H4827">
        <v>0.27319126687685003</v>
      </c>
      <c r="I4827">
        <v>0.36263058778061202</v>
      </c>
      <c r="J4827">
        <v>0.41356614615564302</v>
      </c>
      <c r="K4827">
        <v>0.49778391846520897</v>
      </c>
      <c r="L4827">
        <v>498.92470764463701</v>
      </c>
      <c r="M4827">
        <v>11.0784500994419</v>
      </c>
      <c r="N4827">
        <v>50.9035574627271</v>
      </c>
      <c r="O4827">
        <v>43.642894820900302</v>
      </c>
      <c r="P4827">
        <v>-4.05917724922897E-2</v>
      </c>
      <c r="Q4827">
        <v>0.36057454387926802</v>
      </c>
      <c r="R4827">
        <v>0.66769290080320198</v>
      </c>
      <c r="S4827" t="s">
        <v>11497</v>
      </c>
      <c r="T4827" t="s">
        <v>13338</v>
      </c>
      <c r="U4827" t="s">
        <v>13338</v>
      </c>
      <c r="V4827" t="s">
        <v>13338</v>
      </c>
      <c r="W4827" t="s">
        <v>18109</v>
      </c>
      <c r="X4827">
        <v>38</v>
      </c>
      <c r="Y4827" t="s">
        <v>24610</v>
      </c>
      <c r="Z4827" t="s">
        <v>31242</v>
      </c>
      <c r="AA4827">
        <v>0.50465727667419014</v>
      </c>
      <c r="AB4827" t="str">
        <f>HYPERLINK("Melting_Curves/meltCurve_Q92576_2_PHF3.pdf", "Melting_Curves/meltCurve_Q92576_2_PHF3.pdf")</f>
        <v>Melting_Curves/meltCurve_Q92576_2_PHF3.pdf</v>
      </c>
    </row>
    <row r="4828" spans="1:28" x14ac:dyDescent="0.25">
      <c r="A4828" t="s">
        <v>4832</v>
      </c>
      <c r="B4828">
        <v>0.99193492352474899</v>
      </c>
      <c r="C4828">
        <v>1.1372297882039499</v>
      </c>
      <c r="D4828">
        <v>1.01250766798285</v>
      </c>
      <c r="E4828">
        <v>0.86233165555313895</v>
      </c>
      <c r="F4828">
        <v>0.617901067505363</v>
      </c>
      <c r="G4828">
        <v>0.422938002363067</v>
      </c>
      <c r="H4828">
        <v>0.32914089775979899</v>
      </c>
      <c r="I4828">
        <v>0.33979867923209001</v>
      </c>
      <c r="J4828">
        <v>0.43022023155698602</v>
      </c>
      <c r="K4828">
        <v>0.48355199115417902</v>
      </c>
      <c r="L4828">
        <v>1596.5493243605699</v>
      </c>
      <c r="M4828">
        <v>30.703312575647701</v>
      </c>
      <c r="N4828">
        <v>54.753108280380701</v>
      </c>
      <c r="O4828">
        <v>51.780182963035898</v>
      </c>
      <c r="P4828">
        <v>-8.9942342734878805E-2</v>
      </c>
      <c r="Q4828">
        <v>0.39326400764421898</v>
      </c>
      <c r="R4828">
        <v>0.95499493181553097</v>
      </c>
      <c r="S4828" t="s">
        <v>11498</v>
      </c>
      <c r="T4828" t="s">
        <v>13338</v>
      </c>
      <c r="U4828" t="s">
        <v>13338</v>
      </c>
      <c r="V4828" t="s">
        <v>13338</v>
      </c>
      <c r="W4828" t="s">
        <v>18110</v>
      </c>
      <c r="X4828">
        <v>4</v>
      </c>
      <c r="Y4828" t="s">
        <v>24611</v>
      </c>
      <c r="Z4828" t="s">
        <v>31243</v>
      </c>
      <c r="AA4828">
        <v>0.63964560910890356</v>
      </c>
      <c r="AB4828" t="str">
        <f>HYPERLINK("Melting_Curves/meltCurve_Q92581_2_SLC9A6.pdf", "Melting_Curves/meltCurve_Q92581_2_SLC9A6.pdf")</f>
        <v>Melting_Curves/meltCurve_Q92581_2_SLC9A6.pdf</v>
      </c>
    </row>
    <row r="4829" spans="1:28" x14ac:dyDescent="0.25">
      <c r="A4829" t="s">
        <v>4833</v>
      </c>
      <c r="B4829">
        <v>0.99193492352474899</v>
      </c>
      <c r="C4829">
        <v>0.952862582525146</v>
      </c>
      <c r="D4829">
        <v>0.54062458809313996</v>
      </c>
      <c r="E4829">
        <v>0.54403976107116003</v>
      </c>
      <c r="F4829">
        <v>0.27692878107379398</v>
      </c>
      <c r="G4829">
        <v>0.24244688006089499</v>
      </c>
      <c r="H4829">
        <v>0.206241126286003</v>
      </c>
      <c r="I4829">
        <v>0.297606328894094</v>
      </c>
      <c r="J4829">
        <v>0.163434960689404</v>
      </c>
      <c r="K4829">
        <v>0.492841192794713</v>
      </c>
      <c r="L4829">
        <v>985.08937491111703</v>
      </c>
      <c r="M4829">
        <v>21.368190133192599</v>
      </c>
      <c r="N4829">
        <v>47.965136117164903</v>
      </c>
      <c r="O4829">
        <v>45.702673412388201</v>
      </c>
      <c r="P4829">
        <v>-8.3915109143085406E-2</v>
      </c>
      <c r="Q4829">
        <v>0.28210127777531402</v>
      </c>
      <c r="R4829">
        <v>0.86880651870181802</v>
      </c>
      <c r="S4829" t="s">
        <v>11499</v>
      </c>
      <c r="T4829" t="s">
        <v>13338</v>
      </c>
      <c r="U4829" t="s">
        <v>13338</v>
      </c>
      <c r="V4829" t="s">
        <v>13338</v>
      </c>
      <c r="W4829" t="s">
        <v>18111</v>
      </c>
      <c r="X4829">
        <v>5</v>
      </c>
      <c r="Y4829" t="s">
        <v>24612</v>
      </c>
      <c r="Z4829" t="s">
        <v>31244</v>
      </c>
      <c r="AA4829">
        <v>0.43756221506498372</v>
      </c>
      <c r="AB4829" t="str">
        <f>HYPERLINK("Melting_Curves/meltCurve_Q92585_MAML1.pdf", "Melting_Curves/meltCurve_Q92585_MAML1.pdf")</f>
        <v>Melting_Curves/meltCurve_Q92585_MAML1.pdf</v>
      </c>
    </row>
    <row r="4830" spans="1:28" x14ac:dyDescent="0.25">
      <c r="A4830" t="s">
        <v>4834</v>
      </c>
      <c r="B4830">
        <v>0.99193492352474899</v>
      </c>
      <c r="C4830">
        <v>0.85363718828246904</v>
      </c>
      <c r="D4830">
        <v>0.80609267524281303</v>
      </c>
      <c r="E4830">
        <v>0.75807041528603702</v>
      </c>
      <c r="F4830">
        <v>0.35013265013505401</v>
      </c>
      <c r="G4830">
        <v>0.125399444106395</v>
      </c>
      <c r="H4830">
        <v>5.6797464369781697E-2</v>
      </c>
      <c r="I4830">
        <v>8.1305000272222205E-2</v>
      </c>
      <c r="J4830">
        <v>8.3238451163653193E-2</v>
      </c>
      <c r="K4830">
        <v>0.105244924954918</v>
      </c>
      <c r="L4830">
        <v>951.72002329588895</v>
      </c>
      <c r="M4830">
        <v>18.605716720086299</v>
      </c>
      <c r="N4830">
        <v>51.454051228473297</v>
      </c>
      <c r="O4830">
        <v>50.572111095394398</v>
      </c>
      <c r="P4830">
        <v>-8.7222039506054894E-2</v>
      </c>
      <c r="Q4830">
        <v>5.1730013752411298E-2</v>
      </c>
      <c r="R4830">
        <v>0.97010903348563304</v>
      </c>
      <c r="S4830" t="s">
        <v>11500</v>
      </c>
      <c r="T4830" t="s">
        <v>13338</v>
      </c>
      <c r="U4830" t="s">
        <v>13338</v>
      </c>
      <c r="V4830" t="s">
        <v>13338</v>
      </c>
      <c r="W4830" t="s">
        <v>18112</v>
      </c>
      <c r="X4830">
        <v>6</v>
      </c>
      <c r="Y4830" t="s">
        <v>24613</v>
      </c>
      <c r="Z4830" t="s">
        <v>31245</v>
      </c>
      <c r="AA4830">
        <v>0.41926064673025171</v>
      </c>
      <c r="AB4830" t="str">
        <f>HYPERLINK("Melting_Curves/meltCurve_Q92597_NDRG1.pdf", "Melting_Curves/meltCurve_Q92597_NDRG1.pdf")</f>
        <v>Melting_Curves/meltCurve_Q92597_NDRG1.pdf</v>
      </c>
    </row>
    <row r="4831" spans="1:28" x14ac:dyDescent="0.25">
      <c r="A4831" t="s">
        <v>4835</v>
      </c>
      <c r="B4831">
        <v>0.99193492352474899</v>
      </c>
      <c r="C4831">
        <v>1.0371203047858599</v>
      </c>
      <c r="D4831">
        <v>0.90980926600362899</v>
      </c>
      <c r="E4831">
        <v>0.50792354322519195</v>
      </c>
      <c r="F4831">
        <v>0.17937109331528001</v>
      </c>
      <c r="G4831">
        <v>0.103157706077561</v>
      </c>
      <c r="H4831">
        <v>6.3971243516198498E-2</v>
      </c>
      <c r="I4831">
        <v>7.0652881447141602E-2</v>
      </c>
      <c r="J4831">
        <v>7.9023388542877798E-2</v>
      </c>
      <c r="K4831">
        <v>8.5087108272595705E-2</v>
      </c>
      <c r="L4831">
        <v>1499.3392135236199</v>
      </c>
      <c r="M4831">
        <v>30.343267154616498</v>
      </c>
      <c r="N4831">
        <v>49.685854487122903</v>
      </c>
      <c r="O4831">
        <v>49.199453923816797</v>
      </c>
      <c r="P4831">
        <v>-0.14233690943706101</v>
      </c>
      <c r="Q4831">
        <v>7.6848964213765303E-2</v>
      </c>
      <c r="R4831">
        <v>0.99828832478438301</v>
      </c>
      <c r="S4831" t="s">
        <v>11501</v>
      </c>
      <c r="T4831" t="s">
        <v>13338</v>
      </c>
      <c r="U4831" t="s">
        <v>13338</v>
      </c>
      <c r="V4831" t="s">
        <v>13338</v>
      </c>
      <c r="W4831" t="s">
        <v>18113</v>
      </c>
      <c r="X4831">
        <v>49</v>
      </c>
      <c r="Y4831" t="s">
        <v>24614</v>
      </c>
      <c r="Z4831" t="s">
        <v>31246</v>
      </c>
      <c r="AA4831">
        <v>0.3720175636044718</v>
      </c>
      <c r="AB4831" t="str">
        <f>HYPERLINK("Melting_Curves/meltCurve_Q92598_2_HSPH1.pdf", "Melting_Curves/meltCurve_Q92598_2_HSPH1.pdf")</f>
        <v>Melting_Curves/meltCurve_Q92598_2_HSPH1.pdf</v>
      </c>
    </row>
    <row r="4832" spans="1:28" x14ac:dyDescent="0.25">
      <c r="A4832" t="s">
        <v>4836</v>
      </c>
      <c r="B4832">
        <v>0.99193492352474899</v>
      </c>
      <c r="C4832">
        <v>0.78583351404178403</v>
      </c>
      <c r="D4832">
        <v>1.0025744758747901</v>
      </c>
      <c r="E4832">
        <v>0.46786435913291002</v>
      </c>
      <c r="F4832">
        <v>0.36532825937640601</v>
      </c>
      <c r="G4832">
        <v>0.222498483313394</v>
      </c>
      <c r="H4832">
        <v>0.13848608216393199</v>
      </c>
      <c r="I4832">
        <v>0.109051189549628</v>
      </c>
      <c r="J4832">
        <v>0.14694279030113</v>
      </c>
      <c r="K4832">
        <v>9.3274568637614602E-2</v>
      </c>
      <c r="L4832">
        <v>899.76369963702405</v>
      </c>
      <c r="M4832">
        <v>18.074394444537202</v>
      </c>
      <c r="N4832">
        <v>50.496482016214898</v>
      </c>
      <c r="O4832">
        <v>49.183745783588797</v>
      </c>
      <c r="P4832">
        <v>-8.1499003036665005E-2</v>
      </c>
      <c r="Q4832">
        <v>0.112948052439063</v>
      </c>
      <c r="R4832">
        <v>0.94133035195397896</v>
      </c>
      <c r="S4832" t="s">
        <v>11502</v>
      </c>
      <c r="T4832" t="s">
        <v>13338</v>
      </c>
      <c r="U4832" t="s">
        <v>13338</v>
      </c>
      <c r="V4832" t="s">
        <v>13338</v>
      </c>
      <c r="W4832" t="s">
        <v>18114</v>
      </c>
      <c r="X4832">
        <v>3</v>
      </c>
      <c r="Y4832" t="s">
        <v>24615</v>
      </c>
      <c r="Z4832" t="s">
        <v>31247</v>
      </c>
      <c r="AA4832">
        <v>0.41721263072511139</v>
      </c>
      <c r="AB4832" t="str">
        <f>HYPERLINK("Melting_Curves/meltCurve_Q92600_RQCD1.pdf", "Melting_Curves/meltCurve_Q92600_RQCD1.pdf")</f>
        <v>Melting_Curves/meltCurve_Q92600_RQCD1.pdf</v>
      </c>
    </row>
    <row r="4833" spans="1:28" x14ac:dyDescent="0.25">
      <c r="A4833" t="s">
        <v>4837</v>
      </c>
      <c r="B4833">
        <v>0.99193492352474899</v>
      </c>
      <c r="C4833">
        <v>1.04175701203938</v>
      </c>
      <c r="D4833">
        <v>1.08718455325995</v>
      </c>
      <c r="E4833">
        <v>0.32224201927865997</v>
      </c>
      <c r="F4833">
        <v>0.23899300006447399</v>
      </c>
      <c r="G4833">
        <v>0.104578277980613</v>
      </c>
      <c r="H4833">
        <v>8.5176714793763195E-2</v>
      </c>
      <c r="I4833">
        <v>8.4751620848858997E-2</v>
      </c>
      <c r="J4833">
        <v>0.107217641382731</v>
      </c>
      <c r="K4833">
        <v>9.8385334044147996E-2</v>
      </c>
      <c r="L4833">
        <v>10549.9357891051</v>
      </c>
      <c r="M4833">
        <v>213.908902612406</v>
      </c>
      <c r="N4833">
        <v>49.383021665266597</v>
      </c>
      <c r="O4833">
        <v>49.3154470272273</v>
      </c>
      <c r="P4833">
        <v>-0.95442626083938298</v>
      </c>
      <c r="Q4833">
        <v>0.119850379423214</v>
      </c>
      <c r="R4833">
        <v>0.98442150734633604</v>
      </c>
      <c r="S4833" t="s">
        <v>11503</v>
      </c>
      <c r="T4833" t="s">
        <v>13338</v>
      </c>
      <c r="U4833" t="s">
        <v>13338</v>
      </c>
      <c r="V4833" t="s">
        <v>13338</v>
      </c>
      <c r="W4833" t="s">
        <v>18115</v>
      </c>
      <c r="X4833">
        <v>1</v>
      </c>
      <c r="Y4833" t="s">
        <v>24616</v>
      </c>
      <c r="Z4833" t="s">
        <v>31248</v>
      </c>
      <c r="AA4833">
        <v>0.39338055977116781</v>
      </c>
      <c r="AB4833" t="str">
        <f>HYPERLINK("Melting_Curves/meltCurve_Q92604_LPGAT1.pdf", "Melting_Curves/meltCurve_Q92604_LPGAT1.pdf")</f>
        <v>Melting_Curves/meltCurve_Q92604_LPGAT1.pdf</v>
      </c>
    </row>
    <row r="4834" spans="1:28" x14ac:dyDescent="0.25">
      <c r="A4834" t="s">
        <v>4838</v>
      </c>
      <c r="B4834">
        <v>0.99193492352474899</v>
      </c>
      <c r="C4834">
        <v>0.64765542457087699</v>
      </c>
      <c r="D4834">
        <v>0.61192497681843305</v>
      </c>
      <c r="E4834">
        <v>0.175229903225296</v>
      </c>
      <c r="F4834">
        <v>0.123393223186262</v>
      </c>
      <c r="G4834">
        <v>7.3182807551198006E-2</v>
      </c>
      <c r="H4834">
        <v>4.61663022382977E-2</v>
      </c>
      <c r="I4834">
        <v>4.7933539128543597E-2</v>
      </c>
      <c r="J4834">
        <v>5.8807061091550102E-2</v>
      </c>
      <c r="K4834">
        <v>5.8708783766158699E-2</v>
      </c>
      <c r="L4834">
        <v>777.92471161835795</v>
      </c>
      <c r="M4834">
        <v>17.001998026995899</v>
      </c>
      <c r="N4834">
        <v>45.986642277631397</v>
      </c>
      <c r="O4834">
        <v>45.135987140829997</v>
      </c>
      <c r="P4834">
        <v>-9.0310293742324799E-2</v>
      </c>
      <c r="Q4834">
        <v>4.1055651974115398E-2</v>
      </c>
      <c r="R4834">
        <v>0.96464186473581404</v>
      </c>
      <c r="S4834" t="s">
        <v>11504</v>
      </c>
      <c r="T4834" t="s">
        <v>13338</v>
      </c>
      <c r="U4834" t="s">
        <v>13338</v>
      </c>
      <c r="V4834" t="s">
        <v>13338</v>
      </c>
      <c r="W4834" t="s">
        <v>18116</v>
      </c>
      <c r="X4834">
        <v>49</v>
      </c>
      <c r="Y4834" t="s">
        <v>24617</v>
      </c>
      <c r="Z4834" t="s">
        <v>31249</v>
      </c>
      <c r="AA4834">
        <v>0.2468215619559542</v>
      </c>
      <c r="AB4834" t="str">
        <f>HYPERLINK("Melting_Curves/meltCurve_Q92608_DOCK2.pdf", "Melting_Curves/meltCurve_Q92608_DOCK2.pdf")</f>
        <v>Melting_Curves/meltCurve_Q92608_DOCK2.pdf</v>
      </c>
    </row>
    <row r="4835" spans="1:28" x14ac:dyDescent="0.25">
      <c r="A4835" t="s">
        <v>4839</v>
      </c>
      <c r="B4835">
        <v>0.99193492352474899</v>
      </c>
      <c r="C4835">
        <v>0.77613436434550498</v>
      </c>
      <c r="D4835">
        <v>0.83076510813933402</v>
      </c>
      <c r="E4835">
        <v>0.30160040686048301</v>
      </c>
      <c r="F4835">
        <v>0.162020470498973</v>
      </c>
      <c r="G4835">
        <v>8.5324982766229907E-2</v>
      </c>
      <c r="H4835">
        <v>4.0323335924008802E-2</v>
      </c>
      <c r="I4835">
        <v>5.4012504964155897E-2</v>
      </c>
      <c r="J4835">
        <v>5.9042650069023497E-2</v>
      </c>
      <c r="K4835">
        <v>6.1956832824644197E-2</v>
      </c>
      <c r="L4835">
        <v>1030.55395320043</v>
      </c>
      <c r="M4835">
        <v>21.504987086496101</v>
      </c>
      <c r="N4835">
        <v>48.1512499829851</v>
      </c>
      <c r="O4835">
        <v>47.512993530123197</v>
      </c>
      <c r="P4835">
        <v>-0.10764111120867401</v>
      </c>
      <c r="Q4835">
        <v>4.8736232572925399E-2</v>
      </c>
      <c r="R4835">
        <v>0.96987599487802001</v>
      </c>
      <c r="S4835" t="s">
        <v>11505</v>
      </c>
      <c r="T4835" t="s">
        <v>13338</v>
      </c>
      <c r="U4835" t="s">
        <v>13338</v>
      </c>
      <c r="V4835" t="s">
        <v>13338</v>
      </c>
      <c r="W4835" t="s">
        <v>18117</v>
      </c>
      <c r="X4835">
        <v>11</v>
      </c>
      <c r="Y4835" t="s">
        <v>24618</v>
      </c>
      <c r="Z4835" t="s">
        <v>31250</v>
      </c>
      <c r="AA4835">
        <v>0.3115212986538935</v>
      </c>
      <c r="AB4835" t="str">
        <f>HYPERLINK("Melting_Curves/meltCurve_Q92609_TBC1D5.pdf", "Melting_Curves/meltCurve_Q92609_TBC1D5.pdf")</f>
        <v>Melting_Curves/meltCurve_Q92609_TBC1D5.pdf</v>
      </c>
    </row>
    <row r="4836" spans="1:28" x14ac:dyDescent="0.25">
      <c r="A4836" t="s">
        <v>4840</v>
      </c>
      <c r="B4836">
        <v>0.99193492352474899</v>
      </c>
      <c r="C4836">
        <v>0.60825602738708395</v>
      </c>
      <c r="D4836">
        <v>0.69591746323406201</v>
      </c>
      <c r="E4836">
        <v>0.170674293643724</v>
      </c>
      <c r="F4836">
        <v>0.135985101775496</v>
      </c>
      <c r="G4836">
        <v>5.1936320038054699E-2</v>
      </c>
      <c r="H4836">
        <v>5.18495251766799E-2</v>
      </c>
      <c r="I4836">
        <v>8.1631634843994799E-2</v>
      </c>
      <c r="J4836">
        <v>9.2619899761676505E-2</v>
      </c>
      <c r="K4836">
        <v>0.101562414147507</v>
      </c>
      <c r="L4836">
        <v>772.66153570757297</v>
      </c>
      <c r="M4836">
        <v>16.839889970809001</v>
      </c>
      <c r="N4836">
        <v>46.221788966977499</v>
      </c>
      <c r="O4836">
        <v>45.250438382031902</v>
      </c>
      <c r="P4836">
        <v>-8.7638396878813293E-2</v>
      </c>
      <c r="Q4836">
        <v>5.8088497022726497E-2</v>
      </c>
      <c r="R4836">
        <v>0.92395367573123099</v>
      </c>
      <c r="S4836" t="s">
        <v>11506</v>
      </c>
      <c r="T4836" t="s">
        <v>13338</v>
      </c>
      <c r="U4836" t="s">
        <v>13338</v>
      </c>
      <c r="V4836" t="s">
        <v>13338</v>
      </c>
      <c r="W4836" t="s">
        <v>18118</v>
      </c>
      <c r="X4836">
        <v>1</v>
      </c>
      <c r="Y4836" t="s">
        <v>24619</v>
      </c>
      <c r="Z4836" t="s">
        <v>31251</v>
      </c>
      <c r="AA4836">
        <v>0.264438228464838</v>
      </c>
      <c r="AB4836" t="str">
        <f>HYPERLINK("Melting_Curves/meltCurve_Q92610_ZNF592.pdf", "Melting_Curves/meltCurve_Q92610_ZNF592.pdf")</f>
        <v>Melting_Curves/meltCurve_Q92610_ZNF592.pdf</v>
      </c>
    </row>
    <row r="4837" spans="1:28" x14ac:dyDescent="0.25">
      <c r="A4837" t="s">
        <v>4841</v>
      </c>
      <c r="B4837">
        <v>0.99193492352474899</v>
      </c>
      <c r="C4837">
        <v>0.89030536842058805</v>
      </c>
      <c r="D4837">
        <v>0.69325943591184902</v>
      </c>
      <c r="E4837">
        <v>0.52101349776748795</v>
      </c>
      <c r="F4837">
        <v>0.371279686806266</v>
      </c>
      <c r="G4837">
        <v>0.16485680374334499</v>
      </c>
      <c r="H4837">
        <v>0.208945356939646</v>
      </c>
      <c r="I4837">
        <v>0.11965669122146499</v>
      </c>
      <c r="J4837">
        <v>0.14937685111759</v>
      </c>
      <c r="K4837">
        <v>0.12342343581663</v>
      </c>
      <c r="L4837">
        <v>660.66703455781897</v>
      </c>
      <c r="M4837">
        <v>13.530932674038899</v>
      </c>
      <c r="N4837">
        <v>49.752186144353402</v>
      </c>
      <c r="O4837">
        <v>47.796953417173597</v>
      </c>
      <c r="P4837">
        <v>-6.2906093847108394E-2</v>
      </c>
      <c r="Q4837">
        <v>0.111290863753983</v>
      </c>
      <c r="R4837">
        <v>0.98914350670351203</v>
      </c>
      <c r="S4837" t="s">
        <v>11507</v>
      </c>
      <c r="T4837" t="s">
        <v>13338</v>
      </c>
      <c r="U4837" t="s">
        <v>13338</v>
      </c>
      <c r="V4837" t="s">
        <v>13338</v>
      </c>
      <c r="W4837" t="s">
        <v>18119</v>
      </c>
      <c r="X4837">
        <v>1</v>
      </c>
      <c r="Y4837" t="s">
        <v>24620</v>
      </c>
      <c r="Z4837" t="s">
        <v>31252</v>
      </c>
      <c r="AA4837">
        <v>0.39949626458369047</v>
      </c>
      <c r="AB4837" t="str">
        <f>HYPERLINK("Melting_Curves/meltCurve_Q92611_EDEM1.pdf", "Melting_Curves/meltCurve_Q92611_EDEM1.pdf")</f>
        <v>Melting_Curves/meltCurve_Q92611_EDEM1.pdf</v>
      </c>
    </row>
    <row r="4838" spans="1:28" x14ac:dyDescent="0.25">
      <c r="A4838" t="s">
        <v>4842</v>
      </c>
      <c r="B4838">
        <v>0.99193492352474899</v>
      </c>
      <c r="C4838">
        <v>0.47426612517669098</v>
      </c>
      <c r="D4838">
        <v>0.44205758498352399</v>
      </c>
      <c r="E4838">
        <v>0.181078297013403</v>
      </c>
      <c r="F4838">
        <v>0.127665092859128</v>
      </c>
      <c r="G4838">
        <v>7.7445695254121302E-2</v>
      </c>
      <c r="H4838">
        <v>5.8112305566350803E-2</v>
      </c>
      <c r="I4838">
        <v>5.8065286783153001E-2</v>
      </c>
      <c r="J4838">
        <v>6.7917989819299196E-2</v>
      </c>
      <c r="K4838">
        <v>6.92223952072685E-2</v>
      </c>
      <c r="L4838">
        <v>761.37986580009795</v>
      </c>
      <c r="M4838">
        <v>17.341473815218102</v>
      </c>
      <c r="N4838">
        <v>44.271957202785401</v>
      </c>
      <c r="O4838">
        <v>43.333778819080202</v>
      </c>
      <c r="P4838">
        <v>-9.3356599957021294E-2</v>
      </c>
      <c r="Q4838">
        <v>6.6915967086417505E-2</v>
      </c>
      <c r="R4838">
        <v>0.93963074312529005</v>
      </c>
      <c r="S4838" t="s">
        <v>11508</v>
      </c>
      <c r="T4838" t="s">
        <v>13338</v>
      </c>
      <c r="U4838" t="s">
        <v>13338</v>
      </c>
      <c r="V4838" t="s">
        <v>13338</v>
      </c>
      <c r="W4838" t="s">
        <v>18120</v>
      </c>
      <c r="X4838">
        <v>39</v>
      </c>
      <c r="Y4838" t="s">
        <v>20971</v>
      </c>
      <c r="Z4838" t="s">
        <v>31253</v>
      </c>
      <c r="AA4838">
        <v>0.21368674450921141</v>
      </c>
      <c r="AB4838" t="str">
        <f>HYPERLINK("Melting_Curves/meltCurve_Q92614_2_MYO18A.pdf", "Melting_Curves/meltCurve_Q92614_2_MYO18A.pdf")</f>
        <v>Melting_Curves/meltCurve_Q92614_2_MYO18A.pdf</v>
      </c>
    </row>
    <row r="4839" spans="1:28" x14ac:dyDescent="0.25">
      <c r="A4839" t="s">
        <v>4843</v>
      </c>
      <c r="B4839">
        <v>0.99193492352474899</v>
      </c>
      <c r="C4839">
        <v>0.454964187350542</v>
      </c>
      <c r="D4839">
        <v>0.44369462432198697</v>
      </c>
      <c r="E4839">
        <v>0.164027388060073</v>
      </c>
      <c r="F4839">
        <v>0.13516414782814701</v>
      </c>
      <c r="G4839">
        <v>7.9302242497934106E-2</v>
      </c>
      <c r="H4839">
        <v>5.3224961827242803E-2</v>
      </c>
      <c r="I4839">
        <v>7.3079682771545196E-2</v>
      </c>
      <c r="J4839">
        <v>0.10566400075101499</v>
      </c>
      <c r="K4839">
        <v>9.92098159321953E-2</v>
      </c>
      <c r="L4839">
        <v>809.91725950334501</v>
      </c>
      <c r="M4839">
        <v>18.572036076996199</v>
      </c>
      <c r="N4839">
        <v>44.056664243412399</v>
      </c>
      <c r="O4839">
        <v>43.113331245674701</v>
      </c>
      <c r="P4839">
        <v>-9.8446585366118999E-2</v>
      </c>
      <c r="Q4839">
        <v>8.5899872667486804E-2</v>
      </c>
      <c r="R4839">
        <v>0.92753413719580402</v>
      </c>
      <c r="S4839" t="s">
        <v>11509</v>
      </c>
      <c r="T4839" t="s">
        <v>13338</v>
      </c>
      <c r="U4839" t="s">
        <v>13338</v>
      </c>
      <c r="V4839" t="s">
        <v>13338</v>
      </c>
      <c r="W4839" t="s">
        <v>18121</v>
      </c>
      <c r="X4839">
        <v>5</v>
      </c>
      <c r="Y4839" t="s">
        <v>24621</v>
      </c>
      <c r="Z4839" t="s">
        <v>31254</v>
      </c>
      <c r="AA4839">
        <v>0.21830736963282249</v>
      </c>
      <c r="AB4839" t="str">
        <f>HYPERLINK("Melting_Curves/meltCurve_Q92615_LARP4B.pdf", "Melting_Curves/meltCurve_Q92615_LARP4B.pdf")</f>
        <v>Melting_Curves/meltCurve_Q92615_LARP4B.pdf</v>
      </c>
    </row>
    <row r="4840" spans="1:28" x14ac:dyDescent="0.25">
      <c r="A4840" t="s">
        <v>4844</v>
      </c>
      <c r="B4840">
        <v>0.99193492352474899</v>
      </c>
      <c r="C4840">
        <v>0.62294291818185299</v>
      </c>
      <c r="D4840">
        <v>0.239418712413283</v>
      </c>
      <c r="E4840">
        <v>0.165123640966852</v>
      </c>
      <c r="F4840">
        <v>0.114869695634086</v>
      </c>
      <c r="G4840">
        <v>6.9858504176126504E-2</v>
      </c>
      <c r="H4840">
        <v>4.5649204306764703E-2</v>
      </c>
      <c r="I4840">
        <v>5.5085810439970399E-2</v>
      </c>
      <c r="J4840">
        <v>5.8606606859712598E-2</v>
      </c>
      <c r="K4840">
        <v>5.26535346274856E-2</v>
      </c>
      <c r="L4840">
        <v>1264.9137096235499</v>
      </c>
      <c r="M4840">
        <v>29.010865160814099</v>
      </c>
      <c r="N4840">
        <v>43.844566215268102</v>
      </c>
      <c r="O4840">
        <v>43.395787668553801</v>
      </c>
      <c r="P4840">
        <v>-0.15471023801932399</v>
      </c>
      <c r="Q4840">
        <v>7.4316235423542307E-2</v>
      </c>
      <c r="R4840">
        <v>0.98797580193060097</v>
      </c>
      <c r="S4840" t="s">
        <v>11510</v>
      </c>
      <c r="T4840" t="s">
        <v>13338</v>
      </c>
      <c r="U4840" t="s">
        <v>13338</v>
      </c>
      <c r="V4840" t="s">
        <v>13338</v>
      </c>
      <c r="W4840" t="s">
        <v>18122</v>
      </c>
      <c r="X4840">
        <v>33</v>
      </c>
      <c r="Y4840" t="s">
        <v>24622</v>
      </c>
      <c r="Z4840" t="s">
        <v>31255</v>
      </c>
      <c r="AA4840">
        <v>0.1933885261194605</v>
      </c>
      <c r="AB4840" t="str">
        <f>HYPERLINK("Melting_Curves/meltCurve_Q92616_GCN1L1.pdf", "Melting_Curves/meltCurve_Q92616_GCN1L1.pdf")</f>
        <v>Melting_Curves/meltCurve_Q92616_GCN1L1.pdf</v>
      </c>
    </row>
    <row r="4841" spans="1:28" x14ac:dyDescent="0.25">
      <c r="A4841" t="s">
        <v>4845</v>
      </c>
      <c r="B4841">
        <v>0.99193492352474899</v>
      </c>
      <c r="C4841">
        <v>0.99889420541358898</v>
      </c>
      <c r="D4841">
        <v>0.78999500765024799</v>
      </c>
      <c r="E4841">
        <v>0.56422341648177698</v>
      </c>
      <c r="F4841">
        <v>0.17807124862106399</v>
      </c>
      <c r="G4841">
        <v>0.119799493463976</v>
      </c>
      <c r="H4841">
        <v>7.6686414073932702E-2</v>
      </c>
      <c r="I4841">
        <v>9.7880134393753093E-2</v>
      </c>
      <c r="J4841">
        <v>0.112753092556136</v>
      </c>
      <c r="K4841">
        <v>0.102649788484538</v>
      </c>
      <c r="L4841">
        <v>1127.67824943086</v>
      </c>
      <c r="M4841">
        <v>22.893328417780001</v>
      </c>
      <c r="N4841">
        <v>49.666746544590801</v>
      </c>
      <c r="O4841">
        <v>48.8866961204468</v>
      </c>
      <c r="P4841">
        <v>-0.107022094624069</v>
      </c>
      <c r="Q4841">
        <v>8.58718604869287E-2</v>
      </c>
      <c r="R4841">
        <v>0.99170155927713899</v>
      </c>
      <c r="S4841" t="s">
        <v>11511</v>
      </c>
      <c r="T4841" t="s">
        <v>13338</v>
      </c>
      <c r="U4841" t="s">
        <v>13338</v>
      </c>
      <c r="V4841" t="s">
        <v>13338</v>
      </c>
      <c r="W4841" t="s">
        <v>18123</v>
      </c>
      <c r="X4841">
        <v>25</v>
      </c>
      <c r="Y4841" t="s">
        <v>24623</v>
      </c>
      <c r="Z4841" t="s">
        <v>31256</v>
      </c>
      <c r="AA4841">
        <v>0.37768525084631549</v>
      </c>
      <c r="AB4841" t="str">
        <f>HYPERLINK("Melting_Curves/meltCurve_Q92619_HMHA1.pdf", "Melting_Curves/meltCurve_Q92619_HMHA1.pdf")</f>
        <v>Melting_Curves/meltCurve_Q92619_HMHA1.pdf</v>
      </c>
    </row>
    <row r="4842" spans="1:28" x14ac:dyDescent="0.25">
      <c r="A4842" t="s">
        <v>4846</v>
      </c>
      <c r="B4842">
        <v>0.99193492352474899</v>
      </c>
      <c r="C4842">
        <v>0.87994429869563895</v>
      </c>
      <c r="D4842">
        <v>0.82786690371249905</v>
      </c>
      <c r="E4842">
        <v>0.50946642475480397</v>
      </c>
      <c r="F4842">
        <v>0.19157947815607801</v>
      </c>
      <c r="G4842">
        <v>0.111160656185088</v>
      </c>
      <c r="H4842">
        <v>7.8308372102121701E-2</v>
      </c>
      <c r="I4842">
        <v>9.1644809264654903E-2</v>
      </c>
      <c r="J4842">
        <v>0.11207959355720699</v>
      </c>
      <c r="K4842">
        <v>0.103298686988836</v>
      </c>
      <c r="L4842">
        <v>1053.3514577952801</v>
      </c>
      <c r="M4842">
        <v>21.5033927095817</v>
      </c>
      <c r="N4842">
        <v>49.4027579969814</v>
      </c>
      <c r="O4842">
        <v>48.5676283557613</v>
      </c>
      <c r="P4842">
        <v>-0.101496054695927</v>
      </c>
      <c r="Q4842">
        <v>8.3065399634927803E-2</v>
      </c>
      <c r="R4842">
        <v>0.99224497025170399</v>
      </c>
      <c r="S4842" t="s">
        <v>11512</v>
      </c>
      <c r="T4842" t="s">
        <v>13338</v>
      </c>
      <c r="U4842" t="s">
        <v>13338</v>
      </c>
      <c r="V4842" t="s">
        <v>13338</v>
      </c>
      <c r="W4842" t="s">
        <v>18124</v>
      </c>
      <c r="X4842">
        <v>14</v>
      </c>
      <c r="Y4842" t="s">
        <v>24624</v>
      </c>
      <c r="Z4842" t="s">
        <v>31257</v>
      </c>
      <c r="AA4842">
        <v>0.36877638221825859</v>
      </c>
      <c r="AB4842" t="str">
        <f>HYPERLINK("Melting_Curves/meltCurve_Q92620_DHX38.pdf", "Melting_Curves/meltCurve_Q92620_DHX38.pdf")</f>
        <v>Melting_Curves/meltCurve_Q92620_DHX38.pdf</v>
      </c>
    </row>
    <row r="4843" spans="1:28" x14ac:dyDescent="0.25">
      <c r="A4843" t="s">
        <v>4847</v>
      </c>
      <c r="B4843">
        <v>0.99193492352474899</v>
      </c>
      <c r="C4843">
        <v>0.89442026988641699</v>
      </c>
      <c r="D4843">
        <v>0.88024975592065702</v>
      </c>
      <c r="E4843">
        <v>0.51391034815730297</v>
      </c>
      <c r="F4843">
        <v>0.202215910663953</v>
      </c>
      <c r="G4843">
        <v>0.13275854994550501</v>
      </c>
      <c r="H4843">
        <v>9.5319983026970395E-2</v>
      </c>
      <c r="I4843">
        <v>0.15583842057837299</v>
      </c>
      <c r="J4843">
        <v>0.198391106679839</v>
      </c>
      <c r="K4843">
        <v>0.20966273076356001</v>
      </c>
      <c r="L4843">
        <v>1400.1373148646901</v>
      </c>
      <c r="M4843">
        <v>28.6187922186108</v>
      </c>
      <c r="N4843">
        <v>49.549312587775802</v>
      </c>
      <c r="O4843">
        <v>48.686712650639798</v>
      </c>
      <c r="P4843">
        <v>-0.124672264563763</v>
      </c>
      <c r="Q4843">
        <v>0.15162973166374599</v>
      </c>
      <c r="R4843">
        <v>0.983253989054233</v>
      </c>
      <c r="S4843" t="s">
        <v>11513</v>
      </c>
      <c r="T4843" t="s">
        <v>13338</v>
      </c>
      <c r="U4843" t="s">
        <v>13338</v>
      </c>
      <c r="V4843" t="s">
        <v>13338</v>
      </c>
      <c r="W4843" t="s">
        <v>18125</v>
      </c>
      <c r="X4843">
        <v>23</v>
      </c>
      <c r="Y4843" t="s">
        <v>24625</v>
      </c>
      <c r="Z4843" t="s">
        <v>31258</v>
      </c>
      <c r="AA4843">
        <v>0.40966963940941348</v>
      </c>
      <c r="AB4843" t="str">
        <f>HYPERLINK("Melting_Curves/meltCurve_Q92621_NUP205.pdf", "Melting_Curves/meltCurve_Q92621_NUP205.pdf")</f>
        <v>Melting_Curves/meltCurve_Q92621_NUP205.pdf</v>
      </c>
    </row>
    <row r="4844" spans="1:28" x14ac:dyDescent="0.25">
      <c r="A4844" t="s">
        <v>4848</v>
      </c>
      <c r="B4844">
        <v>0.99193492352474899</v>
      </c>
      <c r="C4844">
        <v>0.74592439844018099</v>
      </c>
      <c r="D4844">
        <v>0.93208833250941303</v>
      </c>
      <c r="E4844">
        <v>0.71629696771370699</v>
      </c>
      <c r="F4844">
        <v>0.36830399036050798</v>
      </c>
      <c r="G4844">
        <v>0.165156747096106</v>
      </c>
      <c r="H4844">
        <v>0.17665356972860199</v>
      </c>
      <c r="I4844">
        <v>0.32376168473977701</v>
      </c>
      <c r="J4844">
        <v>0.51157782293621501</v>
      </c>
      <c r="K4844">
        <v>0.75541707612181097</v>
      </c>
      <c r="L4844">
        <v>3384.35411932438</v>
      </c>
      <c r="M4844">
        <v>68.084794711531799</v>
      </c>
      <c r="N4844">
        <v>50.787955519882701</v>
      </c>
      <c r="O4844">
        <v>49.665097393651997</v>
      </c>
      <c r="P4844">
        <v>-0.21164123121904599</v>
      </c>
      <c r="Q4844">
        <v>0.38246536277822601</v>
      </c>
      <c r="R4844">
        <v>0.61159033442458099</v>
      </c>
      <c r="S4844" t="s">
        <v>11514</v>
      </c>
      <c r="T4844" t="s">
        <v>13338</v>
      </c>
      <c r="U4844" t="s">
        <v>13338</v>
      </c>
      <c r="V4844" t="s">
        <v>13338</v>
      </c>
      <c r="W4844" t="s">
        <v>18126</v>
      </c>
      <c r="X4844">
        <v>2</v>
      </c>
      <c r="Y4844" t="s">
        <v>24626</v>
      </c>
      <c r="Z4844" t="s">
        <v>31259</v>
      </c>
      <c r="AA4844">
        <v>0.58302646251766244</v>
      </c>
      <c r="AB4844" t="str">
        <f>HYPERLINK("Melting_Curves/meltCurve_Q92623_TTC9.pdf", "Melting_Curves/meltCurve_Q92623_TTC9.pdf")</f>
        <v>Melting_Curves/meltCurve_Q92623_TTC9.pdf</v>
      </c>
    </row>
    <row r="4845" spans="1:28" x14ac:dyDescent="0.25">
      <c r="A4845" t="s">
        <v>4849</v>
      </c>
      <c r="B4845">
        <v>0.99193492352474899</v>
      </c>
      <c r="C4845">
        <v>0.937648176400387</v>
      </c>
      <c r="D4845">
        <v>0.50698879729035695</v>
      </c>
      <c r="E4845">
        <v>0.29477481213495099</v>
      </c>
      <c r="F4845">
        <v>0.21650600088900199</v>
      </c>
      <c r="G4845">
        <v>0.14340399555870501</v>
      </c>
      <c r="H4845">
        <v>0.13520170232305201</v>
      </c>
      <c r="I4845">
        <v>0.15288396178630601</v>
      </c>
      <c r="J4845">
        <v>0.155819161276435</v>
      </c>
      <c r="K4845">
        <v>0.29096559222183299</v>
      </c>
      <c r="L4845">
        <v>1466.6056231099301</v>
      </c>
      <c r="M4845">
        <v>32.171053791901898</v>
      </c>
      <c r="N4845">
        <v>46.260444365100703</v>
      </c>
      <c r="O4845">
        <v>45.412679740511699</v>
      </c>
      <c r="P4845">
        <v>-0.144019011169123</v>
      </c>
      <c r="Q4845">
        <v>0.18681474197783901</v>
      </c>
      <c r="R4845">
        <v>0.97635704317010297</v>
      </c>
      <c r="S4845" t="s">
        <v>11515</v>
      </c>
      <c r="T4845" t="s">
        <v>13338</v>
      </c>
      <c r="U4845" t="s">
        <v>13338</v>
      </c>
      <c r="V4845" t="s">
        <v>13338</v>
      </c>
      <c r="W4845" t="s">
        <v>18127</v>
      </c>
      <c r="X4845">
        <v>3</v>
      </c>
      <c r="Y4845" t="s">
        <v>24627</v>
      </c>
      <c r="Z4845" t="s">
        <v>31260</v>
      </c>
      <c r="AA4845">
        <v>0.34256967282616158</v>
      </c>
      <c r="AB4845" t="str">
        <f>HYPERLINK("Melting_Curves/meltCurve_Q92625_ANKS1A.pdf", "Melting_Curves/meltCurve_Q92625_ANKS1A.pdf")</f>
        <v>Melting_Curves/meltCurve_Q92625_ANKS1A.pdf</v>
      </c>
    </row>
    <row r="4846" spans="1:28" x14ac:dyDescent="0.25">
      <c r="A4846" t="s">
        <v>4850</v>
      </c>
      <c r="B4846">
        <v>0.99193492352474899</v>
      </c>
      <c r="C4846">
        <v>0.74704707291262296</v>
      </c>
      <c r="D4846">
        <v>0.83061970720435696</v>
      </c>
      <c r="E4846">
        <v>0.577922294059384</v>
      </c>
      <c r="F4846">
        <v>0.38622586344875198</v>
      </c>
      <c r="G4846">
        <v>0.247158174373176</v>
      </c>
      <c r="H4846">
        <v>0.234773788744325</v>
      </c>
      <c r="I4846">
        <v>0.26273966044201402</v>
      </c>
      <c r="J4846">
        <v>0.42412688784998998</v>
      </c>
      <c r="K4846">
        <v>0.50087819062088101</v>
      </c>
      <c r="L4846">
        <v>808.58664064034997</v>
      </c>
      <c r="M4846">
        <v>17.087989049387001</v>
      </c>
      <c r="N4846">
        <v>50.423161161814299</v>
      </c>
      <c r="O4846">
        <v>46.685205571233098</v>
      </c>
      <c r="P4846">
        <v>-6.1736180096390703E-2</v>
      </c>
      <c r="Q4846">
        <v>0.32537584281151</v>
      </c>
      <c r="R4846">
        <v>0.83600959465291202</v>
      </c>
      <c r="S4846" t="s">
        <v>11516</v>
      </c>
      <c r="T4846" t="s">
        <v>13338</v>
      </c>
      <c r="U4846" t="s">
        <v>13338</v>
      </c>
      <c r="V4846" t="s">
        <v>13338</v>
      </c>
      <c r="W4846" t="s">
        <v>18128</v>
      </c>
      <c r="X4846">
        <v>2</v>
      </c>
      <c r="Y4846" t="s">
        <v>24628</v>
      </c>
      <c r="Z4846" t="s">
        <v>31261</v>
      </c>
      <c r="AA4846">
        <v>0.50367036889413619</v>
      </c>
      <c r="AB4846" t="str">
        <f>HYPERLINK("Melting_Curves/meltCurve_Q92626_PXDN.pdf", "Melting_Curves/meltCurve_Q92626_PXDN.pdf")</f>
        <v>Melting_Curves/meltCurve_Q92626_PXDN.pdf</v>
      </c>
    </row>
    <row r="4847" spans="1:28" x14ac:dyDescent="0.25">
      <c r="A4847" t="s">
        <v>4851</v>
      </c>
      <c r="B4847">
        <v>0.99193492352474899</v>
      </c>
      <c r="C4847">
        <v>0.94754877815511895</v>
      </c>
      <c r="D4847">
        <v>0.93361253443701997</v>
      </c>
      <c r="E4847">
        <v>0.67801480882835596</v>
      </c>
      <c r="F4847">
        <v>0.195655758631572</v>
      </c>
      <c r="G4847">
        <v>0.102085432517731</v>
      </c>
      <c r="H4847">
        <v>6.0717368408385E-2</v>
      </c>
      <c r="I4847">
        <v>6.4566361237146694E-2</v>
      </c>
      <c r="J4847">
        <v>6.8945524124071803E-2</v>
      </c>
      <c r="K4847">
        <v>6.0851722791710999E-2</v>
      </c>
      <c r="L4847">
        <v>1645.4904809754801</v>
      </c>
      <c r="M4847">
        <v>32.593717414439602</v>
      </c>
      <c r="N4847">
        <v>50.695694553077701</v>
      </c>
      <c r="O4847">
        <v>50.295999285377299</v>
      </c>
      <c r="P4847">
        <v>-0.151743493682439</v>
      </c>
      <c r="Q4847">
        <v>6.3371135118901203E-2</v>
      </c>
      <c r="R4847">
        <v>0.99742089984011495</v>
      </c>
      <c r="S4847" t="s">
        <v>11517</v>
      </c>
      <c r="T4847" t="s">
        <v>13338</v>
      </c>
      <c r="U4847" t="s">
        <v>13338</v>
      </c>
      <c r="V4847" t="s">
        <v>13338</v>
      </c>
      <c r="W4847" t="s">
        <v>18129</v>
      </c>
      <c r="X4847">
        <v>11</v>
      </c>
      <c r="Y4847" t="s">
        <v>24629</v>
      </c>
      <c r="Z4847" t="s">
        <v>31262</v>
      </c>
      <c r="AA4847">
        <v>0.39566038125352532</v>
      </c>
      <c r="AB4847" t="str">
        <f>HYPERLINK("Melting_Curves/meltCurve_Q92636_NSMAF.pdf", "Melting_Curves/meltCurve_Q92636_NSMAF.pdf")</f>
        <v>Melting_Curves/meltCurve_Q92636_NSMAF.pdf</v>
      </c>
    </row>
    <row r="4848" spans="1:28" x14ac:dyDescent="0.25">
      <c r="A4848" t="s">
        <v>4852</v>
      </c>
      <c r="B4848">
        <v>0.99193492352474899</v>
      </c>
      <c r="C4848">
        <v>0.59996978895891895</v>
      </c>
      <c r="D4848">
        <v>0.62242429461021498</v>
      </c>
      <c r="E4848">
        <v>0.35533794690750198</v>
      </c>
      <c r="F4848">
        <v>0.147017141101523</v>
      </c>
      <c r="G4848">
        <v>8.4789969818506006E-2</v>
      </c>
      <c r="H4848">
        <v>6.3741796117722196E-2</v>
      </c>
      <c r="I4848">
        <v>7.5410582756504502E-2</v>
      </c>
      <c r="J4848">
        <v>8.9877573323009302E-2</v>
      </c>
      <c r="K4848">
        <v>9.1850341913263203E-2</v>
      </c>
      <c r="L4848">
        <v>620.71067327274397</v>
      </c>
      <c r="M4848">
        <v>13.434873655939199</v>
      </c>
      <c r="N4848">
        <v>46.573511351678398</v>
      </c>
      <c r="O4848">
        <v>45.213844801764303</v>
      </c>
      <c r="P4848">
        <v>-7.0516212011930507E-2</v>
      </c>
      <c r="Q4848">
        <v>5.0883781364929298E-2</v>
      </c>
      <c r="R4848">
        <v>0.95132682378625</v>
      </c>
      <c r="S4848" t="s">
        <v>11518</v>
      </c>
      <c r="T4848" t="s">
        <v>13338</v>
      </c>
      <c r="U4848" t="s">
        <v>13338</v>
      </c>
      <c r="V4848" t="s">
        <v>13338</v>
      </c>
      <c r="W4848" t="s">
        <v>18130</v>
      </c>
      <c r="X4848">
        <v>11</v>
      </c>
      <c r="Y4848" t="s">
        <v>24630</v>
      </c>
      <c r="Z4848" t="s">
        <v>31263</v>
      </c>
      <c r="AA4848">
        <v>0.28124224956219951</v>
      </c>
      <c r="AB4848" t="str">
        <f>HYPERLINK("Melting_Curves/meltCurve_Q92665_MRPS31.pdf", "Melting_Curves/meltCurve_Q92665_MRPS31.pdf")</f>
        <v>Melting_Curves/meltCurve_Q92665_MRPS31.pdf</v>
      </c>
    </row>
    <row r="4849" spans="1:28" x14ac:dyDescent="0.25">
      <c r="A4849" t="s">
        <v>4853</v>
      </c>
      <c r="B4849">
        <v>0.99193492352474899</v>
      </c>
      <c r="C4849">
        <v>0.88823146069820103</v>
      </c>
      <c r="D4849">
        <v>0.56142476612480996</v>
      </c>
      <c r="E4849">
        <v>0.31208205209848</v>
      </c>
      <c r="F4849">
        <v>0.20786171222524299</v>
      </c>
      <c r="G4849">
        <v>0.149988443611691</v>
      </c>
      <c r="H4849">
        <v>0.127342392448824</v>
      </c>
      <c r="I4849">
        <v>0.16240974286856</v>
      </c>
      <c r="J4849">
        <v>0.17926182010352601</v>
      </c>
      <c r="K4849">
        <v>0.20431021446221201</v>
      </c>
      <c r="L4849">
        <v>1106.1268565304199</v>
      </c>
      <c r="M4849">
        <v>24.055351375844801</v>
      </c>
      <c r="N4849">
        <v>46.770609795277899</v>
      </c>
      <c r="O4849">
        <v>45.668341163261204</v>
      </c>
      <c r="P4849">
        <v>-0.10974614513229899</v>
      </c>
      <c r="Q4849">
        <v>0.166614645547108</v>
      </c>
      <c r="R4849">
        <v>0.99427381117541302</v>
      </c>
      <c r="S4849" t="s">
        <v>11519</v>
      </c>
      <c r="T4849" t="s">
        <v>13338</v>
      </c>
      <c r="U4849" t="s">
        <v>13338</v>
      </c>
      <c r="V4849" t="s">
        <v>13338</v>
      </c>
      <c r="W4849" t="s">
        <v>18131</v>
      </c>
      <c r="X4849">
        <v>9</v>
      </c>
      <c r="Y4849" t="s">
        <v>24631</v>
      </c>
      <c r="Z4849" t="s">
        <v>31264</v>
      </c>
      <c r="AA4849">
        <v>0.34123053189486668</v>
      </c>
      <c r="AB4849" t="str">
        <f>HYPERLINK("Melting_Curves/meltCurve_Q92667_AKAP1.pdf", "Melting_Curves/meltCurve_Q92667_AKAP1.pdf")</f>
        <v>Melting_Curves/meltCurve_Q92667_AKAP1.pdf</v>
      </c>
    </row>
    <row r="4850" spans="1:28" x14ac:dyDescent="0.25">
      <c r="A4850" t="s">
        <v>4854</v>
      </c>
      <c r="B4850">
        <v>0.99193492352474899</v>
      </c>
      <c r="C4850">
        <v>0.89071948117030197</v>
      </c>
      <c r="D4850">
        <v>0.95518898556209497</v>
      </c>
      <c r="E4850">
        <v>0.74453059152419898</v>
      </c>
      <c r="F4850">
        <v>0.731990195359143</v>
      </c>
      <c r="G4850">
        <v>0.39069240125237598</v>
      </c>
      <c r="H4850">
        <v>0.20325144829139299</v>
      </c>
      <c r="I4850">
        <v>0.17950349291849099</v>
      </c>
      <c r="J4850">
        <v>0.180208779415124</v>
      </c>
      <c r="K4850">
        <v>0.14443213477368699</v>
      </c>
      <c r="L4850">
        <v>766.74740179558103</v>
      </c>
      <c r="M4850">
        <v>14.0646921170674</v>
      </c>
      <c r="N4850">
        <v>55.284760896253999</v>
      </c>
      <c r="O4850">
        <v>53.449178052222202</v>
      </c>
      <c r="P4850">
        <v>-5.9948523293872298E-2</v>
      </c>
      <c r="Q4850">
        <v>8.8843886763415397E-2</v>
      </c>
      <c r="R4850">
        <v>0.972321384364918</v>
      </c>
      <c r="S4850" t="s">
        <v>11520</v>
      </c>
      <c r="T4850" t="s">
        <v>13338</v>
      </c>
      <c r="U4850" t="s">
        <v>13338</v>
      </c>
      <c r="V4850" t="s">
        <v>13338</v>
      </c>
      <c r="W4850" t="s">
        <v>18132</v>
      </c>
      <c r="X4850">
        <v>17</v>
      </c>
      <c r="Y4850" t="s">
        <v>24632</v>
      </c>
      <c r="Z4850" t="s">
        <v>31265</v>
      </c>
      <c r="AA4850">
        <v>0.54919526774000937</v>
      </c>
      <c r="AB4850" t="str">
        <f>HYPERLINK("Melting_Curves/meltCurve_Q92673_SORL1.pdf", "Melting_Curves/meltCurve_Q92673_SORL1.pdf")</f>
        <v>Melting_Curves/meltCurve_Q92673_SORL1.pdf</v>
      </c>
    </row>
    <row r="4851" spans="1:28" x14ac:dyDescent="0.25">
      <c r="A4851" t="s">
        <v>4855</v>
      </c>
      <c r="B4851">
        <v>0.99193492352474899</v>
      </c>
      <c r="C4851">
        <v>1.02714579314623</v>
      </c>
      <c r="D4851">
        <v>0.77684697378374701</v>
      </c>
      <c r="E4851">
        <v>0.80284431715136995</v>
      </c>
      <c r="F4851">
        <v>0.62508893655056696</v>
      </c>
      <c r="G4851">
        <v>0.57526809483455299</v>
      </c>
      <c r="H4851">
        <v>0.49448504683694999</v>
      </c>
      <c r="I4851">
        <v>0.77947219329825101</v>
      </c>
      <c r="J4851">
        <v>0.81691974616165097</v>
      </c>
      <c r="K4851">
        <v>1.08757415836064</v>
      </c>
      <c r="L4851">
        <v>11416.854504159201</v>
      </c>
      <c r="M4851">
        <v>250</v>
      </c>
      <c r="O4851">
        <v>45.6645158773172</v>
      </c>
      <c r="P4851">
        <v>-0.35553323274508603</v>
      </c>
      <c r="Q4851">
        <v>0.74023606760042304</v>
      </c>
      <c r="R4851">
        <v>0.32620872404329099</v>
      </c>
      <c r="S4851" t="s">
        <v>11521</v>
      </c>
      <c r="T4851" t="s">
        <v>13338</v>
      </c>
      <c r="U4851" t="s">
        <v>13338</v>
      </c>
      <c r="V4851" t="s">
        <v>13338</v>
      </c>
      <c r="W4851" t="s">
        <v>18133</v>
      </c>
      <c r="X4851">
        <v>1</v>
      </c>
      <c r="Y4851" t="s">
        <v>24633</v>
      </c>
      <c r="Z4851" t="s">
        <v>31266</v>
      </c>
      <c r="AA4851">
        <v>0.78932991289048227</v>
      </c>
      <c r="AB4851" t="str">
        <f>HYPERLINK("Melting_Curves/meltCurve_Q92686_NRGN.pdf", "Melting_Curves/meltCurve_Q92686_NRGN.pdf")</f>
        <v>Melting_Curves/meltCurve_Q92686_NRGN.pdf</v>
      </c>
    </row>
    <row r="4852" spans="1:28" x14ac:dyDescent="0.25">
      <c r="A4852" t="s">
        <v>4856</v>
      </c>
      <c r="B4852">
        <v>0.99193492352474899</v>
      </c>
      <c r="C4852">
        <v>0.54351994920229596</v>
      </c>
      <c r="D4852">
        <v>0.703097164764658</v>
      </c>
      <c r="E4852">
        <v>0.59791637890309202</v>
      </c>
      <c r="F4852">
        <v>0.24482550819528301</v>
      </c>
      <c r="G4852">
        <v>6.0890953578680997E-2</v>
      </c>
      <c r="H4852">
        <v>3.2292261243618101E-2</v>
      </c>
      <c r="I4852">
        <v>3.2331440210336598E-2</v>
      </c>
      <c r="J4852">
        <v>3.6642531014933401E-2</v>
      </c>
      <c r="K4852">
        <v>3.90129587971043E-2</v>
      </c>
      <c r="L4852">
        <v>530.29374860850101</v>
      </c>
      <c r="M4852">
        <v>10.986939489799999</v>
      </c>
      <c r="N4852">
        <v>48.265829768432503</v>
      </c>
      <c r="O4852">
        <v>46.749526432129002</v>
      </c>
      <c r="P4852">
        <v>-5.8774184778994099E-2</v>
      </c>
      <c r="Q4852">
        <v>0</v>
      </c>
      <c r="R4852">
        <v>0.89150136697113602</v>
      </c>
      <c r="S4852" t="s">
        <v>11522</v>
      </c>
      <c r="T4852" t="s">
        <v>13338</v>
      </c>
      <c r="U4852" t="s">
        <v>13338</v>
      </c>
      <c r="V4852" t="s">
        <v>13338</v>
      </c>
      <c r="W4852" t="s">
        <v>18134</v>
      </c>
      <c r="X4852">
        <v>11</v>
      </c>
      <c r="Y4852" t="s">
        <v>24634</v>
      </c>
      <c r="Z4852" t="s">
        <v>31267</v>
      </c>
      <c r="AA4852">
        <v>0.32018671796786008</v>
      </c>
      <c r="AB4852" t="str">
        <f>HYPERLINK("Melting_Curves/meltCurve_Q92688_2_ANP32B.pdf", "Melting_Curves/meltCurve_Q92688_2_ANP32B.pdf")</f>
        <v>Melting_Curves/meltCurve_Q92688_2_ANP32B.pdf</v>
      </c>
    </row>
    <row r="4853" spans="1:28" x14ac:dyDescent="0.25">
      <c r="A4853" t="s">
        <v>4857</v>
      </c>
      <c r="B4853">
        <v>0.99193492352474899</v>
      </c>
      <c r="C4853">
        <v>1.1309492635917799</v>
      </c>
      <c r="D4853">
        <v>0.95865288759854295</v>
      </c>
      <c r="E4853">
        <v>0.94376646708121503</v>
      </c>
      <c r="F4853">
        <v>0.70506873829236905</v>
      </c>
      <c r="G4853">
        <v>0.57090540596383099</v>
      </c>
      <c r="H4853">
        <v>0.38065467350117299</v>
      </c>
      <c r="I4853">
        <v>0.44155608862469398</v>
      </c>
      <c r="J4853">
        <v>0.38932759693270103</v>
      </c>
      <c r="K4853">
        <v>0.37333639433564902</v>
      </c>
      <c r="L4853">
        <v>1192.48697290213</v>
      </c>
      <c r="M4853">
        <v>22.131941888102599</v>
      </c>
      <c r="N4853">
        <v>57.6580603509558</v>
      </c>
      <c r="O4853">
        <v>53.446704999680698</v>
      </c>
      <c r="P4853">
        <v>-6.3906209470529704E-2</v>
      </c>
      <c r="Q4853">
        <v>0.38270182453505702</v>
      </c>
      <c r="R4853">
        <v>0.96739648476528095</v>
      </c>
      <c r="S4853" t="s">
        <v>11523</v>
      </c>
      <c r="T4853" t="s">
        <v>13338</v>
      </c>
      <c r="U4853" t="s">
        <v>13338</v>
      </c>
      <c r="V4853" t="s">
        <v>13338</v>
      </c>
      <c r="W4853" t="s">
        <v>18135</v>
      </c>
      <c r="X4853">
        <v>6</v>
      </c>
      <c r="Y4853" t="s">
        <v>24635</v>
      </c>
      <c r="Z4853" t="s">
        <v>31268</v>
      </c>
      <c r="AA4853">
        <v>0.67541476660509758</v>
      </c>
      <c r="AB4853" t="str">
        <f>HYPERLINK("Melting_Curves/meltCurve_Q92692_PVRL2.pdf", "Melting_Curves/meltCurve_Q92692_PVRL2.pdf")</f>
        <v>Melting_Curves/meltCurve_Q92692_PVRL2.pdf</v>
      </c>
    </row>
    <row r="4854" spans="1:28" x14ac:dyDescent="0.25">
      <c r="A4854" t="s">
        <v>4858</v>
      </c>
      <c r="B4854">
        <v>0.99193492352474899</v>
      </c>
      <c r="C4854">
        <v>0.77957420761330298</v>
      </c>
      <c r="D4854">
        <v>0.93046050141766601</v>
      </c>
      <c r="E4854">
        <v>0.67021606811527201</v>
      </c>
      <c r="F4854">
        <v>0.65494638686271001</v>
      </c>
      <c r="G4854">
        <v>0.60096319597894499</v>
      </c>
      <c r="H4854">
        <v>0.348156339539617</v>
      </c>
      <c r="I4854">
        <v>0.33779318909071399</v>
      </c>
      <c r="J4854">
        <v>0.55768566343878401</v>
      </c>
      <c r="K4854">
        <v>0.48567852288569302</v>
      </c>
      <c r="L4854">
        <v>530.84103070138895</v>
      </c>
      <c r="M4854">
        <v>10.630025632015901</v>
      </c>
      <c r="N4854">
        <v>59.294865154874003</v>
      </c>
      <c r="O4854">
        <v>48.267821626920103</v>
      </c>
      <c r="P4854">
        <v>-3.2685013690277098E-2</v>
      </c>
      <c r="Q4854">
        <v>0.40657623384522701</v>
      </c>
      <c r="R4854">
        <v>0.80387831457893599</v>
      </c>
      <c r="S4854" t="s">
        <v>11524</v>
      </c>
      <c r="T4854" t="s">
        <v>13338</v>
      </c>
      <c r="U4854" t="s">
        <v>13338</v>
      </c>
      <c r="V4854" t="s">
        <v>13338</v>
      </c>
      <c r="W4854" t="s">
        <v>18136</v>
      </c>
      <c r="X4854">
        <v>6</v>
      </c>
      <c r="Y4854" t="s">
        <v>24635</v>
      </c>
      <c r="Z4854" t="s">
        <v>31269</v>
      </c>
      <c r="AA4854">
        <v>0.6278979150911026</v>
      </c>
      <c r="AB4854" t="str">
        <f>HYPERLINK("Melting_Curves/meltCurve_Q92692_2_PVRL2.pdf", "Melting_Curves/meltCurve_Q92692_2_PVRL2.pdf")</f>
        <v>Melting_Curves/meltCurve_Q92692_2_PVRL2.pdf</v>
      </c>
    </row>
    <row r="4855" spans="1:28" x14ac:dyDescent="0.25">
      <c r="A4855" t="s">
        <v>4859</v>
      </c>
      <c r="B4855">
        <v>0.99193492352474899</v>
      </c>
      <c r="C4855">
        <v>1.0197818229228699</v>
      </c>
      <c r="D4855">
        <v>1.12776345149243</v>
      </c>
      <c r="E4855">
        <v>0.88054879023434596</v>
      </c>
      <c r="F4855">
        <v>0.49668527915386801</v>
      </c>
      <c r="G4855">
        <v>0.16549111139818101</v>
      </c>
      <c r="H4855">
        <v>9.2184833719712894E-2</v>
      </c>
      <c r="I4855">
        <v>0.10006099106670301</v>
      </c>
      <c r="J4855">
        <v>0.114578514049857</v>
      </c>
      <c r="K4855">
        <v>0.12632651505430401</v>
      </c>
      <c r="L4855">
        <v>1828.21174277822</v>
      </c>
      <c r="M4855">
        <v>34.6641006757486</v>
      </c>
      <c r="N4855">
        <v>53.100007556600602</v>
      </c>
      <c r="O4855">
        <v>52.566158133246503</v>
      </c>
      <c r="P4855">
        <v>-0.147629227449562</v>
      </c>
      <c r="Q4855">
        <v>0.104517237033261</v>
      </c>
      <c r="R4855">
        <v>0.98853394052249699</v>
      </c>
      <c r="S4855" t="s">
        <v>11525</v>
      </c>
      <c r="T4855" t="s">
        <v>13338</v>
      </c>
      <c r="U4855" t="s">
        <v>13338</v>
      </c>
      <c r="V4855" t="s">
        <v>13338</v>
      </c>
      <c r="W4855" t="s">
        <v>18137</v>
      </c>
      <c r="X4855">
        <v>23</v>
      </c>
      <c r="Y4855" t="s">
        <v>24636</v>
      </c>
      <c r="Z4855" t="s">
        <v>31270</v>
      </c>
      <c r="AA4855">
        <v>0.48916690144168362</v>
      </c>
      <c r="AB4855" t="str">
        <f>HYPERLINK("Melting_Curves/meltCurve_Q92696_RABGGTA.pdf", "Melting_Curves/meltCurve_Q92696_RABGGTA.pdf")</f>
        <v>Melting_Curves/meltCurve_Q92696_RABGGTA.pdf</v>
      </c>
    </row>
    <row r="4856" spans="1:28" x14ac:dyDescent="0.25">
      <c r="A4856" t="s">
        <v>4860</v>
      </c>
      <c r="B4856">
        <v>0.99193492352474899</v>
      </c>
      <c r="C4856">
        <v>1.0123410804069499</v>
      </c>
      <c r="D4856">
        <v>0.85568635108773505</v>
      </c>
      <c r="E4856">
        <v>0.75151969453475698</v>
      </c>
      <c r="F4856">
        <v>0.796801013029518</v>
      </c>
      <c r="G4856">
        <v>0.78514191808588096</v>
      </c>
      <c r="H4856">
        <v>0.65882391134396401</v>
      </c>
      <c r="I4856">
        <v>0.70235361349952397</v>
      </c>
      <c r="J4856">
        <v>0.90733893361316098</v>
      </c>
      <c r="K4856">
        <v>0.653497286617022</v>
      </c>
      <c r="L4856">
        <v>11485.328609971701</v>
      </c>
      <c r="M4856">
        <v>250</v>
      </c>
      <c r="O4856">
        <v>45.938375118754301</v>
      </c>
      <c r="P4856">
        <v>-0.33906519431458498</v>
      </c>
      <c r="Q4856">
        <v>0.75078233826738305</v>
      </c>
      <c r="R4856">
        <v>0.675297526220766</v>
      </c>
      <c r="S4856" t="s">
        <v>11526</v>
      </c>
      <c r="T4856" t="s">
        <v>13338</v>
      </c>
      <c r="U4856" t="s">
        <v>13338</v>
      </c>
      <c r="V4856" t="s">
        <v>13338</v>
      </c>
      <c r="W4856" t="s">
        <v>18138</v>
      </c>
      <c r="X4856">
        <v>10</v>
      </c>
      <c r="Y4856" t="s">
        <v>24637</v>
      </c>
      <c r="Z4856" t="s">
        <v>31271</v>
      </c>
      <c r="AA4856">
        <v>0.80015844817420301</v>
      </c>
      <c r="AB4856" t="str">
        <f>HYPERLINK("Melting_Curves/meltCurve_Q92734_2_TFG.pdf", "Melting_Curves/meltCurve_Q92734_2_TFG.pdf")</f>
        <v>Melting_Curves/meltCurve_Q92734_2_TFG.pdf</v>
      </c>
    </row>
    <row r="4857" spans="1:28" x14ac:dyDescent="0.25">
      <c r="A4857" t="s">
        <v>4861</v>
      </c>
      <c r="B4857">
        <v>0.99193492352474899</v>
      </c>
      <c r="C4857">
        <v>0.95275187556738095</v>
      </c>
      <c r="D4857">
        <v>0.95569562379106698</v>
      </c>
      <c r="E4857">
        <v>0.79898313025249601</v>
      </c>
      <c r="F4857">
        <v>0.85173819347361501</v>
      </c>
      <c r="G4857">
        <v>0.55307250443407596</v>
      </c>
      <c r="H4857">
        <v>0.362110358257825</v>
      </c>
      <c r="I4857">
        <v>0.187209841400341</v>
      </c>
      <c r="J4857">
        <v>0.14922863911075701</v>
      </c>
      <c r="K4857">
        <v>0.141579268418348</v>
      </c>
      <c r="L4857">
        <v>748.94470456116198</v>
      </c>
      <c r="M4857">
        <v>12.9516748183584</v>
      </c>
      <c r="N4857">
        <v>57.954205635776702</v>
      </c>
      <c r="O4857">
        <v>56.4996009205232</v>
      </c>
      <c r="P4857">
        <v>-5.6510041984716798E-2</v>
      </c>
      <c r="Q4857">
        <v>1.41127945168701E-2</v>
      </c>
      <c r="R4857">
        <v>0.97978750719257801</v>
      </c>
      <c r="S4857" t="s">
        <v>11527</v>
      </c>
      <c r="T4857" t="s">
        <v>13338</v>
      </c>
      <c r="U4857" t="s">
        <v>13338</v>
      </c>
      <c r="V4857" t="s">
        <v>13338</v>
      </c>
      <c r="W4857" t="s">
        <v>18139</v>
      </c>
      <c r="X4857">
        <v>12</v>
      </c>
      <c r="Y4857" t="s">
        <v>24638</v>
      </c>
      <c r="Z4857" t="s">
        <v>31272</v>
      </c>
      <c r="AA4857">
        <v>0.61363862921985324</v>
      </c>
      <c r="AB4857" t="str">
        <f>HYPERLINK("Melting_Curves/meltCurve_Q92747_ARPC1A.pdf", "Melting_Curves/meltCurve_Q92747_ARPC1A.pdf")</f>
        <v>Melting_Curves/meltCurve_Q92747_ARPC1A.pdf</v>
      </c>
    </row>
    <row r="4858" spans="1:28" x14ac:dyDescent="0.25">
      <c r="A4858" t="s">
        <v>4862</v>
      </c>
      <c r="B4858">
        <v>0.99193492352474899</v>
      </c>
      <c r="C4858">
        <v>0.53281634467729599</v>
      </c>
      <c r="D4858">
        <v>0.818427509531921</v>
      </c>
      <c r="E4858">
        <v>0.410043610622359</v>
      </c>
      <c r="F4858">
        <v>0.279699684946976</v>
      </c>
      <c r="G4858">
        <v>0.62274800780912998</v>
      </c>
      <c r="H4858">
        <v>0.25819264551382898</v>
      </c>
      <c r="I4858">
        <v>0.41836931918677001</v>
      </c>
      <c r="J4858">
        <v>0.55366984395525398</v>
      </c>
      <c r="K4858">
        <v>0.40023436827331899</v>
      </c>
      <c r="L4858">
        <v>699.02107161183403</v>
      </c>
      <c r="M4858">
        <v>16.0751354889744</v>
      </c>
      <c r="N4858">
        <v>48.978450098318902</v>
      </c>
      <c r="O4858">
        <v>42.828372426911699</v>
      </c>
      <c r="P4858">
        <v>-5.4652664779170898E-2</v>
      </c>
      <c r="Q4858">
        <v>0.41760881798467803</v>
      </c>
      <c r="R4858">
        <v>0.53880616322957597</v>
      </c>
      <c r="S4858" t="s">
        <v>11528</v>
      </c>
      <c r="T4858" t="s">
        <v>13338</v>
      </c>
      <c r="U4858" t="s">
        <v>13338</v>
      </c>
      <c r="V4858" t="s">
        <v>13338</v>
      </c>
      <c r="W4858" t="s">
        <v>18140</v>
      </c>
      <c r="X4858">
        <v>2</v>
      </c>
      <c r="Y4858" t="s">
        <v>24639</v>
      </c>
      <c r="Z4858" t="s">
        <v>31273</v>
      </c>
      <c r="AA4858">
        <v>0.5050450244599336</v>
      </c>
      <c r="AB4858" t="str">
        <f>HYPERLINK("Melting_Curves/meltCurve_Q92759_GTF2H4.pdf", "Melting_Curves/meltCurve_Q92759_GTF2H4.pdf")</f>
        <v>Melting_Curves/meltCurve_Q92759_GTF2H4.pdf</v>
      </c>
    </row>
    <row r="4859" spans="1:28" x14ac:dyDescent="0.25">
      <c r="A4859" t="s">
        <v>4863</v>
      </c>
      <c r="B4859">
        <v>0.99193492352474899</v>
      </c>
      <c r="C4859">
        <v>1.70047767392369</v>
      </c>
      <c r="D4859">
        <v>0.56338243917972297</v>
      </c>
      <c r="E4859">
        <v>0.78992748377198096</v>
      </c>
      <c r="F4859">
        <v>0.19757426190284599</v>
      </c>
      <c r="G4859">
        <v>0.15908711651698099</v>
      </c>
      <c r="H4859">
        <v>0.100551104761733</v>
      </c>
      <c r="I4859">
        <v>0.18324011379741001</v>
      </c>
      <c r="J4859">
        <v>0.20433069934923201</v>
      </c>
      <c r="K4859">
        <v>0.229113628654805</v>
      </c>
      <c r="L4859">
        <v>1470.51941288373</v>
      </c>
      <c r="M4859">
        <v>29.2852226132925</v>
      </c>
      <c r="N4859">
        <v>50.880176897708601</v>
      </c>
      <c r="O4859">
        <v>49.981309767505003</v>
      </c>
      <c r="P4859">
        <v>-0.123147412143072</v>
      </c>
      <c r="Q4859">
        <v>0.15929962685535201</v>
      </c>
      <c r="R4859">
        <v>0.71428813592126605</v>
      </c>
      <c r="S4859" t="s">
        <v>11529</v>
      </c>
      <c r="T4859" t="s">
        <v>13338</v>
      </c>
      <c r="U4859" t="s">
        <v>13338</v>
      </c>
      <c r="V4859" t="s">
        <v>13338</v>
      </c>
      <c r="W4859" t="s">
        <v>18141</v>
      </c>
      <c r="X4859">
        <v>6</v>
      </c>
      <c r="Y4859" t="s">
        <v>24640</v>
      </c>
      <c r="Z4859" t="s">
        <v>31274</v>
      </c>
      <c r="AA4859">
        <v>0.45099993763005092</v>
      </c>
      <c r="AB4859" t="str">
        <f>HYPERLINK("Melting_Curves/meltCurve_Q92766_RREB1.pdf", "Melting_Curves/meltCurve_Q92766_RREB1.pdf")</f>
        <v>Melting_Curves/meltCurve_Q92766_RREB1.pdf</v>
      </c>
    </row>
    <row r="4860" spans="1:28" x14ac:dyDescent="0.25">
      <c r="A4860" t="s">
        <v>4864</v>
      </c>
      <c r="B4860">
        <v>0.99193492352474899</v>
      </c>
      <c r="C4860">
        <v>0.93072857335989301</v>
      </c>
      <c r="D4860">
        <v>0.92125153974250096</v>
      </c>
      <c r="E4860">
        <v>0.62703008045975495</v>
      </c>
      <c r="F4860">
        <v>0.191638414823637</v>
      </c>
      <c r="G4860">
        <v>0.112262439927828</v>
      </c>
      <c r="H4860">
        <v>7.3352378093881399E-2</v>
      </c>
      <c r="I4860">
        <v>6.2755039085945499E-2</v>
      </c>
      <c r="J4860">
        <v>7.6138742306272197E-2</v>
      </c>
      <c r="K4860">
        <v>8.7150507424983301E-2</v>
      </c>
      <c r="L4860">
        <v>1495.14505612226</v>
      </c>
      <c r="M4860">
        <v>29.8229114566223</v>
      </c>
      <c r="N4860">
        <v>50.399862713115397</v>
      </c>
      <c r="O4860">
        <v>49.9103041871819</v>
      </c>
      <c r="P4860">
        <v>-0.13851494934873099</v>
      </c>
      <c r="Q4860">
        <v>7.2756111978521304E-2</v>
      </c>
      <c r="R4860">
        <v>0.99620270127479005</v>
      </c>
      <c r="S4860" t="s">
        <v>11530</v>
      </c>
      <c r="T4860" t="s">
        <v>13338</v>
      </c>
      <c r="U4860" t="s">
        <v>13338</v>
      </c>
      <c r="V4860" t="s">
        <v>13338</v>
      </c>
      <c r="W4860" t="s">
        <v>18142</v>
      </c>
      <c r="X4860">
        <v>13</v>
      </c>
      <c r="Y4860" t="s">
        <v>24641</v>
      </c>
      <c r="Z4860" t="s">
        <v>31275</v>
      </c>
      <c r="AA4860">
        <v>0.39179925147681538</v>
      </c>
      <c r="AB4860" t="str">
        <f>HYPERLINK("Melting_Curves/meltCurve_Q92783_2_STAM.pdf", "Melting_Curves/meltCurve_Q92783_2_STAM.pdf")</f>
        <v>Melting_Curves/meltCurve_Q92783_2_STAM.pdf</v>
      </c>
    </row>
    <row r="4861" spans="1:28" x14ac:dyDescent="0.25">
      <c r="A4861" t="s">
        <v>4865</v>
      </c>
      <c r="B4861">
        <v>0.99193492352474899</v>
      </c>
      <c r="C4861">
        <v>0.68267798535936897</v>
      </c>
      <c r="D4861">
        <v>0.65935974097417605</v>
      </c>
      <c r="E4861">
        <v>0.48249331556122799</v>
      </c>
      <c r="F4861">
        <v>0.357708707431735</v>
      </c>
      <c r="G4861">
        <v>0.227586263670227</v>
      </c>
      <c r="H4861">
        <v>0.23537667631606499</v>
      </c>
      <c r="I4861">
        <v>0.32418481699630802</v>
      </c>
      <c r="J4861">
        <v>0.44446735131887</v>
      </c>
      <c r="K4861">
        <v>0.46790030402061</v>
      </c>
      <c r="L4861">
        <v>763.30131272359597</v>
      </c>
      <c r="M4861">
        <v>17.062171149457999</v>
      </c>
      <c r="N4861">
        <v>47.929624875619801</v>
      </c>
      <c r="O4861">
        <v>44.135521099860902</v>
      </c>
      <c r="P4861">
        <v>-6.3832759094953395E-2</v>
      </c>
      <c r="Q4861">
        <v>0.33956374197801698</v>
      </c>
      <c r="R4861">
        <v>0.844189470737996</v>
      </c>
      <c r="S4861" t="s">
        <v>11531</v>
      </c>
      <c r="T4861" t="s">
        <v>13338</v>
      </c>
      <c r="U4861" t="s">
        <v>13338</v>
      </c>
      <c r="V4861" t="s">
        <v>13338</v>
      </c>
      <c r="W4861" t="s">
        <v>18143</v>
      </c>
      <c r="X4861">
        <v>6</v>
      </c>
      <c r="Y4861" t="s">
        <v>24642</v>
      </c>
      <c r="Z4861" t="s">
        <v>31276</v>
      </c>
      <c r="AA4861">
        <v>0.46039378097545558</v>
      </c>
      <c r="AB4861" t="str">
        <f>HYPERLINK("Melting_Curves/meltCurve_Q92784_DPF3.pdf", "Melting_Curves/meltCurve_Q92784_DPF3.pdf")</f>
        <v>Melting_Curves/meltCurve_Q92784_DPF3.pdf</v>
      </c>
    </row>
    <row r="4862" spans="1:28" x14ac:dyDescent="0.25">
      <c r="A4862" t="s">
        <v>4866</v>
      </c>
      <c r="B4862">
        <v>0.99193492352474899</v>
      </c>
      <c r="C4862">
        <v>0.67476061968715695</v>
      </c>
      <c r="D4862">
        <v>0.66896633967779595</v>
      </c>
      <c r="E4862">
        <v>0.35306528439804402</v>
      </c>
      <c r="F4862">
        <v>0.29881882425188699</v>
      </c>
      <c r="G4862">
        <v>0.16991218415366499</v>
      </c>
      <c r="H4862">
        <v>0.13150367851411199</v>
      </c>
      <c r="I4862">
        <v>0.151501958005888</v>
      </c>
      <c r="J4862">
        <v>0.213090040061749</v>
      </c>
      <c r="K4862">
        <v>0.22571174859005</v>
      </c>
      <c r="L4862">
        <v>679.08311493768701</v>
      </c>
      <c r="M4862">
        <v>14.743879176420901</v>
      </c>
      <c r="N4862">
        <v>47.343796947948697</v>
      </c>
      <c r="O4862">
        <v>45.2362557101305</v>
      </c>
      <c r="P4862">
        <v>-6.80523199608149E-2</v>
      </c>
      <c r="Q4862">
        <v>0.16491496078753801</v>
      </c>
      <c r="R4862">
        <v>0.95078308621532603</v>
      </c>
      <c r="S4862" t="s">
        <v>11532</v>
      </c>
      <c r="T4862" t="s">
        <v>13338</v>
      </c>
      <c r="U4862" t="s">
        <v>13338</v>
      </c>
      <c r="V4862" t="s">
        <v>13338</v>
      </c>
      <c r="W4862" t="s">
        <v>18144</v>
      </c>
      <c r="X4862">
        <v>11</v>
      </c>
      <c r="Y4862" t="s">
        <v>24643</v>
      </c>
      <c r="Z4862" t="s">
        <v>31277</v>
      </c>
      <c r="AA4862">
        <v>0.35872715491070922</v>
      </c>
      <c r="AB4862" t="str">
        <f>HYPERLINK("Melting_Curves/meltCurve_Q92785_DPF2.pdf", "Melting_Curves/meltCurve_Q92785_DPF2.pdf")</f>
        <v>Melting_Curves/meltCurve_Q92785_DPF2.pdf</v>
      </c>
    </row>
    <row r="4863" spans="1:28" x14ac:dyDescent="0.25">
      <c r="A4863" t="s">
        <v>4867</v>
      </c>
      <c r="B4863">
        <v>0.99193492352474899</v>
      </c>
      <c r="C4863">
        <v>0.96179534365585595</v>
      </c>
      <c r="D4863">
        <v>0.99563037309339197</v>
      </c>
      <c r="E4863">
        <v>0.78669375050616497</v>
      </c>
      <c r="F4863">
        <v>0.68695051365968995</v>
      </c>
      <c r="G4863">
        <v>0.25701029830120697</v>
      </c>
      <c r="H4863">
        <v>0.176588168066804</v>
      </c>
      <c r="I4863">
        <v>0.20997668344829101</v>
      </c>
      <c r="J4863">
        <v>0.28323316757948902</v>
      </c>
      <c r="K4863">
        <v>0.200537719272534</v>
      </c>
      <c r="L4863">
        <v>1312.1894859459201</v>
      </c>
      <c r="M4863">
        <v>24.706310424820799</v>
      </c>
      <c r="N4863">
        <v>54.218770825138598</v>
      </c>
      <c r="O4863">
        <v>52.767222579597998</v>
      </c>
      <c r="P4863">
        <v>-9.3864883247772202E-2</v>
      </c>
      <c r="Q4863">
        <v>0.198112662341073</v>
      </c>
      <c r="R4863">
        <v>0.97022455728994905</v>
      </c>
      <c r="S4863" t="s">
        <v>11533</v>
      </c>
      <c r="T4863" t="s">
        <v>13338</v>
      </c>
      <c r="U4863" t="s">
        <v>13338</v>
      </c>
      <c r="V4863" t="s">
        <v>13338</v>
      </c>
      <c r="W4863" t="s">
        <v>18145</v>
      </c>
      <c r="X4863">
        <v>8</v>
      </c>
      <c r="Y4863" t="s">
        <v>24644</v>
      </c>
      <c r="Z4863" t="s">
        <v>31278</v>
      </c>
      <c r="AA4863">
        <v>0.55613152677310729</v>
      </c>
      <c r="AB4863" t="str">
        <f>HYPERLINK("Melting_Curves/meltCurve_Q92793_CREBBP.pdf", "Melting_Curves/meltCurve_Q92793_CREBBP.pdf")</f>
        <v>Melting_Curves/meltCurve_Q92793_CREBBP.pdf</v>
      </c>
    </row>
    <row r="4864" spans="1:28" x14ac:dyDescent="0.25">
      <c r="A4864" t="s">
        <v>4868</v>
      </c>
      <c r="B4864">
        <v>0.99193492352474899</v>
      </c>
      <c r="C4864">
        <v>0.74741665758189602</v>
      </c>
      <c r="D4864">
        <v>0.565603130298311</v>
      </c>
      <c r="E4864">
        <v>0.15168044505877501</v>
      </c>
      <c r="F4864">
        <v>0.11696758199566</v>
      </c>
      <c r="G4864">
        <v>5.8737520561054697E-2</v>
      </c>
      <c r="H4864">
        <v>4.23426024829852E-2</v>
      </c>
      <c r="I4864">
        <v>3.566633671266E-2</v>
      </c>
      <c r="J4864">
        <v>4.39217890883647E-2</v>
      </c>
      <c r="K4864">
        <v>4.5103139532081699E-2</v>
      </c>
      <c r="L4864">
        <v>929.393009121707</v>
      </c>
      <c r="M4864">
        <v>20.264894997799299</v>
      </c>
      <c r="N4864">
        <v>46.042033366391898</v>
      </c>
      <c r="O4864">
        <v>45.422612025474201</v>
      </c>
      <c r="P4864">
        <v>-0.107294986311657</v>
      </c>
      <c r="Q4864">
        <v>3.8046959875300303E-2</v>
      </c>
      <c r="R4864">
        <v>0.98833812072984994</v>
      </c>
      <c r="S4864" t="s">
        <v>11534</v>
      </c>
      <c r="T4864" t="s">
        <v>13338</v>
      </c>
      <c r="U4864" t="s">
        <v>13338</v>
      </c>
      <c r="V4864" t="s">
        <v>13338</v>
      </c>
      <c r="W4864" t="s">
        <v>18146</v>
      </c>
      <c r="X4864">
        <v>24</v>
      </c>
      <c r="Y4864" t="s">
        <v>24645</v>
      </c>
      <c r="Z4864" t="s">
        <v>31279</v>
      </c>
      <c r="AA4864">
        <v>0.24059294885395011</v>
      </c>
      <c r="AB4864" t="str">
        <f>HYPERLINK("Melting_Curves/meltCurve_Q92797_SYMPK.pdf", "Melting_Curves/meltCurve_Q92797_SYMPK.pdf")</f>
        <v>Melting_Curves/meltCurve_Q92797_SYMPK.pdf</v>
      </c>
    </row>
    <row r="4865" spans="1:28" x14ac:dyDescent="0.25">
      <c r="A4865" t="s">
        <v>4869</v>
      </c>
      <c r="B4865">
        <v>0.99193492352474899</v>
      </c>
      <c r="C4865">
        <v>0.69357073207535902</v>
      </c>
      <c r="D4865">
        <v>0.829193358839867</v>
      </c>
      <c r="E4865">
        <v>0.69399029766894504</v>
      </c>
      <c r="F4865">
        <v>0.77076120099657397</v>
      </c>
      <c r="G4865">
        <v>0.638540555613341</v>
      </c>
      <c r="H4865">
        <v>0.99268546935295798</v>
      </c>
      <c r="I4865">
        <v>1.57691777893934</v>
      </c>
      <c r="J4865">
        <v>1.7061243926427601</v>
      </c>
      <c r="K4865">
        <v>2.00588978693838</v>
      </c>
      <c r="L4865">
        <v>15000</v>
      </c>
      <c r="M4865">
        <v>241.562611131393</v>
      </c>
      <c r="O4865">
        <v>62.091446254600498</v>
      </c>
      <c r="P4865">
        <v>0.48630412504354498</v>
      </c>
      <c r="Q4865">
        <v>1.5</v>
      </c>
      <c r="R4865">
        <v>0.67421154110632298</v>
      </c>
      <c r="S4865" t="s">
        <v>11535</v>
      </c>
      <c r="T4865" t="s">
        <v>13338</v>
      </c>
      <c r="U4865" t="s">
        <v>13338</v>
      </c>
      <c r="V4865" t="s">
        <v>13338</v>
      </c>
      <c r="W4865" t="s">
        <v>18147</v>
      </c>
      <c r="X4865">
        <v>15</v>
      </c>
      <c r="Y4865" t="s">
        <v>24646</v>
      </c>
      <c r="Z4865" t="s">
        <v>31280</v>
      </c>
      <c r="AA4865">
        <v>1.1316799318683901</v>
      </c>
      <c r="AB4865" t="str">
        <f>HYPERLINK("Melting_Curves/meltCurve_Q92804_2_TAF15.pdf", "Melting_Curves/meltCurve_Q92804_2_TAF15.pdf")</f>
        <v>Melting_Curves/meltCurve_Q92804_2_TAF15.pdf</v>
      </c>
    </row>
    <row r="4866" spans="1:28" x14ac:dyDescent="0.25">
      <c r="A4866" t="s">
        <v>4870</v>
      </c>
      <c r="B4866">
        <v>0.99193492352474899</v>
      </c>
      <c r="C4866">
        <v>0.89660819397805902</v>
      </c>
      <c r="D4866">
        <v>0.802830008042556</v>
      </c>
      <c r="E4866">
        <v>0.33742618209871</v>
      </c>
      <c r="F4866">
        <v>0.22559182024553501</v>
      </c>
      <c r="G4866">
        <v>0.11405142741603801</v>
      </c>
      <c r="H4866">
        <v>7.8248833059506098E-2</v>
      </c>
      <c r="I4866">
        <v>0.129100374494208</v>
      </c>
      <c r="J4866">
        <v>0.17632668470621299</v>
      </c>
      <c r="K4866">
        <v>0.13808400314191399</v>
      </c>
      <c r="L4866">
        <v>1260.8250725840201</v>
      </c>
      <c r="M4866">
        <v>26.3954329440358</v>
      </c>
      <c r="N4866">
        <v>48.310730303328498</v>
      </c>
      <c r="O4866">
        <v>47.495148982142702</v>
      </c>
      <c r="P4866">
        <v>-0.121078071423131</v>
      </c>
      <c r="Q4866">
        <v>0.128552526226029</v>
      </c>
      <c r="R4866">
        <v>0.98836289213508399</v>
      </c>
      <c r="S4866" t="s">
        <v>11536</v>
      </c>
      <c r="T4866" t="s">
        <v>13338</v>
      </c>
      <c r="U4866" t="s">
        <v>13338</v>
      </c>
      <c r="V4866" t="s">
        <v>13338</v>
      </c>
      <c r="W4866" t="s">
        <v>18148</v>
      </c>
      <c r="X4866">
        <v>1</v>
      </c>
      <c r="Y4866" t="s">
        <v>24647</v>
      </c>
      <c r="Z4866" t="s">
        <v>31281</v>
      </c>
      <c r="AA4866">
        <v>0.36102884826363463</v>
      </c>
      <c r="AB4866" t="str">
        <f>HYPERLINK("Melting_Curves/meltCurve_Q92805_GOLGA1.pdf", "Melting_Curves/meltCurve_Q92805_GOLGA1.pdf")</f>
        <v>Melting_Curves/meltCurve_Q92805_GOLGA1.pdf</v>
      </c>
    </row>
    <row r="4867" spans="1:28" x14ac:dyDescent="0.25">
      <c r="A4867" t="s">
        <v>4871</v>
      </c>
      <c r="B4867">
        <v>0.99193492352474899</v>
      </c>
      <c r="C4867">
        <v>0.89050135045824896</v>
      </c>
      <c r="D4867">
        <v>1.02382968159377</v>
      </c>
      <c r="E4867">
        <v>0.79178739604052895</v>
      </c>
      <c r="F4867">
        <v>0.853785616011287</v>
      </c>
      <c r="G4867">
        <v>0.72792057731251203</v>
      </c>
      <c r="H4867">
        <v>0.56337597745540702</v>
      </c>
      <c r="I4867">
        <v>0.48422137203023302</v>
      </c>
      <c r="J4867">
        <v>0.39671533485454902</v>
      </c>
      <c r="K4867">
        <v>0.30508859031507302</v>
      </c>
      <c r="L4867">
        <v>481.463374797185</v>
      </c>
      <c r="M4867">
        <v>7.6127799241551202</v>
      </c>
      <c r="N4867">
        <v>63.244093853001701</v>
      </c>
      <c r="O4867">
        <v>59.322814721816599</v>
      </c>
      <c r="P4867">
        <v>-3.2125653912940699E-2</v>
      </c>
      <c r="Q4867">
        <v>0</v>
      </c>
      <c r="R4867">
        <v>0.95447913648537297</v>
      </c>
      <c r="S4867" t="s">
        <v>11537</v>
      </c>
      <c r="T4867" t="s">
        <v>13338</v>
      </c>
      <c r="U4867" t="s">
        <v>13338</v>
      </c>
      <c r="V4867" t="s">
        <v>13338</v>
      </c>
      <c r="W4867" t="s">
        <v>18149</v>
      </c>
      <c r="X4867">
        <v>7</v>
      </c>
      <c r="Y4867" t="s">
        <v>24648</v>
      </c>
      <c r="Z4867" t="s">
        <v>31282</v>
      </c>
      <c r="AA4867">
        <v>0.7184413398933357</v>
      </c>
      <c r="AB4867" t="str">
        <f>HYPERLINK("Melting_Curves/meltCurve_Q92820_GGH.pdf", "Melting_Curves/meltCurve_Q92820_GGH.pdf")</f>
        <v>Melting_Curves/meltCurve_Q92820_GGH.pdf</v>
      </c>
    </row>
    <row r="4868" spans="1:28" x14ac:dyDescent="0.25">
      <c r="A4868" t="s">
        <v>4872</v>
      </c>
      <c r="B4868">
        <v>0.99193492352474899</v>
      </c>
      <c r="C4868">
        <v>0.38652155370831898</v>
      </c>
      <c r="D4868">
        <v>0.51272667475913802</v>
      </c>
      <c r="E4868">
        <v>0.234334117930874</v>
      </c>
      <c r="F4868">
        <v>0.14771649574450599</v>
      </c>
      <c r="G4868">
        <v>0.10371633691849801</v>
      </c>
      <c r="H4868">
        <v>6.7690625610004607E-2</v>
      </c>
      <c r="I4868">
        <v>7.5386776264588701E-2</v>
      </c>
      <c r="J4868">
        <v>8.8421220029757205E-2</v>
      </c>
      <c r="K4868">
        <v>8.8639960534957096E-2</v>
      </c>
      <c r="L4868">
        <v>644.28176926394303</v>
      </c>
      <c r="M4868">
        <v>14.6850017259121</v>
      </c>
      <c r="N4868">
        <v>44.391368105298298</v>
      </c>
      <c r="O4868">
        <v>43.083957762289202</v>
      </c>
      <c r="P4868">
        <v>-7.8511859227206396E-2</v>
      </c>
      <c r="Q4868">
        <v>7.8725259728797403E-2</v>
      </c>
      <c r="R4868">
        <v>0.87458121183639903</v>
      </c>
      <c r="S4868" t="s">
        <v>11538</v>
      </c>
      <c r="T4868" t="s">
        <v>13338</v>
      </c>
      <c r="U4868" t="s">
        <v>13338</v>
      </c>
      <c r="V4868" t="s">
        <v>13338</v>
      </c>
      <c r="W4868" t="s">
        <v>18150</v>
      </c>
      <c r="X4868">
        <v>1</v>
      </c>
      <c r="Y4868" t="s">
        <v>24649</v>
      </c>
      <c r="Z4868" t="s">
        <v>31283</v>
      </c>
      <c r="AA4868">
        <v>0.23315808282708109</v>
      </c>
      <c r="AB4868" t="str">
        <f>HYPERLINK("Melting_Curves/meltCurve_Q92828_CORO2A.pdf", "Melting_Curves/meltCurve_Q92828_CORO2A.pdf")</f>
        <v>Melting_Curves/meltCurve_Q92828_CORO2A.pdf</v>
      </c>
    </row>
    <row r="4869" spans="1:28" x14ac:dyDescent="0.25">
      <c r="A4869" t="s">
        <v>4873</v>
      </c>
      <c r="B4869">
        <v>0.99193492352474899</v>
      </c>
      <c r="C4869">
        <v>0.91456329331865005</v>
      </c>
      <c r="D4869">
        <v>0.89817067578384102</v>
      </c>
      <c r="E4869">
        <v>0.67927898448188595</v>
      </c>
      <c r="F4869">
        <v>0.31989864140040802</v>
      </c>
      <c r="G4869">
        <v>0.124943244566636</v>
      </c>
      <c r="H4869">
        <v>7.5872056573395505E-2</v>
      </c>
      <c r="I4869">
        <v>9.8593429864391E-2</v>
      </c>
      <c r="J4869">
        <v>0.112270527358787</v>
      </c>
      <c r="K4869">
        <v>0.155608743841608</v>
      </c>
      <c r="L4869">
        <v>1213.4286624062199</v>
      </c>
      <c r="M4869">
        <v>23.9678086062641</v>
      </c>
      <c r="N4869">
        <v>51.094346105711502</v>
      </c>
      <c r="O4869">
        <v>50.278947340959597</v>
      </c>
      <c r="P4869">
        <v>-0.107455347321568</v>
      </c>
      <c r="Q4869">
        <v>9.8347962287699695E-2</v>
      </c>
      <c r="R4869">
        <v>0.99056145844973897</v>
      </c>
      <c r="S4869" t="s">
        <v>11539</v>
      </c>
      <c r="T4869" t="s">
        <v>13338</v>
      </c>
      <c r="U4869" t="s">
        <v>13338</v>
      </c>
      <c r="V4869" t="s">
        <v>13338</v>
      </c>
      <c r="W4869" t="s">
        <v>18151</v>
      </c>
      <c r="X4869">
        <v>5</v>
      </c>
      <c r="Y4869" t="s">
        <v>24650</v>
      </c>
      <c r="Z4869" t="s">
        <v>31284</v>
      </c>
      <c r="AA4869">
        <v>0.42657427918502638</v>
      </c>
      <c r="AB4869" t="str">
        <f>HYPERLINK("Melting_Curves/meltCurve_Q92834_4_RPGR.pdf", "Melting_Curves/meltCurve_Q92834_4_RPGR.pdf")</f>
        <v>Melting_Curves/meltCurve_Q92834_4_RPGR.pdf</v>
      </c>
    </row>
    <row r="4870" spans="1:28" x14ac:dyDescent="0.25">
      <c r="A4870" t="s">
        <v>4874</v>
      </c>
      <c r="B4870">
        <v>0.99193492352474899</v>
      </c>
      <c r="C4870">
        <v>0.95049941812152094</v>
      </c>
      <c r="D4870">
        <v>0.90681296826775104</v>
      </c>
      <c r="E4870">
        <v>0.60514782963433</v>
      </c>
      <c r="F4870">
        <v>0.47971866964910198</v>
      </c>
      <c r="G4870">
        <v>0.251570838926647</v>
      </c>
      <c r="H4870">
        <v>0.220359353817945</v>
      </c>
      <c r="I4870">
        <v>0.27999196840628099</v>
      </c>
      <c r="J4870">
        <v>0.28713596685640602</v>
      </c>
      <c r="K4870">
        <v>0.45961370009958802</v>
      </c>
      <c r="L4870">
        <v>1158.2219824666699</v>
      </c>
      <c r="M4870">
        <v>23.477768722772801</v>
      </c>
      <c r="N4870">
        <v>51.354609635689798</v>
      </c>
      <c r="O4870">
        <v>48.978992917545497</v>
      </c>
      <c r="P4870">
        <v>-8.3694086774944304E-2</v>
      </c>
      <c r="Q4870">
        <v>0.30160645569685901</v>
      </c>
      <c r="R4870">
        <v>0.94419029816182598</v>
      </c>
      <c r="S4870" t="s">
        <v>11540</v>
      </c>
      <c r="T4870" t="s">
        <v>13338</v>
      </c>
      <c r="U4870" t="s">
        <v>13338</v>
      </c>
      <c r="V4870" t="s">
        <v>13338</v>
      </c>
      <c r="W4870" t="s">
        <v>18152</v>
      </c>
      <c r="X4870">
        <v>1</v>
      </c>
      <c r="Y4870" t="s">
        <v>24651</v>
      </c>
      <c r="Z4870" t="s">
        <v>31285</v>
      </c>
      <c r="AA4870">
        <v>0.52592236764189582</v>
      </c>
      <c r="AB4870" t="str">
        <f>HYPERLINK("Melting_Curves/meltCurve_Q92838_2_EDA.pdf", "Melting_Curves/meltCurve_Q92838_2_EDA.pdf")</f>
        <v>Melting_Curves/meltCurve_Q92838_2_EDA.pdf</v>
      </c>
    </row>
    <row r="4871" spans="1:28" x14ac:dyDescent="0.25">
      <c r="A4871" t="s">
        <v>4875</v>
      </c>
      <c r="B4871">
        <v>0.99193492352474899</v>
      </c>
      <c r="C4871">
        <v>0.75021415226658295</v>
      </c>
      <c r="D4871">
        <v>0.78074630129812095</v>
      </c>
      <c r="E4871">
        <v>0.54982222050400198</v>
      </c>
      <c r="F4871">
        <v>0.30262551122649101</v>
      </c>
      <c r="G4871">
        <v>0.198312441321632</v>
      </c>
      <c r="H4871">
        <v>0.207626950214194</v>
      </c>
      <c r="I4871">
        <v>0.32965839991114099</v>
      </c>
      <c r="J4871">
        <v>0.61427874231359403</v>
      </c>
      <c r="K4871">
        <v>0.88401284642959399</v>
      </c>
      <c r="L4871">
        <v>953.56623626908197</v>
      </c>
      <c r="M4871">
        <v>21.003798580724901</v>
      </c>
      <c r="N4871">
        <v>50.059415886068201</v>
      </c>
      <c r="O4871">
        <v>44.994180041495902</v>
      </c>
      <c r="P4871">
        <v>-6.6612808828757405E-2</v>
      </c>
      <c r="Q4871">
        <v>0.42922548761485602</v>
      </c>
      <c r="R4871">
        <v>0.45778062598779501</v>
      </c>
      <c r="S4871" t="s">
        <v>11541</v>
      </c>
      <c r="T4871" t="s">
        <v>13338</v>
      </c>
      <c r="U4871" t="s">
        <v>13338</v>
      </c>
      <c r="V4871" t="s">
        <v>13338</v>
      </c>
      <c r="W4871" t="s">
        <v>18153</v>
      </c>
      <c r="X4871">
        <v>7</v>
      </c>
      <c r="Y4871" t="s">
        <v>24652</v>
      </c>
      <c r="Z4871" t="s">
        <v>31286</v>
      </c>
      <c r="AA4871">
        <v>0.54022915054488196</v>
      </c>
      <c r="AB4871" t="str">
        <f>HYPERLINK("Melting_Curves/meltCurve_Q92843_2_BCL2L2.pdf", "Melting_Curves/meltCurve_Q92843_2_BCL2L2.pdf")</f>
        <v>Melting_Curves/meltCurve_Q92843_2_BCL2L2.pdf</v>
      </c>
    </row>
    <row r="4872" spans="1:28" x14ac:dyDescent="0.25">
      <c r="A4872" t="s">
        <v>4876</v>
      </c>
      <c r="B4872">
        <v>0.99193492352474899</v>
      </c>
      <c r="C4872">
        <v>0.64042614466733205</v>
      </c>
      <c r="D4872">
        <v>0.66286871043255702</v>
      </c>
      <c r="E4872">
        <v>0.22394838632167499</v>
      </c>
      <c r="F4872">
        <v>0.15443047420942599</v>
      </c>
      <c r="G4872">
        <v>9.8095042392628201E-2</v>
      </c>
      <c r="H4872">
        <v>0.13078192470116301</v>
      </c>
      <c r="I4872">
        <v>0.17325869319506801</v>
      </c>
      <c r="J4872">
        <v>0.33558848923054801</v>
      </c>
      <c r="K4872">
        <v>0.568452425875696</v>
      </c>
      <c r="L4872">
        <v>948.50634543686795</v>
      </c>
      <c r="M4872">
        <v>21.2680272011998</v>
      </c>
      <c r="N4872">
        <v>45.983166751642102</v>
      </c>
      <c r="O4872">
        <v>44.209090569068898</v>
      </c>
      <c r="P4872">
        <v>-9.1821180144641495E-2</v>
      </c>
      <c r="Q4872">
        <v>0.23655781271758999</v>
      </c>
      <c r="R4872">
        <v>0.726417627989278</v>
      </c>
      <c r="S4872" t="s">
        <v>11542</v>
      </c>
      <c r="T4872" t="s">
        <v>13338</v>
      </c>
      <c r="U4872" t="s">
        <v>13338</v>
      </c>
      <c r="V4872" t="s">
        <v>13338</v>
      </c>
      <c r="W4872" t="s">
        <v>18154</v>
      </c>
      <c r="X4872">
        <v>3</v>
      </c>
      <c r="Y4872" t="s">
        <v>24653</v>
      </c>
      <c r="Z4872" t="s">
        <v>31287</v>
      </c>
      <c r="AA4872">
        <v>0.3653165913480933</v>
      </c>
      <c r="AB4872" t="str">
        <f>HYPERLINK("Melting_Curves/meltCurve_Q92844_TANK.pdf", "Melting_Curves/meltCurve_Q92844_TANK.pdf")</f>
        <v>Melting_Curves/meltCurve_Q92844_TANK.pdf</v>
      </c>
    </row>
    <row r="4873" spans="1:28" x14ac:dyDescent="0.25">
      <c r="A4873" t="s">
        <v>4877</v>
      </c>
      <c r="B4873">
        <v>0.99193492352474899</v>
      </c>
      <c r="C4873">
        <v>0.94389001539085404</v>
      </c>
      <c r="D4873">
        <v>1.15032218576713</v>
      </c>
      <c r="E4873">
        <v>0.61581385121221799</v>
      </c>
      <c r="F4873">
        <v>0.49225010811431502</v>
      </c>
      <c r="G4873">
        <v>0.25331975203461299</v>
      </c>
      <c r="H4873">
        <v>0.16117665378565199</v>
      </c>
      <c r="I4873">
        <v>0.13317089619699399</v>
      </c>
      <c r="J4873">
        <v>0.151033058104657</v>
      </c>
      <c r="K4873">
        <v>0.110169690734623</v>
      </c>
      <c r="L4873">
        <v>1091.1078267616001</v>
      </c>
      <c r="M4873">
        <v>21.118808868760802</v>
      </c>
      <c r="N4873">
        <v>52.409867689826797</v>
      </c>
      <c r="O4873">
        <v>51.208665831987197</v>
      </c>
      <c r="P4873">
        <v>-8.9740720441819799E-2</v>
      </c>
      <c r="Q4873">
        <v>0.129613446145594</v>
      </c>
      <c r="R4873">
        <v>0.95403801881076</v>
      </c>
      <c r="S4873" t="s">
        <v>11543</v>
      </c>
      <c r="T4873" t="s">
        <v>13338</v>
      </c>
      <c r="U4873" t="s">
        <v>13338</v>
      </c>
      <c r="V4873" t="s">
        <v>13338</v>
      </c>
      <c r="W4873" t="s">
        <v>18155</v>
      </c>
      <c r="X4873">
        <v>5</v>
      </c>
      <c r="Y4873" t="s">
        <v>24654</v>
      </c>
      <c r="Z4873" t="s">
        <v>31288</v>
      </c>
      <c r="AA4873">
        <v>0.47896729625579809</v>
      </c>
      <c r="AB4873" t="str">
        <f>HYPERLINK("Melting_Curves/meltCurve_Q92851_4_CASP10.pdf", "Melting_Curves/meltCurve_Q92851_4_CASP10.pdf")</f>
        <v>Melting_Curves/meltCurve_Q92851_4_CASP10.pdf</v>
      </c>
    </row>
    <row r="4874" spans="1:28" x14ac:dyDescent="0.25">
      <c r="A4874" t="s">
        <v>4878</v>
      </c>
      <c r="B4874">
        <v>0.99193492352474899</v>
      </c>
      <c r="C4874">
        <v>0.92040721631918299</v>
      </c>
      <c r="D4874">
        <v>0.91744314964610796</v>
      </c>
      <c r="E4874">
        <v>0.76170911844914202</v>
      </c>
      <c r="F4874">
        <v>0.60890875349679596</v>
      </c>
      <c r="G4874">
        <v>0.49341175441207502</v>
      </c>
      <c r="H4874">
        <v>0.35527548821517102</v>
      </c>
      <c r="I4874">
        <v>0.38606556178471302</v>
      </c>
      <c r="J4874">
        <v>0.41423265509110702</v>
      </c>
      <c r="K4874">
        <v>0.42003158506863503</v>
      </c>
      <c r="L4874">
        <v>809.79630247548403</v>
      </c>
      <c r="M4874">
        <v>15.8496368400956</v>
      </c>
      <c r="N4874">
        <v>56.037187795844503</v>
      </c>
      <c r="O4874">
        <v>50.299835542947797</v>
      </c>
      <c r="P4874">
        <v>-4.9118576303254502E-2</v>
      </c>
      <c r="Q4874">
        <v>0.37652701869358501</v>
      </c>
      <c r="R4874">
        <v>0.98290618760998405</v>
      </c>
      <c r="S4874" t="s">
        <v>11544</v>
      </c>
      <c r="T4874" t="s">
        <v>13338</v>
      </c>
      <c r="U4874" t="s">
        <v>13338</v>
      </c>
      <c r="V4874" t="s">
        <v>13338</v>
      </c>
      <c r="W4874" t="s">
        <v>18156</v>
      </c>
      <c r="X4874">
        <v>17</v>
      </c>
      <c r="Y4874" t="s">
        <v>24655</v>
      </c>
      <c r="Z4874" t="s">
        <v>31289</v>
      </c>
      <c r="AA4874">
        <v>0.6201568345833095</v>
      </c>
      <c r="AB4874" t="str">
        <f>HYPERLINK("Melting_Curves/meltCurve_Q92854_SEMA4D.pdf", "Melting_Curves/meltCurve_Q92854_SEMA4D.pdf")</f>
        <v>Melting_Curves/meltCurve_Q92854_SEMA4D.pdf</v>
      </c>
    </row>
    <row r="4875" spans="1:28" x14ac:dyDescent="0.25">
      <c r="A4875" t="s">
        <v>4879</v>
      </c>
      <c r="B4875">
        <v>0.99193492352474899</v>
      </c>
      <c r="C4875">
        <v>0.88947517309456503</v>
      </c>
      <c r="D4875">
        <v>0.90909844195718503</v>
      </c>
      <c r="E4875">
        <v>0.71420105822476598</v>
      </c>
      <c r="F4875">
        <v>0.566806263312567</v>
      </c>
      <c r="G4875">
        <v>0.36206127750119299</v>
      </c>
      <c r="H4875">
        <v>0.25215861085256902</v>
      </c>
      <c r="I4875">
        <v>0.28860718740755598</v>
      </c>
      <c r="J4875">
        <v>0.28213727268670602</v>
      </c>
      <c r="K4875">
        <v>0.36062106348973</v>
      </c>
      <c r="L4875">
        <v>838.06789466243197</v>
      </c>
      <c r="M4875">
        <v>16.4291343849276</v>
      </c>
      <c r="N4875">
        <v>53.607909454538699</v>
      </c>
      <c r="O4875">
        <v>50.273288261164602</v>
      </c>
      <c r="P4875">
        <v>-5.92850585350643E-2</v>
      </c>
      <c r="Q4875">
        <v>0.27440027857351601</v>
      </c>
      <c r="R4875">
        <v>0.97296778125202299</v>
      </c>
      <c r="S4875" t="s">
        <v>11545</v>
      </c>
      <c r="T4875" t="s">
        <v>13338</v>
      </c>
      <c r="U4875" t="s">
        <v>13338</v>
      </c>
      <c r="V4875" t="s">
        <v>13338</v>
      </c>
      <c r="W4875" t="s">
        <v>18157</v>
      </c>
      <c r="X4875">
        <v>19</v>
      </c>
      <c r="Y4875" t="s">
        <v>24656</v>
      </c>
      <c r="Z4875" t="s">
        <v>31290</v>
      </c>
      <c r="AA4875">
        <v>0.55508771785457978</v>
      </c>
      <c r="AB4875" t="str">
        <f>HYPERLINK("Melting_Curves/meltCurve_Q92859_3_NEO1.pdf", "Melting_Curves/meltCurve_Q92859_3_NEO1.pdf")</f>
        <v>Melting_Curves/meltCurve_Q92859_3_NEO1.pdf</v>
      </c>
    </row>
    <row r="4876" spans="1:28" x14ac:dyDescent="0.25">
      <c r="A4876" t="s">
        <v>4880</v>
      </c>
      <c r="B4876">
        <v>0.99193492352474899</v>
      </c>
      <c r="C4876">
        <v>0.81074518276619301</v>
      </c>
      <c r="D4876">
        <v>0.821697666786535</v>
      </c>
      <c r="E4876">
        <v>0.53045593612389996</v>
      </c>
      <c r="F4876">
        <v>0.25049033630165402</v>
      </c>
      <c r="G4876">
        <v>9.2507429189475701E-2</v>
      </c>
      <c r="H4876">
        <v>5.8137468566406302E-2</v>
      </c>
      <c r="I4876">
        <v>7.2016522434374494E-2</v>
      </c>
      <c r="J4876">
        <v>7.8509137670970397E-2</v>
      </c>
      <c r="K4876">
        <v>0.13049027464809801</v>
      </c>
      <c r="L4876">
        <v>858.629199936791</v>
      </c>
      <c r="M4876">
        <v>17.4471855917811</v>
      </c>
      <c r="N4876">
        <v>49.576159874538902</v>
      </c>
      <c r="O4876">
        <v>48.580184484885002</v>
      </c>
      <c r="P4876">
        <v>-8.4404861083228797E-2</v>
      </c>
      <c r="Q4876">
        <v>5.9980219453305901E-2</v>
      </c>
      <c r="R4876">
        <v>0.97915348809907898</v>
      </c>
      <c r="S4876" t="s">
        <v>11546</v>
      </c>
      <c r="T4876" t="s">
        <v>13338</v>
      </c>
      <c r="U4876" t="s">
        <v>13338</v>
      </c>
      <c r="V4876" t="s">
        <v>13338</v>
      </c>
      <c r="W4876" t="s">
        <v>18158</v>
      </c>
      <c r="X4876">
        <v>2</v>
      </c>
      <c r="Y4876" t="s">
        <v>24657</v>
      </c>
      <c r="Z4876" t="s">
        <v>31291</v>
      </c>
      <c r="AA4876">
        <v>0.36590714456698792</v>
      </c>
      <c r="AB4876" t="str">
        <f>HYPERLINK("Melting_Curves/meltCurve_Q92871_PMM1.pdf", "Melting_Curves/meltCurve_Q92871_PMM1.pdf")</f>
        <v>Melting_Curves/meltCurve_Q92871_PMM1.pdf</v>
      </c>
    </row>
    <row r="4877" spans="1:28" x14ac:dyDescent="0.25">
      <c r="A4877" t="s">
        <v>4881</v>
      </c>
      <c r="B4877">
        <v>0.99193492352474899</v>
      </c>
      <c r="C4877">
        <v>0.76010018701624205</v>
      </c>
      <c r="D4877">
        <v>0.85169449543309295</v>
      </c>
      <c r="E4877">
        <v>0.47754010576171302</v>
      </c>
      <c r="F4877">
        <v>0.232631150019914</v>
      </c>
      <c r="G4877">
        <v>0.12831849143871199</v>
      </c>
      <c r="H4877">
        <v>7.9862417480899103E-2</v>
      </c>
      <c r="I4877">
        <v>9.8436317771492102E-2</v>
      </c>
      <c r="J4877">
        <v>0.11772670047584199</v>
      </c>
      <c r="K4877">
        <v>0.12265981806012199</v>
      </c>
      <c r="L4877">
        <v>851.17976916097598</v>
      </c>
      <c r="M4877">
        <v>17.4600154716974</v>
      </c>
      <c r="N4877">
        <v>49.265600753929597</v>
      </c>
      <c r="O4877">
        <v>48.124216987293103</v>
      </c>
      <c r="P4877">
        <v>-8.3136483021645002E-2</v>
      </c>
      <c r="Q4877">
        <v>8.3470309127486902E-2</v>
      </c>
      <c r="R4877">
        <v>0.96595309000615803</v>
      </c>
      <c r="S4877" t="s">
        <v>11547</v>
      </c>
      <c r="T4877" t="s">
        <v>13338</v>
      </c>
      <c r="U4877" t="s">
        <v>13338</v>
      </c>
      <c r="V4877" t="s">
        <v>13338</v>
      </c>
      <c r="W4877" t="s">
        <v>18159</v>
      </c>
      <c r="X4877">
        <v>50</v>
      </c>
      <c r="Y4877" t="s">
        <v>24658</v>
      </c>
      <c r="Z4877" t="s">
        <v>31292</v>
      </c>
      <c r="AA4877">
        <v>0.36776049311541958</v>
      </c>
      <c r="AB4877" t="str">
        <f>HYPERLINK("Melting_Curves/meltCurve_Q92878_RAD50.pdf", "Melting_Curves/meltCurve_Q92878_RAD50.pdf")</f>
        <v>Melting_Curves/meltCurve_Q92878_RAD50.pdf</v>
      </c>
    </row>
    <row r="4878" spans="1:28" x14ac:dyDescent="0.25">
      <c r="A4878" t="s">
        <v>4882</v>
      </c>
      <c r="B4878">
        <v>0.99193492352474899</v>
      </c>
      <c r="C4878">
        <v>0.89290400681716497</v>
      </c>
      <c r="D4878">
        <v>0.72830706116198995</v>
      </c>
      <c r="E4878">
        <v>0.30919485539742603</v>
      </c>
      <c r="F4878">
        <v>0.17915316721208499</v>
      </c>
      <c r="G4878">
        <v>9.7814327326143799E-2</v>
      </c>
      <c r="H4878">
        <v>6.7108324789592194E-2</v>
      </c>
      <c r="I4878">
        <v>6.7020875636824198E-2</v>
      </c>
      <c r="J4878">
        <v>8.6509495240625595E-2</v>
      </c>
      <c r="K4878">
        <v>0.10229119917577099</v>
      </c>
      <c r="L4878">
        <v>1076.99760867737</v>
      </c>
      <c r="M4878">
        <v>22.676175114246799</v>
      </c>
      <c r="N4878">
        <v>47.861746657677401</v>
      </c>
      <c r="O4878">
        <v>47.129961939040903</v>
      </c>
      <c r="P4878">
        <v>-0.110687030190289</v>
      </c>
      <c r="Q4878">
        <v>7.9814902914365299E-2</v>
      </c>
      <c r="R4878">
        <v>0.99664734223310303</v>
      </c>
      <c r="S4878" t="s">
        <v>11548</v>
      </c>
      <c r="T4878" t="s">
        <v>13338</v>
      </c>
      <c r="U4878" t="s">
        <v>13338</v>
      </c>
      <c r="V4878" t="s">
        <v>13338</v>
      </c>
      <c r="W4878" t="s">
        <v>18160</v>
      </c>
      <c r="X4878">
        <v>9</v>
      </c>
      <c r="Y4878" t="s">
        <v>24659</v>
      </c>
      <c r="Z4878" t="s">
        <v>31293</v>
      </c>
      <c r="AA4878">
        <v>0.31977792496455559</v>
      </c>
      <c r="AB4878" t="str">
        <f>HYPERLINK("Melting_Curves/meltCurve_Q92882_OSTF1.pdf", "Melting_Curves/meltCurve_Q92882_OSTF1.pdf")</f>
        <v>Melting_Curves/meltCurve_Q92882_OSTF1.pdf</v>
      </c>
    </row>
    <row r="4879" spans="1:28" x14ac:dyDescent="0.25">
      <c r="A4879" t="s">
        <v>4883</v>
      </c>
      <c r="B4879">
        <v>0.99193492352474899</v>
      </c>
      <c r="C4879">
        <v>0.89016300907921797</v>
      </c>
      <c r="D4879">
        <v>0.72663480440394901</v>
      </c>
      <c r="E4879">
        <v>0.43905140873787801</v>
      </c>
      <c r="F4879">
        <v>0.17155424484547699</v>
      </c>
      <c r="G4879">
        <v>0.12129980536247301</v>
      </c>
      <c r="H4879">
        <v>7.7734244029662197E-2</v>
      </c>
      <c r="I4879">
        <v>0.169168828679431</v>
      </c>
      <c r="J4879">
        <v>0.121410001485815</v>
      </c>
      <c r="K4879">
        <v>0.110523822983951</v>
      </c>
      <c r="L4879">
        <v>965.37355903429795</v>
      </c>
      <c r="M4879">
        <v>20.156162258363999</v>
      </c>
      <c r="N4879">
        <v>48.465091706451503</v>
      </c>
      <c r="O4879">
        <v>47.430750814021998</v>
      </c>
      <c r="P4879">
        <v>-9.5025348545937804E-2</v>
      </c>
      <c r="Q4879">
        <v>0.105587403314229</v>
      </c>
      <c r="R4879">
        <v>0.99170971632084404</v>
      </c>
      <c r="S4879" t="s">
        <v>11549</v>
      </c>
      <c r="T4879" t="s">
        <v>13338</v>
      </c>
      <c r="U4879" t="s">
        <v>13338</v>
      </c>
      <c r="V4879" t="s">
        <v>13338</v>
      </c>
      <c r="W4879" t="s">
        <v>18161</v>
      </c>
      <c r="X4879">
        <v>11</v>
      </c>
      <c r="Y4879" t="s">
        <v>24660</v>
      </c>
      <c r="Z4879" t="s">
        <v>31294</v>
      </c>
      <c r="AA4879">
        <v>0.35348858384776849</v>
      </c>
      <c r="AB4879" t="str">
        <f>HYPERLINK("Melting_Curves/meltCurve_Q92889_ERCC4.pdf", "Melting_Curves/meltCurve_Q92889_ERCC4.pdf")</f>
        <v>Melting_Curves/meltCurve_Q92889_ERCC4.pdf</v>
      </c>
    </row>
    <row r="4880" spans="1:28" x14ac:dyDescent="0.25">
      <c r="A4880" t="s">
        <v>4884</v>
      </c>
      <c r="B4880">
        <v>0.99193492352474899</v>
      </c>
      <c r="C4880">
        <v>0.95178740546539797</v>
      </c>
      <c r="D4880">
        <v>0.92010494500446904</v>
      </c>
      <c r="E4880">
        <v>0.80429876991382798</v>
      </c>
      <c r="F4880">
        <v>0.60813239049482903</v>
      </c>
      <c r="G4880">
        <v>0.391729825291528</v>
      </c>
      <c r="H4880">
        <v>0.20015753502168099</v>
      </c>
      <c r="I4880">
        <v>0.10163517779712999</v>
      </c>
      <c r="J4880">
        <v>0.10547734302518399</v>
      </c>
      <c r="K4880">
        <v>9.3362290318197497E-2</v>
      </c>
      <c r="L4880">
        <v>767.63402449468003</v>
      </c>
      <c r="M4880">
        <v>14.089736569365799</v>
      </c>
      <c r="N4880">
        <v>54.727628856772398</v>
      </c>
      <c r="O4880">
        <v>53.4195269604337</v>
      </c>
      <c r="P4880">
        <v>-6.3925268508739502E-2</v>
      </c>
      <c r="Q4880">
        <v>3.0665519116792599E-2</v>
      </c>
      <c r="R4880">
        <v>0.99757199200879298</v>
      </c>
      <c r="S4880" t="s">
        <v>11550</v>
      </c>
      <c r="T4880" t="s">
        <v>13338</v>
      </c>
      <c r="U4880" t="s">
        <v>13338</v>
      </c>
      <c r="V4880" t="s">
        <v>13338</v>
      </c>
      <c r="W4880" t="s">
        <v>18162</v>
      </c>
      <c r="X4880">
        <v>16</v>
      </c>
      <c r="Y4880" t="s">
        <v>24661</v>
      </c>
      <c r="Z4880" t="s">
        <v>31295</v>
      </c>
      <c r="AA4880">
        <v>0.51932579539304979</v>
      </c>
      <c r="AB4880" t="str">
        <f>HYPERLINK("Melting_Curves/meltCurve_Q92890_UFD1L.pdf", "Melting_Curves/meltCurve_Q92890_UFD1L.pdf")</f>
        <v>Melting_Curves/meltCurve_Q92890_UFD1L.pdf</v>
      </c>
    </row>
    <row r="4881" spans="1:28" x14ac:dyDescent="0.25">
      <c r="A4881" t="s">
        <v>4885</v>
      </c>
      <c r="B4881">
        <v>0.99193492352474899</v>
      </c>
      <c r="C4881">
        <v>0.95522644093076803</v>
      </c>
      <c r="D4881">
        <v>0.92858274464207702</v>
      </c>
      <c r="E4881">
        <v>0.89231899283767202</v>
      </c>
      <c r="F4881">
        <v>0.75654211265146099</v>
      </c>
      <c r="G4881">
        <v>0.573078050494778</v>
      </c>
      <c r="H4881">
        <v>0.40592480004035503</v>
      </c>
      <c r="I4881">
        <v>0.38237788998968703</v>
      </c>
      <c r="J4881">
        <v>0.35033912098206599</v>
      </c>
      <c r="K4881">
        <v>0.35500638093463899</v>
      </c>
      <c r="L4881">
        <v>850.87564374614203</v>
      </c>
      <c r="M4881">
        <v>15.5144508450001</v>
      </c>
      <c r="N4881">
        <v>58.578390154022401</v>
      </c>
      <c r="O4881">
        <v>53.957121990931199</v>
      </c>
      <c r="P4881">
        <v>-4.9313987486470201E-2</v>
      </c>
      <c r="Q4881">
        <v>0.31403174412852197</v>
      </c>
      <c r="R4881">
        <v>0.99331305566983696</v>
      </c>
      <c r="S4881" t="s">
        <v>11551</v>
      </c>
      <c r="T4881" t="s">
        <v>13338</v>
      </c>
      <c r="U4881" t="s">
        <v>13338</v>
      </c>
      <c r="V4881" t="s">
        <v>13338</v>
      </c>
      <c r="W4881" t="s">
        <v>18163</v>
      </c>
      <c r="X4881">
        <v>59</v>
      </c>
      <c r="Y4881" t="s">
        <v>24662</v>
      </c>
      <c r="Z4881" t="s">
        <v>31296</v>
      </c>
      <c r="AA4881">
        <v>0.66632697174711553</v>
      </c>
      <c r="AB4881" t="str">
        <f>HYPERLINK("Melting_Curves/meltCurve_Q92896_GLG1.pdf", "Melting_Curves/meltCurve_Q92896_GLG1.pdf")</f>
        <v>Melting_Curves/meltCurve_Q92896_GLG1.pdf</v>
      </c>
    </row>
    <row r="4882" spans="1:28" x14ac:dyDescent="0.25">
      <c r="A4882" t="s">
        <v>4886</v>
      </c>
      <c r="B4882">
        <v>0.99193492352474899</v>
      </c>
      <c r="C4882">
        <v>0.86337075586995304</v>
      </c>
      <c r="D4882">
        <v>0.86661914832614095</v>
      </c>
      <c r="E4882">
        <v>0.62088402390866204</v>
      </c>
      <c r="F4882">
        <v>0.393765219956211</v>
      </c>
      <c r="G4882">
        <v>0.22430170719046699</v>
      </c>
      <c r="H4882">
        <v>0.132553413432248</v>
      </c>
      <c r="I4882">
        <v>0.13681022579146099</v>
      </c>
      <c r="J4882">
        <v>0.13784049006956201</v>
      </c>
      <c r="K4882">
        <v>0.147168575500012</v>
      </c>
      <c r="L4882">
        <v>785.48306730449804</v>
      </c>
      <c r="M4882">
        <v>15.5702290984116</v>
      </c>
      <c r="N4882">
        <v>51.249384870195698</v>
      </c>
      <c r="O4882">
        <v>49.637579483259799</v>
      </c>
      <c r="P4882">
        <v>-6.9950220333475394E-2</v>
      </c>
      <c r="Q4882">
        <v>0.108078226135103</v>
      </c>
      <c r="R4882">
        <v>0.99079947562728399</v>
      </c>
      <c r="S4882" t="s">
        <v>11552</v>
      </c>
      <c r="T4882" t="s">
        <v>13338</v>
      </c>
      <c r="U4882" t="s">
        <v>13338</v>
      </c>
      <c r="V4882" t="s">
        <v>13338</v>
      </c>
      <c r="W4882" t="s">
        <v>18164</v>
      </c>
      <c r="X4882">
        <v>47</v>
      </c>
      <c r="Y4882" t="s">
        <v>24663</v>
      </c>
      <c r="Z4882" t="s">
        <v>31297</v>
      </c>
      <c r="AA4882">
        <v>0.43835134244624652</v>
      </c>
      <c r="AB4882" t="str">
        <f>HYPERLINK("Melting_Curves/meltCurve_Q92900_UPF1.pdf", "Melting_Curves/meltCurve_Q92900_UPF1.pdf")</f>
        <v>Melting_Curves/meltCurve_Q92900_UPF1.pdf</v>
      </c>
    </row>
    <row r="4883" spans="1:28" x14ac:dyDescent="0.25">
      <c r="A4883" t="s">
        <v>4887</v>
      </c>
      <c r="B4883">
        <v>0.99193492352474899</v>
      </c>
      <c r="C4883">
        <v>0.88601859289597595</v>
      </c>
      <c r="D4883">
        <v>0.97462714651911497</v>
      </c>
      <c r="E4883">
        <v>0.780224749013542</v>
      </c>
      <c r="F4883">
        <v>0.42479067812511101</v>
      </c>
      <c r="G4883">
        <v>0.14909710286476499</v>
      </c>
      <c r="H4883">
        <v>9.1085598052291897E-2</v>
      </c>
      <c r="I4883">
        <v>9.1276881764680406E-2</v>
      </c>
      <c r="J4883">
        <v>0.121760521431406</v>
      </c>
      <c r="K4883">
        <v>9.7039059799705701E-2</v>
      </c>
      <c r="L4883">
        <v>1342.55159625381</v>
      </c>
      <c r="M4883">
        <v>25.870629280298001</v>
      </c>
      <c r="N4883">
        <v>52.291503083848298</v>
      </c>
      <c r="O4883">
        <v>51.587723275833497</v>
      </c>
      <c r="P4883">
        <v>-0.11420244631458699</v>
      </c>
      <c r="Q4883">
        <v>8.9102161200855595E-2</v>
      </c>
      <c r="R4883">
        <v>0.98980234605154305</v>
      </c>
      <c r="S4883" t="s">
        <v>11553</v>
      </c>
      <c r="T4883" t="s">
        <v>13338</v>
      </c>
      <c r="U4883" t="s">
        <v>13338</v>
      </c>
      <c r="V4883" t="s">
        <v>13338</v>
      </c>
      <c r="W4883" t="s">
        <v>18165</v>
      </c>
      <c r="X4883">
        <v>9</v>
      </c>
      <c r="Y4883" t="s">
        <v>24664</v>
      </c>
      <c r="Z4883" t="s">
        <v>31298</v>
      </c>
      <c r="AA4883">
        <v>0.45804183829177558</v>
      </c>
      <c r="AB4883" t="str">
        <f>HYPERLINK("Melting_Curves/meltCurve_Q92905_COPS5.pdf", "Melting_Curves/meltCurve_Q92905_COPS5.pdf")</f>
        <v>Melting_Curves/meltCurve_Q92905_COPS5.pdf</v>
      </c>
    </row>
    <row r="4884" spans="1:28" x14ac:dyDescent="0.25">
      <c r="A4884" t="s">
        <v>4888</v>
      </c>
      <c r="B4884">
        <v>0.99193492352474899</v>
      </c>
      <c r="C4884">
        <v>0.90169317079483102</v>
      </c>
      <c r="D4884">
        <v>0.70357915182946695</v>
      </c>
      <c r="E4884">
        <v>0.35553344286927302</v>
      </c>
      <c r="F4884">
        <v>0.13512178941653399</v>
      </c>
      <c r="G4884">
        <v>8.5829864363604305E-2</v>
      </c>
      <c r="H4884">
        <v>5.8635896060783503E-2</v>
      </c>
      <c r="I4884">
        <v>8.0899677091805094E-2</v>
      </c>
      <c r="J4884">
        <v>8.7960439306722593E-2</v>
      </c>
      <c r="K4884">
        <v>0.116895112333882</v>
      </c>
      <c r="L4884">
        <v>1051.8539270144599</v>
      </c>
      <c r="M4884">
        <v>22.129159930373</v>
      </c>
      <c r="N4884">
        <v>47.894073136686004</v>
      </c>
      <c r="O4884">
        <v>47.149449483759902</v>
      </c>
      <c r="P4884">
        <v>-0.108311091103203</v>
      </c>
      <c r="Q4884">
        <v>7.6929307076674003E-2</v>
      </c>
      <c r="R4884">
        <v>0.99699329473558596</v>
      </c>
      <c r="S4884" t="s">
        <v>11554</v>
      </c>
      <c r="T4884" t="s">
        <v>13338</v>
      </c>
      <c r="U4884" t="s">
        <v>13338</v>
      </c>
      <c r="V4884" t="s">
        <v>13338</v>
      </c>
      <c r="W4884" t="s">
        <v>18166</v>
      </c>
      <c r="X4884">
        <v>24</v>
      </c>
      <c r="Y4884" t="s">
        <v>24665</v>
      </c>
      <c r="Z4884" t="s">
        <v>31299</v>
      </c>
      <c r="AA4884">
        <v>0.31935156718577301</v>
      </c>
      <c r="AB4884" t="str">
        <f>HYPERLINK("Melting_Curves/meltCurve_Q92917_GPKOW.pdf", "Melting_Curves/meltCurve_Q92917_GPKOW.pdf")</f>
        <v>Melting_Curves/meltCurve_Q92917_GPKOW.pdf</v>
      </c>
    </row>
    <row r="4885" spans="1:28" x14ac:dyDescent="0.25">
      <c r="A4885" t="s">
        <v>4889</v>
      </c>
      <c r="B4885">
        <v>0.99193492352474899</v>
      </c>
      <c r="C4885">
        <v>0.68062578966583198</v>
      </c>
      <c r="D4885">
        <v>0.48077008211102701</v>
      </c>
      <c r="E4885">
        <v>0.17729919580790601</v>
      </c>
      <c r="F4885">
        <v>0.11217295175028701</v>
      </c>
      <c r="G4885">
        <v>6.79470344147622E-2</v>
      </c>
      <c r="H4885">
        <v>4.5995001943039598E-2</v>
      </c>
      <c r="I4885">
        <v>4.8748168591258502E-2</v>
      </c>
      <c r="J4885">
        <v>5.3046556057285699E-2</v>
      </c>
      <c r="K4885">
        <v>5.5300872705703198E-2</v>
      </c>
      <c r="L4885">
        <v>852.349820297772</v>
      </c>
      <c r="M4885">
        <v>18.875322386147602</v>
      </c>
      <c r="N4885">
        <v>45.402929783439298</v>
      </c>
      <c r="O4885">
        <v>44.659141334258699</v>
      </c>
      <c r="P4885">
        <v>-0.100529458166787</v>
      </c>
      <c r="Q4885">
        <v>4.8625477337819897E-2</v>
      </c>
      <c r="R4885">
        <v>0.98932346317712005</v>
      </c>
      <c r="S4885" t="s">
        <v>11555</v>
      </c>
      <c r="T4885" t="s">
        <v>13338</v>
      </c>
      <c r="U4885" t="s">
        <v>13338</v>
      </c>
      <c r="V4885" t="s">
        <v>13338</v>
      </c>
      <c r="W4885" t="s">
        <v>18167</v>
      </c>
      <c r="X4885">
        <v>28</v>
      </c>
      <c r="Y4885" t="s">
        <v>24666</v>
      </c>
      <c r="Z4885" t="s">
        <v>31300</v>
      </c>
      <c r="AA4885">
        <v>0.23026097471777149</v>
      </c>
      <c r="AB4885" t="str">
        <f>HYPERLINK("Melting_Curves/meltCurve_Q92922_SMARCC1.pdf", "Melting_Curves/meltCurve_Q92922_SMARCC1.pdf")</f>
        <v>Melting_Curves/meltCurve_Q92922_SMARCC1.pdf</v>
      </c>
    </row>
    <row r="4886" spans="1:28" x14ac:dyDescent="0.25">
      <c r="A4886" t="s">
        <v>4890</v>
      </c>
      <c r="B4886">
        <v>0.99193492352474899</v>
      </c>
      <c r="C4886">
        <v>1.12581388450569</v>
      </c>
      <c r="D4886">
        <v>0.84493773506922398</v>
      </c>
      <c r="E4886">
        <v>0.94781185991815498</v>
      </c>
      <c r="F4886">
        <v>0.62836704594241499</v>
      </c>
      <c r="G4886">
        <v>0.55151807296725897</v>
      </c>
      <c r="H4886">
        <v>0.40049256813970602</v>
      </c>
      <c r="I4886">
        <v>0.42234263611887901</v>
      </c>
      <c r="J4886">
        <v>0.215853705831132</v>
      </c>
      <c r="K4886">
        <v>0.15685627023054999</v>
      </c>
      <c r="L4886">
        <v>588.71926259521695</v>
      </c>
      <c r="M4886">
        <v>10.226196661672599</v>
      </c>
      <c r="N4886">
        <v>58.378030237132101</v>
      </c>
      <c r="O4886">
        <v>55.498498129209999</v>
      </c>
      <c r="P4886">
        <v>-4.3043506183706601E-2</v>
      </c>
      <c r="Q4886">
        <v>6.6012998817519306E-2</v>
      </c>
      <c r="R4886">
        <v>0.93729667679681805</v>
      </c>
      <c r="S4886" t="s">
        <v>11556</v>
      </c>
      <c r="T4886" t="s">
        <v>13338</v>
      </c>
      <c r="U4886" t="s">
        <v>13338</v>
      </c>
      <c r="V4886" t="s">
        <v>13338</v>
      </c>
      <c r="W4886" t="s">
        <v>18168</v>
      </c>
      <c r="X4886">
        <v>14</v>
      </c>
      <c r="Y4886" t="s">
        <v>24667</v>
      </c>
      <c r="Z4886" t="s">
        <v>31301</v>
      </c>
      <c r="AA4886">
        <v>0.62504512454155714</v>
      </c>
      <c r="AB4886" t="str">
        <f>HYPERLINK("Melting_Curves/meltCurve_Q92930_RAB8B.pdf", "Melting_Curves/meltCurve_Q92930_RAB8B.pdf")</f>
        <v>Melting_Curves/meltCurve_Q92930_RAB8B.pdf</v>
      </c>
    </row>
    <row r="4887" spans="1:28" x14ac:dyDescent="0.25">
      <c r="A4887" t="s">
        <v>4891</v>
      </c>
      <c r="B4887">
        <v>0.99193492352474899</v>
      </c>
      <c r="C4887">
        <v>0.89304680743930698</v>
      </c>
      <c r="D4887">
        <v>0.98138274246100299</v>
      </c>
      <c r="E4887">
        <v>0.77558703916281202</v>
      </c>
      <c r="F4887">
        <v>0.67137634529978196</v>
      </c>
      <c r="G4887">
        <v>0.45175779192593402</v>
      </c>
      <c r="H4887">
        <v>0.367925615821597</v>
      </c>
      <c r="I4887">
        <v>0.401712053422347</v>
      </c>
      <c r="J4887">
        <v>0.59486772626337203</v>
      </c>
      <c r="K4887">
        <v>0.80615589320718395</v>
      </c>
      <c r="L4887">
        <v>1399.0455148133201</v>
      </c>
      <c r="M4887">
        <v>27.955162060858498</v>
      </c>
      <c r="O4887">
        <v>49.792059236566402</v>
      </c>
      <c r="P4887">
        <v>-6.5884039083980397E-2</v>
      </c>
      <c r="Q4887">
        <v>0.53060923539920402</v>
      </c>
      <c r="R4887">
        <v>0.69653883167849895</v>
      </c>
      <c r="S4887" t="s">
        <v>11557</v>
      </c>
      <c r="T4887" t="s">
        <v>13338</v>
      </c>
      <c r="U4887" t="s">
        <v>13338</v>
      </c>
      <c r="V4887" t="s">
        <v>13338</v>
      </c>
      <c r="W4887" t="s">
        <v>18169</v>
      </c>
      <c r="X4887">
        <v>2</v>
      </c>
      <c r="Y4887" t="s">
        <v>24668</v>
      </c>
      <c r="Z4887" t="s">
        <v>31302</v>
      </c>
      <c r="AA4887">
        <v>0.69114447226369446</v>
      </c>
      <c r="AB4887" t="str">
        <f>HYPERLINK("Melting_Curves/meltCurve_Q92934_BAD.pdf", "Melting_Curves/meltCurve_Q92934_BAD.pdf")</f>
        <v>Melting_Curves/meltCurve_Q92934_BAD.pdf</v>
      </c>
    </row>
    <row r="4888" spans="1:28" x14ac:dyDescent="0.25">
      <c r="A4888" t="s">
        <v>4892</v>
      </c>
      <c r="B4888">
        <v>0.99193492352474899</v>
      </c>
      <c r="C4888">
        <v>1.0158106521405601</v>
      </c>
      <c r="D4888">
        <v>0.832643472518378</v>
      </c>
      <c r="E4888">
        <v>0.78419414387264597</v>
      </c>
      <c r="F4888">
        <v>0.50002591673757402</v>
      </c>
      <c r="G4888">
        <v>0.356311757578754</v>
      </c>
      <c r="H4888">
        <v>0.23141349791716601</v>
      </c>
      <c r="I4888">
        <v>0.36876209392978099</v>
      </c>
      <c r="J4888">
        <v>0.35922492743016299</v>
      </c>
      <c r="K4888">
        <v>0.51669511841622195</v>
      </c>
      <c r="L4888">
        <v>1175.38311990579</v>
      </c>
      <c r="M4888">
        <v>23.377296775176902</v>
      </c>
      <c r="N4888">
        <v>53.150077600545899</v>
      </c>
      <c r="O4888">
        <v>49.915273203324801</v>
      </c>
      <c r="P4888">
        <v>-7.5101817476654495E-2</v>
      </c>
      <c r="Q4888">
        <v>0.35858107285221702</v>
      </c>
      <c r="R4888">
        <v>0.91895026988469797</v>
      </c>
      <c r="S4888" t="s">
        <v>11558</v>
      </c>
      <c r="T4888" t="s">
        <v>13338</v>
      </c>
      <c r="U4888" t="s">
        <v>13338</v>
      </c>
      <c r="V4888" t="s">
        <v>13338</v>
      </c>
      <c r="W4888" t="s">
        <v>18170</v>
      </c>
      <c r="X4888">
        <v>43</v>
      </c>
      <c r="Y4888" t="s">
        <v>24669</v>
      </c>
      <c r="Z4888" t="s">
        <v>31303</v>
      </c>
      <c r="AA4888">
        <v>0.58492049556665493</v>
      </c>
      <c r="AB4888" t="str">
        <f>HYPERLINK("Melting_Curves/meltCurve_Q92945_KHSRP.pdf", "Melting_Curves/meltCurve_Q92945_KHSRP.pdf")</f>
        <v>Melting_Curves/meltCurve_Q92945_KHSRP.pdf</v>
      </c>
    </row>
    <row r="4889" spans="1:28" x14ac:dyDescent="0.25">
      <c r="A4889" t="s">
        <v>4893</v>
      </c>
      <c r="B4889">
        <v>0.99193492352474899</v>
      </c>
      <c r="C4889">
        <v>1.2066403008083799</v>
      </c>
      <c r="D4889">
        <v>1.2003967592585501</v>
      </c>
      <c r="E4889">
        <v>1.06337783919361</v>
      </c>
      <c r="F4889">
        <v>0.641793481412123</v>
      </c>
      <c r="G4889">
        <v>0.25447292988514197</v>
      </c>
      <c r="H4889">
        <v>8.4730870402861397E-2</v>
      </c>
      <c r="I4889">
        <v>5.5144087077347199E-2</v>
      </c>
      <c r="J4889">
        <v>6.4953263932660293E-2</v>
      </c>
      <c r="K4889">
        <v>4.2634124410062701E-2</v>
      </c>
      <c r="L4889">
        <v>1899.5479946054299</v>
      </c>
      <c r="M4889">
        <v>35.036965941357202</v>
      </c>
      <c r="N4889">
        <v>54.414945964851697</v>
      </c>
      <c r="O4889">
        <v>54.0398382522988</v>
      </c>
      <c r="P4889">
        <v>-0.152323690554827</v>
      </c>
      <c r="Q4889">
        <v>6.0247593000098201E-2</v>
      </c>
      <c r="R4889">
        <v>0.95909508912007302</v>
      </c>
      <c r="S4889" t="s">
        <v>11559</v>
      </c>
      <c r="T4889" t="s">
        <v>13338</v>
      </c>
      <c r="U4889" t="s">
        <v>13338</v>
      </c>
      <c r="V4889" t="s">
        <v>13338</v>
      </c>
      <c r="W4889" t="s">
        <v>18171</v>
      </c>
      <c r="X4889">
        <v>6</v>
      </c>
      <c r="Y4889" t="s">
        <v>24670</v>
      </c>
      <c r="Z4889" t="s">
        <v>31304</v>
      </c>
      <c r="AA4889">
        <v>0.51012212245378619</v>
      </c>
      <c r="AB4889" t="str">
        <f>HYPERLINK("Melting_Curves/meltCurve_Q92947_GCDH.pdf", "Melting_Curves/meltCurve_Q92947_GCDH.pdf")</f>
        <v>Melting_Curves/meltCurve_Q92947_GCDH.pdf</v>
      </c>
    </row>
    <row r="4890" spans="1:28" x14ac:dyDescent="0.25">
      <c r="A4890" t="s">
        <v>4894</v>
      </c>
      <c r="B4890">
        <v>0.99193492352474899</v>
      </c>
      <c r="C4890">
        <v>1.0700220113596499</v>
      </c>
      <c r="D4890">
        <v>0.97880469814216597</v>
      </c>
      <c r="E4890">
        <v>0.81204681593017103</v>
      </c>
      <c r="F4890">
        <v>0.65525535674995905</v>
      </c>
      <c r="G4890">
        <v>0.32593095837122199</v>
      </c>
      <c r="H4890">
        <v>0.17362993799898299</v>
      </c>
      <c r="I4890">
        <v>0.28365072023939197</v>
      </c>
      <c r="J4890">
        <v>0.33516630982921702</v>
      </c>
      <c r="K4890">
        <v>0.41916180755966898</v>
      </c>
      <c r="L4890">
        <v>1423.8177579482999</v>
      </c>
      <c r="M4890">
        <v>27.130093512997998</v>
      </c>
      <c r="N4890">
        <v>54.259984429422602</v>
      </c>
      <c r="O4890">
        <v>52.198468733576199</v>
      </c>
      <c r="P4890">
        <v>-9.1664173669377305E-2</v>
      </c>
      <c r="Q4890">
        <v>0.29455705240075503</v>
      </c>
      <c r="R4890">
        <v>0.94804343138511804</v>
      </c>
      <c r="S4890" t="s">
        <v>11560</v>
      </c>
      <c r="T4890" t="s">
        <v>13338</v>
      </c>
      <c r="U4890" t="s">
        <v>13338</v>
      </c>
      <c r="V4890" t="s">
        <v>13338</v>
      </c>
      <c r="W4890" t="s">
        <v>18172</v>
      </c>
      <c r="X4890">
        <v>1</v>
      </c>
      <c r="Y4890" t="s">
        <v>24671</v>
      </c>
      <c r="Z4890" t="s">
        <v>31305</v>
      </c>
      <c r="AA4890">
        <v>0.59357563391891721</v>
      </c>
      <c r="AB4890" t="str">
        <f>HYPERLINK("Melting_Curves/meltCurve_Q92968_PEX13.pdf", "Melting_Curves/meltCurve_Q92968_PEX13.pdf")</f>
        <v>Melting_Curves/meltCurve_Q92968_PEX13.pdf</v>
      </c>
    </row>
    <row r="4891" spans="1:28" x14ac:dyDescent="0.25">
      <c r="A4891" t="s">
        <v>4895</v>
      </c>
      <c r="B4891">
        <v>0.99193492352474899</v>
      </c>
      <c r="C4891">
        <v>0.83595189404588</v>
      </c>
      <c r="D4891">
        <v>0.75627303438563298</v>
      </c>
      <c r="E4891">
        <v>0.38326134990925098</v>
      </c>
      <c r="F4891">
        <v>0.15064156165155901</v>
      </c>
      <c r="G4891">
        <v>8.8174167417258295E-2</v>
      </c>
      <c r="H4891">
        <v>5.1635422911011197E-2</v>
      </c>
      <c r="I4891">
        <v>5.5563035463333903E-2</v>
      </c>
      <c r="J4891">
        <v>5.9041599118699703E-2</v>
      </c>
      <c r="K4891">
        <v>5.4859869782823499E-2</v>
      </c>
      <c r="L4891">
        <v>911.96079485786095</v>
      </c>
      <c r="M4891">
        <v>18.9786128439927</v>
      </c>
      <c r="N4891">
        <v>48.279177232976799</v>
      </c>
      <c r="O4891">
        <v>47.528063842659897</v>
      </c>
      <c r="P4891">
        <v>-9.5568148670439806E-2</v>
      </c>
      <c r="Q4891">
        <v>4.2714609578964599E-2</v>
      </c>
      <c r="R4891">
        <v>0.99322060852401295</v>
      </c>
      <c r="S4891" t="s">
        <v>11561</v>
      </c>
      <c r="T4891" t="s">
        <v>13338</v>
      </c>
      <c r="U4891" t="s">
        <v>13338</v>
      </c>
      <c r="V4891" t="s">
        <v>13338</v>
      </c>
      <c r="W4891" t="s">
        <v>18173</v>
      </c>
      <c r="X4891">
        <v>22</v>
      </c>
      <c r="Y4891" t="s">
        <v>24672</v>
      </c>
      <c r="Z4891" t="s">
        <v>31306</v>
      </c>
      <c r="AA4891">
        <v>0.31482991010734751</v>
      </c>
      <c r="AB4891" t="str">
        <f>HYPERLINK("Melting_Curves/meltCurve_Q92973_2_TNPO1.pdf", "Melting_Curves/meltCurve_Q92973_2_TNPO1.pdf")</f>
        <v>Melting_Curves/meltCurve_Q92973_2_TNPO1.pdf</v>
      </c>
    </row>
    <row r="4892" spans="1:28" x14ac:dyDescent="0.25">
      <c r="A4892" t="s">
        <v>4896</v>
      </c>
      <c r="B4892">
        <v>0.99193492352474899</v>
      </c>
      <c r="C4892">
        <v>0.41989512206019602</v>
      </c>
      <c r="D4892">
        <v>0.89633031783733397</v>
      </c>
      <c r="E4892">
        <v>0.54929477483520806</v>
      </c>
      <c r="F4892">
        <v>0.53669209416538599</v>
      </c>
      <c r="G4892">
        <v>0.24534986647811799</v>
      </c>
      <c r="H4892">
        <v>0.149344362648442</v>
      </c>
      <c r="I4892">
        <v>5.4152248317273999E-2</v>
      </c>
      <c r="J4892">
        <v>6.8352651917635301E-2</v>
      </c>
      <c r="K4892">
        <v>5.2507977704394797E-2</v>
      </c>
      <c r="L4892">
        <v>425.75975377285198</v>
      </c>
      <c r="M4892">
        <v>8.4460721779658794</v>
      </c>
      <c r="N4892">
        <v>50.409224346552499</v>
      </c>
      <c r="O4892">
        <v>47.821269373681503</v>
      </c>
      <c r="P4892">
        <v>-4.4195120074993099E-2</v>
      </c>
      <c r="Q4892">
        <v>0</v>
      </c>
      <c r="R4892">
        <v>0.77613735473043899</v>
      </c>
      <c r="S4892" t="s">
        <v>11562</v>
      </c>
      <c r="T4892" t="s">
        <v>13338</v>
      </c>
      <c r="U4892" t="s">
        <v>13338</v>
      </c>
      <c r="V4892" t="s">
        <v>13338</v>
      </c>
      <c r="W4892" t="s">
        <v>18174</v>
      </c>
      <c r="X4892">
        <v>12</v>
      </c>
      <c r="Y4892" t="s">
        <v>24673</v>
      </c>
      <c r="Z4892" t="s">
        <v>31307</v>
      </c>
      <c r="AA4892">
        <v>0.40072627309935172</v>
      </c>
      <c r="AB4892" t="str">
        <f>HYPERLINK("Melting_Curves/meltCurve_Q92979_EMG1.pdf", "Melting_Curves/meltCurve_Q92979_EMG1.pdf")</f>
        <v>Melting_Curves/meltCurve_Q92979_EMG1.pdf</v>
      </c>
    </row>
    <row r="4893" spans="1:28" x14ac:dyDescent="0.25">
      <c r="A4893" t="s">
        <v>4897</v>
      </c>
      <c r="B4893">
        <v>0.99193492352474899</v>
      </c>
      <c r="C4893">
        <v>0.88716457610897304</v>
      </c>
      <c r="D4893">
        <v>0.90987325664597696</v>
      </c>
      <c r="E4893">
        <v>0.67131696503641902</v>
      </c>
      <c r="F4893">
        <v>0.26380258705771498</v>
      </c>
      <c r="G4893">
        <v>0.106239840241307</v>
      </c>
      <c r="H4893">
        <v>5.5064100803452497E-2</v>
      </c>
      <c r="I4893">
        <v>6.01913108545876E-2</v>
      </c>
      <c r="J4893">
        <v>6.4083073584897204E-2</v>
      </c>
      <c r="K4893">
        <v>6.8454109198014895E-2</v>
      </c>
      <c r="L4893">
        <v>1232.34414242872</v>
      </c>
      <c r="M4893">
        <v>24.325559876929901</v>
      </c>
      <c r="N4893">
        <v>50.891337636688</v>
      </c>
      <c r="O4893">
        <v>50.3218366677226</v>
      </c>
      <c r="P4893">
        <v>-0.11453823706103899</v>
      </c>
      <c r="Q4893">
        <v>5.2242019039024798E-2</v>
      </c>
      <c r="R4893">
        <v>0.99192424793448397</v>
      </c>
      <c r="S4893" t="s">
        <v>11563</v>
      </c>
      <c r="T4893" t="s">
        <v>13338</v>
      </c>
      <c r="U4893" t="s">
        <v>13338</v>
      </c>
      <c r="V4893" t="s">
        <v>13338</v>
      </c>
      <c r="W4893" t="s">
        <v>18175</v>
      </c>
      <c r="X4893">
        <v>15</v>
      </c>
      <c r="Y4893" t="s">
        <v>24674</v>
      </c>
      <c r="Z4893" t="s">
        <v>31308</v>
      </c>
      <c r="AA4893">
        <v>0.39803127190053639</v>
      </c>
      <c r="AB4893" t="str">
        <f>HYPERLINK("Melting_Curves/meltCurve_Q92990_GLMN.pdf", "Melting_Curves/meltCurve_Q92990_GLMN.pdf")</f>
        <v>Melting_Curves/meltCurve_Q92990_GLMN.pdf</v>
      </c>
    </row>
    <row r="4894" spans="1:28" x14ac:dyDescent="0.25">
      <c r="A4894" t="s">
        <v>4898</v>
      </c>
      <c r="B4894">
        <v>0.99193492352474899</v>
      </c>
      <c r="C4894">
        <v>0.66013835499435802</v>
      </c>
      <c r="D4894">
        <v>0.37920193459051998</v>
      </c>
      <c r="E4894">
        <v>0.20913269724577199</v>
      </c>
      <c r="F4894">
        <v>0.146063821207081</v>
      </c>
      <c r="G4894">
        <v>0.113215601883007</v>
      </c>
      <c r="H4894">
        <v>6.23329146266016E-2</v>
      </c>
      <c r="I4894">
        <v>0.113195832116634</v>
      </c>
      <c r="J4894">
        <v>0.13630620766117399</v>
      </c>
      <c r="K4894">
        <v>0.15637139686204701</v>
      </c>
      <c r="L4894">
        <v>1021.37132241917</v>
      </c>
      <c r="M4894">
        <v>23.147225415312001</v>
      </c>
      <c r="N4894">
        <v>44.659934142606801</v>
      </c>
      <c r="O4894">
        <v>43.7996239628445</v>
      </c>
      <c r="P4894">
        <v>-0.116126891091378</v>
      </c>
      <c r="Q4894">
        <v>0.121065929395872</v>
      </c>
      <c r="R4894">
        <v>0.98520267975371301</v>
      </c>
      <c r="S4894" t="s">
        <v>11564</v>
      </c>
      <c r="T4894" t="s">
        <v>13338</v>
      </c>
      <c r="U4894" t="s">
        <v>13338</v>
      </c>
      <c r="V4894" t="s">
        <v>13338</v>
      </c>
      <c r="W4894" t="s">
        <v>18176</v>
      </c>
      <c r="X4894">
        <v>2</v>
      </c>
      <c r="Y4894" t="s">
        <v>24675</v>
      </c>
      <c r="Z4894" t="s">
        <v>31309</v>
      </c>
      <c r="AA4894">
        <v>0.25378884767136273</v>
      </c>
      <c r="AB4894" t="str">
        <f>HYPERLINK("Melting_Curves/meltCurve_Q92994_5_BRF1.pdf", "Melting_Curves/meltCurve_Q92994_5_BRF1.pdf")</f>
        <v>Melting_Curves/meltCurve_Q92994_5_BRF1.pdf</v>
      </c>
    </row>
    <row r="4895" spans="1:28" x14ac:dyDescent="0.25">
      <c r="A4895" t="s">
        <v>4899</v>
      </c>
      <c r="B4895">
        <v>0.99193492352474899</v>
      </c>
      <c r="C4895">
        <v>0.884036353853764</v>
      </c>
      <c r="D4895">
        <v>0.85322126276036703</v>
      </c>
      <c r="E4895">
        <v>0.41099011211736702</v>
      </c>
      <c r="F4895">
        <v>0.22334186921947199</v>
      </c>
      <c r="G4895">
        <v>0.12797522027108299</v>
      </c>
      <c r="H4895">
        <v>8.3886277827237399E-2</v>
      </c>
      <c r="I4895">
        <v>9.1379412144394406E-2</v>
      </c>
      <c r="J4895">
        <v>0.11057623550786599</v>
      </c>
      <c r="K4895">
        <v>0.113003828529393</v>
      </c>
      <c r="L4895">
        <v>1137.4080573927999</v>
      </c>
      <c r="M4895">
        <v>23.429517155148499</v>
      </c>
      <c r="N4895">
        <v>49.005645834367201</v>
      </c>
      <c r="O4895">
        <v>48.196441587719697</v>
      </c>
      <c r="P4895">
        <v>-0.109543827466646</v>
      </c>
      <c r="Q4895">
        <v>9.8653091381852104E-2</v>
      </c>
      <c r="R4895">
        <v>0.99183795368500305</v>
      </c>
      <c r="S4895" t="s">
        <v>11565</v>
      </c>
      <c r="T4895" t="s">
        <v>13338</v>
      </c>
      <c r="U4895" t="s">
        <v>13338</v>
      </c>
      <c r="V4895" t="s">
        <v>13338</v>
      </c>
      <c r="W4895" t="s">
        <v>18177</v>
      </c>
      <c r="X4895">
        <v>7</v>
      </c>
      <c r="Y4895" t="s">
        <v>24676</v>
      </c>
      <c r="Z4895" t="s">
        <v>31310</v>
      </c>
      <c r="AA4895">
        <v>0.36454106125253249</v>
      </c>
      <c r="AB4895" t="str">
        <f>HYPERLINK("Melting_Curves/meltCurve_Q92995_USP13.pdf", "Melting_Curves/meltCurve_Q92995_USP13.pdf")</f>
        <v>Melting_Curves/meltCurve_Q92995_USP13.pdf</v>
      </c>
    </row>
    <row r="4896" spans="1:28" x14ac:dyDescent="0.25">
      <c r="A4896" t="s">
        <v>4900</v>
      </c>
      <c r="B4896">
        <v>0.99193492352474899</v>
      </c>
      <c r="C4896">
        <v>0.85440234041901997</v>
      </c>
      <c r="D4896">
        <v>0.91799527841247597</v>
      </c>
      <c r="E4896">
        <v>0.36225141272318701</v>
      </c>
      <c r="F4896">
        <v>0.19317991174551699</v>
      </c>
      <c r="G4896">
        <v>0.11120622880655801</v>
      </c>
      <c r="H4896">
        <v>6.8832757858286395E-2</v>
      </c>
      <c r="I4896">
        <v>8.6020291286757394E-2</v>
      </c>
      <c r="J4896">
        <v>0.109535793948998</v>
      </c>
      <c r="K4896">
        <v>0.107853877506654</v>
      </c>
      <c r="L4896">
        <v>1637.5709361444401</v>
      </c>
      <c r="M4896">
        <v>33.773636843867401</v>
      </c>
      <c r="N4896">
        <v>48.815376234698697</v>
      </c>
      <c r="O4896">
        <v>48.3176192974014</v>
      </c>
      <c r="P4896">
        <v>-0.156975204315073</v>
      </c>
      <c r="Q4896">
        <v>0.101709138024938</v>
      </c>
      <c r="R4896">
        <v>0.98149481263705995</v>
      </c>
      <c r="S4896" t="s">
        <v>11566</v>
      </c>
      <c r="T4896" t="s">
        <v>13338</v>
      </c>
      <c r="U4896" t="s">
        <v>13338</v>
      </c>
      <c r="V4896" t="s">
        <v>13338</v>
      </c>
      <c r="W4896" t="s">
        <v>18178</v>
      </c>
      <c r="X4896">
        <v>33</v>
      </c>
      <c r="Y4896" t="s">
        <v>24677</v>
      </c>
      <c r="Z4896" t="s">
        <v>31311</v>
      </c>
      <c r="AA4896">
        <v>0.36008358360886028</v>
      </c>
      <c r="AB4896" t="str">
        <f>HYPERLINK("Melting_Curves/meltCurve_Q93008_1_USP9X.pdf", "Melting_Curves/meltCurve_Q93008_1_USP9X.pdf")</f>
        <v>Melting_Curves/meltCurve_Q93008_1_USP9X.pdf</v>
      </c>
    </row>
    <row r="4897" spans="1:28" x14ac:dyDescent="0.25">
      <c r="A4897" t="s">
        <v>4901</v>
      </c>
      <c r="B4897">
        <v>0.99193492352474899</v>
      </c>
      <c r="C4897">
        <v>0.87953136817405797</v>
      </c>
      <c r="D4897">
        <v>0.652726147479189</v>
      </c>
      <c r="E4897">
        <v>0.18005420016160401</v>
      </c>
      <c r="F4897">
        <v>0.126515758529158</v>
      </c>
      <c r="G4897">
        <v>5.8008398416399903E-2</v>
      </c>
      <c r="H4897">
        <v>1.30809749949529E-2</v>
      </c>
      <c r="I4897">
        <v>3.7352756252533897E-2</v>
      </c>
      <c r="J4897">
        <v>5.2326409714760901E-2</v>
      </c>
      <c r="K4897">
        <v>5.2995884260366902E-2</v>
      </c>
      <c r="L4897">
        <v>1218.3817529349801</v>
      </c>
      <c r="M4897">
        <v>26.0570088756185</v>
      </c>
      <c r="N4897">
        <v>46.923405855446198</v>
      </c>
      <c r="O4897">
        <v>46.485505252236003</v>
      </c>
      <c r="P4897">
        <v>-0.13399862797250001</v>
      </c>
      <c r="Q4897">
        <v>4.3800489677518602E-2</v>
      </c>
      <c r="R4897">
        <v>0.99468101838965095</v>
      </c>
      <c r="S4897" t="s">
        <v>11567</v>
      </c>
      <c r="T4897" t="s">
        <v>13338</v>
      </c>
      <c r="U4897" t="s">
        <v>13338</v>
      </c>
      <c r="V4897" t="s">
        <v>13338</v>
      </c>
      <c r="W4897" t="s">
        <v>18179</v>
      </c>
      <c r="X4897">
        <v>1</v>
      </c>
      <c r="Y4897" t="s">
        <v>24678</v>
      </c>
      <c r="Z4897" t="s">
        <v>31312</v>
      </c>
      <c r="AA4897">
        <v>0.26703926200209582</v>
      </c>
      <c r="AB4897" t="str">
        <f>HYPERLINK("Melting_Curves/meltCurve_Q93015_NAT6.pdf", "Melting_Curves/meltCurve_Q93015_NAT6.pdf")</f>
        <v>Melting_Curves/meltCurve_Q93015_NAT6.pdf</v>
      </c>
    </row>
    <row r="4898" spans="1:28" x14ac:dyDescent="0.25">
      <c r="A4898" t="s">
        <v>4902</v>
      </c>
      <c r="B4898">
        <v>0.99193492352474899</v>
      </c>
      <c r="C4898">
        <v>0.94156248287870103</v>
      </c>
      <c r="D4898">
        <v>1.0382049309919601</v>
      </c>
      <c r="E4898">
        <v>0.8992993224168</v>
      </c>
      <c r="F4898">
        <v>0.90846546818985097</v>
      </c>
      <c r="G4898">
        <v>0.26485680103775999</v>
      </c>
      <c r="H4898">
        <v>9.0420068357872002E-2</v>
      </c>
      <c r="I4898">
        <v>8.2991184080751804E-2</v>
      </c>
      <c r="J4898">
        <v>9.4291144950232095E-2</v>
      </c>
      <c r="K4898">
        <v>8.5126665707620494E-2</v>
      </c>
      <c r="L4898">
        <v>2980.8091883237098</v>
      </c>
      <c r="M4898">
        <v>53.885315480684902</v>
      </c>
      <c r="N4898">
        <v>55.512389832370999</v>
      </c>
      <c r="O4898">
        <v>55.241605474992099</v>
      </c>
      <c r="P4898">
        <v>-0.22286178666669501</v>
      </c>
      <c r="Q4898">
        <v>8.6115476093859195E-2</v>
      </c>
      <c r="R4898">
        <v>0.99162885364117404</v>
      </c>
      <c r="S4898" t="s">
        <v>11568</v>
      </c>
      <c r="T4898" t="s">
        <v>13338</v>
      </c>
      <c r="U4898" t="s">
        <v>13338</v>
      </c>
      <c r="V4898" t="s">
        <v>13338</v>
      </c>
      <c r="W4898" t="s">
        <v>18180</v>
      </c>
      <c r="X4898">
        <v>21</v>
      </c>
      <c r="Y4898" t="s">
        <v>24679</v>
      </c>
      <c r="Z4898" t="s">
        <v>31313</v>
      </c>
      <c r="AA4898">
        <v>0.55465217004071965</v>
      </c>
      <c r="AB4898" t="str">
        <f>HYPERLINK("Melting_Curves/meltCurve_Q93034_CUL5.pdf", "Melting_Curves/meltCurve_Q93034_CUL5.pdf")</f>
        <v>Melting_Curves/meltCurve_Q93034_CUL5.pdf</v>
      </c>
    </row>
    <row r="4899" spans="1:28" x14ac:dyDescent="0.25">
      <c r="A4899" t="s">
        <v>4903</v>
      </c>
      <c r="B4899">
        <v>0.99193492352474899</v>
      </c>
      <c r="C4899">
        <v>1.0444619983894601</v>
      </c>
      <c r="D4899">
        <v>0.89613241574414904</v>
      </c>
      <c r="E4899">
        <v>0.81699733690259202</v>
      </c>
      <c r="F4899">
        <v>0.45406888038109</v>
      </c>
      <c r="G4899">
        <v>0.20947706959104301</v>
      </c>
      <c r="H4899">
        <v>0.113184548022961</v>
      </c>
      <c r="I4899">
        <v>0.145803107115689</v>
      </c>
      <c r="J4899">
        <v>0.15970340718169501</v>
      </c>
      <c r="K4899">
        <v>0.230447443101397</v>
      </c>
      <c r="L4899">
        <v>1399.30332127314</v>
      </c>
      <c r="M4899">
        <v>26.981486278899599</v>
      </c>
      <c r="N4899">
        <v>52.583171093404502</v>
      </c>
      <c r="O4899">
        <v>51.579215025486697</v>
      </c>
      <c r="P4899">
        <v>-0.110544350483779</v>
      </c>
      <c r="Q4899">
        <v>0.154718646891602</v>
      </c>
      <c r="R4899">
        <v>0.98656172294569</v>
      </c>
      <c r="S4899" t="s">
        <v>11569</v>
      </c>
      <c r="T4899" t="s">
        <v>13338</v>
      </c>
      <c r="U4899" t="s">
        <v>13338</v>
      </c>
      <c r="V4899" t="s">
        <v>13338</v>
      </c>
      <c r="W4899" t="s">
        <v>18181</v>
      </c>
      <c r="X4899">
        <v>18</v>
      </c>
      <c r="Y4899" t="s">
        <v>24680</v>
      </c>
      <c r="Z4899" t="s">
        <v>31314</v>
      </c>
      <c r="AA4899">
        <v>0.49557528661470812</v>
      </c>
      <c r="AB4899" t="str">
        <f>HYPERLINK("Melting_Curves/meltCurve_Q93052_LPP.pdf", "Melting_Curves/meltCurve_Q93052_LPP.pdf")</f>
        <v>Melting_Curves/meltCurve_Q93052_LPP.pdf</v>
      </c>
    </row>
    <row r="4900" spans="1:28" x14ac:dyDescent="0.25">
      <c r="A4900" t="s">
        <v>4904</v>
      </c>
      <c r="B4900">
        <v>0.99193492352474899</v>
      </c>
      <c r="C4900">
        <v>0.93779605991211101</v>
      </c>
      <c r="D4900">
        <v>0.99509435093785203</v>
      </c>
      <c r="E4900">
        <v>0.73184007139696605</v>
      </c>
      <c r="F4900">
        <v>0.28486993451808901</v>
      </c>
      <c r="G4900">
        <v>0.12981024702701499</v>
      </c>
      <c r="H4900">
        <v>6.9633790191013303E-2</v>
      </c>
      <c r="I4900">
        <v>8.7543711384238193E-2</v>
      </c>
      <c r="J4900">
        <v>9.9619921600473199E-2</v>
      </c>
      <c r="K4900">
        <v>0.103353791786744</v>
      </c>
      <c r="L4900">
        <v>1624.50714946669</v>
      </c>
      <c r="M4900">
        <v>31.852897517612998</v>
      </c>
      <c r="N4900">
        <v>51.319890638775703</v>
      </c>
      <c r="O4900">
        <v>50.800542032125897</v>
      </c>
      <c r="P4900">
        <v>-0.142653016879526</v>
      </c>
      <c r="Q4900">
        <v>8.9964950803624502E-2</v>
      </c>
      <c r="R4900">
        <v>0.99667251597134898</v>
      </c>
      <c r="S4900" t="s">
        <v>11570</v>
      </c>
      <c r="T4900" t="s">
        <v>13338</v>
      </c>
      <c r="U4900" t="s">
        <v>13338</v>
      </c>
      <c r="V4900" t="s">
        <v>13338</v>
      </c>
      <c r="W4900" t="s">
        <v>18182</v>
      </c>
      <c r="X4900">
        <v>27</v>
      </c>
      <c r="Y4900" t="s">
        <v>24681</v>
      </c>
      <c r="Z4900" t="s">
        <v>31315</v>
      </c>
      <c r="AA4900">
        <v>0.4287270960368178</v>
      </c>
      <c r="AB4900" t="str">
        <f>HYPERLINK("Melting_Curves/meltCurve_Q93084_2_ATP2A3.pdf", "Melting_Curves/meltCurve_Q93084_2_ATP2A3.pdf")</f>
        <v>Melting_Curves/meltCurve_Q93084_2_ATP2A3.pdf</v>
      </c>
    </row>
    <row r="4901" spans="1:28" x14ac:dyDescent="0.25">
      <c r="A4901" t="s">
        <v>4905</v>
      </c>
      <c r="B4901">
        <v>0.99193492352474899</v>
      </c>
      <c r="C4901">
        <v>0.69877506394268096</v>
      </c>
      <c r="D4901">
        <v>1.0800938470853101</v>
      </c>
      <c r="E4901">
        <v>0.71969525499693698</v>
      </c>
      <c r="F4901">
        <v>0.62896523262438697</v>
      </c>
      <c r="G4901">
        <v>0.25936121171461102</v>
      </c>
      <c r="H4901">
        <v>0.175561222432634</v>
      </c>
      <c r="I4901">
        <v>0.167525012649785</v>
      </c>
      <c r="J4901">
        <v>0.16599717600585101</v>
      </c>
      <c r="K4901">
        <v>0.126396601602077</v>
      </c>
      <c r="L4901">
        <v>933.50462346139</v>
      </c>
      <c r="M4901">
        <v>17.6208357790481</v>
      </c>
      <c r="N4901">
        <v>53.781651477166299</v>
      </c>
      <c r="O4901">
        <v>52.309112797878697</v>
      </c>
      <c r="P4901">
        <v>-7.4464119748994403E-2</v>
      </c>
      <c r="Q4901">
        <v>0.11583214073369801</v>
      </c>
      <c r="R4901">
        <v>0.900394339077907</v>
      </c>
      <c r="S4901" t="s">
        <v>11571</v>
      </c>
      <c r="T4901" t="s">
        <v>13338</v>
      </c>
      <c r="U4901" t="s">
        <v>13338</v>
      </c>
      <c r="V4901" t="s">
        <v>13338</v>
      </c>
      <c r="W4901" t="s">
        <v>18183</v>
      </c>
      <c r="X4901">
        <v>3</v>
      </c>
      <c r="Y4901" t="s">
        <v>24682</v>
      </c>
      <c r="Z4901" t="s">
        <v>31316</v>
      </c>
      <c r="AA4901">
        <v>0.51328595728709003</v>
      </c>
      <c r="AB4901" t="str">
        <f>HYPERLINK("Melting_Curves/meltCurve_Q93096_PTP4A1.pdf", "Melting_Curves/meltCurve_Q93096_PTP4A1.pdf")</f>
        <v>Melting_Curves/meltCurve_Q93096_PTP4A1.pdf</v>
      </c>
    </row>
    <row r="4902" spans="1:28" x14ac:dyDescent="0.25">
      <c r="A4902" t="s">
        <v>4906</v>
      </c>
      <c r="B4902">
        <v>0.99193492352474899</v>
      </c>
      <c r="C4902">
        <v>0.87817074589083999</v>
      </c>
      <c r="D4902">
        <v>0.89894790235160804</v>
      </c>
      <c r="E4902">
        <v>0.58600107433474802</v>
      </c>
      <c r="F4902">
        <v>0.47911328782857499</v>
      </c>
      <c r="G4902">
        <v>0.21773430483133199</v>
      </c>
      <c r="H4902">
        <v>0.10303064918001401</v>
      </c>
      <c r="I4902">
        <v>9.8555951017633897E-2</v>
      </c>
      <c r="J4902">
        <v>8.9133898412308205E-2</v>
      </c>
      <c r="K4902">
        <v>5.7478212974221503E-2</v>
      </c>
      <c r="L4902">
        <v>696.20992075264598</v>
      </c>
      <c r="M4902">
        <v>13.498891684898499</v>
      </c>
      <c r="N4902">
        <v>51.789344096470003</v>
      </c>
      <c r="O4902">
        <v>50.482933761755397</v>
      </c>
      <c r="P4902">
        <v>-6.5045331668835096E-2</v>
      </c>
      <c r="Q4902">
        <v>2.71265453041135E-2</v>
      </c>
      <c r="R4902">
        <v>0.986718963650283</v>
      </c>
      <c r="S4902" t="s">
        <v>11572</v>
      </c>
      <c r="T4902" t="s">
        <v>13338</v>
      </c>
      <c r="U4902" t="s">
        <v>13338</v>
      </c>
      <c r="V4902" t="s">
        <v>13338</v>
      </c>
      <c r="W4902" t="s">
        <v>18184</v>
      </c>
      <c r="X4902">
        <v>7</v>
      </c>
      <c r="Y4902" t="s">
        <v>24683</v>
      </c>
      <c r="Z4902" t="s">
        <v>31317</v>
      </c>
      <c r="AA4902">
        <v>0.42843055667362567</v>
      </c>
      <c r="AB4902" t="str">
        <f>HYPERLINK("Melting_Curves/meltCurve_Q93100_4_PHKB.pdf", "Melting_Curves/meltCurve_Q93100_4_PHKB.pdf")</f>
        <v>Melting_Curves/meltCurve_Q93100_4_PHKB.pdf</v>
      </c>
    </row>
    <row r="4903" spans="1:28" x14ac:dyDescent="0.25">
      <c r="A4903" t="s">
        <v>4907</v>
      </c>
      <c r="B4903">
        <v>0.99193492352474899</v>
      </c>
      <c r="C4903">
        <v>0.93461920685835798</v>
      </c>
      <c r="D4903">
        <v>1.0422833775831399</v>
      </c>
      <c r="E4903">
        <v>0.91870128251107097</v>
      </c>
      <c r="F4903">
        <v>0.75870966537099205</v>
      </c>
      <c r="G4903">
        <v>0.62576288818693604</v>
      </c>
      <c r="H4903">
        <v>0.56398402384183399</v>
      </c>
      <c r="I4903">
        <v>0.636977297705561</v>
      </c>
      <c r="J4903">
        <v>0.68728868067236304</v>
      </c>
      <c r="K4903">
        <v>0.83724483354455403</v>
      </c>
      <c r="L4903">
        <v>2012.3283991522301</v>
      </c>
      <c r="M4903">
        <v>39.202251432415999</v>
      </c>
      <c r="O4903">
        <v>51.198931467279699</v>
      </c>
      <c r="P4903">
        <v>-6.2842923309922194E-2</v>
      </c>
      <c r="Q4903">
        <v>0.67170423790743905</v>
      </c>
      <c r="R4903">
        <v>0.80278179142411099</v>
      </c>
      <c r="S4903" t="s">
        <v>11573</v>
      </c>
      <c r="T4903" t="s">
        <v>13338</v>
      </c>
      <c r="U4903" t="s">
        <v>13338</v>
      </c>
      <c r="V4903" t="s">
        <v>13338</v>
      </c>
      <c r="W4903" t="s">
        <v>18185</v>
      </c>
      <c r="X4903">
        <v>1</v>
      </c>
      <c r="Y4903" t="s">
        <v>24684</v>
      </c>
      <c r="Z4903" t="s">
        <v>31318</v>
      </c>
      <c r="AA4903">
        <v>0.79692489888301143</v>
      </c>
      <c r="AB4903" t="str">
        <f>HYPERLINK("Melting_Curves/meltCurve_Q969E2_2_SCAMP4.pdf", "Melting_Curves/meltCurve_Q969E2_2_SCAMP4.pdf")</f>
        <v>Melting_Curves/meltCurve_Q969E2_2_SCAMP4.pdf</v>
      </c>
    </row>
    <row r="4904" spans="1:28" x14ac:dyDescent="0.25">
      <c r="A4904" t="s">
        <v>4908</v>
      </c>
      <c r="B4904">
        <v>0.99193492352474899</v>
      </c>
      <c r="C4904">
        <v>1.2295996518930301</v>
      </c>
      <c r="D4904">
        <v>0.91109227543621396</v>
      </c>
      <c r="E4904">
        <v>0.83932717820414704</v>
      </c>
      <c r="F4904">
        <v>0.62140447492164697</v>
      </c>
      <c r="G4904">
        <v>0.39657385590433297</v>
      </c>
      <c r="H4904">
        <v>0.39275562895630201</v>
      </c>
      <c r="I4904">
        <v>0.39149326890159603</v>
      </c>
      <c r="J4904">
        <v>0.65513360092693496</v>
      </c>
      <c r="K4904">
        <v>0.84143326658586604</v>
      </c>
      <c r="L4904">
        <v>1900.60652835924</v>
      </c>
      <c r="M4904">
        <v>37.738982069260501</v>
      </c>
      <c r="O4904">
        <v>50.221107407285103</v>
      </c>
      <c r="P4904">
        <v>-8.6534243281395404E-2</v>
      </c>
      <c r="Q4904">
        <v>0.53937982233478299</v>
      </c>
      <c r="R4904">
        <v>0.68562126440444604</v>
      </c>
      <c r="S4904" t="s">
        <v>11574</v>
      </c>
      <c r="T4904" t="s">
        <v>13338</v>
      </c>
      <c r="U4904" t="s">
        <v>13338</v>
      </c>
      <c r="V4904" t="s">
        <v>13338</v>
      </c>
      <c r="W4904" t="s">
        <v>18186</v>
      </c>
      <c r="X4904">
        <v>1</v>
      </c>
      <c r="Y4904" t="s">
        <v>24685</v>
      </c>
      <c r="Z4904" t="s">
        <v>31319</v>
      </c>
      <c r="AA4904">
        <v>0.7002798831203858</v>
      </c>
      <c r="AB4904" t="str">
        <f>HYPERLINK("Melting_Curves/meltCurve_Q969E4_TCEAL3.pdf", "Melting_Curves/meltCurve_Q969E4_TCEAL3.pdf")</f>
        <v>Melting_Curves/meltCurve_Q969E4_TCEAL3.pdf</v>
      </c>
    </row>
    <row r="4905" spans="1:28" x14ac:dyDescent="0.25">
      <c r="A4905" t="s">
        <v>4909</v>
      </c>
      <c r="B4905">
        <v>0.99193492352474899</v>
      </c>
      <c r="C4905">
        <v>6.6430723677547503</v>
      </c>
      <c r="D4905">
        <v>0.34546878057795399</v>
      </c>
      <c r="E4905">
        <v>2.6010723065392098</v>
      </c>
      <c r="F4905">
        <v>0</v>
      </c>
      <c r="G4905">
        <v>0.212988862151169</v>
      </c>
      <c r="H4905">
        <v>0.169872163206266</v>
      </c>
      <c r="I4905">
        <v>0.38138421877223</v>
      </c>
      <c r="J4905">
        <v>0</v>
      </c>
      <c r="K4905">
        <v>0</v>
      </c>
      <c r="L4905">
        <v>6047.7602324701002</v>
      </c>
      <c r="M4905">
        <v>116.636961231759</v>
      </c>
      <c r="N4905">
        <v>51.972862467600699</v>
      </c>
      <c r="O4905">
        <v>51.835908250388698</v>
      </c>
      <c r="P4905">
        <v>-0.49530086664098599</v>
      </c>
      <c r="Q4905">
        <v>0.119511702233661</v>
      </c>
      <c r="R4905">
        <v>0.11083590107702</v>
      </c>
      <c r="S4905" t="s">
        <v>11575</v>
      </c>
      <c r="T4905" t="s">
        <v>13338</v>
      </c>
      <c r="U4905" t="s">
        <v>13338</v>
      </c>
      <c r="V4905" t="s">
        <v>13338</v>
      </c>
      <c r="W4905" t="s">
        <v>18187</v>
      </c>
      <c r="X4905">
        <v>1</v>
      </c>
      <c r="Y4905" t="s">
        <v>24686</v>
      </c>
      <c r="Z4905" t="s">
        <v>31320</v>
      </c>
      <c r="AA4905">
        <v>0.46770663710347837</v>
      </c>
      <c r="AB4905" t="str">
        <f>HYPERLINK("Melting_Curves/meltCurve_Q969E8_TSR2.pdf", "Melting_Curves/meltCurve_Q969E8_TSR2.pdf")</f>
        <v>Melting_Curves/meltCurve_Q969E8_TSR2.pdf</v>
      </c>
    </row>
    <row r="4906" spans="1:28" x14ac:dyDescent="0.25">
      <c r="A4906" t="s">
        <v>4910</v>
      </c>
      <c r="B4906">
        <v>0.99193492352474899</v>
      </c>
      <c r="C4906">
        <v>0.60457439129737101</v>
      </c>
      <c r="D4906">
        <v>0.45992223980861602</v>
      </c>
      <c r="E4906">
        <v>0.179093952754529</v>
      </c>
      <c r="F4906">
        <v>0.125206997967163</v>
      </c>
      <c r="G4906">
        <v>8.0927672915222904E-2</v>
      </c>
      <c r="H4906">
        <v>6.08525744964864E-2</v>
      </c>
      <c r="I4906">
        <v>8.7378193397952705E-2</v>
      </c>
      <c r="J4906">
        <v>9.1218570741370103E-2</v>
      </c>
      <c r="K4906">
        <v>0.108444257722476</v>
      </c>
      <c r="L4906">
        <v>846.99178720888301</v>
      </c>
      <c r="M4906">
        <v>19.046436781846499</v>
      </c>
      <c r="N4906">
        <v>44.894899942985901</v>
      </c>
      <c r="O4906">
        <v>43.988334903791497</v>
      </c>
      <c r="P4906">
        <v>-9.9319882151470501E-2</v>
      </c>
      <c r="Q4906">
        <v>8.2507322525332799E-2</v>
      </c>
      <c r="R4906">
        <v>0.97508147579399795</v>
      </c>
      <c r="S4906" t="s">
        <v>11576</v>
      </c>
      <c r="T4906" t="s">
        <v>13338</v>
      </c>
      <c r="U4906" t="s">
        <v>13338</v>
      </c>
      <c r="V4906" t="s">
        <v>13338</v>
      </c>
      <c r="W4906" t="s">
        <v>18188</v>
      </c>
      <c r="X4906">
        <v>13</v>
      </c>
      <c r="Y4906" t="s">
        <v>24687</v>
      </c>
      <c r="Z4906" t="s">
        <v>31321</v>
      </c>
      <c r="AA4906">
        <v>0.23779471352366041</v>
      </c>
      <c r="AB4906" t="str">
        <f>HYPERLINK("Melting_Curves/meltCurve_Q969G3_2_SMARCE1.pdf", "Melting_Curves/meltCurve_Q969G3_2_SMARCE1.pdf")</f>
        <v>Melting_Curves/meltCurve_Q969G3_2_SMARCE1.pdf</v>
      </c>
    </row>
    <row r="4907" spans="1:28" x14ac:dyDescent="0.25">
      <c r="A4907" t="s">
        <v>4911</v>
      </c>
      <c r="B4907">
        <v>0.99193492352474899</v>
      </c>
      <c r="C4907">
        <v>0.77619384500589395</v>
      </c>
      <c r="D4907">
        <v>0.85260854414608001</v>
      </c>
      <c r="E4907">
        <v>0.68626478111629097</v>
      </c>
      <c r="F4907">
        <v>0.53654587779525298</v>
      </c>
      <c r="G4907">
        <v>0.25997209192999499</v>
      </c>
      <c r="H4907">
        <v>6.4069094344575098E-2</v>
      </c>
      <c r="I4907">
        <v>9.8965602981166106E-2</v>
      </c>
      <c r="J4907">
        <v>7.6252749749603804E-2</v>
      </c>
      <c r="K4907">
        <v>7.0772620412619794E-2</v>
      </c>
      <c r="L4907">
        <v>628.70442190206495</v>
      </c>
      <c r="M4907">
        <v>11.9920037195992</v>
      </c>
      <c r="N4907">
        <v>52.426987525976102</v>
      </c>
      <c r="O4907">
        <v>51.032901931303002</v>
      </c>
      <c r="P4907">
        <v>-5.87606233910411E-2</v>
      </c>
      <c r="Q4907">
        <v>0</v>
      </c>
      <c r="R4907">
        <v>0.96465201138870205</v>
      </c>
      <c r="S4907" t="s">
        <v>11577</v>
      </c>
      <c r="T4907" t="s">
        <v>13338</v>
      </c>
      <c r="U4907" t="s">
        <v>13338</v>
      </c>
      <c r="V4907" t="s">
        <v>13338</v>
      </c>
      <c r="W4907" t="s">
        <v>18189</v>
      </c>
      <c r="X4907">
        <v>4</v>
      </c>
      <c r="Y4907" t="s">
        <v>24688</v>
      </c>
      <c r="Z4907" t="s">
        <v>31322</v>
      </c>
      <c r="AA4907">
        <v>0.44397018371752173</v>
      </c>
      <c r="AB4907" t="str">
        <f>HYPERLINK("Melting_Curves/meltCurve_Q969G6_RFK.pdf", "Melting_Curves/meltCurve_Q969G6_RFK.pdf")</f>
        <v>Melting_Curves/meltCurve_Q969G6_RFK.pdf</v>
      </c>
    </row>
    <row r="4908" spans="1:28" x14ac:dyDescent="0.25">
      <c r="A4908" t="s">
        <v>4912</v>
      </c>
      <c r="B4908">
        <v>0.99193492352474899</v>
      </c>
      <c r="C4908">
        <v>0.85253306150931396</v>
      </c>
      <c r="D4908">
        <v>0.73121833732041597</v>
      </c>
      <c r="E4908">
        <v>0.72055525550337696</v>
      </c>
      <c r="F4908">
        <v>0.72612185378012895</v>
      </c>
      <c r="G4908">
        <v>0.51810343104135304</v>
      </c>
      <c r="H4908">
        <v>0.46081310268331599</v>
      </c>
      <c r="I4908">
        <v>0.21451243733894901</v>
      </c>
      <c r="J4908">
        <v>0.18202653202250199</v>
      </c>
      <c r="K4908">
        <v>0.11172048876764699</v>
      </c>
      <c r="L4908">
        <v>434.102053843139</v>
      </c>
      <c r="M4908">
        <v>7.6941517860883302</v>
      </c>
      <c r="N4908">
        <v>56.419741370226497</v>
      </c>
      <c r="O4908">
        <v>52.987962842033497</v>
      </c>
      <c r="P4908">
        <v>-3.6348893831843199E-2</v>
      </c>
      <c r="Q4908">
        <v>0</v>
      </c>
      <c r="R4908">
        <v>0.93322848963614002</v>
      </c>
      <c r="S4908" t="s">
        <v>11578</v>
      </c>
      <c r="T4908" t="s">
        <v>13338</v>
      </c>
      <c r="U4908" t="s">
        <v>13338</v>
      </c>
      <c r="V4908" t="s">
        <v>13338</v>
      </c>
      <c r="W4908" t="s">
        <v>18190</v>
      </c>
      <c r="X4908">
        <v>2</v>
      </c>
      <c r="Y4908" t="s">
        <v>24689</v>
      </c>
      <c r="Z4908" t="s">
        <v>31323</v>
      </c>
      <c r="AA4908">
        <v>0.56324546004247156</v>
      </c>
      <c r="AB4908" t="str">
        <f>HYPERLINK("Melting_Curves/meltCurve_Q969H6_POP5.pdf", "Melting_Curves/meltCurve_Q969H6_POP5.pdf")</f>
        <v>Melting_Curves/meltCurve_Q969H6_POP5.pdf</v>
      </c>
    </row>
    <row r="4909" spans="1:28" x14ac:dyDescent="0.25">
      <c r="A4909" t="s">
        <v>4913</v>
      </c>
      <c r="B4909">
        <v>0.99193492352474899</v>
      </c>
      <c r="C4909">
        <v>1.0313742293606201</v>
      </c>
      <c r="D4909">
        <v>1.0207168306305301</v>
      </c>
      <c r="E4909">
        <v>0.93335907695303799</v>
      </c>
      <c r="F4909">
        <v>0.672394517863802</v>
      </c>
      <c r="G4909">
        <v>0.60061309948080999</v>
      </c>
      <c r="H4909">
        <v>0.360865294238015</v>
      </c>
      <c r="I4909">
        <v>0.18986896649797499</v>
      </c>
      <c r="J4909">
        <v>0.198280006129256</v>
      </c>
      <c r="K4909">
        <v>0.14323399497038</v>
      </c>
      <c r="L4909">
        <v>825.25140681802498</v>
      </c>
      <c r="M4909">
        <v>14.5048869142838</v>
      </c>
      <c r="N4909">
        <v>57.645094067641203</v>
      </c>
      <c r="O4909">
        <v>55.846095467726798</v>
      </c>
      <c r="P4909">
        <v>-5.9353147538496E-2</v>
      </c>
      <c r="Q4909">
        <v>8.6029504545656901E-2</v>
      </c>
      <c r="R4909">
        <v>0.98563271374130901</v>
      </c>
      <c r="S4909" t="s">
        <v>11579</v>
      </c>
      <c r="T4909" t="s">
        <v>13338</v>
      </c>
      <c r="U4909" t="s">
        <v>13338</v>
      </c>
      <c r="V4909" t="s">
        <v>13338</v>
      </c>
      <c r="W4909" t="s">
        <v>18191</v>
      </c>
      <c r="X4909">
        <v>6</v>
      </c>
      <c r="Y4909" t="s">
        <v>24690</v>
      </c>
      <c r="Z4909" t="s">
        <v>31324</v>
      </c>
      <c r="AA4909">
        <v>0.61568078426671846</v>
      </c>
      <c r="AB4909" t="str">
        <f>HYPERLINK("Melting_Curves/meltCurve_Q969H8_C19orf10.pdf", "Melting_Curves/meltCurve_Q969H8_C19orf10.pdf")</f>
        <v>Melting_Curves/meltCurve_Q969H8_C19orf10.pdf</v>
      </c>
    </row>
    <row r="4910" spans="1:28" x14ac:dyDescent="0.25">
      <c r="A4910" t="s">
        <v>4914</v>
      </c>
      <c r="B4910">
        <v>0.99193492352474899</v>
      </c>
      <c r="C4910">
        <v>0.76883665738680596</v>
      </c>
      <c r="D4910">
        <v>1.02029074213254</v>
      </c>
      <c r="E4910">
        <v>0.32769004222259901</v>
      </c>
      <c r="F4910">
        <v>0.21748328476402601</v>
      </c>
      <c r="G4910">
        <v>0.129784545018751</v>
      </c>
      <c r="H4910">
        <v>5.462983050471E-2</v>
      </c>
      <c r="I4910">
        <v>8.3183744002142096E-2</v>
      </c>
      <c r="J4910">
        <v>0.118579038949906</v>
      </c>
      <c r="K4910">
        <v>0.12793574928562401</v>
      </c>
      <c r="L4910">
        <v>4767.9313557315099</v>
      </c>
      <c r="M4910">
        <v>97.308170399161497</v>
      </c>
      <c r="N4910">
        <v>49.1392565319779</v>
      </c>
      <c r="O4910">
        <v>48.977580942305799</v>
      </c>
      <c r="P4910">
        <v>-0.43619668320981803</v>
      </c>
      <c r="Q4910">
        <v>0.121806267600647</v>
      </c>
      <c r="R4910">
        <v>0.94887825912269996</v>
      </c>
      <c r="S4910" t="s">
        <v>11580</v>
      </c>
      <c r="T4910" t="s">
        <v>13338</v>
      </c>
      <c r="U4910" t="s">
        <v>13338</v>
      </c>
      <c r="V4910" t="s">
        <v>13338</v>
      </c>
      <c r="W4910" t="s">
        <v>18192</v>
      </c>
      <c r="X4910">
        <v>1</v>
      </c>
      <c r="Y4910" t="s">
        <v>24691</v>
      </c>
      <c r="Z4910" t="s">
        <v>31325</v>
      </c>
      <c r="AA4910">
        <v>0.38571262316041932</v>
      </c>
      <c r="AB4910" t="str">
        <f>HYPERLINK("Melting_Curves/meltCurve_Q969K3_RNF34.pdf", "Melting_Curves/meltCurve_Q969K3_RNF34.pdf")</f>
        <v>Melting_Curves/meltCurve_Q969K3_RNF34.pdf</v>
      </c>
    </row>
    <row r="4911" spans="1:28" x14ac:dyDescent="0.25">
      <c r="A4911" t="s">
        <v>4915</v>
      </c>
      <c r="B4911">
        <v>0.99193492352474899</v>
      </c>
      <c r="C4911">
        <v>1.00631331390697</v>
      </c>
      <c r="D4911">
        <v>1.0732354643275901</v>
      </c>
      <c r="E4911">
        <v>0.84891535117471795</v>
      </c>
      <c r="F4911">
        <v>0.78954564517016301</v>
      </c>
      <c r="G4911">
        <v>0.55412732514658902</v>
      </c>
      <c r="H4911">
        <v>0.51060357725501404</v>
      </c>
      <c r="I4911">
        <v>0.49462912956036198</v>
      </c>
      <c r="J4911">
        <v>0.82730762891148901</v>
      </c>
      <c r="K4911">
        <v>0.76587850062793095</v>
      </c>
      <c r="L4911">
        <v>1613.40526376653</v>
      </c>
      <c r="M4911">
        <v>31.569963848345299</v>
      </c>
      <c r="O4911">
        <v>50.9019604698655</v>
      </c>
      <c r="P4911">
        <v>-5.6332401829827301E-2</v>
      </c>
      <c r="Q4911">
        <v>0.63669082561347801</v>
      </c>
      <c r="R4911">
        <v>0.71057427058884404</v>
      </c>
      <c r="S4911" t="s">
        <v>11581</v>
      </c>
      <c r="T4911" t="s">
        <v>13338</v>
      </c>
      <c r="U4911" t="s">
        <v>13338</v>
      </c>
      <c r="V4911" t="s">
        <v>13338</v>
      </c>
      <c r="W4911" t="s">
        <v>18193</v>
      </c>
      <c r="X4911">
        <v>3</v>
      </c>
      <c r="Y4911" t="s">
        <v>24692</v>
      </c>
      <c r="Z4911" t="s">
        <v>31326</v>
      </c>
      <c r="AA4911">
        <v>0.77325023865686648</v>
      </c>
      <c r="AB4911" t="str">
        <f>HYPERLINK("Melting_Curves/meltCurve_Q969M1_TOMM40L.pdf", "Melting_Curves/meltCurve_Q969M1_TOMM40L.pdf")</f>
        <v>Melting_Curves/meltCurve_Q969M1_TOMM40L.pdf</v>
      </c>
    </row>
    <row r="4912" spans="1:28" x14ac:dyDescent="0.25">
      <c r="A4912" t="s">
        <v>4916</v>
      </c>
      <c r="B4912">
        <v>0.99193492352474899</v>
      </c>
      <c r="C4912">
        <v>0.95941286510995705</v>
      </c>
      <c r="D4912">
        <v>0.94551840619390104</v>
      </c>
      <c r="E4912">
        <v>0.79041554017520499</v>
      </c>
      <c r="F4912">
        <v>0.54609816903456998</v>
      </c>
      <c r="G4912">
        <v>0.36910359571562401</v>
      </c>
      <c r="H4912">
        <v>0.16215542095463201</v>
      </c>
      <c r="I4912">
        <v>0.13555595330452</v>
      </c>
      <c r="J4912">
        <v>0.15103804990292299</v>
      </c>
      <c r="K4912">
        <v>0.118708678722246</v>
      </c>
      <c r="L4912">
        <v>871.76652913835096</v>
      </c>
      <c r="M4912">
        <v>16.3601932251417</v>
      </c>
      <c r="N4912">
        <v>53.987011390950101</v>
      </c>
      <c r="O4912">
        <v>52.508782529794303</v>
      </c>
      <c r="P4912">
        <v>-7.0442326977538106E-2</v>
      </c>
      <c r="Q4912">
        <v>9.5713606089102204E-2</v>
      </c>
      <c r="R4912">
        <v>0.99668531580175102</v>
      </c>
      <c r="S4912" t="s">
        <v>11582</v>
      </c>
      <c r="T4912" t="s">
        <v>13338</v>
      </c>
      <c r="U4912" t="s">
        <v>13338</v>
      </c>
      <c r="V4912" t="s">
        <v>13338</v>
      </c>
      <c r="W4912" t="s">
        <v>18194</v>
      </c>
      <c r="X4912">
        <v>2</v>
      </c>
      <c r="Y4912" t="s">
        <v>24693</v>
      </c>
      <c r="Z4912" t="s">
        <v>31327</v>
      </c>
      <c r="AA4912">
        <v>0.51319957086249601</v>
      </c>
      <c r="AB4912" t="str">
        <f>HYPERLINK("Melting_Curves/meltCurve_Q969M3_YIPF5.pdf", "Melting_Curves/meltCurve_Q969M3_YIPF5.pdf")</f>
        <v>Melting_Curves/meltCurve_Q969M3_YIPF5.pdf</v>
      </c>
    </row>
    <row r="4913" spans="1:28" x14ac:dyDescent="0.25">
      <c r="A4913" t="s">
        <v>4917</v>
      </c>
      <c r="B4913">
        <v>0.99193492352474899</v>
      </c>
      <c r="C4913">
        <v>1.06636644522651</v>
      </c>
      <c r="D4913">
        <v>1.0205782562985499</v>
      </c>
      <c r="E4913">
        <v>0.83045509692930997</v>
      </c>
      <c r="F4913">
        <v>0.28809249320400698</v>
      </c>
      <c r="G4913">
        <v>0.15984150609008899</v>
      </c>
      <c r="H4913">
        <v>0.100255586728455</v>
      </c>
      <c r="I4913">
        <v>0.10088649530201101</v>
      </c>
      <c r="J4913">
        <v>0.102813002472621</v>
      </c>
      <c r="K4913">
        <v>0.130783071347989</v>
      </c>
      <c r="L4913">
        <v>2075.9588743302702</v>
      </c>
      <c r="M4913">
        <v>40.404153061468499</v>
      </c>
      <c r="N4913">
        <v>51.711438213536098</v>
      </c>
      <c r="O4913">
        <v>51.254459200066599</v>
      </c>
      <c r="P4913">
        <v>-0.174584824292737</v>
      </c>
      <c r="Q4913">
        <v>0.114127431484187</v>
      </c>
      <c r="R4913">
        <v>0.99596474126601797</v>
      </c>
      <c r="S4913" t="s">
        <v>11583</v>
      </c>
      <c r="T4913" t="s">
        <v>13338</v>
      </c>
      <c r="U4913" t="s">
        <v>13338</v>
      </c>
      <c r="V4913" t="s">
        <v>13338</v>
      </c>
      <c r="W4913" t="s">
        <v>18195</v>
      </c>
      <c r="X4913">
        <v>11</v>
      </c>
      <c r="Y4913" t="s">
        <v>24694</v>
      </c>
      <c r="Z4913" t="s">
        <v>31328</v>
      </c>
      <c r="AA4913">
        <v>0.45324619139200251</v>
      </c>
      <c r="AB4913" t="str">
        <f>HYPERLINK("Melting_Curves/meltCurve_Q969N2_5_PIGT.pdf", "Melting_Curves/meltCurve_Q969N2_5_PIGT.pdf")</f>
        <v>Melting_Curves/meltCurve_Q969N2_5_PIGT.pdf</v>
      </c>
    </row>
    <row r="4914" spans="1:28" x14ac:dyDescent="0.25">
      <c r="A4914" t="s">
        <v>4918</v>
      </c>
      <c r="B4914">
        <v>0.99193492352474899</v>
      </c>
      <c r="C4914">
        <v>1.1145853425226899</v>
      </c>
      <c r="D4914">
        <v>1.10040607875678</v>
      </c>
      <c r="E4914">
        <v>1.05336180538451</v>
      </c>
      <c r="F4914">
        <v>0.90488312124487702</v>
      </c>
      <c r="G4914">
        <v>0.83787006596444003</v>
      </c>
      <c r="H4914">
        <v>0.53806831705095903</v>
      </c>
      <c r="I4914">
        <v>0.52297406859486595</v>
      </c>
      <c r="J4914">
        <v>0.52090236948319601</v>
      </c>
      <c r="K4914">
        <v>0.55147792125435202</v>
      </c>
      <c r="L4914">
        <v>2350.7197346951202</v>
      </c>
      <c r="M4914">
        <v>40.919585371558199</v>
      </c>
      <c r="O4914">
        <v>57.310616740043997</v>
      </c>
      <c r="P4914">
        <v>-8.53244195705017E-2</v>
      </c>
      <c r="Q4914">
        <v>0.52199073723684997</v>
      </c>
      <c r="R4914">
        <v>0.94117304983757899</v>
      </c>
      <c r="S4914" t="s">
        <v>11584</v>
      </c>
      <c r="T4914" t="s">
        <v>13338</v>
      </c>
      <c r="U4914" t="s">
        <v>13338</v>
      </c>
      <c r="V4914" t="s">
        <v>13338</v>
      </c>
      <c r="W4914" t="s">
        <v>18196</v>
      </c>
      <c r="X4914">
        <v>18</v>
      </c>
      <c r="Y4914" t="s">
        <v>24695</v>
      </c>
      <c r="Z4914" t="s">
        <v>31329</v>
      </c>
      <c r="AA4914">
        <v>0.80178036002255626</v>
      </c>
      <c r="AB4914" t="str">
        <f>HYPERLINK("Melting_Curves/meltCurve_Q969P0_3_IGSF8.pdf", "Melting_Curves/meltCurve_Q969P0_3_IGSF8.pdf")</f>
        <v>Melting_Curves/meltCurve_Q969P0_3_IGSF8.pdf</v>
      </c>
    </row>
    <row r="4915" spans="1:28" x14ac:dyDescent="0.25">
      <c r="A4915" t="s">
        <v>4919</v>
      </c>
      <c r="B4915">
        <v>0.99193492352474899</v>
      </c>
      <c r="C4915">
        <v>1.3154327950504601</v>
      </c>
      <c r="D4915">
        <v>0.87709532877253604</v>
      </c>
      <c r="E4915">
        <v>1.2188231269507499</v>
      </c>
      <c r="F4915">
        <v>0.66924345490213499</v>
      </c>
      <c r="G4915">
        <v>0.38380587009976203</v>
      </c>
      <c r="H4915">
        <v>0.193390278010558</v>
      </c>
      <c r="I4915">
        <v>0.18853892769457201</v>
      </c>
      <c r="J4915">
        <v>0.19947894643548</v>
      </c>
      <c r="K4915">
        <v>0.180038608331092</v>
      </c>
      <c r="L4915">
        <v>2029.2961400163099</v>
      </c>
      <c r="M4915">
        <v>37.424854758756098</v>
      </c>
      <c r="N4915">
        <v>54.9529185578699</v>
      </c>
      <c r="O4915">
        <v>54.069099723644001</v>
      </c>
      <c r="P4915">
        <v>-0.13915914372850799</v>
      </c>
      <c r="Q4915">
        <v>0.195808330574367</v>
      </c>
      <c r="R4915">
        <v>0.90097260928346301</v>
      </c>
      <c r="S4915" t="s">
        <v>11585</v>
      </c>
      <c r="T4915" t="s">
        <v>13338</v>
      </c>
      <c r="U4915" t="s">
        <v>13338</v>
      </c>
      <c r="V4915" t="s">
        <v>13338</v>
      </c>
      <c r="W4915" t="s">
        <v>18197</v>
      </c>
      <c r="X4915">
        <v>10</v>
      </c>
      <c r="Y4915" t="s">
        <v>24696</v>
      </c>
      <c r="Z4915" t="s">
        <v>31330</v>
      </c>
      <c r="AA4915">
        <v>0.58051500499839126</v>
      </c>
      <c r="AB4915" t="str">
        <f>HYPERLINK("Melting_Curves/meltCurve_Q969Q0_RPL36AL.pdf", "Melting_Curves/meltCurve_Q969Q0_RPL36AL.pdf")</f>
        <v>Melting_Curves/meltCurve_Q969Q0_RPL36AL.pdf</v>
      </c>
    </row>
    <row r="4916" spans="1:28" x14ac:dyDescent="0.25">
      <c r="A4916" t="s">
        <v>4920</v>
      </c>
      <c r="B4916">
        <v>0.99193492352474899</v>
      </c>
      <c r="C4916">
        <v>0.87818912542169103</v>
      </c>
      <c r="D4916">
        <v>1.01984602164226</v>
      </c>
      <c r="E4916">
        <v>0.79469485643996696</v>
      </c>
      <c r="F4916">
        <v>0.66012010866759696</v>
      </c>
      <c r="G4916">
        <v>0.46082927188143702</v>
      </c>
      <c r="H4916">
        <v>0.32405246794769299</v>
      </c>
      <c r="I4916">
        <v>0.21491462455543001</v>
      </c>
      <c r="J4916">
        <v>0.162356843446264</v>
      </c>
      <c r="K4916">
        <v>0.118104429733677</v>
      </c>
      <c r="L4916">
        <v>654.36668506511</v>
      </c>
      <c r="M4916">
        <v>11.717892320350501</v>
      </c>
      <c r="N4916">
        <v>56.263231530934497</v>
      </c>
      <c r="O4916">
        <v>54.2913854158083</v>
      </c>
      <c r="P4916">
        <v>-5.1713066994501303E-2</v>
      </c>
      <c r="Q4916">
        <v>4.1864271028895901E-2</v>
      </c>
      <c r="R4916">
        <v>0.98308771567458897</v>
      </c>
      <c r="S4916" t="s">
        <v>11586</v>
      </c>
      <c r="T4916" t="s">
        <v>13338</v>
      </c>
      <c r="U4916" t="s">
        <v>13338</v>
      </c>
      <c r="V4916" t="s">
        <v>13338</v>
      </c>
      <c r="W4916" t="s">
        <v>18198</v>
      </c>
      <c r="X4916">
        <v>9</v>
      </c>
      <c r="Y4916" t="s">
        <v>24697</v>
      </c>
      <c r="Z4916" t="s">
        <v>31331</v>
      </c>
      <c r="AA4916">
        <v>0.56808791116385893</v>
      </c>
      <c r="AB4916" t="str">
        <f>HYPERLINK("Melting_Curves/meltCurve_Q969Q5_RAB24.pdf", "Melting_Curves/meltCurve_Q969Q5_RAB24.pdf")</f>
        <v>Melting_Curves/meltCurve_Q969Q5_RAB24.pdf</v>
      </c>
    </row>
    <row r="4917" spans="1:28" x14ac:dyDescent="0.25">
      <c r="A4917" t="s">
        <v>4921</v>
      </c>
      <c r="B4917">
        <v>0.99193492352474899</v>
      </c>
      <c r="C4917">
        <v>0.985450123753014</v>
      </c>
      <c r="D4917">
        <v>1.0402760379390099</v>
      </c>
      <c r="E4917">
        <v>0.83729071264827803</v>
      </c>
      <c r="F4917">
        <v>0.31705190500863301</v>
      </c>
      <c r="G4917">
        <v>0.160599425372839</v>
      </c>
      <c r="H4917">
        <v>6.8420397380046405E-2</v>
      </c>
      <c r="I4917">
        <v>7.0950295206743896E-2</v>
      </c>
      <c r="J4917">
        <v>7.0488172621822595E-2</v>
      </c>
      <c r="K4917">
        <v>0.10129277356635601</v>
      </c>
      <c r="L4917">
        <v>1875.0685225273101</v>
      </c>
      <c r="M4917">
        <v>36.269866225434903</v>
      </c>
      <c r="N4917">
        <v>51.964420687424699</v>
      </c>
      <c r="O4917">
        <v>51.5412935974337</v>
      </c>
      <c r="P4917">
        <v>-0.16098487475487</v>
      </c>
      <c r="Q4917">
        <v>8.4932582899881801E-2</v>
      </c>
      <c r="R4917">
        <v>0.99667574983385598</v>
      </c>
      <c r="S4917" t="s">
        <v>11587</v>
      </c>
      <c r="T4917" t="s">
        <v>13338</v>
      </c>
      <c r="U4917" t="s">
        <v>13338</v>
      </c>
      <c r="V4917" t="s">
        <v>13338</v>
      </c>
      <c r="W4917" t="s">
        <v>18199</v>
      </c>
      <c r="X4917">
        <v>7</v>
      </c>
      <c r="Y4917" t="s">
        <v>24698</v>
      </c>
      <c r="Z4917" t="s">
        <v>31332</v>
      </c>
      <c r="AA4917">
        <v>0.44571866027387719</v>
      </c>
      <c r="AB4917" t="str">
        <f>HYPERLINK("Melting_Curves/meltCurve_Q969R8_ITFG2.pdf", "Melting_Curves/meltCurve_Q969R8_ITFG2.pdf")</f>
        <v>Melting_Curves/meltCurve_Q969R8_ITFG2.pdf</v>
      </c>
    </row>
    <row r="4918" spans="1:28" x14ac:dyDescent="0.25">
      <c r="A4918" t="s">
        <v>4922</v>
      </c>
      <c r="B4918">
        <v>0.99193492352474899</v>
      </c>
      <c r="C4918">
        <v>0.80365304651454605</v>
      </c>
      <c r="D4918">
        <v>0.92996813914274201</v>
      </c>
      <c r="E4918">
        <v>0.76058441084232198</v>
      </c>
      <c r="F4918">
        <v>0.58479374376495097</v>
      </c>
      <c r="G4918">
        <v>0.19707682933120499</v>
      </c>
      <c r="H4918">
        <v>9.5656928110497794E-2</v>
      </c>
      <c r="I4918">
        <v>0.10870998647670201</v>
      </c>
      <c r="J4918">
        <v>0.12968243512848901</v>
      </c>
      <c r="K4918">
        <v>0.13863849571926301</v>
      </c>
      <c r="L4918">
        <v>1003.99810240968</v>
      </c>
      <c r="M4918">
        <v>19.069220397676499</v>
      </c>
      <c r="N4918">
        <v>53.170097925149001</v>
      </c>
      <c r="O4918">
        <v>52.081435897055002</v>
      </c>
      <c r="P4918">
        <v>-8.3753327117767506E-2</v>
      </c>
      <c r="Q4918">
        <v>8.5054963298264799E-2</v>
      </c>
      <c r="R4918">
        <v>0.95773074998857499</v>
      </c>
      <c r="S4918" t="s">
        <v>11588</v>
      </c>
      <c r="T4918" t="s">
        <v>13338</v>
      </c>
      <c r="U4918" t="s">
        <v>13338</v>
      </c>
      <c r="V4918" t="s">
        <v>13338</v>
      </c>
      <c r="W4918" t="s">
        <v>18200</v>
      </c>
      <c r="X4918">
        <v>13</v>
      </c>
      <c r="Y4918" t="s">
        <v>24699</v>
      </c>
      <c r="Z4918" t="s">
        <v>31333</v>
      </c>
      <c r="AA4918">
        <v>0.48455563198087842</v>
      </c>
      <c r="AB4918" t="str">
        <f>HYPERLINK("Melting_Curves/meltCurve_Q969S3_ZNF622.pdf", "Melting_Curves/meltCurve_Q969S3_ZNF622.pdf")</f>
        <v>Melting_Curves/meltCurve_Q969S3_ZNF622.pdf</v>
      </c>
    </row>
    <row r="4919" spans="1:28" x14ac:dyDescent="0.25">
      <c r="A4919" t="s">
        <v>4923</v>
      </c>
      <c r="B4919">
        <v>0.99193492352474899</v>
      </c>
      <c r="C4919">
        <v>0.80332548272067095</v>
      </c>
      <c r="D4919">
        <v>0.73357619391210704</v>
      </c>
      <c r="E4919">
        <v>0.28783908631933303</v>
      </c>
      <c r="F4919">
        <v>0.18894837610892701</v>
      </c>
      <c r="G4919">
        <v>8.7348410857817096E-2</v>
      </c>
      <c r="H4919">
        <v>6.5129683685777207E-2</v>
      </c>
      <c r="I4919">
        <v>6.5497235775386797E-2</v>
      </c>
      <c r="J4919">
        <v>8.8233416058637507E-2</v>
      </c>
      <c r="K4919">
        <v>6.7137545942266702E-2</v>
      </c>
      <c r="L4919">
        <v>908.08621918881101</v>
      </c>
      <c r="M4919">
        <v>19.181654197012101</v>
      </c>
      <c r="N4919">
        <v>47.676954624440697</v>
      </c>
      <c r="O4919">
        <v>46.8358573390082</v>
      </c>
      <c r="P4919">
        <v>-9.5926166926418602E-2</v>
      </c>
      <c r="Q4919">
        <v>6.31440356802693E-2</v>
      </c>
      <c r="R4919">
        <v>0.98560061237499597</v>
      </c>
      <c r="S4919" t="s">
        <v>11589</v>
      </c>
      <c r="T4919" t="s">
        <v>13338</v>
      </c>
      <c r="U4919" t="s">
        <v>13338</v>
      </c>
      <c r="V4919" t="s">
        <v>13338</v>
      </c>
      <c r="W4919" t="s">
        <v>18201</v>
      </c>
      <c r="X4919">
        <v>9</v>
      </c>
      <c r="Y4919" t="s">
        <v>24700</v>
      </c>
      <c r="Z4919" t="s">
        <v>31334</v>
      </c>
      <c r="AA4919">
        <v>0.30723999644835309</v>
      </c>
      <c r="AB4919" t="str">
        <f>HYPERLINK("Melting_Curves/meltCurve_Q969S9_2_GFM2.pdf", "Melting_Curves/meltCurve_Q969S9_2_GFM2.pdf")</f>
        <v>Melting_Curves/meltCurve_Q969S9_2_GFM2.pdf</v>
      </c>
    </row>
    <row r="4920" spans="1:28" x14ac:dyDescent="0.25">
      <c r="A4920" t="s">
        <v>4924</v>
      </c>
      <c r="B4920">
        <v>0.99193492352474899</v>
      </c>
      <c r="C4920">
        <v>0.89255020139545505</v>
      </c>
      <c r="D4920">
        <v>0.83149015164989104</v>
      </c>
      <c r="E4920">
        <v>0.54546674215187096</v>
      </c>
      <c r="F4920">
        <v>0.201842029821066</v>
      </c>
      <c r="G4920">
        <v>0.11152751135927599</v>
      </c>
      <c r="H4920">
        <v>6.8284156908852894E-2</v>
      </c>
      <c r="I4920">
        <v>7.0153163646658301E-2</v>
      </c>
      <c r="J4920">
        <v>7.3848177356382494E-2</v>
      </c>
      <c r="K4920">
        <v>6.03596246561275E-2</v>
      </c>
      <c r="L4920">
        <v>1000.82990192719</v>
      </c>
      <c r="M4920">
        <v>20.241051148623701</v>
      </c>
      <c r="N4920">
        <v>49.725641743462603</v>
      </c>
      <c r="O4920">
        <v>48.970511879945597</v>
      </c>
      <c r="P4920">
        <v>-9.7768662398386899E-2</v>
      </c>
      <c r="Q4920">
        <v>5.3876640410823698E-2</v>
      </c>
      <c r="R4920">
        <v>0.99477316634786395</v>
      </c>
      <c r="S4920" t="s">
        <v>11590</v>
      </c>
      <c r="T4920" t="s">
        <v>13338</v>
      </c>
      <c r="U4920" t="s">
        <v>13338</v>
      </c>
      <c r="V4920" t="s">
        <v>13338</v>
      </c>
      <c r="W4920" t="s">
        <v>18202</v>
      </c>
      <c r="X4920">
        <v>11</v>
      </c>
      <c r="Y4920" t="s">
        <v>24701</v>
      </c>
      <c r="Z4920" t="s">
        <v>31335</v>
      </c>
      <c r="AA4920">
        <v>0.36466029719219512</v>
      </c>
      <c r="AB4920" t="str">
        <f>HYPERLINK("Melting_Curves/meltCurve_Q969T7_2_NT5C3B.pdf", "Melting_Curves/meltCurve_Q969T7_2_NT5C3B.pdf")</f>
        <v>Melting_Curves/meltCurve_Q969T7_2_NT5C3B.pdf</v>
      </c>
    </row>
    <row r="4921" spans="1:28" x14ac:dyDescent="0.25">
      <c r="A4921" t="s">
        <v>4925</v>
      </c>
      <c r="B4921">
        <v>0.99193492352474899</v>
      </c>
      <c r="C4921">
        <v>1.00265917035041</v>
      </c>
      <c r="D4921">
        <v>1.10203067575362</v>
      </c>
      <c r="E4921">
        <v>0.84583186500596996</v>
      </c>
      <c r="F4921">
        <v>0.40583869912138798</v>
      </c>
      <c r="G4921">
        <v>0.184704505583179</v>
      </c>
      <c r="H4921">
        <v>0.111121604843989</v>
      </c>
      <c r="I4921">
        <v>0.102165122351941</v>
      </c>
      <c r="J4921">
        <v>9.97427848015566E-2</v>
      </c>
      <c r="K4921">
        <v>8.78822117615949E-2</v>
      </c>
      <c r="L4921">
        <v>1705.03324002975</v>
      </c>
      <c r="M4921">
        <v>32.695581169319397</v>
      </c>
      <c r="N4921">
        <v>52.515918530307701</v>
      </c>
      <c r="O4921">
        <v>51.954814211527498</v>
      </c>
      <c r="P4921">
        <v>-0.141252397687466</v>
      </c>
      <c r="Q4921">
        <v>0.102177381628087</v>
      </c>
      <c r="R4921">
        <v>0.99191633041509597</v>
      </c>
      <c r="S4921" t="s">
        <v>11591</v>
      </c>
      <c r="T4921" t="s">
        <v>13338</v>
      </c>
      <c r="U4921" t="s">
        <v>13338</v>
      </c>
      <c r="V4921" t="s">
        <v>13338</v>
      </c>
      <c r="W4921" t="s">
        <v>18203</v>
      </c>
      <c r="X4921">
        <v>13</v>
      </c>
      <c r="Y4921" t="s">
        <v>24702</v>
      </c>
      <c r="Z4921" t="s">
        <v>31336</v>
      </c>
      <c r="AA4921">
        <v>0.47060352213597162</v>
      </c>
      <c r="AB4921" t="str">
        <f>HYPERLINK("Melting_Curves/meltCurve_Q969V3_2_NCLN.pdf", "Melting_Curves/meltCurve_Q969V3_2_NCLN.pdf")</f>
        <v>Melting_Curves/meltCurve_Q969V3_2_NCLN.pdf</v>
      </c>
    </row>
    <row r="4922" spans="1:28" x14ac:dyDescent="0.25">
      <c r="A4922" t="s">
        <v>4926</v>
      </c>
      <c r="B4922">
        <v>0.99193492352474899</v>
      </c>
      <c r="C4922">
        <v>0.92007842849301003</v>
      </c>
      <c r="D4922">
        <v>1.00662355800865</v>
      </c>
      <c r="E4922">
        <v>0.73727913957089697</v>
      </c>
      <c r="F4922">
        <v>0.50171736213039697</v>
      </c>
      <c r="G4922">
        <v>0.28420651313925499</v>
      </c>
      <c r="H4922">
        <v>0.111751688603552</v>
      </c>
      <c r="I4922">
        <v>8.5171350535696994E-2</v>
      </c>
      <c r="J4922">
        <v>0.120432195150791</v>
      </c>
      <c r="K4922">
        <v>0.18030422275063099</v>
      </c>
      <c r="L4922">
        <v>1046.75144374571</v>
      </c>
      <c r="M4922">
        <v>20.006335937973699</v>
      </c>
      <c r="N4922">
        <v>52.969456677408701</v>
      </c>
      <c r="O4922">
        <v>51.806663653503399</v>
      </c>
      <c r="P4922">
        <v>-8.6059987901962398E-2</v>
      </c>
      <c r="Q4922">
        <v>0.108615204259219</v>
      </c>
      <c r="R4922">
        <v>0.98531289686755796</v>
      </c>
      <c r="S4922" t="s">
        <v>11592</v>
      </c>
      <c r="T4922" t="s">
        <v>13338</v>
      </c>
      <c r="U4922" t="s">
        <v>13338</v>
      </c>
      <c r="V4922" t="s">
        <v>13338</v>
      </c>
      <c r="W4922" t="s">
        <v>18204</v>
      </c>
      <c r="X4922">
        <v>3</v>
      </c>
      <c r="Y4922" t="s">
        <v>24703</v>
      </c>
      <c r="Z4922" t="s">
        <v>31337</v>
      </c>
      <c r="AA4922">
        <v>0.48701694318575428</v>
      </c>
      <c r="AB4922" t="str">
        <f>HYPERLINK("Melting_Curves/meltCurve_Q969V5_MUL1.pdf", "Melting_Curves/meltCurve_Q969V5_MUL1.pdf")</f>
        <v>Melting_Curves/meltCurve_Q969V5_MUL1.pdf</v>
      </c>
    </row>
    <row r="4923" spans="1:28" x14ac:dyDescent="0.25">
      <c r="A4923" t="s">
        <v>4927</v>
      </c>
      <c r="B4923">
        <v>0.99193492352474899</v>
      </c>
      <c r="C4923">
        <v>0.811196944612667</v>
      </c>
      <c r="D4923">
        <v>0.70167655179095201</v>
      </c>
      <c r="E4923">
        <v>0.30442711570485398</v>
      </c>
      <c r="F4923">
        <v>0.14877761526361999</v>
      </c>
      <c r="G4923">
        <v>8.4706506266207099E-2</v>
      </c>
      <c r="H4923">
        <v>5.4435837468084197E-2</v>
      </c>
      <c r="I4923">
        <v>7.1665489757574294E-2</v>
      </c>
      <c r="J4923">
        <v>9.11185336115026E-2</v>
      </c>
      <c r="K4923">
        <v>0.111264155184809</v>
      </c>
      <c r="L4923">
        <v>939.36752107836196</v>
      </c>
      <c r="M4923">
        <v>19.928175141944202</v>
      </c>
      <c r="N4923">
        <v>47.502392449974899</v>
      </c>
      <c r="O4923">
        <v>46.6706973883187</v>
      </c>
      <c r="P4923">
        <v>-9.9179248948548807E-2</v>
      </c>
      <c r="Q4923">
        <v>7.0941145449692905E-2</v>
      </c>
      <c r="R4923">
        <v>0.98945554115172796</v>
      </c>
      <c r="S4923" t="s">
        <v>11593</v>
      </c>
      <c r="T4923" t="s">
        <v>13338</v>
      </c>
      <c r="U4923" t="s">
        <v>13338</v>
      </c>
      <c r="V4923" t="s">
        <v>13338</v>
      </c>
      <c r="W4923" t="s">
        <v>18205</v>
      </c>
      <c r="X4923">
        <v>3</v>
      </c>
      <c r="Y4923" t="s">
        <v>24704</v>
      </c>
      <c r="Z4923" t="s">
        <v>31338</v>
      </c>
      <c r="AA4923">
        <v>0.30562084069758111</v>
      </c>
      <c r="AB4923" t="str">
        <f>HYPERLINK("Melting_Curves/meltCurve_Q969X0_RILPL2.pdf", "Melting_Curves/meltCurve_Q969X0_RILPL2.pdf")</f>
        <v>Melting_Curves/meltCurve_Q969X0_RILPL2.pdf</v>
      </c>
    </row>
    <row r="4924" spans="1:28" x14ac:dyDescent="0.25">
      <c r="A4924" t="s">
        <v>4928</v>
      </c>
      <c r="B4924">
        <v>0.99193492352474899</v>
      </c>
      <c r="C4924">
        <v>0.84309716063893103</v>
      </c>
      <c r="D4924">
        <v>1.1152280414812601</v>
      </c>
      <c r="E4924">
        <v>0.84784053170771401</v>
      </c>
      <c r="F4924">
        <v>0.69427250778626604</v>
      </c>
      <c r="G4924">
        <v>0.31248846794097501</v>
      </c>
      <c r="H4924">
        <v>0.124674761501041</v>
      </c>
      <c r="I4924">
        <v>0.10294535274333701</v>
      </c>
      <c r="J4924">
        <v>0.11657386516250701</v>
      </c>
      <c r="K4924">
        <v>0.12798569298690601</v>
      </c>
      <c r="L4924">
        <v>1381.9239829002299</v>
      </c>
      <c r="M4924">
        <v>25.464155704799801</v>
      </c>
      <c r="N4924">
        <v>54.740492960316701</v>
      </c>
      <c r="O4924">
        <v>53.938004761354001</v>
      </c>
      <c r="P4924">
        <v>-0.10641277142456</v>
      </c>
      <c r="Q4924">
        <v>9.8399962182246101E-2</v>
      </c>
      <c r="R4924">
        <v>0.96773611324741304</v>
      </c>
      <c r="S4924" t="s">
        <v>11594</v>
      </c>
      <c r="T4924" t="s">
        <v>13338</v>
      </c>
      <c r="U4924" t="s">
        <v>13338</v>
      </c>
      <c r="V4924" t="s">
        <v>13338</v>
      </c>
      <c r="W4924" t="s">
        <v>18206</v>
      </c>
      <c r="X4924">
        <v>10</v>
      </c>
      <c r="Y4924" t="s">
        <v>24705</v>
      </c>
      <c r="Z4924" t="s">
        <v>31339</v>
      </c>
      <c r="AA4924">
        <v>0.53531663629465165</v>
      </c>
      <c r="AB4924" t="str">
        <f>HYPERLINK("Melting_Curves/meltCurve_Q969X5_2_ERGIC1.pdf", "Melting_Curves/meltCurve_Q969X5_2_ERGIC1.pdf")</f>
        <v>Melting_Curves/meltCurve_Q969X5_2_ERGIC1.pdf</v>
      </c>
    </row>
    <row r="4925" spans="1:28" x14ac:dyDescent="0.25">
      <c r="A4925" t="s">
        <v>4929</v>
      </c>
      <c r="B4925">
        <v>0.99193492352474899</v>
      </c>
      <c r="C4925">
        <v>0.64422672767417599</v>
      </c>
      <c r="D4925">
        <v>0.85130653063733097</v>
      </c>
      <c r="E4925">
        <v>0.77066478520506898</v>
      </c>
      <c r="F4925">
        <v>0.54498452777194295</v>
      </c>
      <c r="G4925">
        <v>0.22337533417309299</v>
      </c>
      <c r="H4925">
        <v>0.11116105308937201</v>
      </c>
      <c r="I4925">
        <v>0.13033023970521401</v>
      </c>
      <c r="J4925">
        <v>0.132190652660341</v>
      </c>
      <c r="K4925">
        <v>0.17162866470233901</v>
      </c>
      <c r="L4925">
        <v>544.29681852557997</v>
      </c>
      <c r="M4925">
        <v>10.3935184852416</v>
      </c>
      <c r="N4925">
        <v>52.589271320716797</v>
      </c>
      <c r="O4925">
        <v>50.541516466309403</v>
      </c>
      <c r="P4925">
        <v>-5.0336208916499002E-2</v>
      </c>
      <c r="Q4925">
        <v>2.1312951861213101E-2</v>
      </c>
      <c r="R4925">
        <v>0.88515309195020198</v>
      </c>
      <c r="S4925" t="s">
        <v>11595</v>
      </c>
      <c r="T4925" t="s">
        <v>13338</v>
      </c>
      <c r="U4925" t="s">
        <v>13338</v>
      </c>
      <c r="V4925" t="s">
        <v>13338</v>
      </c>
      <c r="W4925" t="s">
        <v>18207</v>
      </c>
      <c r="X4925">
        <v>13</v>
      </c>
      <c r="Y4925" t="s">
        <v>24706</v>
      </c>
      <c r="Z4925" t="s">
        <v>31340</v>
      </c>
      <c r="AA4925">
        <v>0.45923339566240051</v>
      </c>
      <c r="AB4925" t="str">
        <f>HYPERLINK("Melting_Curves/meltCurve_Q969X6_CIRH1A.pdf", "Melting_Curves/meltCurve_Q969X6_CIRH1A.pdf")</f>
        <v>Melting_Curves/meltCurve_Q969X6_CIRH1A.pdf</v>
      </c>
    </row>
    <row r="4926" spans="1:28" x14ac:dyDescent="0.25">
      <c r="A4926" t="s">
        <v>4930</v>
      </c>
      <c r="B4926">
        <v>0.99193492352474899</v>
      </c>
      <c r="C4926">
        <v>0.96424229118654503</v>
      </c>
      <c r="D4926">
        <v>0.97395200453583797</v>
      </c>
      <c r="E4926">
        <v>0.77134477569336901</v>
      </c>
      <c r="F4926">
        <v>0.72775255752325796</v>
      </c>
      <c r="G4926">
        <v>0.39773355354293399</v>
      </c>
      <c r="H4926">
        <v>0.107056335257883</v>
      </c>
      <c r="I4926">
        <v>0.112518340092833</v>
      </c>
      <c r="J4926">
        <v>0.117523315376655</v>
      </c>
      <c r="K4926">
        <v>0.113712918713657</v>
      </c>
      <c r="L4926">
        <v>982.15011362580401</v>
      </c>
      <c r="M4926">
        <v>17.9402516774506</v>
      </c>
      <c r="N4926">
        <v>55.131318834712602</v>
      </c>
      <c r="O4926">
        <v>54.079000968978498</v>
      </c>
      <c r="P4926">
        <v>-7.8048001829036706E-2</v>
      </c>
      <c r="Q4926">
        <v>5.8977119891942403E-2</v>
      </c>
      <c r="R4926">
        <v>0.98060246965104603</v>
      </c>
      <c r="S4926" t="s">
        <v>11596</v>
      </c>
      <c r="T4926" t="s">
        <v>13338</v>
      </c>
      <c r="U4926" t="s">
        <v>13338</v>
      </c>
      <c r="V4926" t="s">
        <v>13338</v>
      </c>
      <c r="W4926" t="s">
        <v>18208</v>
      </c>
      <c r="X4926">
        <v>7</v>
      </c>
      <c r="Y4926" t="s">
        <v>24707</v>
      </c>
      <c r="Z4926" t="s">
        <v>31341</v>
      </c>
      <c r="AA4926">
        <v>0.53627800515330359</v>
      </c>
      <c r="AB4926" t="str">
        <f>HYPERLINK("Melting_Curves/meltCurve_Q969Y2_3_GTPBP3.pdf", "Melting_Curves/meltCurve_Q969Y2_3_GTPBP3.pdf")</f>
        <v>Melting_Curves/meltCurve_Q969Y2_3_GTPBP3.pdf</v>
      </c>
    </row>
    <row r="4927" spans="1:28" x14ac:dyDescent="0.25">
      <c r="A4927" t="s">
        <v>4931</v>
      </c>
      <c r="B4927">
        <v>0.99193492352474899</v>
      </c>
      <c r="C4927">
        <v>0.88452332165606196</v>
      </c>
      <c r="D4927">
        <v>0.57055893677284197</v>
      </c>
      <c r="E4927">
        <v>0.27105005139313598</v>
      </c>
      <c r="F4927">
        <v>0.15083538778671399</v>
      </c>
      <c r="G4927">
        <v>9.7786370530067501E-2</v>
      </c>
      <c r="H4927">
        <v>6.0560508388972603E-2</v>
      </c>
      <c r="I4927">
        <v>6.1692378500574303E-2</v>
      </c>
      <c r="J4927">
        <v>6.0554688902092403E-2</v>
      </c>
      <c r="K4927">
        <v>0.135953809055254</v>
      </c>
      <c r="L4927">
        <v>1026.11449874871</v>
      </c>
      <c r="M4927">
        <v>22.1027232046691</v>
      </c>
      <c r="N4927">
        <v>46.804563501851199</v>
      </c>
      <c r="O4927">
        <v>46.049799423161502</v>
      </c>
      <c r="P4927">
        <v>-0.110146094864153</v>
      </c>
      <c r="Q4927">
        <v>8.2087180619516101E-2</v>
      </c>
      <c r="R4927">
        <v>0.99503058880947304</v>
      </c>
      <c r="S4927" t="s">
        <v>11597</v>
      </c>
      <c r="T4927" t="s">
        <v>13338</v>
      </c>
      <c r="U4927" t="s">
        <v>13338</v>
      </c>
      <c r="V4927" t="s">
        <v>13338</v>
      </c>
      <c r="W4927" t="s">
        <v>18209</v>
      </c>
      <c r="X4927">
        <v>11</v>
      </c>
      <c r="Y4927" t="s">
        <v>24708</v>
      </c>
      <c r="Z4927" t="s">
        <v>31342</v>
      </c>
      <c r="AA4927">
        <v>0.28967859571927779</v>
      </c>
      <c r="AB4927" t="str">
        <f>HYPERLINK("Melting_Curves/meltCurve_Q969Z0_TBRG4.pdf", "Melting_Curves/meltCurve_Q969Z0_TBRG4.pdf")</f>
        <v>Melting_Curves/meltCurve_Q969Z0_TBRG4.pdf</v>
      </c>
    </row>
    <row r="4928" spans="1:28" x14ac:dyDescent="0.25">
      <c r="A4928" t="s">
        <v>4932</v>
      </c>
      <c r="B4928">
        <v>0.99193492352474899</v>
      </c>
      <c r="C4928">
        <v>0.86390457082940397</v>
      </c>
      <c r="D4928">
        <v>0.990802720804276</v>
      </c>
      <c r="E4928">
        <v>0.76593550186230797</v>
      </c>
      <c r="F4928">
        <v>0.31014008899878398</v>
      </c>
      <c r="G4928">
        <v>0.11298393939285201</v>
      </c>
      <c r="H4928">
        <v>6.9345366235137304E-2</v>
      </c>
      <c r="I4928">
        <v>7.3964944779437103E-2</v>
      </c>
      <c r="J4928">
        <v>9.1791705218822697E-2</v>
      </c>
      <c r="K4928">
        <v>8.8258841248896394E-2</v>
      </c>
      <c r="L4928">
        <v>1609.0660302847</v>
      </c>
      <c r="M4928">
        <v>31.352223479402699</v>
      </c>
      <c r="N4928">
        <v>51.598837268953297</v>
      </c>
      <c r="O4928">
        <v>51.114799931955098</v>
      </c>
      <c r="P4928">
        <v>-0.14148153668955499</v>
      </c>
      <c r="Q4928">
        <v>7.7352930835278999E-2</v>
      </c>
      <c r="R4928">
        <v>0.98768169224517799</v>
      </c>
      <c r="S4928" t="s">
        <v>11598</v>
      </c>
      <c r="T4928" t="s">
        <v>13338</v>
      </c>
      <c r="U4928" t="s">
        <v>13338</v>
      </c>
      <c r="V4928" t="s">
        <v>13338</v>
      </c>
      <c r="W4928" t="s">
        <v>18210</v>
      </c>
      <c r="X4928">
        <v>17</v>
      </c>
      <c r="Y4928" t="s">
        <v>24709</v>
      </c>
      <c r="Z4928" t="s">
        <v>31343</v>
      </c>
      <c r="AA4928">
        <v>0.43090663721038502</v>
      </c>
      <c r="AB4928" t="str">
        <f>HYPERLINK("Melting_Curves/meltCurve_Q96A33_CCDC47.pdf", "Melting_Curves/meltCurve_Q96A33_CCDC47.pdf")</f>
        <v>Melting_Curves/meltCurve_Q96A33_CCDC47.pdf</v>
      </c>
    </row>
    <row r="4929" spans="1:28" x14ac:dyDescent="0.25">
      <c r="A4929" t="s">
        <v>4933</v>
      </c>
      <c r="B4929">
        <v>0.99193492352474899</v>
      </c>
      <c r="C4929">
        <v>0.84164134380949296</v>
      </c>
      <c r="D4929">
        <v>0.59002657619563204</v>
      </c>
      <c r="E4929">
        <v>0.49099311949632402</v>
      </c>
      <c r="F4929">
        <v>0.27120924276487002</v>
      </c>
      <c r="G4929">
        <v>0.16819265386462401</v>
      </c>
      <c r="H4929">
        <v>9.2305823223561206E-2</v>
      </c>
      <c r="I4929">
        <v>0.120934629393985</v>
      </c>
      <c r="J4929">
        <v>0.123237376991418</v>
      </c>
      <c r="K4929">
        <v>0.151062492656766</v>
      </c>
      <c r="L4929">
        <v>665.95129225698599</v>
      </c>
      <c r="M4929">
        <v>13.997214378560701</v>
      </c>
      <c r="N4929">
        <v>48.361496411286801</v>
      </c>
      <c r="O4929">
        <v>46.637876119083401</v>
      </c>
      <c r="P4929">
        <v>-6.7423557282170504E-2</v>
      </c>
      <c r="Q4929">
        <v>0.101514150338621</v>
      </c>
      <c r="R4929">
        <v>0.98377274965141104</v>
      </c>
      <c r="S4929" t="s">
        <v>11599</v>
      </c>
      <c r="T4929" t="s">
        <v>13338</v>
      </c>
      <c r="U4929" t="s">
        <v>13338</v>
      </c>
      <c r="V4929" t="s">
        <v>13338</v>
      </c>
      <c r="W4929" t="s">
        <v>18211</v>
      </c>
      <c r="X4929">
        <v>2</v>
      </c>
      <c r="Y4929" t="s">
        <v>24710</v>
      </c>
      <c r="Z4929" t="s">
        <v>31344</v>
      </c>
      <c r="AA4929">
        <v>0.35554757219981431</v>
      </c>
      <c r="AB4929" t="str">
        <f>HYPERLINK("Melting_Curves/meltCurve_Q96A47_ISL2.pdf", "Melting_Curves/meltCurve_Q96A47_ISL2.pdf")</f>
        <v>Melting_Curves/meltCurve_Q96A47_ISL2.pdf</v>
      </c>
    </row>
    <row r="4930" spans="1:28" x14ac:dyDescent="0.25">
      <c r="A4930" t="s">
        <v>4934</v>
      </c>
      <c r="B4930">
        <v>0.99193492352474899</v>
      </c>
      <c r="C4930">
        <v>0.74998531555588099</v>
      </c>
      <c r="D4930">
        <v>0.89899381528446798</v>
      </c>
      <c r="E4930">
        <v>0.591325476951576</v>
      </c>
      <c r="F4930">
        <v>0.31748620321313897</v>
      </c>
      <c r="G4930">
        <v>0.154233069426265</v>
      </c>
      <c r="H4930">
        <v>0.100103062169987</v>
      </c>
      <c r="I4930">
        <v>0.13368404942889101</v>
      </c>
      <c r="J4930">
        <v>0.13817562964548999</v>
      </c>
      <c r="K4930">
        <v>0.16707940427124299</v>
      </c>
      <c r="L4930">
        <v>868.38087981056901</v>
      </c>
      <c r="M4930">
        <v>17.458422579470199</v>
      </c>
      <c r="N4930">
        <v>50.454658442752397</v>
      </c>
      <c r="O4930">
        <v>49.101126058464502</v>
      </c>
      <c r="P4930">
        <v>-7.9156671599230496E-2</v>
      </c>
      <c r="Q4930">
        <v>0.1095498682573</v>
      </c>
      <c r="R4930">
        <v>0.95236579705315405</v>
      </c>
      <c r="S4930" t="s">
        <v>11600</v>
      </c>
      <c r="T4930" t="s">
        <v>13338</v>
      </c>
      <c r="U4930" t="s">
        <v>13338</v>
      </c>
      <c r="V4930" t="s">
        <v>13338</v>
      </c>
      <c r="W4930" t="s">
        <v>18212</v>
      </c>
      <c r="X4930">
        <v>10</v>
      </c>
      <c r="Y4930" t="s">
        <v>24711</v>
      </c>
      <c r="Z4930" t="s">
        <v>31345</v>
      </c>
      <c r="AA4930">
        <v>0.4148046924936824</v>
      </c>
      <c r="AB4930" t="str">
        <f>HYPERLINK("Melting_Curves/meltCurve_Q96A49_SYAP1.pdf", "Melting_Curves/meltCurve_Q96A49_SYAP1.pdf")</f>
        <v>Melting_Curves/meltCurve_Q96A49_SYAP1.pdf</v>
      </c>
    </row>
    <row r="4931" spans="1:28" x14ac:dyDescent="0.25">
      <c r="A4931" t="s">
        <v>4935</v>
      </c>
      <c r="B4931">
        <v>0.99193492352474899</v>
      </c>
      <c r="C4931">
        <v>0.95164192664042202</v>
      </c>
      <c r="D4931">
        <v>0.78193214786369403</v>
      </c>
      <c r="E4931">
        <v>0.24295371685094999</v>
      </c>
      <c r="F4931">
        <v>0.123488949891465</v>
      </c>
      <c r="G4931">
        <v>6.6361374995196704E-2</v>
      </c>
      <c r="H4931">
        <v>4.8023909752864503E-2</v>
      </c>
      <c r="I4931">
        <v>6.4273326897910196E-2</v>
      </c>
      <c r="J4931">
        <v>7.1378548951356993E-2</v>
      </c>
      <c r="K4931">
        <v>6.2355850268678799E-2</v>
      </c>
      <c r="L4931">
        <v>1577.67733399031</v>
      </c>
      <c r="M4931">
        <v>33.169953020944199</v>
      </c>
      <c r="N4931">
        <v>47.766293094585102</v>
      </c>
      <c r="O4931">
        <v>47.391563025819899</v>
      </c>
      <c r="P4931">
        <v>-0.163482701355631</v>
      </c>
      <c r="Q4931">
        <v>6.5700467693881395E-2</v>
      </c>
      <c r="R4931">
        <v>0.99844845745794397</v>
      </c>
      <c r="S4931" t="s">
        <v>11601</v>
      </c>
      <c r="T4931" t="s">
        <v>13338</v>
      </c>
      <c r="U4931" t="s">
        <v>13338</v>
      </c>
      <c r="V4931" t="s">
        <v>13338</v>
      </c>
      <c r="W4931" t="s">
        <v>18213</v>
      </c>
      <c r="X4931">
        <v>14</v>
      </c>
      <c r="Y4931" t="s">
        <v>24712</v>
      </c>
      <c r="Z4931" t="s">
        <v>31346</v>
      </c>
      <c r="AA4931">
        <v>0.30579203907671071</v>
      </c>
      <c r="AB4931" t="str">
        <f>HYPERLINK("Melting_Curves/meltCurve_Q96A65_EXOC4.pdf", "Melting_Curves/meltCurve_Q96A65_EXOC4.pdf")</f>
        <v>Melting_Curves/meltCurve_Q96A65_EXOC4.pdf</v>
      </c>
    </row>
    <row r="4932" spans="1:28" x14ac:dyDescent="0.25">
      <c r="A4932" t="s">
        <v>4936</v>
      </c>
      <c r="B4932">
        <v>0.99193492352474899</v>
      </c>
      <c r="C4932">
        <v>0.627911478031144</v>
      </c>
      <c r="D4932">
        <v>0.73518717286207502</v>
      </c>
      <c r="E4932">
        <v>0.56852643900594202</v>
      </c>
      <c r="F4932">
        <v>0.32402676287724602</v>
      </c>
      <c r="G4932">
        <v>0.20023608754726799</v>
      </c>
      <c r="H4932">
        <v>0.139812009084676</v>
      </c>
      <c r="I4932">
        <v>0.28705498143877101</v>
      </c>
      <c r="J4932">
        <v>0.39670987529973301</v>
      </c>
      <c r="K4932">
        <v>0.66487777497359202</v>
      </c>
      <c r="L4932">
        <v>690.24406937666902</v>
      </c>
      <c r="M4932">
        <v>15.273560427867199</v>
      </c>
      <c r="N4932">
        <v>48.731046644787199</v>
      </c>
      <c r="O4932">
        <v>44.438634156683698</v>
      </c>
      <c r="P4932">
        <v>-5.7137945830820699E-2</v>
      </c>
      <c r="Q4932">
        <v>0.33508802450417302</v>
      </c>
      <c r="R4932">
        <v>0.62598967967765196</v>
      </c>
      <c r="S4932" t="s">
        <v>11602</v>
      </c>
      <c r="T4932" t="s">
        <v>13338</v>
      </c>
      <c r="U4932" t="s">
        <v>13338</v>
      </c>
      <c r="V4932" t="s">
        <v>13338</v>
      </c>
      <c r="W4932" t="s">
        <v>18214</v>
      </c>
      <c r="X4932">
        <v>2</v>
      </c>
      <c r="Y4932" t="s">
        <v>24713</v>
      </c>
      <c r="Z4932" t="s">
        <v>31347</v>
      </c>
      <c r="AA4932">
        <v>0.47030944309716177</v>
      </c>
      <c r="AB4932" t="str">
        <f>HYPERLINK("Melting_Curves/meltCurve_Q96A73_KIAA1191.pdf", "Melting_Curves/meltCurve_Q96A73_KIAA1191.pdf")</f>
        <v>Melting_Curves/meltCurve_Q96A73_KIAA1191.pdf</v>
      </c>
    </row>
    <row r="4933" spans="1:28" x14ac:dyDescent="0.25">
      <c r="A4933" t="s">
        <v>4937</v>
      </c>
      <c r="B4933">
        <v>0.99193492352474899</v>
      </c>
      <c r="C4933">
        <v>0.92597022840610799</v>
      </c>
      <c r="D4933">
        <v>0.90801138356468103</v>
      </c>
      <c r="E4933">
        <v>0.69512983594521505</v>
      </c>
      <c r="F4933">
        <v>0.215336022435241</v>
      </c>
      <c r="G4933">
        <v>9.0420798982645503E-2</v>
      </c>
      <c r="H4933">
        <v>5.7288188837702203E-2</v>
      </c>
      <c r="I4933">
        <v>6.3631247682203004E-2</v>
      </c>
      <c r="J4933">
        <v>2.55694861953977E-2</v>
      </c>
      <c r="K4933">
        <v>7.3714544868600407E-2</v>
      </c>
      <c r="L4933">
        <v>1491.86332873782</v>
      </c>
      <c r="M4933">
        <v>29.449730580706898</v>
      </c>
      <c r="N4933">
        <v>50.841122291463002</v>
      </c>
      <c r="O4933">
        <v>50.426104271519399</v>
      </c>
      <c r="P4933">
        <v>-0.13865703553915801</v>
      </c>
      <c r="Q4933">
        <v>5.0329518992094202E-2</v>
      </c>
      <c r="R4933">
        <v>0.99401399180772898</v>
      </c>
      <c r="S4933" t="s">
        <v>11603</v>
      </c>
      <c r="T4933" t="s">
        <v>13338</v>
      </c>
      <c r="U4933" t="s">
        <v>13338</v>
      </c>
      <c r="V4933" t="s">
        <v>13338</v>
      </c>
      <c r="W4933" t="s">
        <v>18215</v>
      </c>
      <c r="X4933">
        <v>6</v>
      </c>
      <c r="Y4933" t="s">
        <v>24714</v>
      </c>
      <c r="Z4933" t="s">
        <v>31348</v>
      </c>
      <c r="AA4933">
        <v>0.39387705868658079</v>
      </c>
      <c r="AB4933" t="str">
        <f>HYPERLINK("Melting_Curves/meltCurve_Q96AB6_NTAN1.pdf", "Melting_Curves/meltCurve_Q96AB6_NTAN1.pdf")</f>
        <v>Melting_Curves/meltCurve_Q96AB6_NTAN1.pdf</v>
      </c>
    </row>
    <row r="4934" spans="1:28" x14ac:dyDescent="0.25">
      <c r="A4934" t="s">
        <v>4938</v>
      </c>
      <c r="B4934">
        <v>0.99193492352474899</v>
      </c>
      <c r="C4934">
        <v>0.95869280376574595</v>
      </c>
      <c r="D4934">
        <v>1.01939504425577</v>
      </c>
      <c r="E4934">
        <v>0.81803672255835003</v>
      </c>
      <c r="F4934">
        <v>0.61615694490508299</v>
      </c>
      <c r="G4934">
        <v>0.30434527855063798</v>
      </c>
      <c r="H4934">
        <v>0.115732630973346</v>
      </c>
      <c r="I4934">
        <v>0.149775405106854</v>
      </c>
      <c r="J4934">
        <v>0.14247748135138599</v>
      </c>
      <c r="K4934">
        <v>0.15832576231019699</v>
      </c>
      <c r="L4934">
        <v>1208.64666607553</v>
      </c>
      <c r="M4934">
        <v>22.6277981306845</v>
      </c>
      <c r="N4934">
        <v>54.0920933303696</v>
      </c>
      <c r="O4934">
        <v>53.002316259016098</v>
      </c>
      <c r="P4934">
        <v>-9.3556202735338698E-2</v>
      </c>
      <c r="Q4934">
        <v>0.123450587235309</v>
      </c>
      <c r="R4934">
        <v>0.99148152270244205</v>
      </c>
      <c r="S4934" t="s">
        <v>11604</v>
      </c>
      <c r="T4934" t="s">
        <v>13338</v>
      </c>
      <c r="U4934" t="s">
        <v>13338</v>
      </c>
      <c r="V4934" t="s">
        <v>13338</v>
      </c>
      <c r="W4934" t="s">
        <v>18216</v>
      </c>
      <c r="X4934">
        <v>10</v>
      </c>
      <c r="Y4934" t="s">
        <v>24715</v>
      </c>
      <c r="Z4934" t="s">
        <v>31349</v>
      </c>
      <c r="AA4934">
        <v>0.52509360156019269</v>
      </c>
      <c r="AB4934" t="str">
        <f>HYPERLINK("Melting_Curves/meltCurve_Q96AC1_FERMT2.pdf", "Melting_Curves/meltCurve_Q96AC1_FERMT2.pdf")</f>
        <v>Melting_Curves/meltCurve_Q96AC1_FERMT2.pdf</v>
      </c>
    </row>
    <row r="4935" spans="1:28" x14ac:dyDescent="0.25">
      <c r="A4935" t="s">
        <v>4939</v>
      </c>
      <c r="B4935">
        <v>0.99193492352474899</v>
      </c>
      <c r="C4935">
        <v>0.95939517612587999</v>
      </c>
      <c r="D4935">
        <v>0.89566943691498901</v>
      </c>
      <c r="E4935">
        <v>0.82137540342262505</v>
      </c>
      <c r="F4935">
        <v>0.60328864651007097</v>
      </c>
      <c r="G4935">
        <v>0.54426960393607204</v>
      </c>
      <c r="H4935">
        <v>0.359873201507733</v>
      </c>
      <c r="I4935">
        <v>0.37263239736527998</v>
      </c>
      <c r="J4935">
        <v>0.37441332315921599</v>
      </c>
      <c r="K4935">
        <v>0.51273553720063103</v>
      </c>
      <c r="L4935">
        <v>883.70577621856103</v>
      </c>
      <c r="M4935">
        <v>17.163996818642399</v>
      </c>
      <c r="N4935">
        <v>56.6654454143981</v>
      </c>
      <c r="O4935">
        <v>50.802375001863801</v>
      </c>
      <c r="P4935">
        <v>-5.1031608763818098E-2</v>
      </c>
      <c r="Q4935">
        <v>0.39585804234801097</v>
      </c>
      <c r="R4935">
        <v>0.95452406551828906</v>
      </c>
      <c r="S4935" t="s">
        <v>11605</v>
      </c>
      <c r="T4935" t="s">
        <v>13338</v>
      </c>
      <c r="U4935" t="s">
        <v>13338</v>
      </c>
      <c r="V4935" t="s">
        <v>13338</v>
      </c>
      <c r="W4935" t="s">
        <v>18217</v>
      </c>
      <c r="X4935">
        <v>40</v>
      </c>
      <c r="Y4935" t="s">
        <v>24716</v>
      </c>
      <c r="Z4935" t="s">
        <v>31350</v>
      </c>
      <c r="AA4935">
        <v>0.63815648245344436</v>
      </c>
      <c r="AB4935" t="str">
        <f>HYPERLINK("Melting_Curves/meltCurve_Q96AE4_FUBP1.pdf", "Melting_Curves/meltCurve_Q96AE4_FUBP1.pdf")</f>
        <v>Melting_Curves/meltCurve_Q96AE4_FUBP1.pdf</v>
      </c>
    </row>
    <row r="4936" spans="1:28" x14ac:dyDescent="0.25">
      <c r="A4936" t="s">
        <v>4940</v>
      </c>
      <c r="B4936">
        <v>0.99193492352474899</v>
      </c>
      <c r="C4936">
        <v>1.14547227784387</v>
      </c>
      <c r="D4936">
        <v>1.16600783260985</v>
      </c>
      <c r="E4936">
        <v>0.77573743752828805</v>
      </c>
      <c r="F4936">
        <v>0.47143174514633901</v>
      </c>
      <c r="G4936">
        <v>0.45444025996085402</v>
      </c>
      <c r="H4936">
        <v>0.32135309885676799</v>
      </c>
      <c r="I4936">
        <v>0.31918490061821603</v>
      </c>
      <c r="J4936">
        <v>0</v>
      </c>
      <c r="K4936">
        <v>0.43930532296832198</v>
      </c>
      <c r="L4936">
        <v>1424.6543309169999</v>
      </c>
      <c r="M4936">
        <v>27.6255950344799</v>
      </c>
      <c r="N4936">
        <v>53.210415510089199</v>
      </c>
      <c r="O4936">
        <v>51.3021151427725</v>
      </c>
      <c r="P4936">
        <v>-9.6035149175293197E-2</v>
      </c>
      <c r="Q4936">
        <v>0.286637875022487</v>
      </c>
      <c r="R4936">
        <v>0.86825803939464297</v>
      </c>
      <c r="S4936" t="s">
        <v>11606</v>
      </c>
      <c r="T4936" t="s">
        <v>13338</v>
      </c>
      <c r="U4936" t="s">
        <v>13338</v>
      </c>
      <c r="V4936" t="s">
        <v>13338</v>
      </c>
      <c r="W4936" t="s">
        <v>18218</v>
      </c>
      <c r="X4936">
        <v>39</v>
      </c>
      <c r="Y4936" t="s">
        <v>24716</v>
      </c>
      <c r="Z4936" t="s">
        <v>31351</v>
      </c>
      <c r="AA4936">
        <v>0.56709129919853796</v>
      </c>
      <c r="AB4936" t="str">
        <f>HYPERLINK("Melting_Curves/meltCurve_Q96AE4_2_FUBP1.pdf", "Melting_Curves/meltCurve_Q96AE4_2_FUBP1.pdf")</f>
        <v>Melting_Curves/meltCurve_Q96AE4_2_FUBP1.pdf</v>
      </c>
    </row>
    <row r="4937" spans="1:28" x14ac:dyDescent="0.25">
      <c r="A4937" t="s">
        <v>4941</v>
      </c>
      <c r="B4937">
        <v>0.99193492352474899</v>
      </c>
      <c r="C4937">
        <v>0.92394309210158099</v>
      </c>
      <c r="D4937">
        <v>0.95229315449211904</v>
      </c>
      <c r="E4937">
        <v>0.76406479784971604</v>
      </c>
      <c r="F4937">
        <v>0.68567064159470503</v>
      </c>
      <c r="G4937">
        <v>0.39955005020808998</v>
      </c>
      <c r="H4937">
        <v>0.12077443209232699</v>
      </c>
      <c r="I4937">
        <v>0.111392414549194</v>
      </c>
      <c r="J4937">
        <v>0.12786383501832899</v>
      </c>
      <c r="K4937">
        <v>0.120445610756982</v>
      </c>
      <c r="L4937">
        <v>861.53220278608205</v>
      </c>
      <c r="M4937">
        <v>15.8213804166953</v>
      </c>
      <c r="N4937">
        <v>54.8526033335093</v>
      </c>
      <c r="O4937">
        <v>53.6059720176886</v>
      </c>
      <c r="P4937">
        <v>-6.9781243887704306E-2</v>
      </c>
      <c r="Q4937">
        <v>5.4346355792304402E-2</v>
      </c>
      <c r="R4937">
        <v>0.98120899461722</v>
      </c>
      <c r="S4937" t="s">
        <v>11607</v>
      </c>
      <c r="T4937" t="s">
        <v>13338</v>
      </c>
      <c r="U4937" t="s">
        <v>13338</v>
      </c>
      <c r="V4937" t="s">
        <v>13338</v>
      </c>
      <c r="W4937" t="s">
        <v>18219</v>
      </c>
      <c r="X4937">
        <v>6</v>
      </c>
      <c r="Y4937" t="s">
        <v>24717</v>
      </c>
      <c r="Z4937" t="s">
        <v>31352</v>
      </c>
      <c r="AA4937">
        <v>0.52768163205561291</v>
      </c>
      <c r="AB4937" t="str">
        <f>HYPERLINK("Melting_Curves/meltCurve_Q96AG3_SLC25A46.pdf", "Melting_Curves/meltCurve_Q96AG3_SLC25A46.pdf")</f>
        <v>Melting_Curves/meltCurve_Q96AG3_SLC25A46.pdf</v>
      </c>
    </row>
    <row r="4938" spans="1:28" x14ac:dyDescent="0.25">
      <c r="A4938" t="s">
        <v>4942</v>
      </c>
      <c r="B4938">
        <v>0.99193492352474899</v>
      </c>
      <c r="C4938">
        <v>0.73428108666324898</v>
      </c>
      <c r="D4938">
        <v>1.0305814440940699</v>
      </c>
      <c r="E4938">
        <v>0.88600405238754198</v>
      </c>
      <c r="F4938">
        <v>0.73824724078221504</v>
      </c>
      <c r="G4938">
        <v>0.359801753114671</v>
      </c>
      <c r="H4938">
        <v>0.214733831221114</v>
      </c>
      <c r="I4938">
        <v>0.22209344705122999</v>
      </c>
      <c r="J4938">
        <v>0.29326623750113301</v>
      </c>
      <c r="K4938">
        <v>0.36699211335339499</v>
      </c>
      <c r="L4938">
        <v>1892.3075010863699</v>
      </c>
      <c r="M4938">
        <v>35.138815774519799</v>
      </c>
      <c r="N4938">
        <v>55.066753455667197</v>
      </c>
      <c r="O4938">
        <v>53.678819634042902</v>
      </c>
      <c r="P4938">
        <v>-0.119526927279485</v>
      </c>
      <c r="Q4938">
        <v>0.26963479413590702</v>
      </c>
      <c r="R4938">
        <v>0.89929985851276195</v>
      </c>
      <c r="S4938" t="s">
        <v>11608</v>
      </c>
      <c r="T4938" t="s">
        <v>13338</v>
      </c>
      <c r="U4938" t="s">
        <v>13338</v>
      </c>
      <c r="V4938" t="s">
        <v>13338</v>
      </c>
      <c r="W4938" t="s">
        <v>18220</v>
      </c>
      <c r="X4938">
        <v>16</v>
      </c>
      <c r="Y4938" t="s">
        <v>24718</v>
      </c>
      <c r="Z4938" t="s">
        <v>31353</v>
      </c>
      <c r="AA4938">
        <v>0.6103899172451912</v>
      </c>
      <c r="AB4938" t="str">
        <f>HYPERLINK("Melting_Curves/meltCurve_Q96AG4_LRRC59.pdf", "Melting_Curves/meltCurve_Q96AG4_LRRC59.pdf")</f>
        <v>Melting_Curves/meltCurve_Q96AG4_LRRC59.pdf</v>
      </c>
    </row>
    <row r="4939" spans="1:28" x14ac:dyDescent="0.25">
      <c r="A4939" t="s">
        <v>4943</v>
      </c>
      <c r="B4939">
        <v>0.99193492352474899</v>
      </c>
      <c r="C4939">
        <v>0.88424830483011296</v>
      </c>
      <c r="D4939">
        <v>0.86568611764922898</v>
      </c>
      <c r="E4939">
        <v>0.79071331503297604</v>
      </c>
      <c r="F4939">
        <v>0.65549274409969405</v>
      </c>
      <c r="G4939">
        <v>0.462764085364478</v>
      </c>
      <c r="H4939">
        <v>0.37420964672437801</v>
      </c>
      <c r="I4939">
        <v>0.391331462370551</v>
      </c>
      <c r="J4939">
        <v>0.45994536945764303</v>
      </c>
      <c r="K4939">
        <v>0.59603953230198004</v>
      </c>
      <c r="L4939">
        <v>790.65479911861598</v>
      </c>
      <c r="M4939">
        <v>15.740440088608199</v>
      </c>
      <c r="N4939">
        <v>57.995664473321803</v>
      </c>
      <c r="O4939">
        <v>49.441005738734901</v>
      </c>
      <c r="P4939">
        <v>-4.4636894885315602E-2</v>
      </c>
      <c r="Q4939">
        <v>0.43922573832588702</v>
      </c>
      <c r="R4939">
        <v>0.88660278892317801</v>
      </c>
      <c r="S4939" t="s">
        <v>11609</v>
      </c>
      <c r="T4939" t="s">
        <v>13338</v>
      </c>
      <c r="U4939" t="s">
        <v>13338</v>
      </c>
      <c r="V4939" t="s">
        <v>13338</v>
      </c>
      <c r="W4939" t="s">
        <v>18221</v>
      </c>
      <c r="X4939">
        <v>11</v>
      </c>
      <c r="Y4939" t="s">
        <v>24719</v>
      </c>
      <c r="Z4939" t="s">
        <v>31354</v>
      </c>
      <c r="AA4939">
        <v>0.64265669713378448</v>
      </c>
      <c r="AB4939" t="str">
        <f>HYPERLINK("Melting_Curves/meltCurve_Q96AJ9_1_VTI1A.pdf", "Melting_Curves/meltCurve_Q96AJ9_1_VTI1A.pdf")</f>
        <v>Melting_Curves/meltCurve_Q96AJ9_1_VTI1A.pdf</v>
      </c>
    </row>
    <row r="4940" spans="1:28" x14ac:dyDescent="0.25">
      <c r="A4940" t="s">
        <v>4944</v>
      </c>
      <c r="B4940">
        <v>0.99193492352474899</v>
      </c>
      <c r="C4940">
        <v>0.82165126109341102</v>
      </c>
      <c r="D4940">
        <v>0.75917767532791203</v>
      </c>
      <c r="E4940">
        <v>0.25323976465367898</v>
      </c>
      <c r="F4940">
        <v>0.20457393005746799</v>
      </c>
      <c r="G4940">
        <v>0.192928942852368</v>
      </c>
      <c r="H4940">
        <v>0.15551898072624501</v>
      </c>
      <c r="I4940">
        <v>0.23993175042617401</v>
      </c>
      <c r="J4940">
        <v>0.31339451614295999</v>
      </c>
      <c r="K4940">
        <v>0.115842748894862</v>
      </c>
      <c r="L4940">
        <v>1479.0258775013399</v>
      </c>
      <c r="M4940">
        <v>31.630303082348298</v>
      </c>
      <c r="N4940">
        <v>47.501287734328798</v>
      </c>
      <c r="O4940">
        <v>46.574062716944702</v>
      </c>
      <c r="P4940">
        <v>-0.13670564988244099</v>
      </c>
      <c r="Q4940">
        <v>0.19483493088364801</v>
      </c>
      <c r="R4940">
        <v>0.94807944477197204</v>
      </c>
      <c r="S4940" t="s">
        <v>11610</v>
      </c>
      <c r="T4940" t="s">
        <v>13338</v>
      </c>
      <c r="U4940" t="s">
        <v>13338</v>
      </c>
      <c r="V4940" t="s">
        <v>13338</v>
      </c>
      <c r="W4940" t="s">
        <v>18222</v>
      </c>
      <c r="X4940">
        <v>1</v>
      </c>
      <c r="Y4940" t="s">
        <v>24720</v>
      </c>
      <c r="Z4940" t="s">
        <v>31355</v>
      </c>
      <c r="AA4940">
        <v>0.38057359214194159</v>
      </c>
      <c r="AB4940" t="str">
        <f>HYPERLINK("Melting_Curves/meltCurve_Q96AP0_2_ACD.pdf", "Melting_Curves/meltCurve_Q96AP0_2_ACD.pdf")</f>
        <v>Melting_Curves/meltCurve_Q96AP0_2_ACD.pdf</v>
      </c>
    </row>
    <row r="4941" spans="1:28" x14ac:dyDescent="0.25">
      <c r="A4941" t="s">
        <v>4945</v>
      </c>
      <c r="B4941">
        <v>0.99193492352474899</v>
      </c>
      <c r="C4941">
        <v>0.91235238660581297</v>
      </c>
      <c r="D4941">
        <v>0.89744197167464701</v>
      </c>
      <c r="E4941">
        <v>0.69864730596956903</v>
      </c>
      <c r="F4941">
        <v>0.60379656300890305</v>
      </c>
      <c r="G4941">
        <v>0.42728439635493798</v>
      </c>
      <c r="H4941">
        <v>0.323987284338905</v>
      </c>
      <c r="I4941">
        <v>0.44161581991321203</v>
      </c>
      <c r="J4941">
        <v>0.56306518416880902</v>
      </c>
      <c r="K4941">
        <v>0.66691481572393996</v>
      </c>
      <c r="L4941">
        <v>1075.9203873705501</v>
      </c>
      <c r="M4941">
        <v>22.0927958386286</v>
      </c>
      <c r="N4941">
        <v>58.556540511090702</v>
      </c>
      <c r="O4941">
        <v>48.306317346092101</v>
      </c>
      <c r="P4941">
        <v>-5.8556931218506601E-2</v>
      </c>
      <c r="Q4941">
        <v>0.48786788513303198</v>
      </c>
      <c r="R4941">
        <v>0.82199316165230696</v>
      </c>
      <c r="S4941" t="s">
        <v>11611</v>
      </c>
      <c r="T4941" t="s">
        <v>13338</v>
      </c>
      <c r="U4941" t="s">
        <v>13338</v>
      </c>
      <c r="V4941" t="s">
        <v>13338</v>
      </c>
      <c r="W4941" t="s">
        <v>18223</v>
      </c>
      <c r="X4941">
        <v>10</v>
      </c>
      <c r="Y4941" t="s">
        <v>24721</v>
      </c>
      <c r="Z4941" t="s">
        <v>31356</v>
      </c>
      <c r="AA4941">
        <v>0.64224505771627038</v>
      </c>
      <c r="AB4941" t="str">
        <f>HYPERLINK("Melting_Curves/meltCurve_Q96AQ6_2_PBXIP1.pdf", "Melting_Curves/meltCurve_Q96AQ6_2_PBXIP1.pdf")</f>
        <v>Melting_Curves/meltCurve_Q96AQ6_2_PBXIP1.pdf</v>
      </c>
    </row>
    <row r="4942" spans="1:28" x14ac:dyDescent="0.25">
      <c r="A4942" t="s">
        <v>4946</v>
      </c>
      <c r="B4942">
        <v>0.99193492352474899</v>
      </c>
      <c r="C4942">
        <v>0.93592481507846503</v>
      </c>
      <c r="D4942">
        <v>0.93542256718926597</v>
      </c>
      <c r="E4942">
        <v>0.78238216462418597</v>
      </c>
      <c r="F4942">
        <v>0.53235793621749405</v>
      </c>
      <c r="G4942">
        <v>0.40749896596462398</v>
      </c>
      <c r="H4942">
        <v>0.235572919600368</v>
      </c>
      <c r="I4942">
        <v>0.15859102832014099</v>
      </c>
      <c r="J4942">
        <v>0.23465603713781599</v>
      </c>
      <c r="K4942">
        <v>0.133504946847114</v>
      </c>
      <c r="L4942">
        <v>776.28931331438901</v>
      </c>
      <c r="M4942">
        <v>14.6243856384219</v>
      </c>
      <c r="N4942">
        <v>54.230208359554801</v>
      </c>
      <c r="O4942">
        <v>52.118942055829997</v>
      </c>
      <c r="P4942">
        <v>-6.0814821438126401E-2</v>
      </c>
      <c r="Q4942">
        <v>0.133160019066283</v>
      </c>
      <c r="R4942">
        <v>0.99070683152999195</v>
      </c>
      <c r="S4942" t="s">
        <v>11612</v>
      </c>
      <c r="T4942" t="s">
        <v>13338</v>
      </c>
      <c r="U4942" t="s">
        <v>13338</v>
      </c>
      <c r="V4942" t="s">
        <v>13338</v>
      </c>
      <c r="W4942" t="s">
        <v>18224</v>
      </c>
      <c r="X4942">
        <v>10</v>
      </c>
      <c r="Y4942" t="s">
        <v>24722</v>
      </c>
      <c r="Z4942" t="s">
        <v>31357</v>
      </c>
      <c r="AA4942">
        <v>0.53039834649868156</v>
      </c>
      <c r="AB4942" t="str">
        <f>HYPERLINK("Melting_Curves/meltCurve_Q96AQ8_MCUR1.pdf", "Melting_Curves/meltCurve_Q96AQ8_MCUR1.pdf")</f>
        <v>Melting_Curves/meltCurve_Q96AQ8_MCUR1.pdf</v>
      </c>
    </row>
    <row r="4943" spans="1:28" x14ac:dyDescent="0.25">
      <c r="A4943" t="s">
        <v>4947</v>
      </c>
      <c r="B4943">
        <v>0.99193492352474899</v>
      </c>
      <c r="C4943">
        <v>0.91281287169561998</v>
      </c>
      <c r="D4943">
        <v>0.75804564866686597</v>
      </c>
      <c r="E4943">
        <v>0.80744518737841298</v>
      </c>
      <c r="F4943">
        <v>0.53715047079407896</v>
      </c>
      <c r="G4943">
        <v>0.49984907574943099</v>
      </c>
      <c r="H4943">
        <v>0.42069974301178698</v>
      </c>
      <c r="I4943">
        <v>0.67564361796504602</v>
      </c>
      <c r="J4943">
        <v>0.61709758700669104</v>
      </c>
      <c r="K4943">
        <v>0.94634771659991301</v>
      </c>
      <c r="L4943">
        <v>963.86849622247496</v>
      </c>
      <c r="M4943">
        <v>21.199362468868301</v>
      </c>
      <c r="O4943">
        <v>45.068095446167398</v>
      </c>
      <c r="P4943">
        <v>-4.3765634849540699E-2</v>
      </c>
      <c r="Q4943">
        <v>0.62784117772279602</v>
      </c>
      <c r="R4943">
        <v>0.45561698529649702</v>
      </c>
      <c r="S4943" t="s">
        <v>11613</v>
      </c>
      <c r="T4943" t="s">
        <v>13338</v>
      </c>
      <c r="U4943" t="s">
        <v>13338</v>
      </c>
      <c r="V4943" t="s">
        <v>13338</v>
      </c>
      <c r="W4943" t="s">
        <v>18225</v>
      </c>
      <c r="X4943">
        <v>13</v>
      </c>
      <c r="Y4943" t="s">
        <v>24723</v>
      </c>
      <c r="Z4943" t="s">
        <v>31358</v>
      </c>
      <c r="AA4943">
        <v>0.70090357812078308</v>
      </c>
      <c r="AB4943" t="str">
        <f>HYPERLINK("Melting_Curves/meltCurve_Q96AT1_KIAA1143.pdf", "Melting_Curves/meltCurve_Q96AT1_KIAA1143.pdf")</f>
        <v>Melting_Curves/meltCurve_Q96AT1_KIAA1143.pdf</v>
      </c>
    </row>
    <row r="4944" spans="1:28" x14ac:dyDescent="0.25">
      <c r="A4944" t="s">
        <v>4948</v>
      </c>
      <c r="B4944">
        <v>0.99193492352474899</v>
      </c>
      <c r="C4944">
        <v>0.82969817122662903</v>
      </c>
      <c r="D4944">
        <v>0.70306428334513504</v>
      </c>
      <c r="E4944">
        <v>0.63803966605857398</v>
      </c>
      <c r="F4944">
        <v>0.43716306955279799</v>
      </c>
      <c r="G4944">
        <v>0.30383904357358998</v>
      </c>
      <c r="H4944">
        <v>0.20154033027891399</v>
      </c>
      <c r="I4944">
        <v>0.15129283555187101</v>
      </c>
      <c r="J4944">
        <v>0.15914752274116201</v>
      </c>
      <c r="K4944">
        <v>0.15625475051577201</v>
      </c>
      <c r="L4944">
        <v>498.05947917429</v>
      </c>
      <c r="M4944">
        <v>9.8326912286378398</v>
      </c>
      <c r="N4944">
        <v>51.479483423095999</v>
      </c>
      <c r="O4944">
        <v>48.691672893358799</v>
      </c>
      <c r="P4944">
        <v>-4.6824343464681902E-2</v>
      </c>
      <c r="Q4944">
        <v>7.2980777287210294E-2</v>
      </c>
      <c r="R4944">
        <v>0.98699168023206596</v>
      </c>
      <c r="S4944" t="s">
        <v>11614</v>
      </c>
      <c r="T4944" t="s">
        <v>13338</v>
      </c>
      <c r="U4944" t="s">
        <v>13338</v>
      </c>
      <c r="V4944" t="s">
        <v>13338</v>
      </c>
      <c r="W4944" t="s">
        <v>18226</v>
      </c>
      <c r="X4944">
        <v>8</v>
      </c>
      <c r="Y4944" t="s">
        <v>24724</v>
      </c>
      <c r="Z4944" t="s">
        <v>31359</v>
      </c>
      <c r="AA4944">
        <v>0.44275353114529992</v>
      </c>
      <c r="AB4944" t="str">
        <f>HYPERLINK("Melting_Curves/meltCurve_Q96AT9_RPE.pdf", "Melting_Curves/meltCurve_Q96AT9_RPE.pdf")</f>
        <v>Melting_Curves/meltCurve_Q96AT9_RPE.pdf</v>
      </c>
    </row>
    <row r="4945" spans="1:28" x14ac:dyDescent="0.25">
      <c r="A4945" t="s">
        <v>4949</v>
      </c>
      <c r="B4945">
        <v>0.99193492352474899</v>
      </c>
      <c r="C4945">
        <v>0.86991047939954202</v>
      </c>
      <c r="D4945">
        <v>0.86025462041690703</v>
      </c>
      <c r="E4945">
        <v>0.67642325557781502</v>
      </c>
      <c r="F4945">
        <v>0.58546179980403401</v>
      </c>
      <c r="G4945">
        <v>0.33066750883873902</v>
      </c>
      <c r="H4945">
        <v>0.123923150509705</v>
      </c>
      <c r="I4945">
        <v>0.102998610788241</v>
      </c>
      <c r="J4945">
        <v>0.13697269934040901</v>
      </c>
      <c r="K4945">
        <v>9.4705458901844702E-2</v>
      </c>
      <c r="L4945">
        <v>602.06967736862498</v>
      </c>
      <c r="M4945">
        <v>11.304663775104499</v>
      </c>
      <c r="N4945">
        <v>53.313111575108202</v>
      </c>
      <c r="O4945">
        <v>51.673578586060799</v>
      </c>
      <c r="P4945">
        <v>-5.43944500389026E-2</v>
      </c>
      <c r="Q4945">
        <v>5.7545438047875604E-3</v>
      </c>
      <c r="R4945">
        <v>0.981477053048602</v>
      </c>
      <c r="S4945" t="s">
        <v>11615</v>
      </c>
      <c r="T4945" t="s">
        <v>13338</v>
      </c>
      <c r="U4945" t="s">
        <v>13338</v>
      </c>
      <c r="V4945" t="s">
        <v>13338</v>
      </c>
      <c r="W4945" t="s">
        <v>18227</v>
      </c>
      <c r="X4945">
        <v>4</v>
      </c>
      <c r="Y4945" t="s">
        <v>24725</v>
      </c>
      <c r="Z4945" t="s">
        <v>31360</v>
      </c>
      <c r="AA4945">
        <v>0.47465107393593231</v>
      </c>
      <c r="AB4945" t="str">
        <f>HYPERLINK("Melting_Curves/meltCurve_Q96AX2_4_RAB37.pdf", "Melting_Curves/meltCurve_Q96AX2_4_RAB37.pdf")</f>
        <v>Melting_Curves/meltCurve_Q96AX2_4_RAB37.pdf</v>
      </c>
    </row>
    <row r="4946" spans="1:28" x14ac:dyDescent="0.25">
      <c r="A4946" t="s">
        <v>4950</v>
      </c>
      <c r="B4946">
        <v>0.99193492352474899</v>
      </c>
      <c r="C4946">
        <v>0.83603478378045204</v>
      </c>
      <c r="D4946">
        <v>0.90305530581596605</v>
      </c>
      <c r="E4946">
        <v>0.78699431382940099</v>
      </c>
      <c r="F4946">
        <v>0.60996940731332505</v>
      </c>
      <c r="G4946">
        <v>0.38316238114249501</v>
      </c>
      <c r="H4946">
        <v>0.37600651528397799</v>
      </c>
      <c r="I4946">
        <v>0.46696648879379099</v>
      </c>
      <c r="J4946">
        <v>0.62797137799968505</v>
      </c>
      <c r="K4946">
        <v>0.81616612395110499</v>
      </c>
      <c r="L4946">
        <v>1155.6496748249499</v>
      </c>
      <c r="M4946">
        <v>23.612213686487902</v>
      </c>
      <c r="O4946">
        <v>48.595882398603599</v>
      </c>
      <c r="P4946">
        <v>-5.61820244466463E-2</v>
      </c>
      <c r="Q4946">
        <v>0.53749884973833195</v>
      </c>
      <c r="R4946">
        <v>0.60265261193434205</v>
      </c>
      <c r="S4946" t="s">
        <v>11616</v>
      </c>
      <c r="T4946" t="s">
        <v>13338</v>
      </c>
      <c r="U4946" t="s">
        <v>13338</v>
      </c>
      <c r="V4946" t="s">
        <v>13338</v>
      </c>
      <c r="W4946" t="s">
        <v>18228</v>
      </c>
      <c r="X4946">
        <v>8</v>
      </c>
      <c r="Y4946" t="s">
        <v>24726</v>
      </c>
      <c r="Z4946" t="s">
        <v>31361</v>
      </c>
      <c r="AA4946">
        <v>0.6799779596848684</v>
      </c>
      <c r="AB4946" t="str">
        <f>HYPERLINK("Melting_Curves/meltCurve_Q96B01_RAD51AP1.pdf", "Melting_Curves/meltCurve_Q96B01_RAD51AP1.pdf")</f>
        <v>Melting_Curves/meltCurve_Q96B01_RAD51AP1.pdf</v>
      </c>
    </row>
    <row r="4947" spans="1:28" x14ac:dyDescent="0.25">
      <c r="A4947" t="s">
        <v>4951</v>
      </c>
      <c r="B4947">
        <v>0.99193492352474899</v>
      </c>
      <c r="C4947">
        <v>0.73975140623491797</v>
      </c>
      <c r="D4947">
        <v>0.89675736454314803</v>
      </c>
      <c r="E4947">
        <v>0.63763848076372498</v>
      </c>
      <c r="F4947">
        <v>0.78945348670493598</v>
      </c>
      <c r="G4947">
        <v>0.48895060347692998</v>
      </c>
      <c r="H4947">
        <v>0.47636019985607497</v>
      </c>
      <c r="I4947">
        <v>0.488758366068339</v>
      </c>
      <c r="J4947">
        <v>0.61089514262631694</v>
      </c>
      <c r="K4947">
        <v>0.66423048437864096</v>
      </c>
      <c r="L4947">
        <v>516.26739355439599</v>
      </c>
      <c r="M4947">
        <v>11.0639002520068</v>
      </c>
      <c r="O4947">
        <v>45.215684655014002</v>
      </c>
      <c r="P4947">
        <v>-2.79800014202829E-2</v>
      </c>
      <c r="Q4947">
        <v>0.54275866205413204</v>
      </c>
      <c r="R4947">
        <v>0.636127569359069</v>
      </c>
      <c r="S4947" t="s">
        <v>11617</v>
      </c>
      <c r="T4947" t="s">
        <v>13338</v>
      </c>
      <c r="U4947" t="s">
        <v>13338</v>
      </c>
      <c r="V4947" t="s">
        <v>13338</v>
      </c>
      <c r="W4947" t="s">
        <v>18229</v>
      </c>
      <c r="X4947">
        <v>5</v>
      </c>
      <c r="Y4947" t="s">
        <v>24727</v>
      </c>
      <c r="Z4947" t="s">
        <v>31362</v>
      </c>
      <c r="AA4947">
        <v>0.66709520852776449</v>
      </c>
      <c r="AB4947" t="str">
        <f>HYPERLINK("Melting_Curves/meltCurve_Q96B23_2_C18orf25.pdf", "Melting_Curves/meltCurve_Q96B23_2_C18orf25.pdf")</f>
        <v>Melting_Curves/meltCurve_Q96B23_2_C18orf25.pdf</v>
      </c>
    </row>
    <row r="4948" spans="1:28" x14ac:dyDescent="0.25">
      <c r="A4948" t="s">
        <v>4952</v>
      </c>
      <c r="B4948">
        <v>0.99193492352474899</v>
      </c>
      <c r="C4948">
        <v>0.76960338019117303</v>
      </c>
      <c r="D4948">
        <v>0.98766728493038003</v>
      </c>
      <c r="E4948">
        <v>0.92659006884211104</v>
      </c>
      <c r="F4948">
        <v>0.88433773905647195</v>
      </c>
      <c r="G4948">
        <v>0.67771648647072502</v>
      </c>
      <c r="H4948">
        <v>0.223905076960073</v>
      </c>
      <c r="I4948">
        <v>0.109842891803833</v>
      </c>
      <c r="J4948">
        <v>0.102816070748159</v>
      </c>
      <c r="K4948">
        <v>0.134188141492942</v>
      </c>
      <c r="L4948">
        <v>1761.70962672461</v>
      </c>
      <c r="M4948">
        <v>30.577090799323599</v>
      </c>
      <c r="N4948">
        <v>58.009718420483999</v>
      </c>
      <c r="O4948">
        <v>57.370594999488702</v>
      </c>
      <c r="P4948">
        <v>-0.120740475424293</v>
      </c>
      <c r="Q4948">
        <v>9.3843028450834698E-2</v>
      </c>
      <c r="R4948">
        <v>0.95344311860853803</v>
      </c>
      <c r="S4948" t="s">
        <v>11618</v>
      </c>
      <c r="T4948" t="s">
        <v>13338</v>
      </c>
      <c r="U4948" t="s">
        <v>13338</v>
      </c>
      <c r="V4948" t="s">
        <v>13338</v>
      </c>
      <c r="W4948" t="s">
        <v>18230</v>
      </c>
      <c r="X4948">
        <v>9</v>
      </c>
      <c r="Y4948" t="s">
        <v>24728</v>
      </c>
      <c r="Z4948" t="s">
        <v>31363</v>
      </c>
      <c r="AA4948">
        <v>0.63172695935036893</v>
      </c>
      <c r="AB4948" t="str">
        <f>HYPERLINK("Melting_Curves/meltCurve_Q96B26_EXOSC8.pdf", "Melting_Curves/meltCurve_Q96B26_EXOSC8.pdf")</f>
        <v>Melting_Curves/meltCurve_Q96B26_EXOSC8.pdf</v>
      </c>
    </row>
    <row r="4949" spans="1:28" x14ac:dyDescent="0.25">
      <c r="A4949" t="s">
        <v>4953</v>
      </c>
      <c r="B4949">
        <v>0.99193492352474899</v>
      </c>
      <c r="C4949">
        <v>1.01540246797884</v>
      </c>
      <c r="D4949">
        <v>0.88117325093870802</v>
      </c>
      <c r="E4949">
        <v>0.82475493515820297</v>
      </c>
      <c r="F4949">
        <v>0.46684585359501701</v>
      </c>
      <c r="G4949">
        <v>0.32922033163051301</v>
      </c>
      <c r="H4949">
        <v>0.30373576094029198</v>
      </c>
      <c r="I4949">
        <v>0.50391736882989102</v>
      </c>
      <c r="J4949">
        <v>0.57339751129038596</v>
      </c>
      <c r="K4949">
        <v>0.89408234602504699</v>
      </c>
      <c r="L4949">
        <v>12428.7511912807</v>
      </c>
      <c r="M4949">
        <v>250</v>
      </c>
      <c r="O4949">
        <v>49.711823624230298</v>
      </c>
      <c r="P4949">
        <v>-0.61370394887626201</v>
      </c>
      <c r="Q4949">
        <v>0.51186652399168098</v>
      </c>
      <c r="R4949">
        <v>0.63692083067038197</v>
      </c>
      <c r="S4949" t="s">
        <v>11619</v>
      </c>
      <c r="T4949" t="s">
        <v>13338</v>
      </c>
      <c r="U4949" t="s">
        <v>13338</v>
      </c>
      <c r="V4949" t="s">
        <v>13338</v>
      </c>
      <c r="W4949" t="s">
        <v>18231</v>
      </c>
      <c r="X4949">
        <v>3</v>
      </c>
      <c r="Y4949" t="s">
        <v>24729</v>
      </c>
      <c r="Z4949" t="s">
        <v>31364</v>
      </c>
      <c r="AA4949">
        <v>0.66998308135966067</v>
      </c>
      <c r="AB4949" t="str">
        <f>HYPERLINK("Melting_Curves/meltCurve_Q96B36_AKT1S1.pdf", "Melting_Curves/meltCurve_Q96B36_AKT1S1.pdf")</f>
        <v>Melting_Curves/meltCurve_Q96B36_AKT1S1.pdf</v>
      </c>
    </row>
    <row r="4950" spans="1:28" x14ac:dyDescent="0.25">
      <c r="A4950" t="s">
        <v>4954</v>
      </c>
      <c r="B4950">
        <v>0.99193492352474899</v>
      </c>
      <c r="C4950">
        <v>0.87044853101557396</v>
      </c>
      <c r="D4950">
        <v>0.87960284313593495</v>
      </c>
      <c r="E4950">
        <v>0.72641582802339699</v>
      </c>
      <c r="F4950">
        <v>0.68313259282348504</v>
      </c>
      <c r="G4950">
        <v>0.42298718947764702</v>
      </c>
      <c r="H4950">
        <v>0.23072567090510601</v>
      </c>
      <c r="I4950">
        <v>0.24129590958859201</v>
      </c>
      <c r="J4950">
        <v>0.220975194899969</v>
      </c>
      <c r="K4950">
        <v>0.25528258692299599</v>
      </c>
      <c r="L4950">
        <v>605.17150916421099</v>
      </c>
      <c r="M4950">
        <v>11.3091242559083</v>
      </c>
      <c r="N4950">
        <v>55.1301647099611</v>
      </c>
      <c r="O4950">
        <v>51.920507066162401</v>
      </c>
      <c r="P4950">
        <v>-4.6776535307135103E-2</v>
      </c>
      <c r="Q4950">
        <v>0.14125081842448201</v>
      </c>
      <c r="R4950">
        <v>0.96752785677516895</v>
      </c>
      <c r="S4950" t="s">
        <v>11620</v>
      </c>
      <c r="T4950" t="s">
        <v>13338</v>
      </c>
      <c r="U4950" t="s">
        <v>13338</v>
      </c>
      <c r="V4950" t="s">
        <v>13338</v>
      </c>
      <c r="W4950" t="s">
        <v>18232</v>
      </c>
      <c r="X4950">
        <v>4</v>
      </c>
      <c r="Y4950" t="s">
        <v>24730</v>
      </c>
      <c r="Z4950" t="s">
        <v>31365</v>
      </c>
      <c r="AA4950">
        <v>0.55287685450166468</v>
      </c>
      <c r="AB4950" t="str">
        <f>HYPERLINK("Melting_Curves/meltCurve_Q96B45_C10orf32.pdf", "Melting_Curves/meltCurve_Q96B45_C10orf32.pdf")</f>
        <v>Melting_Curves/meltCurve_Q96B45_C10orf32.pdf</v>
      </c>
    </row>
    <row r="4951" spans="1:28" x14ac:dyDescent="0.25">
      <c r="A4951" t="s">
        <v>4955</v>
      </c>
      <c r="B4951">
        <v>0.99193492352474899</v>
      </c>
      <c r="C4951">
        <v>1.02798941203634</v>
      </c>
      <c r="D4951">
        <v>0.88901786485563306</v>
      </c>
      <c r="E4951">
        <v>0.78033477313897204</v>
      </c>
      <c r="F4951">
        <v>0.58838547407894304</v>
      </c>
      <c r="G4951">
        <v>0.35882602947798697</v>
      </c>
      <c r="H4951">
        <v>0.26854458996249397</v>
      </c>
      <c r="I4951">
        <v>0.383856182554217</v>
      </c>
      <c r="J4951">
        <v>0.37253581993787999</v>
      </c>
      <c r="K4951">
        <v>0.34053089780930501</v>
      </c>
      <c r="L4951">
        <v>1074.8031836679399</v>
      </c>
      <c r="M4951">
        <v>20.958430379642699</v>
      </c>
      <c r="N4951">
        <v>54.033303931313597</v>
      </c>
      <c r="O4951">
        <v>50.8225839779954</v>
      </c>
      <c r="P4951">
        <v>-6.9285570726301093E-2</v>
      </c>
      <c r="Q4951">
        <v>0.32796936443958502</v>
      </c>
      <c r="R4951">
        <v>0.97497963156838796</v>
      </c>
      <c r="S4951" t="s">
        <v>11621</v>
      </c>
      <c r="T4951" t="s">
        <v>13338</v>
      </c>
      <c r="U4951" t="s">
        <v>13338</v>
      </c>
      <c r="V4951" t="s">
        <v>13338</v>
      </c>
      <c r="W4951" t="s">
        <v>18233</v>
      </c>
      <c r="X4951">
        <v>3</v>
      </c>
      <c r="Y4951" t="s">
        <v>24731</v>
      </c>
      <c r="Z4951" t="s">
        <v>31366</v>
      </c>
      <c r="AA4951">
        <v>0.58925487970024903</v>
      </c>
      <c r="AB4951" t="str">
        <f>HYPERLINK("Melting_Curves/meltCurve_Q96B49_TOMM6.pdf", "Melting_Curves/meltCurve_Q96B49_TOMM6.pdf")</f>
        <v>Melting_Curves/meltCurve_Q96B49_TOMM6.pdf</v>
      </c>
    </row>
    <row r="4952" spans="1:28" x14ac:dyDescent="0.25">
      <c r="A4952" t="s">
        <v>4956</v>
      </c>
      <c r="B4952">
        <v>0.99193492352474899</v>
      </c>
      <c r="C4952">
        <v>1.0325941574003401</v>
      </c>
      <c r="D4952">
        <v>0.77695829094215896</v>
      </c>
      <c r="E4952">
        <v>0.652343926763846</v>
      </c>
      <c r="F4952">
        <v>0.22204561400124301</v>
      </c>
      <c r="G4952">
        <v>0.214989454459209</v>
      </c>
      <c r="H4952">
        <v>0.139255264134694</v>
      </c>
      <c r="I4952">
        <v>0.194345280566773</v>
      </c>
      <c r="J4952">
        <v>0.19598910916228299</v>
      </c>
      <c r="K4952">
        <v>0.195020092810296</v>
      </c>
      <c r="L4952">
        <v>1149.7614214350799</v>
      </c>
      <c r="M4952">
        <v>23.2751371273093</v>
      </c>
      <c r="N4952">
        <v>50.295737967429702</v>
      </c>
      <c r="O4952">
        <v>49.0383545314385</v>
      </c>
      <c r="P4952">
        <v>-9.8502800099346005E-2</v>
      </c>
      <c r="Q4952">
        <v>0.169872809523166</v>
      </c>
      <c r="R4952">
        <v>0.974619412732039</v>
      </c>
      <c r="S4952" t="s">
        <v>11622</v>
      </c>
      <c r="T4952" t="s">
        <v>13338</v>
      </c>
      <c r="U4952" t="s">
        <v>13338</v>
      </c>
      <c r="V4952" t="s">
        <v>13338</v>
      </c>
      <c r="W4952" t="s">
        <v>18234</v>
      </c>
      <c r="X4952">
        <v>2</v>
      </c>
      <c r="Y4952" t="s">
        <v>24732</v>
      </c>
      <c r="Z4952" t="s">
        <v>31367</v>
      </c>
      <c r="AA4952">
        <v>0.43847765206693218</v>
      </c>
      <c r="AB4952" t="str">
        <f>HYPERLINK("Melting_Curves/meltCurve_Q96B70_LENG9.pdf", "Melting_Curves/meltCurve_Q96B70_LENG9.pdf")</f>
        <v>Melting_Curves/meltCurve_Q96B70_LENG9.pdf</v>
      </c>
    </row>
    <row r="4953" spans="1:28" x14ac:dyDescent="0.25">
      <c r="A4953" t="s">
        <v>4957</v>
      </c>
      <c r="B4953">
        <v>0.99193492352474899</v>
      </c>
      <c r="C4953">
        <v>0.79887257068028505</v>
      </c>
      <c r="D4953">
        <v>0.83939297276533398</v>
      </c>
      <c r="E4953">
        <v>0.44776032072698602</v>
      </c>
      <c r="F4953">
        <v>0.23580611087152301</v>
      </c>
      <c r="G4953">
        <v>0.113823928178827</v>
      </c>
      <c r="H4953">
        <v>8.2650386430261902E-2</v>
      </c>
      <c r="I4953">
        <v>9.9765859529091394E-2</v>
      </c>
      <c r="J4953">
        <v>0.145760855680516</v>
      </c>
      <c r="K4953">
        <v>0.20389193214301801</v>
      </c>
      <c r="L4953">
        <v>981.393236062244</v>
      </c>
      <c r="M4953">
        <v>20.279779139303699</v>
      </c>
      <c r="N4953">
        <v>49.037051655579099</v>
      </c>
      <c r="O4953">
        <v>47.929521081064102</v>
      </c>
      <c r="P4953">
        <v>-9.3409697663277794E-2</v>
      </c>
      <c r="Q4953">
        <v>0.116963917119037</v>
      </c>
      <c r="R4953">
        <v>0.96660926279521298</v>
      </c>
      <c r="S4953" t="s">
        <v>11623</v>
      </c>
      <c r="T4953" t="s">
        <v>13338</v>
      </c>
      <c r="U4953" t="s">
        <v>13338</v>
      </c>
      <c r="V4953" t="s">
        <v>13338</v>
      </c>
      <c r="W4953" t="s">
        <v>18235</v>
      </c>
      <c r="X4953">
        <v>23</v>
      </c>
      <c r="Y4953" t="s">
        <v>24733</v>
      </c>
      <c r="Z4953" t="s">
        <v>31368</v>
      </c>
      <c r="AA4953">
        <v>0.37610407374958521</v>
      </c>
      <c r="AB4953" t="str">
        <f>HYPERLINK("Melting_Curves/meltCurve_Q96B97_SH3KBP1.pdf", "Melting_Curves/meltCurve_Q96B97_SH3KBP1.pdf")</f>
        <v>Melting_Curves/meltCurve_Q96B97_SH3KBP1.pdf</v>
      </c>
    </row>
    <row r="4954" spans="1:28" x14ac:dyDescent="0.25">
      <c r="A4954" t="s">
        <v>4958</v>
      </c>
      <c r="B4954">
        <v>0.99193492352474899</v>
      </c>
      <c r="C4954">
        <v>0.375650099608201</v>
      </c>
      <c r="D4954">
        <v>0.27644647386460802</v>
      </c>
      <c r="E4954">
        <v>0.139075233443192</v>
      </c>
      <c r="F4954">
        <v>0.10906542559977001</v>
      </c>
      <c r="G4954">
        <v>8.5705568263291496E-2</v>
      </c>
      <c r="H4954">
        <v>6.5955227153489906E-2</v>
      </c>
      <c r="I4954">
        <v>7.5104680376681499E-2</v>
      </c>
      <c r="J4954">
        <v>0.109781440036518</v>
      </c>
      <c r="K4954">
        <v>9.1715135789540506E-2</v>
      </c>
      <c r="L4954">
        <v>2115.5696495519301</v>
      </c>
      <c r="M4954">
        <v>50.075221638622999</v>
      </c>
      <c r="N4954">
        <v>42.470355655542903</v>
      </c>
      <c r="O4954">
        <v>42.180623009120403</v>
      </c>
      <c r="P4954">
        <v>-0.26254781406260003</v>
      </c>
      <c r="Q4954">
        <v>0.115377259094377</v>
      </c>
      <c r="R4954">
        <v>0.95933003414896001</v>
      </c>
      <c r="S4954" t="s">
        <v>11624</v>
      </c>
      <c r="T4954" t="s">
        <v>13338</v>
      </c>
      <c r="U4954" t="s">
        <v>13338</v>
      </c>
      <c r="V4954" t="s">
        <v>13338</v>
      </c>
      <c r="W4954" t="s">
        <v>18236</v>
      </c>
      <c r="X4954">
        <v>2</v>
      </c>
      <c r="Y4954" t="s">
        <v>24734</v>
      </c>
      <c r="Z4954" t="s">
        <v>31369</v>
      </c>
      <c r="AA4954">
        <v>0.18455519555587999</v>
      </c>
      <c r="AB4954" t="str">
        <f>HYPERLINK("Melting_Curves/meltCurve_Q96BD8_2_SKA1.pdf", "Melting_Curves/meltCurve_Q96BD8_2_SKA1.pdf")</f>
        <v>Melting_Curves/meltCurve_Q96BD8_2_SKA1.pdf</v>
      </c>
    </row>
    <row r="4955" spans="1:28" x14ac:dyDescent="0.25">
      <c r="A4955" t="s">
        <v>4959</v>
      </c>
      <c r="B4955">
        <v>0.99193492352474899</v>
      </c>
      <c r="C4955">
        <v>0.97376045114728405</v>
      </c>
      <c r="D4955">
        <v>0.82726629045936395</v>
      </c>
      <c r="E4955">
        <v>0.71114923704572996</v>
      </c>
      <c r="F4955">
        <v>0.28829722052807699</v>
      </c>
      <c r="G4955">
        <v>0.15204817571525001</v>
      </c>
      <c r="H4955">
        <v>0.14739941772776</v>
      </c>
      <c r="I4955">
        <v>0.133024494252657</v>
      </c>
      <c r="J4955">
        <v>0.16185635718528199</v>
      </c>
      <c r="K4955">
        <v>0.13695980675796501</v>
      </c>
      <c r="L4955">
        <v>1186.8016336785699</v>
      </c>
      <c r="M4955">
        <v>23.552174284384201</v>
      </c>
      <c r="N4955">
        <v>51.033919021665199</v>
      </c>
      <c r="O4955">
        <v>50.0312636329908</v>
      </c>
      <c r="P4955">
        <v>-0.10256745056359599</v>
      </c>
      <c r="Q4955">
        <v>0.128489534670299</v>
      </c>
      <c r="R4955">
        <v>0.98740829666476704</v>
      </c>
      <c r="S4955" t="s">
        <v>11625</v>
      </c>
      <c r="T4955" t="s">
        <v>13338</v>
      </c>
      <c r="U4955" t="s">
        <v>13338</v>
      </c>
      <c r="V4955" t="s">
        <v>13338</v>
      </c>
      <c r="W4955" t="s">
        <v>18237</v>
      </c>
      <c r="X4955">
        <v>4</v>
      </c>
      <c r="Y4955" t="s">
        <v>24735</v>
      </c>
      <c r="Z4955" t="s">
        <v>31370</v>
      </c>
      <c r="AA4955">
        <v>0.43913745713660612</v>
      </c>
      <c r="AB4955" t="str">
        <f>HYPERLINK("Melting_Curves/meltCurve_Q96BH1_RNF25.pdf", "Melting_Curves/meltCurve_Q96BH1_RNF25.pdf")</f>
        <v>Melting_Curves/meltCurve_Q96BH1_RNF25.pdf</v>
      </c>
    </row>
    <row r="4956" spans="1:28" x14ac:dyDescent="0.25">
      <c r="A4956" t="s">
        <v>4960</v>
      </c>
      <c r="B4956">
        <v>0.99193492352474899</v>
      </c>
      <c r="C4956">
        <v>0.78047266532681003</v>
      </c>
      <c r="D4956">
        <v>0.79936915072390602</v>
      </c>
      <c r="E4956">
        <v>0.51259577813176405</v>
      </c>
      <c r="F4956">
        <v>0.49748958940176502</v>
      </c>
      <c r="G4956">
        <v>0.238372632180257</v>
      </c>
      <c r="H4956">
        <v>0.22617160497545599</v>
      </c>
      <c r="I4956">
        <v>0.25953472441133402</v>
      </c>
      <c r="J4956">
        <v>0.35351819552534902</v>
      </c>
      <c r="K4956">
        <v>0.45400309701491398</v>
      </c>
      <c r="L4956">
        <v>732.44231488590799</v>
      </c>
      <c r="M4956">
        <v>15.4660875716225</v>
      </c>
      <c r="N4956">
        <v>50.397765576763497</v>
      </c>
      <c r="O4956">
        <v>46.587422861296197</v>
      </c>
      <c r="P4956">
        <v>-5.7828947492814801E-2</v>
      </c>
      <c r="Q4956">
        <v>0.30328619601222201</v>
      </c>
      <c r="R4956">
        <v>0.88391009017073496</v>
      </c>
      <c r="S4956" t="s">
        <v>11626</v>
      </c>
      <c r="T4956" t="s">
        <v>13338</v>
      </c>
      <c r="U4956" t="s">
        <v>13338</v>
      </c>
      <c r="V4956" t="s">
        <v>13338</v>
      </c>
      <c r="W4956" t="s">
        <v>18238</v>
      </c>
      <c r="X4956">
        <v>1</v>
      </c>
      <c r="Y4956" t="s">
        <v>24736</v>
      </c>
      <c r="Z4956" t="s">
        <v>31371</v>
      </c>
      <c r="AA4956">
        <v>0.49157387612186221</v>
      </c>
      <c r="AB4956" t="str">
        <f>HYPERLINK("Melting_Curves/meltCurve_Q96BI3_APH1A.pdf", "Melting_Curves/meltCurve_Q96BI3_APH1A.pdf")</f>
        <v>Melting_Curves/meltCurve_Q96BI3_APH1A.pdf</v>
      </c>
    </row>
    <row r="4957" spans="1:28" x14ac:dyDescent="0.25">
      <c r="A4957" t="s">
        <v>4961</v>
      </c>
      <c r="B4957">
        <v>0.99193492352474899</v>
      </c>
      <c r="C4957">
        <v>0.36525679045561499</v>
      </c>
      <c r="D4957">
        <v>0.74423056207829597</v>
      </c>
      <c r="E4957">
        <v>0.28068944229933601</v>
      </c>
      <c r="F4957">
        <v>0.29760229296735802</v>
      </c>
      <c r="G4957">
        <v>0.18449001216682501</v>
      </c>
      <c r="H4957">
        <v>0.36995765730639402</v>
      </c>
      <c r="I4957">
        <v>0.42890312396081998</v>
      </c>
      <c r="J4957">
        <v>0.77887274865821599</v>
      </c>
      <c r="K4957">
        <v>0.98792638785188602</v>
      </c>
      <c r="L4957">
        <v>10164.9072461709</v>
      </c>
      <c r="M4957">
        <v>250</v>
      </c>
      <c r="N4957">
        <v>41.368443350705299</v>
      </c>
      <c r="O4957">
        <v>40.657027054737398</v>
      </c>
      <c r="P4957">
        <v>-0.779226978986853</v>
      </c>
      <c r="Q4957">
        <v>0.49310316293816098</v>
      </c>
      <c r="R4957">
        <v>0.27055455316976301</v>
      </c>
      <c r="S4957" t="s">
        <v>11627</v>
      </c>
      <c r="T4957" t="s">
        <v>13338</v>
      </c>
      <c r="U4957" t="s">
        <v>13338</v>
      </c>
      <c r="V4957" t="s">
        <v>13338</v>
      </c>
      <c r="W4957" t="s">
        <v>18239</v>
      </c>
      <c r="X4957">
        <v>14</v>
      </c>
      <c r="Y4957" t="s">
        <v>24737</v>
      </c>
      <c r="Z4957" t="s">
        <v>31372</v>
      </c>
      <c r="AA4957">
        <v>0.50432720407715526</v>
      </c>
      <c r="AB4957" t="str">
        <f>HYPERLINK("Melting_Curves/meltCurve_Q96BK5_PINX1.pdf", "Melting_Curves/meltCurve_Q96BK5_PINX1.pdf")</f>
        <v>Melting_Curves/meltCurve_Q96BK5_PINX1.pdf</v>
      </c>
    </row>
    <row r="4958" spans="1:28" x14ac:dyDescent="0.25">
      <c r="A4958" t="s">
        <v>4962</v>
      </c>
      <c r="B4958">
        <v>0.99193492352474899</v>
      </c>
      <c r="C4958">
        <v>0.74806102185819301</v>
      </c>
      <c r="D4958">
        <v>0.99220231533987802</v>
      </c>
      <c r="E4958">
        <v>0.67926980750789701</v>
      </c>
      <c r="F4958">
        <v>0.69380922227143305</v>
      </c>
      <c r="G4958">
        <v>0.44631268365238003</v>
      </c>
      <c r="H4958">
        <v>0.34916457665453998</v>
      </c>
      <c r="I4958">
        <v>0.25807393826069303</v>
      </c>
      <c r="J4958">
        <v>0.22924635638589899</v>
      </c>
      <c r="K4958">
        <v>0.13987937442185799</v>
      </c>
      <c r="L4958">
        <v>460.50079055255401</v>
      </c>
      <c r="M4958">
        <v>8.1936235940336104</v>
      </c>
      <c r="N4958">
        <v>56.202336518950702</v>
      </c>
      <c r="O4958">
        <v>53.152360887354</v>
      </c>
      <c r="P4958">
        <v>-3.8578241197207902E-2</v>
      </c>
      <c r="Q4958">
        <v>0</v>
      </c>
      <c r="R4958">
        <v>0.92728527825691198</v>
      </c>
      <c r="S4958" t="s">
        <v>11628</v>
      </c>
      <c r="T4958" t="s">
        <v>13338</v>
      </c>
      <c r="U4958" t="s">
        <v>13338</v>
      </c>
      <c r="V4958" t="s">
        <v>13338</v>
      </c>
      <c r="W4958" t="s">
        <v>18240</v>
      </c>
      <c r="X4958">
        <v>8</v>
      </c>
      <c r="Y4958" t="s">
        <v>24738</v>
      </c>
      <c r="Z4958" t="s">
        <v>31373</v>
      </c>
      <c r="AA4958">
        <v>0.55866003618439253</v>
      </c>
      <c r="AB4958" t="str">
        <f>HYPERLINK("Melting_Curves/meltCurve_Q96BM9_ARL8A.pdf", "Melting_Curves/meltCurve_Q96BM9_ARL8A.pdf")</f>
        <v>Melting_Curves/meltCurve_Q96BM9_ARL8A.pdf</v>
      </c>
    </row>
    <row r="4959" spans="1:28" x14ac:dyDescent="0.25">
      <c r="A4959" t="s">
        <v>4963</v>
      </c>
      <c r="B4959">
        <v>0.99193492352474899</v>
      </c>
      <c r="C4959">
        <v>0.87575926425259398</v>
      </c>
      <c r="D4959">
        <v>0.73837679199502104</v>
      </c>
      <c r="E4959">
        <v>0.271765066920021</v>
      </c>
      <c r="F4959">
        <v>0.132519068963842</v>
      </c>
      <c r="G4959">
        <v>5.40971335504749E-2</v>
      </c>
      <c r="H4959">
        <v>4.3293424203152998E-2</v>
      </c>
      <c r="I4959">
        <v>5.6976847328500599E-2</v>
      </c>
      <c r="J4959">
        <v>6.6458974489175496E-2</v>
      </c>
      <c r="K4959">
        <v>7.0978525355186006E-2</v>
      </c>
      <c r="L4959">
        <v>1168.98725501275</v>
      </c>
      <c r="M4959">
        <v>24.636423821845401</v>
      </c>
      <c r="N4959">
        <v>47.6736160876643</v>
      </c>
      <c r="O4959">
        <v>47.140242132045401</v>
      </c>
      <c r="P4959">
        <v>-0.12351388859840701</v>
      </c>
      <c r="Q4959">
        <v>5.4669459096032297E-2</v>
      </c>
      <c r="R4959">
        <v>0.99494390224767804</v>
      </c>
      <c r="S4959" t="s">
        <v>11629</v>
      </c>
      <c r="T4959" t="s">
        <v>13338</v>
      </c>
      <c r="U4959" t="s">
        <v>13338</v>
      </c>
      <c r="V4959" t="s">
        <v>13338</v>
      </c>
      <c r="W4959" t="s">
        <v>18241</v>
      </c>
      <c r="X4959">
        <v>10</v>
      </c>
      <c r="Y4959" t="s">
        <v>24739</v>
      </c>
      <c r="Z4959" t="s">
        <v>31374</v>
      </c>
      <c r="AA4959">
        <v>0.29806676358426037</v>
      </c>
      <c r="AB4959" t="str">
        <f>HYPERLINK("Melting_Curves/meltCurve_Q96BN8_FAM105B.pdf", "Melting_Curves/meltCurve_Q96BN8_FAM105B.pdf")</f>
        <v>Melting_Curves/meltCurve_Q96BN8_FAM105B.pdf</v>
      </c>
    </row>
    <row r="4960" spans="1:28" x14ac:dyDescent="0.25">
      <c r="A4960" t="s">
        <v>4964</v>
      </c>
      <c r="B4960">
        <v>0.99193492352474899</v>
      </c>
      <c r="C4960">
        <v>0.54346227506104305</v>
      </c>
      <c r="D4960">
        <v>0.868917095412304</v>
      </c>
      <c r="E4960">
        <v>0.53997184443176305</v>
      </c>
      <c r="F4960">
        <v>0.415936794431357</v>
      </c>
      <c r="G4960">
        <v>0.22019148916085601</v>
      </c>
      <c r="H4960">
        <v>0.27119295223338702</v>
      </c>
      <c r="I4960">
        <v>0.28583751415402397</v>
      </c>
      <c r="J4960">
        <v>0.45484952193470202</v>
      </c>
      <c r="K4960">
        <v>0.58044819964804495</v>
      </c>
      <c r="L4960">
        <v>598.134127726521</v>
      </c>
      <c r="M4960">
        <v>13.188746820797</v>
      </c>
      <c r="N4960">
        <v>50.118928099046698</v>
      </c>
      <c r="O4960">
        <v>44.347251132484999</v>
      </c>
      <c r="P4960">
        <v>-4.77861299953957E-2</v>
      </c>
      <c r="Q4960">
        <v>0.35738291902876201</v>
      </c>
      <c r="R4960">
        <v>0.60433383376410099</v>
      </c>
      <c r="S4960" t="s">
        <v>11630</v>
      </c>
      <c r="T4960" t="s">
        <v>13338</v>
      </c>
      <c r="U4960" t="s">
        <v>13338</v>
      </c>
      <c r="V4960" t="s">
        <v>13338</v>
      </c>
      <c r="W4960" t="s">
        <v>18242</v>
      </c>
      <c r="X4960">
        <v>4</v>
      </c>
      <c r="Y4960" t="s">
        <v>24740</v>
      </c>
      <c r="Z4960" t="s">
        <v>31375</v>
      </c>
      <c r="AA4960">
        <v>0.49790470133961667</v>
      </c>
      <c r="AB4960" t="str">
        <f>HYPERLINK("Melting_Curves/meltCurve_Q96BP2_CHCHD1.pdf", "Melting_Curves/meltCurve_Q96BP2_CHCHD1.pdf")</f>
        <v>Melting_Curves/meltCurve_Q96BP2_CHCHD1.pdf</v>
      </c>
    </row>
    <row r="4961" spans="1:28" x14ac:dyDescent="0.25">
      <c r="A4961" t="s">
        <v>4965</v>
      </c>
      <c r="B4961">
        <v>0.99193492352474899</v>
      </c>
      <c r="C4961">
        <v>0.82698381100947904</v>
      </c>
      <c r="D4961">
        <v>0.83794714558493899</v>
      </c>
      <c r="E4961">
        <v>0.49184259576258299</v>
      </c>
      <c r="F4961">
        <v>0.14424902086907199</v>
      </c>
      <c r="G4961">
        <v>8.0052787955211396E-2</v>
      </c>
      <c r="H4961">
        <v>4.7382907044497699E-2</v>
      </c>
      <c r="I4961">
        <v>4.8751745057934198E-2</v>
      </c>
      <c r="J4961">
        <v>6.3153727862382103E-2</v>
      </c>
      <c r="K4961">
        <v>6.3369433806098094E-2</v>
      </c>
      <c r="L4961">
        <v>1034.2537380019701</v>
      </c>
      <c r="M4961">
        <v>21.105267481310101</v>
      </c>
      <c r="N4961">
        <v>49.201648129166401</v>
      </c>
      <c r="O4961">
        <v>48.570952504641099</v>
      </c>
      <c r="P4961">
        <v>-0.104230078274825</v>
      </c>
      <c r="Q4961">
        <v>4.0539046046194502E-2</v>
      </c>
      <c r="R4961">
        <v>0.98402839404845199</v>
      </c>
      <c r="S4961" t="s">
        <v>11631</v>
      </c>
      <c r="T4961" t="s">
        <v>13338</v>
      </c>
      <c r="U4961" t="s">
        <v>13338</v>
      </c>
      <c r="V4961" t="s">
        <v>13338</v>
      </c>
      <c r="W4961" t="s">
        <v>18243</v>
      </c>
      <c r="X4961">
        <v>23</v>
      </c>
      <c r="Y4961" t="s">
        <v>24741</v>
      </c>
      <c r="Z4961" t="s">
        <v>31376</v>
      </c>
      <c r="AA4961">
        <v>0.34056530147810837</v>
      </c>
      <c r="AB4961" t="str">
        <f>HYPERLINK("Melting_Curves/meltCurve_Q96BP3_PPWD1.pdf", "Melting_Curves/meltCurve_Q96BP3_PPWD1.pdf")</f>
        <v>Melting_Curves/meltCurve_Q96BP3_PPWD1.pdf</v>
      </c>
    </row>
    <row r="4962" spans="1:28" x14ac:dyDescent="0.25">
      <c r="A4962" t="s">
        <v>4966</v>
      </c>
      <c r="B4962">
        <v>0.99193492352474899</v>
      </c>
      <c r="C4962">
        <v>0.77067604623377095</v>
      </c>
      <c r="D4962">
        <v>0.77981813207001804</v>
      </c>
      <c r="E4962">
        <v>0.53875799800969904</v>
      </c>
      <c r="F4962">
        <v>0.27227076500658898</v>
      </c>
      <c r="G4962">
        <v>9.6411436095097405E-2</v>
      </c>
      <c r="H4962">
        <v>4.59772483310181E-2</v>
      </c>
      <c r="I4962">
        <v>7.6037991199933305E-2</v>
      </c>
      <c r="J4962">
        <v>9.5269398179997106E-2</v>
      </c>
      <c r="K4962">
        <v>6.5501406576227494E-2</v>
      </c>
      <c r="L4962">
        <v>699.69194584425998</v>
      </c>
      <c r="M4962">
        <v>14.2107268933642</v>
      </c>
      <c r="N4962">
        <v>49.449368230385197</v>
      </c>
      <c r="O4962">
        <v>48.292650693729499</v>
      </c>
      <c r="P4962">
        <v>-7.1395726607664606E-2</v>
      </c>
      <c r="Q4962">
        <v>2.9617957998108301E-2</v>
      </c>
      <c r="R4962">
        <v>0.97620860407222898</v>
      </c>
      <c r="S4962" t="s">
        <v>11632</v>
      </c>
      <c r="T4962" t="s">
        <v>13338</v>
      </c>
      <c r="U4962" t="s">
        <v>13338</v>
      </c>
      <c r="V4962" t="s">
        <v>13338</v>
      </c>
      <c r="W4962" t="s">
        <v>18244</v>
      </c>
      <c r="X4962">
        <v>2</v>
      </c>
      <c r="Y4962" t="s">
        <v>24742</v>
      </c>
      <c r="Z4962" t="s">
        <v>31377</v>
      </c>
      <c r="AA4962">
        <v>0.35461288868374019</v>
      </c>
      <c r="AB4962" t="str">
        <f>HYPERLINK("Melting_Curves/meltCurve_Q96BQ5_CCDC127.pdf", "Melting_Curves/meltCurve_Q96BQ5_CCDC127.pdf")</f>
        <v>Melting_Curves/meltCurve_Q96BQ5_CCDC127.pdf</v>
      </c>
    </row>
    <row r="4963" spans="1:28" x14ac:dyDescent="0.25">
      <c r="A4963" t="s">
        <v>4967</v>
      </c>
      <c r="B4963">
        <v>0.99193492352474899</v>
      </c>
      <c r="C4963">
        <v>0.86850828349239095</v>
      </c>
      <c r="D4963">
        <v>0.80290437514975299</v>
      </c>
      <c r="E4963">
        <v>0.66822815878122899</v>
      </c>
      <c r="F4963">
        <v>0.36029879345564297</v>
      </c>
      <c r="G4963">
        <v>0.24999523044167399</v>
      </c>
      <c r="H4963">
        <v>0.172139609287357</v>
      </c>
      <c r="I4963">
        <v>0.179373154498781</v>
      </c>
      <c r="J4963">
        <v>0.186240630316409</v>
      </c>
      <c r="K4963">
        <v>0.271538430414482</v>
      </c>
      <c r="L4963">
        <v>804.426244151432</v>
      </c>
      <c r="M4963">
        <v>16.1872731825069</v>
      </c>
      <c r="N4963">
        <v>51.087302750769702</v>
      </c>
      <c r="O4963">
        <v>48.955095472194103</v>
      </c>
      <c r="P4963">
        <v>-6.7925409833644701E-2</v>
      </c>
      <c r="Q4963">
        <v>0.17835525894559101</v>
      </c>
      <c r="R4963">
        <v>0.97596791308405895</v>
      </c>
      <c r="S4963" t="s">
        <v>11633</v>
      </c>
      <c r="T4963" t="s">
        <v>13338</v>
      </c>
      <c r="U4963" t="s">
        <v>13338</v>
      </c>
      <c r="V4963" t="s">
        <v>13338</v>
      </c>
      <c r="W4963" t="s">
        <v>18245</v>
      </c>
      <c r="X4963">
        <v>11</v>
      </c>
      <c r="Y4963" t="s">
        <v>24743</v>
      </c>
      <c r="Z4963" t="s">
        <v>31378</v>
      </c>
      <c r="AA4963">
        <v>0.46109143889057719</v>
      </c>
      <c r="AB4963" t="str">
        <f>HYPERLINK("Melting_Curves/meltCurve_Q96BR5_SELRC1.pdf", "Melting_Curves/meltCurve_Q96BR5_SELRC1.pdf")</f>
        <v>Melting_Curves/meltCurve_Q96BR5_SELRC1.pdf</v>
      </c>
    </row>
    <row r="4964" spans="1:28" x14ac:dyDescent="0.25">
      <c r="A4964" t="s">
        <v>4968</v>
      </c>
      <c r="B4964">
        <v>0.99193492352474899</v>
      </c>
      <c r="C4964">
        <v>0.86279680871662601</v>
      </c>
      <c r="D4964">
        <v>0.55244295320270798</v>
      </c>
      <c r="E4964">
        <v>0.23807055664393101</v>
      </c>
      <c r="F4964">
        <v>0.186158944747703</v>
      </c>
      <c r="G4964">
        <v>9.9129590145169505E-2</v>
      </c>
      <c r="H4964">
        <v>9.2074367119826403E-2</v>
      </c>
      <c r="I4964">
        <v>4.35715372855114E-2</v>
      </c>
      <c r="J4964">
        <v>4.1392632786660603E-2</v>
      </c>
      <c r="K4964">
        <v>5.0873034149075499E-2</v>
      </c>
      <c r="L4964">
        <v>948.27210548772905</v>
      </c>
      <c r="M4964">
        <v>20.4674776736383</v>
      </c>
      <c r="N4964">
        <v>46.651378657808799</v>
      </c>
      <c r="O4964">
        <v>45.895203799851799</v>
      </c>
      <c r="P4964">
        <v>-0.104176747646958</v>
      </c>
      <c r="Q4964">
        <v>6.5625698367823102E-2</v>
      </c>
      <c r="R4964">
        <v>0.99384757263221601</v>
      </c>
      <c r="S4964" t="s">
        <v>11634</v>
      </c>
      <c r="T4964" t="s">
        <v>13338</v>
      </c>
      <c r="U4964" t="s">
        <v>13338</v>
      </c>
      <c r="V4964" t="s">
        <v>13338</v>
      </c>
      <c r="W4964" t="s">
        <v>18246</v>
      </c>
      <c r="X4964">
        <v>3</v>
      </c>
      <c r="Y4964" t="s">
        <v>24744</v>
      </c>
      <c r="Z4964" t="s">
        <v>31379</v>
      </c>
      <c r="AA4964">
        <v>0.27621556105190809</v>
      </c>
      <c r="AB4964" t="str">
        <f>HYPERLINK("Melting_Curves/meltCurve_Q96BT7_ALKBH8.pdf", "Melting_Curves/meltCurve_Q96BT7_ALKBH8.pdf")</f>
        <v>Melting_Curves/meltCurve_Q96BT7_ALKBH8.pdf</v>
      </c>
    </row>
    <row r="4965" spans="1:28" x14ac:dyDescent="0.25">
      <c r="A4965" t="s">
        <v>4969</v>
      </c>
      <c r="B4965">
        <v>0.99193492352474899</v>
      </c>
      <c r="C4965">
        <v>1.1166533411651001</v>
      </c>
      <c r="D4965">
        <v>1.0796453032125199</v>
      </c>
      <c r="E4965">
        <v>1.0902316045720299</v>
      </c>
      <c r="F4965">
        <v>0.881439281813857</v>
      </c>
      <c r="G4965">
        <v>0.59542543607348397</v>
      </c>
      <c r="H4965">
        <v>0.348949635709985</v>
      </c>
      <c r="I4965">
        <v>0.21117719089258</v>
      </c>
      <c r="J4965">
        <v>0.20936756508406101</v>
      </c>
      <c r="K4965">
        <v>0.180473440961993</v>
      </c>
      <c r="L4965">
        <v>1525.19019194918</v>
      </c>
      <c r="M4965">
        <v>26.760205526651902</v>
      </c>
      <c r="N4965">
        <v>58.011004752163402</v>
      </c>
      <c r="O4965">
        <v>56.6792860266047</v>
      </c>
      <c r="P4965">
        <v>-9.5947194957568593E-2</v>
      </c>
      <c r="Q4965">
        <v>0.18712691852574301</v>
      </c>
      <c r="R4965">
        <v>0.97717960424402395</v>
      </c>
      <c r="S4965" t="s">
        <v>11635</v>
      </c>
      <c r="T4965" t="s">
        <v>13338</v>
      </c>
      <c r="U4965" t="s">
        <v>13338</v>
      </c>
      <c r="V4965" t="s">
        <v>13338</v>
      </c>
      <c r="W4965" t="s">
        <v>18247</v>
      </c>
      <c r="X4965">
        <v>4</v>
      </c>
      <c r="Y4965" t="s">
        <v>24745</v>
      </c>
      <c r="Z4965" t="s">
        <v>31380</v>
      </c>
      <c r="AA4965">
        <v>0.65418413155053423</v>
      </c>
      <c r="AB4965" t="str">
        <f>HYPERLINK("Melting_Curves/meltCurve_Q96BW1_UPRT.pdf", "Melting_Curves/meltCurve_Q96BW1_UPRT.pdf")</f>
        <v>Melting_Curves/meltCurve_Q96BW1_UPRT.pdf</v>
      </c>
    </row>
    <row r="4966" spans="1:28" x14ac:dyDescent="0.25">
      <c r="A4966" t="s">
        <v>4970</v>
      </c>
      <c r="B4966">
        <v>0.99193492352474899</v>
      </c>
      <c r="C4966">
        <v>1.16456797399073</v>
      </c>
      <c r="D4966">
        <v>1.18711157862214</v>
      </c>
      <c r="E4966">
        <v>1.15465934955933</v>
      </c>
      <c r="F4966">
        <v>1.18073322737435</v>
      </c>
      <c r="G4966">
        <v>0.88608835759696103</v>
      </c>
      <c r="H4966">
        <v>0.47846388888973201</v>
      </c>
      <c r="I4966">
        <v>0.241132337097829</v>
      </c>
      <c r="J4966">
        <v>0.22940988548144201</v>
      </c>
      <c r="K4966">
        <v>0.26946864026813599</v>
      </c>
      <c r="L4966">
        <v>2591.46275736086</v>
      </c>
      <c r="M4966">
        <v>43.493419866228201</v>
      </c>
      <c r="N4966">
        <v>60.470652375709697</v>
      </c>
      <c r="O4966">
        <v>59.4573222213401</v>
      </c>
      <c r="P4966">
        <v>-0.13972390522488601</v>
      </c>
      <c r="Q4966">
        <v>0.23596746772471</v>
      </c>
      <c r="R4966">
        <v>0.92337573245316795</v>
      </c>
      <c r="S4966" t="s">
        <v>11636</v>
      </c>
      <c r="T4966" t="s">
        <v>13338</v>
      </c>
      <c r="U4966" t="s">
        <v>13338</v>
      </c>
      <c r="V4966" t="s">
        <v>13338</v>
      </c>
      <c r="W4966" t="s">
        <v>18248</v>
      </c>
      <c r="X4966">
        <v>13</v>
      </c>
      <c r="Y4966" t="s">
        <v>24746</v>
      </c>
      <c r="Z4966" t="s">
        <v>31381</v>
      </c>
      <c r="AA4966">
        <v>0.73727899791221851</v>
      </c>
      <c r="AB4966" t="str">
        <f>HYPERLINK("Melting_Curves/meltCurve_Q96BW5_2_PTER.pdf", "Melting_Curves/meltCurve_Q96BW5_2_PTER.pdf")</f>
        <v>Melting_Curves/meltCurve_Q96BW5_2_PTER.pdf</v>
      </c>
    </row>
    <row r="4967" spans="1:28" x14ac:dyDescent="0.25">
      <c r="A4967" t="s">
        <v>4971</v>
      </c>
      <c r="B4967">
        <v>0.99193492352474899</v>
      </c>
      <c r="C4967">
        <v>0.756044146386741</v>
      </c>
      <c r="D4967">
        <v>0.76817154135004795</v>
      </c>
      <c r="E4967">
        <v>0.40438269395215798</v>
      </c>
      <c r="F4967">
        <v>0.13366197481651701</v>
      </c>
      <c r="G4967">
        <v>0.10835552512150901</v>
      </c>
      <c r="H4967">
        <v>5.2926829825683398E-2</v>
      </c>
      <c r="I4967">
        <v>4.5372228322504898E-2</v>
      </c>
      <c r="J4967">
        <v>4.97607043615024E-2</v>
      </c>
      <c r="K4967">
        <v>4.8222882809463102E-2</v>
      </c>
      <c r="L4967">
        <v>788.03489365758298</v>
      </c>
      <c r="M4967">
        <v>16.3915468166478</v>
      </c>
      <c r="N4967">
        <v>48.243521605676797</v>
      </c>
      <c r="O4967">
        <v>47.377232947515303</v>
      </c>
      <c r="P4967">
        <v>-8.4103714461504095E-2</v>
      </c>
      <c r="Q4967">
        <v>2.7714243658035199E-2</v>
      </c>
      <c r="R4967">
        <v>0.97746922522531499</v>
      </c>
      <c r="S4967" t="s">
        <v>11637</v>
      </c>
      <c r="T4967" t="s">
        <v>13338</v>
      </c>
      <c r="U4967" t="s">
        <v>13338</v>
      </c>
      <c r="V4967" t="s">
        <v>13338</v>
      </c>
      <c r="W4967" t="s">
        <v>18249</v>
      </c>
      <c r="X4967">
        <v>4</v>
      </c>
      <c r="Y4967" t="s">
        <v>24747</v>
      </c>
      <c r="Z4967" t="s">
        <v>31382</v>
      </c>
      <c r="AA4967">
        <v>0.31031412813531062</v>
      </c>
      <c r="AB4967" t="str">
        <f>HYPERLINK("Melting_Curves/meltCurve_Q96BX8_MOB3A.pdf", "Melting_Curves/meltCurve_Q96BX8_MOB3A.pdf")</f>
        <v>Melting_Curves/meltCurve_Q96BX8_MOB3A.pdf</v>
      </c>
    </row>
    <row r="4968" spans="1:28" x14ac:dyDescent="0.25">
      <c r="A4968" t="s">
        <v>4972</v>
      </c>
      <c r="B4968">
        <v>0.99193492352474899</v>
      </c>
      <c r="C4968">
        <v>0.804819130913207</v>
      </c>
      <c r="D4968">
        <v>0.82705091665661801</v>
      </c>
      <c r="E4968">
        <v>0.702362507133651</v>
      </c>
      <c r="F4968">
        <v>0.58177388038510802</v>
      </c>
      <c r="G4968">
        <v>0.38034157068313801</v>
      </c>
      <c r="H4968">
        <v>0.37937537440316499</v>
      </c>
      <c r="I4968">
        <v>0.54669244108183801</v>
      </c>
      <c r="J4968">
        <v>0.60124721284618698</v>
      </c>
      <c r="K4968">
        <v>0.85049377221813605</v>
      </c>
      <c r="L4968">
        <v>800.417263876741</v>
      </c>
      <c r="M4968">
        <v>17.477036281357702</v>
      </c>
      <c r="O4968">
        <v>45.211242185105803</v>
      </c>
      <c r="P4968">
        <v>-4.2856494329022603E-2</v>
      </c>
      <c r="Q4968">
        <v>0.55656372474411397</v>
      </c>
      <c r="R4968">
        <v>0.54037999844304496</v>
      </c>
      <c r="S4968" t="s">
        <v>11638</v>
      </c>
      <c r="T4968" t="s">
        <v>13338</v>
      </c>
      <c r="U4968" t="s">
        <v>13338</v>
      </c>
      <c r="V4968" t="s">
        <v>13338</v>
      </c>
      <c r="W4968" t="s">
        <v>18250</v>
      </c>
      <c r="X4968">
        <v>12</v>
      </c>
      <c r="Y4968" t="s">
        <v>24748</v>
      </c>
      <c r="Z4968" t="s">
        <v>31383</v>
      </c>
      <c r="AA4968">
        <v>0.65172021299668514</v>
      </c>
      <c r="AB4968" t="str">
        <f>HYPERLINK("Melting_Curves/meltCurve_Q96BZ8_LENG1.pdf", "Melting_Curves/meltCurve_Q96BZ8_LENG1.pdf")</f>
        <v>Melting_Curves/meltCurve_Q96BZ8_LENG1.pdf</v>
      </c>
    </row>
    <row r="4969" spans="1:28" x14ac:dyDescent="0.25">
      <c r="A4969" t="s">
        <v>4973</v>
      </c>
      <c r="B4969">
        <v>0.99193492352474899</v>
      </c>
      <c r="C4969">
        <v>1.1378787076657599</v>
      </c>
      <c r="D4969">
        <v>0.95280900097384702</v>
      </c>
      <c r="E4969">
        <v>0.61518378470655799</v>
      </c>
      <c r="F4969">
        <v>0.17847652224767299</v>
      </c>
      <c r="G4969">
        <v>0.119701962130735</v>
      </c>
      <c r="H4969">
        <v>4.9680947980817798E-2</v>
      </c>
      <c r="I4969">
        <v>7.0989258447151399E-2</v>
      </c>
      <c r="J4969">
        <v>8.0460298128853996E-2</v>
      </c>
      <c r="K4969">
        <v>0.22761453016377101</v>
      </c>
      <c r="L4969">
        <v>1980.14389976598</v>
      </c>
      <c r="M4969">
        <v>39.654863581775999</v>
      </c>
      <c r="N4969">
        <v>50.242412751511601</v>
      </c>
      <c r="O4969">
        <v>49.807972150190103</v>
      </c>
      <c r="P4969">
        <v>-0.17756503725547099</v>
      </c>
      <c r="Q4969">
        <v>0.1078889962324</v>
      </c>
      <c r="R4969">
        <v>0.97688738928781305</v>
      </c>
      <c r="S4969" t="s">
        <v>11639</v>
      </c>
      <c r="T4969" t="s">
        <v>13338</v>
      </c>
      <c r="U4969" t="s">
        <v>13338</v>
      </c>
      <c r="V4969" t="s">
        <v>13338</v>
      </c>
      <c r="W4969" t="s">
        <v>18251</v>
      </c>
      <c r="X4969">
        <v>2</v>
      </c>
      <c r="Y4969" t="s">
        <v>24749</v>
      </c>
      <c r="Z4969" t="s">
        <v>31384</v>
      </c>
      <c r="AA4969">
        <v>0.40644488931539091</v>
      </c>
      <c r="AB4969" t="str">
        <f>HYPERLINK("Melting_Curves/meltCurve_Q96BZ9_TBC1D20.pdf", "Melting_Curves/meltCurve_Q96BZ9_TBC1D20.pdf")</f>
        <v>Melting_Curves/meltCurve_Q96BZ9_TBC1D20.pdf</v>
      </c>
    </row>
    <row r="4970" spans="1:28" x14ac:dyDescent="0.25">
      <c r="A4970" t="s">
        <v>4974</v>
      </c>
      <c r="B4970">
        <v>0.99193492352474899</v>
      </c>
      <c r="C4970">
        <v>1.0622632795266</v>
      </c>
      <c r="D4970">
        <v>0.80005956733802197</v>
      </c>
      <c r="E4970">
        <v>0.93326678542019403</v>
      </c>
      <c r="F4970">
        <v>0.51279726962205996</v>
      </c>
      <c r="G4970">
        <v>0.392636919971184</v>
      </c>
      <c r="H4970">
        <v>0.25820460016264901</v>
      </c>
      <c r="I4970">
        <v>0.312454503732089</v>
      </c>
      <c r="J4970">
        <v>0.30528434447166097</v>
      </c>
      <c r="K4970">
        <v>0.47475692687577797</v>
      </c>
      <c r="L4970">
        <v>2046.38454191197</v>
      </c>
      <c r="M4970">
        <v>39.428510558885201</v>
      </c>
      <c r="N4970">
        <v>53.468166581595803</v>
      </c>
      <c r="O4970">
        <v>51.768146200442203</v>
      </c>
      <c r="P4970">
        <v>-0.12518344234284301</v>
      </c>
      <c r="Q4970">
        <v>0.34255665389050799</v>
      </c>
      <c r="R4970">
        <v>0.91835065696854801</v>
      </c>
      <c r="S4970" t="s">
        <v>11640</v>
      </c>
      <c r="T4970" t="s">
        <v>13338</v>
      </c>
      <c r="U4970" t="s">
        <v>13338</v>
      </c>
      <c r="V4970" t="s">
        <v>13338</v>
      </c>
      <c r="W4970" t="s">
        <v>18252</v>
      </c>
      <c r="X4970">
        <v>13</v>
      </c>
      <c r="Y4970" t="s">
        <v>24750</v>
      </c>
      <c r="Z4970" t="s">
        <v>31385</v>
      </c>
      <c r="AA4970">
        <v>0.60579427562999666</v>
      </c>
      <c r="AB4970" t="str">
        <f>HYPERLINK("Melting_Curves/meltCurve_Q96C01_FAM136A.pdf", "Melting_Curves/meltCurve_Q96C01_FAM136A.pdf")</f>
        <v>Melting_Curves/meltCurve_Q96C01_FAM136A.pdf</v>
      </c>
    </row>
    <row r="4971" spans="1:28" x14ac:dyDescent="0.25">
      <c r="A4971" t="s">
        <v>4975</v>
      </c>
      <c r="B4971">
        <v>0.99193492352474899</v>
      </c>
      <c r="C4971">
        <v>0.73055316278023497</v>
      </c>
      <c r="D4971">
        <v>0.69044029594539702</v>
      </c>
      <c r="E4971">
        <v>0.41169344321148199</v>
      </c>
      <c r="F4971">
        <v>0.213165712843393</v>
      </c>
      <c r="G4971">
        <v>0.104971290907989</v>
      </c>
      <c r="H4971">
        <v>7.4261366045993094E-2</v>
      </c>
      <c r="I4971">
        <v>8.5936844426351897E-2</v>
      </c>
      <c r="J4971">
        <v>0.112748138779621</v>
      </c>
      <c r="K4971">
        <v>0.14948279834897599</v>
      </c>
      <c r="L4971">
        <v>700.62733491675999</v>
      </c>
      <c r="M4971">
        <v>14.812854114884599</v>
      </c>
      <c r="N4971">
        <v>47.860363453518602</v>
      </c>
      <c r="O4971">
        <v>46.461684543291803</v>
      </c>
      <c r="P4971">
        <v>-7.3352453069822202E-2</v>
      </c>
      <c r="Q4971">
        <v>7.9794870306168802E-2</v>
      </c>
      <c r="R4971">
        <v>0.97457828990404605</v>
      </c>
      <c r="S4971" t="s">
        <v>11641</v>
      </c>
      <c r="T4971" t="s">
        <v>13338</v>
      </c>
      <c r="U4971" t="s">
        <v>13338</v>
      </c>
      <c r="V4971" t="s">
        <v>13338</v>
      </c>
      <c r="W4971" t="s">
        <v>18253</v>
      </c>
      <c r="X4971">
        <v>19</v>
      </c>
      <c r="Y4971" t="s">
        <v>24751</v>
      </c>
      <c r="Z4971" t="s">
        <v>31386</v>
      </c>
      <c r="AA4971">
        <v>0.32886245296946848</v>
      </c>
      <c r="AB4971" t="str">
        <f>HYPERLINK("Melting_Curves/meltCurve_Q96C19_EFHD2.pdf", "Melting_Curves/meltCurve_Q96C19_EFHD2.pdf")</f>
        <v>Melting_Curves/meltCurve_Q96C19_EFHD2.pdf</v>
      </c>
    </row>
    <row r="4972" spans="1:28" x14ac:dyDescent="0.25">
      <c r="A4972" t="s">
        <v>4976</v>
      </c>
      <c r="B4972">
        <v>0.99193492352474899</v>
      </c>
      <c r="C4972">
        <v>0.96699417519832997</v>
      </c>
      <c r="D4972">
        <v>1.07035860665405</v>
      </c>
      <c r="E4972">
        <v>0.87165759782847596</v>
      </c>
      <c r="F4972">
        <v>0.93599669601794999</v>
      </c>
      <c r="G4972">
        <v>0.56172313510218397</v>
      </c>
      <c r="H4972">
        <v>0.38265560181901798</v>
      </c>
      <c r="I4972">
        <v>0.43512382151685902</v>
      </c>
      <c r="J4972">
        <v>0.42117449336795199</v>
      </c>
      <c r="K4972">
        <v>0.228614816620346</v>
      </c>
      <c r="L4972">
        <v>2055.7103592723101</v>
      </c>
      <c r="M4972">
        <v>36.858249062223699</v>
      </c>
      <c r="N4972">
        <v>57.725511681412101</v>
      </c>
      <c r="O4972">
        <v>55.609998591034199</v>
      </c>
      <c r="P4972">
        <v>-0.106671844918236</v>
      </c>
      <c r="Q4972">
        <v>0.35623593779151203</v>
      </c>
      <c r="R4972">
        <v>0.94487648113654799</v>
      </c>
      <c r="S4972" t="s">
        <v>11642</v>
      </c>
      <c r="T4972" t="s">
        <v>13338</v>
      </c>
      <c r="U4972" t="s">
        <v>13338</v>
      </c>
      <c r="V4972" t="s">
        <v>13338</v>
      </c>
      <c r="W4972" t="s">
        <v>18254</v>
      </c>
      <c r="X4972">
        <v>15</v>
      </c>
      <c r="Y4972" t="s">
        <v>24752</v>
      </c>
      <c r="Z4972" t="s">
        <v>31387</v>
      </c>
      <c r="AA4972">
        <v>0.6976122614768886</v>
      </c>
      <c r="AB4972" t="str">
        <f>HYPERLINK("Melting_Curves/meltCurve_Q96C36_PYCR2.pdf", "Melting_Curves/meltCurve_Q96C36_PYCR2.pdf")</f>
        <v>Melting_Curves/meltCurve_Q96C36_PYCR2.pdf</v>
      </c>
    </row>
    <row r="4973" spans="1:28" x14ac:dyDescent="0.25">
      <c r="A4973" t="s">
        <v>4977</v>
      </c>
      <c r="B4973">
        <v>0.99193492352474899</v>
      </c>
      <c r="C4973">
        <v>1.0914699684560001</v>
      </c>
      <c r="D4973">
        <v>0.808181566243796</v>
      </c>
      <c r="E4973">
        <v>0.87300377967686105</v>
      </c>
      <c r="F4973">
        <v>0.40432734145648003</v>
      </c>
      <c r="G4973">
        <v>0.34150537568750899</v>
      </c>
      <c r="H4973">
        <v>0.215840149420891</v>
      </c>
      <c r="I4973">
        <v>0.22263710435858799</v>
      </c>
      <c r="J4973">
        <v>0.22047646660336101</v>
      </c>
      <c r="K4973">
        <v>0.24608120291582999</v>
      </c>
      <c r="L4973">
        <v>1387.94499185516</v>
      </c>
      <c r="M4973">
        <v>26.928923591455099</v>
      </c>
      <c r="N4973">
        <v>52.7314846178068</v>
      </c>
      <c r="O4973">
        <v>51.259328072482496</v>
      </c>
      <c r="P4973">
        <v>-0.10142409287791999</v>
      </c>
      <c r="Q4973">
        <v>0.22776271197756401</v>
      </c>
      <c r="R4973">
        <v>0.957932709506499</v>
      </c>
      <c r="S4973" t="s">
        <v>11643</v>
      </c>
      <c r="T4973" t="s">
        <v>13338</v>
      </c>
      <c r="U4973" t="s">
        <v>13338</v>
      </c>
      <c r="V4973" t="s">
        <v>13338</v>
      </c>
      <c r="W4973" t="s">
        <v>18255</v>
      </c>
      <c r="X4973">
        <v>1</v>
      </c>
      <c r="Y4973" t="s">
        <v>24753</v>
      </c>
      <c r="Z4973" t="s">
        <v>31388</v>
      </c>
      <c r="AA4973">
        <v>0.53091071673854406</v>
      </c>
      <c r="AB4973" t="str">
        <f>HYPERLINK("Melting_Curves/meltCurve_Q96C55_ZNF524.pdf", "Melting_Curves/meltCurve_Q96C55_ZNF524.pdf")</f>
        <v>Melting_Curves/meltCurve_Q96C55_ZNF524.pdf</v>
      </c>
    </row>
    <row r="4974" spans="1:28" x14ac:dyDescent="0.25">
      <c r="A4974" t="s">
        <v>4978</v>
      </c>
      <c r="B4974">
        <v>0.99193492352474899</v>
      </c>
      <c r="C4974">
        <v>0.84526379748837099</v>
      </c>
      <c r="D4974">
        <v>0.78962926763363095</v>
      </c>
      <c r="E4974">
        <v>0.82110015432993799</v>
      </c>
      <c r="F4974">
        <v>0.63419141950415103</v>
      </c>
      <c r="G4974">
        <v>0.49150232235152602</v>
      </c>
      <c r="H4974">
        <v>0.43445196112206103</v>
      </c>
      <c r="I4974">
        <v>0.53460076969999704</v>
      </c>
      <c r="J4974">
        <v>0.49172303493238201</v>
      </c>
      <c r="K4974">
        <v>0.62722038667932001</v>
      </c>
      <c r="L4974">
        <v>584.73112983358999</v>
      </c>
      <c r="M4974">
        <v>12.0925606050697</v>
      </c>
      <c r="O4974">
        <v>47.089222683750201</v>
      </c>
      <c r="P4974">
        <v>-3.2325387342632197E-2</v>
      </c>
      <c r="Q4974">
        <v>0.496609126888582</v>
      </c>
      <c r="R4974">
        <v>0.84087717306160104</v>
      </c>
      <c r="S4974" t="s">
        <v>11644</v>
      </c>
      <c r="T4974" t="s">
        <v>13338</v>
      </c>
      <c r="U4974" t="s">
        <v>13338</v>
      </c>
      <c r="V4974" t="s">
        <v>13338</v>
      </c>
      <c r="W4974" t="s">
        <v>18256</v>
      </c>
      <c r="X4974">
        <v>11</v>
      </c>
      <c r="Y4974" t="s">
        <v>24754</v>
      </c>
      <c r="Z4974" t="s">
        <v>31389</v>
      </c>
      <c r="AA4974">
        <v>0.65579172770610539</v>
      </c>
      <c r="AB4974" t="str">
        <f>HYPERLINK("Melting_Curves/meltCurve_Q96C57_C12orf43.pdf", "Melting_Curves/meltCurve_Q96C57_C12orf43.pdf")</f>
        <v>Melting_Curves/meltCurve_Q96C57_C12orf43.pdf</v>
      </c>
    </row>
    <row r="4975" spans="1:28" x14ac:dyDescent="0.25">
      <c r="A4975" t="s">
        <v>4979</v>
      </c>
      <c r="B4975">
        <v>0.99193492352474899</v>
      </c>
      <c r="C4975">
        <v>0.85192601602233098</v>
      </c>
      <c r="D4975">
        <v>0.96208607516783495</v>
      </c>
      <c r="E4975">
        <v>0.80652621235017197</v>
      </c>
      <c r="F4975">
        <v>0.80375470592474596</v>
      </c>
      <c r="G4975">
        <v>0.59256493178757996</v>
      </c>
      <c r="H4975">
        <v>0.32541115609805699</v>
      </c>
      <c r="I4975">
        <v>0.119543548474289</v>
      </c>
      <c r="J4975">
        <v>0.123653141791081</v>
      </c>
      <c r="K4975">
        <v>9.9957677771331396E-2</v>
      </c>
      <c r="L4975">
        <v>796.00622614116298</v>
      </c>
      <c r="M4975">
        <v>13.8310066881486</v>
      </c>
      <c r="N4975">
        <v>57.552298579019897</v>
      </c>
      <c r="O4975">
        <v>56.389208765855699</v>
      </c>
      <c r="P4975">
        <v>-6.1327894793475203E-2</v>
      </c>
      <c r="Q4975">
        <v>0</v>
      </c>
      <c r="R4975">
        <v>0.96698764972902396</v>
      </c>
      <c r="S4975" t="s">
        <v>11645</v>
      </c>
      <c r="T4975" t="s">
        <v>13338</v>
      </c>
      <c r="U4975" t="s">
        <v>13338</v>
      </c>
      <c r="V4975" t="s">
        <v>13338</v>
      </c>
      <c r="W4975" t="s">
        <v>18257</v>
      </c>
      <c r="X4975">
        <v>14</v>
      </c>
      <c r="Y4975" t="s">
        <v>24755</v>
      </c>
      <c r="Z4975" t="s">
        <v>31390</v>
      </c>
      <c r="AA4975">
        <v>0.59994252930746328</v>
      </c>
      <c r="AB4975" t="str">
        <f>HYPERLINK("Melting_Curves/meltCurve_Q96C86_DCPS.pdf", "Melting_Curves/meltCurve_Q96C86_DCPS.pdf")</f>
        <v>Melting_Curves/meltCurve_Q96C86_DCPS.pdf</v>
      </c>
    </row>
    <row r="4976" spans="1:28" x14ac:dyDescent="0.25">
      <c r="A4976" t="s">
        <v>4980</v>
      </c>
      <c r="B4976">
        <v>0.99193492352474899</v>
      </c>
      <c r="C4976">
        <v>0.81831267149152698</v>
      </c>
      <c r="D4976">
        <v>0.86028376412405705</v>
      </c>
      <c r="E4976">
        <v>0.81142284339426796</v>
      </c>
      <c r="F4976">
        <v>0.71555356986170005</v>
      </c>
      <c r="G4976">
        <v>0.501183290477207</v>
      </c>
      <c r="H4976">
        <v>0.440977289689786</v>
      </c>
      <c r="I4976">
        <v>0.51490598153571598</v>
      </c>
      <c r="J4976">
        <v>0.4742623959708</v>
      </c>
      <c r="K4976">
        <v>0.66419841007985403</v>
      </c>
      <c r="L4976">
        <v>581.29505399444395</v>
      </c>
      <c r="M4976">
        <v>11.7441732074942</v>
      </c>
      <c r="O4976">
        <v>48.1267491234888</v>
      </c>
      <c r="P4976">
        <v>-3.0834045168773101E-2</v>
      </c>
      <c r="Q4976">
        <v>0.49470992797307001</v>
      </c>
      <c r="R4976">
        <v>0.79960457192671397</v>
      </c>
      <c r="S4976" t="s">
        <v>11646</v>
      </c>
      <c r="T4976" t="s">
        <v>13338</v>
      </c>
      <c r="U4976" t="s">
        <v>13338</v>
      </c>
      <c r="V4976" t="s">
        <v>13338</v>
      </c>
      <c r="W4976" t="s">
        <v>18258</v>
      </c>
      <c r="X4976">
        <v>2</v>
      </c>
      <c r="Y4976" t="s">
        <v>24756</v>
      </c>
      <c r="Z4976" t="s">
        <v>31391</v>
      </c>
      <c r="AA4976">
        <v>0.67331363978471004</v>
      </c>
      <c r="AB4976" t="str">
        <f>HYPERLINK("Melting_Curves/meltCurve_Q96C90_PPP1R14B.pdf", "Melting_Curves/meltCurve_Q96C90_PPP1R14B.pdf")</f>
        <v>Melting_Curves/meltCurve_Q96C90_PPP1R14B.pdf</v>
      </c>
    </row>
    <row r="4977" spans="1:28" x14ac:dyDescent="0.25">
      <c r="A4977" t="s">
        <v>4981</v>
      </c>
      <c r="B4977">
        <v>0.99193492352474899</v>
      </c>
      <c r="C4977">
        <v>0.71313898618643401</v>
      </c>
      <c r="D4977">
        <v>0.67336724415527704</v>
      </c>
      <c r="E4977">
        <v>0.36738932336784802</v>
      </c>
      <c r="F4977">
        <v>0.24060918022573599</v>
      </c>
      <c r="G4977">
        <v>0.107955464821577</v>
      </c>
      <c r="H4977">
        <v>9.1607563113245194E-2</v>
      </c>
      <c r="I4977">
        <v>0.11570271476067</v>
      </c>
      <c r="J4977">
        <v>0.123283938317859</v>
      </c>
      <c r="K4977">
        <v>0.139900810130279</v>
      </c>
      <c r="L4977">
        <v>688.26023423176298</v>
      </c>
      <c r="M4977">
        <v>14.687616405213101</v>
      </c>
      <c r="N4977">
        <v>47.5358050825715</v>
      </c>
      <c r="O4977">
        <v>46.016954398973603</v>
      </c>
      <c r="P4977">
        <v>-7.2282905287427202E-2</v>
      </c>
      <c r="Q4977">
        <v>9.4237200297561802E-2</v>
      </c>
      <c r="R4977">
        <v>0.97477544527402105</v>
      </c>
      <c r="S4977" t="s">
        <v>11647</v>
      </c>
      <c r="T4977" t="s">
        <v>13338</v>
      </c>
      <c r="U4977" t="s">
        <v>13338</v>
      </c>
      <c r="V4977" t="s">
        <v>13338</v>
      </c>
      <c r="W4977" t="s">
        <v>18259</v>
      </c>
      <c r="X4977">
        <v>3</v>
      </c>
      <c r="Y4977" t="s">
        <v>24757</v>
      </c>
      <c r="Z4977" t="s">
        <v>31392</v>
      </c>
      <c r="AA4977">
        <v>0.32728024418242752</v>
      </c>
      <c r="AB4977" t="str">
        <f>HYPERLINK("Melting_Curves/meltCurve_Q96CB8_INTS12.pdf", "Melting_Curves/meltCurve_Q96CB8_INTS12.pdf")</f>
        <v>Melting_Curves/meltCurve_Q96CB8_INTS12.pdf</v>
      </c>
    </row>
    <row r="4978" spans="1:28" x14ac:dyDescent="0.25">
      <c r="A4978" t="s">
        <v>4982</v>
      </c>
      <c r="B4978">
        <v>0.99193492352474899</v>
      </c>
      <c r="C4978">
        <v>0.78915589892530702</v>
      </c>
      <c r="D4978">
        <v>0.76111001555110602</v>
      </c>
      <c r="E4978">
        <v>0.51355611956569103</v>
      </c>
      <c r="F4978">
        <v>0.31161185460840202</v>
      </c>
      <c r="G4978">
        <v>0.14106124303961601</v>
      </c>
      <c r="H4978">
        <v>9.97988267762078E-2</v>
      </c>
      <c r="I4978">
        <v>0.111260137326922</v>
      </c>
      <c r="J4978">
        <v>0.14886525528691399</v>
      </c>
      <c r="K4978">
        <v>0.17506340473276399</v>
      </c>
      <c r="L4978">
        <v>708.63415871503503</v>
      </c>
      <c r="M4978">
        <v>14.589899721921499</v>
      </c>
      <c r="N4978">
        <v>49.353138311887101</v>
      </c>
      <c r="O4978">
        <v>47.685069823900001</v>
      </c>
      <c r="P4978">
        <v>-6.8596194621405093E-2</v>
      </c>
      <c r="Q4978">
        <v>0.103311993428465</v>
      </c>
      <c r="R4978">
        <v>0.97671805625727903</v>
      </c>
      <c r="S4978" t="s">
        <v>11648</v>
      </c>
      <c r="T4978" t="s">
        <v>13338</v>
      </c>
      <c r="U4978" t="s">
        <v>13338</v>
      </c>
      <c r="V4978" t="s">
        <v>13338</v>
      </c>
      <c r="W4978" t="s">
        <v>18260</v>
      </c>
      <c r="X4978">
        <v>3</v>
      </c>
      <c r="Y4978" t="s">
        <v>24758</v>
      </c>
      <c r="Z4978" t="s">
        <v>31393</v>
      </c>
      <c r="AA4978">
        <v>0.38320254521689229</v>
      </c>
      <c r="AB4978" t="str">
        <f>HYPERLINK("Melting_Curves/meltCurve_Q96CB9_NSUN4.pdf", "Melting_Curves/meltCurve_Q96CB9_NSUN4.pdf")</f>
        <v>Melting_Curves/meltCurve_Q96CB9_NSUN4.pdf</v>
      </c>
    </row>
    <row r="4979" spans="1:28" x14ac:dyDescent="0.25">
      <c r="A4979" t="s">
        <v>4983</v>
      </c>
      <c r="B4979">
        <v>0.99193492352474899</v>
      </c>
      <c r="C4979">
        <v>1.06350853481887</v>
      </c>
      <c r="D4979">
        <v>1.0121512865826501</v>
      </c>
      <c r="E4979">
        <v>0.94005634894235102</v>
      </c>
      <c r="F4979">
        <v>0.32759606876646602</v>
      </c>
      <c r="G4979">
        <v>8.4229041482835804E-2</v>
      </c>
      <c r="H4979">
        <v>5.35707534424473E-2</v>
      </c>
      <c r="I4979">
        <v>4.8550715745977698E-2</v>
      </c>
      <c r="J4979">
        <v>0</v>
      </c>
      <c r="K4979">
        <v>5.9307201869700302E-2</v>
      </c>
      <c r="L4979">
        <v>2538.73082938364</v>
      </c>
      <c r="M4979">
        <v>48.5674772496073</v>
      </c>
      <c r="N4979">
        <v>52.372694141451603</v>
      </c>
      <c r="O4979">
        <v>52.183847674090899</v>
      </c>
      <c r="P4979">
        <v>-0.22232657751302401</v>
      </c>
      <c r="Q4979">
        <v>4.4476193939009402E-2</v>
      </c>
      <c r="R4979">
        <v>0.99657637216879102</v>
      </c>
      <c r="S4979" t="s">
        <v>11649</v>
      </c>
      <c r="T4979" t="s">
        <v>13338</v>
      </c>
      <c r="U4979" t="s">
        <v>13338</v>
      </c>
      <c r="V4979" t="s">
        <v>13338</v>
      </c>
      <c r="W4979" t="s">
        <v>18261</v>
      </c>
      <c r="X4979">
        <v>2</v>
      </c>
      <c r="Y4979" t="s">
        <v>24759</v>
      </c>
      <c r="Z4979" t="s">
        <v>31394</v>
      </c>
      <c r="AA4979">
        <v>0.4376923632559287</v>
      </c>
      <c r="AB4979" t="str">
        <f>HYPERLINK("Melting_Curves/meltCurve_Q96CD0_FBXL8.pdf", "Melting_Curves/meltCurve_Q96CD0_FBXL8.pdf")</f>
        <v>Melting_Curves/meltCurve_Q96CD0_FBXL8.pdf</v>
      </c>
    </row>
    <row r="4980" spans="1:28" x14ac:dyDescent="0.25">
      <c r="A4980" t="s">
        <v>4984</v>
      </c>
      <c r="B4980">
        <v>0.99193492352474899</v>
      </c>
      <c r="C4980">
        <v>0.86174996993921005</v>
      </c>
      <c r="D4980">
        <v>0.92165033688129705</v>
      </c>
      <c r="E4980">
        <v>0.74633442506044201</v>
      </c>
      <c r="F4980">
        <v>0.704256010978215</v>
      </c>
      <c r="G4980">
        <v>0.439057550258938</v>
      </c>
      <c r="H4980">
        <v>0.41889599307217101</v>
      </c>
      <c r="I4980">
        <v>0.45951426420789299</v>
      </c>
      <c r="J4980">
        <v>0.62509233964796995</v>
      </c>
      <c r="K4980">
        <v>0.75674229332193199</v>
      </c>
      <c r="L4980">
        <v>960.82464697860303</v>
      </c>
      <c r="M4980">
        <v>19.657168371762801</v>
      </c>
      <c r="O4980">
        <v>48.381671985795002</v>
      </c>
      <c r="P4980">
        <v>-4.6020730092976997E-2</v>
      </c>
      <c r="Q4980">
        <v>0.54693737186284996</v>
      </c>
      <c r="R4980">
        <v>0.69579530577549897</v>
      </c>
      <c r="S4980" t="s">
        <v>11650</v>
      </c>
      <c r="T4980" t="s">
        <v>13338</v>
      </c>
      <c r="U4980" t="s">
        <v>13338</v>
      </c>
      <c r="V4980" t="s">
        <v>13338</v>
      </c>
      <c r="W4980" t="s">
        <v>18262</v>
      </c>
      <c r="X4980">
        <v>13</v>
      </c>
      <c r="Y4980" t="s">
        <v>24760</v>
      </c>
      <c r="Z4980" t="s">
        <v>31395</v>
      </c>
      <c r="AA4980">
        <v>0.68761241059673706</v>
      </c>
      <c r="AB4980" t="str">
        <f>HYPERLINK("Melting_Curves/meltCurve_Q96CD2_PPCDC.pdf", "Melting_Curves/meltCurve_Q96CD2_PPCDC.pdf")</f>
        <v>Melting_Curves/meltCurve_Q96CD2_PPCDC.pdf</v>
      </c>
    </row>
    <row r="4981" spans="1:28" x14ac:dyDescent="0.25">
      <c r="A4981" t="s">
        <v>4985</v>
      </c>
      <c r="B4981">
        <v>0.99193492352474899</v>
      </c>
      <c r="C4981">
        <v>0.88548448656204304</v>
      </c>
      <c r="D4981">
        <v>0.99074326761403597</v>
      </c>
      <c r="E4981">
        <v>0.72799143612139094</v>
      </c>
      <c r="F4981">
        <v>0.60146774886708099</v>
      </c>
      <c r="G4981">
        <v>0.343608586730763</v>
      </c>
      <c r="H4981">
        <v>0.12641750602336899</v>
      </c>
      <c r="I4981">
        <v>9.2110066288254605E-2</v>
      </c>
      <c r="J4981">
        <v>0.103380091965854</v>
      </c>
      <c r="K4981">
        <v>0.106812194073875</v>
      </c>
      <c r="L4981">
        <v>824.95678197730194</v>
      </c>
      <c r="M4981">
        <v>15.382729382394899</v>
      </c>
      <c r="N4981">
        <v>53.968702092965302</v>
      </c>
      <c r="O4981">
        <v>52.746960560130503</v>
      </c>
      <c r="P4981">
        <v>-6.9548235542622294E-2</v>
      </c>
      <c r="Q4981">
        <v>4.6171348355951998E-2</v>
      </c>
      <c r="R4981">
        <v>0.98226134865767201</v>
      </c>
      <c r="S4981" t="s">
        <v>11651</v>
      </c>
      <c r="T4981" t="s">
        <v>13338</v>
      </c>
      <c r="U4981" t="s">
        <v>13338</v>
      </c>
      <c r="V4981" t="s">
        <v>13338</v>
      </c>
      <c r="W4981" t="s">
        <v>18263</v>
      </c>
      <c r="X4981">
        <v>3</v>
      </c>
      <c r="Y4981" t="s">
        <v>24761</v>
      </c>
      <c r="Z4981" t="s">
        <v>31396</v>
      </c>
      <c r="AA4981">
        <v>0.49878532717551771</v>
      </c>
      <c r="AB4981" t="str">
        <f>HYPERLINK("Melting_Curves/meltCurve_Q96CG3_TIFA.pdf", "Melting_Curves/meltCurve_Q96CG3_TIFA.pdf")</f>
        <v>Melting_Curves/meltCurve_Q96CG3_TIFA.pdf</v>
      </c>
    </row>
    <row r="4982" spans="1:28" x14ac:dyDescent="0.25">
      <c r="A4982" t="s">
        <v>4986</v>
      </c>
      <c r="B4982">
        <v>0.99193492352474899</v>
      </c>
      <c r="C4982">
        <v>0.99506381144835099</v>
      </c>
      <c r="D4982">
        <v>0.93937716198890397</v>
      </c>
      <c r="E4982">
        <v>0.71785446937208996</v>
      </c>
      <c r="F4982">
        <v>0.42125414049566501</v>
      </c>
      <c r="G4982">
        <v>0.22125108192833501</v>
      </c>
      <c r="H4982">
        <v>0.12636990720212299</v>
      </c>
      <c r="I4982">
        <v>0.134354356114013</v>
      </c>
      <c r="J4982">
        <v>0.156476340282653</v>
      </c>
      <c r="K4982">
        <v>0.10421806026994899</v>
      </c>
      <c r="L4982">
        <v>1097.4398903758499</v>
      </c>
      <c r="M4982">
        <v>21.3247815996497</v>
      </c>
      <c r="N4982">
        <v>52.118919739503802</v>
      </c>
      <c r="O4982">
        <v>51.016977808344997</v>
      </c>
      <c r="P4982">
        <v>-9.2204506459605401E-2</v>
      </c>
      <c r="Q4982">
        <v>0.117669515621694</v>
      </c>
      <c r="R4982">
        <v>0.99837938071007004</v>
      </c>
      <c r="S4982" t="s">
        <v>11652</v>
      </c>
      <c r="T4982" t="s">
        <v>13338</v>
      </c>
      <c r="U4982" t="s">
        <v>13338</v>
      </c>
      <c r="V4982" t="s">
        <v>13338</v>
      </c>
      <c r="W4982" t="s">
        <v>18264</v>
      </c>
      <c r="X4982">
        <v>1</v>
      </c>
      <c r="Y4982" t="s">
        <v>24762</v>
      </c>
      <c r="Z4982" t="s">
        <v>31397</v>
      </c>
      <c r="AA4982">
        <v>0.46567234747511732</v>
      </c>
      <c r="AB4982" t="str">
        <f>HYPERLINK("Melting_Curves/meltCurve_Q96CG8_3_CTHRC1.pdf", "Melting_Curves/meltCurve_Q96CG8_3_CTHRC1.pdf")</f>
        <v>Melting_Curves/meltCurve_Q96CG8_3_CTHRC1.pdf</v>
      </c>
    </row>
    <row r="4983" spans="1:28" x14ac:dyDescent="0.25">
      <c r="A4983" t="s">
        <v>4987</v>
      </c>
      <c r="B4983">
        <v>0.99193492352474899</v>
      </c>
      <c r="C4983">
        <v>0.97492260448420998</v>
      </c>
      <c r="D4983">
        <v>0.94642525530198496</v>
      </c>
      <c r="E4983">
        <v>0.86057354037074996</v>
      </c>
      <c r="F4983">
        <v>0.73677181430316097</v>
      </c>
      <c r="G4983">
        <v>0.373705266141655</v>
      </c>
      <c r="H4983">
        <v>9.1849405097231898E-2</v>
      </c>
      <c r="I4983">
        <v>0.11301159980131301</v>
      </c>
      <c r="J4983">
        <v>0.10309610693742401</v>
      </c>
      <c r="K4983">
        <v>0.13723696079137601</v>
      </c>
      <c r="L4983">
        <v>1326.56300768286</v>
      </c>
      <c r="M4983">
        <v>24.209737893274099</v>
      </c>
      <c r="N4983">
        <v>55.229776599153801</v>
      </c>
      <c r="O4983">
        <v>54.424834377808999</v>
      </c>
      <c r="P4983">
        <v>-0.10155235391054999</v>
      </c>
      <c r="Q4983">
        <v>8.6832387735430006E-2</v>
      </c>
      <c r="R4983">
        <v>0.98871122376310405</v>
      </c>
      <c r="S4983" t="s">
        <v>11653</v>
      </c>
      <c r="T4983" t="s">
        <v>13338</v>
      </c>
      <c r="U4983" t="s">
        <v>13338</v>
      </c>
      <c r="V4983" t="s">
        <v>13338</v>
      </c>
      <c r="W4983" t="s">
        <v>18265</v>
      </c>
      <c r="X4983">
        <v>11</v>
      </c>
      <c r="Y4983" t="s">
        <v>24763</v>
      </c>
      <c r="Z4983" t="s">
        <v>31398</v>
      </c>
      <c r="AA4983">
        <v>0.54610681860762311</v>
      </c>
      <c r="AB4983" t="str">
        <f>HYPERLINK("Melting_Curves/meltCurve_Q96CN7_ISOC1.pdf", "Melting_Curves/meltCurve_Q96CN7_ISOC1.pdf")</f>
        <v>Melting_Curves/meltCurve_Q96CN7_ISOC1.pdf</v>
      </c>
    </row>
    <row r="4984" spans="1:28" x14ac:dyDescent="0.25">
      <c r="A4984" t="s">
        <v>4988</v>
      </c>
      <c r="B4984">
        <v>0.99193492352474899</v>
      </c>
      <c r="C4984">
        <v>0.72492725080323805</v>
      </c>
      <c r="D4984">
        <v>0.41024241215570301</v>
      </c>
      <c r="E4984">
        <v>0.25853130945043001</v>
      </c>
      <c r="F4984">
        <v>0.17818919692604401</v>
      </c>
      <c r="G4984">
        <v>0.121270767560368</v>
      </c>
      <c r="H4984">
        <v>8.3557675744042798E-2</v>
      </c>
      <c r="I4984">
        <v>0.104793250825609</v>
      </c>
      <c r="J4984">
        <v>0.11625963792355901</v>
      </c>
      <c r="K4984">
        <v>0.116070249339998</v>
      </c>
      <c r="L4984">
        <v>928.79491716170503</v>
      </c>
      <c r="M4984">
        <v>20.757624622757</v>
      </c>
      <c r="N4984">
        <v>45.315394451155399</v>
      </c>
      <c r="O4984">
        <v>44.335698372775802</v>
      </c>
      <c r="P4984">
        <v>-0.103589255127641</v>
      </c>
      <c r="Q4984">
        <v>0.11501004615424699</v>
      </c>
      <c r="R4984">
        <v>0.98989247474078201</v>
      </c>
      <c r="S4984" t="s">
        <v>11654</v>
      </c>
      <c r="T4984" t="s">
        <v>13338</v>
      </c>
      <c r="U4984" t="s">
        <v>13338</v>
      </c>
      <c r="V4984" t="s">
        <v>13338</v>
      </c>
      <c r="W4984" t="s">
        <v>18266</v>
      </c>
      <c r="X4984">
        <v>6</v>
      </c>
      <c r="Y4984" t="s">
        <v>24764</v>
      </c>
      <c r="Z4984" t="s">
        <v>31399</v>
      </c>
      <c r="AA4984">
        <v>0.26913559226337092</v>
      </c>
      <c r="AB4984" t="str">
        <f>HYPERLINK("Melting_Curves/meltCurve_Q96CN9_GCC1.pdf", "Melting_Curves/meltCurve_Q96CN9_GCC1.pdf")</f>
        <v>Melting_Curves/meltCurve_Q96CN9_GCC1.pdf</v>
      </c>
    </row>
    <row r="4985" spans="1:28" x14ac:dyDescent="0.25">
      <c r="A4985" t="s">
        <v>4989</v>
      </c>
      <c r="B4985">
        <v>0.99193492352474899</v>
      </c>
      <c r="C4985">
        <v>0.75808135812210198</v>
      </c>
      <c r="D4985">
        <v>0.95599692627871702</v>
      </c>
      <c r="E4985">
        <v>0.71891817694156201</v>
      </c>
      <c r="F4985">
        <v>0.61738950860757902</v>
      </c>
      <c r="G4985">
        <v>0.426341198812976</v>
      </c>
      <c r="H4985">
        <v>0.34495310660016798</v>
      </c>
      <c r="I4985">
        <v>0.446456443727691</v>
      </c>
      <c r="J4985">
        <v>0.56172160011057704</v>
      </c>
      <c r="K4985">
        <v>0.79875186143476895</v>
      </c>
      <c r="L4985">
        <v>964.673744202546</v>
      </c>
      <c r="M4985">
        <v>19.9018232423971</v>
      </c>
      <c r="O4985">
        <v>47.990197047496203</v>
      </c>
      <c r="P4985">
        <v>-5.0040768032252103E-2</v>
      </c>
      <c r="Q4985">
        <v>0.51735342435958598</v>
      </c>
      <c r="R4985">
        <v>0.58567857148142199</v>
      </c>
      <c r="S4985" t="s">
        <v>11655</v>
      </c>
      <c r="T4985" t="s">
        <v>13338</v>
      </c>
      <c r="U4985" t="s">
        <v>13338</v>
      </c>
      <c r="V4985" t="s">
        <v>13338</v>
      </c>
      <c r="W4985" t="s">
        <v>18267</v>
      </c>
      <c r="X4985">
        <v>7</v>
      </c>
      <c r="Y4985" t="s">
        <v>24765</v>
      </c>
      <c r="Z4985" t="s">
        <v>31400</v>
      </c>
      <c r="AA4985">
        <v>0.6605196262911992</v>
      </c>
      <c r="AB4985" t="str">
        <f>HYPERLINK("Melting_Curves/meltCurve_Q96CP2_FLYWCH2.pdf", "Melting_Curves/meltCurve_Q96CP2_FLYWCH2.pdf")</f>
        <v>Melting_Curves/meltCurve_Q96CP2_FLYWCH2.pdf</v>
      </c>
    </row>
    <row r="4986" spans="1:28" x14ac:dyDescent="0.25">
      <c r="A4986" t="s">
        <v>4990</v>
      </c>
      <c r="B4986">
        <v>0.99193492352474899</v>
      </c>
      <c r="C4986">
        <v>0.78364405606440302</v>
      </c>
      <c r="D4986">
        <v>0.60473666227769796</v>
      </c>
      <c r="E4986">
        <v>0.33382931205080502</v>
      </c>
      <c r="F4986">
        <v>0.261045337472809</v>
      </c>
      <c r="G4986">
        <v>0.17947546681989601</v>
      </c>
      <c r="H4986">
        <v>0.13307785086274601</v>
      </c>
      <c r="I4986">
        <v>0.18294658263045199</v>
      </c>
      <c r="J4986">
        <v>0.22002486073028599</v>
      </c>
      <c r="K4986">
        <v>0.24149299076788</v>
      </c>
      <c r="L4986">
        <v>870.59244606985806</v>
      </c>
      <c r="M4986">
        <v>18.996813425157601</v>
      </c>
      <c r="N4986">
        <v>46.995045781919302</v>
      </c>
      <c r="O4986">
        <v>45.329567078654598</v>
      </c>
      <c r="P4986">
        <v>-8.5076682125526604E-2</v>
      </c>
      <c r="Q4986">
        <v>0.188003762428018</v>
      </c>
      <c r="R4986">
        <v>0.98367118186295699</v>
      </c>
      <c r="S4986" t="s">
        <v>11656</v>
      </c>
      <c r="T4986" t="s">
        <v>13338</v>
      </c>
      <c r="U4986" t="s">
        <v>13338</v>
      </c>
      <c r="V4986" t="s">
        <v>13338</v>
      </c>
      <c r="W4986" t="s">
        <v>18268</v>
      </c>
      <c r="X4986">
        <v>8</v>
      </c>
      <c r="Y4986" t="s">
        <v>24766</v>
      </c>
      <c r="Z4986" t="s">
        <v>31401</v>
      </c>
      <c r="AA4986">
        <v>0.36005968222984758</v>
      </c>
      <c r="AB4986" t="str">
        <f>HYPERLINK("Melting_Curves/meltCurve_Q96CS2_HAUS1.pdf", "Melting_Curves/meltCurve_Q96CS2_HAUS1.pdf")</f>
        <v>Melting_Curves/meltCurve_Q96CS2_HAUS1.pdf</v>
      </c>
    </row>
    <row r="4987" spans="1:28" x14ac:dyDescent="0.25">
      <c r="A4987" t="s">
        <v>4991</v>
      </c>
      <c r="B4987">
        <v>0.99193492352474899</v>
      </c>
      <c r="C4987">
        <v>0.95393829867594704</v>
      </c>
      <c r="D4987">
        <v>0.91597372294108204</v>
      </c>
      <c r="E4987">
        <v>0.39140723234909902</v>
      </c>
      <c r="F4987">
        <v>0.15779209192364499</v>
      </c>
      <c r="G4987">
        <v>8.6800511965238997E-2</v>
      </c>
      <c r="H4987">
        <v>5.3648629670703801E-2</v>
      </c>
      <c r="I4987">
        <v>7.8001345184126103E-2</v>
      </c>
      <c r="J4987">
        <v>0.12861874118630801</v>
      </c>
      <c r="K4987">
        <v>0.148044141432183</v>
      </c>
      <c r="L4987">
        <v>1804.41740011764</v>
      </c>
      <c r="M4987">
        <v>37.088064187263399</v>
      </c>
      <c r="N4987">
        <v>48.950896025191</v>
      </c>
      <c r="O4987">
        <v>48.511442342580096</v>
      </c>
      <c r="P4987">
        <v>-0.17177844496589501</v>
      </c>
      <c r="Q4987">
        <v>0.101252983747065</v>
      </c>
      <c r="R4987">
        <v>0.99418569351642705</v>
      </c>
      <c r="S4987" t="s">
        <v>11657</v>
      </c>
      <c r="T4987" t="s">
        <v>13338</v>
      </c>
      <c r="U4987" t="s">
        <v>13338</v>
      </c>
      <c r="V4987" t="s">
        <v>13338</v>
      </c>
      <c r="W4987" t="s">
        <v>18269</v>
      </c>
      <c r="X4987">
        <v>13</v>
      </c>
      <c r="Y4987" t="s">
        <v>24767</v>
      </c>
      <c r="Z4987" t="s">
        <v>31402</v>
      </c>
      <c r="AA4987">
        <v>0.36398794183027833</v>
      </c>
      <c r="AB4987" t="str">
        <f>HYPERLINK("Melting_Curves/meltCurve_Q96CS3_FAF2.pdf", "Melting_Curves/meltCurve_Q96CS3_FAF2.pdf")</f>
        <v>Melting_Curves/meltCurve_Q96CS3_FAF2.pdf</v>
      </c>
    </row>
    <row r="4988" spans="1:28" x14ac:dyDescent="0.25">
      <c r="A4988" t="s">
        <v>4992</v>
      </c>
      <c r="B4988">
        <v>0.99193492352474899</v>
      </c>
      <c r="C4988">
        <v>0.71981253390315902</v>
      </c>
      <c r="D4988">
        <v>0.84681908855374999</v>
      </c>
      <c r="E4988">
        <v>0.65191232088347995</v>
      </c>
      <c r="F4988">
        <v>0.58122044517999005</v>
      </c>
      <c r="G4988">
        <v>0.35143890990660398</v>
      </c>
      <c r="H4988">
        <v>0.39713239831186098</v>
      </c>
      <c r="I4988">
        <v>0.479085262237817</v>
      </c>
      <c r="J4988">
        <v>0.61434459135414798</v>
      </c>
      <c r="K4988">
        <v>0.81477513972017601</v>
      </c>
      <c r="L4988">
        <v>707.07063737498402</v>
      </c>
      <c r="M4988">
        <v>15.706879302951201</v>
      </c>
      <c r="O4988">
        <v>44.3058725378026</v>
      </c>
      <c r="P4988">
        <v>-4.0949426713364101E-2</v>
      </c>
      <c r="Q4988">
        <v>0.53799940823829495</v>
      </c>
      <c r="R4988">
        <v>0.51207181612803299</v>
      </c>
      <c r="S4988" t="s">
        <v>11658</v>
      </c>
      <c r="T4988" t="s">
        <v>13338</v>
      </c>
      <c r="U4988" t="s">
        <v>13338</v>
      </c>
      <c r="V4988" t="s">
        <v>13338</v>
      </c>
      <c r="W4988" t="s">
        <v>18270</v>
      </c>
      <c r="X4988">
        <v>23</v>
      </c>
      <c r="Y4988" t="s">
        <v>24768</v>
      </c>
      <c r="Z4988" t="s">
        <v>31403</v>
      </c>
      <c r="AA4988">
        <v>0.62868943708155001</v>
      </c>
      <c r="AB4988" t="str">
        <f>HYPERLINK("Melting_Curves/meltCurve_Q96CT7_CCDC124.pdf", "Melting_Curves/meltCurve_Q96CT7_CCDC124.pdf")</f>
        <v>Melting_Curves/meltCurve_Q96CT7_CCDC124.pdf</v>
      </c>
    </row>
    <row r="4989" spans="1:28" x14ac:dyDescent="0.25">
      <c r="A4989" t="s">
        <v>4993</v>
      </c>
      <c r="B4989">
        <v>0.99193492352474899</v>
      </c>
      <c r="C4989">
        <v>0.93034492683081904</v>
      </c>
      <c r="D4989">
        <v>0.93403602078339099</v>
      </c>
      <c r="E4989">
        <v>0.72795989355319601</v>
      </c>
      <c r="F4989">
        <v>0.45867332713515202</v>
      </c>
      <c r="G4989">
        <v>0.25984049440344797</v>
      </c>
      <c r="H4989">
        <v>0.12792609162472901</v>
      </c>
      <c r="I4989">
        <v>0.105531458390726</v>
      </c>
      <c r="J4989">
        <v>0.105040934872509</v>
      </c>
      <c r="K4989">
        <v>8.6344583476237705E-2</v>
      </c>
      <c r="L4989">
        <v>901.63032624021798</v>
      </c>
      <c r="M4989">
        <v>17.290776597343999</v>
      </c>
      <c r="N4989">
        <v>52.6253844253525</v>
      </c>
      <c r="O4989">
        <v>51.462666796346703</v>
      </c>
      <c r="P4989">
        <v>-7.7870892078658105E-2</v>
      </c>
      <c r="Q4989">
        <v>7.2982729417925898E-2</v>
      </c>
      <c r="R4989">
        <v>0.99764381531337198</v>
      </c>
      <c r="S4989" t="s">
        <v>11659</v>
      </c>
      <c r="T4989" t="s">
        <v>13338</v>
      </c>
      <c r="U4989" t="s">
        <v>13338</v>
      </c>
      <c r="V4989" t="s">
        <v>13338</v>
      </c>
      <c r="W4989" t="s">
        <v>18271</v>
      </c>
      <c r="X4989">
        <v>7</v>
      </c>
      <c r="Y4989" t="s">
        <v>24769</v>
      </c>
      <c r="Z4989" t="s">
        <v>31404</v>
      </c>
      <c r="AA4989">
        <v>0.46474072137070799</v>
      </c>
      <c r="AB4989" t="str">
        <f>HYPERLINK("Melting_Curves/meltCurve_Q96CU9_FOXRED1.pdf", "Melting_Curves/meltCurve_Q96CU9_FOXRED1.pdf")</f>
        <v>Melting_Curves/meltCurve_Q96CU9_FOXRED1.pdf</v>
      </c>
    </row>
    <row r="4990" spans="1:28" x14ac:dyDescent="0.25">
      <c r="A4990" t="s">
        <v>4994</v>
      </c>
      <c r="B4990">
        <v>0.99193492352474899</v>
      </c>
      <c r="C4990">
        <v>0.98950616813252401</v>
      </c>
      <c r="D4990">
        <v>1.2208673190545001</v>
      </c>
      <c r="E4990">
        <v>1.07335174085466</v>
      </c>
      <c r="F4990">
        <v>0.62261354080110398</v>
      </c>
      <c r="G4990">
        <v>0.30013152413781202</v>
      </c>
      <c r="H4990">
        <v>0.157349914037969</v>
      </c>
      <c r="I4990">
        <v>0.107031452270751</v>
      </c>
      <c r="J4990">
        <v>0.12936378687768099</v>
      </c>
      <c r="K4990">
        <v>0.13287475753436601</v>
      </c>
      <c r="L4990">
        <v>1979.3091305082701</v>
      </c>
      <c r="M4990">
        <v>36.738512967247402</v>
      </c>
      <c r="N4990">
        <v>54.343627640087099</v>
      </c>
      <c r="O4990">
        <v>53.716716375986501</v>
      </c>
      <c r="P4990">
        <v>-0.14779439777068301</v>
      </c>
      <c r="Q4990">
        <v>0.13562033035471799</v>
      </c>
      <c r="R4990">
        <v>0.96425229596072604</v>
      </c>
      <c r="S4990" t="s">
        <v>11660</v>
      </c>
      <c r="T4990" t="s">
        <v>13338</v>
      </c>
      <c r="U4990" t="s">
        <v>13338</v>
      </c>
      <c r="V4990" t="s">
        <v>13338</v>
      </c>
      <c r="W4990" t="s">
        <v>18272</v>
      </c>
      <c r="X4990">
        <v>14</v>
      </c>
      <c r="Y4990" t="s">
        <v>24770</v>
      </c>
      <c r="Z4990" t="s">
        <v>31405</v>
      </c>
      <c r="AA4990">
        <v>0.53922010268394727</v>
      </c>
      <c r="AB4990" t="str">
        <f>HYPERLINK("Melting_Curves/meltCurve_Q96CW1_2_AP2M1.pdf", "Melting_Curves/meltCurve_Q96CW1_2_AP2M1.pdf")</f>
        <v>Melting_Curves/meltCurve_Q96CW1_2_AP2M1.pdf</v>
      </c>
    </row>
    <row r="4991" spans="1:28" x14ac:dyDescent="0.25">
      <c r="A4991" t="s">
        <v>4995</v>
      </c>
      <c r="B4991">
        <v>0.99193492352474899</v>
      </c>
      <c r="C4991">
        <v>0.84577025289067198</v>
      </c>
      <c r="D4991">
        <v>0.94248518387403601</v>
      </c>
      <c r="E4991">
        <v>0.54393797272250799</v>
      </c>
      <c r="F4991">
        <v>0.33931664554867302</v>
      </c>
      <c r="G4991">
        <v>0.137695434878328</v>
      </c>
      <c r="H4991">
        <v>7.5225801262461298E-2</v>
      </c>
      <c r="I4991">
        <v>9.9170115613020193E-2</v>
      </c>
      <c r="J4991">
        <v>0.100780818292435</v>
      </c>
      <c r="K4991">
        <v>0.107729511634247</v>
      </c>
      <c r="L4991">
        <v>997.08937882495002</v>
      </c>
      <c r="M4991">
        <v>19.916240507673901</v>
      </c>
      <c r="N4991">
        <v>50.526290525608999</v>
      </c>
      <c r="O4991">
        <v>49.567587869801599</v>
      </c>
      <c r="P4991">
        <v>-9.2088481053386698E-2</v>
      </c>
      <c r="Q4991">
        <v>8.3269983116803101E-2</v>
      </c>
      <c r="R4991">
        <v>0.97966188755568695</v>
      </c>
      <c r="S4991" t="s">
        <v>11661</v>
      </c>
      <c r="T4991" t="s">
        <v>13338</v>
      </c>
      <c r="U4991" t="s">
        <v>13338</v>
      </c>
      <c r="V4991" t="s">
        <v>13338</v>
      </c>
      <c r="W4991" t="s">
        <v>18273</v>
      </c>
      <c r="X4991">
        <v>10</v>
      </c>
      <c r="Y4991" t="s">
        <v>24771</v>
      </c>
      <c r="Z4991" t="s">
        <v>31406</v>
      </c>
      <c r="AA4991">
        <v>0.40367009458128139</v>
      </c>
      <c r="AB4991" t="str">
        <f>HYPERLINK("Melting_Curves/meltCurve_Q96CW5_TUBGCP3.pdf", "Melting_Curves/meltCurve_Q96CW5_TUBGCP3.pdf")</f>
        <v>Melting_Curves/meltCurve_Q96CW5_TUBGCP3.pdf</v>
      </c>
    </row>
    <row r="4992" spans="1:28" x14ac:dyDescent="0.25">
      <c r="A4992" t="s">
        <v>4996</v>
      </c>
      <c r="B4992">
        <v>0.99193492352474899</v>
      </c>
      <c r="C4992">
        <v>1.02630710081411</v>
      </c>
      <c r="D4992">
        <v>0.82675728609823995</v>
      </c>
      <c r="E4992">
        <v>0.69601961056820005</v>
      </c>
      <c r="F4992">
        <v>0.38131972057087699</v>
      </c>
      <c r="G4992">
        <v>0.184845251635497</v>
      </c>
      <c r="H4992">
        <v>0.107859925253782</v>
      </c>
      <c r="I4992">
        <v>0.106625555559017</v>
      </c>
      <c r="J4992">
        <v>9.3906930609954295E-2</v>
      </c>
      <c r="K4992">
        <v>9.2832376992549107E-2</v>
      </c>
      <c r="L4992">
        <v>936.54179811484698</v>
      </c>
      <c r="M4992">
        <v>18.322816844626999</v>
      </c>
      <c r="N4992">
        <v>51.578896857674401</v>
      </c>
      <c r="O4992">
        <v>50.516250739656698</v>
      </c>
      <c r="P4992">
        <v>-8.3771668783356096E-2</v>
      </c>
      <c r="Q4992">
        <v>7.6204057852242393E-2</v>
      </c>
      <c r="R4992">
        <v>0.99346556996628599</v>
      </c>
      <c r="S4992" t="s">
        <v>11662</v>
      </c>
      <c r="T4992" t="s">
        <v>13338</v>
      </c>
      <c r="U4992" t="s">
        <v>13338</v>
      </c>
      <c r="V4992" t="s">
        <v>13338</v>
      </c>
      <c r="W4992" t="s">
        <v>18274</v>
      </c>
      <c r="X4992">
        <v>4</v>
      </c>
      <c r="Y4992" t="s">
        <v>24772</v>
      </c>
      <c r="Z4992" t="s">
        <v>31407</v>
      </c>
      <c r="AA4992">
        <v>0.43347721123425248</v>
      </c>
      <c r="AB4992" t="str">
        <f>HYPERLINK("Melting_Curves/meltCurve_Q96CW6_SLC7A6OS.pdf", "Melting_Curves/meltCurve_Q96CW6_SLC7A6OS.pdf")</f>
        <v>Melting_Curves/meltCurve_Q96CW6_SLC7A6OS.pdf</v>
      </c>
    </row>
    <row r="4993" spans="1:28" x14ac:dyDescent="0.25">
      <c r="A4993" t="s">
        <v>4997</v>
      </c>
      <c r="B4993">
        <v>0.99193492352474899</v>
      </c>
      <c r="C4993">
        <v>0.97282310169000497</v>
      </c>
      <c r="D4993">
        <v>0.88318895315498602</v>
      </c>
      <c r="E4993">
        <v>0.60229337146330397</v>
      </c>
      <c r="F4993">
        <v>0.53221453646715999</v>
      </c>
      <c r="G4993">
        <v>0.327667752889926</v>
      </c>
      <c r="H4993">
        <v>0.22057438196125601</v>
      </c>
      <c r="I4993">
        <v>0.160928145285506</v>
      </c>
      <c r="J4993">
        <v>0.13562582339915799</v>
      </c>
      <c r="K4993">
        <v>0.10798916297417201</v>
      </c>
      <c r="L4993">
        <v>637.93971718526996</v>
      </c>
      <c r="M4993">
        <v>12.216639122001901</v>
      </c>
      <c r="N4993">
        <v>52.937309990649403</v>
      </c>
      <c r="O4993">
        <v>50.878850494733399</v>
      </c>
      <c r="P4993">
        <v>-5.5455219180613101E-2</v>
      </c>
      <c r="Q4993">
        <v>7.6386452933264001E-2</v>
      </c>
      <c r="R4993">
        <v>0.99037490621837798</v>
      </c>
      <c r="S4993" t="s">
        <v>11663</v>
      </c>
      <c r="T4993" t="s">
        <v>13338</v>
      </c>
      <c r="U4993" t="s">
        <v>13338</v>
      </c>
      <c r="V4993" t="s">
        <v>13338</v>
      </c>
      <c r="W4993" t="s">
        <v>18275</v>
      </c>
      <c r="X4993">
        <v>5</v>
      </c>
      <c r="Y4993" t="s">
        <v>24773</v>
      </c>
      <c r="Z4993" t="s">
        <v>31408</v>
      </c>
      <c r="AA4993">
        <v>0.47979895441946913</v>
      </c>
      <c r="AB4993" t="str">
        <f>HYPERLINK("Melting_Curves/meltCurve_Q96CX2_KCTD12.pdf", "Melting_Curves/meltCurve_Q96CX2_KCTD12.pdf")</f>
        <v>Melting_Curves/meltCurve_Q96CX2_KCTD12.pdf</v>
      </c>
    </row>
    <row r="4994" spans="1:28" x14ac:dyDescent="0.25">
      <c r="A4994" t="s">
        <v>4998</v>
      </c>
      <c r="B4994">
        <v>0.99193492352474899</v>
      </c>
      <c r="C4994">
        <v>1.19480275203522</v>
      </c>
      <c r="D4994">
        <v>0.97357176945994095</v>
      </c>
      <c r="E4994">
        <v>0.27905692277532501</v>
      </c>
      <c r="F4994">
        <v>0.187180036987425</v>
      </c>
      <c r="G4994">
        <v>8.1052079091815998E-2</v>
      </c>
      <c r="H4994">
        <v>6.5140222438051898E-2</v>
      </c>
      <c r="I4994">
        <v>5.8035401245280602E-2</v>
      </c>
      <c r="J4994">
        <v>8.51890208920488E-2</v>
      </c>
      <c r="K4994">
        <v>0.14999444058295</v>
      </c>
      <c r="L4994">
        <v>2985.9205632570502</v>
      </c>
      <c r="M4994">
        <v>61.586962562341597</v>
      </c>
      <c r="N4994">
        <v>48.665862919593799</v>
      </c>
      <c r="O4994">
        <v>48.4319579449568</v>
      </c>
      <c r="P4994">
        <v>-0.28506588418996198</v>
      </c>
      <c r="Q4994">
        <v>0.103297633000413</v>
      </c>
      <c r="R4994">
        <v>0.97257600363071095</v>
      </c>
      <c r="S4994" t="s">
        <v>11664</v>
      </c>
      <c r="T4994" t="s">
        <v>13338</v>
      </c>
      <c r="U4994" t="s">
        <v>13338</v>
      </c>
      <c r="V4994" t="s">
        <v>13338</v>
      </c>
      <c r="W4994" t="s">
        <v>18276</v>
      </c>
      <c r="X4994">
        <v>5</v>
      </c>
      <c r="Y4994" t="s">
        <v>24774</v>
      </c>
      <c r="Z4994" t="s">
        <v>31409</v>
      </c>
      <c r="AA4994">
        <v>0.35811670156974362</v>
      </c>
      <c r="AB4994" t="str">
        <f>HYPERLINK("Melting_Curves/meltCurve_Q96CX6_LRRC58.pdf", "Melting_Curves/meltCurve_Q96CX6_LRRC58.pdf")</f>
        <v>Melting_Curves/meltCurve_Q96CX6_LRRC58.pdf</v>
      </c>
    </row>
    <row r="4995" spans="1:28" x14ac:dyDescent="0.25">
      <c r="A4995" t="s">
        <v>4999</v>
      </c>
      <c r="B4995">
        <v>0.99193492352474899</v>
      </c>
      <c r="C4995">
        <v>0.997299673754935</v>
      </c>
      <c r="D4995">
        <v>0.87285059258673903</v>
      </c>
      <c r="E4995">
        <v>0.69200756547457998</v>
      </c>
      <c r="F4995">
        <v>0.61697329874662199</v>
      </c>
      <c r="G4995">
        <v>0.37271517823600397</v>
      </c>
      <c r="H4995">
        <v>0.32120819882756502</v>
      </c>
      <c r="I4995">
        <v>0.41438356733519699</v>
      </c>
      <c r="J4995">
        <v>0.51494197025315303</v>
      </c>
      <c r="K4995">
        <v>0.51611352194946902</v>
      </c>
      <c r="L4995">
        <v>1028.21257489306</v>
      </c>
      <c r="M4995">
        <v>20.8318084895797</v>
      </c>
      <c r="N4995">
        <v>54.521660570441398</v>
      </c>
      <c r="O4995">
        <v>48.909735567627102</v>
      </c>
      <c r="P4995">
        <v>-6.0644495733746098E-2</v>
      </c>
      <c r="Q4995">
        <v>0.43048169289754001</v>
      </c>
      <c r="R4995">
        <v>0.91933650676856904</v>
      </c>
      <c r="S4995" t="s">
        <v>11665</v>
      </c>
      <c r="T4995" t="s">
        <v>13338</v>
      </c>
      <c r="U4995" t="s">
        <v>13338</v>
      </c>
      <c r="V4995" t="s">
        <v>13338</v>
      </c>
      <c r="W4995" t="s">
        <v>18277</v>
      </c>
      <c r="X4995">
        <v>4</v>
      </c>
      <c r="Y4995" t="s">
        <v>24775</v>
      </c>
      <c r="Z4995" t="s">
        <v>31410</v>
      </c>
      <c r="AA4995">
        <v>0.61545945312598427</v>
      </c>
      <c r="AB4995" t="str">
        <f>HYPERLINK("Melting_Curves/meltCurve_Q96D05_C10orf35.pdf", "Melting_Curves/meltCurve_Q96D05_C10orf35.pdf")</f>
        <v>Melting_Curves/meltCurve_Q96D05_C10orf35.pdf</v>
      </c>
    </row>
    <row r="4996" spans="1:28" x14ac:dyDescent="0.25">
      <c r="A4996" t="s">
        <v>5000</v>
      </c>
      <c r="B4996">
        <v>0.99193492352474899</v>
      </c>
      <c r="C4996">
        <v>1.05499986080083</v>
      </c>
      <c r="D4996">
        <v>0.79376329686021097</v>
      </c>
      <c r="E4996">
        <v>0.77286506021508505</v>
      </c>
      <c r="F4996">
        <v>0.68649866742036303</v>
      </c>
      <c r="G4996">
        <v>0.43490205976322599</v>
      </c>
      <c r="H4996">
        <v>0.34906009856579501</v>
      </c>
      <c r="I4996">
        <v>0.43677119642383799</v>
      </c>
      <c r="J4996">
        <v>0.38171101082463499</v>
      </c>
      <c r="K4996">
        <v>0.64254235022294104</v>
      </c>
      <c r="L4996">
        <v>860.94035373227302</v>
      </c>
      <c r="M4996">
        <v>17.154460551164799</v>
      </c>
      <c r="N4996">
        <v>57.3110774339968</v>
      </c>
      <c r="O4996">
        <v>49.520426563517603</v>
      </c>
      <c r="P4996">
        <v>-4.8438743247738399E-2</v>
      </c>
      <c r="Q4996">
        <v>0.44071356899514302</v>
      </c>
      <c r="R4996">
        <v>0.84090191623246902</v>
      </c>
      <c r="S4996" t="s">
        <v>11666</v>
      </c>
      <c r="T4996" t="s">
        <v>13338</v>
      </c>
      <c r="U4996" t="s">
        <v>13338</v>
      </c>
      <c r="V4996" t="s">
        <v>13338</v>
      </c>
      <c r="W4996" t="s">
        <v>18278</v>
      </c>
      <c r="X4996">
        <v>2</v>
      </c>
      <c r="Y4996" t="s">
        <v>24776</v>
      </c>
      <c r="Z4996" t="s">
        <v>31411</v>
      </c>
      <c r="AA4996">
        <v>0.64104771061244425</v>
      </c>
      <c r="AB4996" t="str">
        <f>HYPERLINK("Melting_Curves/meltCurve_Q96D31_2_ORAI1.pdf", "Melting_Curves/meltCurve_Q96D31_2_ORAI1.pdf")</f>
        <v>Melting_Curves/meltCurve_Q96D31_2_ORAI1.pdf</v>
      </c>
    </row>
    <row r="4997" spans="1:28" x14ac:dyDescent="0.25">
      <c r="A4997" t="s">
        <v>5001</v>
      </c>
      <c r="B4997">
        <v>0.99193492352474899</v>
      </c>
      <c r="C4997">
        <v>0.87080688159350395</v>
      </c>
      <c r="D4997">
        <v>0.74793680858032296</v>
      </c>
      <c r="E4997">
        <v>0.52576743304372398</v>
      </c>
      <c r="F4997">
        <v>0.25030772137058599</v>
      </c>
      <c r="G4997">
        <v>0.13494994436031199</v>
      </c>
      <c r="H4997">
        <v>0.12850181955228701</v>
      </c>
      <c r="I4997">
        <v>0.15326078886462599</v>
      </c>
      <c r="J4997">
        <v>0.13617460740193299</v>
      </c>
      <c r="K4997">
        <v>0.106884812007449</v>
      </c>
      <c r="L4997">
        <v>818.40357376275995</v>
      </c>
      <c r="M4997">
        <v>16.831558996264999</v>
      </c>
      <c r="N4997">
        <v>49.324054768116298</v>
      </c>
      <c r="O4997">
        <v>47.952368228847298</v>
      </c>
      <c r="P4997">
        <v>-7.8423062322182699E-2</v>
      </c>
      <c r="Q4997">
        <v>0.106362093864048</v>
      </c>
      <c r="R4997">
        <v>0.992284665591052</v>
      </c>
      <c r="S4997" t="s">
        <v>11667</v>
      </c>
      <c r="T4997" t="s">
        <v>13338</v>
      </c>
      <c r="U4997" t="s">
        <v>13338</v>
      </c>
      <c r="V4997" t="s">
        <v>13338</v>
      </c>
      <c r="W4997" t="s">
        <v>18279</v>
      </c>
      <c r="X4997">
        <v>3</v>
      </c>
      <c r="Y4997" t="s">
        <v>24777</v>
      </c>
      <c r="Z4997" t="s">
        <v>31412</v>
      </c>
      <c r="AA4997">
        <v>0.38108460649617232</v>
      </c>
      <c r="AB4997" t="str">
        <f>HYPERLINK("Melting_Curves/meltCurve_Q96D53_ADCK4.pdf", "Melting_Curves/meltCurve_Q96D53_ADCK4.pdf")</f>
        <v>Melting_Curves/meltCurve_Q96D53_ADCK4.pdf</v>
      </c>
    </row>
    <row r="4998" spans="1:28" x14ac:dyDescent="0.25">
      <c r="A4998" t="s">
        <v>5002</v>
      </c>
      <c r="B4998">
        <v>0.99193492352474899</v>
      </c>
      <c r="C4998">
        <v>0.63850299520959097</v>
      </c>
      <c r="D4998">
        <v>0.33211484093827798</v>
      </c>
      <c r="E4998">
        <v>0.19010312055133499</v>
      </c>
      <c r="F4998">
        <v>0.107963460922812</v>
      </c>
      <c r="G4998">
        <v>5.7160714303879097E-2</v>
      </c>
      <c r="H4998">
        <v>4.7253765171378297E-2</v>
      </c>
      <c r="I4998">
        <v>5.1473486282393101E-2</v>
      </c>
      <c r="J4998">
        <v>5.76082432685378E-2</v>
      </c>
      <c r="K4998">
        <v>8.2061707068652096E-2</v>
      </c>
      <c r="L4998">
        <v>986.50054719710397</v>
      </c>
      <c r="M4998">
        <v>22.3514613449629</v>
      </c>
      <c r="N4998">
        <v>44.426434755644699</v>
      </c>
      <c r="O4998">
        <v>43.787107627098699</v>
      </c>
      <c r="P4998">
        <v>-0.11893787129649599</v>
      </c>
      <c r="Q4998">
        <v>6.8009723752557594E-2</v>
      </c>
      <c r="R4998">
        <v>0.98726495541088999</v>
      </c>
      <c r="S4998" t="s">
        <v>11668</v>
      </c>
      <c r="T4998" t="s">
        <v>13338</v>
      </c>
      <c r="U4998" t="s">
        <v>13338</v>
      </c>
      <c r="V4998" t="s">
        <v>13338</v>
      </c>
      <c r="W4998" t="s">
        <v>18280</v>
      </c>
      <c r="X4998">
        <v>9</v>
      </c>
      <c r="Y4998" t="s">
        <v>24778</v>
      </c>
      <c r="Z4998" t="s">
        <v>31413</v>
      </c>
      <c r="AA4998">
        <v>0.21015470837516201</v>
      </c>
      <c r="AB4998" t="str">
        <f>HYPERLINK("Melting_Curves/meltCurve_Q96D71_3_REPS1.pdf", "Melting_Curves/meltCurve_Q96D71_3_REPS1.pdf")</f>
        <v>Melting_Curves/meltCurve_Q96D71_3_REPS1.pdf</v>
      </c>
    </row>
    <row r="4999" spans="1:28" x14ac:dyDescent="0.25">
      <c r="A4999" t="s">
        <v>5003</v>
      </c>
      <c r="B4999">
        <v>0.99193492352474899</v>
      </c>
      <c r="C4999">
        <v>0.95321347168880699</v>
      </c>
      <c r="D4999">
        <v>0.86551412467713995</v>
      </c>
      <c r="E4999">
        <v>0.54654708108432903</v>
      </c>
      <c r="F4999">
        <v>0.24357306016164401</v>
      </c>
      <c r="G4999">
        <v>0.23563047816718999</v>
      </c>
      <c r="H4999">
        <v>0.18782218969231601</v>
      </c>
      <c r="I4999">
        <v>0.134530187953317</v>
      </c>
      <c r="J4999">
        <v>0.119035690974825</v>
      </c>
      <c r="K4999">
        <v>0.238444909015776</v>
      </c>
      <c r="L4999">
        <v>1212.5921059729401</v>
      </c>
      <c r="M4999">
        <v>24.704539183159199</v>
      </c>
      <c r="N4999">
        <v>49.926869539593397</v>
      </c>
      <c r="O4999">
        <v>48.7655352490073</v>
      </c>
      <c r="P4999">
        <v>-0.105051217970133</v>
      </c>
      <c r="Q4999">
        <v>0.17054781455010101</v>
      </c>
      <c r="R4999">
        <v>0.98927254156629796</v>
      </c>
      <c r="S4999" t="s">
        <v>11669</v>
      </c>
      <c r="T4999" t="s">
        <v>13338</v>
      </c>
      <c r="U4999" t="s">
        <v>13338</v>
      </c>
      <c r="V4999" t="s">
        <v>13338</v>
      </c>
      <c r="W4999" t="s">
        <v>18281</v>
      </c>
      <c r="X4999">
        <v>3</v>
      </c>
      <c r="Y4999" t="s">
        <v>24779</v>
      </c>
      <c r="Z4999" t="s">
        <v>31414</v>
      </c>
      <c r="AA4999">
        <v>0.42923596895013238</v>
      </c>
      <c r="AB4999" t="str">
        <f>HYPERLINK("Melting_Curves/meltCurve_Q96D96_4_HVCN1.pdf", "Melting_Curves/meltCurve_Q96D96_4_HVCN1.pdf")</f>
        <v>Melting_Curves/meltCurve_Q96D96_4_HVCN1.pdf</v>
      </c>
    </row>
    <row r="5000" spans="1:28" x14ac:dyDescent="0.25">
      <c r="A5000" t="s">
        <v>5004</v>
      </c>
      <c r="B5000">
        <v>0.99193492352474899</v>
      </c>
      <c r="C5000">
        <v>1.12720079403575</v>
      </c>
      <c r="D5000">
        <v>1.1223137556187499</v>
      </c>
      <c r="E5000">
        <v>0.96293031222228598</v>
      </c>
      <c r="F5000">
        <v>0.70040849681892503</v>
      </c>
      <c r="G5000">
        <v>0.59947667238483304</v>
      </c>
      <c r="H5000">
        <v>0.232735236689601</v>
      </c>
      <c r="I5000">
        <v>0.12550383521588701</v>
      </c>
      <c r="J5000">
        <v>0.120546494807415</v>
      </c>
      <c r="K5000">
        <v>0.15474181153820701</v>
      </c>
      <c r="L5000">
        <v>1134.56509137388</v>
      </c>
      <c r="M5000">
        <v>20.113190176134701</v>
      </c>
      <c r="N5000">
        <v>56.9841314764668</v>
      </c>
      <c r="O5000">
        <v>55.860269106116199</v>
      </c>
      <c r="P5000">
        <v>-8.1749512861953005E-2</v>
      </c>
      <c r="Q5000">
        <v>9.18587501224786E-2</v>
      </c>
      <c r="R5000">
        <v>0.96644027035051505</v>
      </c>
      <c r="S5000" t="s">
        <v>11670</v>
      </c>
      <c r="T5000" t="s">
        <v>13338</v>
      </c>
      <c r="U5000" t="s">
        <v>13338</v>
      </c>
      <c r="V5000" t="s">
        <v>13338</v>
      </c>
      <c r="W5000" t="s">
        <v>18282</v>
      </c>
      <c r="X5000">
        <v>8</v>
      </c>
      <c r="Y5000" t="s">
        <v>24780</v>
      </c>
      <c r="Z5000" t="s">
        <v>31415</v>
      </c>
      <c r="AA5000">
        <v>0.5999842106353015</v>
      </c>
      <c r="AB5000" t="str">
        <f>HYPERLINK("Melting_Curves/meltCurve_Q96DA2_RAB39B.pdf", "Melting_Curves/meltCurve_Q96DA2_RAB39B.pdf")</f>
        <v>Melting_Curves/meltCurve_Q96DA2_RAB39B.pdf</v>
      </c>
    </row>
    <row r="5001" spans="1:28" x14ac:dyDescent="0.25">
      <c r="A5001" t="s">
        <v>5005</v>
      </c>
      <c r="B5001">
        <v>0.99193492352474899</v>
      </c>
      <c r="C5001">
        <v>0.80110263666196901</v>
      </c>
      <c r="D5001">
        <v>0.996476210247774</v>
      </c>
      <c r="E5001">
        <v>0.77755014806839395</v>
      </c>
      <c r="F5001">
        <v>0.520193247386322</v>
      </c>
      <c r="G5001">
        <v>0.26217880519512199</v>
      </c>
      <c r="H5001">
        <v>0.14457301672669601</v>
      </c>
      <c r="I5001">
        <v>0.12955762396732801</v>
      </c>
      <c r="J5001">
        <v>0.141728958092734</v>
      </c>
      <c r="K5001">
        <v>0.21029257359343101</v>
      </c>
      <c r="L5001">
        <v>1114.01319382322</v>
      </c>
      <c r="M5001">
        <v>21.3000169336533</v>
      </c>
      <c r="N5001">
        <v>53.119519269055097</v>
      </c>
      <c r="O5001">
        <v>51.846578074356003</v>
      </c>
      <c r="P5001">
        <v>-8.8341691699167502E-2</v>
      </c>
      <c r="Q5001">
        <v>0.13988807832164801</v>
      </c>
      <c r="R5001">
        <v>0.96141764381058803</v>
      </c>
      <c r="S5001" t="s">
        <v>11671</v>
      </c>
      <c r="T5001" t="s">
        <v>13338</v>
      </c>
      <c r="U5001" t="s">
        <v>13338</v>
      </c>
      <c r="V5001" t="s">
        <v>13338</v>
      </c>
      <c r="W5001" t="s">
        <v>18283</v>
      </c>
      <c r="X5001">
        <v>8</v>
      </c>
      <c r="Y5001" t="s">
        <v>24781</v>
      </c>
      <c r="Z5001" t="s">
        <v>31416</v>
      </c>
      <c r="AA5001">
        <v>0.50318186470360904</v>
      </c>
      <c r="AB5001" t="str">
        <f>HYPERLINK("Melting_Curves/meltCurve_Q96DA6_DNAJC19.pdf", "Melting_Curves/meltCurve_Q96DA6_DNAJC19.pdf")</f>
        <v>Melting_Curves/meltCurve_Q96DA6_DNAJC19.pdf</v>
      </c>
    </row>
    <row r="5002" spans="1:28" x14ac:dyDescent="0.25">
      <c r="A5002" t="s">
        <v>5006</v>
      </c>
      <c r="B5002">
        <v>0.99193492352474899</v>
      </c>
      <c r="C5002">
        <v>0.813607379251861</v>
      </c>
      <c r="D5002">
        <v>1.0506017267408301</v>
      </c>
      <c r="E5002">
        <v>0.74142525571667195</v>
      </c>
      <c r="F5002">
        <v>0.26614753878966002</v>
      </c>
      <c r="G5002">
        <v>0.14982785300808801</v>
      </c>
      <c r="H5002">
        <v>9.9530075670916304E-2</v>
      </c>
      <c r="I5002">
        <v>0.104787498156946</v>
      </c>
      <c r="J5002">
        <v>0.104850118042688</v>
      </c>
      <c r="K5002">
        <v>0.107635095444329</v>
      </c>
      <c r="L5002">
        <v>1837.3692435774201</v>
      </c>
      <c r="M5002">
        <v>36.094524378521598</v>
      </c>
      <c r="N5002">
        <v>51.252010896317998</v>
      </c>
      <c r="O5002">
        <v>50.7488884806911</v>
      </c>
      <c r="P5002">
        <v>-0.15850333850383799</v>
      </c>
      <c r="Q5002">
        <v>0.108580366190437</v>
      </c>
      <c r="R5002">
        <v>0.97291711015806703</v>
      </c>
      <c r="S5002" t="s">
        <v>11672</v>
      </c>
      <c r="T5002" t="s">
        <v>13338</v>
      </c>
      <c r="U5002" t="s">
        <v>13338</v>
      </c>
      <c r="V5002" t="s">
        <v>13338</v>
      </c>
      <c r="W5002" t="s">
        <v>18284</v>
      </c>
      <c r="X5002">
        <v>7</v>
      </c>
      <c r="Y5002" t="s">
        <v>24782</v>
      </c>
      <c r="Z5002" t="s">
        <v>31417</v>
      </c>
      <c r="AA5002">
        <v>0.4364507017266786</v>
      </c>
      <c r="AB5002" t="str">
        <f>HYPERLINK("Melting_Curves/meltCurve_Q96DB5_RMDN1.pdf", "Melting_Curves/meltCurve_Q96DB5_RMDN1.pdf")</f>
        <v>Melting_Curves/meltCurve_Q96DB5_RMDN1.pdf</v>
      </c>
    </row>
    <row r="5003" spans="1:28" x14ac:dyDescent="0.25">
      <c r="A5003" t="s">
        <v>5007</v>
      </c>
      <c r="B5003">
        <v>0.99193492352474899</v>
      </c>
      <c r="C5003">
        <v>1.1235115273465399</v>
      </c>
      <c r="D5003">
        <v>1.0334379833029399</v>
      </c>
      <c r="E5003">
        <v>0.92569018507767098</v>
      </c>
      <c r="F5003">
        <v>0</v>
      </c>
      <c r="G5003">
        <v>0</v>
      </c>
      <c r="H5003">
        <v>0</v>
      </c>
      <c r="I5003">
        <v>0</v>
      </c>
      <c r="J5003">
        <v>0.28807080678658298</v>
      </c>
      <c r="K5003">
        <v>0</v>
      </c>
      <c r="L5003">
        <v>12522.464045430699</v>
      </c>
      <c r="M5003">
        <v>250</v>
      </c>
      <c r="N5003">
        <v>50.110097906326402</v>
      </c>
      <c r="O5003">
        <v>50.086650442857199</v>
      </c>
      <c r="P5003">
        <v>-1.1879266350175299</v>
      </c>
      <c r="Q5003">
        <v>4.8011737109035599E-2</v>
      </c>
      <c r="R5003">
        <v>0.96359056418406297</v>
      </c>
      <c r="S5003" t="s">
        <v>11673</v>
      </c>
      <c r="T5003" t="s">
        <v>13338</v>
      </c>
      <c r="U5003" t="s">
        <v>13338</v>
      </c>
      <c r="V5003" t="s">
        <v>13338</v>
      </c>
      <c r="W5003" t="s">
        <v>18285</v>
      </c>
      <c r="X5003">
        <v>1</v>
      </c>
      <c r="Y5003" t="s">
        <v>24783</v>
      </c>
      <c r="Z5003" t="s">
        <v>31418</v>
      </c>
      <c r="AA5003">
        <v>0.36827624543849052</v>
      </c>
      <c r="AB5003" t="str">
        <f>HYPERLINK("Melting_Curves/meltCurve_Q96DC7_TMCO6.pdf", "Melting_Curves/meltCurve_Q96DC7_TMCO6.pdf")</f>
        <v>Melting_Curves/meltCurve_Q96DC7_TMCO6.pdf</v>
      </c>
    </row>
    <row r="5004" spans="1:28" x14ac:dyDescent="0.25">
      <c r="A5004" t="s">
        <v>5008</v>
      </c>
      <c r="B5004">
        <v>0.99193492352474899</v>
      </c>
      <c r="C5004">
        <v>0.53216967408105198</v>
      </c>
      <c r="D5004">
        <v>0.89566136095628202</v>
      </c>
      <c r="E5004">
        <v>0.49661313367660398</v>
      </c>
      <c r="F5004">
        <v>0.41469732484865401</v>
      </c>
      <c r="G5004">
        <v>6.8962925872629102E-2</v>
      </c>
      <c r="H5004">
        <v>6.78595163262459E-2</v>
      </c>
      <c r="I5004">
        <v>0</v>
      </c>
      <c r="J5004">
        <v>0</v>
      </c>
      <c r="K5004">
        <v>0</v>
      </c>
      <c r="L5004">
        <v>586.32673381108998</v>
      </c>
      <c r="M5004">
        <v>11.847470326770599</v>
      </c>
      <c r="N5004">
        <v>49.489614033907401</v>
      </c>
      <c r="O5004">
        <v>48.142802214645499</v>
      </c>
      <c r="P5004">
        <v>-6.1538129720152601E-2</v>
      </c>
      <c r="Q5004">
        <v>0</v>
      </c>
      <c r="R5004">
        <v>0.86372342695924198</v>
      </c>
      <c r="S5004" t="s">
        <v>11674</v>
      </c>
      <c r="T5004" t="s">
        <v>13338</v>
      </c>
      <c r="U5004" t="s">
        <v>13338</v>
      </c>
      <c r="V5004" t="s">
        <v>13338</v>
      </c>
      <c r="W5004" t="s">
        <v>18286</v>
      </c>
      <c r="X5004">
        <v>2</v>
      </c>
      <c r="Y5004" t="s">
        <v>24784</v>
      </c>
      <c r="Z5004" t="s">
        <v>31419</v>
      </c>
      <c r="AA5004">
        <v>0.35274007349307801</v>
      </c>
      <c r="AB5004" t="str">
        <f>HYPERLINK("Melting_Curves/meltCurve_Q96DC9_OTUB2.pdf", "Melting_Curves/meltCurve_Q96DC9_OTUB2.pdf")</f>
        <v>Melting_Curves/meltCurve_Q96DC9_OTUB2.pdf</v>
      </c>
    </row>
    <row r="5005" spans="1:28" x14ac:dyDescent="0.25">
      <c r="A5005" t="s">
        <v>5009</v>
      </c>
      <c r="B5005">
        <v>0.99193492352474899</v>
      </c>
      <c r="C5005">
        <v>0.80362011293198898</v>
      </c>
      <c r="D5005">
        <v>0.80226645723798795</v>
      </c>
      <c r="E5005">
        <v>0.54321806650692395</v>
      </c>
      <c r="F5005">
        <v>0.43534566195833502</v>
      </c>
      <c r="G5005">
        <v>0.21574314883620899</v>
      </c>
      <c r="H5005">
        <v>0.33196549992160201</v>
      </c>
      <c r="I5005">
        <v>0.30389157979667702</v>
      </c>
      <c r="J5005">
        <v>0.31988366974850402</v>
      </c>
      <c r="K5005">
        <v>0.360710687106508</v>
      </c>
      <c r="L5005">
        <v>772.13973049610604</v>
      </c>
      <c r="M5005">
        <v>16.219795987042801</v>
      </c>
      <c r="N5005">
        <v>50.415480333344497</v>
      </c>
      <c r="O5005">
        <v>46.898803521109301</v>
      </c>
      <c r="P5005">
        <v>-6.0736861205531401E-2</v>
      </c>
      <c r="Q5005">
        <v>0.29758084181477501</v>
      </c>
      <c r="R5005">
        <v>0.94546456283122204</v>
      </c>
      <c r="S5005" t="s">
        <v>11675</v>
      </c>
      <c r="T5005" t="s">
        <v>13338</v>
      </c>
      <c r="U5005" t="s">
        <v>13338</v>
      </c>
      <c r="V5005" t="s">
        <v>13338</v>
      </c>
      <c r="W5005" t="s">
        <v>18287</v>
      </c>
      <c r="X5005">
        <v>2</v>
      </c>
      <c r="Y5005" t="s">
        <v>24785</v>
      </c>
      <c r="Z5005" t="s">
        <v>31420</v>
      </c>
      <c r="AA5005">
        <v>0.49135288991881121</v>
      </c>
      <c r="AB5005" t="str">
        <f>HYPERLINK("Melting_Curves/meltCurve_Q96DE5_ANAPC16.pdf", "Melting_Curves/meltCurve_Q96DE5_ANAPC16.pdf")</f>
        <v>Melting_Curves/meltCurve_Q96DE5_ANAPC16.pdf</v>
      </c>
    </row>
    <row r="5006" spans="1:28" x14ac:dyDescent="0.25">
      <c r="A5006" t="s">
        <v>5010</v>
      </c>
      <c r="B5006">
        <v>0.99193492352474899</v>
      </c>
      <c r="C5006">
        <v>0.74706795865323705</v>
      </c>
      <c r="D5006">
        <v>0.67486580476764102</v>
      </c>
      <c r="E5006">
        <v>0.37677242193111099</v>
      </c>
      <c r="F5006">
        <v>0.34780264767637198</v>
      </c>
      <c r="G5006">
        <v>0.236562502101342</v>
      </c>
      <c r="H5006">
        <v>0.31312180579304499</v>
      </c>
      <c r="I5006">
        <v>0.37614895851426999</v>
      </c>
      <c r="J5006">
        <v>0.49223607977380701</v>
      </c>
      <c r="K5006">
        <v>0.73377249613098305</v>
      </c>
      <c r="L5006">
        <v>1065.96018867474</v>
      </c>
      <c r="M5006">
        <v>24.076541549217499</v>
      </c>
      <c r="N5006">
        <v>47.690732947001699</v>
      </c>
      <c r="O5006">
        <v>43.971770774138697</v>
      </c>
      <c r="P5006">
        <v>-8.0638977309801199E-2</v>
      </c>
      <c r="Q5006">
        <v>0.41091485071856898</v>
      </c>
      <c r="R5006">
        <v>0.66789707333989401</v>
      </c>
      <c r="S5006" t="s">
        <v>11676</v>
      </c>
      <c r="T5006" t="s">
        <v>13338</v>
      </c>
      <c r="U5006" t="s">
        <v>13338</v>
      </c>
      <c r="V5006" t="s">
        <v>13338</v>
      </c>
      <c r="W5006" t="s">
        <v>18288</v>
      </c>
      <c r="X5006">
        <v>6</v>
      </c>
      <c r="Y5006" t="s">
        <v>24786</v>
      </c>
      <c r="Z5006" t="s">
        <v>31421</v>
      </c>
      <c r="AA5006">
        <v>0.50189872938295788</v>
      </c>
      <c r="AB5006" t="str">
        <f>HYPERLINK("Melting_Curves/meltCurve_Q96DF8_DGCR14.pdf", "Melting_Curves/meltCurve_Q96DF8_DGCR14.pdf")</f>
        <v>Melting_Curves/meltCurve_Q96DF8_DGCR14.pdf</v>
      </c>
    </row>
    <row r="5007" spans="1:28" x14ac:dyDescent="0.25">
      <c r="A5007" t="s">
        <v>5011</v>
      </c>
      <c r="B5007">
        <v>0.99193492352474899</v>
      </c>
      <c r="C5007">
        <v>1.02417258148922</v>
      </c>
      <c r="D5007">
        <v>0.69285790540946302</v>
      </c>
      <c r="E5007">
        <v>0.62578663789619005</v>
      </c>
      <c r="F5007">
        <v>0.36627452027569501</v>
      </c>
      <c r="G5007">
        <v>0.17944783827390001</v>
      </c>
      <c r="H5007">
        <v>0.14714889242413201</v>
      </c>
      <c r="I5007">
        <v>0.19325184544886601</v>
      </c>
      <c r="J5007">
        <v>0.160154169264241</v>
      </c>
      <c r="K5007">
        <v>0.16403655042530901</v>
      </c>
      <c r="L5007">
        <v>804.63802277540697</v>
      </c>
      <c r="M5007">
        <v>16.262396790655401</v>
      </c>
      <c r="N5007">
        <v>50.505329383786702</v>
      </c>
      <c r="O5007">
        <v>48.748419881284697</v>
      </c>
      <c r="P5007">
        <v>-7.16645480175713E-2</v>
      </c>
      <c r="Q5007">
        <v>0.140772059950659</v>
      </c>
      <c r="R5007">
        <v>0.97248711296602697</v>
      </c>
      <c r="S5007" t="s">
        <v>11677</v>
      </c>
      <c r="T5007" t="s">
        <v>13338</v>
      </c>
      <c r="U5007" t="s">
        <v>13338</v>
      </c>
      <c r="V5007" t="s">
        <v>13338</v>
      </c>
      <c r="W5007" t="s">
        <v>18289</v>
      </c>
      <c r="X5007">
        <v>4</v>
      </c>
      <c r="Y5007" t="s">
        <v>24787</v>
      </c>
      <c r="Z5007" t="s">
        <v>31422</v>
      </c>
      <c r="AA5007">
        <v>0.43018144845877548</v>
      </c>
      <c r="AB5007" t="str">
        <f>HYPERLINK("Melting_Curves/meltCurve_Q96DH6_2_MSI2.pdf", "Melting_Curves/meltCurve_Q96DH6_2_MSI2.pdf")</f>
        <v>Melting_Curves/meltCurve_Q96DH6_2_MSI2.pdf</v>
      </c>
    </row>
    <row r="5008" spans="1:28" x14ac:dyDescent="0.25">
      <c r="A5008" t="s">
        <v>5012</v>
      </c>
      <c r="B5008">
        <v>0.99193492352474899</v>
      </c>
      <c r="C5008">
        <v>0.675278172479015</v>
      </c>
      <c r="D5008">
        <v>0.920751008929383</v>
      </c>
      <c r="E5008">
        <v>0.74940208972273703</v>
      </c>
      <c r="F5008">
        <v>0.70458717830361095</v>
      </c>
      <c r="G5008">
        <v>0.21588327198278501</v>
      </c>
      <c r="H5008">
        <v>8.98669393540764E-2</v>
      </c>
      <c r="I5008">
        <v>0.11724087996393701</v>
      </c>
      <c r="J5008">
        <v>0.144653064275584</v>
      </c>
      <c r="K5008">
        <v>0.17489170569038101</v>
      </c>
      <c r="L5008">
        <v>898.52194275226395</v>
      </c>
      <c r="M5008">
        <v>16.887945014965499</v>
      </c>
      <c r="N5008">
        <v>53.784244129089998</v>
      </c>
      <c r="O5008">
        <v>52.475711577823397</v>
      </c>
      <c r="P5008">
        <v>-7.3770116705606903E-2</v>
      </c>
      <c r="Q5008">
        <v>8.3158114074922601E-2</v>
      </c>
      <c r="R5008">
        <v>0.87223503281835701</v>
      </c>
      <c r="S5008" t="s">
        <v>11678</v>
      </c>
      <c r="T5008" t="s">
        <v>13338</v>
      </c>
      <c r="U5008" t="s">
        <v>13338</v>
      </c>
      <c r="V5008" t="s">
        <v>13338</v>
      </c>
      <c r="W5008" t="s">
        <v>18290</v>
      </c>
      <c r="X5008">
        <v>7</v>
      </c>
      <c r="Y5008" t="s">
        <v>24788</v>
      </c>
      <c r="Z5008" t="s">
        <v>31423</v>
      </c>
      <c r="AA5008">
        <v>0.50321604568704081</v>
      </c>
      <c r="AB5008" t="str">
        <f>HYPERLINK("Melting_Curves/meltCurve_Q96DI7_SNRNP40.pdf", "Melting_Curves/meltCurve_Q96DI7_SNRNP40.pdf")</f>
        <v>Melting_Curves/meltCurve_Q96DI7_SNRNP40.pdf</v>
      </c>
    </row>
    <row r="5009" spans="1:28" x14ac:dyDescent="0.25">
      <c r="A5009" t="s">
        <v>5013</v>
      </c>
      <c r="B5009">
        <v>0.99193492352474899</v>
      </c>
      <c r="C5009">
        <v>1.0065245629439901</v>
      </c>
      <c r="D5009">
        <v>0.78881408061547598</v>
      </c>
      <c r="E5009">
        <v>0.62132790993945297</v>
      </c>
      <c r="F5009">
        <v>0.38888552605301602</v>
      </c>
      <c r="G5009">
        <v>0.26278672257735802</v>
      </c>
      <c r="H5009">
        <v>0.21490415052958001</v>
      </c>
      <c r="I5009">
        <v>0.616754796381348</v>
      </c>
      <c r="J5009">
        <v>0.470263289312919</v>
      </c>
      <c r="K5009">
        <v>10.020339898816699</v>
      </c>
      <c r="L5009">
        <v>15000</v>
      </c>
      <c r="M5009">
        <v>220.324212364028</v>
      </c>
      <c r="O5009">
        <v>68.075876561078104</v>
      </c>
      <c r="P5009">
        <v>0.404556320364934</v>
      </c>
      <c r="Q5009">
        <v>1.5</v>
      </c>
      <c r="R5009">
        <v>7.2343753290941906E-2</v>
      </c>
      <c r="S5009" t="s">
        <v>11679</v>
      </c>
      <c r="T5009" t="s">
        <v>13338</v>
      </c>
      <c r="U5009" t="s">
        <v>13338</v>
      </c>
      <c r="V5009" t="s">
        <v>13338</v>
      </c>
      <c r="W5009" t="s">
        <v>18291</v>
      </c>
      <c r="X5009">
        <v>3</v>
      </c>
      <c r="Y5009" t="s">
        <v>24789</v>
      </c>
      <c r="Z5009" t="s">
        <v>31424</v>
      </c>
      <c r="AA5009">
        <v>1.031911386930251</v>
      </c>
      <c r="AB5009" t="str">
        <f>HYPERLINK("Melting_Curves/meltCurve_Q96DT6_ATG4C.pdf", "Melting_Curves/meltCurve_Q96DT6_ATG4C.pdf")</f>
        <v>Melting_Curves/meltCurve_Q96DT6_ATG4C.pdf</v>
      </c>
    </row>
    <row r="5010" spans="1:28" x14ac:dyDescent="0.25">
      <c r="A5010" t="s">
        <v>5014</v>
      </c>
      <c r="B5010">
        <v>0.99193492352474899</v>
      </c>
      <c r="C5010">
        <v>1.0910272916584101</v>
      </c>
      <c r="D5010">
        <v>0.95195001471653695</v>
      </c>
      <c r="E5010">
        <v>0.85823131306259404</v>
      </c>
      <c r="F5010">
        <v>0.58428197643490398</v>
      </c>
      <c r="G5010">
        <v>0.489358355618704</v>
      </c>
      <c r="H5010">
        <v>0.34721023180663901</v>
      </c>
      <c r="I5010">
        <v>0.42798410929312197</v>
      </c>
      <c r="J5010">
        <v>0.389666497872597</v>
      </c>
      <c r="K5010">
        <v>0.52569173407651104</v>
      </c>
      <c r="L5010">
        <v>1480.5322764272</v>
      </c>
      <c r="M5010">
        <v>28.769028310048402</v>
      </c>
      <c r="N5010">
        <v>55.130773931657799</v>
      </c>
      <c r="O5010">
        <v>51.215983775373601</v>
      </c>
      <c r="P5010">
        <v>-8.0570356995367395E-2</v>
      </c>
      <c r="Q5010">
        <v>0.42626378684907801</v>
      </c>
      <c r="R5010">
        <v>0.95854217202916203</v>
      </c>
      <c r="S5010" t="s">
        <v>11680</v>
      </c>
      <c r="T5010" t="s">
        <v>13338</v>
      </c>
      <c r="U5010" t="s">
        <v>13338</v>
      </c>
      <c r="V5010" t="s">
        <v>13338</v>
      </c>
      <c r="W5010" t="s">
        <v>18292</v>
      </c>
      <c r="X5010">
        <v>3</v>
      </c>
      <c r="Y5010" t="s">
        <v>24790</v>
      </c>
      <c r="Z5010" t="s">
        <v>31425</v>
      </c>
      <c r="AA5010">
        <v>0.6494336166588135</v>
      </c>
      <c r="AB5010" t="str">
        <f>HYPERLINK("Melting_Curves/meltCurve_Q96DU3_2_SLAMF6.pdf", "Melting_Curves/meltCurve_Q96DU3_2_SLAMF6.pdf")</f>
        <v>Melting_Curves/meltCurve_Q96DU3_2_SLAMF6.pdf</v>
      </c>
    </row>
    <row r="5011" spans="1:28" x14ac:dyDescent="0.25">
      <c r="A5011" t="s">
        <v>5015</v>
      </c>
      <c r="B5011">
        <v>0.99193492352474899</v>
      </c>
      <c r="C5011">
        <v>0.51638065271506906</v>
      </c>
      <c r="D5011">
        <v>0.59719375590786805</v>
      </c>
      <c r="E5011">
        <v>0.35922358645611202</v>
      </c>
      <c r="F5011">
        <v>0.10975935769730299</v>
      </c>
      <c r="G5011">
        <v>7.5098663783373806E-2</v>
      </c>
      <c r="H5011">
        <v>4.3480811247265501E-2</v>
      </c>
      <c r="I5011">
        <v>8.6031079651322603E-2</v>
      </c>
      <c r="J5011">
        <v>6.8711145080542699E-2</v>
      </c>
      <c r="K5011">
        <v>0.19647955206051099</v>
      </c>
      <c r="L5011">
        <v>618.07982954681199</v>
      </c>
      <c r="M5011">
        <v>13.6254058544502</v>
      </c>
      <c r="N5011">
        <v>45.879167685060501</v>
      </c>
      <c r="O5011">
        <v>44.418662448903902</v>
      </c>
      <c r="P5011">
        <v>-7.1241616577349606E-2</v>
      </c>
      <c r="Q5011">
        <v>7.1149615145930101E-2</v>
      </c>
      <c r="R5011">
        <v>0.89535672009506795</v>
      </c>
      <c r="S5011" t="s">
        <v>11681</v>
      </c>
      <c r="T5011" t="s">
        <v>13338</v>
      </c>
      <c r="U5011" t="s">
        <v>13338</v>
      </c>
      <c r="V5011" t="s">
        <v>13338</v>
      </c>
      <c r="W5011" t="s">
        <v>18293</v>
      </c>
      <c r="X5011">
        <v>3</v>
      </c>
      <c r="Y5011" t="s">
        <v>24791</v>
      </c>
      <c r="Z5011" t="s">
        <v>31426</v>
      </c>
      <c r="AA5011">
        <v>0.27220416415604282</v>
      </c>
      <c r="AB5011" t="str">
        <f>HYPERLINK("Melting_Curves/meltCurve_Q96DV4_MRPL38.pdf", "Melting_Curves/meltCurve_Q96DV4_MRPL38.pdf")</f>
        <v>Melting_Curves/meltCurve_Q96DV4_MRPL38.pdf</v>
      </c>
    </row>
    <row r="5012" spans="1:28" x14ac:dyDescent="0.25">
      <c r="A5012" t="s">
        <v>5016</v>
      </c>
      <c r="B5012">
        <v>0.99193492352474899</v>
      </c>
      <c r="C5012">
        <v>1.08720142760606</v>
      </c>
      <c r="D5012">
        <v>1.1243716179968599</v>
      </c>
      <c r="E5012">
        <v>0.91986096384900196</v>
      </c>
      <c r="F5012">
        <v>0.837825238579612</v>
      </c>
      <c r="G5012">
        <v>0.460417768862176</v>
      </c>
      <c r="H5012">
        <v>0.15541767911922399</v>
      </c>
      <c r="I5012">
        <v>0.14146054767688501</v>
      </c>
      <c r="J5012">
        <v>0.163879265289817</v>
      </c>
      <c r="K5012">
        <v>0.52596076903803501</v>
      </c>
      <c r="L5012">
        <v>2128.3461356704702</v>
      </c>
      <c r="M5012">
        <v>38.624495951601801</v>
      </c>
      <c r="N5012">
        <v>56.092685430049002</v>
      </c>
      <c r="O5012">
        <v>54.956443214086399</v>
      </c>
      <c r="P5012">
        <v>-0.132311164195547</v>
      </c>
      <c r="Q5012">
        <v>0.246971800133271</v>
      </c>
      <c r="R5012">
        <v>0.90335382446820001</v>
      </c>
      <c r="S5012" t="s">
        <v>11682</v>
      </c>
      <c r="T5012" t="s">
        <v>13338</v>
      </c>
      <c r="U5012" t="s">
        <v>13338</v>
      </c>
      <c r="V5012" t="s">
        <v>13338</v>
      </c>
      <c r="W5012" t="s">
        <v>18294</v>
      </c>
      <c r="X5012">
        <v>5</v>
      </c>
      <c r="Y5012" t="s">
        <v>24792</v>
      </c>
      <c r="Z5012" t="s">
        <v>31427</v>
      </c>
      <c r="AA5012">
        <v>0.62914697024654609</v>
      </c>
      <c r="AB5012" t="str">
        <f>HYPERLINK("Melting_Curves/meltCurve_Q96DX4_RSPRY1.pdf", "Melting_Curves/meltCurve_Q96DX4_RSPRY1.pdf")</f>
        <v>Melting_Curves/meltCurve_Q96DX4_RSPRY1.pdf</v>
      </c>
    </row>
    <row r="5013" spans="1:28" x14ac:dyDescent="0.25">
      <c r="A5013" t="s">
        <v>5017</v>
      </c>
      <c r="B5013">
        <v>0.99193492352474899</v>
      </c>
      <c r="C5013">
        <v>1.04261489718972</v>
      </c>
      <c r="D5013">
        <v>0.75505671012148001</v>
      </c>
      <c r="E5013">
        <v>0.79730678165816404</v>
      </c>
      <c r="F5013">
        <v>0.56699987265056895</v>
      </c>
      <c r="G5013">
        <v>0.52119407600913603</v>
      </c>
      <c r="H5013">
        <v>0.39752609605334099</v>
      </c>
      <c r="I5013">
        <v>0.55096470416422005</v>
      </c>
      <c r="J5013">
        <v>0.37294990536679001</v>
      </c>
      <c r="K5013">
        <v>0.606422993650645</v>
      </c>
      <c r="L5013">
        <v>825.85186240491998</v>
      </c>
      <c r="M5013">
        <v>16.8357055487505</v>
      </c>
      <c r="N5013">
        <v>59.657435643414203</v>
      </c>
      <c r="O5013">
        <v>48.377187482290502</v>
      </c>
      <c r="P5013">
        <v>-4.5686241797240998E-2</v>
      </c>
      <c r="Q5013">
        <v>0.47491833941320599</v>
      </c>
      <c r="R5013">
        <v>0.85391779890775699</v>
      </c>
      <c r="S5013" t="s">
        <v>11683</v>
      </c>
      <c r="T5013" t="s">
        <v>13338</v>
      </c>
      <c r="U5013" t="s">
        <v>13338</v>
      </c>
      <c r="V5013" t="s">
        <v>13338</v>
      </c>
      <c r="W5013" t="s">
        <v>18295</v>
      </c>
      <c r="X5013">
        <v>1</v>
      </c>
      <c r="Y5013" t="s">
        <v>24793</v>
      </c>
      <c r="Z5013" t="s">
        <v>31428</v>
      </c>
      <c r="AA5013">
        <v>0.64374730927586654</v>
      </c>
      <c r="AB5013" t="str">
        <f>HYPERLINK("Melting_Curves/meltCurve_Q96DX7_TRIM44.pdf", "Melting_Curves/meltCurve_Q96DX7_TRIM44.pdf")</f>
        <v>Melting_Curves/meltCurve_Q96DX7_TRIM44.pdf</v>
      </c>
    </row>
    <row r="5014" spans="1:28" x14ac:dyDescent="0.25">
      <c r="A5014" t="s">
        <v>5018</v>
      </c>
      <c r="B5014">
        <v>0.99193492352474899</v>
      </c>
      <c r="C5014">
        <v>0.97395141104043803</v>
      </c>
      <c r="D5014">
        <v>0.97532120821314106</v>
      </c>
      <c r="E5014">
        <v>0.70412412794537405</v>
      </c>
      <c r="F5014">
        <v>0.551169829022084</v>
      </c>
      <c r="G5014">
        <v>0.27318672577889103</v>
      </c>
      <c r="H5014">
        <v>0.138443006720705</v>
      </c>
      <c r="I5014">
        <v>0.13572466483718201</v>
      </c>
      <c r="J5014">
        <v>0.135365607545579</v>
      </c>
      <c r="K5014">
        <v>0.12806123787233101</v>
      </c>
      <c r="L5014">
        <v>929.90066283964495</v>
      </c>
      <c r="M5014">
        <v>17.720491491382301</v>
      </c>
      <c r="N5014">
        <v>53.162994002237603</v>
      </c>
      <c r="O5014">
        <v>51.821401257277898</v>
      </c>
      <c r="P5014">
        <v>-7.6744209224161503E-2</v>
      </c>
      <c r="Q5014">
        <v>0.102330875005876</v>
      </c>
      <c r="R5014">
        <v>0.99211386473889196</v>
      </c>
      <c r="S5014" t="s">
        <v>11684</v>
      </c>
      <c r="T5014" t="s">
        <v>13338</v>
      </c>
      <c r="U5014" t="s">
        <v>13338</v>
      </c>
      <c r="V5014" t="s">
        <v>13338</v>
      </c>
      <c r="W5014" t="s">
        <v>18296</v>
      </c>
      <c r="X5014">
        <v>10</v>
      </c>
      <c r="Y5014" t="s">
        <v>24794</v>
      </c>
      <c r="Z5014" t="s">
        <v>31429</v>
      </c>
      <c r="AA5014">
        <v>0.49086288599834249</v>
      </c>
      <c r="AB5014" t="str">
        <f>HYPERLINK("Melting_Curves/meltCurve_Q96DZ1_ERLEC1.pdf", "Melting_Curves/meltCurve_Q96DZ1_ERLEC1.pdf")</f>
        <v>Melting_Curves/meltCurve_Q96DZ1_ERLEC1.pdf</v>
      </c>
    </row>
    <row r="5015" spans="1:28" x14ac:dyDescent="0.25">
      <c r="A5015" t="s">
        <v>5019</v>
      </c>
      <c r="B5015">
        <v>0.99193492352474899</v>
      </c>
      <c r="C5015">
        <v>1.05115789686721</v>
      </c>
      <c r="D5015">
        <v>0.69848655550157701</v>
      </c>
      <c r="E5015">
        <v>0.91712631893609697</v>
      </c>
      <c r="F5015">
        <v>0.521146168941926</v>
      </c>
      <c r="G5015">
        <v>0.47588374538300598</v>
      </c>
      <c r="H5015">
        <v>0.33541582402835102</v>
      </c>
      <c r="I5015">
        <v>0.61600459362736304</v>
      </c>
      <c r="J5015">
        <v>0.50623877263538097</v>
      </c>
      <c r="K5015">
        <v>0.96635030494916496</v>
      </c>
      <c r="L5015">
        <v>966.16731185507001</v>
      </c>
      <c r="M5015">
        <v>20.272957353377901</v>
      </c>
      <c r="O5015">
        <v>47.201492643481799</v>
      </c>
      <c r="P5015">
        <v>-4.5334911616611399E-2</v>
      </c>
      <c r="Q5015">
        <v>0.57780025455478201</v>
      </c>
      <c r="R5015">
        <v>0.45168746648019098</v>
      </c>
      <c r="S5015" t="s">
        <v>11685</v>
      </c>
      <c r="T5015" t="s">
        <v>13338</v>
      </c>
      <c r="U5015" t="s">
        <v>13338</v>
      </c>
      <c r="V5015" t="s">
        <v>13338</v>
      </c>
      <c r="W5015" t="s">
        <v>18297</v>
      </c>
      <c r="X5015">
        <v>6</v>
      </c>
      <c r="Y5015" t="s">
        <v>24795</v>
      </c>
      <c r="Z5015" t="s">
        <v>31430</v>
      </c>
      <c r="AA5015">
        <v>0.69144722727623342</v>
      </c>
      <c r="AB5015" t="str">
        <f>HYPERLINK("Melting_Curves/meltCurve_Q96E09_FAM122A.pdf", "Melting_Curves/meltCurve_Q96E09_FAM122A.pdf")</f>
        <v>Melting_Curves/meltCurve_Q96E09_FAM122A.pdf</v>
      </c>
    </row>
    <row r="5016" spans="1:28" x14ac:dyDescent="0.25">
      <c r="A5016" t="s">
        <v>5020</v>
      </c>
      <c r="B5016">
        <v>0.99193492352474899</v>
      </c>
      <c r="C5016">
        <v>0.71117406463720201</v>
      </c>
      <c r="D5016">
        <v>0.93337310994147105</v>
      </c>
      <c r="E5016">
        <v>0.50997651984011505</v>
      </c>
      <c r="F5016">
        <v>0.22711600473773499</v>
      </c>
      <c r="G5016">
        <v>0.116850669066414</v>
      </c>
      <c r="H5016">
        <v>8.7029308690273602E-2</v>
      </c>
      <c r="I5016">
        <v>8.7270078946249802E-2</v>
      </c>
      <c r="J5016">
        <v>0.12566926846653001</v>
      </c>
      <c r="K5016">
        <v>0.14327125916887901</v>
      </c>
      <c r="L5016">
        <v>1063.86386931625</v>
      </c>
      <c r="M5016">
        <v>21.612317786300899</v>
      </c>
      <c r="N5016">
        <v>49.715161838177004</v>
      </c>
      <c r="O5016">
        <v>48.809272565711098</v>
      </c>
      <c r="P5016">
        <v>-0.100075913339991</v>
      </c>
      <c r="Q5016">
        <v>9.5975822303659405E-2</v>
      </c>
      <c r="R5016">
        <v>0.93452782085641894</v>
      </c>
      <c r="S5016" t="s">
        <v>11686</v>
      </c>
      <c r="T5016" t="s">
        <v>13338</v>
      </c>
      <c r="U5016" t="s">
        <v>13338</v>
      </c>
      <c r="V5016" t="s">
        <v>13338</v>
      </c>
      <c r="W5016" t="s">
        <v>18298</v>
      </c>
      <c r="X5016">
        <v>8</v>
      </c>
      <c r="Y5016" t="s">
        <v>24796</v>
      </c>
      <c r="Z5016" t="s">
        <v>31431</v>
      </c>
      <c r="AA5016">
        <v>0.38476311355783233</v>
      </c>
      <c r="AB5016" t="str">
        <f>HYPERLINK("Melting_Curves/meltCurve_Q96E11_3_MRRF.pdf", "Melting_Curves/meltCurve_Q96E11_3_MRRF.pdf")</f>
        <v>Melting_Curves/meltCurve_Q96E11_3_MRRF.pdf</v>
      </c>
    </row>
    <row r="5017" spans="1:28" x14ac:dyDescent="0.25">
      <c r="A5017" t="s">
        <v>5021</v>
      </c>
      <c r="B5017">
        <v>0.99193492352474899</v>
      </c>
      <c r="C5017">
        <v>0.73578351649482698</v>
      </c>
      <c r="D5017">
        <v>0.73301540487005301</v>
      </c>
      <c r="E5017">
        <v>0.27198857999968101</v>
      </c>
      <c r="F5017">
        <v>0.146872400118504</v>
      </c>
      <c r="G5017">
        <v>0.116814600970801</v>
      </c>
      <c r="H5017">
        <v>0.19278527512049301</v>
      </c>
      <c r="I5017">
        <v>0.27774916925774501</v>
      </c>
      <c r="J5017">
        <v>0.38631741607567799</v>
      </c>
      <c r="K5017">
        <v>0.46875703510547401</v>
      </c>
      <c r="L5017">
        <v>1135.0369020778401</v>
      </c>
      <c r="M5017">
        <v>24.823225538975301</v>
      </c>
      <c r="N5017">
        <v>47.095195518812801</v>
      </c>
      <c r="O5017">
        <v>45.431127070025198</v>
      </c>
      <c r="P5017">
        <v>-0.101468133213891</v>
      </c>
      <c r="Q5017">
        <v>0.25718762709884202</v>
      </c>
      <c r="R5017">
        <v>0.81052917311602102</v>
      </c>
      <c r="S5017" t="s">
        <v>11687</v>
      </c>
      <c r="T5017" t="s">
        <v>13338</v>
      </c>
      <c r="U5017" t="s">
        <v>13338</v>
      </c>
      <c r="V5017" t="s">
        <v>13338</v>
      </c>
      <c r="W5017" t="s">
        <v>18299</v>
      </c>
      <c r="X5017">
        <v>2</v>
      </c>
      <c r="Y5017" t="s">
        <v>24797</v>
      </c>
      <c r="Z5017" t="s">
        <v>31432</v>
      </c>
      <c r="AA5017">
        <v>0.40602359220320611</v>
      </c>
      <c r="AB5017" t="str">
        <f>HYPERLINK("Melting_Curves/meltCurve_Q96E14_RMI2.pdf", "Melting_Curves/meltCurve_Q96E14_RMI2.pdf")</f>
        <v>Melting_Curves/meltCurve_Q96E14_RMI2.pdf</v>
      </c>
    </row>
    <row r="5018" spans="1:28" x14ac:dyDescent="0.25">
      <c r="A5018" t="s">
        <v>5022</v>
      </c>
      <c r="B5018">
        <v>0.99193492352474899</v>
      </c>
      <c r="C5018">
        <v>0.78889857259676799</v>
      </c>
      <c r="D5018">
        <v>0.85028081996170002</v>
      </c>
      <c r="E5018">
        <v>0.42547296440550297</v>
      </c>
      <c r="F5018">
        <v>0.21178119446247401</v>
      </c>
      <c r="G5018">
        <v>0.19415367576473599</v>
      </c>
      <c r="H5018">
        <v>0.12509403633739999</v>
      </c>
      <c r="I5018">
        <v>0.13920111413123101</v>
      </c>
      <c r="J5018">
        <v>0.17418708409420799</v>
      </c>
      <c r="K5018">
        <v>0.141081332823876</v>
      </c>
      <c r="L5018">
        <v>986.70937448137704</v>
      </c>
      <c r="M5018">
        <v>20.484972942558802</v>
      </c>
      <c r="N5018">
        <v>48.933931164826099</v>
      </c>
      <c r="O5018">
        <v>47.7154980329518</v>
      </c>
      <c r="P5018">
        <v>-9.2601972269980196E-2</v>
      </c>
      <c r="Q5018">
        <v>0.13723714885806301</v>
      </c>
      <c r="R5018">
        <v>0.96838924639660495</v>
      </c>
      <c r="S5018" t="s">
        <v>11688</v>
      </c>
      <c r="T5018" t="s">
        <v>13338</v>
      </c>
      <c r="U5018" t="s">
        <v>13338</v>
      </c>
      <c r="V5018" t="s">
        <v>13338</v>
      </c>
      <c r="W5018" t="s">
        <v>18300</v>
      </c>
      <c r="X5018">
        <v>2</v>
      </c>
      <c r="Y5018" t="s">
        <v>24798</v>
      </c>
      <c r="Z5018" t="s">
        <v>31433</v>
      </c>
      <c r="AA5018">
        <v>0.38374283157411571</v>
      </c>
      <c r="AB5018" t="str">
        <f>HYPERLINK("Melting_Curves/meltCurve_Q96E40_2_C9orf9.pdf", "Melting_Curves/meltCurve_Q96E40_2_C9orf9.pdf")</f>
        <v>Melting_Curves/meltCurve_Q96E40_2_C9orf9.pdf</v>
      </c>
    </row>
    <row r="5019" spans="1:28" x14ac:dyDescent="0.25">
      <c r="A5019" t="s">
        <v>5023</v>
      </c>
      <c r="B5019">
        <v>0.99193492352474899</v>
      </c>
      <c r="C5019">
        <v>0.86641335188290702</v>
      </c>
      <c r="D5019">
        <v>0.95702364203143797</v>
      </c>
      <c r="E5019">
        <v>0.83247635188092295</v>
      </c>
      <c r="F5019">
        <v>0.66826224000724499</v>
      </c>
      <c r="G5019">
        <v>0.42082967415588801</v>
      </c>
      <c r="H5019">
        <v>0.28393640560871197</v>
      </c>
      <c r="I5019">
        <v>0.25337766633363801</v>
      </c>
      <c r="J5019">
        <v>0.21747349683654699</v>
      </c>
      <c r="K5019">
        <v>0.12761273014817101</v>
      </c>
      <c r="L5019">
        <v>717.88116879763504</v>
      </c>
      <c r="M5019">
        <v>13.0993659346763</v>
      </c>
      <c r="N5019">
        <v>55.8656565407911</v>
      </c>
      <c r="O5019">
        <v>53.572741832262899</v>
      </c>
      <c r="P5019">
        <v>-5.43956860115394E-2</v>
      </c>
      <c r="Q5019">
        <v>0.110299869048537</v>
      </c>
      <c r="R5019">
        <v>0.98241449851064599</v>
      </c>
      <c r="S5019" t="s">
        <v>11689</v>
      </c>
      <c r="T5019" t="s">
        <v>13338</v>
      </c>
      <c r="U5019" t="s">
        <v>13338</v>
      </c>
      <c r="V5019" t="s">
        <v>13338</v>
      </c>
      <c r="W5019" t="s">
        <v>18301</v>
      </c>
      <c r="X5019">
        <v>2</v>
      </c>
      <c r="Y5019" t="s">
        <v>24799</v>
      </c>
      <c r="Z5019" t="s">
        <v>31434</v>
      </c>
      <c r="AA5019">
        <v>0.56919256658548845</v>
      </c>
      <c r="AB5019" t="str">
        <f>HYPERLINK("Melting_Curves/meltCurve_Q96E52_OMA1.pdf", "Melting_Curves/meltCurve_Q96E52_OMA1.pdf")</f>
        <v>Melting_Curves/meltCurve_Q96E52_OMA1.pdf</v>
      </c>
    </row>
    <row r="5020" spans="1:28" x14ac:dyDescent="0.25">
      <c r="A5020" t="s">
        <v>5024</v>
      </c>
      <c r="B5020">
        <v>0.99193492352474899</v>
      </c>
      <c r="C5020">
        <v>0.84238841824033395</v>
      </c>
      <c r="D5020">
        <v>0.63538598756537701</v>
      </c>
      <c r="E5020">
        <v>0.232735131692098</v>
      </c>
      <c r="F5020">
        <v>0.15849223394282499</v>
      </c>
      <c r="G5020">
        <v>8.9639521881697506E-2</v>
      </c>
      <c r="H5020">
        <v>6.2173555306058503E-2</v>
      </c>
      <c r="I5020">
        <v>7.2971390681430798E-2</v>
      </c>
      <c r="J5020">
        <v>8.5781967932449799E-2</v>
      </c>
      <c r="K5020">
        <v>9.5601988078707997E-2</v>
      </c>
      <c r="L5020">
        <v>1032.95123102359</v>
      </c>
      <c r="M5020">
        <v>22.179423110651001</v>
      </c>
      <c r="N5020">
        <v>46.929429353990599</v>
      </c>
      <c r="O5020">
        <v>46.198871703773598</v>
      </c>
      <c r="P5020">
        <v>-0.11070859119216001</v>
      </c>
      <c r="Q5020">
        <v>7.7613475803513798E-2</v>
      </c>
      <c r="R5020">
        <v>0.99523090288604998</v>
      </c>
      <c r="S5020" t="s">
        <v>11690</v>
      </c>
      <c r="T5020" t="s">
        <v>13338</v>
      </c>
      <c r="U5020" t="s">
        <v>13338</v>
      </c>
      <c r="V5020" t="s">
        <v>13338</v>
      </c>
      <c r="W5020" t="s">
        <v>18302</v>
      </c>
      <c r="X5020">
        <v>11</v>
      </c>
      <c r="Y5020" t="s">
        <v>24800</v>
      </c>
      <c r="Z5020" t="s">
        <v>31435</v>
      </c>
      <c r="AA5020">
        <v>0.2905983145156481</v>
      </c>
      <c r="AB5020" t="str">
        <f>HYPERLINK("Melting_Curves/meltCurve_Q96EA4_SPDL1.pdf", "Melting_Curves/meltCurve_Q96EA4_SPDL1.pdf")</f>
        <v>Melting_Curves/meltCurve_Q96EA4_SPDL1.pdf</v>
      </c>
    </row>
    <row r="5021" spans="1:28" x14ac:dyDescent="0.25">
      <c r="A5021" t="s">
        <v>5025</v>
      </c>
      <c r="B5021">
        <v>0.99193492352474899</v>
      </c>
      <c r="C5021">
        <v>0.75188758624997398</v>
      </c>
      <c r="D5021">
        <v>0.87316010950271095</v>
      </c>
      <c r="E5021">
        <v>0.63157069583076797</v>
      </c>
      <c r="F5021">
        <v>0.59275378768907605</v>
      </c>
      <c r="G5021">
        <v>0.38885022788755902</v>
      </c>
      <c r="H5021">
        <v>0.22429448303545799</v>
      </c>
      <c r="I5021">
        <v>0.209555595086267</v>
      </c>
      <c r="J5021">
        <v>0.203410316002442</v>
      </c>
      <c r="K5021">
        <v>0.21206197645757099</v>
      </c>
      <c r="L5021">
        <v>458.88781315040598</v>
      </c>
      <c r="M5021">
        <v>8.6945122048389294</v>
      </c>
      <c r="N5021">
        <v>53.696037189083199</v>
      </c>
      <c r="O5021">
        <v>50.209992886293499</v>
      </c>
      <c r="P5021">
        <v>-4.0337304893309597E-2</v>
      </c>
      <c r="Q5021">
        <v>6.8993837622211604E-2</v>
      </c>
      <c r="R5021">
        <v>0.94999191973601904</v>
      </c>
      <c r="S5021" t="s">
        <v>11691</v>
      </c>
      <c r="T5021" t="s">
        <v>13338</v>
      </c>
      <c r="U5021" t="s">
        <v>13338</v>
      </c>
      <c r="V5021" t="s">
        <v>13338</v>
      </c>
      <c r="W5021" t="s">
        <v>18303</v>
      </c>
      <c r="X5021">
        <v>9</v>
      </c>
      <c r="Y5021" t="s">
        <v>24801</v>
      </c>
      <c r="Z5021" t="s">
        <v>31436</v>
      </c>
      <c r="AA5021">
        <v>0.50242475126796782</v>
      </c>
      <c r="AB5021" t="str">
        <f>HYPERLINK("Melting_Curves/meltCurve_Q96EB1_ELP4.pdf", "Melting_Curves/meltCurve_Q96EB1_ELP4.pdf")</f>
        <v>Melting_Curves/meltCurve_Q96EB1_ELP4.pdf</v>
      </c>
    </row>
    <row r="5022" spans="1:28" x14ac:dyDescent="0.25">
      <c r="A5022" t="s">
        <v>5026</v>
      </c>
      <c r="B5022">
        <v>0.99193492352474899</v>
      </c>
      <c r="C5022">
        <v>1.04826945591544</v>
      </c>
      <c r="D5022">
        <v>0.87264952933747697</v>
      </c>
      <c r="E5022">
        <v>0.53187567980491401</v>
      </c>
      <c r="F5022">
        <v>0.21042989703138101</v>
      </c>
      <c r="G5022">
        <v>0.13515450834730799</v>
      </c>
      <c r="H5022">
        <v>8.5892113802114103E-2</v>
      </c>
      <c r="I5022">
        <v>0.114795724633674</v>
      </c>
      <c r="J5022">
        <v>0.10464084198026601</v>
      </c>
      <c r="K5022">
        <v>0.11072715485392499</v>
      </c>
      <c r="L5022">
        <v>1348.17574080794</v>
      </c>
      <c r="M5022">
        <v>27.298380384871301</v>
      </c>
      <c r="N5022">
        <v>49.809227148508398</v>
      </c>
      <c r="O5022">
        <v>49.123915578762201</v>
      </c>
      <c r="P5022">
        <v>-0.12456761930794701</v>
      </c>
      <c r="Q5022">
        <v>0.10336207058020699</v>
      </c>
      <c r="R5022">
        <v>0.99646439813357401</v>
      </c>
      <c r="S5022" t="s">
        <v>11692</v>
      </c>
      <c r="T5022" t="s">
        <v>13338</v>
      </c>
      <c r="U5022" t="s">
        <v>13338</v>
      </c>
      <c r="V5022" t="s">
        <v>13338</v>
      </c>
      <c r="W5022" t="s">
        <v>18304</v>
      </c>
      <c r="X5022">
        <v>15</v>
      </c>
      <c r="Y5022" t="s">
        <v>24802</v>
      </c>
      <c r="Z5022" t="s">
        <v>31437</v>
      </c>
      <c r="AA5022">
        <v>0.39056850199519211</v>
      </c>
      <c r="AB5022" t="str">
        <f>HYPERLINK("Melting_Curves/meltCurve_Q96EB6_SIRT1.pdf", "Melting_Curves/meltCurve_Q96EB6_SIRT1.pdf")</f>
        <v>Melting_Curves/meltCurve_Q96EB6_SIRT1.pdf</v>
      </c>
    </row>
    <row r="5023" spans="1:28" x14ac:dyDescent="0.25">
      <c r="A5023" t="s">
        <v>5027</v>
      </c>
      <c r="B5023">
        <v>0.99193492352474899</v>
      </c>
      <c r="C5023">
        <v>0.89903306200174704</v>
      </c>
      <c r="D5023">
        <v>0.91922375105849097</v>
      </c>
      <c r="E5023">
        <v>0.76097310807509699</v>
      </c>
      <c r="F5023">
        <v>0.76527593850668396</v>
      </c>
      <c r="G5023">
        <v>0.57336118751816401</v>
      </c>
      <c r="H5023">
        <v>0.47913725363416299</v>
      </c>
      <c r="I5023">
        <v>0.50097847501183901</v>
      </c>
      <c r="J5023">
        <v>0.34482298152347302</v>
      </c>
      <c r="K5023">
        <v>0.541694029187066</v>
      </c>
      <c r="L5023">
        <v>560.612433417072</v>
      </c>
      <c r="M5023">
        <v>10.6064811565694</v>
      </c>
      <c r="N5023">
        <v>62.089017228418598</v>
      </c>
      <c r="O5023">
        <v>51.080577673645699</v>
      </c>
      <c r="P5023">
        <v>-3.13279699283621E-2</v>
      </c>
      <c r="Q5023">
        <v>0.39673491865823401</v>
      </c>
      <c r="R5023">
        <v>0.91697393363542301</v>
      </c>
      <c r="S5023" t="s">
        <v>11693</v>
      </c>
      <c r="T5023" t="s">
        <v>13338</v>
      </c>
      <c r="U5023" t="s">
        <v>13338</v>
      </c>
      <c r="V5023" t="s">
        <v>13338</v>
      </c>
      <c r="W5023" t="s">
        <v>18305</v>
      </c>
      <c r="X5023">
        <v>3</v>
      </c>
      <c r="Y5023" t="s">
        <v>24803</v>
      </c>
      <c r="Z5023" t="s">
        <v>31438</v>
      </c>
      <c r="AA5023">
        <v>0.67506399102694603</v>
      </c>
      <c r="AB5023" t="str">
        <f>HYPERLINK("Melting_Curves/meltCurve_Q96EC8_YIPF6.pdf", "Melting_Curves/meltCurve_Q96EC8_YIPF6.pdf")</f>
        <v>Melting_Curves/meltCurve_Q96EC8_YIPF6.pdf</v>
      </c>
    </row>
    <row r="5024" spans="1:28" x14ac:dyDescent="0.25">
      <c r="A5024" t="s">
        <v>5028</v>
      </c>
      <c r="B5024">
        <v>0.99193492352474899</v>
      </c>
      <c r="C5024">
        <v>0.86299073509995505</v>
      </c>
      <c r="D5024">
        <v>0.84354723746081695</v>
      </c>
      <c r="E5024">
        <v>0.65547414723848996</v>
      </c>
      <c r="F5024">
        <v>0.463962569465113</v>
      </c>
      <c r="G5024">
        <v>0.23764231294089</v>
      </c>
      <c r="H5024">
        <v>8.7985182683951502E-2</v>
      </c>
      <c r="I5024">
        <v>8.8681586941798604E-2</v>
      </c>
      <c r="J5024">
        <v>0.119503978436565</v>
      </c>
      <c r="K5024">
        <v>0.100828572139323</v>
      </c>
      <c r="L5024">
        <v>689.06475213555302</v>
      </c>
      <c r="M5024">
        <v>13.370012741012999</v>
      </c>
      <c r="N5024">
        <v>51.879287690698398</v>
      </c>
      <c r="O5024">
        <v>50.426067041436497</v>
      </c>
      <c r="P5024">
        <v>-6.3505361413437406E-2</v>
      </c>
      <c r="Q5024">
        <v>4.2089598221027501E-2</v>
      </c>
      <c r="R5024">
        <v>0.98743719305419897</v>
      </c>
      <c r="S5024" t="s">
        <v>11694</v>
      </c>
      <c r="T5024" t="s">
        <v>13338</v>
      </c>
      <c r="U5024" t="s">
        <v>13338</v>
      </c>
      <c r="V5024" t="s">
        <v>13338</v>
      </c>
      <c r="W5024" t="s">
        <v>18306</v>
      </c>
      <c r="X5024">
        <v>13</v>
      </c>
      <c r="Y5024" t="s">
        <v>24804</v>
      </c>
      <c r="Z5024" t="s">
        <v>31439</v>
      </c>
      <c r="AA5024">
        <v>0.43644065507974822</v>
      </c>
      <c r="AB5024" t="str">
        <f>HYPERLINK("Melting_Curves/meltCurve_Q96EE3_SEH1L.pdf", "Melting_Curves/meltCurve_Q96EE3_SEH1L.pdf")</f>
        <v>Melting_Curves/meltCurve_Q96EE3_SEH1L.pdf</v>
      </c>
    </row>
    <row r="5025" spans="1:28" x14ac:dyDescent="0.25">
      <c r="A5025" t="s">
        <v>5029</v>
      </c>
      <c r="B5025">
        <v>0.99193492352474899</v>
      </c>
      <c r="C5025">
        <v>1.6210933816780699</v>
      </c>
      <c r="D5025">
        <v>0.68399237488964304</v>
      </c>
      <c r="E5025">
        <v>1.1133560200488599</v>
      </c>
      <c r="F5025">
        <v>0.431591518182317</v>
      </c>
      <c r="G5025">
        <v>0.49066247753006798</v>
      </c>
      <c r="H5025">
        <v>0.21954048217653799</v>
      </c>
      <c r="I5025">
        <v>0.155249499608583</v>
      </c>
      <c r="J5025">
        <v>0.105345278819389</v>
      </c>
      <c r="K5025">
        <v>0.100095078533076</v>
      </c>
      <c r="L5025">
        <v>1066.1776136839501</v>
      </c>
      <c r="M5025">
        <v>19.673301083992001</v>
      </c>
      <c r="N5025">
        <v>54.897573683080502</v>
      </c>
      <c r="O5025">
        <v>53.6435092319877</v>
      </c>
      <c r="P5025">
        <v>-8.1473460458351799E-2</v>
      </c>
      <c r="Q5025">
        <v>0.11141084868758799</v>
      </c>
      <c r="R5025">
        <v>0.74792077950522595</v>
      </c>
      <c r="S5025" t="s">
        <v>11695</v>
      </c>
      <c r="T5025" t="s">
        <v>13338</v>
      </c>
      <c r="U5025" t="s">
        <v>13338</v>
      </c>
      <c r="V5025" t="s">
        <v>13338</v>
      </c>
      <c r="W5025" t="s">
        <v>18307</v>
      </c>
      <c r="X5025">
        <v>4</v>
      </c>
      <c r="Y5025" t="s">
        <v>24805</v>
      </c>
      <c r="Z5025" t="s">
        <v>31440</v>
      </c>
      <c r="AA5025">
        <v>0.54419195855707081</v>
      </c>
      <c r="AB5025" t="str">
        <f>HYPERLINK("Melting_Curves/meltCurve_Q96EH3_MALSU1.pdf", "Melting_Curves/meltCurve_Q96EH3_MALSU1.pdf")</f>
        <v>Melting_Curves/meltCurve_Q96EH3_MALSU1.pdf</v>
      </c>
    </row>
    <row r="5026" spans="1:28" x14ac:dyDescent="0.25">
      <c r="A5026" t="s">
        <v>5030</v>
      </c>
      <c r="B5026">
        <v>0.99193492352474899</v>
      </c>
      <c r="C5026">
        <v>0.959828266675127</v>
      </c>
      <c r="D5026">
        <v>0.75181642563139695</v>
      </c>
      <c r="E5026">
        <v>0.19583690547913199</v>
      </c>
      <c r="F5026">
        <v>0.138904135417037</v>
      </c>
      <c r="G5026">
        <v>9.6718345951773102E-2</v>
      </c>
      <c r="H5026">
        <v>5.5159360165783697E-2</v>
      </c>
      <c r="I5026">
        <v>6.1327455916876099E-2</v>
      </c>
      <c r="J5026">
        <v>7.6922685475801403E-2</v>
      </c>
      <c r="K5026">
        <v>7.71851832560011E-2</v>
      </c>
      <c r="L5026">
        <v>1748.06211074928</v>
      </c>
      <c r="M5026">
        <v>37.045562231160197</v>
      </c>
      <c r="N5026">
        <v>47.409469869747099</v>
      </c>
      <c r="O5026">
        <v>47.0499496232664</v>
      </c>
      <c r="P5026">
        <v>-0.18112554861279501</v>
      </c>
      <c r="Q5026">
        <v>7.9844074173876706E-2</v>
      </c>
      <c r="R5026">
        <v>0.99721295304494695</v>
      </c>
      <c r="S5026" t="s">
        <v>11696</v>
      </c>
      <c r="T5026" t="s">
        <v>13338</v>
      </c>
      <c r="U5026" t="s">
        <v>13338</v>
      </c>
      <c r="V5026" t="s">
        <v>13338</v>
      </c>
      <c r="W5026" t="s">
        <v>18308</v>
      </c>
      <c r="X5026">
        <v>10</v>
      </c>
      <c r="Y5026" t="s">
        <v>24806</v>
      </c>
      <c r="Z5026" t="s">
        <v>31441</v>
      </c>
      <c r="AA5026">
        <v>0.30381637010927298</v>
      </c>
      <c r="AB5026" t="str">
        <f>HYPERLINK("Melting_Curves/meltCurve_Q96EK5_KIAA1279.pdf", "Melting_Curves/meltCurve_Q96EK5_KIAA1279.pdf")</f>
        <v>Melting_Curves/meltCurve_Q96EK5_KIAA1279.pdf</v>
      </c>
    </row>
    <row r="5027" spans="1:28" x14ac:dyDescent="0.25">
      <c r="A5027" t="s">
        <v>5031</v>
      </c>
      <c r="B5027">
        <v>0.99193492352474899</v>
      </c>
      <c r="C5027">
        <v>0.97704371414693303</v>
      </c>
      <c r="D5027">
        <v>1.14151052531303</v>
      </c>
      <c r="E5027">
        <v>1.02379395140148</v>
      </c>
      <c r="F5027">
        <v>0.99186366063001896</v>
      </c>
      <c r="G5027">
        <v>0.86744941426943101</v>
      </c>
      <c r="H5027">
        <v>0.57811464932225898</v>
      </c>
      <c r="I5027">
        <v>0.134339945262029</v>
      </c>
      <c r="J5027">
        <v>0.135256259811216</v>
      </c>
      <c r="K5027">
        <v>0.10540377800833001</v>
      </c>
      <c r="L5027">
        <v>2235.06269020125</v>
      </c>
      <c r="M5027">
        <v>36.801142468251797</v>
      </c>
      <c r="N5027">
        <v>61.030997465558698</v>
      </c>
      <c r="O5027">
        <v>60.555017054954099</v>
      </c>
      <c r="P5027">
        <v>-0.13945763458799301</v>
      </c>
      <c r="Q5027">
        <v>8.2111671595449104E-2</v>
      </c>
      <c r="R5027">
        <v>0.97884152663014101</v>
      </c>
      <c r="S5027" t="s">
        <v>11697</v>
      </c>
      <c r="T5027" t="s">
        <v>13338</v>
      </c>
      <c r="U5027" t="s">
        <v>13338</v>
      </c>
      <c r="V5027" t="s">
        <v>13338</v>
      </c>
      <c r="W5027" t="s">
        <v>18309</v>
      </c>
      <c r="X5027">
        <v>10</v>
      </c>
      <c r="Y5027" t="s">
        <v>24807</v>
      </c>
      <c r="Z5027" t="s">
        <v>31442</v>
      </c>
      <c r="AA5027">
        <v>0.72049359827593185</v>
      </c>
      <c r="AB5027" t="str">
        <f>HYPERLINK("Melting_Curves/meltCurve_Q96EK6_GNPNAT1.pdf", "Melting_Curves/meltCurve_Q96EK6_GNPNAT1.pdf")</f>
        <v>Melting_Curves/meltCurve_Q96EK6_GNPNAT1.pdf</v>
      </c>
    </row>
    <row r="5028" spans="1:28" x14ac:dyDescent="0.25">
      <c r="A5028" t="s">
        <v>5032</v>
      </c>
      <c r="B5028">
        <v>0.99193492352474899</v>
      </c>
      <c r="C5028">
        <v>0.70689224839332399</v>
      </c>
      <c r="D5028">
        <v>0.68315481712876103</v>
      </c>
      <c r="E5028">
        <v>0.28921936089843597</v>
      </c>
      <c r="F5028">
        <v>0.124505817877818</v>
      </c>
      <c r="G5028">
        <v>8.3261657338496206E-2</v>
      </c>
      <c r="H5028">
        <v>5.0179194715903999E-2</v>
      </c>
      <c r="I5028">
        <v>6.6195653297133603E-2</v>
      </c>
      <c r="J5028">
        <v>7.2704004878830206E-2</v>
      </c>
      <c r="K5028">
        <v>9.6123359026259597E-2</v>
      </c>
      <c r="L5028">
        <v>784.97973706568496</v>
      </c>
      <c r="M5028">
        <v>16.8110237219969</v>
      </c>
      <c r="N5028">
        <v>47.004523135138101</v>
      </c>
      <c r="O5028">
        <v>46.0486238146785</v>
      </c>
      <c r="P5028">
        <v>-8.6481591898667207E-2</v>
      </c>
      <c r="Q5028">
        <v>5.2502420637798003E-2</v>
      </c>
      <c r="R5028">
        <v>0.97239751884325698</v>
      </c>
      <c r="S5028" t="s">
        <v>11698</v>
      </c>
      <c r="T5028" t="s">
        <v>13338</v>
      </c>
      <c r="U5028" t="s">
        <v>13338</v>
      </c>
      <c r="V5028" t="s">
        <v>13338</v>
      </c>
      <c r="W5028" t="s">
        <v>18310</v>
      </c>
      <c r="X5028">
        <v>7</v>
      </c>
      <c r="Y5028" t="s">
        <v>24808</v>
      </c>
      <c r="Z5028" t="s">
        <v>31443</v>
      </c>
      <c r="AA5028">
        <v>0.28455304114047919</v>
      </c>
      <c r="AB5028" t="str">
        <f>HYPERLINK("Melting_Curves/meltCurve_Q96EK9_KTI12.pdf", "Melting_Curves/meltCurve_Q96EK9_KTI12.pdf")</f>
        <v>Melting_Curves/meltCurve_Q96EK9_KTI12.pdf</v>
      </c>
    </row>
    <row r="5029" spans="1:28" x14ac:dyDescent="0.25">
      <c r="A5029" t="s">
        <v>5033</v>
      </c>
      <c r="B5029">
        <v>0.99193492352474899</v>
      </c>
      <c r="C5029">
        <v>1.21656006623115</v>
      </c>
      <c r="D5029">
        <v>0.93496275330721601</v>
      </c>
      <c r="E5029">
        <v>1.0160120181250301</v>
      </c>
      <c r="F5029">
        <v>0.437901401299778</v>
      </c>
      <c r="G5029">
        <v>0.28306830312611397</v>
      </c>
      <c r="H5029">
        <v>0.137521908721915</v>
      </c>
      <c r="I5029">
        <v>0.23151720125807501</v>
      </c>
      <c r="J5029">
        <v>0.22134108077310899</v>
      </c>
      <c r="K5029">
        <v>0.16766854918917001</v>
      </c>
      <c r="L5029">
        <v>4144.8870255317497</v>
      </c>
      <c r="M5029">
        <v>78.791297872496102</v>
      </c>
      <c r="N5029">
        <v>52.966238484324201</v>
      </c>
      <c r="O5029">
        <v>52.572040170537598</v>
      </c>
      <c r="P5029">
        <v>-0.29694719750476001</v>
      </c>
      <c r="Q5029">
        <v>0.20746995470020699</v>
      </c>
      <c r="R5029">
        <v>0.96011253247651296</v>
      </c>
      <c r="S5029" t="s">
        <v>11699</v>
      </c>
      <c r="T5029" t="s">
        <v>13338</v>
      </c>
      <c r="U5029" t="s">
        <v>13338</v>
      </c>
      <c r="V5029" t="s">
        <v>13338</v>
      </c>
      <c r="W5029" t="s">
        <v>18311</v>
      </c>
      <c r="X5029">
        <v>1</v>
      </c>
      <c r="Y5029" t="s">
        <v>24809</v>
      </c>
      <c r="Z5029" t="s">
        <v>31444</v>
      </c>
      <c r="AA5029">
        <v>0.54122651101446062</v>
      </c>
      <c r="AB5029" t="str">
        <f>HYPERLINK("Melting_Curves/meltCurve_Q96EL2_MRPS24.pdf", "Melting_Curves/meltCurve_Q96EL2_MRPS24.pdf")</f>
        <v>Melting_Curves/meltCurve_Q96EL2_MRPS24.pdf</v>
      </c>
    </row>
    <row r="5030" spans="1:28" x14ac:dyDescent="0.25">
      <c r="A5030" t="s">
        <v>5034</v>
      </c>
      <c r="B5030">
        <v>0.99193492352474899</v>
      </c>
      <c r="C5030">
        <v>0.63445405227986096</v>
      </c>
      <c r="D5030">
        <v>0.78321758898680005</v>
      </c>
      <c r="E5030">
        <v>0.45638275334355299</v>
      </c>
      <c r="F5030">
        <v>0.22106154417992399</v>
      </c>
      <c r="G5030">
        <v>0.15519858231189801</v>
      </c>
      <c r="H5030">
        <v>0.116068807750661</v>
      </c>
      <c r="I5030">
        <v>0.118412799578859</v>
      </c>
      <c r="J5030">
        <v>0.17481178331852201</v>
      </c>
      <c r="K5030">
        <v>0.20220568796706101</v>
      </c>
      <c r="L5030">
        <v>643.52759988498099</v>
      </c>
      <c r="M5030">
        <v>13.592377306265099</v>
      </c>
      <c r="N5030">
        <v>48.300629993390203</v>
      </c>
      <c r="O5030">
        <v>46.3552202200541</v>
      </c>
      <c r="P5030">
        <v>-6.4670386435338498E-2</v>
      </c>
      <c r="Q5030">
        <v>0.11792775246295401</v>
      </c>
      <c r="R5030">
        <v>0.91578095296300099</v>
      </c>
      <c r="S5030" t="s">
        <v>11700</v>
      </c>
      <c r="T5030" t="s">
        <v>13338</v>
      </c>
      <c r="U5030" t="s">
        <v>13338</v>
      </c>
      <c r="V5030" t="s">
        <v>13338</v>
      </c>
      <c r="W5030" t="s">
        <v>18312</v>
      </c>
      <c r="X5030">
        <v>3</v>
      </c>
      <c r="Y5030" t="s">
        <v>24810</v>
      </c>
      <c r="Z5030" t="s">
        <v>31445</v>
      </c>
      <c r="AA5030">
        <v>0.36244897292411388</v>
      </c>
      <c r="AB5030" t="str">
        <f>HYPERLINK("Melting_Curves/meltCurve_Q96EL3_MRPL53.pdf", "Melting_Curves/meltCurve_Q96EL3_MRPL53.pdf")</f>
        <v>Melting_Curves/meltCurve_Q96EL3_MRPL53.pdf</v>
      </c>
    </row>
    <row r="5031" spans="1:28" x14ac:dyDescent="0.25">
      <c r="A5031" t="s">
        <v>5035</v>
      </c>
      <c r="B5031">
        <v>0.99193492352474899</v>
      </c>
      <c r="C5031">
        <v>0.98336524996107599</v>
      </c>
      <c r="D5031">
        <v>1.09817384465723</v>
      </c>
      <c r="E5031">
        <v>0.95351015751205903</v>
      </c>
      <c r="F5031">
        <v>0.89853885370278097</v>
      </c>
      <c r="G5031">
        <v>0.48184177972023601</v>
      </c>
      <c r="H5031">
        <v>0.21729555756344199</v>
      </c>
      <c r="I5031">
        <v>0.18297442154442201</v>
      </c>
      <c r="J5031">
        <v>0.128726994926329</v>
      </c>
      <c r="K5031">
        <v>0.120907353275364</v>
      </c>
      <c r="L5031">
        <v>1829.5936980291201</v>
      </c>
      <c r="M5031">
        <v>32.563811164587598</v>
      </c>
      <c r="N5031">
        <v>56.751137869949503</v>
      </c>
      <c r="O5031">
        <v>55.974261075745801</v>
      </c>
      <c r="P5031">
        <v>-0.125267865064943</v>
      </c>
      <c r="Q5031">
        <v>0.13870729976142299</v>
      </c>
      <c r="R5031">
        <v>0.99139171513177404</v>
      </c>
      <c r="S5031" t="s">
        <v>11701</v>
      </c>
      <c r="T5031" t="s">
        <v>13338</v>
      </c>
      <c r="U5031" t="s">
        <v>13338</v>
      </c>
      <c r="V5031" t="s">
        <v>13338</v>
      </c>
      <c r="W5031" t="s">
        <v>18313</v>
      </c>
      <c r="X5031">
        <v>4</v>
      </c>
      <c r="Y5031" t="s">
        <v>24811</v>
      </c>
      <c r="Z5031" t="s">
        <v>31446</v>
      </c>
      <c r="AA5031">
        <v>0.60830780241203664</v>
      </c>
      <c r="AB5031" t="str">
        <f>HYPERLINK("Melting_Curves/meltCurve_Q96EM0_L3HYPDH.pdf", "Melting_Curves/meltCurve_Q96EM0_L3HYPDH.pdf")</f>
        <v>Melting_Curves/meltCurve_Q96EM0_L3HYPDH.pdf</v>
      </c>
    </row>
    <row r="5032" spans="1:28" x14ac:dyDescent="0.25">
      <c r="A5032" t="s">
        <v>5036</v>
      </c>
      <c r="B5032">
        <v>0.99193492352474899</v>
      </c>
      <c r="C5032">
        <v>1.1365179044948199</v>
      </c>
      <c r="D5032">
        <v>0.78924770658270005</v>
      </c>
      <c r="E5032">
        <v>0.444717812032833</v>
      </c>
      <c r="F5032">
        <v>0.29127722121760702</v>
      </c>
      <c r="G5032">
        <v>0.18751148753930999</v>
      </c>
      <c r="H5032">
        <v>9.8121963248628694E-2</v>
      </c>
      <c r="I5032">
        <v>0.12387564570767801</v>
      </c>
      <c r="J5032">
        <v>0.188533972436457</v>
      </c>
      <c r="K5032">
        <v>0.131882749419728</v>
      </c>
      <c r="L5032">
        <v>1224.59614860902</v>
      </c>
      <c r="M5032">
        <v>25.222830368474099</v>
      </c>
      <c r="N5032">
        <v>49.2351859389479</v>
      </c>
      <c r="O5032">
        <v>48.248988414349199</v>
      </c>
      <c r="P5032">
        <v>-0.11137426424914899</v>
      </c>
      <c r="Q5032">
        <v>0.14781537935425901</v>
      </c>
      <c r="R5032">
        <v>0.97153616259984199</v>
      </c>
      <c r="S5032" t="s">
        <v>11702</v>
      </c>
      <c r="T5032" t="s">
        <v>13338</v>
      </c>
      <c r="U5032" t="s">
        <v>13338</v>
      </c>
      <c r="V5032" t="s">
        <v>13338</v>
      </c>
      <c r="W5032" t="s">
        <v>18314</v>
      </c>
      <c r="X5032">
        <v>7</v>
      </c>
      <c r="Y5032" t="s">
        <v>24812</v>
      </c>
      <c r="Z5032" t="s">
        <v>31447</v>
      </c>
      <c r="AA5032">
        <v>0.39811586322157588</v>
      </c>
      <c r="AB5032" t="str">
        <f>HYPERLINK("Melting_Curves/meltCurve_Q96EP0_RNF31.pdf", "Melting_Curves/meltCurve_Q96EP0_RNF31.pdf")</f>
        <v>Melting_Curves/meltCurve_Q96EP0_RNF31.pdf</v>
      </c>
    </row>
    <row r="5033" spans="1:28" x14ac:dyDescent="0.25">
      <c r="A5033" t="s">
        <v>5037</v>
      </c>
      <c r="B5033">
        <v>0.99193492352474899</v>
      </c>
      <c r="C5033">
        <v>0.52477801353814202</v>
      </c>
      <c r="D5033">
        <v>0.83066579115475303</v>
      </c>
      <c r="E5033">
        <v>0.52017436634568004</v>
      </c>
      <c r="F5033">
        <v>0.356441725952377</v>
      </c>
      <c r="G5033">
        <v>0.16950826222846099</v>
      </c>
      <c r="H5033">
        <v>8.8846167720992006E-2</v>
      </c>
      <c r="I5033">
        <v>7.3014054340691498E-2</v>
      </c>
      <c r="J5033">
        <v>0.10286799659758999</v>
      </c>
      <c r="K5033">
        <v>0.115695369030916</v>
      </c>
      <c r="L5033">
        <v>456.19407546014901</v>
      </c>
      <c r="M5033">
        <v>9.2528972774136093</v>
      </c>
      <c r="N5033">
        <v>49.302835877807702</v>
      </c>
      <c r="O5033">
        <v>47.164093809305001</v>
      </c>
      <c r="P5033">
        <v>-4.9078387699577702E-2</v>
      </c>
      <c r="Q5033">
        <v>0</v>
      </c>
      <c r="R5033">
        <v>0.87184250908558902</v>
      </c>
      <c r="S5033" t="s">
        <v>11703</v>
      </c>
      <c r="T5033" t="s">
        <v>13338</v>
      </c>
      <c r="U5033" t="s">
        <v>13338</v>
      </c>
      <c r="V5033" t="s">
        <v>13338</v>
      </c>
      <c r="W5033" t="s">
        <v>18315</v>
      </c>
      <c r="X5033">
        <v>5</v>
      </c>
      <c r="Y5033" t="s">
        <v>24813</v>
      </c>
      <c r="Z5033" t="s">
        <v>31448</v>
      </c>
      <c r="AA5033">
        <v>0.36335920231217189</v>
      </c>
      <c r="AB5033" t="str">
        <f>HYPERLINK("Melting_Curves/meltCurve_Q96EP5_DAZAP1.pdf", "Melting_Curves/meltCurve_Q96EP5_DAZAP1.pdf")</f>
        <v>Melting_Curves/meltCurve_Q96EP5_DAZAP1.pdf</v>
      </c>
    </row>
    <row r="5034" spans="1:28" x14ac:dyDescent="0.25">
      <c r="A5034" t="s">
        <v>5038</v>
      </c>
      <c r="B5034">
        <v>0.99193492352474899</v>
      </c>
      <c r="C5034">
        <v>0.94485138805135205</v>
      </c>
      <c r="D5034">
        <v>0.858008098494492</v>
      </c>
      <c r="E5034">
        <v>0.85850253308977897</v>
      </c>
      <c r="F5034">
        <v>0.31859141898705801</v>
      </c>
      <c r="G5034">
        <v>0.14374982448909701</v>
      </c>
      <c r="H5034">
        <v>9.0356713151086093E-2</v>
      </c>
      <c r="I5034">
        <v>0.10947182080269301</v>
      </c>
      <c r="J5034">
        <v>0.12989263429532999</v>
      </c>
      <c r="K5034">
        <v>0.13899908513531001</v>
      </c>
      <c r="L5034">
        <v>1954.9990316865501</v>
      </c>
      <c r="M5034">
        <v>37.909664805913302</v>
      </c>
      <c r="N5034">
        <v>51.930694729741496</v>
      </c>
      <c r="O5034">
        <v>51.427088286044999</v>
      </c>
      <c r="P5034">
        <v>-0.16295365723303101</v>
      </c>
      <c r="Q5034">
        <v>0.115770942277809</v>
      </c>
      <c r="R5034">
        <v>0.98403077298261799</v>
      </c>
      <c r="S5034" t="s">
        <v>11704</v>
      </c>
      <c r="T5034" t="s">
        <v>13338</v>
      </c>
      <c r="U5034" t="s">
        <v>13338</v>
      </c>
      <c r="V5034" t="s">
        <v>13338</v>
      </c>
      <c r="W5034" t="s">
        <v>18316</v>
      </c>
      <c r="X5034">
        <v>2</v>
      </c>
      <c r="Y5034" t="s">
        <v>24814</v>
      </c>
      <c r="Z5034" t="s">
        <v>31449</v>
      </c>
      <c r="AA5034">
        <v>0.4602971972339861</v>
      </c>
      <c r="AB5034" t="str">
        <f>HYPERLINK("Melting_Curves/meltCurve_Q96EQ0_SGTB.pdf", "Melting_Curves/meltCurve_Q96EQ0_SGTB.pdf")</f>
        <v>Melting_Curves/meltCurve_Q96EQ0_SGTB.pdf</v>
      </c>
    </row>
    <row r="5035" spans="1:28" x14ac:dyDescent="0.25">
      <c r="A5035" t="s">
        <v>5039</v>
      </c>
      <c r="B5035">
        <v>0.99193492352474899</v>
      </c>
      <c r="C5035">
        <v>0.77153577203677004</v>
      </c>
      <c r="D5035">
        <v>0.71585451390785804</v>
      </c>
      <c r="E5035">
        <v>0.39463996262803003</v>
      </c>
      <c r="F5035">
        <v>0.154206677070134</v>
      </c>
      <c r="G5035">
        <v>8.1376901773158303E-2</v>
      </c>
      <c r="H5035">
        <v>4.49355646917163E-2</v>
      </c>
      <c r="I5035">
        <v>5.0957271138391699E-2</v>
      </c>
      <c r="J5035">
        <v>5.5601349146097399E-2</v>
      </c>
      <c r="K5035">
        <v>5.3566866129005401E-2</v>
      </c>
      <c r="L5035">
        <v>762.76574398793002</v>
      </c>
      <c r="M5035">
        <v>15.9529635955302</v>
      </c>
      <c r="N5035">
        <v>47.987068771973398</v>
      </c>
      <c r="O5035">
        <v>47.081016961158298</v>
      </c>
      <c r="P5035">
        <v>-8.2340893138999199E-2</v>
      </c>
      <c r="Q5035">
        <v>2.8045982572436901E-2</v>
      </c>
      <c r="R5035">
        <v>0.98690493572886895</v>
      </c>
      <c r="S5035" t="s">
        <v>11705</v>
      </c>
      <c r="T5035" t="s">
        <v>13338</v>
      </c>
      <c r="U5035" t="s">
        <v>13338</v>
      </c>
      <c r="V5035" t="s">
        <v>13338</v>
      </c>
      <c r="W5035" t="s">
        <v>18317</v>
      </c>
      <c r="X5035">
        <v>9</v>
      </c>
      <c r="Y5035" t="s">
        <v>24815</v>
      </c>
      <c r="Z5035" t="s">
        <v>31450</v>
      </c>
      <c r="AA5035">
        <v>0.30347633541896069</v>
      </c>
      <c r="AB5035" t="str">
        <f>HYPERLINK("Melting_Curves/meltCurve_Q96ER3_SAAL1.pdf", "Melting_Curves/meltCurve_Q96ER3_SAAL1.pdf")</f>
        <v>Melting_Curves/meltCurve_Q96ER3_SAAL1.pdf</v>
      </c>
    </row>
    <row r="5036" spans="1:28" x14ac:dyDescent="0.25">
      <c r="A5036" t="s">
        <v>5040</v>
      </c>
      <c r="B5036">
        <v>0.99193492352474899</v>
      </c>
      <c r="C5036">
        <v>0.96229850194829503</v>
      </c>
      <c r="D5036">
        <v>0.94504353914800998</v>
      </c>
      <c r="E5036">
        <v>0.76641416735080603</v>
      </c>
      <c r="F5036">
        <v>0.58170812910801695</v>
      </c>
      <c r="G5036">
        <v>0.12517349316944601</v>
      </c>
      <c r="H5036">
        <v>8.4934236133958896E-2</v>
      </c>
      <c r="I5036">
        <v>9.1827662522536199E-2</v>
      </c>
      <c r="J5036">
        <v>9.2845873270815504E-2</v>
      </c>
      <c r="K5036">
        <v>0.105417510555043</v>
      </c>
      <c r="L5036">
        <v>1229.53199639594</v>
      </c>
      <c r="M5036">
        <v>23.307397941476601</v>
      </c>
      <c r="N5036">
        <v>53.086079425444403</v>
      </c>
      <c r="O5036">
        <v>52.369121194492202</v>
      </c>
      <c r="P5036">
        <v>-0.10369532040198499</v>
      </c>
      <c r="Q5036">
        <v>6.8049166382108006E-2</v>
      </c>
      <c r="R5036">
        <v>0.98375477103632103</v>
      </c>
      <c r="S5036" t="s">
        <v>11706</v>
      </c>
      <c r="T5036" t="s">
        <v>13338</v>
      </c>
      <c r="U5036" t="s">
        <v>13338</v>
      </c>
      <c r="V5036" t="s">
        <v>13338</v>
      </c>
      <c r="W5036" t="s">
        <v>18318</v>
      </c>
      <c r="X5036">
        <v>12</v>
      </c>
      <c r="Y5036" t="s">
        <v>24816</v>
      </c>
      <c r="Z5036" t="s">
        <v>31451</v>
      </c>
      <c r="AA5036">
        <v>0.47398132566720208</v>
      </c>
      <c r="AB5036" t="str">
        <f>HYPERLINK("Melting_Curves/meltCurve_Q96ER9_CCDC51.pdf", "Melting_Curves/meltCurve_Q96ER9_CCDC51.pdf")</f>
        <v>Melting_Curves/meltCurve_Q96ER9_CCDC51.pdf</v>
      </c>
    </row>
    <row r="5037" spans="1:28" x14ac:dyDescent="0.25">
      <c r="A5037" t="s">
        <v>5041</v>
      </c>
      <c r="B5037">
        <v>0.99193492352474899</v>
      </c>
      <c r="C5037">
        <v>0.78142844166019099</v>
      </c>
      <c r="D5037">
        <v>0.85465896283303699</v>
      </c>
      <c r="E5037">
        <v>0.53567692728438299</v>
      </c>
      <c r="F5037">
        <v>0.28235116487713502</v>
      </c>
      <c r="G5037">
        <v>0.10837047001759</v>
      </c>
      <c r="H5037">
        <v>6.6595339821153607E-2</v>
      </c>
      <c r="I5037">
        <v>6.9769089984472496E-2</v>
      </c>
      <c r="J5037">
        <v>8.6560763714986999E-2</v>
      </c>
      <c r="K5037">
        <v>7.1548824009182305E-2</v>
      </c>
      <c r="L5037">
        <v>794.763908016659</v>
      </c>
      <c r="M5037">
        <v>16.024328668633601</v>
      </c>
      <c r="N5037">
        <v>49.872513902173097</v>
      </c>
      <c r="O5037">
        <v>48.844200180364197</v>
      </c>
      <c r="P5037">
        <v>-7.8553434168692302E-2</v>
      </c>
      <c r="Q5037">
        <v>4.2311073167061897E-2</v>
      </c>
      <c r="R5037">
        <v>0.97580287332640703</v>
      </c>
      <c r="S5037" t="s">
        <v>11707</v>
      </c>
      <c r="T5037" t="s">
        <v>13338</v>
      </c>
      <c r="U5037" t="s">
        <v>13338</v>
      </c>
      <c r="V5037" t="s">
        <v>13338</v>
      </c>
      <c r="W5037" t="s">
        <v>18319</v>
      </c>
      <c r="X5037">
        <v>8</v>
      </c>
      <c r="Y5037" t="s">
        <v>24817</v>
      </c>
      <c r="Z5037" t="s">
        <v>31452</v>
      </c>
      <c r="AA5037">
        <v>0.36917751267396659</v>
      </c>
      <c r="AB5037" t="str">
        <f>HYPERLINK("Melting_Curves/meltCurve_Q96ES7_CCDC101.pdf", "Melting_Curves/meltCurve_Q96ES7_CCDC101.pdf")</f>
        <v>Melting_Curves/meltCurve_Q96ES7_CCDC101.pdf</v>
      </c>
    </row>
    <row r="5038" spans="1:28" x14ac:dyDescent="0.25">
      <c r="A5038" t="s">
        <v>5042</v>
      </c>
      <c r="B5038">
        <v>0.99193492352474899</v>
      </c>
      <c r="C5038">
        <v>0.73941367749928599</v>
      </c>
      <c r="D5038">
        <v>0.87487712801968398</v>
      </c>
      <c r="E5038">
        <v>0.51393229968783005</v>
      </c>
      <c r="F5038">
        <v>0.42126200224017102</v>
      </c>
      <c r="G5038">
        <v>0.28138908771139998</v>
      </c>
      <c r="H5038">
        <v>0.285731070659964</v>
      </c>
      <c r="I5038">
        <v>0.36574874320735201</v>
      </c>
      <c r="J5038">
        <v>0.56089093813375601</v>
      </c>
      <c r="K5038">
        <v>0.71295426232812098</v>
      </c>
      <c r="L5038">
        <v>956.48612908498706</v>
      </c>
      <c r="M5038">
        <v>20.658362408156101</v>
      </c>
      <c r="N5038">
        <v>51.2460916103553</v>
      </c>
      <c r="O5038">
        <v>45.8728864649242</v>
      </c>
      <c r="P5038">
        <v>-6.39600101028443E-2</v>
      </c>
      <c r="Q5038">
        <v>0.43191113041085999</v>
      </c>
      <c r="R5038">
        <v>0.63699945916664702</v>
      </c>
      <c r="S5038" t="s">
        <v>11708</v>
      </c>
      <c r="T5038" t="s">
        <v>13338</v>
      </c>
      <c r="U5038" t="s">
        <v>13338</v>
      </c>
      <c r="V5038" t="s">
        <v>13338</v>
      </c>
      <c r="W5038" t="s">
        <v>18320</v>
      </c>
      <c r="X5038">
        <v>3</v>
      </c>
      <c r="Y5038" t="s">
        <v>24818</v>
      </c>
      <c r="Z5038" t="s">
        <v>31453</v>
      </c>
      <c r="AA5038">
        <v>0.55921370291423067</v>
      </c>
      <c r="AB5038" t="str">
        <f>HYPERLINK("Melting_Curves/meltCurve_Q96EU6_2_RRP36.pdf", "Melting_Curves/meltCurve_Q96EU6_2_RRP36.pdf")</f>
        <v>Melting_Curves/meltCurve_Q96EU6_2_RRP36.pdf</v>
      </c>
    </row>
    <row r="5039" spans="1:28" x14ac:dyDescent="0.25">
      <c r="A5039" t="s">
        <v>5043</v>
      </c>
      <c r="B5039">
        <v>0.99193492352474899</v>
      </c>
      <c r="C5039">
        <v>0.62248916909709895</v>
      </c>
      <c r="D5039">
        <v>0.65570891565146405</v>
      </c>
      <c r="E5039">
        <v>0.32888382958384899</v>
      </c>
      <c r="F5039">
        <v>0.210135608660068</v>
      </c>
      <c r="G5039">
        <v>0.11775964556893601</v>
      </c>
      <c r="H5039">
        <v>0.112588017634128</v>
      </c>
      <c r="I5039">
        <v>0.133268993316076</v>
      </c>
      <c r="J5039">
        <v>0.146222603540486</v>
      </c>
      <c r="K5039">
        <v>0.216956219289103</v>
      </c>
      <c r="L5039">
        <v>685.43791774869203</v>
      </c>
      <c r="M5039">
        <v>14.976102612293399</v>
      </c>
      <c r="N5039">
        <v>46.700794674117098</v>
      </c>
      <c r="O5039">
        <v>44.975998386005301</v>
      </c>
      <c r="P5039">
        <v>-7.2499112640724103E-2</v>
      </c>
      <c r="Q5039">
        <v>0.129176181559124</v>
      </c>
      <c r="R5039">
        <v>0.937742280002275</v>
      </c>
      <c r="S5039" t="s">
        <v>11709</v>
      </c>
      <c r="T5039" t="s">
        <v>13338</v>
      </c>
      <c r="U5039" t="s">
        <v>13338</v>
      </c>
      <c r="V5039" t="s">
        <v>13338</v>
      </c>
      <c r="W5039" t="s">
        <v>18321</v>
      </c>
      <c r="X5039">
        <v>13</v>
      </c>
      <c r="Y5039" t="s">
        <v>24819</v>
      </c>
      <c r="Z5039" t="s">
        <v>31454</v>
      </c>
      <c r="AA5039">
        <v>0.32265802510246799</v>
      </c>
      <c r="AB5039" t="str">
        <f>HYPERLINK("Melting_Curves/meltCurve_Q96EV2_RBM33.pdf", "Melting_Curves/meltCurve_Q96EV2_RBM33.pdf")</f>
        <v>Melting_Curves/meltCurve_Q96EV2_RBM33.pdf</v>
      </c>
    </row>
    <row r="5040" spans="1:28" x14ac:dyDescent="0.25">
      <c r="A5040" t="s">
        <v>5044</v>
      </c>
      <c r="B5040">
        <v>0.99193492352474899</v>
      </c>
      <c r="C5040">
        <v>0.99482775780480304</v>
      </c>
      <c r="D5040">
        <v>0.81775552139815499</v>
      </c>
      <c r="E5040">
        <v>0.63316632305254905</v>
      </c>
      <c r="F5040">
        <v>0.45616683127912799</v>
      </c>
      <c r="G5040">
        <v>0.28812046020430698</v>
      </c>
      <c r="H5040">
        <v>0.12431963024635399</v>
      </c>
      <c r="I5040">
        <v>0.110724424179433</v>
      </c>
      <c r="J5040">
        <v>0.136205318057323</v>
      </c>
      <c r="K5040">
        <v>0.15712942142766301</v>
      </c>
      <c r="L5040">
        <v>747.14088006720499</v>
      </c>
      <c r="M5040">
        <v>14.614449457451601</v>
      </c>
      <c r="N5040">
        <v>51.898613585703998</v>
      </c>
      <c r="O5040">
        <v>50.194835707469899</v>
      </c>
      <c r="P5040">
        <v>-6.5658842855845403E-2</v>
      </c>
      <c r="Q5040">
        <v>9.8052537688452707E-2</v>
      </c>
      <c r="R5040">
        <v>0.99078726643284198</v>
      </c>
      <c r="S5040" t="s">
        <v>11710</v>
      </c>
      <c r="T5040" t="s">
        <v>13338</v>
      </c>
      <c r="U5040" t="s">
        <v>13338</v>
      </c>
      <c r="V5040" t="s">
        <v>13338</v>
      </c>
      <c r="W5040" t="s">
        <v>18322</v>
      </c>
      <c r="X5040">
        <v>6</v>
      </c>
      <c r="Y5040" t="s">
        <v>24820</v>
      </c>
      <c r="Z5040" t="s">
        <v>31455</v>
      </c>
      <c r="AA5040">
        <v>0.4541336892864225</v>
      </c>
      <c r="AB5040" t="str">
        <f>HYPERLINK("Melting_Curves/meltCurve_Q96EV8_2_DTNBP1.pdf", "Melting_Curves/meltCurve_Q96EV8_2_DTNBP1.pdf")</f>
        <v>Melting_Curves/meltCurve_Q96EV8_2_DTNBP1.pdf</v>
      </c>
    </row>
    <row r="5041" spans="1:28" x14ac:dyDescent="0.25">
      <c r="A5041" t="s">
        <v>5045</v>
      </c>
      <c r="B5041">
        <v>0.99193492352474899</v>
      </c>
      <c r="C5041">
        <v>0.89732644668947203</v>
      </c>
      <c r="D5041">
        <v>0.93204899030870203</v>
      </c>
      <c r="E5041">
        <v>0.65701815263064001</v>
      </c>
      <c r="F5041">
        <v>0.46040081471070399</v>
      </c>
      <c r="G5041">
        <v>0.30315386640430703</v>
      </c>
      <c r="H5041">
        <v>0.15814544577595999</v>
      </c>
      <c r="I5041">
        <v>0.18760688797800801</v>
      </c>
      <c r="J5041">
        <v>0.16188797852977499</v>
      </c>
      <c r="K5041">
        <v>0.12985841786967101</v>
      </c>
      <c r="L5041">
        <v>794.56349735522804</v>
      </c>
      <c r="M5041">
        <v>15.454285661782301</v>
      </c>
      <c r="N5041">
        <v>52.3910846246077</v>
      </c>
      <c r="O5041">
        <v>50.576008172844602</v>
      </c>
      <c r="P5041">
        <v>-6.6831501354920594E-2</v>
      </c>
      <c r="Q5041">
        <v>0.12522212604614399</v>
      </c>
      <c r="R5041">
        <v>0.99068739622980595</v>
      </c>
      <c r="S5041" t="s">
        <v>11711</v>
      </c>
      <c r="T5041" t="s">
        <v>13338</v>
      </c>
      <c r="U5041" t="s">
        <v>13338</v>
      </c>
      <c r="V5041" t="s">
        <v>13338</v>
      </c>
      <c r="W5041" t="s">
        <v>18323</v>
      </c>
      <c r="X5041">
        <v>2</v>
      </c>
      <c r="Y5041" t="s">
        <v>24821</v>
      </c>
      <c r="Z5041" t="s">
        <v>31456</v>
      </c>
      <c r="AA5041">
        <v>0.47704637070287098</v>
      </c>
      <c r="AB5041" t="str">
        <f>HYPERLINK("Melting_Curves/meltCurve_Q96EW2_HSPBAP1.pdf", "Melting_Curves/meltCurve_Q96EW2_HSPBAP1.pdf")</f>
        <v>Melting_Curves/meltCurve_Q96EW2_HSPBAP1.pdf</v>
      </c>
    </row>
    <row r="5042" spans="1:28" x14ac:dyDescent="0.25">
      <c r="A5042" t="s">
        <v>5046</v>
      </c>
      <c r="B5042">
        <v>0.99193492352474899</v>
      </c>
      <c r="C5042">
        <v>0.72767429506061898</v>
      </c>
      <c r="D5042">
        <v>0.82081440032721897</v>
      </c>
      <c r="E5042">
        <v>0.55545714294948401</v>
      </c>
      <c r="F5042">
        <v>0.41214046011105299</v>
      </c>
      <c r="G5042">
        <v>0.343190244988477</v>
      </c>
      <c r="H5042">
        <v>0.32432685084642698</v>
      </c>
      <c r="I5042">
        <v>0.42818882275404602</v>
      </c>
      <c r="J5042">
        <v>0.47693976226218798</v>
      </c>
      <c r="K5042">
        <v>0.72986314940994201</v>
      </c>
      <c r="L5042">
        <v>812.54361472777396</v>
      </c>
      <c r="M5042">
        <v>17.875004823651501</v>
      </c>
      <c r="N5042">
        <v>52.190156476734401</v>
      </c>
      <c r="O5042">
        <v>44.899498389669397</v>
      </c>
      <c r="P5042">
        <v>-5.4725647315800499E-2</v>
      </c>
      <c r="Q5042">
        <v>0.45017540143725798</v>
      </c>
      <c r="R5042">
        <v>0.66858370669865197</v>
      </c>
      <c r="S5042" t="s">
        <v>11712</v>
      </c>
      <c r="T5042" t="s">
        <v>13338</v>
      </c>
      <c r="U5042" t="s">
        <v>13338</v>
      </c>
      <c r="V5042" t="s">
        <v>13338</v>
      </c>
      <c r="W5042" t="s">
        <v>18324</v>
      </c>
      <c r="X5042">
        <v>3</v>
      </c>
      <c r="Y5042" t="s">
        <v>24822</v>
      </c>
      <c r="Z5042" t="s">
        <v>31457</v>
      </c>
      <c r="AA5042">
        <v>0.56167601372311105</v>
      </c>
      <c r="AB5042" t="str">
        <f>HYPERLINK("Melting_Curves/meltCurve_Q96EX1_SMIM12.pdf", "Melting_Curves/meltCurve_Q96EX1_SMIM12.pdf")</f>
        <v>Melting_Curves/meltCurve_Q96EX1_SMIM12.pdf</v>
      </c>
    </row>
    <row r="5043" spans="1:28" x14ac:dyDescent="0.25">
      <c r="A5043" t="s">
        <v>5047</v>
      </c>
      <c r="B5043">
        <v>0.99193492352474899</v>
      </c>
      <c r="C5043">
        <v>0.91861531917575401</v>
      </c>
      <c r="D5043">
        <v>1.0326073230452599</v>
      </c>
      <c r="E5043">
        <v>0.75498528673013998</v>
      </c>
      <c r="F5043">
        <v>0.56850272836039395</v>
      </c>
      <c r="G5043">
        <v>0.23931018467071699</v>
      </c>
      <c r="H5043">
        <v>0.104728415193834</v>
      </c>
      <c r="I5043">
        <v>9.7727950708875605E-2</v>
      </c>
      <c r="J5043">
        <v>9.39257022395803E-2</v>
      </c>
      <c r="K5043">
        <v>8.5693183795638395E-2</v>
      </c>
      <c r="L5043">
        <v>1074.0030412495601</v>
      </c>
      <c r="M5043">
        <v>20.249083275895799</v>
      </c>
      <c r="N5043">
        <v>53.420423766227003</v>
      </c>
      <c r="O5043">
        <v>52.530417683445101</v>
      </c>
      <c r="P5043">
        <v>-8.9894207601868198E-2</v>
      </c>
      <c r="Q5043">
        <v>6.7210303417683498E-2</v>
      </c>
      <c r="R5043">
        <v>0.987607162566014</v>
      </c>
      <c r="S5043" t="s">
        <v>11713</v>
      </c>
      <c r="T5043" t="s">
        <v>13338</v>
      </c>
      <c r="U5043" t="s">
        <v>13338</v>
      </c>
      <c r="V5043" t="s">
        <v>13338</v>
      </c>
      <c r="W5043" t="s">
        <v>18325</v>
      </c>
      <c r="X5043">
        <v>5</v>
      </c>
      <c r="Y5043" t="s">
        <v>24823</v>
      </c>
      <c r="Z5043" t="s">
        <v>31458</v>
      </c>
      <c r="AA5043">
        <v>0.48520669968589308</v>
      </c>
      <c r="AB5043" t="str">
        <f>HYPERLINK("Melting_Curves/meltCurve_Q96EX3_WDR34.pdf", "Melting_Curves/meltCurve_Q96EX3_WDR34.pdf")</f>
        <v>Melting_Curves/meltCurve_Q96EX3_WDR34.pdf</v>
      </c>
    </row>
    <row r="5044" spans="1:28" x14ac:dyDescent="0.25">
      <c r="A5044" t="s">
        <v>5048</v>
      </c>
      <c r="B5044">
        <v>0.99193492352474899</v>
      </c>
      <c r="C5044">
        <v>0.66757465326508902</v>
      </c>
      <c r="D5044">
        <v>0.87964873401320098</v>
      </c>
      <c r="E5044">
        <v>0.53059069458126296</v>
      </c>
      <c r="F5044">
        <v>0.35394127943599202</v>
      </c>
      <c r="G5044">
        <v>0.17337756259940099</v>
      </c>
      <c r="H5044">
        <v>9.3187170176500203E-2</v>
      </c>
      <c r="I5044">
        <v>0.102622695313285</v>
      </c>
      <c r="J5044">
        <v>8.8528906532603494E-2</v>
      </c>
      <c r="K5044">
        <v>0.10978404438964801</v>
      </c>
      <c r="L5044">
        <v>588.97440663104305</v>
      </c>
      <c r="M5044">
        <v>11.820180370000401</v>
      </c>
      <c r="N5044">
        <v>50.132027378572701</v>
      </c>
      <c r="O5044">
        <v>48.465853658018602</v>
      </c>
      <c r="P5044">
        <v>-5.8876997112149998E-2</v>
      </c>
      <c r="Q5044">
        <v>3.4601752797417999E-2</v>
      </c>
      <c r="R5044">
        <v>0.934406356329048</v>
      </c>
      <c r="S5044" t="s">
        <v>11714</v>
      </c>
      <c r="T5044" t="s">
        <v>13338</v>
      </c>
      <c r="U5044" t="s">
        <v>13338</v>
      </c>
      <c r="V5044" t="s">
        <v>13338</v>
      </c>
      <c r="W5044" t="s">
        <v>18326</v>
      </c>
      <c r="X5044">
        <v>8</v>
      </c>
      <c r="Y5044" t="s">
        <v>24824</v>
      </c>
      <c r="Z5044" t="s">
        <v>31459</v>
      </c>
      <c r="AA5044">
        <v>0.38543298389340241</v>
      </c>
      <c r="AB5044" t="str">
        <f>HYPERLINK("Melting_Curves/meltCurve_Q96EY1_DNAJA3.pdf", "Melting_Curves/meltCurve_Q96EY1_DNAJA3.pdf")</f>
        <v>Melting_Curves/meltCurve_Q96EY1_DNAJA3.pdf</v>
      </c>
    </row>
    <row r="5045" spans="1:28" x14ac:dyDescent="0.25">
      <c r="A5045" t="s">
        <v>5049</v>
      </c>
      <c r="B5045">
        <v>0.99193492352474899</v>
      </c>
      <c r="C5045">
        <v>0.93941275475505703</v>
      </c>
      <c r="D5045">
        <v>0.75902060883370703</v>
      </c>
      <c r="E5045">
        <v>0.32368005203920402</v>
      </c>
      <c r="F5045">
        <v>0.125686224151599</v>
      </c>
      <c r="G5045">
        <v>7.2916115671448595E-2</v>
      </c>
      <c r="H5045">
        <v>5.01443430503309E-2</v>
      </c>
      <c r="I5045">
        <v>3.9316890693136201E-2</v>
      </c>
      <c r="J5045">
        <v>4.4217067575443698E-2</v>
      </c>
      <c r="K5045">
        <v>5.6048893229305903E-2</v>
      </c>
      <c r="L5045">
        <v>1200.34676700453</v>
      </c>
      <c r="M5045">
        <v>25.058934367342498</v>
      </c>
      <c r="N5045">
        <v>48.093104643630703</v>
      </c>
      <c r="O5045">
        <v>47.599024555208601</v>
      </c>
      <c r="P5045">
        <v>-0.125347367791252</v>
      </c>
      <c r="Q5045">
        <v>4.7631813155939E-2</v>
      </c>
      <c r="R5045">
        <v>0.99962113062106905</v>
      </c>
      <c r="S5045" t="s">
        <v>11715</v>
      </c>
      <c r="T5045" t="s">
        <v>13338</v>
      </c>
      <c r="U5045" t="s">
        <v>13338</v>
      </c>
      <c r="V5045" t="s">
        <v>13338</v>
      </c>
      <c r="W5045" t="s">
        <v>18327</v>
      </c>
      <c r="X5045">
        <v>7</v>
      </c>
      <c r="Y5045" t="s">
        <v>24825</v>
      </c>
      <c r="Z5045" t="s">
        <v>31460</v>
      </c>
      <c r="AA5045">
        <v>0.30683019319510968</v>
      </c>
      <c r="AB5045" t="str">
        <f>HYPERLINK("Melting_Curves/meltCurve_Q96EY5_MVB12A.pdf", "Melting_Curves/meltCurve_Q96EY5_MVB12A.pdf")</f>
        <v>Melting_Curves/meltCurve_Q96EY5_MVB12A.pdf</v>
      </c>
    </row>
    <row r="5046" spans="1:28" x14ac:dyDescent="0.25">
      <c r="A5046" t="s">
        <v>5050</v>
      </c>
      <c r="B5046">
        <v>0.99193492352474899</v>
      </c>
      <c r="C5046">
        <v>0.64807020769587398</v>
      </c>
      <c r="D5046">
        <v>0.58148686557404805</v>
      </c>
      <c r="E5046">
        <v>0.36030035816116501</v>
      </c>
      <c r="F5046">
        <v>0.15536518348267001</v>
      </c>
      <c r="G5046">
        <v>9.0063136391567905E-2</v>
      </c>
      <c r="H5046">
        <v>4.6499183594020402E-2</v>
      </c>
      <c r="I5046">
        <v>5.8379709769968598E-2</v>
      </c>
      <c r="J5046">
        <v>7.4434333840996694E-2</v>
      </c>
      <c r="K5046">
        <v>7.18048896216818E-2</v>
      </c>
      <c r="L5046">
        <v>628.673214691417</v>
      </c>
      <c r="M5046">
        <v>13.561276954558901</v>
      </c>
      <c r="N5046">
        <v>46.633910060877902</v>
      </c>
      <c r="O5046">
        <v>45.384770375691097</v>
      </c>
      <c r="P5046">
        <v>-7.1832327759733902E-2</v>
      </c>
      <c r="Q5046">
        <v>3.8555063346238802E-2</v>
      </c>
      <c r="R5046">
        <v>0.97252606629655203</v>
      </c>
      <c r="S5046" t="s">
        <v>11716</v>
      </c>
      <c r="T5046" t="s">
        <v>13338</v>
      </c>
      <c r="U5046" t="s">
        <v>13338</v>
      </c>
      <c r="V5046" t="s">
        <v>13338</v>
      </c>
      <c r="W5046" t="s">
        <v>18328</v>
      </c>
      <c r="X5046">
        <v>11</v>
      </c>
      <c r="Y5046" t="s">
        <v>24826</v>
      </c>
      <c r="Z5046" t="s">
        <v>31461</v>
      </c>
      <c r="AA5046">
        <v>0.275859525291622</v>
      </c>
      <c r="AB5046" t="str">
        <f>HYPERLINK("Melting_Curves/meltCurve_Q96EY7_PTCD3.pdf", "Melting_Curves/meltCurve_Q96EY7_PTCD3.pdf")</f>
        <v>Melting_Curves/meltCurve_Q96EY7_PTCD3.pdf</v>
      </c>
    </row>
    <row r="5047" spans="1:28" x14ac:dyDescent="0.25">
      <c r="A5047" t="s">
        <v>5051</v>
      </c>
      <c r="B5047">
        <v>0.99193492352474899</v>
      </c>
      <c r="C5047">
        <v>1.03309349927952</v>
      </c>
      <c r="D5047">
        <v>0.839796995155209</v>
      </c>
      <c r="E5047">
        <v>0.92595545269508694</v>
      </c>
      <c r="F5047">
        <v>0.64927907254732597</v>
      </c>
      <c r="G5047">
        <v>0.48699219472629401</v>
      </c>
      <c r="H5047">
        <v>0.268370158621481</v>
      </c>
      <c r="I5047">
        <v>0.21208432497034099</v>
      </c>
      <c r="J5047">
        <v>0.148542001831343</v>
      </c>
      <c r="K5047">
        <v>0.14767127780724301</v>
      </c>
      <c r="L5047">
        <v>793.307601522597</v>
      </c>
      <c r="M5047">
        <v>14.315961277906901</v>
      </c>
      <c r="N5047">
        <v>56.191898594250901</v>
      </c>
      <c r="O5047">
        <v>54.366584127134402</v>
      </c>
      <c r="P5047">
        <v>-5.9921801450471802E-2</v>
      </c>
      <c r="Q5047">
        <v>8.9869403355379102E-2</v>
      </c>
      <c r="R5047">
        <v>0.98137015477774203</v>
      </c>
      <c r="S5047" t="s">
        <v>11717</v>
      </c>
      <c r="T5047" t="s">
        <v>13338</v>
      </c>
      <c r="U5047" t="s">
        <v>13338</v>
      </c>
      <c r="V5047" t="s">
        <v>13338</v>
      </c>
      <c r="W5047" t="s">
        <v>18329</v>
      </c>
      <c r="X5047">
        <v>8</v>
      </c>
      <c r="Y5047" t="s">
        <v>24827</v>
      </c>
      <c r="Z5047" t="s">
        <v>31462</v>
      </c>
      <c r="AA5047">
        <v>0.57526869496160604</v>
      </c>
      <c r="AB5047" t="str">
        <f>HYPERLINK("Melting_Curves/meltCurve_Q96EY8_MMAB.pdf", "Melting_Curves/meltCurve_Q96EY8_MMAB.pdf")</f>
        <v>Melting_Curves/meltCurve_Q96EY8_MMAB.pdf</v>
      </c>
    </row>
    <row r="5048" spans="1:28" x14ac:dyDescent="0.25">
      <c r="A5048" t="s">
        <v>5052</v>
      </c>
      <c r="B5048">
        <v>0.99193492352474899</v>
      </c>
      <c r="C5048">
        <v>1.04014348534504</v>
      </c>
      <c r="D5048">
        <v>0.84358372186776998</v>
      </c>
      <c r="E5048">
        <v>0.55541639470360205</v>
      </c>
      <c r="F5048">
        <v>0.56842260508865705</v>
      </c>
      <c r="G5048">
        <v>0.29337210480682202</v>
      </c>
      <c r="H5048">
        <v>0.15234058644065501</v>
      </c>
      <c r="I5048">
        <v>0.121344518789296</v>
      </c>
      <c r="J5048">
        <v>9.93238373750992E-2</v>
      </c>
      <c r="K5048">
        <v>0.118018311322216</v>
      </c>
      <c r="L5048">
        <v>664.21385174266902</v>
      </c>
      <c r="M5048">
        <v>12.770239704716801</v>
      </c>
      <c r="N5048">
        <v>52.509200257853998</v>
      </c>
      <c r="O5048">
        <v>50.786687141053001</v>
      </c>
      <c r="P5048">
        <v>-5.9297867045567602E-2</v>
      </c>
      <c r="Q5048">
        <v>5.6878446416571901E-2</v>
      </c>
      <c r="R5048">
        <v>0.97107998905610404</v>
      </c>
      <c r="S5048" t="s">
        <v>11718</v>
      </c>
      <c r="T5048" t="s">
        <v>13338</v>
      </c>
      <c r="U5048" t="s">
        <v>13338</v>
      </c>
      <c r="V5048" t="s">
        <v>13338</v>
      </c>
      <c r="W5048" t="s">
        <v>18330</v>
      </c>
      <c r="X5048">
        <v>3</v>
      </c>
      <c r="Y5048" t="s">
        <v>24828</v>
      </c>
      <c r="Z5048" t="s">
        <v>31463</v>
      </c>
      <c r="AA5048">
        <v>0.46109501209028192</v>
      </c>
      <c r="AB5048" t="str">
        <f>HYPERLINK("Melting_Curves/meltCurve_Q96EY9_ADAT3.pdf", "Melting_Curves/meltCurve_Q96EY9_ADAT3.pdf")</f>
        <v>Melting_Curves/meltCurve_Q96EY9_ADAT3.pdf</v>
      </c>
    </row>
    <row r="5049" spans="1:28" x14ac:dyDescent="0.25">
      <c r="A5049" t="s">
        <v>5053</v>
      </c>
      <c r="B5049">
        <v>0.99193492352474899</v>
      </c>
      <c r="C5049">
        <v>1.0164833668105899</v>
      </c>
      <c r="D5049">
        <v>1.03382443328105</v>
      </c>
      <c r="E5049">
        <v>0.47934564694844101</v>
      </c>
      <c r="F5049">
        <v>0.25468802047391798</v>
      </c>
      <c r="G5049">
        <v>0.14636824623102701</v>
      </c>
      <c r="H5049">
        <v>0.123791342859726</v>
      </c>
      <c r="I5049">
        <v>0.20136259928799799</v>
      </c>
      <c r="J5049">
        <v>0.21738990235980199</v>
      </c>
      <c r="K5049">
        <v>0.31289297951330902</v>
      </c>
      <c r="L5049">
        <v>5530.06930885987</v>
      </c>
      <c r="M5049">
        <v>112.149504382949</v>
      </c>
      <c r="N5049">
        <v>49.549504049436202</v>
      </c>
      <c r="O5049">
        <v>49.2941125824957</v>
      </c>
      <c r="P5049">
        <v>-0.44969361701837302</v>
      </c>
      <c r="Q5049">
        <v>0.20936781340653099</v>
      </c>
      <c r="R5049">
        <v>0.98055369248994695</v>
      </c>
      <c r="S5049" t="s">
        <v>11719</v>
      </c>
      <c r="T5049" t="s">
        <v>13338</v>
      </c>
      <c r="U5049" t="s">
        <v>13338</v>
      </c>
      <c r="V5049" t="s">
        <v>13338</v>
      </c>
      <c r="W5049" t="s">
        <v>18331</v>
      </c>
      <c r="X5049">
        <v>10</v>
      </c>
      <c r="Y5049" t="s">
        <v>24829</v>
      </c>
      <c r="Z5049" t="s">
        <v>31464</v>
      </c>
      <c r="AA5049">
        <v>0.45506227795223542</v>
      </c>
      <c r="AB5049" t="str">
        <f>HYPERLINK("Melting_Curves/meltCurve_Q96F15_GIMAP5.pdf", "Melting_Curves/meltCurve_Q96F15_GIMAP5.pdf")</f>
        <v>Melting_Curves/meltCurve_Q96F15_GIMAP5.pdf</v>
      </c>
    </row>
    <row r="5050" spans="1:28" x14ac:dyDescent="0.25">
      <c r="A5050" t="s">
        <v>5054</v>
      </c>
      <c r="B5050">
        <v>0.99193492352474899</v>
      </c>
      <c r="C5050">
        <v>0.81264550085690601</v>
      </c>
      <c r="D5050">
        <v>0.81287881969693798</v>
      </c>
      <c r="E5050">
        <v>0.56891232060427999</v>
      </c>
      <c r="F5050">
        <v>0.36166640517406801</v>
      </c>
      <c r="G5050">
        <v>0.20727681583558999</v>
      </c>
      <c r="H5050">
        <v>0.140541442205389</v>
      </c>
      <c r="I5050">
        <v>0.166934958198764</v>
      </c>
      <c r="J5050">
        <v>0.20544204806664501</v>
      </c>
      <c r="K5050">
        <v>0.272556356210784</v>
      </c>
      <c r="L5050">
        <v>773.70624222820697</v>
      </c>
      <c r="M5050">
        <v>15.825322734708299</v>
      </c>
      <c r="N5050">
        <v>50.243402463231803</v>
      </c>
      <c r="O5050">
        <v>48.129675578616897</v>
      </c>
      <c r="P5050">
        <v>-6.7945517317833604E-2</v>
      </c>
      <c r="Q5050">
        <v>0.17349449305685499</v>
      </c>
      <c r="R5050">
        <v>0.96657492521135102</v>
      </c>
      <c r="S5050" t="s">
        <v>11720</v>
      </c>
      <c r="T5050" t="s">
        <v>13338</v>
      </c>
      <c r="U5050" t="s">
        <v>13338</v>
      </c>
      <c r="V5050" t="s">
        <v>13338</v>
      </c>
      <c r="W5050" t="s">
        <v>18332</v>
      </c>
      <c r="X5050">
        <v>6</v>
      </c>
      <c r="Y5050" t="s">
        <v>24830</v>
      </c>
      <c r="Z5050" t="s">
        <v>31465</v>
      </c>
      <c r="AA5050">
        <v>0.43691539959674358</v>
      </c>
      <c r="AB5050" t="str">
        <f>HYPERLINK("Melting_Curves/meltCurve_Q96F24_2_NRBF2.pdf", "Melting_Curves/meltCurve_Q96F24_2_NRBF2.pdf")</f>
        <v>Melting_Curves/meltCurve_Q96F24_2_NRBF2.pdf</v>
      </c>
    </row>
    <row r="5051" spans="1:28" x14ac:dyDescent="0.25">
      <c r="A5051" t="s">
        <v>5055</v>
      </c>
      <c r="B5051">
        <v>0.99193492352474899</v>
      </c>
      <c r="C5051">
        <v>0.64170442598059796</v>
      </c>
      <c r="D5051">
        <v>0.84311902088439505</v>
      </c>
      <c r="E5051">
        <v>0.49752696337938002</v>
      </c>
      <c r="F5051">
        <v>0.43708651441312901</v>
      </c>
      <c r="G5051">
        <v>0.12667104825515499</v>
      </c>
      <c r="H5051">
        <v>4.5970598656275799E-2</v>
      </c>
      <c r="I5051">
        <v>2.2202088797622099E-2</v>
      </c>
      <c r="J5051">
        <v>4.0733303631798001E-2</v>
      </c>
      <c r="K5051">
        <v>4.6641208949499503E-2</v>
      </c>
      <c r="L5051">
        <v>575.99812937421098</v>
      </c>
      <c r="M5051">
        <v>11.555906316807199</v>
      </c>
      <c r="N5051">
        <v>49.844478957548098</v>
      </c>
      <c r="O5051">
        <v>48.4219471757728</v>
      </c>
      <c r="P5051">
        <v>-5.96791895819253E-2</v>
      </c>
      <c r="Q5051">
        <v>0</v>
      </c>
      <c r="R5051">
        <v>0.92417912836289395</v>
      </c>
      <c r="S5051" t="s">
        <v>11721</v>
      </c>
      <c r="T5051" t="s">
        <v>13338</v>
      </c>
      <c r="U5051" t="s">
        <v>13338</v>
      </c>
      <c r="V5051" t="s">
        <v>13338</v>
      </c>
      <c r="W5051" t="s">
        <v>18333</v>
      </c>
      <c r="X5051">
        <v>1</v>
      </c>
      <c r="Y5051" t="s">
        <v>24831</v>
      </c>
      <c r="Z5051" t="s">
        <v>31466</v>
      </c>
      <c r="AA5051">
        <v>0.36520122431037488</v>
      </c>
      <c r="AB5051" t="str">
        <f>HYPERLINK("Melting_Curves/meltCurve_Q96F25_ALG14.pdf", "Melting_Curves/meltCurve_Q96F25_ALG14.pdf")</f>
        <v>Melting_Curves/meltCurve_Q96F25_ALG14.pdf</v>
      </c>
    </row>
    <row r="5052" spans="1:28" x14ac:dyDescent="0.25">
      <c r="A5052" t="s">
        <v>5056</v>
      </c>
      <c r="B5052">
        <v>0.99193492352474899</v>
      </c>
      <c r="C5052">
        <v>0.859898608147876</v>
      </c>
      <c r="D5052">
        <v>0.78566710489390201</v>
      </c>
      <c r="E5052">
        <v>0.46763131644816502</v>
      </c>
      <c r="F5052">
        <v>0.37813327842456901</v>
      </c>
      <c r="G5052">
        <v>0.242677204939581</v>
      </c>
      <c r="H5052">
        <v>0.17852407138405799</v>
      </c>
      <c r="I5052">
        <v>0.22136078168680601</v>
      </c>
      <c r="J5052">
        <v>0.21676419890842899</v>
      </c>
      <c r="K5052">
        <v>0.27141179871506099</v>
      </c>
      <c r="L5052">
        <v>825.045187872822</v>
      </c>
      <c r="M5052">
        <v>17.195361919964601</v>
      </c>
      <c r="N5052">
        <v>49.582290466574797</v>
      </c>
      <c r="O5052">
        <v>47.345862119683296</v>
      </c>
      <c r="P5052">
        <v>-7.1452625376271506E-2</v>
      </c>
      <c r="Q5052">
        <v>0.213093380158767</v>
      </c>
      <c r="R5052">
        <v>0.98376737635974698</v>
      </c>
      <c r="S5052" t="s">
        <v>11722</v>
      </c>
      <c r="T5052" t="s">
        <v>13338</v>
      </c>
      <c r="U5052" t="s">
        <v>13338</v>
      </c>
      <c r="V5052" t="s">
        <v>13338</v>
      </c>
      <c r="W5052" t="s">
        <v>18334</v>
      </c>
      <c r="X5052">
        <v>5</v>
      </c>
      <c r="Y5052" t="s">
        <v>24832</v>
      </c>
      <c r="Z5052" t="s">
        <v>31467</v>
      </c>
      <c r="AA5052">
        <v>0.43779254672794587</v>
      </c>
      <c r="AB5052" t="str">
        <f>HYPERLINK("Melting_Curves/meltCurve_Q96F44_3_TRIM11.pdf", "Melting_Curves/meltCurve_Q96F44_3_TRIM11.pdf")</f>
        <v>Melting_Curves/meltCurve_Q96F44_3_TRIM11.pdf</v>
      </c>
    </row>
    <row r="5053" spans="1:28" x14ac:dyDescent="0.25">
      <c r="A5053" t="s">
        <v>5057</v>
      </c>
      <c r="B5053">
        <v>0.99193492352474899</v>
      </c>
      <c r="C5053">
        <v>0.780306117888661</v>
      </c>
      <c r="D5053">
        <v>0.60501988781113103</v>
      </c>
      <c r="E5053">
        <v>0.23940579781171101</v>
      </c>
      <c r="F5053">
        <v>0.24541320493407201</v>
      </c>
      <c r="G5053">
        <v>0.15183304907720299</v>
      </c>
      <c r="H5053">
        <v>0.112479920073061</v>
      </c>
      <c r="I5053">
        <v>0.13276987786710401</v>
      </c>
      <c r="J5053">
        <v>0.142878064549366</v>
      </c>
      <c r="K5053">
        <v>0.17201981632020499</v>
      </c>
      <c r="L5053">
        <v>917.79602047034405</v>
      </c>
      <c r="M5053">
        <v>20.010226706323699</v>
      </c>
      <c r="N5053">
        <v>46.635898331410701</v>
      </c>
      <c r="O5053">
        <v>45.415641098562602</v>
      </c>
      <c r="P5053">
        <v>-9.4665590035851593E-2</v>
      </c>
      <c r="Q5053">
        <v>0.14060772541969399</v>
      </c>
      <c r="R5053">
        <v>0.98432787690245205</v>
      </c>
      <c r="S5053" t="s">
        <v>11723</v>
      </c>
      <c r="T5053" t="s">
        <v>13338</v>
      </c>
      <c r="U5053" t="s">
        <v>13338</v>
      </c>
      <c r="V5053" t="s">
        <v>13338</v>
      </c>
      <c r="W5053" t="s">
        <v>18335</v>
      </c>
      <c r="X5053">
        <v>4</v>
      </c>
      <c r="Y5053" t="s">
        <v>24833</v>
      </c>
      <c r="Z5053" t="s">
        <v>31468</v>
      </c>
      <c r="AA5053">
        <v>0.32205742274935062</v>
      </c>
      <c r="AB5053" t="str">
        <f>HYPERLINK("Melting_Curves/meltCurve_Q96F63_CCDC97.pdf", "Melting_Curves/meltCurve_Q96F63_CCDC97.pdf")</f>
        <v>Melting_Curves/meltCurve_Q96F63_CCDC97.pdf</v>
      </c>
    </row>
    <row r="5054" spans="1:28" x14ac:dyDescent="0.25">
      <c r="A5054" t="s">
        <v>5058</v>
      </c>
      <c r="B5054">
        <v>0.99193492352474899</v>
      </c>
      <c r="C5054">
        <v>0.80987009710440405</v>
      </c>
      <c r="D5054">
        <v>0.62927556589545997</v>
      </c>
      <c r="E5054">
        <v>0.44175523270772699</v>
      </c>
      <c r="F5054">
        <v>0.23478613700446599</v>
      </c>
      <c r="G5054">
        <v>0.138542330805561</v>
      </c>
      <c r="H5054">
        <v>7.5835765869842794E-2</v>
      </c>
      <c r="I5054">
        <v>7.1897049086921197E-2</v>
      </c>
      <c r="J5054">
        <v>7.8570924375125695E-2</v>
      </c>
      <c r="K5054">
        <v>8.7676965172381993E-2</v>
      </c>
      <c r="L5054">
        <v>664.73792811523799</v>
      </c>
      <c r="M5054">
        <v>13.9182358799127</v>
      </c>
      <c r="N5054">
        <v>48.156506376923303</v>
      </c>
      <c r="O5054">
        <v>46.806678522636801</v>
      </c>
      <c r="P5054">
        <v>-7.0325902848689406E-2</v>
      </c>
      <c r="Q5054">
        <v>5.41110708527534E-2</v>
      </c>
      <c r="R5054">
        <v>0.99404084844434604</v>
      </c>
      <c r="S5054" t="s">
        <v>11724</v>
      </c>
      <c r="T5054" t="s">
        <v>13338</v>
      </c>
      <c r="U5054" t="s">
        <v>13338</v>
      </c>
      <c r="V5054" t="s">
        <v>13338</v>
      </c>
      <c r="W5054" t="s">
        <v>18336</v>
      </c>
      <c r="X5054">
        <v>9</v>
      </c>
      <c r="Y5054" t="s">
        <v>24834</v>
      </c>
      <c r="Z5054" t="s">
        <v>31469</v>
      </c>
      <c r="AA5054">
        <v>0.32732513756356052</v>
      </c>
      <c r="AB5054" t="str">
        <f>HYPERLINK("Melting_Curves/meltCurve_Q96F86_EDC3.pdf", "Melting_Curves/meltCurve_Q96F86_EDC3.pdf")</f>
        <v>Melting_Curves/meltCurve_Q96F86_EDC3.pdf</v>
      </c>
    </row>
    <row r="5055" spans="1:28" x14ac:dyDescent="0.25">
      <c r="A5055" t="s">
        <v>5059</v>
      </c>
      <c r="B5055">
        <v>0.99193492352474899</v>
      </c>
      <c r="C5055">
        <v>0.924532232082101</v>
      </c>
      <c r="D5055">
        <v>0.891902934592124</v>
      </c>
      <c r="E5055">
        <v>0.61005904553591195</v>
      </c>
      <c r="F5055">
        <v>0.523634412790975</v>
      </c>
      <c r="G5055">
        <v>0.21587006825952301</v>
      </c>
      <c r="H5055">
        <v>0.171020049032235</v>
      </c>
      <c r="I5055">
        <v>0.18750885455373301</v>
      </c>
      <c r="J5055">
        <v>0.16900442666778701</v>
      </c>
      <c r="K5055">
        <v>0.160758819816159</v>
      </c>
      <c r="L5055">
        <v>788.77123370523896</v>
      </c>
      <c r="M5055">
        <v>15.4657498616408</v>
      </c>
      <c r="N5055">
        <v>52.06104036024</v>
      </c>
      <c r="O5055">
        <v>50.171297274015899</v>
      </c>
      <c r="P5055">
        <v>-6.6662877697222594E-2</v>
      </c>
      <c r="Q5055">
        <v>0.13505303467139099</v>
      </c>
      <c r="R5055">
        <v>0.98324482212381004</v>
      </c>
      <c r="S5055" t="s">
        <v>11725</v>
      </c>
      <c r="T5055" t="s">
        <v>13338</v>
      </c>
      <c r="U5055" t="s">
        <v>13338</v>
      </c>
      <c r="V5055" t="s">
        <v>13338</v>
      </c>
      <c r="W5055" t="s">
        <v>18337</v>
      </c>
      <c r="X5055">
        <v>2</v>
      </c>
      <c r="Y5055" t="s">
        <v>24835</v>
      </c>
      <c r="Z5055" t="s">
        <v>31470</v>
      </c>
      <c r="AA5055">
        <v>0.47122417565060398</v>
      </c>
      <c r="AB5055" t="str">
        <f>HYPERLINK("Melting_Curves/meltCurve_Q96FA3_PELI1.pdf", "Melting_Curves/meltCurve_Q96FA3_PELI1.pdf")</f>
        <v>Melting_Curves/meltCurve_Q96FA3_PELI1.pdf</v>
      </c>
    </row>
    <row r="5056" spans="1:28" x14ac:dyDescent="0.25">
      <c r="A5056" t="s">
        <v>5060</v>
      </c>
      <c r="B5056">
        <v>0.99193492352474899</v>
      </c>
      <c r="C5056">
        <v>0.888775145419199</v>
      </c>
      <c r="D5056">
        <v>0.89342595626225396</v>
      </c>
      <c r="E5056">
        <v>0.55529586627470096</v>
      </c>
      <c r="F5056">
        <v>0.215594314896038</v>
      </c>
      <c r="G5056">
        <v>0.11778682247986</v>
      </c>
      <c r="H5056">
        <v>7.87803815844524E-2</v>
      </c>
      <c r="I5056">
        <v>9.5425441607452602E-2</v>
      </c>
      <c r="J5056">
        <v>0.116510228507228</v>
      </c>
      <c r="K5056">
        <v>0.1137959230388</v>
      </c>
      <c r="L5056">
        <v>1240.43204294004</v>
      </c>
      <c r="M5056">
        <v>25.033861203437699</v>
      </c>
      <c r="N5056">
        <v>49.962389941126503</v>
      </c>
      <c r="O5056">
        <v>49.237228857869503</v>
      </c>
      <c r="P5056">
        <v>-0.115250257265037</v>
      </c>
      <c r="Q5056">
        <v>9.3303696404436504E-2</v>
      </c>
      <c r="R5056">
        <v>0.99192653575589895</v>
      </c>
      <c r="S5056" t="s">
        <v>11726</v>
      </c>
      <c r="T5056" t="s">
        <v>13338</v>
      </c>
      <c r="U5056" t="s">
        <v>13338</v>
      </c>
      <c r="V5056" t="s">
        <v>13338</v>
      </c>
      <c r="W5056" t="s">
        <v>18338</v>
      </c>
      <c r="X5056">
        <v>13</v>
      </c>
      <c r="Y5056" t="s">
        <v>24836</v>
      </c>
      <c r="Z5056" t="s">
        <v>31471</v>
      </c>
      <c r="AA5056">
        <v>0.38998728467767679</v>
      </c>
      <c r="AB5056" t="str">
        <f>HYPERLINK("Melting_Curves/meltCurve_Q96FC9_3_DDX11.pdf", "Melting_Curves/meltCurve_Q96FC9_3_DDX11.pdf")</f>
        <v>Melting_Curves/meltCurve_Q96FC9_3_DDX11.pdf</v>
      </c>
    </row>
    <row r="5057" spans="1:28" x14ac:dyDescent="0.25">
      <c r="A5057" t="s">
        <v>5061</v>
      </c>
      <c r="B5057">
        <v>0.99193492352474899</v>
      </c>
      <c r="C5057">
        <v>1.2467674017586601</v>
      </c>
      <c r="D5057">
        <v>0.88248897135659699</v>
      </c>
      <c r="E5057">
        <v>1.05066998850737</v>
      </c>
      <c r="F5057">
        <v>0.73032047210865203</v>
      </c>
      <c r="G5057">
        <v>0.669117994650541</v>
      </c>
      <c r="H5057">
        <v>0.24027652554465401</v>
      </c>
      <c r="I5057">
        <v>0.18897238916113099</v>
      </c>
      <c r="J5057">
        <v>0.14319728474759799</v>
      </c>
      <c r="K5057">
        <v>0.21505465431096901</v>
      </c>
      <c r="L5057">
        <v>1245.29436982214</v>
      </c>
      <c r="M5057">
        <v>21.925957894839101</v>
      </c>
      <c r="N5057">
        <v>57.658768165836001</v>
      </c>
      <c r="O5057">
        <v>56.329328210997303</v>
      </c>
      <c r="P5057">
        <v>-8.3696915207613798E-2</v>
      </c>
      <c r="Q5057">
        <v>0.13992640483778901</v>
      </c>
      <c r="R5057">
        <v>0.92617071496824199</v>
      </c>
      <c r="S5057" t="s">
        <v>11727</v>
      </c>
      <c r="T5057" t="s">
        <v>13338</v>
      </c>
      <c r="U5057" t="s">
        <v>13338</v>
      </c>
      <c r="V5057" t="s">
        <v>13338</v>
      </c>
      <c r="W5057" t="s">
        <v>18339</v>
      </c>
      <c r="X5057">
        <v>4</v>
      </c>
      <c r="Y5057" t="s">
        <v>24837</v>
      </c>
      <c r="Z5057" t="s">
        <v>31472</v>
      </c>
      <c r="AA5057">
        <v>0.63089084992450573</v>
      </c>
      <c r="AB5057" t="str">
        <f>HYPERLINK("Melting_Curves/meltCurve_Q96FH0_MEF2BNB.pdf", "Melting_Curves/meltCurve_Q96FH0_MEF2BNB.pdf")</f>
        <v>Melting_Curves/meltCurve_Q96FH0_MEF2BNB.pdf</v>
      </c>
    </row>
    <row r="5058" spans="1:28" x14ac:dyDescent="0.25">
      <c r="A5058" t="s">
        <v>5062</v>
      </c>
      <c r="B5058">
        <v>0.99193492352474899</v>
      </c>
      <c r="C5058">
        <v>0.73060312799263505</v>
      </c>
      <c r="D5058">
        <v>0.77143348229303099</v>
      </c>
      <c r="E5058">
        <v>0.280378698010401</v>
      </c>
      <c r="F5058">
        <v>0.18006044071585101</v>
      </c>
      <c r="G5058">
        <v>7.8689756141262598E-2</v>
      </c>
      <c r="H5058">
        <v>5.1319528844990601E-2</v>
      </c>
      <c r="I5058">
        <v>5.9060520373136999E-2</v>
      </c>
      <c r="J5058">
        <v>7.27273734268198E-2</v>
      </c>
      <c r="K5058">
        <v>7.4091116910626503E-2</v>
      </c>
      <c r="L5058">
        <v>835.003785487296</v>
      </c>
      <c r="M5058">
        <v>17.6278030873492</v>
      </c>
      <c r="N5058">
        <v>47.647099693705201</v>
      </c>
      <c r="O5058">
        <v>46.771569971028903</v>
      </c>
      <c r="P5058">
        <v>-8.9614727040876294E-2</v>
      </c>
      <c r="Q5058">
        <v>4.8957387130232698E-2</v>
      </c>
      <c r="R5058">
        <v>0.96446391963781497</v>
      </c>
      <c r="S5058" t="s">
        <v>11728</v>
      </c>
      <c r="T5058" t="s">
        <v>13338</v>
      </c>
      <c r="U5058" t="s">
        <v>13338</v>
      </c>
      <c r="V5058" t="s">
        <v>13338</v>
      </c>
      <c r="W5058" t="s">
        <v>18340</v>
      </c>
      <c r="X5058">
        <v>10</v>
      </c>
      <c r="Y5058" t="s">
        <v>24838</v>
      </c>
      <c r="Z5058" t="s">
        <v>31473</v>
      </c>
      <c r="AA5058">
        <v>0.30059779786875251</v>
      </c>
      <c r="AB5058" t="str">
        <f>HYPERLINK("Melting_Curves/meltCurve_Q96FJ0_STAMBPL1.pdf", "Melting_Curves/meltCurve_Q96FJ0_STAMBPL1.pdf")</f>
        <v>Melting_Curves/meltCurve_Q96FJ0_STAMBPL1.pdf</v>
      </c>
    </row>
    <row r="5059" spans="1:28" x14ac:dyDescent="0.25">
      <c r="A5059" t="s">
        <v>5063</v>
      </c>
      <c r="B5059">
        <v>0.99193492352474899</v>
      </c>
      <c r="C5059">
        <v>0.39189779570831501</v>
      </c>
      <c r="D5059">
        <v>0.70236713649985205</v>
      </c>
      <c r="E5059">
        <v>0.410062780177463</v>
      </c>
      <c r="F5059">
        <v>0.32824930656617501</v>
      </c>
      <c r="G5059">
        <v>0.22934313951962501</v>
      </c>
      <c r="H5059">
        <v>0.14211455183228999</v>
      </c>
      <c r="I5059">
        <v>0.126894640291871</v>
      </c>
      <c r="J5059">
        <v>0.14540240977445401</v>
      </c>
      <c r="K5059">
        <v>0.14447309781263001</v>
      </c>
      <c r="L5059">
        <v>395.74562876466098</v>
      </c>
      <c r="M5059">
        <v>8.5296330768912796</v>
      </c>
      <c r="N5059">
        <v>47.250205761330001</v>
      </c>
      <c r="O5059">
        <v>44.0572629353507</v>
      </c>
      <c r="P5059">
        <v>-4.49846864307736E-2</v>
      </c>
      <c r="Q5059">
        <v>7.1406071245317101E-2</v>
      </c>
      <c r="R5059">
        <v>0.79810500015144503</v>
      </c>
      <c r="S5059" t="s">
        <v>11729</v>
      </c>
      <c r="T5059" t="s">
        <v>13338</v>
      </c>
      <c r="U5059" t="s">
        <v>13338</v>
      </c>
      <c r="V5059" t="s">
        <v>13338</v>
      </c>
      <c r="W5059" t="s">
        <v>18341</v>
      </c>
      <c r="X5059">
        <v>6</v>
      </c>
      <c r="Y5059" t="s">
        <v>24839</v>
      </c>
      <c r="Z5059" t="s">
        <v>31474</v>
      </c>
      <c r="AA5059">
        <v>0.34091132756467091</v>
      </c>
      <c r="AB5059" t="str">
        <f>HYPERLINK("Melting_Curves/meltCurve_Q96FJ2_DYNLL2.pdf", "Melting_Curves/meltCurve_Q96FJ2_DYNLL2.pdf")</f>
        <v>Melting_Curves/meltCurve_Q96FJ2_DYNLL2.pdf</v>
      </c>
    </row>
    <row r="5060" spans="1:28" x14ac:dyDescent="0.25">
      <c r="A5060" t="s">
        <v>5064</v>
      </c>
      <c r="B5060">
        <v>0.99193492352474899</v>
      </c>
      <c r="C5060">
        <v>0.96453988635420096</v>
      </c>
      <c r="D5060">
        <v>0.86041816094655299</v>
      </c>
      <c r="E5060">
        <v>0.91316057780351201</v>
      </c>
      <c r="F5060">
        <v>0.49981859125226502</v>
      </c>
      <c r="G5060">
        <v>0.33559838563685102</v>
      </c>
      <c r="H5060">
        <v>7.9227216699184796E-2</v>
      </c>
      <c r="I5060">
        <v>4.5150738226423202E-2</v>
      </c>
      <c r="J5060">
        <v>4.3511406931636402E-2</v>
      </c>
      <c r="K5060">
        <v>4.1774058769392802E-2</v>
      </c>
      <c r="L5060">
        <v>991.35694733806099</v>
      </c>
      <c r="M5060">
        <v>18.419103936607801</v>
      </c>
      <c r="N5060">
        <v>53.881681320493499</v>
      </c>
      <c r="O5060">
        <v>53.1998311366903</v>
      </c>
      <c r="P5060">
        <v>-8.5689186432436504E-2</v>
      </c>
      <c r="Q5060">
        <v>1.00615532627294E-2</v>
      </c>
      <c r="R5060">
        <v>0.98381467861840399</v>
      </c>
      <c r="S5060" t="s">
        <v>11730</v>
      </c>
      <c r="T5060" t="s">
        <v>13338</v>
      </c>
      <c r="U5060" t="s">
        <v>13338</v>
      </c>
      <c r="V5060" t="s">
        <v>13338</v>
      </c>
      <c r="W5060" t="s">
        <v>18342</v>
      </c>
      <c r="X5060">
        <v>6</v>
      </c>
      <c r="Y5060" t="s">
        <v>24840</v>
      </c>
      <c r="Z5060" t="s">
        <v>31475</v>
      </c>
      <c r="AA5060">
        <v>0.48153362812827971</v>
      </c>
      <c r="AB5060" t="str">
        <f>HYPERLINK("Melting_Curves/meltCurve_Q96FK6_WDR89.pdf", "Melting_Curves/meltCurve_Q96FK6_WDR89.pdf")</f>
        <v>Melting_Curves/meltCurve_Q96FK6_WDR89.pdf</v>
      </c>
    </row>
    <row r="5061" spans="1:28" x14ac:dyDescent="0.25">
      <c r="A5061" t="s">
        <v>5065</v>
      </c>
      <c r="B5061">
        <v>0.99193492352474899</v>
      </c>
      <c r="C5061">
        <v>0.77299756875079995</v>
      </c>
      <c r="D5061">
        <v>0.94769252432495699</v>
      </c>
      <c r="E5061">
        <v>0.54508489733153698</v>
      </c>
      <c r="F5061">
        <v>0.29105370966937899</v>
      </c>
      <c r="G5061">
        <v>0.13398853321311399</v>
      </c>
      <c r="H5061">
        <v>9.6584940046721302E-2</v>
      </c>
      <c r="I5061">
        <v>9.7681775184396899E-2</v>
      </c>
      <c r="J5061">
        <v>8.2207092360159204E-2</v>
      </c>
      <c r="K5061">
        <v>0.12234527558533601</v>
      </c>
      <c r="L5061">
        <v>1012.80306461409</v>
      </c>
      <c r="M5061">
        <v>20.327690452784701</v>
      </c>
      <c r="N5061">
        <v>50.289745624414401</v>
      </c>
      <c r="O5061">
        <v>49.349171193361997</v>
      </c>
      <c r="P5061">
        <v>-9.4143007812416704E-2</v>
      </c>
      <c r="Q5061">
        <v>8.5831113213292801E-2</v>
      </c>
      <c r="R5061">
        <v>0.96175890862870606</v>
      </c>
      <c r="S5061" t="s">
        <v>11731</v>
      </c>
      <c r="T5061" t="s">
        <v>13338</v>
      </c>
      <c r="U5061" t="s">
        <v>13338</v>
      </c>
      <c r="V5061" t="s">
        <v>13338</v>
      </c>
      <c r="W5061" t="s">
        <v>18343</v>
      </c>
      <c r="X5061">
        <v>3</v>
      </c>
      <c r="Y5061" t="s">
        <v>24841</v>
      </c>
      <c r="Z5061" t="s">
        <v>31476</v>
      </c>
      <c r="AA5061">
        <v>0.39752013628765043</v>
      </c>
      <c r="AB5061" t="str">
        <f>HYPERLINK("Melting_Curves/meltCurve_Q96FN4_CPNE2.pdf", "Melting_Curves/meltCurve_Q96FN4_CPNE2.pdf")</f>
        <v>Melting_Curves/meltCurve_Q96FN4_CPNE2.pdf</v>
      </c>
    </row>
    <row r="5062" spans="1:28" x14ac:dyDescent="0.25">
      <c r="A5062" t="s">
        <v>5066</v>
      </c>
      <c r="B5062">
        <v>0.99193492352474899</v>
      </c>
      <c r="C5062">
        <v>0.88996109224157505</v>
      </c>
      <c r="D5062">
        <v>0.74913797606886801</v>
      </c>
      <c r="E5062">
        <v>0.69921826084647598</v>
      </c>
      <c r="F5062">
        <v>0.669847509390327</v>
      </c>
      <c r="G5062">
        <v>0.42752088683390399</v>
      </c>
      <c r="H5062">
        <v>0.32879821358587802</v>
      </c>
      <c r="I5062">
        <v>0.40033259543682298</v>
      </c>
      <c r="J5062">
        <v>0.24262789292039899</v>
      </c>
      <c r="K5062">
        <v>0.27960629731862702</v>
      </c>
      <c r="L5062">
        <v>421.415463241368</v>
      </c>
      <c r="M5062">
        <v>7.8854981951024197</v>
      </c>
      <c r="N5062">
        <v>55.877155910033302</v>
      </c>
      <c r="O5062">
        <v>50.332363153333198</v>
      </c>
      <c r="P5062">
        <v>-3.3511338449637898E-2</v>
      </c>
      <c r="Q5062">
        <v>0.145421644961476</v>
      </c>
      <c r="R5062">
        <v>0.95715568816630603</v>
      </c>
      <c r="S5062" t="s">
        <v>11732</v>
      </c>
      <c r="T5062" t="s">
        <v>13338</v>
      </c>
      <c r="U5062" t="s">
        <v>13338</v>
      </c>
      <c r="V5062" t="s">
        <v>13338</v>
      </c>
      <c r="W5062" t="s">
        <v>18344</v>
      </c>
      <c r="X5062">
        <v>4</v>
      </c>
      <c r="Y5062" t="s">
        <v>24842</v>
      </c>
      <c r="Z5062" t="s">
        <v>31477</v>
      </c>
      <c r="AA5062">
        <v>0.56091634496269238</v>
      </c>
      <c r="AB5062" t="str">
        <f>HYPERLINK("Melting_Curves/meltCurve_Q96FN9_DTD2.pdf", "Melting_Curves/meltCurve_Q96FN9_DTD2.pdf")</f>
        <v>Melting_Curves/meltCurve_Q96FN9_DTD2.pdf</v>
      </c>
    </row>
    <row r="5063" spans="1:28" x14ac:dyDescent="0.25">
      <c r="A5063" t="s">
        <v>5067</v>
      </c>
      <c r="B5063">
        <v>0.99193492352474899</v>
      </c>
      <c r="C5063">
        <v>0.65328356567012102</v>
      </c>
      <c r="D5063">
        <v>0.57476697852479497</v>
      </c>
      <c r="E5063">
        <v>0.29475260259707398</v>
      </c>
      <c r="F5063">
        <v>0.282274333209239</v>
      </c>
      <c r="G5063">
        <v>0.161691111246376</v>
      </c>
      <c r="H5063">
        <v>0.12649224855306701</v>
      </c>
      <c r="I5063">
        <v>0.14702063216453801</v>
      </c>
      <c r="J5063">
        <v>0.22499510859598801</v>
      </c>
      <c r="K5063">
        <v>0.55978652220785696</v>
      </c>
      <c r="L5063">
        <v>884.180166124572</v>
      </c>
      <c r="M5063">
        <v>19.9394874968186</v>
      </c>
      <c r="N5063">
        <v>45.886259225060499</v>
      </c>
      <c r="O5063">
        <v>43.904394859695998</v>
      </c>
      <c r="P5063">
        <v>-8.5806469579611397E-2</v>
      </c>
      <c r="Q5063">
        <v>0.24428223085880901</v>
      </c>
      <c r="R5063">
        <v>0.78709379148622904</v>
      </c>
      <c r="S5063" t="s">
        <v>11733</v>
      </c>
      <c r="T5063" t="s">
        <v>13338</v>
      </c>
      <c r="U5063" t="s">
        <v>13338</v>
      </c>
      <c r="V5063" t="s">
        <v>13338</v>
      </c>
      <c r="W5063" t="s">
        <v>18345</v>
      </c>
      <c r="X5063">
        <v>5</v>
      </c>
      <c r="Y5063" t="s">
        <v>24843</v>
      </c>
      <c r="Z5063" t="s">
        <v>31478</v>
      </c>
      <c r="AA5063">
        <v>0.36771520122512741</v>
      </c>
      <c r="AB5063" t="str">
        <f>HYPERLINK("Melting_Curves/meltCurve_Q96FS4_SIPA1.pdf", "Melting_Curves/meltCurve_Q96FS4_SIPA1.pdf")</f>
        <v>Melting_Curves/meltCurve_Q96FS4_SIPA1.pdf</v>
      </c>
    </row>
    <row r="5064" spans="1:28" x14ac:dyDescent="0.25">
      <c r="A5064" t="s">
        <v>5068</v>
      </c>
      <c r="B5064">
        <v>0.99193492352474899</v>
      </c>
      <c r="C5064">
        <v>0.68961160534851895</v>
      </c>
      <c r="D5064">
        <v>0.66226012309912496</v>
      </c>
      <c r="E5064">
        <v>0.28885003796511999</v>
      </c>
      <c r="F5064">
        <v>0.16088177175603499</v>
      </c>
      <c r="G5064">
        <v>9.7216325202376094E-2</v>
      </c>
      <c r="H5064">
        <v>6.7433122804869502E-2</v>
      </c>
      <c r="I5064">
        <v>8.7629121833461901E-2</v>
      </c>
      <c r="J5064">
        <v>8.9812745316501699E-2</v>
      </c>
      <c r="K5064">
        <v>9.3826890460230197E-2</v>
      </c>
      <c r="L5064">
        <v>738.56491273976997</v>
      </c>
      <c r="M5064">
        <v>15.898419261632201</v>
      </c>
      <c r="N5064">
        <v>46.8763537603635</v>
      </c>
      <c r="O5064">
        <v>45.738893330352298</v>
      </c>
      <c r="P5064">
        <v>-8.1121517783681596E-2</v>
      </c>
      <c r="Q5064">
        <v>6.6546171246537694E-2</v>
      </c>
      <c r="R5064">
        <v>0.97269651243072697</v>
      </c>
      <c r="S5064" t="s">
        <v>11734</v>
      </c>
      <c r="T5064" t="s">
        <v>13338</v>
      </c>
      <c r="U5064" t="s">
        <v>13338</v>
      </c>
      <c r="V5064" t="s">
        <v>13338</v>
      </c>
      <c r="W5064" t="s">
        <v>18346</v>
      </c>
      <c r="X5064">
        <v>23</v>
      </c>
      <c r="Y5064" t="s">
        <v>24844</v>
      </c>
      <c r="Z5064" t="s">
        <v>31479</v>
      </c>
      <c r="AA5064">
        <v>0.29067133160873182</v>
      </c>
      <c r="AB5064" t="str">
        <f>HYPERLINK("Melting_Curves/meltCurve_Q96FV9_THOC1.pdf", "Melting_Curves/meltCurve_Q96FV9_THOC1.pdf")</f>
        <v>Melting_Curves/meltCurve_Q96FV9_THOC1.pdf</v>
      </c>
    </row>
    <row r="5065" spans="1:28" x14ac:dyDescent="0.25">
      <c r="A5065" t="s">
        <v>5069</v>
      </c>
      <c r="B5065">
        <v>0.99193492352474899</v>
      </c>
      <c r="C5065">
        <v>0.70329620200439102</v>
      </c>
      <c r="D5065">
        <v>1.23574047684245</v>
      </c>
      <c r="E5065">
        <v>0.83690355443848097</v>
      </c>
      <c r="F5065">
        <v>1.0350139765714601</v>
      </c>
      <c r="G5065">
        <v>0.60412976952205999</v>
      </c>
      <c r="H5065">
        <v>0.68418757186032397</v>
      </c>
      <c r="I5065">
        <v>0.78652847159862604</v>
      </c>
      <c r="J5065">
        <v>1.3627883006465999</v>
      </c>
      <c r="K5065">
        <v>1.8218668990812299</v>
      </c>
      <c r="L5065">
        <v>15000</v>
      </c>
      <c r="M5065">
        <v>224.519258218293</v>
      </c>
      <c r="O5065">
        <v>66.804112981521001</v>
      </c>
      <c r="P5065">
        <v>0.42010747670917498</v>
      </c>
      <c r="Q5065">
        <v>1.5</v>
      </c>
      <c r="R5065">
        <v>0.54918338504201003</v>
      </c>
      <c r="S5065" t="s">
        <v>11735</v>
      </c>
      <c r="T5065" t="s">
        <v>13338</v>
      </c>
      <c r="U5065" t="s">
        <v>13338</v>
      </c>
      <c r="V5065" t="s">
        <v>13338</v>
      </c>
      <c r="W5065" t="s">
        <v>18347</v>
      </c>
      <c r="X5065">
        <v>1</v>
      </c>
      <c r="Y5065" t="s">
        <v>24845</v>
      </c>
      <c r="Z5065" t="s">
        <v>31480</v>
      </c>
      <c r="AA5065">
        <v>1.0531039459606519</v>
      </c>
      <c r="AB5065" t="str">
        <f>HYPERLINK("Melting_Curves/meltCurve_Q96FX2_DPH3.pdf", "Melting_Curves/meltCurve_Q96FX2_DPH3.pdf")</f>
        <v>Melting_Curves/meltCurve_Q96FX2_DPH3.pdf</v>
      </c>
    </row>
    <row r="5066" spans="1:28" x14ac:dyDescent="0.25">
      <c r="A5066" t="s">
        <v>5070</v>
      </c>
      <c r="B5066">
        <v>0.99193492352474899</v>
      </c>
      <c r="C5066">
        <v>0.919340516465455</v>
      </c>
      <c r="D5066">
        <v>0.84647003208639904</v>
      </c>
      <c r="E5066">
        <v>0.67775906682833797</v>
      </c>
      <c r="F5066">
        <v>0.57565851260439405</v>
      </c>
      <c r="G5066">
        <v>0.35352568488681202</v>
      </c>
      <c r="H5066">
        <v>0.130005555848067</v>
      </c>
      <c r="I5066">
        <v>0.106799123543664</v>
      </c>
      <c r="J5066">
        <v>9.3837336985883701E-2</v>
      </c>
      <c r="K5066">
        <v>0.110612841717296</v>
      </c>
      <c r="L5066">
        <v>609.39146892730798</v>
      </c>
      <c r="M5066">
        <v>11.4119123342211</v>
      </c>
      <c r="N5066">
        <v>53.411895484231003</v>
      </c>
      <c r="O5066">
        <v>51.838753813677698</v>
      </c>
      <c r="P5066">
        <v>-5.4979469226053401E-2</v>
      </c>
      <c r="Q5066">
        <v>1.31270921342001E-3</v>
      </c>
      <c r="R5066">
        <v>0.98831079326564297</v>
      </c>
      <c r="S5066" t="s">
        <v>11736</v>
      </c>
      <c r="T5066" t="s">
        <v>13338</v>
      </c>
      <c r="U5066" t="s">
        <v>13338</v>
      </c>
      <c r="V5066" t="s">
        <v>13338</v>
      </c>
      <c r="W5066" t="s">
        <v>18348</v>
      </c>
      <c r="X5066">
        <v>4</v>
      </c>
      <c r="Y5066" t="s">
        <v>24846</v>
      </c>
      <c r="Z5066" t="s">
        <v>31481</v>
      </c>
      <c r="AA5066">
        <v>0.47634016217322539</v>
      </c>
      <c r="AB5066" t="str">
        <f>HYPERLINK("Melting_Curves/meltCurve_Q96FX7_TRMT61A.pdf", "Melting_Curves/meltCurve_Q96FX7_TRMT61A.pdf")</f>
        <v>Melting_Curves/meltCurve_Q96FX7_TRMT61A.pdf</v>
      </c>
    </row>
    <row r="5067" spans="1:28" x14ac:dyDescent="0.25">
      <c r="A5067" t="s">
        <v>5071</v>
      </c>
      <c r="B5067">
        <v>0.99193492352474899</v>
      </c>
      <c r="C5067">
        <v>0.68986007667962601</v>
      </c>
      <c r="D5067">
        <v>0.62409221400815096</v>
      </c>
      <c r="E5067">
        <v>0.25223216244903901</v>
      </c>
      <c r="F5067">
        <v>0.12978821000132401</v>
      </c>
      <c r="G5067">
        <v>7.7321726824613801E-2</v>
      </c>
      <c r="H5067">
        <v>6.1937005387444899E-2</v>
      </c>
      <c r="I5067">
        <v>5.4874574278277799E-2</v>
      </c>
      <c r="J5067">
        <v>6.8826614394687693E-2</v>
      </c>
      <c r="K5067">
        <v>6.4570867557460193E-2</v>
      </c>
      <c r="L5067">
        <v>760.65591533420297</v>
      </c>
      <c r="M5067">
        <v>16.4586089476247</v>
      </c>
      <c r="N5067">
        <v>46.494669345603597</v>
      </c>
      <c r="O5067">
        <v>45.550180886239701</v>
      </c>
      <c r="P5067">
        <v>-8.6099845717638498E-2</v>
      </c>
      <c r="Q5067">
        <v>4.6921088202050501E-2</v>
      </c>
      <c r="R5067">
        <v>0.97849787392672805</v>
      </c>
      <c r="S5067" t="s">
        <v>11737</v>
      </c>
      <c r="T5067" t="s">
        <v>13338</v>
      </c>
      <c r="U5067" t="s">
        <v>13338</v>
      </c>
      <c r="V5067" t="s">
        <v>13338</v>
      </c>
      <c r="W5067" t="s">
        <v>18349</v>
      </c>
      <c r="X5067">
        <v>9</v>
      </c>
      <c r="Y5067" t="s">
        <v>24847</v>
      </c>
      <c r="Z5067" t="s">
        <v>31482</v>
      </c>
      <c r="AA5067">
        <v>0.26684239128159659</v>
      </c>
      <c r="AB5067" t="str">
        <f>HYPERLINK("Melting_Curves/meltCurve_Q96FZ2_C3orf37.pdf", "Melting_Curves/meltCurve_Q96FZ2_C3orf37.pdf")</f>
        <v>Melting_Curves/meltCurve_Q96FZ2_C3orf37.pdf</v>
      </c>
    </row>
    <row r="5068" spans="1:28" x14ac:dyDescent="0.25">
      <c r="A5068" t="s">
        <v>5072</v>
      </c>
      <c r="B5068">
        <v>0.99193492352474899</v>
      </c>
      <c r="C5068">
        <v>0.81459223470320596</v>
      </c>
      <c r="D5068">
        <v>1.0806760098556301</v>
      </c>
      <c r="E5068">
        <v>0.78468137553987005</v>
      </c>
      <c r="F5068">
        <v>0.64873945877611805</v>
      </c>
      <c r="G5068">
        <v>0.29592020692816701</v>
      </c>
      <c r="H5068">
        <v>0.103273399854975</v>
      </c>
      <c r="I5068">
        <v>8.8592007766665204E-2</v>
      </c>
      <c r="J5068">
        <v>8.9732135453820402E-2</v>
      </c>
      <c r="K5068">
        <v>7.8973458740015504E-2</v>
      </c>
      <c r="L5068">
        <v>1093.6769856531901</v>
      </c>
      <c r="M5068">
        <v>20.262479597021802</v>
      </c>
      <c r="N5068">
        <v>54.2815067966025</v>
      </c>
      <c r="O5068">
        <v>53.457988424864602</v>
      </c>
      <c r="P5068">
        <v>-8.9646960182476296E-2</v>
      </c>
      <c r="Q5068">
        <v>5.3975847165857203E-2</v>
      </c>
      <c r="R5068">
        <v>0.96281964140243603</v>
      </c>
      <c r="S5068" t="s">
        <v>11738</v>
      </c>
      <c r="T5068" t="s">
        <v>13338</v>
      </c>
      <c r="U5068" t="s">
        <v>13338</v>
      </c>
      <c r="V5068" t="s">
        <v>13338</v>
      </c>
      <c r="W5068" t="s">
        <v>18350</v>
      </c>
      <c r="X5068">
        <v>4</v>
      </c>
      <c r="Y5068" t="s">
        <v>24848</v>
      </c>
      <c r="Z5068" t="s">
        <v>31483</v>
      </c>
      <c r="AA5068">
        <v>0.50727427766807964</v>
      </c>
      <c r="AB5068" t="str">
        <f>HYPERLINK("Melting_Curves/meltCurve_Q96FZ7_CHMP6.pdf", "Melting_Curves/meltCurve_Q96FZ7_CHMP6.pdf")</f>
        <v>Melting_Curves/meltCurve_Q96FZ7_CHMP6.pdf</v>
      </c>
    </row>
    <row r="5069" spans="1:28" x14ac:dyDescent="0.25">
      <c r="A5069" t="s">
        <v>5073</v>
      </c>
      <c r="B5069">
        <v>0.99193492352474899</v>
      </c>
      <c r="C5069">
        <v>0.98097022594719596</v>
      </c>
      <c r="D5069">
        <v>0.98008114760440701</v>
      </c>
      <c r="E5069">
        <v>0.87356760526001798</v>
      </c>
      <c r="F5069">
        <v>0.77369066131256603</v>
      </c>
      <c r="G5069">
        <v>0.70004705825884395</v>
      </c>
      <c r="H5069">
        <v>0.451088955065927</v>
      </c>
      <c r="I5069">
        <v>0.37945158385147398</v>
      </c>
      <c r="J5069">
        <v>0.33457049311947201</v>
      </c>
      <c r="K5069">
        <v>0.23605157381394101</v>
      </c>
      <c r="L5069">
        <v>614.47855073797405</v>
      </c>
      <c r="M5069">
        <v>10.351098869654299</v>
      </c>
      <c r="N5069">
        <v>60.574341499723502</v>
      </c>
      <c r="O5069">
        <v>57.276124733236998</v>
      </c>
      <c r="P5069">
        <v>-4.0976139811031001E-2</v>
      </c>
      <c r="Q5069">
        <v>9.3447100177368098E-2</v>
      </c>
      <c r="R5069">
        <v>0.99175073282514903</v>
      </c>
      <c r="S5069" t="s">
        <v>11739</v>
      </c>
      <c r="T5069" t="s">
        <v>13338</v>
      </c>
      <c r="U5069" t="s">
        <v>13338</v>
      </c>
      <c r="V5069" t="s">
        <v>13338</v>
      </c>
      <c r="W5069" t="s">
        <v>18351</v>
      </c>
      <c r="X5069">
        <v>30</v>
      </c>
      <c r="Y5069" t="s">
        <v>24849</v>
      </c>
      <c r="Z5069" t="s">
        <v>31484</v>
      </c>
      <c r="AA5069">
        <v>0.68034334803142893</v>
      </c>
      <c r="AB5069" t="str">
        <f>HYPERLINK("Melting_Curves/meltCurve_Q96G03_PGM2.pdf", "Melting_Curves/meltCurve_Q96G03_PGM2.pdf")</f>
        <v>Melting_Curves/meltCurve_Q96G03_PGM2.pdf</v>
      </c>
    </row>
    <row r="5070" spans="1:28" x14ac:dyDescent="0.25">
      <c r="A5070" t="s">
        <v>5074</v>
      </c>
      <c r="B5070">
        <v>0.99193492352474899</v>
      </c>
      <c r="C5070">
        <v>0.79452885062171896</v>
      </c>
      <c r="D5070">
        <v>0.69484417977372204</v>
      </c>
      <c r="E5070">
        <v>0.46986250320328399</v>
      </c>
      <c r="F5070">
        <v>0.35203718945091</v>
      </c>
      <c r="G5070">
        <v>0.254546112608112</v>
      </c>
      <c r="H5070">
        <v>0.21555331383498499</v>
      </c>
      <c r="I5070">
        <v>0.30491179204510199</v>
      </c>
      <c r="J5070">
        <v>0.38175781691196797</v>
      </c>
      <c r="K5070">
        <v>0.58180082884199402</v>
      </c>
      <c r="L5070">
        <v>916.44761463899795</v>
      </c>
      <c r="M5070">
        <v>20.064542035366401</v>
      </c>
      <c r="N5070">
        <v>48.485312596217497</v>
      </c>
      <c r="O5070">
        <v>45.228543114490598</v>
      </c>
      <c r="P5070">
        <v>-7.2787317652769898E-2</v>
      </c>
      <c r="Q5070">
        <v>0.34372618120507198</v>
      </c>
      <c r="R5070">
        <v>0.83796088184120698</v>
      </c>
      <c r="S5070" t="s">
        <v>11740</v>
      </c>
      <c r="T5070" t="s">
        <v>13338</v>
      </c>
      <c r="U5070" t="s">
        <v>13338</v>
      </c>
      <c r="V5070" t="s">
        <v>13338</v>
      </c>
      <c r="W5070" t="s">
        <v>18352</v>
      </c>
      <c r="X5070">
        <v>7</v>
      </c>
      <c r="Y5070" t="s">
        <v>24850</v>
      </c>
      <c r="Z5070" t="s">
        <v>31485</v>
      </c>
      <c r="AA5070">
        <v>0.47819534411827891</v>
      </c>
      <c r="AB5070" t="str">
        <f>HYPERLINK("Melting_Curves/meltCurve_Q96G25_MED8.pdf", "Melting_Curves/meltCurve_Q96G25_MED8.pdf")</f>
        <v>Melting_Curves/meltCurve_Q96G25_MED8.pdf</v>
      </c>
    </row>
    <row r="5071" spans="1:28" x14ac:dyDescent="0.25">
      <c r="A5071" t="s">
        <v>5075</v>
      </c>
      <c r="B5071">
        <v>0.99193492352474899</v>
      </c>
      <c r="C5071">
        <v>0.66263879285269001</v>
      </c>
      <c r="D5071">
        <v>0.64431175459906398</v>
      </c>
      <c r="E5071">
        <v>0.27165848720221702</v>
      </c>
      <c r="F5071">
        <v>0.19124010376228801</v>
      </c>
      <c r="G5071">
        <v>0.10511087474544099</v>
      </c>
      <c r="H5071">
        <v>7.4485781658417904E-2</v>
      </c>
      <c r="I5071">
        <v>7.4065073589988706E-2</v>
      </c>
      <c r="J5071">
        <v>9.0794868578227605E-2</v>
      </c>
      <c r="K5071">
        <v>0.1100794715379</v>
      </c>
      <c r="L5071">
        <v>703.64793909315097</v>
      </c>
      <c r="M5071">
        <v>15.2352032842872</v>
      </c>
      <c r="N5071">
        <v>46.658965920665999</v>
      </c>
      <c r="O5071">
        <v>45.411869102827701</v>
      </c>
      <c r="P5071">
        <v>-7.7874722347331393E-2</v>
      </c>
      <c r="Q5071">
        <v>7.1597406397331295E-2</v>
      </c>
      <c r="R5071">
        <v>0.96694539387780998</v>
      </c>
      <c r="S5071" t="s">
        <v>11741</v>
      </c>
      <c r="T5071" t="s">
        <v>13338</v>
      </c>
      <c r="U5071" t="s">
        <v>13338</v>
      </c>
      <c r="V5071" t="s">
        <v>13338</v>
      </c>
      <c r="W5071" t="s">
        <v>18353</v>
      </c>
      <c r="X5071">
        <v>3</v>
      </c>
      <c r="Y5071" t="s">
        <v>24851</v>
      </c>
      <c r="Z5071" t="s">
        <v>31486</v>
      </c>
      <c r="AA5071">
        <v>0.28887307873076229</v>
      </c>
      <c r="AB5071" t="str">
        <f>HYPERLINK("Melting_Curves/meltCurve_Q96G28_CCDC104.pdf", "Melting_Curves/meltCurve_Q96G28_CCDC104.pdf")</f>
        <v>Melting_Curves/meltCurve_Q96G28_CCDC104.pdf</v>
      </c>
    </row>
    <row r="5072" spans="1:28" x14ac:dyDescent="0.25">
      <c r="A5072" t="s">
        <v>5076</v>
      </c>
      <c r="B5072">
        <v>0.99193492352474899</v>
      </c>
      <c r="C5072">
        <v>0.83344946576880596</v>
      </c>
      <c r="D5072">
        <v>0.87710731471590897</v>
      </c>
      <c r="E5072">
        <v>0.38281029961852497</v>
      </c>
      <c r="F5072">
        <v>0.15979587769600601</v>
      </c>
      <c r="G5072">
        <v>8.7249916555914506E-2</v>
      </c>
      <c r="H5072">
        <v>4.6822362900234997E-2</v>
      </c>
      <c r="I5072">
        <v>5.7759690440972698E-2</v>
      </c>
      <c r="J5072">
        <v>6.4795088057207795E-2</v>
      </c>
      <c r="K5072">
        <v>6.5423041321919298E-2</v>
      </c>
      <c r="L5072">
        <v>1232.0321560852501</v>
      </c>
      <c r="M5072">
        <v>25.3637040171898</v>
      </c>
      <c r="N5072">
        <v>48.810699189599902</v>
      </c>
      <c r="O5072">
        <v>48.275677885842001</v>
      </c>
      <c r="P5072">
        <v>-0.123767676802937</v>
      </c>
      <c r="Q5072">
        <v>5.7725455700277997E-2</v>
      </c>
      <c r="R5072">
        <v>0.98322214082169901</v>
      </c>
      <c r="S5072" t="s">
        <v>11742</v>
      </c>
      <c r="T5072" t="s">
        <v>13338</v>
      </c>
      <c r="U5072" t="s">
        <v>13338</v>
      </c>
      <c r="V5072" t="s">
        <v>13338</v>
      </c>
      <c r="W5072" t="s">
        <v>18354</v>
      </c>
      <c r="X5072">
        <v>17</v>
      </c>
      <c r="Y5072" t="s">
        <v>24852</v>
      </c>
      <c r="Z5072" t="s">
        <v>31487</v>
      </c>
      <c r="AA5072">
        <v>0.335131749752618</v>
      </c>
      <c r="AB5072" t="str">
        <f>HYPERLINK("Melting_Curves/meltCurve_Q96G46_DUS3L.pdf", "Melting_Curves/meltCurve_Q96G46_DUS3L.pdf")</f>
        <v>Melting_Curves/meltCurve_Q96G46_DUS3L.pdf</v>
      </c>
    </row>
    <row r="5073" spans="1:28" x14ac:dyDescent="0.25">
      <c r="A5073" t="s">
        <v>5077</v>
      </c>
      <c r="B5073">
        <v>0.99193492352474899</v>
      </c>
      <c r="C5073">
        <v>0.88386479736625601</v>
      </c>
      <c r="D5073">
        <v>0.74071635322999296</v>
      </c>
      <c r="E5073">
        <v>0.66510662728787096</v>
      </c>
      <c r="F5073">
        <v>0.27683830871048198</v>
      </c>
      <c r="G5073">
        <v>0.11088862835402299</v>
      </c>
      <c r="H5073">
        <v>5.7020909943037698E-2</v>
      </c>
      <c r="I5073">
        <v>7.7421488911715797E-2</v>
      </c>
      <c r="J5073">
        <v>8.8233604541098104E-2</v>
      </c>
      <c r="K5073">
        <v>0.10781455713235499</v>
      </c>
      <c r="L5073">
        <v>805.53893721945997</v>
      </c>
      <c r="M5073">
        <v>16.119216946924801</v>
      </c>
      <c r="N5073">
        <v>50.288403659187999</v>
      </c>
      <c r="O5073">
        <v>49.223688764714403</v>
      </c>
      <c r="P5073">
        <v>-7.7946946550664406E-2</v>
      </c>
      <c r="Q5073">
        <v>4.7958171955779699E-2</v>
      </c>
      <c r="R5073">
        <v>0.97674965781571499</v>
      </c>
      <c r="S5073" t="s">
        <v>11743</v>
      </c>
      <c r="T5073" t="s">
        <v>13338</v>
      </c>
      <c r="U5073" t="s">
        <v>13338</v>
      </c>
      <c r="V5073" t="s">
        <v>13338</v>
      </c>
      <c r="W5073" t="s">
        <v>18355</v>
      </c>
      <c r="X5073">
        <v>9</v>
      </c>
      <c r="Y5073" t="s">
        <v>24853</v>
      </c>
      <c r="Z5073" t="s">
        <v>31488</v>
      </c>
      <c r="AA5073">
        <v>0.38443233423781709</v>
      </c>
      <c r="AB5073" t="str">
        <f>HYPERLINK("Melting_Curves/meltCurve_Q96G61_NUDT11.pdf", "Melting_Curves/meltCurve_Q96G61_NUDT11.pdf")</f>
        <v>Melting_Curves/meltCurve_Q96G61_NUDT11.pdf</v>
      </c>
    </row>
    <row r="5074" spans="1:28" x14ac:dyDescent="0.25">
      <c r="A5074" t="s">
        <v>5078</v>
      </c>
      <c r="B5074">
        <v>0.99193492352474899</v>
      </c>
      <c r="C5074">
        <v>1.16935934449759</v>
      </c>
      <c r="D5074">
        <v>0.73300351756683702</v>
      </c>
      <c r="E5074">
        <v>0.68092648781966303</v>
      </c>
      <c r="F5074">
        <v>0.29779467804161602</v>
      </c>
      <c r="G5074">
        <v>0.21736649888599299</v>
      </c>
      <c r="H5074">
        <v>0.18425136571871201</v>
      </c>
      <c r="I5074">
        <v>0.23954670935727701</v>
      </c>
      <c r="J5074">
        <v>0.273290352160173</v>
      </c>
      <c r="K5074">
        <v>0.38155354778842598</v>
      </c>
      <c r="L5074">
        <v>1206.9355174366899</v>
      </c>
      <c r="M5074">
        <v>24.545425330652499</v>
      </c>
      <c r="N5074">
        <v>50.599578495301003</v>
      </c>
      <c r="O5074">
        <v>48.848612672974802</v>
      </c>
      <c r="P5074">
        <v>-9.4228799131236302E-2</v>
      </c>
      <c r="Q5074">
        <v>0.24990024862884899</v>
      </c>
      <c r="R5074">
        <v>0.91385011106170699</v>
      </c>
      <c r="S5074" t="s">
        <v>11744</v>
      </c>
      <c r="T5074" t="s">
        <v>13338</v>
      </c>
      <c r="U5074" t="s">
        <v>13338</v>
      </c>
      <c r="V5074" t="s">
        <v>13338</v>
      </c>
      <c r="W5074" t="s">
        <v>18356</v>
      </c>
      <c r="X5074">
        <v>10</v>
      </c>
      <c r="Y5074" t="s">
        <v>24854</v>
      </c>
      <c r="Z5074" t="s">
        <v>31489</v>
      </c>
      <c r="AA5074">
        <v>0.48612841479625141</v>
      </c>
      <c r="AB5074" t="str">
        <f>HYPERLINK("Melting_Curves/meltCurve_Q96G74_3_OTUD5.pdf", "Melting_Curves/meltCurve_Q96G74_3_OTUD5.pdf")</f>
        <v>Melting_Curves/meltCurve_Q96G74_3_OTUD5.pdf</v>
      </c>
    </row>
    <row r="5075" spans="1:28" x14ac:dyDescent="0.25">
      <c r="A5075" t="s">
        <v>5079</v>
      </c>
      <c r="B5075">
        <v>0.99193492352474899</v>
      </c>
      <c r="C5075">
        <v>0.62174507331802797</v>
      </c>
      <c r="D5075">
        <v>0.82313284706397205</v>
      </c>
      <c r="E5075">
        <v>0.30401561333710903</v>
      </c>
      <c r="F5075">
        <v>0.196590385062788</v>
      </c>
      <c r="G5075">
        <v>0.10056267330293001</v>
      </c>
      <c r="H5075">
        <v>7.7651244705302103E-2</v>
      </c>
      <c r="I5075">
        <v>8.7581299256965395E-2</v>
      </c>
      <c r="J5075">
        <v>0.14333529581034199</v>
      </c>
      <c r="K5075">
        <v>0.20972646890426799</v>
      </c>
      <c r="L5075">
        <v>755.53865706467695</v>
      </c>
      <c r="M5075">
        <v>16.10147363379</v>
      </c>
      <c r="N5075">
        <v>47.596761441139101</v>
      </c>
      <c r="O5075">
        <v>46.217694214501201</v>
      </c>
      <c r="P5075">
        <v>-7.8232525480408696E-2</v>
      </c>
      <c r="Q5075">
        <v>0.101833857061312</v>
      </c>
      <c r="R5075">
        <v>0.88969867228788602</v>
      </c>
      <c r="S5075" t="s">
        <v>11745</v>
      </c>
      <c r="T5075" t="s">
        <v>13338</v>
      </c>
      <c r="U5075" t="s">
        <v>13338</v>
      </c>
      <c r="V5075" t="s">
        <v>13338</v>
      </c>
      <c r="W5075" t="s">
        <v>18357</v>
      </c>
      <c r="X5075">
        <v>7</v>
      </c>
      <c r="Y5075" t="s">
        <v>24855</v>
      </c>
      <c r="Z5075" t="s">
        <v>31490</v>
      </c>
      <c r="AA5075">
        <v>0.33026174424683608</v>
      </c>
      <c r="AB5075" t="str">
        <f>HYPERLINK("Melting_Curves/meltCurve_Q96GA3_LTV1.pdf", "Melting_Curves/meltCurve_Q96GA3_LTV1.pdf")</f>
        <v>Melting_Curves/meltCurve_Q96GA3_LTV1.pdf</v>
      </c>
    </row>
    <row r="5076" spans="1:28" x14ac:dyDescent="0.25">
      <c r="A5076" t="s">
        <v>5080</v>
      </c>
      <c r="B5076">
        <v>0.99193492352474899</v>
      </c>
      <c r="C5076">
        <v>1.2474040207069199</v>
      </c>
      <c r="D5076">
        <v>0.95274269177755899</v>
      </c>
      <c r="E5076">
        <v>1.04708518120403</v>
      </c>
      <c r="F5076">
        <v>0.75724705550563198</v>
      </c>
      <c r="G5076">
        <v>0.69242331493494003</v>
      </c>
      <c r="H5076">
        <v>0.60854008846705099</v>
      </c>
      <c r="I5076">
        <v>0.65552028168202103</v>
      </c>
      <c r="J5076">
        <v>0.65281012174945396</v>
      </c>
      <c r="K5076">
        <v>0.63249487870173104</v>
      </c>
      <c r="L5076">
        <v>10439.6898260366</v>
      </c>
      <c r="M5076">
        <v>197.036472236023</v>
      </c>
      <c r="O5076">
        <v>52.978082102117497</v>
      </c>
      <c r="P5076">
        <v>-0.326957829123182</v>
      </c>
      <c r="Q5076">
        <v>0.64835751563778599</v>
      </c>
      <c r="R5076">
        <v>0.84056235219794295</v>
      </c>
      <c r="S5076" t="s">
        <v>11746</v>
      </c>
      <c r="T5076" t="s">
        <v>13338</v>
      </c>
      <c r="U5076" t="s">
        <v>13338</v>
      </c>
      <c r="V5076" t="s">
        <v>13338</v>
      </c>
      <c r="W5076" t="s">
        <v>18358</v>
      </c>
      <c r="X5076">
        <v>15</v>
      </c>
      <c r="Y5076" t="s">
        <v>24856</v>
      </c>
      <c r="Z5076" t="s">
        <v>31491</v>
      </c>
      <c r="AA5076">
        <v>0.80059563754582497</v>
      </c>
      <c r="AB5076" t="str">
        <f>HYPERLINK("Melting_Curves/meltCurve_Q96GD0_PDXP.pdf", "Melting_Curves/meltCurve_Q96GD0_PDXP.pdf")</f>
        <v>Melting_Curves/meltCurve_Q96GD0_PDXP.pdf</v>
      </c>
    </row>
    <row r="5077" spans="1:28" x14ac:dyDescent="0.25">
      <c r="A5077" t="s">
        <v>5081</v>
      </c>
      <c r="B5077">
        <v>0.99193492352474899</v>
      </c>
      <c r="C5077">
        <v>0.97111289995280803</v>
      </c>
      <c r="D5077">
        <v>0.95536055368578998</v>
      </c>
      <c r="E5077">
        <v>0.71145735789081599</v>
      </c>
      <c r="F5077">
        <v>0.62527202651486202</v>
      </c>
      <c r="G5077">
        <v>0.49706859761107403</v>
      </c>
      <c r="H5077">
        <v>0.38447159321192598</v>
      </c>
      <c r="I5077">
        <v>0.487844860916887</v>
      </c>
      <c r="J5077">
        <v>0.49338470651855498</v>
      </c>
      <c r="K5077">
        <v>0.36095073396049399</v>
      </c>
      <c r="L5077">
        <v>908.06557326678706</v>
      </c>
      <c r="M5077">
        <v>17.985065969433201</v>
      </c>
      <c r="N5077">
        <v>56.389962016345301</v>
      </c>
      <c r="O5077">
        <v>49.8781791419662</v>
      </c>
      <c r="P5077">
        <v>-5.1940664623756898E-2</v>
      </c>
      <c r="Q5077">
        <v>0.423838080162661</v>
      </c>
      <c r="R5077">
        <v>0.96239334748884298</v>
      </c>
      <c r="S5077" t="s">
        <v>11747</v>
      </c>
      <c r="T5077" t="s">
        <v>13338</v>
      </c>
      <c r="U5077" t="s">
        <v>13338</v>
      </c>
      <c r="V5077" t="s">
        <v>13338</v>
      </c>
      <c r="W5077" t="s">
        <v>18359</v>
      </c>
      <c r="X5077">
        <v>1</v>
      </c>
      <c r="Y5077" t="s">
        <v>24857</v>
      </c>
      <c r="Z5077" t="s">
        <v>31492</v>
      </c>
      <c r="AA5077">
        <v>0.63508335978049291</v>
      </c>
      <c r="AB5077" t="str">
        <f>HYPERLINK("Melting_Curves/meltCurve_Q96GF1_RNF185.pdf", "Melting_Curves/meltCurve_Q96GF1_RNF185.pdf")</f>
        <v>Melting_Curves/meltCurve_Q96GF1_RNF185.pdf</v>
      </c>
    </row>
    <row r="5078" spans="1:28" x14ac:dyDescent="0.25">
      <c r="A5078" t="s">
        <v>5082</v>
      </c>
      <c r="B5078">
        <v>0.99193492352474899</v>
      </c>
      <c r="C5078">
        <v>0.74178868820271204</v>
      </c>
      <c r="D5078">
        <v>0.89955314766169303</v>
      </c>
      <c r="E5078">
        <v>0.65901410978441499</v>
      </c>
      <c r="F5078">
        <v>0.187055160392334</v>
      </c>
      <c r="G5078">
        <v>0.105821536620819</v>
      </c>
      <c r="H5078">
        <v>5.5623968315048698E-2</v>
      </c>
      <c r="I5078">
        <v>4.5153864755725102E-2</v>
      </c>
      <c r="J5078">
        <v>5.20539988588219E-2</v>
      </c>
      <c r="K5078">
        <v>3.97143619339747E-2</v>
      </c>
      <c r="L5078">
        <v>1150.5132969342601</v>
      </c>
      <c r="M5078">
        <v>22.8643383530836</v>
      </c>
      <c r="N5078">
        <v>50.4773930012717</v>
      </c>
      <c r="O5078">
        <v>49.938941895830602</v>
      </c>
      <c r="P5078">
        <v>-0.11050415192734001</v>
      </c>
      <c r="Q5078">
        <v>3.4591849278344501E-2</v>
      </c>
      <c r="R5078">
        <v>0.95308232833304696</v>
      </c>
      <c r="S5078" t="s">
        <v>11748</v>
      </c>
      <c r="T5078" t="s">
        <v>13338</v>
      </c>
      <c r="U5078" t="s">
        <v>13338</v>
      </c>
      <c r="V5078" t="s">
        <v>13338</v>
      </c>
      <c r="W5078" t="s">
        <v>18360</v>
      </c>
      <c r="X5078">
        <v>10</v>
      </c>
      <c r="Y5078" t="s">
        <v>24858</v>
      </c>
      <c r="Z5078" t="s">
        <v>31493</v>
      </c>
      <c r="AA5078">
        <v>0.37700167566700982</v>
      </c>
      <c r="AB5078" t="str">
        <f>HYPERLINK("Melting_Curves/meltCurve_Q96GG9_DCUN1D1.pdf", "Melting_Curves/meltCurve_Q96GG9_DCUN1D1.pdf")</f>
        <v>Melting_Curves/meltCurve_Q96GG9_DCUN1D1.pdf</v>
      </c>
    </row>
    <row r="5079" spans="1:28" x14ac:dyDescent="0.25">
      <c r="A5079" t="s">
        <v>5083</v>
      </c>
      <c r="B5079">
        <v>0.99193492352474899</v>
      </c>
      <c r="C5079">
        <v>0.85979320961775596</v>
      </c>
      <c r="D5079">
        <v>0.91957639915393297</v>
      </c>
      <c r="E5079">
        <v>0.80218927720298505</v>
      </c>
      <c r="F5079">
        <v>0.78756816885731495</v>
      </c>
      <c r="G5079">
        <v>0.46558051346603502</v>
      </c>
      <c r="H5079">
        <v>0.27482679622379602</v>
      </c>
      <c r="I5079">
        <v>0.155835734296838</v>
      </c>
      <c r="J5079">
        <v>0.120586365624281</v>
      </c>
      <c r="K5079">
        <v>0.121475282260983</v>
      </c>
      <c r="L5079">
        <v>699.84370826496104</v>
      </c>
      <c r="M5079">
        <v>12.378022163828399</v>
      </c>
      <c r="N5079">
        <v>56.539219046743902</v>
      </c>
      <c r="O5079">
        <v>55.1243181654742</v>
      </c>
      <c r="P5079">
        <v>-5.6148848258213202E-2</v>
      </c>
      <c r="Q5079">
        <v>0</v>
      </c>
      <c r="R5079">
        <v>0.97269858247988605</v>
      </c>
      <c r="S5079" t="s">
        <v>11749</v>
      </c>
      <c r="T5079" t="s">
        <v>13338</v>
      </c>
      <c r="U5079" t="s">
        <v>13338</v>
      </c>
      <c r="V5079" t="s">
        <v>13338</v>
      </c>
      <c r="W5079" t="s">
        <v>18361</v>
      </c>
      <c r="X5079">
        <v>15</v>
      </c>
      <c r="Y5079" t="s">
        <v>24859</v>
      </c>
      <c r="Z5079" t="s">
        <v>31494</v>
      </c>
      <c r="AA5079">
        <v>0.5697154803451413</v>
      </c>
      <c r="AB5079" t="str">
        <f>HYPERLINK("Melting_Curves/meltCurve_Q96GK7_FAHD2A.pdf", "Melting_Curves/meltCurve_Q96GK7_FAHD2A.pdf")</f>
        <v>Melting_Curves/meltCurve_Q96GK7_FAHD2A.pdf</v>
      </c>
    </row>
    <row r="5080" spans="1:28" x14ac:dyDescent="0.25">
      <c r="A5080" t="s">
        <v>5084</v>
      </c>
      <c r="B5080">
        <v>0.99193492352474899</v>
      </c>
      <c r="C5080">
        <v>0.64698573320943398</v>
      </c>
      <c r="D5080">
        <v>0.52609990119563099</v>
      </c>
      <c r="E5080">
        <v>0.224327435008746</v>
      </c>
      <c r="F5080">
        <v>0.167469224147864</v>
      </c>
      <c r="G5080">
        <v>8.9500351599349506E-2</v>
      </c>
      <c r="H5080">
        <v>5.4836913176144801E-2</v>
      </c>
      <c r="I5080">
        <v>5.9268755616479901E-2</v>
      </c>
      <c r="J5080">
        <v>6.6812725658594196E-2</v>
      </c>
      <c r="K5080">
        <v>5.7304818593610397E-2</v>
      </c>
      <c r="L5080">
        <v>728.50609720615705</v>
      </c>
      <c r="M5080">
        <v>16.041870834882001</v>
      </c>
      <c r="N5080">
        <v>45.746364077624797</v>
      </c>
      <c r="O5080">
        <v>44.724671046671297</v>
      </c>
      <c r="P5080">
        <v>-8.4727265872657498E-2</v>
      </c>
      <c r="Q5080">
        <v>5.5196247840313198E-2</v>
      </c>
      <c r="R5080">
        <v>0.97937269658653803</v>
      </c>
      <c r="S5080" t="s">
        <v>11750</v>
      </c>
      <c r="T5080" t="s">
        <v>13338</v>
      </c>
      <c r="U5080" t="s">
        <v>13338</v>
      </c>
      <c r="V5080" t="s">
        <v>13338</v>
      </c>
      <c r="W5080" t="s">
        <v>18362</v>
      </c>
      <c r="X5080">
        <v>16</v>
      </c>
      <c r="Y5080" t="s">
        <v>24860</v>
      </c>
      <c r="Z5080" t="s">
        <v>31495</v>
      </c>
      <c r="AA5080">
        <v>0.25085968874744802</v>
      </c>
      <c r="AB5080" t="str">
        <f>HYPERLINK("Melting_Curves/meltCurve_Q96GM5_SMARCD1.pdf", "Melting_Curves/meltCurve_Q96GM5_SMARCD1.pdf")</f>
        <v>Melting_Curves/meltCurve_Q96GM5_SMARCD1.pdf</v>
      </c>
    </row>
    <row r="5081" spans="1:28" x14ac:dyDescent="0.25">
      <c r="A5081" t="s">
        <v>5085</v>
      </c>
      <c r="B5081">
        <v>0.99193492352474899</v>
      </c>
      <c r="C5081">
        <v>0.53872549663148495</v>
      </c>
      <c r="D5081">
        <v>0.83237716782457905</v>
      </c>
      <c r="E5081">
        <v>0.47162192649373802</v>
      </c>
      <c r="F5081">
        <v>0.476407281240393</v>
      </c>
      <c r="G5081">
        <v>0.16308681363206801</v>
      </c>
      <c r="H5081">
        <v>7.3157357693670697E-2</v>
      </c>
      <c r="I5081">
        <v>7.4118308495441404E-2</v>
      </c>
      <c r="J5081">
        <v>7.0929295871069206E-2</v>
      </c>
      <c r="K5081">
        <v>7.8010017806279794E-2</v>
      </c>
      <c r="L5081">
        <v>464.21619677263999</v>
      </c>
      <c r="M5081">
        <v>9.3716603210197107</v>
      </c>
      <c r="N5081">
        <v>49.5340303323242</v>
      </c>
      <c r="O5081">
        <v>47.435626465848102</v>
      </c>
      <c r="P5081">
        <v>-4.9422230496390399E-2</v>
      </c>
      <c r="Q5081">
        <v>0</v>
      </c>
      <c r="R5081">
        <v>0.86855428594835304</v>
      </c>
      <c r="S5081" t="s">
        <v>11751</v>
      </c>
      <c r="T5081" t="s">
        <v>13338</v>
      </c>
      <c r="U5081" t="s">
        <v>13338</v>
      </c>
      <c r="V5081" t="s">
        <v>13338</v>
      </c>
      <c r="W5081" t="s">
        <v>18363</v>
      </c>
      <c r="X5081">
        <v>11</v>
      </c>
      <c r="Y5081" t="s">
        <v>24861</v>
      </c>
      <c r="Z5081" t="s">
        <v>31496</v>
      </c>
      <c r="AA5081">
        <v>0.36912202296900132</v>
      </c>
      <c r="AB5081" t="str">
        <f>HYPERLINK("Melting_Curves/meltCurve_Q96GM8_TOE1.pdf", "Melting_Curves/meltCurve_Q96GM8_TOE1.pdf")</f>
        <v>Melting_Curves/meltCurve_Q96GM8_TOE1.pdf</v>
      </c>
    </row>
    <row r="5082" spans="1:28" x14ac:dyDescent="0.25">
      <c r="A5082" t="s">
        <v>5086</v>
      </c>
      <c r="B5082">
        <v>0.99193492352474899</v>
      </c>
      <c r="C5082">
        <v>0.45623813681763098</v>
      </c>
      <c r="D5082">
        <v>0.60236390526234995</v>
      </c>
      <c r="E5082">
        <v>0.49620670772378001</v>
      </c>
      <c r="F5082">
        <v>0.24494902854681</v>
      </c>
      <c r="G5082">
        <v>0.18952942345167101</v>
      </c>
      <c r="H5082">
        <v>0.114968489744619</v>
      </c>
      <c r="I5082">
        <v>0.120981108835562</v>
      </c>
      <c r="J5082">
        <v>0.198032043774311</v>
      </c>
      <c r="K5082">
        <v>0.10852272345096101</v>
      </c>
      <c r="L5082">
        <v>443.90297535794502</v>
      </c>
      <c r="M5082">
        <v>9.6484191991858204</v>
      </c>
      <c r="N5082">
        <v>46.915675627645697</v>
      </c>
      <c r="O5082">
        <v>44.161796973348103</v>
      </c>
      <c r="P5082">
        <v>-4.9996511268904198E-2</v>
      </c>
      <c r="Q5082">
        <v>8.5153462039501998E-2</v>
      </c>
      <c r="R5082">
        <v>0.85029811392946397</v>
      </c>
      <c r="S5082" t="s">
        <v>11752</v>
      </c>
      <c r="T5082" t="s">
        <v>13338</v>
      </c>
      <c r="U5082" t="s">
        <v>13338</v>
      </c>
      <c r="V5082" t="s">
        <v>13338</v>
      </c>
      <c r="W5082" t="s">
        <v>18364</v>
      </c>
      <c r="X5082">
        <v>5</v>
      </c>
      <c r="Y5082" t="s">
        <v>24862</v>
      </c>
      <c r="Z5082" t="s">
        <v>31497</v>
      </c>
      <c r="AA5082">
        <v>0.32895573728473471</v>
      </c>
      <c r="AB5082" t="str">
        <f>HYPERLINK("Melting_Curves/meltCurve_Q96GQ7_DDX27.pdf", "Melting_Curves/meltCurve_Q96GQ7_DDX27.pdf")</f>
        <v>Melting_Curves/meltCurve_Q96GQ7_DDX27.pdf</v>
      </c>
    </row>
    <row r="5083" spans="1:28" x14ac:dyDescent="0.25">
      <c r="A5083" t="s">
        <v>5087</v>
      </c>
      <c r="B5083">
        <v>0.99193492352474899</v>
      </c>
      <c r="C5083">
        <v>0.97679668275229803</v>
      </c>
      <c r="D5083">
        <v>0.939042548913818</v>
      </c>
      <c r="E5083">
        <v>0.88442047301273596</v>
      </c>
      <c r="F5083">
        <v>0.76471694106241295</v>
      </c>
      <c r="G5083">
        <v>0.49789642851414301</v>
      </c>
      <c r="H5083">
        <v>0.19275367096698401</v>
      </c>
      <c r="I5083">
        <v>0.13500470504143</v>
      </c>
      <c r="J5083">
        <v>0.122881192412148</v>
      </c>
      <c r="K5083">
        <v>8.6380047078188998E-2</v>
      </c>
      <c r="L5083">
        <v>1034.5738218368299</v>
      </c>
      <c r="M5083">
        <v>18.453117312751399</v>
      </c>
      <c r="N5083">
        <v>56.432071710886397</v>
      </c>
      <c r="O5083">
        <v>55.419034093644001</v>
      </c>
      <c r="P5083">
        <v>-7.8539302761022695E-2</v>
      </c>
      <c r="Q5083">
        <v>5.6554856911177301E-2</v>
      </c>
      <c r="R5083">
        <v>0.99454786887289803</v>
      </c>
      <c r="S5083" t="s">
        <v>11753</v>
      </c>
      <c r="T5083" t="s">
        <v>13338</v>
      </c>
      <c r="U5083" t="s">
        <v>13338</v>
      </c>
      <c r="V5083" t="s">
        <v>13338</v>
      </c>
      <c r="W5083" t="s">
        <v>18365</v>
      </c>
      <c r="X5083">
        <v>10</v>
      </c>
      <c r="Y5083" t="s">
        <v>24863</v>
      </c>
      <c r="Z5083" t="s">
        <v>31498</v>
      </c>
      <c r="AA5083">
        <v>0.5752088608636643</v>
      </c>
      <c r="AB5083" t="str">
        <f>HYPERLINK("Melting_Curves/meltCurve_Q96GS4_C17orf59.pdf", "Melting_Curves/meltCurve_Q96GS4_C17orf59.pdf")</f>
        <v>Melting_Curves/meltCurve_Q96GS4_C17orf59.pdf</v>
      </c>
    </row>
    <row r="5084" spans="1:28" x14ac:dyDescent="0.25">
      <c r="A5084" t="s">
        <v>5088</v>
      </c>
      <c r="B5084">
        <v>0.99193492352474899</v>
      </c>
      <c r="C5084">
        <v>1.03667061590206</v>
      </c>
      <c r="D5084">
        <v>0.90249598136582199</v>
      </c>
      <c r="E5084">
        <v>0.71595833004946996</v>
      </c>
      <c r="F5084">
        <v>0.58718707529344105</v>
      </c>
      <c r="G5084">
        <v>0.29787616209761703</v>
      </c>
      <c r="H5084">
        <v>0.19876723694661499</v>
      </c>
      <c r="I5084">
        <v>0.21851475201054399</v>
      </c>
      <c r="J5084">
        <v>0.28986837899051798</v>
      </c>
      <c r="K5084">
        <v>0.23535751162624</v>
      </c>
      <c r="L5084">
        <v>955.74039124399701</v>
      </c>
      <c r="M5084">
        <v>18.4760878056317</v>
      </c>
      <c r="N5084">
        <v>53.347239432256799</v>
      </c>
      <c r="O5084">
        <v>51.133946094316997</v>
      </c>
      <c r="P5084">
        <v>-7.09520688412313E-2</v>
      </c>
      <c r="Q5084">
        <v>0.21457446711803399</v>
      </c>
      <c r="R5084">
        <v>0.979317337799951</v>
      </c>
      <c r="S5084" t="s">
        <v>11754</v>
      </c>
      <c r="T5084" t="s">
        <v>13338</v>
      </c>
      <c r="U5084" t="s">
        <v>13338</v>
      </c>
      <c r="V5084" t="s">
        <v>13338</v>
      </c>
      <c r="W5084" t="s">
        <v>18366</v>
      </c>
      <c r="X5084">
        <v>5</v>
      </c>
      <c r="Y5084" t="s">
        <v>24864</v>
      </c>
      <c r="Z5084" t="s">
        <v>31499</v>
      </c>
      <c r="AA5084">
        <v>0.53417051393831483</v>
      </c>
      <c r="AB5084" t="str">
        <f>HYPERLINK("Melting_Curves/meltCurve_Q96GS6_ABHD17A.pdf", "Melting_Curves/meltCurve_Q96GS6_ABHD17A.pdf")</f>
        <v>Melting_Curves/meltCurve_Q96GS6_ABHD17A.pdf</v>
      </c>
    </row>
    <row r="5085" spans="1:28" x14ac:dyDescent="0.25">
      <c r="A5085" t="s">
        <v>5089</v>
      </c>
      <c r="B5085">
        <v>0.99193492352474899</v>
      </c>
      <c r="C5085">
        <v>0.92754797920764998</v>
      </c>
      <c r="D5085">
        <v>0.96812038071272699</v>
      </c>
      <c r="E5085">
        <v>0.86340623542560302</v>
      </c>
      <c r="F5085">
        <v>0.78187988762032501</v>
      </c>
      <c r="G5085">
        <v>0.57236572790886997</v>
      </c>
      <c r="H5085">
        <v>0.24391243524023401</v>
      </c>
      <c r="I5085">
        <v>0.15772185398008401</v>
      </c>
      <c r="J5085">
        <v>0.188612016906435</v>
      </c>
      <c r="K5085">
        <v>0.18051036765557901</v>
      </c>
      <c r="L5085">
        <v>1029.9175488205899</v>
      </c>
      <c r="M5085">
        <v>18.328537873511799</v>
      </c>
      <c r="N5085">
        <v>57.0581072780178</v>
      </c>
      <c r="O5085">
        <v>55.5359430299875</v>
      </c>
      <c r="P5085">
        <v>-7.2492076278011797E-2</v>
      </c>
      <c r="Q5085">
        <v>0.12142928965472</v>
      </c>
      <c r="R5085">
        <v>0.98308533805170095</v>
      </c>
      <c r="S5085" t="s">
        <v>11755</v>
      </c>
      <c r="T5085" t="s">
        <v>13338</v>
      </c>
      <c r="U5085" t="s">
        <v>13338</v>
      </c>
      <c r="V5085" t="s">
        <v>13338</v>
      </c>
      <c r="W5085" t="s">
        <v>18367</v>
      </c>
      <c r="X5085">
        <v>11</v>
      </c>
      <c r="Y5085" t="s">
        <v>24865</v>
      </c>
      <c r="Z5085" t="s">
        <v>31500</v>
      </c>
      <c r="AA5085">
        <v>0.60814932797745247</v>
      </c>
      <c r="AB5085" t="str">
        <f>HYPERLINK("Melting_Curves/meltCurve_Q96GW9_MARS2.pdf", "Melting_Curves/meltCurve_Q96GW9_MARS2.pdf")</f>
        <v>Melting_Curves/meltCurve_Q96GW9_MARS2.pdf</v>
      </c>
    </row>
    <row r="5086" spans="1:28" x14ac:dyDescent="0.25">
      <c r="A5086" t="s">
        <v>5090</v>
      </c>
      <c r="B5086">
        <v>0.99193492352474899</v>
      </c>
      <c r="C5086">
        <v>0.71450804440470705</v>
      </c>
      <c r="D5086">
        <v>1.0939173432732101</v>
      </c>
      <c r="E5086">
        <v>0.66699450315567699</v>
      </c>
      <c r="F5086">
        <v>0.438542324114712</v>
      </c>
      <c r="G5086">
        <v>0.139821230545151</v>
      </c>
      <c r="H5086">
        <v>6.9098495135047705E-2</v>
      </c>
      <c r="I5086">
        <v>8.6406496317282699E-2</v>
      </c>
      <c r="J5086">
        <v>0.109475553404651</v>
      </c>
      <c r="K5086">
        <v>0.111205427083351</v>
      </c>
      <c r="L5086">
        <v>1186.38441041232</v>
      </c>
      <c r="M5086">
        <v>23.025393106668201</v>
      </c>
      <c r="N5086">
        <v>51.925188229717598</v>
      </c>
      <c r="O5086">
        <v>51.141125384771897</v>
      </c>
      <c r="P5086">
        <v>-0.103409362022871</v>
      </c>
      <c r="Q5086">
        <v>8.1297437220850505E-2</v>
      </c>
      <c r="R5086">
        <v>0.92261659973499599</v>
      </c>
      <c r="S5086" t="s">
        <v>11756</v>
      </c>
      <c r="T5086" t="s">
        <v>13338</v>
      </c>
      <c r="U5086" t="s">
        <v>13338</v>
      </c>
      <c r="V5086" t="s">
        <v>13338</v>
      </c>
      <c r="W5086" t="s">
        <v>18368</v>
      </c>
      <c r="X5086">
        <v>4</v>
      </c>
      <c r="Y5086" t="s">
        <v>24866</v>
      </c>
      <c r="Z5086" t="s">
        <v>31501</v>
      </c>
      <c r="AA5086">
        <v>0.44401568024930133</v>
      </c>
      <c r="AB5086" t="str">
        <f>HYPERLINK("Melting_Curves/meltCurve_Q96GX2_ATXN7L3B.pdf", "Melting_Curves/meltCurve_Q96GX2_ATXN7L3B.pdf")</f>
        <v>Melting_Curves/meltCurve_Q96GX2_ATXN7L3B.pdf</v>
      </c>
    </row>
    <row r="5087" spans="1:28" x14ac:dyDescent="0.25">
      <c r="A5087" t="s">
        <v>5091</v>
      </c>
      <c r="B5087">
        <v>0.99193492352474899</v>
      </c>
      <c r="C5087">
        <v>0.98604798555946704</v>
      </c>
      <c r="D5087">
        <v>0.418101067506574</v>
      </c>
      <c r="E5087">
        <v>0.181017837963203</v>
      </c>
      <c r="F5087">
        <v>0.100904188850236</v>
      </c>
      <c r="G5087">
        <v>5.6685704699399403E-2</v>
      </c>
      <c r="H5087">
        <v>2.88619090335549E-2</v>
      </c>
      <c r="I5087">
        <v>3.73939665875462E-2</v>
      </c>
      <c r="J5087">
        <v>2.5283501381341701E-2</v>
      </c>
      <c r="K5087">
        <v>2.30896910695907E-2</v>
      </c>
      <c r="L5087">
        <v>1890.1593640496001</v>
      </c>
      <c r="M5087">
        <v>41.452835407434897</v>
      </c>
      <c r="N5087">
        <v>45.732829341018601</v>
      </c>
      <c r="O5087">
        <v>45.492071954183302</v>
      </c>
      <c r="P5087">
        <v>-0.214684491752624</v>
      </c>
      <c r="Q5087">
        <v>5.75862936032236E-2</v>
      </c>
      <c r="R5087">
        <v>0.98774758871109003</v>
      </c>
      <c r="S5087" t="s">
        <v>11757</v>
      </c>
      <c r="T5087" t="s">
        <v>13338</v>
      </c>
      <c r="U5087" t="s">
        <v>13338</v>
      </c>
      <c r="V5087" t="s">
        <v>13338</v>
      </c>
      <c r="W5087" t="s">
        <v>18369</v>
      </c>
      <c r="X5087">
        <v>5</v>
      </c>
      <c r="Y5087" t="s">
        <v>24867</v>
      </c>
      <c r="Z5087" t="s">
        <v>31502</v>
      </c>
      <c r="AA5087">
        <v>0.23627730307739109</v>
      </c>
      <c r="AB5087" t="str">
        <f>HYPERLINK("Melting_Curves/meltCurve_Q96GX5_2_MASTL.pdf", "Melting_Curves/meltCurve_Q96GX5_2_MASTL.pdf")</f>
        <v>Melting_Curves/meltCurve_Q96GX5_2_MASTL.pdf</v>
      </c>
    </row>
    <row r="5088" spans="1:28" x14ac:dyDescent="0.25">
      <c r="A5088" t="s">
        <v>5092</v>
      </c>
      <c r="B5088">
        <v>0.99193492352474899</v>
      </c>
      <c r="C5088">
        <v>0.90551906396781101</v>
      </c>
      <c r="D5088">
        <v>0.83792064096767604</v>
      </c>
      <c r="E5088">
        <v>0.67447929693592301</v>
      </c>
      <c r="F5088">
        <v>0.44373094418599401</v>
      </c>
      <c r="G5088">
        <v>0.30354907691280703</v>
      </c>
      <c r="H5088">
        <v>0.22783381933973601</v>
      </c>
      <c r="I5088">
        <v>0.23621948064173601</v>
      </c>
      <c r="J5088">
        <v>0.23680029317578299</v>
      </c>
      <c r="K5088">
        <v>0.22964525867771499</v>
      </c>
      <c r="L5088">
        <v>768.35199789762396</v>
      </c>
      <c r="M5088">
        <v>15.275487851384399</v>
      </c>
      <c r="N5088">
        <v>52.083096420959698</v>
      </c>
      <c r="O5088">
        <v>49.461268302340798</v>
      </c>
      <c r="P5088">
        <v>-6.1491464283916698E-2</v>
      </c>
      <c r="Q5088">
        <v>0.20364972988060501</v>
      </c>
      <c r="R5088">
        <v>0.99500592737993698</v>
      </c>
      <c r="S5088" t="s">
        <v>11758</v>
      </c>
      <c r="T5088" t="s">
        <v>13338</v>
      </c>
      <c r="U5088" t="s">
        <v>13338</v>
      </c>
      <c r="V5088" t="s">
        <v>13338</v>
      </c>
      <c r="W5088" t="s">
        <v>18370</v>
      </c>
      <c r="X5088">
        <v>17</v>
      </c>
      <c r="Y5088" t="s">
        <v>24868</v>
      </c>
      <c r="Z5088" t="s">
        <v>31503</v>
      </c>
      <c r="AA5088">
        <v>0.49527603997866149</v>
      </c>
      <c r="AB5088" t="str">
        <f>HYPERLINK("Melting_Curves/meltCurve_Q96GX9_APIP.pdf", "Melting_Curves/meltCurve_Q96GX9_APIP.pdf")</f>
        <v>Melting_Curves/meltCurve_Q96GX9_APIP.pdf</v>
      </c>
    </row>
    <row r="5089" spans="1:28" x14ac:dyDescent="0.25">
      <c r="A5089" t="s">
        <v>5093</v>
      </c>
      <c r="B5089">
        <v>0.99193492352474899</v>
      </c>
      <c r="C5089">
        <v>0.92342264020939102</v>
      </c>
      <c r="D5089">
        <v>0.88255067989631797</v>
      </c>
      <c r="E5089">
        <v>0.64589065254482503</v>
      </c>
      <c r="F5089">
        <v>0.56214872931198101</v>
      </c>
      <c r="G5089">
        <v>0.43551629731106101</v>
      </c>
      <c r="H5089">
        <v>0.29542095142284402</v>
      </c>
      <c r="I5089">
        <v>0.36357448433696499</v>
      </c>
      <c r="J5089">
        <v>0.39590938516171797</v>
      </c>
      <c r="K5089">
        <v>0.50389441657701195</v>
      </c>
      <c r="L5089">
        <v>882.66097256273804</v>
      </c>
      <c r="M5089">
        <v>17.9551553793392</v>
      </c>
      <c r="N5089">
        <v>53.629689238052102</v>
      </c>
      <c r="O5089">
        <v>48.561575507960001</v>
      </c>
      <c r="P5089">
        <v>-5.6566762432795403E-2</v>
      </c>
      <c r="Q5089">
        <v>0.38806784732702898</v>
      </c>
      <c r="R5089">
        <v>0.94533471607862996</v>
      </c>
      <c r="S5089" t="s">
        <v>11759</v>
      </c>
      <c r="T5089" t="s">
        <v>13338</v>
      </c>
      <c r="U5089" t="s">
        <v>13338</v>
      </c>
      <c r="V5089" t="s">
        <v>13338</v>
      </c>
      <c r="W5089" t="s">
        <v>18371</v>
      </c>
      <c r="X5089">
        <v>16</v>
      </c>
      <c r="Y5089" t="s">
        <v>24868</v>
      </c>
      <c r="Z5089" t="s">
        <v>31504</v>
      </c>
      <c r="AA5089">
        <v>0.58551544748030804</v>
      </c>
      <c r="AB5089" t="str">
        <f>HYPERLINK("Melting_Curves/meltCurve_Q96GX9_3_APIP.pdf", "Melting_Curves/meltCurve_Q96GX9_3_APIP.pdf")</f>
        <v>Melting_Curves/meltCurve_Q96GX9_3_APIP.pdf</v>
      </c>
    </row>
    <row r="5090" spans="1:28" x14ac:dyDescent="0.25">
      <c r="A5090" t="s">
        <v>5094</v>
      </c>
      <c r="B5090">
        <v>0.99193492352474899</v>
      </c>
      <c r="C5090">
        <v>0.79918321581124097</v>
      </c>
      <c r="D5090">
        <v>0.46049769285400399</v>
      </c>
      <c r="E5090">
        <v>0.45416293056138002</v>
      </c>
      <c r="F5090">
        <v>0.43014436751662599</v>
      </c>
      <c r="G5090">
        <v>0.18783602501866101</v>
      </c>
      <c r="H5090">
        <v>0.220546212404411</v>
      </c>
      <c r="I5090">
        <v>0.167598282732209</v>
      </c>
      <c r="J5090">
        <v>0.102872945412851</v>
      </c>
      <c r="K5090">
        <v>0.306484690840163</v>
      </c>
      <c r="L5090">
        <v>636.24225085263799</v>
      </c>
      <c r="M5090">
        <v>13.873290899208</v>
      </c>
      <c r="N5090">
        <v>47.569261165144603</v>
      </c>
      <c r="O5090">
        <v>44.939598842671899</v>
      </c>
      <c r="P5090">
        <v>-6.2044179136566201E-2</v>
      </c>
      <c r="Q5090">
        <v>0.19619435921112399</v>
      </c>
      <c r="R5090">
        <v>0.90480944665832896</v>
      </c>
      <c r="S5090" t="s">
        <v>11760</v>
      </c>
      <c r="T5090" t="s">
        <v>13338</v>
      </c>
      <c r="U5090" t="s">
        <v>13338</v>
      </c>
      <c r="V5090" t="s">
        <v>13338</v>
      </c>
      <c r="W5090" t="s">
        <v>18372</v>
      </c>
      <c r="X5090">
        <v>4</v>
      </c>
      <c r="Y5090" t="s">
        <v>24869</v>
      </c>
      <c r="Z5090" t="s">
        <v>31505</v>
      </c>
      <c r="AA5090">
        <v>0.38114501687821389</v>
      </c>
      <c r="AB5090" t="str">
        <f>HYPERLINK("Melting_Curves/meltCurve_Q96GY0_ZC2HC1A.pdf", "Melting_Curves/meltCurve_Q96GY0_ZC2HC1A.pdf")</f>
        <v>Melting_Curves/meltCurve_Q96GY0_ZC2HC1A.pdf</v>
      </c>
    </row>
    <row r="5091" spans="1:28" x14ac:dyDescent="0.25">
      <c r="A5091" t="s">
        <v>5095</v>
      </c>
      <c r="B5091">
        <v>0.99193492352474899</v>
      </c>
      <c r="C5091">
        <v>1.28848976751718</v>
      </c>
      <c r="D5091">
        <v>0.70836392274666704</v>
      </c>
      <c r="E5091">
        <v>0.79524583170794905</v>
      </c>
      <c r="F5091">
        <v>0.41379776859587197</v>
      </c>
      <c r="G5091">
        <v>0.31408074273368403</v>
      </c>
      <c r="H5091">
        <v>0.19546740471295099</v>
      </c>
      <c r="I5091">
        <v>0.28314366996152102</v>
      </c>
      <c r="J5091">
        <v>0.25624278462248001</v>
      </c>
      <c r="K5091">
        <v>0.26722063741572</v>
      </c>
      <c r="L5091">
        <v>1080.4260898656701</v>
      </c>
      <c r="M5091">
        <v>21.314266822833702</v>
      </c>
      <c r="N5091">
        <v>52.307613485974102</v>
      </c>
      <c r="O5091">
        <v>50.2503953503901</v>
      </c>
      <c r="P5091">
        <v>-8.0452299104187094E-2</v>
      </c>
      <c r="Q5091">
        <v>0.24132357514432601</v>
      </c>
      <c r="R5091">
        <v>0.87877532703624905</v>
      </c>
      <c r="S5091" t="s">
        <v>11761</v>
      </c>
      <c r="T5091" t="s">
        <v>13338</v>
      </c>
      <c r="U5091" t="s">
        <v>13338</v>
      </c>
      <c r="V5091" t="s">
        <v>13338</v>
      </c>
      <c r="W5091" t="s">
        <v>18373</v>
      </c>
      <c r="X5091">
        <v>2</v>
      </c>
      <c r="Y5091" t="s">
        <v>24870</v>
      </c>
      <c r="Z5091" t="s">
        <v>31506</v>
      </c>
      <c r="AA5091">
        <v>0.52100439593540171</v>
      </c>
      <c r="AB5091" t="str">
        <f>HYPERLINK("Melting_Curves/meltCurve_Q96GZ6_6_SLC41A3.pdf", "Melting_Curves/meltCurve_Q96GZ6_6_SLC41A3.pdf")</f>
        <v>Melting_Curves/meltCurve_Q96GZ6_6_SLC41A3.pdf</v>
      </c>
    </row>
    <row r="5092" spans="1:28" x14ac:dyDescent="0.25">
      <c r="A5092" t="s">
        <v>5096</v>
      </c>
      <c r="B5092">
        <v>0.99193492352474899</v>
      </c>
      <c r="C5092">
        <v>0.81795179474236002</v>
      </c>
      <c r="D5092">
        <v>0.90793365894726996</v>
      </c>
      <c r="E5092">
        <v>0.67005087952923503</v>
      </c>
      <c r="F5092">
        <v>0.34555312239267899</v>
      </c>
      <c r="G5092">
        <v>9.0301786571050299E-2</v>
      </c>
      <c r="H5092">
        <v>4.3572453098443299E-2</v>
      </c>
      <c r="I5092">
        <v>5.3463459211875501E-2</v>
      </c>
      <c r="J5092">
        <v>5.7602400780911403E-2</v>
      </c>
      <c r="K5092">
        <v>6.3342088106624395E-2</v>
      </c>
      <c r="L5092">
        <v>1012.3107618405101</v>
      </c>
      <c r="M5092">
        <v>19.845792877023602</v>
      </c>
      <c r="N5092">
        <v>51.170298898390101</v>
      </c>
      <c r="O5092">
        <v>50.499389530453598</v>
      </c>
      <c r="P5092">
        <v>-9.5268988933350396E-2</v>
      </c>
      <c r="Q5092">
        <v>3.0350796363636599E-2</v>
      </c>
      <c r="R5092">
        <v>0.97829399028784803</v>
      </c>
      <c r="S5092" t="s">
        <v>11762</v>
      </c>
      <c r="T5092" t="s">
        <v>13338</v>
      </c>
      <c r="U5092" t="s">
        <v>13338</v>
      </c>
      <c r="V5092" t="s">
        <v>13338</v>
      </c>
      <c r="W5092" t="s">
        <v>18374</v>
      </c>
      <c r="X5092">
        <v>10</v>
      </c>
      <c r="Y5092" t="s">
        <v>24871</v>
      </c>
      <c r="Z5092" t="s">
        <v>31507</v>
      </c>
      <c r="AA5092">
        <v>0.3998304437442497</v>
      </c>
      <c r="AB5092" t="str">
        <f>HYPERLINK("Melting_Curves/meltCurve_Q96H20_SNF8.pdf", "Melting_Curves/meltCurve_Q96H20_SNF8.pdf")</f>
        <v>Melting_Curves/meltCurve_Q96H20_SNF8.pdf</v>
      </c>
    </row>
    <row r="5093" spans="1:28" x14ac:dyDescent="0.25">
      <c r="A5093" t="s">
        <v>5097</v>
      </c>
      <c r="B5093">
        <v>0.99193492352474899</v>
      </c>
      <c r="C5093">
        <v>1.1331548861890599</v>
      </c>
      <c r="D5093">
        <v>0.68820941254905899</v>
      </c>
      <c r="E5093">
        <v>0.94906375122122599</v>
      </c>
      <c r="F5093">
        <v>0.66985996150212002</v>
      </c>
      <c r="G5093">
        <v>0.65177067039769399</v>
      </c>
      <c r="H5093">
        <v>0.28581676059060002</v>
      </c>
      <c r="I5093">
        <v>0.28074527886806</v>
      </c>
      <c r="J5093">
        <v>0.163520619815959</v>
      </c>
      <c r="K5093">
        <v>0.186902615821913</v>
      </c>
      <c r="L5093">
        <v>606.85627056074395</v>
      </c>
      <c r="M5093">
        <v>10.5111262038305</v>
      </c>
      <c r="N5093">
        <v>57.8378104933469</v>
      </c>
      <c r="O5093">
        <v>55.762371947267098</v>
      </c>
      <c r="P5093">
        <v>-4.6705798860325901E-2</v>
      </c>
      <c r="Q5093">
        <v>9.2859707836657705E-3</v>
      </c>
      <c r="R5093">
        <v>0.894059466700864</v>
      </c>
      <c r="S5093" t="s">
        <v>11763</v>
      </c>
      <c r="T5093" t="s">
        <v>13338</v>
      </c>
      <c r="U5093" t="s">
        <v>13338</v>
      </c>
      <c r="V5093" t="s">
        <v>13338</v>
      </c>
      <c r="W5093" t="s">
        <v>18375</v>
      </c>
      <c r="X5093">
        <v>1</v>
      </c>
      <c r="Y5093" t="s">
        <v>24872</v>
      </c>
      <c r="Z5093" t="s">
        <v>31508</v>
      </c>
      <c r="AA5093">
        <v>0.6072175345907479</v>
      </c>
      <c r="AB5093" t="str">
        <f>HYPERLINK("Melting_Curves/meltCurve_Q96H22_4_CENPN.pdf", "Melting_Curves/meltCurve_Q96H22_4_CENPN.pdf")</f>
        <v>Melting_Curves/meltCurve_Q96H22_4_CENPN.pdf</v>
      </c>
    </row>
    <row r="5094" spans="1:28" x14ac:dyDescent="0.25">
      <c r="A5094" t="s">
        <v>5098</v>
      </c>
      <c r="B5094">
        <v>0.99193492352474899</v>
      </c>
      <c r="C5094">
        <v>1.08111035742512</v>
      </c>
      <c r="D5094">
        <v>1.0945849259226399</v>
      </c>
      <c r="E5094">
        <v>0.66674682652467898</v>
      </c>
      <c r="F5094">
        <v>0.28077162947953799</v>
      </c>
      <c r="G5094">
        <v>0.156865915436014</v>
      </c>
      <c r="H5094">
        <v>9.3027204411915504E-2</v>
      </c>
      <c r="I5094">
        <v>0.145481782859326</v>
      </c>
      <c r="J5094">
        <v>0.131527429632214</v>
      </c>
      <c r="K5094">
        <v>0.124409913618842</v>
      </c>
      <c r="L5094">
        <v>1841.16563781941</v>
      </c>
      <c r="M5094">
        <v>36.482903257116</v>
      </c>
      <c r="N5094">
        <v>50.891037538412498</v>
      </c>
      <c r="O5094">
        <v>50.315629058907803</v>
      </c>
      <c r="P5094">
        <v>-0.15749037929861701</v>
      </c>
      <c r="Q5094">
        <v>0.131187243490895</v>
      </c>
      <c r="R5094">
        <v>0.98506990126360305</v>
      </c>
      <c r="S5094" t="s">
        <v>11764</v>
      </c>
      <c r="T5094" t="s">
        <v>13338</v>
      </c>
      <c r="U5094" t="s">
        <v>13338</v>
      </c>
      <c r="V5094" t="s">
        <v>13338</v>
      </c>
      <c r="W5094" t="s">
        <v>18376</v>
      </c>
      <c r="X5094">
        <v>7</v>
      </c>
      <c r="Y5094" t="s">
        <v>24873</v>
      </c>
      <c r="Z5094" t="s">
        <v>31509</v>
      </c>
      <c r="AA5094">
        <v>0.43795196308781492</v>
      </c>
      <c r="AB5094" t="str">
        <f>HYPERLINK("Melting_Curves/meltCurve_Q96H79_ZC3HAV1L.pdf", "Melting_Curves/meltCurve_Q96H79_ZC3HAV1L.pdf")</f>
        <v>Melting_Curves/meltCurve_Q96H79_ZC3HAV1L.pdf</v>
      </c>
    </row>
    <row r="5095" spans="1:28" x14ac:dyDescent="0.25">
      <c r="A5095" t="s">
        <v>5099</v>
      </c>
      <c r="B5095">
        <v>0.99193492352474899</v>
      </c>
      <c r="C5095">
        <v>0.79434276009150695</v>
      </c>
      <c r="D5095">
        <v>0.62745379284388902</v>
      </c>
      <c r="E5095">
        <v>0.78854330312677301</v>
      </c>
      <c r="F5095">
        <v>0.35335140273601401</v>
      </c>
      <c r="G5095">
        <v>0.180818318391227</v>
      </c>
      <c r="H5095">
        <v>0.26512136030299499</v>
      </c>
      <c r="I5095">
        <v>0.358401509293793</v>
      </c>
      <c r="J5095">
        <v>0.38572070325674801</v>
      </c>
      <c r="K5095">
        <v>0.40773651905386898</v>
      </c>
      <c r="L5095">
        <v>645.54424412181402</v>
      </c>
      <c r="M5095">
        <v>13.675949498866</v>
      </c>
      <c r="N5095">
        <v>50.740971600211097</v>
      </c>
      <c r="O5095">
        <v>46.227935029295999</v>
      </c>
      <c r="P5095">
        <v>-5.1237284234777601E-2</v>
      </c>
      <c r="Q5095">
        <v>0.30732402206042198</v>
      </c>
      <c r="R5095">
        <v>0.79069568538620705</v>
      </c>
      <c r="S5095" t="s">
        <v>11765</v>
      </c>
      <c r="T5095" t="s">
        <v>13338</v>
      </c>
      <c r="U5095" t="s">
        <v>13338</v>
      </c>
      <c r="V5095" t="s">
        <v>13338</v>
      </c>
      <c r="W5095" t="s">
        <v>18377</v>
      </c>
      <c r="X5095">
        <v>2</v>
      </c>
      <c r="Y5095" t="s">
        <v>24874</v>
      </c>
      <c r="Z5095" t="s">
        <v>31510</v>
      </c>
      <c r="AA5095">
        <v>0.49600315378055809</v>
      </c>
      <c r="AB5095" t="str">
        <f>HYPERLINK("Melting_Curves/meltCurve_Q96H86_2_ZNF764.pdf", "Melting_Curves/meltCurve_Q96H86_2_ZNF764.pdf")</f>
        <v>Melting_Curves/meltCurve_Q96H86_2_ZNF764.pdf</v>
      </c>
    </row>
    <row r="5096" spans="1:28" x14ac:dyDescent="0.25">
      <c r="A5096" t="s">
        <v>5100</v>
      </c>
      <c r="B5096">
        <v>0.99193492352474899</v>
      </c>
      <c r="C5096">
        <v>0.93242673281840405</v>
      </c>
      <c r="D5096">
        <v>1.00982341695614</v>
      </c>
      <c r="E5096">
        <v>0.87499599428325603</v>
      </c>
      <c r="F5096">
        <v>0.529198223615717</v>
      </c>
      <c r="G5096">
        <v>0.69531173215015696</v>
      </c>
      <c r="H5096">
        <v>0.51720882088974995</v>
      </c>
      <c r="I5096">
        <v>0.91678701452427502</v>
      </c>
      <c r="J5096">
        <v>0.90770175150937904</v>
      </c>
      <c r="K5096">
        <v>1.10554226926266</v>
      </c>
      <c r="L5096">
        <v>12387.097014560301</v>
      </c>
      <c r="M5096">
        <v>250</v>
      </c>
      <c r="O5096">
        <v>49.5452217009612</v>
      </c>
      <c r="P5096">
        <v>-0.27925882690366699</v>
      </c>
      <c r="Q5096">
        <v>0.77862497208646197</v>
      </c>
      <c r="R5096">
        <v>0.216932198184911</v>
      </c>
      <c r="S5096" t="s">
        <v>11766</v>
      </c>
      <c r="T5096" t="s">
        <v>13338</v>
      </c>
      <c r="U5096" t="s">
        <v>13338</v>
      </c>
      <c r="V5096" t="s">
        <v>13338</v>
      </c>
      <c r="W5096" t="s">
        <v>18378</v>
      </c>
      <c r="X5096">
        <v>1</v>
      </c>
      <c r="Y5096" t="s">
        <v>24875</v>
      </c>
      <c r="Z5096" t="s">
        <v>31511</v>
      </c>
      <c r="AA5096">
        <v>0.8491033778813416</v>
      </c>
      <c r="AB5096" t="str">
        <f>HYPERLINK("Melting_Curves/meltCurve_Q96HA4_4_C1orf159.pdf", "Melting_Curves/meltCurve_Q96HA4_4_C1orf159.pdf")</f>
        <v>Melting_Curves/meltCurve_Q96HA4_4_C1orf159.pdf</v>
      </c>
    </row>
    <row r="5097" spans="1:28" x14ac:dyDescent="0.25">
      <c r="A5097" t="s">
        <v>5101</v>
      </c>
      <c r="B5097">
        <v>0.99193492352474899</v>
      </c>
      <c r="C5097">
        <v>0.772502102184766</v>
      </c>
      <c r="D5097">
        <v>0.51719487965574096</v>
      </c>
      <c r="E5097">
        <v>0.24101661531808499</v>
      </c>
      <c r="F5097">
        <v>0.182222628843106</v>
      </c>
      <c r="G5097">
        <v>0.111178561802936</v>
      </c>
      <c r="H5097">
        <v>9.6747451926916098E-2</v>
      </c>
      <c r="I5097">
        <v>9.0334721326345693E-2</v>
      </c>
      <c r="J5097">
        <v>0.11840026483020499</v>
      </c>
      <c r="K5097">
        <v>0.146900820979734</v>
      </c>
      <c r="L5097">
        <v>929.92843783073704</v>
      </c>
      <c r="M5097">
        <v>20.442671314102</v>
      </c>
      <c r="N5097">
        <v>46.061023610938797</v>
      </c>
      <c r="O5097">
        <v>45.060989007590301</v>
      </c>
      <c r="P5097">
        <v>-0.100716330228816</v>
      </c>
      <c r="Q5097">
        <v>0.112006098009632</v>
      </c>
      <c r="R5097">
        <v>0.99369232759708803</v>
      </c>
      <c r="S5097" t="s">
        <v>11767</v>
      </c>
      <c r="T5097" t="s">
        <v>13338</v>
      </c>
      <c r="U5097" t="s">
        <v>13338</v>
      </c>
      <c r="V5097" t="s">
        <v>13338</v>
      </c>
      <c r="W5097" t="s">
        <v>18379</v>
      </c>
      <c r="X5097">
        <v>2</v>
      </c>
      <c r="Y5097" t="s">
        <v>24876</v>
      </c>
      <c r="Z5097" t="s">
        <v>31512</v>
      </c>
      <c r="AA5097">
        <v>0.28809010925936968</v>
      </c>
      <c r="AB5097" t="str">
        <f>HYPERLINK("Melting_Curves/meltCurve_Q96HA8_WDYHV1.pdf", "Melting_Curves/meltCurve_Q96HA8_WDYHV1.pdf")</f>
        <v>Melting_Curves/meltCurve_Q96HA8_WDYHV1.pdf</v>
      </c>
    </row>
    <row r="5098" spans="1:28" x14ac:dyDescent="0.25">
      <c r="A5098" t="s">
        <v>5102</v>
      </c>
      <c r="B5098">
        <v>0.99193492352474899</v>
      </c>
      <c r="C5098">
        <v>0.82055901991174396</v>
      </c>
      <c r="D5098">
        <v>0.98222873934031996</v>
      </c>
      <c r="E5098">
        <v>0.68814020350125404</v>
      </c>
      <c r="F5098">
        <v>0.46012985851845101</v>
      </c>
      <c r="G5098">
        <v>0.19123066404095501</v>
      </c>
      <c r="H5098">
        <v>0.119038280972295</v>
      </c>
      <c r="I5098">
        <v>0.15233556279653801</v>
      </c>
      <c r="J5098">
        <v>0.17906628306546599</v>
      </c>
      <c r="K5098">
        <v>0.232727068619307</v>
      </c>
      <c r="L5098">
        <v>1127.96609233651</v>
      </c>
      <c r="M5098">
        <v>22.066139785793499</v>
      </c>
      <c r="N5098">
        <v>52.007391786011702</v>
      </c>
      <c r="O5098">
        <v>50.703226741956001</v>
      </c>
      <c r="P5098">
        <v>-9.1695057957274506E-2</v>
      </c>
      <c r="Q5098">
        <v>0.15723657599888</v>
      </c>
      <c r="R5098">
        <v>0.95967099405644196</v>
      </c>
      <c r="S5098" t="s">
        <v>11768</v>
      </c>
      <c r="T5098" t="s">
        <v>13338</v>
      </c>
      <c r="U5098" t="s">
        <v>13338</v>
      </c>
      <c r="V5098" t="s">
        <v>13338</v>
      </c>
      <c r="W5098" t="s">
        <v>18380</v>
      </c>
      <c r="X5098">
        <v>15</v>
      </c>
      <c r="Y5098" t="s">
        <v>24877</v>
      </c>
      <c r="Z5098" t="s">
        <v>31513</v>
      </c>
      <c r="AA5098">
        <v>0.47926339984151611</v>
      </c>
      <c r="AB5098" t="str">
        <f>HYPERLINK("Melting_Curves/meltCurve_Q96HC4_PDLIM5.pdf", "Melting_Curves/meltCurve_Q96HC4_PDLIM5.pdf")</f>
        <v>Melting_Curves/meltCurve_Q96HC4_PDLIM5.pdf</v>
      </c>
    </row>
    <row r="5099" spans="1:28" x14ac:dyDescent="0.25">
      <c r="A5099" t="s">
        <v>5103</v>
      </c>
      <c r="B5099">
        <v>0.99193492352474899</v>
      </c>
      <c r="C5099">
        <v>1.1322569687341999</v>
      </c>
      <c r="D5099">
        <v>0.87077045801211095</v>
      </c>
      <c r="E5099">
        <v>0.72132645622778302</v>
      </c>
      <c r="F5099">
        <v>0.45632412591373001</v>
      </c>
      <c r="G5099">
        <v>0.291971804346076</v>
      </c>
      <c r="H5099">
        <v>0.1379389502275</v>
      </c>
      <c r="I5099">
        <v>0.16214980099753601</v>
      </c>
      <c r="J5099">
        <v>0.181620304243402</v>
      </c>
      <c r="K5099">
        <v>0.205270963787618</v>
      </c>
      <c r="L5099">
        <v>1031.6386467193099</v>
      </c>
      <c r="M5099">
        <v>20.077224054140999</v>
      </c>
      <c r="N5099">
        <v>52.410549102692201</v>
      </c>
      <c r="O5099">
        <v>50.881913102220999</v>
      </c>
      <c r="P5099">
        <v>-8.2606039552426694E-2</v>
      </c>
      <c r="Q5099">
        <v>0.16262950208933399</v>
      </c>
      <c r="R5099">
        <v>0.97604936662004405</v>
      </c>
      <c r="S5099" t="s">
        <v>11769</v>
      </c>
      <c r="T5099" t="s">
        <v>13338</v>
      </c>
      <c r="U5099" t="s">
        <v>13338</v>
      </c>
      <c r="V5099" t="s">
        <v>13338</v>
      </c>
      <c r="W5099" t="s">
        <v>18381</v>
      </c>
      <c r="X5099">
        <v>3</v>
      </c>
      <c r="Y5099" t="s">
        <v>24878</v>
      </c>
      <c r="Z5099" t="s">
        <v>31514</v>
      </c>
      <c r="AA5099">
        <v>0.49190086546830208</v>
      </c>
      <c r="AB5099" t="str">
        <f>HYPERLINK("Melting_Curves/meltCurve_Q96HD1_CRELD1.pdf", "Melting_Curves/meltCurve_Q96HD1_CRELD1.pdf")</f>
        <v>Melting_Curves/meltCurve_Q96HD1_CRELD1.pdf</v>
      </c>
    </row>
    <row r="5100" spans="1:28" x14ac:dyDescent="0.25">
      <c r="A5100" t="s">
        <v>5104</v>
      </c>
      <c r="B5100">
        <v>0.99193492352474899</v>
      </c>
      <c r="C5100">
        <v>1.0410479285752201</v>
      </c>
      <c r="D5100">
        <v>0.91650817730487399</v>
      </c>
      <c r="E5100">
        <v>0.83363518676904602</v>
      </c>
      <c r="F5100">
        <v>0.30006489915335</v>
      </c>
      <c r="G5100">
        <v>0.14610856697164301</v>
      </c>
      <c r="H5100">
        <v>8.5936500350990194E-2</v>
      </c>
      <c r="I5100">
        <v>9.4622554233427594E-2</v>
      </c>
      <c r="J5100">
        <v>0.10518513123093599</v>
      </c>
      <c r="K5100">
        <v>0.109961559863793</v>
      </c>
      <c r="L5100">
        <v>1890.01028439734</v>
      </c>
      <c r="M5100">
        <v>36.719634789251501</v>
      </c>
      <c r="N5100">
        <v>51.788673024928201</v>
      </c>
      <c r="O5100">
        <v>51.319434511448598</v>
      </c>
      <c r="P5100">
        <v>-0.16085986711762901</v>
      </c>
      <c r="Q5100">
        <v>0.100730341515041</v>
      </c>
      <c r="R5100">
        <v>0.99499510595881502</v>
      </c>
      <c r="S5100" t="s">
        <v>11770</v>
      </c>
      <c r="T5100" t="s">
        <v>13338</v>
      </c>
      <c r="U5100" t="s">
        <v>13338</v>
      </c>
      <c r="V5100" t="s">
        <v>13338</v>
      </c>
      <c r="W5100" t="s">
        <v>18382</v>
      </c>
      <c r="X5100">
        <v>23</v>
      </c>
      <c r="Y5100" t="s">
        <v>24879</v>
      </c>
      <c r="Z5100" t="s">
        <v>31515</v>
      </c>
      <c r="AA5100">
        <v>0.44839215988922049</v>
      </c>
      <c r="AB5100" t="str">
        <f>HYPERLINK("Melting_Curves/meltCurve_Q96HE7_ERO1L.pdf", "Melting_Curves/meltCurve_Q96HE7_ERO1L.pdf")</f>
        <v>Melting_Curves/meltCurve_Q96HE7_ERO1L.pdf</v>
      </c>
    </row>
    <row r="5101" spans="1:28" x14ac:dyDescent="0.25">
      <c r="A5101" t="s">
        <v>5105</v>
      </c>
      <c r="B5101">
        <v>0.99193492352474899</v>
      </c>
      <c r="C5101">
        <v>0.76380608928315097</v>
      </c>
      <c r="D5101">
        <v>0.95822628191887305</v>
      </c>
      <c r="E5101">
        <v>0.76335858755641794</v>
      </c>
      <c r="F5101">
        <v>0.813120960790221</v>
      </c>
      <c r="G5101">
        <v>0.46474669495897802</v>
      </c>
      <c r="H5101">
        <v>0.228601476429623</v>
      </c>
      <c r="I5101">
        <v>0.12307372556910399</v>
      </c>
      <c r="J5101">
        <v>0.12800821161676099</v>
      </c>
      <c r="K5101">
        <v>0.11958097172178001</v>
      </c>
      <c r="L5101">
        <v>721.65022999335304</v>
      </c>
      <c r="M5101">
        <v>12.817682386626</v>
      </c>
      <c r="N5101">
        <v>56.301147723541703</v>
      </c>
      <c r="O5101">
        <v>54.983543441669497</v>
      </c>
      <c r="P5101">
        <v>-5.82905081360112E-2</v>
      </c>
      <c r="Q5101">
        <v>0</v>
      </c>
      <c r="R5101">
        <v>0.93116860576237903</v>
      </c>
      <c r="S5101" t="s">
        <v>11771</v>
      </c>
      <c r="T5101" t="s">
        <v>13338</v>
      </c>
      <c r="U5101" t="s">
        <v>13338</v>
      </c>
      <c r="V5101" t="s">
        <v>13338</v>
      </c>
      <c r="W5101" t="s">
        <v>18383</v>
      </c>
      <c r="X5101">
        <v>4</v>
      </c>
      <c r="Y5101" t="s">
        <v>24880</v>
      </c>
      <c r="Z5101" t="s">
        <v>31516</v>
      </c>
      <c r="AA5101">
        <v>0.56229335130824931</v>
      </c>
      <c r="AB5101" t="str">
        <f>HYPERLINK("Melting_Curves/meltCurve_Q96HJ9_C7orf55.pdf", "Melting_Curves/meltCurve_Q96HJ9_C7orf55.pdf")</f>
        <v>Melting_Curves/meltCurve_Q96HJ9_C7orf55.pdf</v>
      </c>
    </row>
    <row r="5102" spans="1:28" x14ac:dyDescent="0.25">
      <c r="A5102" t="s">
        <v>5106</v>
      </c>
      <c r="B5102">
        <v>0.99193492352474899</v>
      </c>
      <c r="C5102">
        <v>0.85710938481056498</v>
      </c>
      <c r="D5102">
        <v>0.90348018425033305</v>
      </c>
      <c r="E5102">
        <v>0.58652291878191398</v>
      </c>
      <c r="F5102">
        <v>0.21749787455710401</v>
      </c>
      <c r="G5102">
        <v>0.12402598544155299</v>
      </c>
      <c r="H5102">
        <v>7.8040512285675406E-2</v>
      </c>
      <c r="I5102">
        <v>9.6679195848680399E-2</v>
      </c>
      <c r="J5102">
        <v>0.115617491403828</v>
      </c>
      <c r="K5102">
        <v>0.158724210521448</v>
      </c>
      <c r="L5102">
        <v>1297.1037118572001</v>
      </c>
      <c r="M5102">
        <v>26.096237962252602</v>
      </c>
      <c r="N5102">
        <v>50.151315483178699</v>
      </c>
      <c r="O5102">
        <v>49.4154816168436</v>
      </c>
      <c r="P5102">
        <v>-0.118335453922324</v>
      </c>
      <c r="Q5102">
        <v>0.103696095389401</v>
      </c>
      <c r="R5102">
        <v>0.98285067409293503</v>
      </c>
      <c r="S5102" t="s">
        <v>11772</v>
      </c>
      <c r="T5102" t="s">
        <v>13338</v>
      </c>
      <c r="U5102" t="s">
        <v>13338</v>
      </c>
      <c r="V5102" t="s">
        <v>13338</v>
      </c>
      <c r="W5102" t="s">
        <v>18384</v>
      </c>
      <c r="X5102">
        <v>30</v>
      </c>
      <c r="Y5102" t="s">
        <v>24880</v>
      </c>
      <c r="Z5102" t="s">
        <v>31517</v>
      </c>
      <c r="AA5102">
        <v>0.40096170751340848</v>
      </c>
      <c r="AB5102" t="str">
        <f>HYPERLINK("Melting_Curves/meltCurve_Q96HJ9_2_C7orf55.pdf", "Melting_Curves/meltCurve_Q96HJ9_2_C7orf55.pdf")</f>
        <v>Melting_Curves/meltCurve_Q96HJ9_2_C7orf55.pdf</v>
      </c>
    </row>
    <row r="5103" spans="1:28" x14ac:dyDescent="0.25">
      <c r="A5103" t="s">
        <v>5107</v>
      </c>
      <c r="B5103">
        <v>0.99193492352474899</v>
      </c>
      <c r="C5103">
        <v>0.98268144003425295</v>
      </c>
      <c r="D5103">
        <v>1.0421478186570901</v>
      </c>
      <c r="E5103">
        <v>0.94469269870994199</v>
      </c>
      <c r="F5103">
        <v>0.82966055752077505</v>
      </c>
      <c r="G5103">
        <v>0.63482611871853101</v>
      </c>
      <c r="H5103">
        <v>0.45920017750731901</v>
      </c>
      <c r="I5103">
        <v>0.41286128293647401</v>
      </c>
      <c r="J5103">
        <v>0.229603175089652</v>
      </c>
      <c r="K5103">
        <v>0.15718166584615401</v>
      </c>
      <c r="L5103">
        <v>712.32288425054196</v>
      </c>
      <c r="M5103">
        <v>11.8475236328711</v>
      </c>
      <c r="N5103">
        <v>60.354132418575503</v>
      </c>
      <c r="O5103">
        <v>58.487989750639201</v>
      </c>
      <c r="P5103">
        <v>-4.9535937839734499E-2</v>
      </c>
      <c r="Q5103">
        <v>2.2066113101990099E-2</v>
      </c>
      <c r="R5103">
        <v>0.98775848616198403</v>
      </c>
      <c r="S5103" t="s">
        <v>11773</v>
      </c>
      <c r="T5103" t="s">
        <v>13338</v>
      </c>
      <c r="U5103" t="s">
        <v>13338</v>
      </c>
      <c r="V5103" t="s">
        <v>13338</v>
      </c>
      <c r="W5103" t="s">
        <v>18385</v>
      </c>
      <c r="X5103">
        <v>23</v>
      </c>
      <c r="Y5103" t="s">
        <v>24881</v>
      </c>
      <c r="Z5103" t="s">
        <v>31518</v>
      </c>
      <c r="AA5103">
        <v>0.67928851075827901</v>
      </c>
      <c r="AB5103" t="str">
        <f>HYPERLINK("Melting_Curves/meltCurve_Q96HN2_AHCYL2.pdf", "Melting_Curves/meltCurve_Q96HN2_AHCYL2.pdf")</f>
        <v>Melting_Curves/meltCurve_Q96HN2_AHCYL2.pdf</v>
      </c>
    </row>
    <row r="5104" spans="1:28" x14ac:dyDescent="0.25">
      <c r="A5104" t="s">
        <v>5108</v>
      </c>
      <c r="B5104">
        <v>0.99193492352474899</v>
      </c>
      <c r="C5104">
        <v>0.96061820185983504</v>
      </c>
      <c r="D5104">
        <v>0.95452793459626795</v>
      </c>
      <c r="E5104">
        <v>1.05121808439315</v>
      </c>
      <c r="F5104">
        <v>0.91911424275690901</v>
      </c>
      <c r="G5104">
        <v>0.76167299476140005</v>
      </c>
      <c r="H5104">
        <v>0.58946903808578399</v>
      </c>
      <c r="I5104">
        <v>0.50821604474566195</v>
      </c>
      <c r="J5104">
        <v>0.463682438903255</v>
      </c>
      <c r="K5104">
        <v>0.54252156256909501</v>
      </c>
      <c r="L5104">
        <v>1541.7658700560701</v>
      </c>
      <c r="M5104">
        <v>27.0423136248798</v>
      </c>
      <c r="N5104">
        <v>69.875247308514801</v>
      </c>
      <c r="O5104">
        <v>56.704053131189497</v>
      </c>
      <c r="P5104">
        <v>-6.0024125011327097E-2</v>
      </c>
      <c r="Q5104">
        <v>0.49655525679075302</v>
      </c>
      <c r="R5104">
        <v>0.97559057467141597</v>
      </c>
      <c r="S5104" t="s">
        <v>11774</v>
      </c>
      <c r="T5104" t="s">
        <v>13338</v>
      </c>
      <c r="U5104" t="s">
        <v>13338</v>
      </c>
      <c r="V5104" t="s">
        <v>13338</v>
      </c>
      <c r="W5104" t="s">
        <v>18386</v>
      </c>
      <c r="X5104">
        <v>5</v>
      </c>
      <c r="Y5104" t="s">
        <v>24882</v>
      </c>
      <c r="Z5104" t="s">
        <v>31519</v>
      </c>
      <c r="AA5104">
        <v>0.78606024642324879</v>
      </c>
      <c r="AB5104" t="str">
        <f>HYPERLINK("Melting_Curves/meltCurve_Q96HQ2_CDKN2AIPNL.pdf", "Melting_Curves/meltCurve_Q96HQ2_CDKN2AIPNL.pdf")</f>
        <v>Melting_Curves/meltCurve_Q96HQ2_CDKN2AIPNL.pdf</v>
      </c>
    </row>
    <row r="5105" spans="1:28" x14ac:dyDescent="0.25">
      <c r="A5105" t="s">
        <v>5109</v>
      </c>
      <c r="B5105">
        <v>0.99193492352474899</v>
      </c>
      <c r="C5105">
        <v>0.67402865995199501</v>
      </c>
      <c r="D5105">
        <v>0.73341385074187504</v>
      </c>
      <c r="E5105">
        <v>0.43781719839453698</v>
      </c>
      <c r="F5105">
        <v>0.38320427111417799</v>
      </c>
      <c r="G5105">
        <v>0.27238290557119099</v>
      </c>
      <c r="H5105">
        <v>0.19548847818427201</v>
      </c>
      <c r="I5105">
        <v>0.229526550546161</v>
      </c>
      <c r="J5105">
        <v>0.27773079308512899</v>
      </c>
      <c r="K5105">
        <v>0.256751656996003</v>
      </c>
      <c r="L5105">
        <v>590.96915612330599</v>
      </c>
      <c r="M5105">
        <v>12.6810996406189</v>
      </c>
      <c r="N5105">
        <v>48.824766328087399</v>
      </c>
      <c r="O5105">
        <v>45.4890427694232</v>
      </c>
      <c r="P5105">
        <v>-5.4422128308961898E-2</v>
      </c>
      <c r="Q5105">
        <v>0.219269946104065</v>
      </c>
      <c r="R5105">
        <v>0.93752220966464805</v>
      </c>
      <c r="S5105" t="s">
        <v>11775</v>
      </c>
      <c r="T5105" t="s">
        <v>13338</v>
      </c>
      <c r="U5105" t="s">
        <v>13338</v>
      </c>
      <c r="V5105" t="s">
        <v>13338</v>
      </c>
      <c r="W5105" t="s">
        <v>18387</v>
      </c>
      <c r="X5105">
        <v>3</v>
      </c>
      <c r="Y5105" t="s">
        <v>24883</v>
      </c>
      <c r="Z5105" t="s">
        <v>31520</v>
      </c>
      <c r="AA5105">
        <v>0.4215580533601806</v>
      </c>
      <c r="AB5105" t="str">
        <f>HYPERLINK("Melting_Curves/meltCurve_Q96HR3_MED30.pdf", "Melting_Curves/meltCurve_Q96HR3_MED30.pdf")</f>
        <v>Melting_Curves/meltCurve_Q96HR3_MED30.pdf</v>
      </c>
    </row>
    <row r="5106" spans="1:28" x14ac:dyDescent="0.25">
      <c r="A5106" t="s">
        <v>5110</v>
      </c>
      <c r="B5106">
        <v>0.99193492352474899</v>
      </c>
      <c r="C5106">
        <v>0.80151423633027397</v>
      </c>
      <c r="D5106">
        <v>1.10921285277536</v>
      </c>
      <c r="E5106">
        <v>0.69166241247002902</v>
      </c>
      <c r="F5106">
        <v>0.56975347913579699</v>
      </c>
      <c r="G5106">
        <v>0.304304981402306</v>
      </c>
      <c r="H5106">
        <v>0.22180472057238401</v>
      </c>
      <c r="I5106">
        <v>0.15945560575972001</v>
      </c>
      <c r="J5106">
        <v>0.175289976557232</v>
      </c>
      <c r="K5106">
        <v>0.23570803992957601</v>
      </c>
      <c r="L5106">
        <v>1013.16156227359</v>
      </c>
      <c r="M5106">
        <v>19.404337435012099</v>
      </c>
      <c r="N5106">
        <v>53.417066797767099</v>
      </c>
      <c r="O5106">
        <v>51.668093765042997</v>
      </c>
      <c r="P5106">
        <v>-7.7262237765249001E-2</v>
      </c>
      <c r="Q5106">
        <v>0.177122915236365</v>
      </c>
      <c r="R5106">
        <v>0.93191619336587606</v>
      </c>
      <c r="S5106" t="s">
        <v>11776</v>
      </c>
      <c r="T5106" t="s">
        <v>13338</v>
      </c>
      <c r="U5106" t="s">
        <v>13338</v>
      </c>
      <c r="V5106" t="s">
        <v>13338</v>
      </c>
      <c r="W5106" t="s">
        <v>18388</v>
      </c>
      <c r="X5106">
        <v>2</v>
      </c>
      <c r="Y5106" t="s">
        <v>24884</v>
      </c>
      <c r="Z5106" t="s">
        <v>31521</v>
      </c>
      <c r="AA5106">
        <v>0.52411953511522513</v>
      </c>
      <c r="AB5106" t="str">
        <f>HYPERLINK("Melting_Curves/meltCurve_Q96HR8_2_NAF1.pdf", "Melting_Curves/meltCurve_Q96HR8_2_NAF1.pdf")</f>
        <v>Melting_Curves/meltCurve_Q96HR8_2_NAF1.pdf</v>
      </c>
    </row>
    <row r="5107" spans="1:28" x14ac:dyDescent="0.25">
      <c r="A5107" t="s">
        <v>5111</v>
      </c>
      <c r="B5107">
        <v>0.99193492352474899</v>
      </c>
      <c r="C5107">
        <v>0.89747111644135402</v>
      </c>
      <c r="D5107">
        <v>0.87256571895040203</v>
      </c>
      <c r="E5107">
        <v>0.75479231120231605</v>
      </c>
      <c r="F5107">
        <v>0.68903002399558699</v>
      </c>
      <c r="G5107">
        <v>0.43492821617086902</v>
      </c>
      <c r="H5107">
        <v>0.40115120261672799</v>
      </c>
      <c r="I5107">
        <v>0.52436835337732601</v>
      </c>
      <c r="J5107">
        <v>0.85243702492717599</v>
      </c>
      <c r="K5107">
        <v>0.74171360804177699</v>
      </c>
      <c r="L5107">
        <v>971.05826675264302</v>
      </c>
      <c r="M5107">
        <v>20.439561654412799</v>
      </c>
      <c r="O5107">
        <v>47.060993159525999</v>
      </c>
      <c r="P5107">
        <v>-4.3326377209891201E-2</v>
      </c>
      <c r="Q5107">
        <v>0.600985094904675</v>
      </c>
      <c r="R5107">
        <v>0.54021449714179404</v>
      </c>
      <c r="S5107" t="s">
        <v>11777</v>
      </c>
      <c r="T5107" t="s">
        <v>13338</v>
      </c>
      <c r="U5107" t="s">
        <v>13338</v>
      </c>
      <c r="V5107" t="s">
        <v>13338</v>
      </c>
      <c r="W5107" t="s">
        <v>18389</v>
      </c>
      <c r="X5107">
        <v>5</v>
      </c>
      <c r="Y5107" t="s">
        <v>24885</v>
      </c>
      <c r="Z5107" t="s">
        <v>31522</v>
      </c>
      <c r="AA5107">
        <v>0.70633105861059586</v>
      </c>
      <c r="AB5107" t="str">
        <f>HYPERLINK("Melting_Curves/meltCurve_Q96HR9_REEP6.pdf", "Melting_Curves/meltCurve_Q96HR9_REEP6.pdf")</f>
        <v>Melting_Curves/meltCurve_Q96HR9_REEP6.pdf</v>
      </c>
    </row>
    <row r="5108" spans="1:28" x14ac:dyDescent="0.25">
      <c r="A5108" t="s">
        <v>5112</v>
      </c>
      <c r="B5108">
        <v>0.99193492352474899</v>
      </c>
      <c r="C5108">
        <v>0.78140749460395198</v>
      </c>
      <c r="D5108">
        <v>0.99140487172481795</v>
      </c>
      <c r="E5108">
        <v>0.70187903924255401</v>
      </c>
      <c r="F5108">
        <v>0.89162688869373696</v>
      </c>
      <c r="G5108">
        <v>0.553650260702232</v>
      </c>
      <c r="H5108">
        <v>0.45383890043853198</v>
      </c>
      <c r="I5108">
        <v>0.27150781855614597</v>
      </c>
      <c r="J5108">
        <v>0.24929048048166799</v>
      </c>
      <c r="K5108">
        <v>0.252422756155255</v>
      </c>
      <c r="L5108">
        <v>492.82772812707299</v>
      </c>
      <c r="M5108">
        <v>8.3457196546311891</v>
      </c>
      <c r="N5108">
        <v>59.051555575926997</v>
      </c>
      <c r="O5108">
        <v>55.952840589825499</v>
      </c>
      <c r="P5108">
        <v>-3.7325073461543901E-2</v>
      </c>
      <c r="Q5108">
        <v>0</v>
      </c>
      <c r="R5108">
        <v>0.88432748486250301</v>
      </c>
      <c r="S5108" t="s">
        <v>11778</v>
      </c>
      <c r="T5108" t="s">
        <v>13338</v>
      </c>
      <c r="U5108" t="s">
        <v>13338</v>
      </c>
      <c r="V5108" t="s">
        <v>13338</v>
      </c>
      <c r="W5108" t="s">
        <v>18390</v>
      </c>
      <c r="X5108">
        <v>19</v>
      </c>
      <c r="Y5108" t="s">
        <v>24886</v>
      </c>
      <c r="Z5108" t="s">
        <v>31523</v>
      </c>
      <c r="AA5108">
        <v>0.63108575197275374</v>
      </c>
      <c r="AB5108" t="str">
        <f>HYPERLINK("Melting_Curves/meltCurve_Q96HS1_PGAM5.pdf", "Melting_Curves/meltCurve_Q96HS1_PGAM5.pdf")</f>
        <v>Melting_Curves/meltCurve_Q96HS1_PGAM5.pdf</v>
      </c>
    </row>
    <row r="5109" spans="1:28" x14ac:dyDescent="0.25">
      <c r="A5109" t="s">
        <v>5113</v>
      </c>
      <c r="B5109">
        <v>0.99193492352474899</v>
      </c>
      <c r="C5109">
        <v>1.00290328792439</v>
      </c>
      <c r="D5109">
        <v>1.0010622897569299</v>
      </c>
      <c r="E5109">
        <v>0.86679966878121195</v>
      </c>
      <c r="F5109">
        <v>0.62917580091648395</v>
      </c>
      <c r="G5109">
        <v>0.171140814975419</v>
      </c>
      <c r="H5109">
        <v>9.5541117499523695E-2</v>
      </c>
      <c r="I5109">
        <v>0.104059257208775</v>
      </c>
      <c r="J5109">
        <v>9.79616893464553E-2</v>
      </c>
      <c r="K5109">
        <v>0.103067750719019</v>
      </c>
      <c r="L5109">
        <v>1722.4921750163401</v>
      </c>
      <c r="M5109">
        <v>32.171583944173697</v>
      </c>
      <c r="N5109">
        <v>53.864788405856601</v>
      </c>
      <c r="O5109">
        <v>53.335199505502203</v>
      </c>
      <c r="P5109">
        <v>-0.137533959026264</v>
      </c>
      <c r="Q5109">
        <v>8.7969693336539104E-2</v>
      </c>
      <c r="R5109">
        <v>0.99490074673654005</v>
      </c>
      <c r="S5109" t="s">
        <v>11779</v>
      </c>
      <c r="T5109" t="s">
        <v>13338</v>
      </c>
      <c r="U5109" t="s">
        <v>13338</v>
      </c>
      <c r="V5109" t="s">
        <v>13338</v>
      </c>
      <c r="W5109" t="s">
        <v>18391</v>
      </c>
      <c r="X5109">
        <v>15</v>
      </c>
      <c r="Y5109" t="s">
        <v>24887</v>
      </c>
      <c r="Z5109" t="s">
        <v>31524</v>
      </c>
      <c r="AA5109">
        <v>0.50482006830072979</v>
      </c>
      <c r="AB5109" t="str">
        <f>HYPERLINK("Melting_Curves/meltCurve_Q96HW7_INTS4.pdf", "Melting_Curves/meltCurve_Q96HW7_INTS4.pdf")</f>
        <v>Melting_Curves/meltCurve_Q96HW7_INTS4.pdf</v>
      </c>
    </row>
    <row r="5110" spans="1:28" x14ac:dyDescent="0.25">
      <c r="A5110" t="s">
        <v>5114</v>
      </c>
      <c r="B5110">
        <v>0.99193492352474899</v>
      </c>
      <c r="C5110">
        <v>0.781198950477201</v>
      </c>
      <c r="D5110">
        <v>0.87577726074663398</v>
      </c>
      <c r="E5110">
        <v>0.581828017890898</v>
      </c>
      <c r="F5110">
        <v>0.45116277694290902</v>
      </c>
      <c r="G5110">
        <v>0.26123736670119402</v>
      </c>
      <c r="H5110">
        <v>0.23902430999076199</v>
      </c>
      <c r="I5110">
        <v>0.25548518204023402</v>
      </c>
      <c r="J5110">
        <v>0.26637775786437201</v>
      </c>
      <c r="K5110">
        <v>0.33495763851360599</v>
      </c>
      <c r="L5110">
        <v>745.26321895594197</v>
      </c>
      <c r="M5110">
        <v>15.225569552676999</v>
      </c>
      <c r="N5110">
        <v>51.248392106064202</v>
      </c>
      <c r="O5110">
        <v>48.127068198681002</v>
      </c>
      <c r="P5110">
        <v>-5.9517434567952603E-2</v>
      </c>
      <c r="Q5110">
        <v>0.24754851054105401</v>
      </c>
      <c r="R5110">
        <v>0.94467293568741695</v>
      </c>
      <c r="S5110" t="s">
        <v>11780</v>
      </c>
      <c r="T5110" t="s">
        <v>13338</v>
      </c>
      <c r="U5110" t="s">
        <v>13338</v>
      </c>
      <c r="V5110" t="s">
        <v>13338</v>
      </c>
      <c r="W5110" t="s">
        <v>18392</v>
      </c>
      <c r="X5110">
        <v>12</v>
      </c>
      <c r="Y5110" t="s">
        <v>24888</v>
      </c>
      <c r="Z5110" t="s">
        <v>31525</v>
      </c>
      <c r="AA5110">
        <v>0.49007192672585409</v>
      </c>
      <c r="AB5110" t="str">
        <f>HYPERLINK("Melting_Curves/meltCurve_Q96HY6_DDRGK1.pdf", "Melting_Curves/meltCurve_Q96HY6_DDRGK1.pdf")</f>
        <v>Melting_Curves/meltCurve_Q96HY6_DDRGK1.pdf</v>
      </c>
    </row>
    <row r="5111" spans="1:28" x14ac:dyDescent="0.25">
      <c r="A5111" t="s">
        <v>5115</v>
      </c>
      <c r="B5111">
        <v>0.99193492352474899</v>
      </c>
      <c r="C5111">
        <v>0.84781339631102504</v>
      </c>
      <c r="D5111">
        <v>0.79345797206160995</v>
      </c>
      <c r="E5111">
        <v>0.58248373632102202</v>
      </c>
      <c r="F5111">
        <v>0.22158341500626999</v>
      </c>
      <c r="G5111">
        <v>0.13036100549643101</v>
      </c>
      <c r="H5111">
        <v>8.2773148256568799E-2</v>
      </c>
      <c r="I5111">
        <v>0.11502508332198</v>
      </c>
      <c r="J5111">
        <v>0.17364583608957401</v>
      </c>
      <c r="K5111">
        <v>0.17652957935438399</v>
      </c>
      <c r="L5111">
        <v>939.28944531255695</v>
      </c>
      <c r="M5111">
        <v>19.168380425252899</v>
      </c>
      <c r="N5111">
        <v>49.679184968441703</v>
      </c>
      <c r="O5111">
        <v>48.478044179587499</v>
      </c>
      <c r="P5111">
        <v>-8.7489680057194499E-2</v>
      </c>
      <c r="Q5111">
        <v>0.11496637701775</v>
      </c>
      <c r="R5111">
        <v>0.97382431786670698</v>
      </c>
      <c r="S5111" t="s">
        <v>11781</v>
      </c>
      <c r="T5111" t="s">
        <v>13338</v>
      </c>
      <c r="U5111" t="s">
        <v>13338</v>
      </c>
      <c r="V5111" t="s">
        <v>13338</v>
      </c>
      <c r="W5111" t="s">
        <v>18393</v>
      </c>
      <c r="X5111">
        <v>11</v>
      </c>
      <c r="Y5111" t="s">
        <v>24889</v>
      </c>
      <c r="Z5111" t="s">
        <v>31526</v>
      </c>
      <c r="AA5111">
        <v>0.39404732566182932</v>
      </c>
      <c r="AB5111" t="str">
        <f>HYPERLINK("Melting_Curves/meltCurve_Q96HY7_DHTKD1.pdf", "Melting_Curves/meltCurve_Q96HY7_DHTKD1.pdf")</f>
        <v>Melting_Curves/meltCurve_Q96HY7_DHTKD1.pdf</v>
      </c>
    </row>
    <row r="5112" spans="1:28" x14ac:dyDescent="0.25">
      <c r="A5112" t="s">
        <v>5116</v>
      </c>
      <c r="B5112">
        <v>0.99193492352474899</v>
      </c>
      <c r="C5112">
        <v>0.80613932075652694</v>
      </c>
      <c r="D5112">
        <v>0.88026835822646798</v>
      </c>
      <c r="E5112">
        <v>0.77690255230745198</v>
      </c>
      <c r="F5112">
        <v>0.75755268158693101</v>
      </c>
      <c r="G5112">
        <v>0.47023602235335799</v>
      </c>
      <c r="H5112">
        <v>0.19917471504180001</v>
      </c>
      <c r="I5112">
        <v>0.15649814767283099</v>
      </c>
      <c r="J5112">
        <v>0.16598965241855901</v>
      </c>
      <c r="K5112">
        <v>0.159652281677272</v>
      </c>
      <c r="L5112">
        <v>599.11931285594005</v>
      </c>
      <c r="M5112">
        <v>10.7159996106676</v>
      </c>
      <c r="N5112">
        <v>55.9157139488048</v>
      </c>
      <c r="O5112">
        <v>54.067373251649698</v>
      </c>
      <c r="P5112">
        <v>-4.9535146694844399E-2</v>
      </c>
      <c r="Q5112">
        <v>6.58282715003806E-4</v>
      </c>
      <c r="R5112">
        <v>0.94559718339207299</v>
      </c>
      <c r="S5112" t="s">
        <v>11782</v>
      </c>
      <c r="T5112" t="s">
        <v>13338</v>
      </c>
      <c r="U5112" t="s">
        <v>13338</v>
      </c>
      <c r="V5112" t="s">
        <v>13338</v>
      </c>
      <c r="W5112" t="s">
        <v>18394</v>
      </c>
      <c r="X5112">
        <v>8</v>
      </c>
      <c r="Y5112" t="s">
        <v>24890</v>
      </c>
      <c r="Z5112" t="s">
        <v>31527</v>
      </c>
      <c r="AA5112">
        <v>0.55198937022998207</v>
      </c>
      <c r="AB5112" t="str">
        <f>HYPERLINK("Melting_Curves/meltCurve_Q96I15_SCLY.pdf", "Melting_Curves/meltCurve_Q96I15_SCLY.pdf")</f>
        <v>Melting_Curves/meltCurve_Q96I15_SCLY.pdf</v>
      </c>
    </row>
    <row r="5113" spans="1:28" x14ac:dyDescent="0.25">
      <c r="A5113" t="s">
        <v>5117</v>
      </c>
      <c r="B5113">
        <v>0.99193492352474899</v>
      </c>
      <c r="C5113">
        <v>0.45765159162833502</v>
      </c>
      <c r="D5113">
        <v>0.62173549961998398</v>
      </c>
      <c r="E5113">
        <v>0.28861914244506498</v>
      </c>
      <c r="F5113">
        <v>0.12339624070738101</v>
      </c>
      <c r="G5113">
        <v>6.8008400096730204E-2</v>
      </c>
      <c r="H5113">
        <v>4.1443550637315203E-2</v>
      </c>
      <c r="I5113">
        <v>5.2726963230478499E-2</v>
      </c>
      <c r="J5113">
        <v>5.0906750280843002E-2</v>
      </c>
      <c r="K5113">
        <v>5.4333074257681101E-2</v>
      </c>
      <c r="L5113">
        <v>563.53704750533598</v>
      </c>
      <c r="M5113">
        <v>12.381205794366799</v>
      </c>
      <c r="N5113">
        <v>45.658254341203197</v>
      </c>
      <c r="O5113">
        <v>44.377028459742</v>
      </c>
      <c r="P5113">
        <v>-6.8440492952525703E-2</v>
      </c>
      <c r="Q5113">
        <v>1.89844253142584E-2</v>
      </c>
      <c r="R5113">
        <v>0.89672628110541697</v>
      </c>
      <c r="S5113" t="s">
        <v>11783</v>
      </c>
      <c r="T5113" t="s">
        <v>13338</v>
      </c>
      <c r="U5113" t="s">
        <v>13338</v>
      </c>
      <c r="V5113" t="s">
        <v>13338</v>
      </c>
      <c r="W5113" t="s">
        <v>18395</v>
      </c>
      <c r="X5113">
        <v>22</v>
      </c>
      <c r="Y5113" t="s">
        <v>24891</v>
      </c>
      <c r="Z5113" t="s">
        <v>31528</v>
      </c>
      <c r="AA5113">
        <v>0.24330494836743491</v>
      </c>
      <c r="AB5113" t="str">
        <f>HYPERLINK("Melting_Curves/meltCurve_Q96I24_FUBP3.pdf", "Melting_Curves/meltCurve_Q96I24_FUBP3.pdf")</f>
        <v>Melting_Curves/meltCurve_Q96I24_FUBP3.pdf</v>
      </c>
    </row>
    <row r="5114" spans="1:28" x14ac:dyDescent="0.25">
      <c r="A5114" t="s">
        <v>5118</v>
      </c>
      <c r="B5114">
        <v>0.99193492352474899</v>
      </c>
      <c r="C5114">
        <v>0.45175095934354198</v>
      </c>
      <c r="D5114">
        <v>0.51472526664366003</v>
      </c>
      <c r="E5114">
        <v>0.143898631692294</v>
      </c>
      <c r="F5114">
        <v>0.11988076014582</v>
      </c>
      <c r="G5114">
        <v>6.4834512530103694E-2</v>
      </c>
      <c r="H5114">
        <v>4.9323800496467403E-2</v>
      </c>
      <c r="I5114">
        <v>7.3685993732592603E-2</v>
      </c>
      <c r="J5114">
        <v>9.4184098473712702E-2</v>
      </c>
      <c r="K5114">
        <v>0.106217271620119</v>
      </c>
      <c r="L5114">
        <v>750.79894919864898</v>
      </c>
      <c r="M5114">
        <v>17.071915019680599</v>
      </c>
      <c r="N5114">
        <v>44.385378390631203</v>
      </c>
      <c r="O5114">
        <v>43.388471283369803</v>
      </c>
      <c r="P5114">
        <v>-9.1249199711913406E-2</v>
      </c>
      <c r="Q5114">
        <v>7.24127556703546E-2</v>
      </c>
      <c r="R5114">
        <v>0.90725151588303199</v>
      </c>
      <c r="S5114" t="s">
        <v>11784</v>
      </c>
      <c r="T5114" t="s">
        <v>13338</v>
      </c>
      <c r="U5114" t="s">
        <v>13338</v>
      </c>
      <c r="V5114" t="s">
        <v>13338</v>
      </c>
      <c r="W5114" t="s">
        <v>18396</v>
      </c>
      <c r="X5114">
        <v>15</v>
      </c>
      <c r="Y5114" t="s">
        <v>24892</v>
      </c>
      <c r="Z5114" t="s">
        <v>31529</v>
      </c>
      <c r="AA5114">
        <v>0.22116684397538591</v>
      </c>
      <c r="AB5114" t="str">
        <f>HYPERLINK("Melting_Curves/meltCurve_Q96I25_RBM17.pdf", "Melting_Curves/meltCurve_Q96I25_RBM17.pdf")</f>
        <v>Melting_Curves/meltCurve_Q96I25_RBM17.pdf</v>
      </c>
    </row>
    <row r="5115" spans="1:28" x14ac:dyDescent="0.25">
      <c r="A5115" t="s">
        <v>5119</v>
      </c>
      <c r="B5115">
        <v>0.99193492352474899</v>
      </c>
      <c r="C5115">
        <v>1.78618284376334</v>
      </c>
      <c r="D5115">
        <v>0.88225062670998999</v>
      </c>
      <c r="E5115">
        <v>1.30844485541037</v>
      </c>
      <c r="F5115">
        <v>0.64417499273837997</v>
      </c>
      <c r="G5115">
        <v>0.99982987987487704</v>
      </c>
      <c r="H5115">
        <v>0.677801863953437</v>
      </c>
      <c r="I5115">
        <v>1.0947874092619301</v>
      </c>
      <c r="J5115">
        <v>0.81277890020669596</v>
      </c>
      <c r="K5115">
        <v>1.2361609760802399</v>
      </c>
      <c r="S5115" t="s">
        <v>11785</v>
      </c>
      <c r="T5115" t="s">
        <v>13338</v>
      </c>
      <c r="U5115" t="s">
        <v>13339</v>
      </c>
      <c r="V5115" t="s">
        <v>13338</v>
      </c>
      <c r="W5115" t="s">
        <v>18397</v>
      </c>
      <c r="X5115">
        <v>2</v>
      </c>
      <c r="Y5115" t="s">
        <v>24893</v>
      </c>
      <c r="Z5115" t="s">
        <v>31530</v>
      </c>
      <c r="AB5115" t="str">
        <f>HYPERLINK("Melting_Curves/meltCurve_Q96I36_COX14.pdf", "Melting_Curves/meltCurve_Q96I36_COX14.pdf")</f>
        <v>Melting_Curves/meltCurve_Q96I36_COX14.pdf</v>
      </c>
    </row>
    <row r="5116" spans="1:28" x14ac:dyDescent="0.25">
      <c r="A5116" t="s">
        <v>5120</v>
      </c>
      <c r="B5116">
        <v>0.99193492352474899</v>
      </c>
      <c r="C5116">
        <v>1.00665917800456</v>
      </c>
      <c r="D5116">
        <v>1.014795014955</v>
      </c>
      <c r="E5116">
        <v>0.78048495672703999</v>
      </c>
      <c r="F5116">
        <v>0.382170709671876</v>
      </c>
      <c r="G5116">
        <v>0.144438266156559</v>
      </c>
      <c r="H5116">
        <v>8.7815468078270204E-2</v>
      </c>
      <c r="I5116">
        <v>9.0797222719427806E-2</v>
      </c>
      <c r="J5116">
        <v>0.11699723282254</v>
      </c>
      <c r="K5116">
        <v>0.119252427854007</v>
      </c>
      <c r="L5116">
        <v>1538.74514752712</v>
      </c>
      <c r="M5116">
        <v>29.782034212892899</v>
      </c>
      <c r="N5116">
        <v>52.053552161488703</v>
      </c>
      <c r="O5116">
        <v>51.435624253505701</v>
      </c>
      <c r="P5116">
        <v>-0.13039062583275099</v>
      </c>
      <c r="Q5116">
        <v>9.9231676724552395E-2</v>
      </c>
      <c r="R5116">
        <v>0.99784825448983905</v>
      </c>
      <c r="S5116" t="s">
        <v>11786</v>
      </c>
      <c r="T5116" t="s">
        <v>13338</v>
      </c>
      <c r="U5116" t="s">
        <v>13338</v>
      </c>
      <c r="V5116" t="s">
        <v>13338</v>
      </c>
      <c r="W5116" t="s">
        <v>18398</v>
      </c>
      <c r="X5116">
        <v>11</v>
      </c>
      <c r="Y5116" t="s">
        <v>24894</v>
      </c>
      <c r="Z5116" t="s">
        <v>31531</v>
      </c>
      <c r="AA5116">
        <v>0.45534598923263098</v>
      </c>
      <c r="AB5116" t="str">
        <f>HYPERLINK("Melting_Curves/meltCurve_Q96I59_NARS2.pdf", "Melting_Curves/meltCurve_Q96I59_NARS2.pdf")</f>
        <v>Melting_Curves/meltCurve_Q96I59_NARS2.pdf</v>
      </c>
    </row>
    <row r="5117" spans="1:28" x14ac:dyDescent="0.25">
      <c r="A5117" t="s">
        <v>5121</v>
      </c>
      <c r="B5117">
        <v>0.99193492352474899</v>
      </c>
      <c r="C5117">
        <v>0.97360678076301799</v>
      </c>
      <c r="D5117">
        <v>1.0582556161332</v>
      </c>
      <c r="E5117">
        <v>0.88706709277433704</v>
      </c>
      <c r="F5117">
        <v>0.28558611065254902</v>
      </c>
      <c r="G5117">
        <v>0.116233618341962</v>
      </c>
      <c r="H5117">
        <v>6.5068496482567004E-2</v>
      </c>
      <c r="I5117">
        <v>7.8402982418340206E-2</v>
      </c>
      <c r="J5117">
        <v>9.4703014506534303E-2</v>
      </c>
      <c r="K5117">
        <v>9.07937010858553E-2</v>
      </c>
      <c r="L5117">
        <v>2381.0849570619698</v>
      </c>
      <c r="M5117">
        <v>46.023559091326703</v>
      </c>
      <c r="N5117">
        <v>51.948204168126303</v>
      </c>
      <c r="O5117">
        <v>51.638827706370201</v>
      </c>
      <c r="P5117">
        <v>-0.20373925741426499</v>
      </c>
      <c r="Q5117">
        <v>8.5612341277162204E-2</v>
      </c>
      <c r="R5117">
        <v>0.99702148608603103</v>
      </c>
      <c r="S5117" t="s">
        <v>11787</v>
      </c>
      <c r="T5117" t="s">
        <v>13338</v>
      </c>
      <c r="U5117" t="s">
        <v>13338</v>
      </c>
      <c r="V5117" t="s">
        <v>13338</v>
      </c>
      <c r="W5117" t="s">
        <v>18399</v>
      </c>
      <c r="X5117">
        <v>20</v>
      </c>
      <c r="Y5117" t="s">
        <v>24895</v>
      </c>
      <c r="Z5117" t="s">
        <v>31532</v>
      </c>
      <c r="AA5117">
        <v>0.44579251033456191</v>
      </c>
      <c r="AB5117" t="str">
        <f>HYPERLINK("Melting_Curves/meltCurve_Q96I99_SUCLG2.pdf", "Melting_Curves/meltCurve_Q96I99_SUCLG2.pdf")</f>
        <v>Melting_Curves/meltCurve_Q96I99_SUCLG2.pdf</v>
      </c>
    </row>
    <row r="5118" spans="1:28" x14ac:dyDescent="0.25">
      <c r="A5118" t="s">
        <v>5122</v>
      </c>
      <c r="B5118">
        <v>0.99193492352474899</v>
      </c>
      <c r="C5118">
        <v>1.34597450099046</v>
      </c>
      <c r="D5118">
        <v>0.701473484825343</v>
      </c>
      <c r="E5118">
        <v>0.71392848376582396</v>
      </c>
      <c r="F5118">
        <v>0.30003021845696598</v>
      </c>
      <c r="G5118">
        <v>0.10986566547028601</v>
      </c>
      <c r="H5118">
        <v>8.2099378685773605E-2</v>
      </c>
      <c r="I5118">
        <v>0.16054999822188901</v>
      </c>
      <c r="J5118">
        <v>0.28939823246458601</v>
      </c>
      <c r="K5118">
        <v>0.13668258787342299</v>
      </c>
      <c r="L5118">
        <v>1263.6366188432801</v>
      </c>
      <c r="M5118">
        <v>25.191701933064898</v>
      </c>
      <c r="N5118">
        <v>50.863740818826798</v>
      </c>
      <c r="O5118">
        <v>49.8479455279398</v>
      </c>
      <c r="P5118">
        <v>-0.107771861643105</v>
      </c>
      <c r="Q5118">
        <v>0.14699911778327901</v>
      </c>
      <c r="R5118">
        <v>0.87363510147623002</v>
      </c>
      <c r="S5118" t="s">
        <v>11788</v>
      </c>
      <c r="T5118" t="s">
        <v>13338</v>
      </c>
      <c r="U5118" t="s">
        <v>13338</v>
      </c>
      <c r="V5118" t="s">
        <v>13338</v>
      </c>
      <c r="W5118" t="s">
        <v>18400</v>
      </c>
      <c r="X5118">
        <v>1</v>
      </c>
      <c r="Y5118" t="s">
        <v>24896</v>
      </c>
      <c r="Z5118" t="s">
        <v>31533</v>
      </c>
      <c r="AA5118">
        <v>0.44342610805694532</v>
      </c>
      <c r="AB5118" t="str">
        <f>HYPERLINK("Melting_Curves/meltCurve_Q96IF1_AJUBA.pdf", "Melting_Curves/meltCurve_Q96IF1_AJUBA.pdf")</f>
        <v>Melting_Curves/meltCurve_Q96IF1_AJUBA.pdf</v>
      </c>
    </row>
    <row r="5119" spans="1:28" x14ac:dyDescent="0.25">
      <c r="A5119" t="s">
        <v>5123</v>
      </c>
      <c r="B5119">
        <v>0.99193492352474899</v>
      </c>
      <c r="C5119">
        <v>0.99391836271071898</v>
      </c>
      <c r="D5119">
        <v>0.89943839111184198</v>
      </c>
      <c r="E5119">
        <v>0.86960798414968699</v>
      </c>
      <c r="F5119">
        <v>0.65357497933583197</v>
      </c>
      <c r="G5119">
        <v>0.37508181643946897</v>
      </c>
      <c r="H5119">
        <v>0.123725022766632</v>
      </c>
      <c r="I5119">
        <v>7.7222177660336302E-2</v>
      </c>
      <c r="J5119">
        <v>8.2701830926837805E-2</v>
      </c>
      <c r="K5119">
        <v>8.0410343194665904E-2</v>
      </c>
      <c r="L5119">
        <v>1012.17215156876</v>
      </c>
      <c r="M5119">
        <v>18.520199541503001</v>
      </c>
      <c r="N5119">
        <v>54.8842917918263</v>
      </c>
      <c r="O5119">
        <v>54.027104429305403</v>
      </c>
      <c r="P5119">
        <v>-8.2476303394468195E-2</v>
      </c>
      <c r="Q5119">
        <v>3.7643361127954897E-2</v>
      </c>
      <c r="R5119">
        <v>0.99399941894416399</v>
      </c>
      <c r="S5119" t="s">
        <v>11789</v>
      </c>
      <c r="T5119" t="s">
        <v>13338</v>
      </c>
      <c r="U5119" t="s">
        <v>13338</v>
      </c>
      <c r="V5119" t="s">
        <v>13338</v>
      </c>
      <c r="W5119" t="s">
        <v>18401</v>
      </c>
      <c r="X5119">
        <v>8</v>
      </c>
      <c r="Y5119" t="s">
        <v>24897</v>
      </c>
      <c r="Z5119" t="s">
        <v>31534</v>
      </c>
      <c r="AA5119">
        <v>0.52215678718830738</v>
      </c>
      <c r="AB5119" t="str">
        <f>HYPERLINK("Melting_Curves/meltCurve_Q96IJ6_GMPPA.pdf", "Melting_Curves/meltCurve_Q96IJ6_GMPPA.pdf")</f>
        <v>Melting_Curves/meltCurve_Q96IJ6_GMPPA.pdf</v>
      </c>
    </row>
    <row r="5120" spans="1:28" x14ac:dyDescent="0.25">
      <c r="A5120" t="s">
        <v>5124</v>
      </c>
      <c r="B5120">
        <v>0.99193492352474899</v>
      </c>
      <c r="C5120">
        <v>1.0441743588566199</v>
      </c>
      <c r="D5120">
        <v>0.96367410406788601</v>
      </c>
      <c r="E5120">
        <v>0.65219224490500205</v>
      </c>
      <c r="F5120">
        <v>0.69914924040259796</v>
      </c>
      <c r="G5120">
        <v>0.49922201049730602</v>
      </c>
      <c r="H5120">
        <v>0.32249486983220799</v>
      </c>
      <c r="I5120">
        <v>0.17968079546009599</v>
      </c>
      <c r="J5120">
        <v>0.22011397846924799</v>
      </c>
      <c r="K5120">
        <v>0.34215012250466298</v>
      </c>
      <c r="L5120">
        <v>713.38972002810794</v>
      </c>
      <c r="M5120">
        <v>13.3386146697159</v>
      </c>
      <c r="N5120">
        <v>55.688633419419098</v>
      </c>
      <c r="O5120">
        <v>52.3238248223943</v>
      </c>
      <c r="P5120">
        <v>-5.0662117456526497E-2</v>
      </c>
      <c r="Q5120">
        <v>0.205191190315092</v>
      </c>
      <c r="R5120">
        <v>0.93880881877199795</v>
      </c>
      <c r="S5120" t="s">
        <v>11790</v>
      </c>
      <c r="T5120" t="s">
        <v>13338</v>
      </c>
      <c r="U5120" t="s">
        <v>13338</v>
      </c>
      <c r="V5120" t="s">
        <v>13338</v>
      </c>
      <c r="W5120" t="s">
        <v>18402</v>
      </c>
      <c r="X5120">
        <v>3</v>
      </c>
      <c r="Y5120" t="s">
        <v>24898</v>
      </c>
      <c r="Z5120" t="s">
        <v>31535</v>
      </c>
      <c r="AA5120">
        <v>0.58177587918129925</v>
      </c>
      <c r="AB5120" t="str">
        <f>HYPERLINK("Melting_Curves/meltCurve_Q96IK1_BOD1.pdf", "Melting_Curves/meltCurve_Q96IK1_BOD1.pdf")</f>
        <v>Melting_Curves/meltCurve_Q96IK1_BOD1.pdf</v>
      </c>
    </row>
    <row r="5121" spans="1:28" x14ac:dyDescent="0.25">
      <c r="A5121" t="s">
        <v>5125</v>
      </c>
      <c r="B5121">
        <v>0.99193492352474899</v>
      </c>
      <c r="C5121">
        <v>0.54996656760240403</v>
      </c>
      <c r="D5121">
        <v>0.50242279538772106</v>
      </c>
      <c r="E5121">
        <v>0.42498248761644603</v>
      </c>
      <c r="F5121">
        <v>0.29823688651140401</v>
      </c>
      <c r="G5121">
        <v>0.193055154467667</v>
      </c>
      <c r="H5121">
        <v>0.10688447529603</v>
      </c>
      <c r="I5121">
        <v>0.17113756069886399</v>
      </c>
      <c r="J5121">
        <v>0.108632933209601</v>
      </c>
      <c r="K5121">
        <v>0.34404329505173498</v>
      </c>
      <c r="L5121">
        <v>613.42330903709501</v>
      </c>
      <c r="M5121">
        <v>13.800093345320199</v>
      </c>
      <c r="N5121">
        <v>45.978459613649903</v>
      </c>
      <c r="O5121">
        <v>43.548457572208903</v>
      </c>
      <c r="P5121">
        <v>-6.46623139652613E-2</v>
      </c>
      <c r="Q5121">
        <v>0.18390415467151899</v>
      </c>
      <c r="R5121">
        <v>0.86412885956403396</v>
      </c>
      <c r="S5121" t="s">
        <v>11791</v>
      </c>
      <c r="T5121" t="s">
        <v>13338</v>
      </c>
      <c r="U5121" t="s">
        <v>13338</v>
      </c>
      <c r="V5121" t="s">
        <v>13338</v>
      </c>
      <c r="W5121" t="s">
        <v>18403</v>
      </c>
      <c r="X5121">
        <v>2</v>
      </c>
      <c r="Y5121" t="s">
        <v>24899</v>
      </c>
      <c r="Z5121" t="s">
        <v>31536</v>
      </c>
      <c r="AA5121">
        <v>0.33805041941868352</v>
      </c>
      <c r="AB5121" t="str">
        <f>HYPERLINK("Melting_Curves/meltCurve_Q96IR2_ZNF845.pdf", "Melting_Curves/meltCurve_Q96IR2_ZNF845.pdf")</f>
        <v>Melting_Curves/meltCurve_Q96IR2_ZNF845.pdf</v>
      </c>
    </row>
    <row r="5122" spans="1:28" x14ac:dyDescent="0.25">
      <c r="A5122" t="s">
        <v>5126</v>
      </c>
      <c r="B5122">
        <v>0.99193492352474899</v>
      </c>
      <c r="C5122">
        <v>0.75518587179818097</v>
      </c>
      <c r="D5122">
        <v>0.67788517191888398</v>
      </c>
      <c r="E5122">
        <v>0.389496769438544</v>
      </c>
      <c r="F5122">
        <v>0.22526840312464999</v>
      </c>
      <c r="G5122">
        <v>0.114425822740733</v>
      </c>
      <c r="H5122">
        <v>5.5852150246841897E-2</v>
      </c>
      <c r="I5122">
        <v>5.2065091004002501E-2</v>
      </c>
      <c r="J5122">
        <v>5.73042688408643E-2</v>
      </c>
      <c r="K5122">
        <v>5.0127707423499097E-2</v>
      </c>
      <c r="L5122">
        <v>652.86186102626505</v>
      </c>
      <c r="M5122">
        <v>13.6628204655904</v>
      </c>
      <c r="N5122">
        <v>47.968432731492499</v>
      </c>
      <c r="O5122">
        <v>46.795047382369098</v>
      </c>
      <c r="P5122">
        <v>-7.1133836867040501E-2</v>
      </c>
      <c r="Q5122">
        <v>2.5610600009763201E-2</v>
      </c>
      <c r="R5122">
        <v>0.98995209158962205</v>
      </c>
      <c r="S5122" t="s">
        <v>11792</v>
      </c>
      <c r="T5122" t="s">
        <v>13338</v>
      </c>
      <c r="U5122" t="s">
        <v>13338</v>
      </c>
      <c r="V5122" t="s">
        <v>13338</v>
      </c>
      <c r="W5122" t="s">
        <v>18404</v>
      </c>
      <c r="X5122">
        <v>5</v>
      </c>
      <c r="Y5122" t="s">
        <v>24900</v>
      </c>
      <c r="Z5122" t="s">
        <v>31537</v>
      </c>
      <c r="AA5122">
        <v>0.30885061767931349</v>
      </c>
      <c r="AB5122" t="str">
        <f>HYPERLINK("Melting_Curves/meltCurve_Q96IU4_ABHD14B.pdf", "Melting_Curves/meltCurve_Q96IU4_ABHD14B.pdf")</f>
        <v>Melting_Curves/meltCurve_Q96IU4_ABHD14B.pdf</v>
      </c>
    </row>
    <row r="5123" spans="1:28" x14ac:dyDescent="0.25">
      <c r="A5123" t="s">
        <v>5127</v>
      </c>
      <c r="B5123">
        <v>0.99193492352474899</v>
      </c>
      <c r="C5123">
        <v>1.0236255623647099</v>
      </c>
      <c r="D5123">
        <v>0.78650017564686203</v>
      </c>
      <c r="E5123">
        <v>0.36793445266430003</v>
      </c>
      <c r="F5123">
        <v>0.233697389269513</v>
      </c>
      <c r="G5123">
        <v>0.153006912293918</v>
      </c>
      <c r="H5123">
        <v>9.0329931238223193E-2</v>
      </c>
      <c r="I5123">
        <v>0.102337562775683</v>
      </c>
      <c r="J5123">
        <v>0.11129924705798901</v>
      </c>
      <c r="K5123">
        <v>0.147100889911184</v>
      </c>
      <c r="L5123">
        <v>1288.3589950150799</v>
      </c>
      <c r="M5123">
        <v>26.822942223398599</v>
      </c>
      <c r="N5123">
        <v>48.546824625333798</v>
      </c>
      <c r="O5123">
        <v>47.767397297137499</v>
      </c>
      <c r="P5123">
        <v>-0.123006999825374</v>
      </c>
      <c r="Q5123">
        <v>0.12378543701813099</v>
      </c>
      <c r="R5123">
        <v>0.99312445436619501</v>
      </c>
      <c r="S5123" t="s">
        <v>11793</v>
      </c>
      <c r="T5123" t="s">
        <v>13338</v>
      </c>
      <c r="U5123" t="s">
        <v>13338</v>
      </c>
      <c r="V5123" t="s">
        <v>13338</v>
      </c>
      <c r="W5123" t="s">
        <v>18405</v>
      </c>
      <c r="X5123">
        <v>6</v>
      </c>
      <c r="Y5123" t="s">
        <v>24901</v>
      </c>
      <c r="Z5123" t="s">
        <v>31538</v>
      </c>
      <c r="AA5123">
        <v>0.36504906206603849</v>
      </c>
      <c r="AB5123" t="str">
        <f>HYPERLINK("Melting_Curves/meltCurve_Q96IV0_5_NGLY1.pdf", "Melting_Curves/meltCurve_Q96IV0_5_NGLY1.pdf")</f>
        <v>Melting_Curves/meltCurve_Q96IV0_5_NGLY1.pdf</v>
      </c>
    </row>
    <row r="5124" spans="1:28" x14ac:dyDescent="0.25">
      <c r="A5124" t="s">
        <v>5128</v>
      </c>
      <c r="B5124">
        <v>0.99193492352474899</v>
      </c>
      <c r="C5124">
        <v>0.84495269422297603</v>
      </c>
      <c r="D5124">
        <v>1.15979315228442</v>
      </c>
      <c r="E5124">
        <v>0.84336116848130604</v>
      </c>
      <c r="F5124">
        <v>0.91033781942124004</v>
      </c>
      <c r="G5124">
        <v>0.64902481968668702</v>
      </c>
      <c r="H5124">
        <v>0.58239776570261204</v>
      </c>
      <c r="I5124">
        <v>0.53850951599393604</v>
      </c>
      <c r="J5124">
        <v>1.03187897493103</v>
      </c>
      <c r="K5124">
        <v>1.3137018178102</v>
      </c>
      <c r="L5124">
        <v>12235.8259055323</v>
      </c>
      <c r="M5124">
        <v>250</v>
      </c>
      <c r="O5124">
        <v>48.940147631684901</v>
      </c>
      <c r="P5124">
        <v>-0.207342836395214</v>
      </c>
      <c r="Q5124">
        <v>0.83764169577297098</v>
      </c>
      <c r="R5124">
        <v>9.5954640433508404E-2</v>
      </c>
      <c r="S5124" t="s">
        <v>11794</v>
      </c>
      <c r="T5124" t="s">
        <v>13338</v>
      </c>
      <c r="U5124" t="s">
        <v>13338</v>
      </c>
      <c r="V5124" t="s">
        <v>13338</v>
      </c>
      <c r="W5124" t="s">
        <v>18406</v>
      </c>
      <c r="X5124">
        <v>2</v>
      </c>
      <c r="Y5124" t="s">
        <v>24902</v>
      </c>
      <c r="Z5124" t="s">
        <v>31539</v>
      </c>
      <c r="AA5124">
        <v>0.88605629517255791</v>
      </c>
      <c r="AB5124" t="str">
        <f>HYPERLINK("Melting_Curves/meltCurve_Q96IX5_USMG5.pdf", "Melting_Curves/meltCurve_Q96IX5_USMG5.pdf")</f>
        <v>Melting_Curves/meltCurve_Q96IX5_USMG5.pdf</v>
      </c>
    </row>
    <row r="5125" spans="1:28" x14ac:dyDescent="0.25">
      <c r="A5125" t="s">
        <v>5129</v>
      </c>
      <c r="B5125">
        <v>0.99193492352474899</v>
      </c>
      <c r="C5125">
        <v>0.87485393864771299</v>
      </c>
      <c r="D5125">
        <v>0.81097634883834602</v>
      </c>
      <c r="E5125">
        <v>0.413454563945922</v>
      </c>
      <c r="F5125">
        <v>0.20589333382417299</v>
      </c>
      <c r="G5125">
        <v>0.102912311657952</v>
      </c>
      <c r="H5125">
        <v>7.9808329117993695E-2</v>
      </c>
      <c r="I5125">
        <v>7.9537912159666699E-2</v>
      </c>
      <c r="J5125">
        <v>9.0992378617401407E-2</v>
      </c>
      <c r="K5125">
        <v>0.10387774229416701</v>
      </c>
      <c r="L5125">
        <v>1025.2401550331001</v>
      </c>
      <c r="M5125">
        <v>21.173275753468602</v>
      </c>
      <c r="N5125">
        <v>48.823821460304899</v>
      </c>
      <c r="O5125">
        <v>47.995697497442897</v>
      </c>
      <c r="P5125">
        <v>-0.101459903341088</v>
      </c>
      <c r="Q5125">
        <v>8.00643390487112E-2</v>
      </c>
      <c r="R5125">
        <v>0.99409434252180795</v>
      </c>
      <c r="S5125" t="s">
        <v>11795</v>
      </c>
      <c r="T5125" t="s">
        <v>13338</v>
      </c>
      <c r="U5125" t="s">
        <v>13338</v>
      </c>
      <c r="V5125" t="s">
        <v>13338</v>
      </c>
      <c r="W5125" t="s">
        <v>18407</v>
      </c>
      <c r="X5125">
        <v>6</v>
      </c>
      <c r="Y5125" t="s">
        <v>24903</v>
      </c>
      <c r="Z5125" t="s">
        <v>31540</v>
      </c>
      <c r="AA5125">
        <v>0.34982292868917608</v>
      </c>
      <c r="AB5125" t="str">
        <f>HYPERLINK("Melting_Curves/meltCurve_Q96IY1_NSL1.pdf", "Melting_Curves/meltCurve_Q96IY1_NSL1.pdf")</f>
        <v>Melting_Curves/meltCurve_Q96IY1_NSL1.pdf</v>
      </c>
    </row>
    <row r="5126" spans="1:28" x14ac:dyDescent="0.25">
      <c r="A5126" t="s">
        <v>5130</v>
      </c>
      <c r="B5126">
        <v>0.99193492352474899</v>
      </c>
      <c r="C5126">
        <v>0.95919991534272497</v>
      </c>
      <c r="D5126">
        <v>0.96282521616678696</v>
      </c>
      <c r="E5126">
        <v>0.86746872709123701</v>
      </c>
      <c r="F5126">
        <v>0.65231526403795104</v>
      </c>
      <c r="G5126">
        <v>0.47948317914797101</v>
      </c>
      <c r="H5126">
        <v>0.52310251691696596</v>
      </c>
      <c r="I5126">
        <v>0.58712452751242095</v>
      </c>
      <c r="J5126">
        <v>0.59224567886188895</v>
      </c>
      <c r="K5126">
        <v>0.80862474478766599</v>
      </c>
      <c r="L5126">
        <v>2179.2856389158301</v>
      </c>
      <c r="M5126">
        <v>43.247316379518701</v>
      </c>
      <c r="O5126">
        <v>50.283847525675299</v>
      </c>
      <c r="P5126">
        <v>-8.5934031601236693E-2</v>
      </c>
      <c r="Q5126">
        <v>0.60033708519483997</v>
      </c>
      <c r="R5126">
        <v>0.80604453242558305</v>
      </c>
      <c r="S5126" t="s">
        <v>11796</v>
      </c>
      <c r="T5126" t="s">
        <v>13338</v>
      </c>
      <c r="U5126" t="s">
        <v>13338</v>
      </c>
      <c r="V5126" t="s">
        <v>13338</v>
      </c>
      <c r="W5126" t="s">
        <v>18408</v>
      </c>
      <c r="X5126">
        <v>6</v>
      </c>
      <c r="Y5126" t="s">
        <v>24904</v>
      </c>
      <c r="Z5126" t="s">
        <v>31541</v>
      </c>
      <c r="AA5126">
        <v>0.73995976771601757</v>
      </c>
      <c r="AB5126" t="str">
        <f>HYPERLINK("Melting_Curves/meltCurve_Q96IZ0_PAWR.pdf", "Melting_Curves/meltCurve_Q96IZ0_PAWR.pdf")</f>
        <v>Melting_Curves/meltCurve_Q96IZ0_PAWR.pdf</v>
      </c>
    </row>
    <row r="5127" spans="1:28" x14ac:dyDescent="0.25">
      <c r="A5127" t="s">
        <v>5131</v>
      </c>
      <c r="B5127">
        <v>0.99193492352474899</v>
      </c>
      <c r="C5127">
        <v>0.81672299584345698</v>
      </c>
      <c r="D5127">
        <v>0.83435944960127395</v>
      </c>
      <c r="E5127">
        <v>0.738657594713518</v>
      </c>
      <c r="F5127">
        <v>0.61104946642420299</v>
      </c>
      <c r="G5127">
        <v>0.42334534480320402</v>
      </c>
      <c r="H5127">
        <v>0.36247631790683299</v>
      </c>
      <c r="I5127">
        <v>0.43616451503857001</v>
      </c>
      <c r="J5127">
        <v>0.59957922892293702</v>
      </c>
      <c r="K5127">
        <v>0.81642600177295399</v>
      </c>
      <c r="L5127">
        <v>750.63439626316904</v>
      </c>
      <c r="M5127">
        <v>16.0181922173023</v>
      </c>
      <c r="O5127">
        <v>46.149255734671499</v>
      </c>
      <c r="P5127">
        <v>-4.0582713282155597E-2</v>
      </c>
      <c r="Q5127">
        <v>0.53235281247251698</v>
      </c>
      <c r="R5127">
        <v>0.59308775900837996</v>
      </c>
      <c r="S5127" t="s">
        <v>11797</v>
      </c>
      <c r="T5127" t="s">
        <v>13338</v>
      </c>
      <c r="U5127" t="s">
        <v>13338</v>
      </c>
      <c r="V5127" t="s">
        <v>13338</v>
      </c>
      <c r="W5127" t="s">
        <v>18409</v>
      </c>
      <c r="X5127">
        <v>11</v>
      </c>
      <c r="Y5127" t="s">
        <v>24905</v>
      </c>
      <c r="Z5127" t="s">
        <v>31542</v>
      </c>
      <c r="AA5127">
        <v>0.6504816238357497</v>
      </c>
      <c r="AB5127" t="str">
        <f>HYPERLINK("Melting_Curves/meltCurve_Q96IZ7_2_RSRC1.pdf", "Melting_Curves/meltCurve_Q96IZ7_2_RSRC1.pdf")</f>
        <v>Melting_Curves/meltCurve_Q96IZ7_2_RSRC1.pdf</v>
      </c>
    </row>
    <row r="5128" spans="1:28" x14ac:dyDescent="0.25">
      <c r="A5128" t="s">
        <v>5132</v>
      </c>
      <c r="B5128">
        <v>0.99193492352474899</v>
      </c>
      <c r="C5128">
        <v>0.78203138218509405</v>
      </c>
      <c r="D5128">
        <v>0.862713293144865</v>
      </c>
      <c r="E5128">
        <v>0.660853340895726</v>
      </c>
      <c r="F5128">
        <v>0.54283789115788506</v>
      </c>
      <c r="G5128">
        <v>0.26171222916796799</v>
      </c>
      <c r="H5128">
        <v>9.8379499616180199E-2</v>
      </c>
      <c r="I5128">
        <v>0.10323263374225899</v>
      </c>
      <c r="J5128">
        <v>0.112107087198039</v>
      </c>
      <c r="K5128">
        <v>0.13205317113127499</v>
      </c>
      <c r="L5128">
        <v>598.44532376464201</v>
      </c>
      <c r="M5128">
        <v>11.4589959063804</v>
      </c>
      <c r="N5128">
        <v>52.422306601040297</v>
      </c>
      <c r="O5128">
        <v>50.710353804202398</v>
      </c>
      <c r="P5128">
        <v>-5.5315547842566697E-2</v>
      </c>
      <c r="Q5128">
        <v>2.1113915866363402E-2</v>
      </c>
      <c r="R5128">
        <v>0.96229192221661297</v>
      </c>
      <c r="S5128" t="s">
        <v>11798</v>
      </c>
      <c r="T5128" t="s">
        <v>13338</v>
      </c>
      <c r="U5128" t="s">
        <v>13338</v>
      </c>
      <c r="V5128" t="s">
        <v>13338</v>
      </c>
      <c r="W5128" t="s">
        <v>18410</v>
      </c>
      <c r="X5128">
        <v>9</v>
      </c>
      <c r="Y5128" t="s">
        <v>24906</v>
      </c>
      <c r="Z5128" t="s">
        <v>31543</v>
      </c>
      <c r="AA5128">
        <v>0.45122010738449247</v>
      </c>
      <c r="AB5128" t="str">
        <f>HYPERLINK("Melting_Curves/meltCurve_Q96J01_THOC3.pdf", "Melting_Curves/meltCurve_Q96J01_THOC3.pdf")</f>
        <v>Melting_Curves/meltCurve_Q96J01_THOC3.pdf</v>
      </c>
    </row>
    <row r="5129" spans="1:28" x14ac:dyDescent="0.25">
      <c r="A5129" t="s">
        <v>5133</v>
      </c>
      <c r="B5129">
        <v>0.99193492352474899</v>
      </c>
      <c r="C5129">
        <v>0.87238310494710203</v>
      </c>
      <c r="D5129">
        <v>0.74677896971890501</v>
      </c>
      <c r="E5129">
        <v>0.26679807905814101</v>
      </c>
      <c r="F5129">
        <v>0.18628784233847301</v>
      </c>
      <c r="G5129">
        <v>9.8573823459685003E-2</v>
      </c>
      <c r="H5129">
        <v>6.6331360557793595E-2</v>
      </c>
      <c r="I5129">
        <v>6.5284819166513006E-2</v>
      </c>
      <c r="J5129">
        <v>7.6549652080132105E-2</v>
      </c>
      <c r="K5129">
        <v>7.1884698856155907E-2</v>
      </c>
      <c r="L5129">
        <v>1118.9764135212599</v>
      </c>
      <c r="M5129">
        <v>23.594864470870998</v>
      </c>
      <c r="N5129">
        <v>47.747656122462203</v>
      </c>
      <c r="O5129">
        <v>47.087855486256601</v>
      </c>
      <c r="P5129">
        <v>-0.116029770968634</v>
      </c>
      <c r="Q5129">
        <v>7.3781386308380006E-2</v>
      </c>
      <c r="R5129">
        <v>0.99167426108196099</v>
      </c>
      <c r="S5129" t="s">
        <v>11799</v>
      </c>
      <c r="T5129" t="s">
        <v>13338</v>
      </c>
      <c r="U5129" t="s">
        <v>13338</v>
      </c>
      <c r="V5129" t="s">
        <v>13338</v>
      </c>
      <c r="W5129" t="s">
        <v>18411</v>
      </c>
      <c r="X5129">
        <v>9</v>
      </c>
      <c r="Y5129" t="s">
        <v>24907</v>
      </c>
      <c r="Z5129" t="s">
        <v>31544</v>
      </c>
      <c r="AA5129">
        <v>0.31232458553665032</v>
      </c>
      <c r="AB5129" t="str">
        <f>HYPERLINK("Melting_Curves/meltCurve_Q96J02_2_ITCH.pdf", "Melting_Curves/meltCurve_Q96J02_2_ITCH.pdf")</f>
        <v>Melting_Curves/meltCurve_Q96J02_2_ITCH.pdf</v>
      </c>
    </row>
    <row r="5130" spans="1:28" x14ac:dyDescent="0.25">
      <c r="A5130" t="s">
        <v>5134</v>
      </c>
      <c r="B5130">
        <v>0.99193492352474899</v>
      </c>
      <c r="C5130">
        <v>0.953261198140127</v>
      </c>
      <c r="D5130">
        <v>0.91600952294428795</v>
      </c>
      <c r="E5130">
        <v>0.73418200990316596</v>
      </c>
      <c r="F5130">
        <v>0.540591384959758</v>
      </c>
      <c r="G5130">
        <v>0.39729746152825501</v>
      </c>
      <c r="H5130">
        <v>0.30209915691060901</v>
      </c>
      <c r="I5130">
        <v>0.370819815883491</v>
      </c>
      <c r="J5130">
        <v>0.41455981177402601</v>
      </c>
      <c r="K5130">
        <v>0.49502001273434898</v>
      </c>
      <c r="L5130">
        <v>1150.4508135194999</v>
      </c>
      <c r="M5130">
        <v>22.971608942823799</v>
      </c>
      <c r="N5130">
        <v>53.607044594294898</v>
      </c>
      <c r="O5130">
        <v>49.706523698605203</v>
      </c>
      <c r="P5130">
        <v>-7.0520808432497695E-2</v>
      </c>
      <c r="Q5130">
        <v>0.38963294638118201</v>
      </c>
      <c r="R5130">
        <v>0.960838774617363</v>
      </c>
      <c r="S5130" t="s">
        <v>11800</v>
      </c>
      <c r="T5130" t="s">
        <v>13338</v>
      </c>
      <c r="U5130" t="s">
        <v>13338</v>
      </c>
      <c r="V5130" t="s">
        <v>13338</v>
      </c>
      <c r="W5130" t="s">
        <v>18412</v>
      </c>
      <c r="X5130">
        <v>6</v>
      </c>
      <c r="Y5130" t="s">
        <v>24908</v>
      </c>
      <c r="Z5130" t="s">
        <v>31545</v>
      </c>
      <c r="AA5130">
        <v>0.60121148805898661</v>
      </c>
      <c r="AB5130" t="str">
        <f>HYPERLINK("Melting_Curves/meltCurve_Q96J84_2_KIRREL.pdf", "Melting_Curves/meltCurve_Q96J84_2_KIRREL.pdf")</f>
        <v>Melting_Curves/meltCurve_Q96J84_2_KIRREL.pdf</v>
      </c>
    </row>
    <row r="5131" spans="1:28" x14ac:dyDescent="0.25">
      <c r="A5131" t="s">
        <v>5135</v>
      </c>
      <c r="B5131">
        <v>0.99193492352474899</v>
      </c>
      <c r="C5131">
        <v>0.66564849835264694</v>
      </c>
      <c r="D5131">
        <v>0.45771705546074298</v>
      </c>
      <c r="E5131">
        <v>0.260703134480117</v>
      </c>
      <c r="F5131">
        <v>0.19288162716111101</v>
      </c>
      <c r="G5131">
        <v>0.16695387783999699</v>
      </c>
      <c r="H5131">
        <v>0.113804302373418</v>
      </c>
      <c r="I5131">
        <v>0.117647118756966</v>
      </c>
      <c r="J5131">
        <v>0.232769779292541</v>
      </c>
      <c r="K5131">
        <v>0.244453904310766</v>
      </c>
      <c r="L5131">
        <v>946.82597402556405</v>
      </c>
      <c r="M5131">
        <v>21.397930681893001</v>
      </c>
      <c r="N5131">
        <v>45.160865558060401</v>
      </c>
      <c r="O5131">
        <v>43.867465740688701</v>
      </c>
      <c r="P5131">
        <v>-0.10054823077946499</v>
      </c>
      <c r="Q5131">
        <v>0.175493048815412</v>
      </c>
      <c r="R5131">
        <v>0.965996855168752</v>
      </c>
      <c r="S5131" t="s">
        <v>11801</v>
      </c>
      <c r="T5131" t="s">
        <v>13338</v>
      </c>
      <c r="U5131" t="s">
        <v>13338</v>
      </c>
      <c r="V5131" t="s">
        <v>13338</v>
      </c>
      <c r="W5131" t="s">
        <v>18413</v>
      </c>
      <c r="X5131">
        <v>1</v>
      </c>
      <c r="Y5131" t="s">
        <v>24909</v>
      </c>
      <c r="Z5131" t="s">
        <v>31546</v>
      </c>
      <c r="AA5131">
        <v>0.30541746002611142</v>
      </c>
      <c r="AB5131" t="str">
        <f>HYPERLINK("Melting_Curves/meltCurve_Q96J88_2_EPSTI1.pdf", "Melting_Curves/meltCurve_Q96J88_2_EPSTI1.pdf")</f>
        <v>Melting_Curves/meltCurve_Q96J88_2_EPSTI1.pdf</v>
      </c>
    </row>
    <row r="5132" spans="1:28" x14ac:dyDescent="0.25">
      <c r="A5132" t="s">
        <v>5136</v>
      </c>
      <c r="B5132">
        <v>0.99193492352474899</v>
      </c>
      <c r="C5132">
        <v>0.81754929969314605</v>
      </c>
      <c r="D5132">
        <v>0.45714820995488797</v>
      </c>
      <c r="E5132">
        <v>0.14228067439814299</v>
      </c>
      <c r="F5132">
        <v>8.8228595261263795E-2</v>
      </c>
      <c r="G5132">
        <v>5.1603971962854801E-2</v>
      </c>
      <c r="H5132">
        <v>2.52482837791933E-2</v>
      </c>
      <c r="I5132">
        <v>4.4722526491593501E-2</v>
      </c>
      <c r="J5132">
        <v>4.7948221060389998E-2</v>
      </c>
      <c r="K5132">
        <v>6.3647153746557994E-2</v>
      </c>
      <c r="L5132">
        <v>1150.26694766686</v>
      </c>
      <c r="M5132">
        <v>25.306740730996498</v>
      </c>
      <c r="N5132">
        <v>45.632262596984901</v>
      </c>
      <c r="O5132">
        <v>45.172011987632096</v>
      </c>
      <c r="P5132">
        <v>-0.13343178787118701</v>
      </c>
      <c r="Q5132">
        <v>4.7320107614931002E-2</v>
      </c>
      <c r="R5132">
        <v>0.99847228741739802</v>
      </c>
      <c r="S5132" t="s">
        <v>11802</v>
      </c>
      <c r="T5132" t="s">
        <v>13338</v>
      </c>
      <c r="U5132" t="s">
        <v>13338</v>
      </c>
      <c r="V5132" t="s">
        <v>13338</v>
      </c>
      <c r="W5132" t="s">
        <v>18414</v>
      </c>
      <c r="X5132">
        <v>7</v>
      </c>
      <c r="Y5132" t="s">
        <v>24910</v>
      </c>
      <c r="Z5132" t="s">
        <v>31547</v>
      </c>
      <c r="AA5132">
        <v>0.22933934140611761</v>
      </c>
      <c r="AB5132" t="str">
        <f>HYPERLINK("Melting_Curves/meltCurve_Q96JB2_COG3.pdf", "Melting_Curves/meltCurve_Q96JB2_COG3.pdf")</f>
        <v>Melting_Curves/meltCurve_Q96JB2_COG3.pdf</v>
      </c>
    </row>
    <row r="5133" spans="1:28" x14ac:dyDescent="0.25">
      <c r="A5133" t="s">
        <v>5137</v>
      </c>
      <c r="B5133">
        <v>0.99193492352474899</v>
      </c>
      <c r="C5133">
        <v>0.77051290669986805</v>
      </c>
      <c r="D5133">
        <v>0.85807726328700396</v>
      </c>
      <c r="E5133">
        <v>0.39564220915920101</v>
      </c>
      <c r="F5133">
        <v>0.16626780717884901</v>
      </c>
      <c r="G5133">
        <v>0.118468277171555</v>
      </c>
      <c r="H5133">
        <v>7.05442789969951E-2</v>
      </c>
      <c r="I5133">
        <v>6.4668345331089699E-2</v>
      </c>
      <c r="J5133">
        <v>6.4708812908584407E-2</v>
      </c>
      <c r="K5133">
        <v>9.9344587048205896E-2</v>
      </c>
      <c r="L5133">
        <v>991.29279444934195</v>
      </c>
      <c r="M5133">
        <v>20.483485747547601</v>
      </c>
      <c r="N5133">
        <v>48.727373893666297</v>
      </c>
      <c r="O5133">
        <v>47.940558417179297</v>
      </c>
      <c r="P5133">
        <v>-9.9850442875412199E-2</v>
      </c>
      <c r="Q5133">
        <v>6.5248091752235601E-2</v>
      </c>
      <c r="R5133">
        <v>0.96799689764167596</v>
      </c>
      <c r="S5133" t="s">
        <v>11803</v>
      </c>
      <c r="T5133" t="s">
        <v>13338</v>
      </c>
      <c r="U5133" t="s">
        <v>13338</v>
      </c>
      <c r="V5133" t="s">
        <v>13338</v>
      </c>
      <c r="W5133" t="s">
        <v>18415</v>
      </c>
      <c r="X5133">
        <v>11</v>
      </c>
      <c r="Y5133" t="s">
        <v>24911</v>
      </c>
      <c r="Z5133" t="s">
        <v>31548</v>
      </c>
      <c r="AA5133">
        <v>0.3393632329984278</v>
      </c>
      <c r="AB5133" t="str">
        <f>HYPERLINK("Melting_Curves/meltCurve_Q96JB5_CDK5RAP3.pdf", "Melting_Curves/meltCurve_Q96JB5_CDK5RAP3.pdf")</f>
        <v>Melting_Curves/meltCurve_Q96JB5_CDK5RAP3.pdf</v>
      </c>
    </row>
    <row r="5134" spans="1:28" x14ac:dyDescent="0.25">
      <c r="A5134" t="s">
        <v>5138</v>
      </c>
      <c r="B5134">
        <v>0.99193492352474899</v>
      </c>
      <c r="C5134">
        <v>0.82892267550656096</v>
      </c>
      <c r="D5134">
        <v>0.85850586376543703</v>
      </c>
      <c r="E5134">
        <v>0.384308022964091</v>
      </c>
      <c r="F5134">
        <v>0.235247350352774</v>
      </c>
      <c r="G5134">
        <v>0.13330923992982799</v>
      </c>
      <c r="H5134">
        <v>9.6123835078986697E-2</v>
      </c>
      <c r="I5134">
        <v>9.3306300113716906E-2</v>
      </c>
      <c r="J5134">
        <v>9.5001972063837897E-2</v>
      </c>
      <c r="K5134">
        <v>0.101678967486592</v>
      </c>
      <c r="L5134">
        <v>1025.9010380228001</v>
      </c>
      <c r="M5134">
        <v>21.190842246509298</v>
      </c>
      <c r="N5134">
        <v>48.887092424261702</v>
      </c>
      <c r="O5134">
        <v>47.987518778305898</v>
      </c>
      <c r="P5134">
        <v>-0.100136115416881</v>
      </c>
      <c r="Q5134">
        <v>9.2974263790576495E-2</v>
      </c>
      <c r="R5134">
        <v>0.98062007871660095</v>
      </c>
      <c r="S5134" t="s">
        <v>11804</v>
      </c>
      <c r="T5134" t="s">
        <v>13338</v>
      </c>
      <c r="U5134" t="s">
        <v>13338</v>
      </c>
      <c r="V5134" t="s">
        <v>13338</v>
      </c>
      <c r="W5134" t="s">
        <v>18416</v>
      </c>
      <c r="X5134">
        <v>3</v>
      </c>
      <c r="Y5134" t="s">
        <v>24912</v>
      </c>
      <c r="Z5134" t="s">
        <v>31549</v>
      </c>
      <c r="AA5134">
        <v>0.35865785409110401</v>
      </c>
      <c r="AB5134" t="str">
        <f>HYPERLINK("Melting_Curves/meltCurve_Q96JC1_2_VPS39.pdf", "Melting_Curves/meltCurve_Q96JC1_2_VPS39.pdf")</f>
        <v>Melting_Curves/meltCurve_Q96JC1_2_VPS39.pdf</v>
      </c>
    </row>
    <row r="5135" spans="1:28" x14ac:dyDescent="0.25">
      <c r="A5135" t="s">
        <v>5139</v>
      </c>
      <c r="B5135">
        <v>0.99193492352474899</v>
      </c>
      <c r="C5135">
        <v>0.64718111221919505</v>
      </c>
      <c r="D5135">
        <v>0.61205859270863305</v>
      </c>
      <c r="E5135">
        <v>0.36444237438124899</v>
      </c>
      <c r="F5135">
        <v>0.34211209756459998</v>
      </c>
      <c r="G5135">
        <v>0.21933694505184201</v>
      </c>
      <c r="H5135">
        <v>0.24313787434054199</v>
      </c>
      <c r="I5135">
        <v>0.45015808383658001</v>
      </c>
      <c r="J5135">
        <v>0.60415578379185597</v>
      </c>
      <c r="K5135">
        <v>0.79645852566744302</v>
      </c>
      <c r="L5135">
        <v>1252.7868579765</v>
      </c>
      <c r="M5135">
        <v>29.298382456165399</v>
      </c>
      <c r="N5135">
        <v>46.102687971410496</v>
      </c>
      <c r="O5135">
        <v>42.561891670371303</v>
      </c>
      <c r="P5135">
        <v>-9.6328579160117597E-2</v>
      </c>
      <c r="Q5135">
        <v>0.44025643647582802</v>
      </c>
      <c r="R5135">
        <v>0.50252617374103103</v>
      </c>
      <c r="S5135" t="s">
        <v>11805</v>
      </c>
      <c r="T5135" t="s">
        <v>13338</v>
      </c>
      <c r="U5135" t="s">
        <v>13338</v>
      </c>
      <c r="V5135" t="s">
        <v>13338</v>
      </c>
      <c r="W5135" t="s">
        <v>18417</v>
      </c>
      <c r="X5135">
        <v>2</v>
      </c>
      <c r="Y5135" t="s">
        <v>24913</v>
      </c>
      <c r="Z5135" t="s">
        <v>31550</v>
      </c>
      <c r="AA5135">
        <v>0.49763940838657872</v>
      </c>
      <c r="AB5135" t="str">
        <f>HYPERLINK("Melting_Curves/meltCurve_Q96JC9_EAF1.pdf", "Melting_Curves/meltCurve_Q96JC9_EAF1.pdf")</f>
        <v>Melting_Curves/meltCurve_Q96JC9_EAF1.pdf</v>
      </c>
    </row>
    <row r="5136" spans="1:28" x14ac:dyDescent="0.25">
      <c r="A5136" t="s">
        <v>5140</v>
      </c>
      <c r="B5136">
        <v>0.99193492352474899</v>
      </c>
      <c r="C5136">
        <v>1.02001611033003</v>
      </c>
      <c r="D5136">
        <v>0.86095709888549898</v>
      </c>
      <c r="E5136">
        <v>0.50461314774284005</v>
      </c>
      <c r="F5136">
        <v>0.19280524687949599</v>
      </c>
      <c r="G5136">
        <v>9.5636665944357699E-2</v>
      </c>
      <c r="H5136">
        <v>5.8813949872943097E-2</v>
      </c>
      <c r="I5136">
        <v>6.4543721777815699E-2</v>
      </c>
      <c r="J5136">
        <v>8.9935821893887297E-2</v>
      </c>
      <c r="K5136">
        <v>9.7206094616984706E-2</v>
      </c>
      <c r="L5136">
        <v>1297.02965444335</v>
      </c>
      <c r="M5136">
        <v>26.314759775340701</v>
      </c>
      <c r="N5136">
        <v>49.592636001791703</v>
      </c>
      <c r="O5136">
        <v>49.007054903165603</v>
      </c>
      <c r="P5136">
        <v>-0.124255016982564</v>
      </c>
      <c r="Q5136">
        <v>7.43894056183068E-2</v>
      </c>
      <c r="R5136">
        <v>0.997896395091045</v>
      </c>
      <c r="S5136" t="s">
        <v>11806</v>
      </c>
      <c r="T5136" t="s">
        <v>13338</v>
      </c>
      <c r="U5136" t="s">
        <v>13338</v>
      </c>
      <c r="V5136" t="s">
        <v>13338</v>
      </c>
      <c r="W5136" t="s">
        <v>18418</v>
      </c>
      <c r="X5136">
        <v>4</v>
      </c>
      <c r="Y5136" t="s">
        <v>24914</v>
      </c>
      <c r="Z5136" t="s">
        <v>31551</v>
      </c>
      <c r="AA5136">
        <v>0.36839208306736448</v>
      </c>
      <c r="AB5136" t="str">
        <f>HYPERLINK("Melting_Curves/meltCurve_Q96JG6_CCDC132.pdf", "Melting_Curves/meltCurve_Q96JG6_CCDC132.pdf")</f>
        <v>Melting_Curves/meltCurve_Q96JG6_CCDC132.pdf</v>
      </c>
    </row>
    <row r="5137" spans="1:28" x14ac:dyDescent="0.25">
      <c r="A5137" t="s">
        <v>5141</v>
      </c>
      <c r="B5137">
        <v>0.99193492352474899</v>
      </c>
      <c r="C5137">
        <v>0.58067777467619397</v>
      </c>
      <c r="D5137">
        <v>0.202612407099408</v>
      </c>
      <c r="E5137">
        <v>0.112640086740471</v>
      </c>
      <c r="F5137">
        <v>6.3977717925642802E-2</v>
      </c>
      <c r="G5137">
        <v>4.8825943471533302E-2</v>
      </c>
      <c r="H5137">
        <v>3.2338666895468798E-2</v>
      </c>
      <c r="I5137">
        <v>4.3804504268721997E-2</v>
      </c>
      <c r="J5137">
        <v>5.3075085512383199E-2</v>
      </c>
      <c r="K5137">
        <v>5.3718985157898802E-2</v>
      </c>
      <c r="L5137">
        <v>1386.63237806796</v>
      </c>
      <c r="M5137">
        <v>31.993702187106599</v>
      </c>
      <c r="N5137">
        <v>43.504361812247197</v>
      </c>
      <c r="O5137">
        <v>43.172532581876801</v>
      </c>
      <c r="P5137">
        <v>-0.17476856938875099</v>
      </c>
      <c r="Q5137">
        <v>5.6669161777386401E-2</v>
      </c>
      <c r="R5137">
        <v>0.99325458671526901</v>
      </c>
      <c r="S5137" t="s">
        <v>11807</v>
      </c>
      <c r="T5137" t="s">
        <v>13338</v>
      </c>
      <c r="U5137" t="s">
        <v>13338</v>
      </c>
      <c r="V5137" t="s">
        <v>13338</v>
      </c>
      <c r="W5137" t="s">
        <v>18419</v>
      </c>
      <c r="X5137">
        <v>7</v>
      </c>
      <c r="Y5137" t="s">
        <v>24915</v>
      </c>
      <c r="Z5137" t="s">
        <v>31552</v>
      </c>
      <c r="AA5137">
        <v>0.1684522288798716</v>
      </c>
      <c r="AB5137" t="str">
        <f>HYPERLINK("Melting_Curves/meltCurve_Q96JH7_VCPIP1.pdf", "Melting_Curves/meltCurve_Q96JH7_VCPIP1.pdf")</f>
        <v>Melting_Curves/meltCurve_Q96JH7_VCPIP1.pdf</v>
      </c>
    </row>
    <row r="5138" spans="1:28" x14ac:dyDescent="0.25">
      <c r="A5138" t="s">
        <v>5142</v>
      </c>
      <c r="B5138">
        <v>0.99193492352474899</v>
      </c>
      <c r="C5138">
        <v>0.96159026219177701</v>
      </c>
      <c r="D5138">
        <v>0.94790471507304597</v>
      </c>
      <c r="E5138">
        <v>0.79992650245086105</v>
      </c>
      <c r="F5138">
        <v>0.46018290403277601</v>
      </c>
      <c r="G5138">
        <v>0.17538718372985301</v>
      </c>
      <c r="H5138">
        <v>9.8704134481344394E-2</v>
      </c>
      <c r="I5138">
        <v>0.108312484994578</v>
      </c>
      <c r="J5138">
        <v>0.134871189808242</v>
      </c>
      <c r="K5138">
        <v>0.17373924867336299</v>
      </c>
      <c r="L5138">
        <v>1372.9711548381899</v>
      </c>
      <c r="M5138">
        <v>26.392012484814199</v>
      </c>
      <c r="N5138">
        <v>52.561956179886103</v>
      </c>
      <c r="O5138">
        <v>51.726302875530898</v>
      </c>
      <c r="P5138">
        <v>-0.112417087671827</v>
      </c>
      <c r="Q5138">
        <v>0.11869435768822</v>
      </c>
      <c r="R5138">
        <v>0.99395106676995604</v>
      </c>
      <c r="S5138" t="s">
        <v>11808</v>
      </c>
      <c r="T5138" t="s">
        <v>13338</v>
      </c>
      <c r="U5138" t="s">
        <v>13338</v>
      </c>
      <c r="V5138" t="s">
        <v>13338</v>
      </c>
      <c r="W5138" t="s">
        <v>18420</v>
      </c>
      <c r="X5138">
        <v>8</v>
      </c>
      <c r="Y5138" t="s">
        <v>24916</v>
      </c>
      <c r="Z5138" t="s">
        <v>31553</v>
      </c>
      <c r="AA5138">
        <v>0.47911563535219193</v>
      </c>
      <c r="AB5138" t="str">
        <f>HYPERLINK("Melting_Curves/meltCurve_Q96JJ7_TMX3.pdf", "Melting_Curves/meltCurve_Q96JJ7_TMX3.pdf")</f>
        <v>Melting_Curves/meltCurve_Q96JJ7_TMX3.pdf</v>
      </c>
    </row>
    <row r="5139" spans="1:28" x14ac:dyDescent="0.25">
      <c r="A5139" t="s">
        <v>5143</v>
      </c>
      <c r="B5139">
        <v>0.99193492352474899</v>
      </c>
      <c r="C5139">
        <v>0.90291722435849497</v>
      </c>
      <c r="D5139">
        <v>0.70463453039830204</v>
      </c>
      <c r="E5139">
        <v>0.38862727116560702</v>
      </c>
      <c r="F5139">
        <v>0.20857131325821701</v>
      </c>
      <c r="G5139">
        <v>0.16197943858618599</v>
      </c>
      <c r="H5139">
        <v>0.1924811853068</v>
      </c>
      <c r="I5139">
        <v>0.289005784759434</v>
      </c>
      <c r="J5139">
        <v>0.332236044699039</v>
      </c>
      <c r="K5139">
        <v>0.47814310779941399</v>
      </c>
      <c r="L5139">
        <v>1386.9641218387501</v>
      </c>
      <c r="M5139">
        <v>29.860072573285599</v>
      </c>
      <c r="N5139">
        <v>47.740329544463897</v>
      </c>
      <c r="O5139">
        <v>46.241952302031798</v>
      </c>
      <c r="P5139">
        <v>-0.116703374191161</v>
      </c>
      <c r="Q5139">
        <v>0.27708734881619301</v>
      </c>
      <c r="R5139">
        <v>0.90887283949791298</v>
      </c>
      <c r="S5139" t="s">
        <v>11809</v>
      </c>
      <c r="T5139" t="s">
        <v>13338</v>
      </c>
      <c r="U5139" t="s">
        <v>13338</v>
      </c>
      <c r="V5139" t="s">
        <v>13338</v>
      </c>
      <c r="W5139" t="s">
        <v>18421</v>
      </c>
      <c r="X5139">
        <v>15</v>
      </c>
      <c r="Y5139" t="s">
        <v>24917</v>
      </c>
      <c r="Z5139" t="s">
        <v>31554</v>
      </c>
      <c r="AA5139">
        <v>0.43688914650237792</v>
      </c>
      <c r="AB5139" t="str">
        <f>HYPERLINK("Melting_Curves/meltCurve_Q96JM3_CHAMP1.pdf", "Melting_Curves/meltCurve_Q96JM3_CHAMP1.pdf")</f>
        <v>Melting_Curves/meltCurve_Q96JM3_CHAMP1.pdf</v>
      </c>
    </row>
    <row r="5140" spans="1:28" x14ac:dyDescent="0.25">
      <c r="A5140" t="s">
        <v>5144</v>
      </c>
      <c r="B5140">
        <v>0.99193492352474899</v>
      </c>
      <c r="C5140">
        <v>0.89837392851300502</v>
      </c>
      <c r="D5140">
        <v>0.74300290841874295</v>
      </c>
      <c r="E5140">
        <v>0.51181801310812503</v>
      </c>
      <c r="F5140">
        <v>0.25038997724908002</v>
      </c>
      <c r="G5140">
        <v>0.14032837965830899</v>
      </c>
      <c r="H5140">
        <v>9.8134216015451997E-2</v>
      </c>
      <c r="I5140">
        <v>0.15616252688455401</v>
      </c>
      <c r="J5140">
        <v>0.21033735265276901</v>
      </c>
      <c r="K5140">
        <v>0.213265979048886</v>
      </c>
      <c r="L5140">
        <v>935.69647836604702</v>
      </c>
      <c r="M5140">
        <v>19.4117487857661</v>
      </c>
      <c r="N5140">
        <v>49.117983842881102</v>
      </c>
      <c r="O5140">
        <v>47.699774762132002</v>
      </c>
      <c r="P5140">
        <v>-8.6300467091035199E-2</v>
      </c>
      <c r="Q5140">
        <v>0.151779244633271</v>
      </c>
      <c r="R5140">
        <v>0.9823402192149</v>
      </c>
      <c r="S5140" t="s">
        <v>11810</v>
      </c>
      <c r="T5140" t="s">
        <v>13338</v>
      </c>
      <c r="U5140" t="s">
        <v>13338</v>
      </c>
      <c r="V5140" t="s">
        <v>13338</v>
      </c>
      <c r="W5140" t="s">
        <v>18422</v>
      </c>
      <c r="X5140">
        <v>7</v>
      </c>
      <c r="Y5140" t="s">
        <v>24918</v>
      </c>
      <c r="Z5140" t="s">
        <v>31555</v>
      </c>
      <c r="AA5140">
        <v>0.39648335465653262</v>
      </c>
      <c r="AB5140" t="str">
        <f>HYPERLINK("Melting_Curves/meltCurve_Q96JP5_ZFP91.pdf", "Melting_Curves/meltCurve_Q96JP5_ZFP91.pdf")</f>
        <v>Melting_Curves/meltCurve_Q96JP5_ZFP91.pdf</v>
      </c>
    </row>
    <row r="5141" spans="1:28" x14ac:dyDescent="0.25">
      <c r="A5141" t="s">
        <v>5145</v>
      </c>
      <c r="B5141">
        <v>0.99193492352474899</v>
      </c>
      <c r="C5141">
        <v>0.93502495585928902</v>
      </c>
      <c r="D5141">
        <v>0.92473328282969203</v>
      </c>
      <c r="E5141">
        <v>0.48252583930505799</v>
      </c>
      <c r="F5141">
        <v>0.28477476590108902</v>
      </c>
      <c r="G5141">
        <v>0.18332207110111401</v>
      </c>
      <c r="H5141">
        <v>0.12754290556738601</v>
      </c>
      <c r="I5141">
        <v>0.138985925284242</v>
      </c>
      <c r="J5141">
        <v>0.160884596443093</v>
      </c>
      <c r="K5141">
        <v>0.19616719548452399</v>
      </c>
      <c r="L5141">
        <v>1379.6879083623601</v>
      </c>
      <c r="M5141">
        <v>28.146753018003299</v>
      </c>
      <c r="N5141">
        <v>49.707052095084997</v>
      </c>
      <c r="O5141">
        <v>48.772231698685097</v>
      </c>
      <c r="P5141">
        <v>-0.12096271057916901</v>
      </c>
      <c r="Q5141">
        <v>0.16159824462754199</v>
      </c>
      <c r="R5141">
        <v>0.99186674378125095</v>
      </c>
      <c r="S5141" t="s">
        <v>11811</v>
      </c>
      <c r="T5141" t="s">
        <v>13338</v>
      </c>
      <c r="U5141" t="s">
        <v>13338</v>
      </c>
      <c r="V5141" t="s">
        <v>13338</v>
      </c>
      <c r="W5141" t="s">
        <v>18423</v>
      </c>
      <c r="X5141">
        <v>4</v>
      </c>
      <c r="Y5141" t="s">
        <v>24919</v>
      </c>
      <c r="Z5141" t="s">
        <v>31556</v>
      </c>
      <c r="AA5141">
        <v>0.41943395802185512</v>
      </c>
      <c r="AB5141" t="str">
        <f>HYPERLINK("Melting_Curves/meltCurve_Q96JQ2_CLMN.pdf", "Melting_Curves/meltCurve_Q96JQ2_CLMN.pdf")</f>
        <v>Melting_Curves/meltCurve_Q96JQ2_CLMN.pdf</v>
      </c>
    </row>
    <row r="5142" spans="1:28" x14ac:dyDescent="0.25">
      <c r="A5142" t="s">
        <v>5146</v>
      </c>
      <c r="B5142">
        <v>0.99193492352474899</v>
      </c>
      <c r="C5142">
        <v>0.87105657200124698</v>
      </c>
      <c r="D5142">
        <v>0.85827121687144203</v>
      </c>
      <c r="E5142">
        <v>0.63971120451482699</v>
      </c>
      <c r="F5142">
        <v>0.39992767179142202</v>
      </c>
      <c r="G5142">
        <v>0.24584771605703301</v>
      </c>
      <c r="H5142">
        <v>0.21800153975129</v>
      </c>
      <c r="I5142">
        <v>0.26795162828992503</v>
      </c>
      <c r="J5142">
        <v>0.36645252806152701</v>
      </c>
      <c r="K5142">
        <v>0.46381282955932701</v>
      </c>
      <c r="L5142">
        <v>1090.6329689136901</v>
      </c>
      <c r="M5142">
        <v>22.314038627558102</v>
      </c>
      <c r="N5142">
        <v>51.062088589667603</v>
      </c>
      <c r="O5142">
        <v>48.489083782692298</v>
      </c>
      <c r="P5142">
        <v>-7.9658949127230497E-2</v>
      </c>
      <c r="Q5142">
        <v>0.30760958199980698</v>
      </c>
      <c r="R5142">
        <v>0.92083633300877898</v>
      </c>
      <c r="S5142" t="s">
        <v>11812</v>
      </c>
      <c r="T5142" t="s">
        <v>13338</v>
      </c>
      <c r="U5142" t="s">
        <v>13338</v>
      </c>
      <c r="V5142" t="s">
        <v>13338</v>
      </c>
      <c r="W5142" t="s">
        <v>18424</v>
      </c>
      <c r="X5142">
        <v>5</v>
      </c>
      <c r="Y5142" t="s">
        <v>24920</v>
      </c>
      <c r="Z5142" t="s">
        <v>31557</v>
      </c>
      <c r="AA5142">
        <v>0.52023154076035494</v>
      </c>
      <c r="AB5142" t="str">
        <f>HYPERLINK("Melting_Curves/meltCurve_Q96JY6_PDLIM2.pdf", "Melting_Curves/meltCurve_Q96JY6_PDLIM2.pdf")</f>
        <v>Melting_Curves/meltCurve_Q96JY6_PDLIM2.pdf</v>
      </c>
    </row>
    <row r="5143" spans="1:28" x14ac:dyDescent="0.25">
      <c r="A5143" t="s">
        <v>5147</v>
      </c>
      <c r="B5143">
        <v>0.99193492352474899</v>
      </c>
      <c r="C5143">
        <v>0.98256824180465097</v>
      </c>
      <c r="D5143">
        <v>0.86145760003330796</v>
      </c>
      <c r="E5143">
        <v>0.63040330722732196</v>
      </c>
      <c r="F5143">
        <v>0.45800635033192</v>
      </c>
      <c r="G5143">
        <v>0.331538119825387</v>
      </c>
      <c r="H5143">
        <v>0.23399235362021001</v>
      </c>
      <c r="I5143">
        <v>0.32313833056986502</v>
      </c>
      <c r="J5143">
        <v>0.30528892907968902</v>
      </c>
      <c r="K5143">
        <v>0.29687951867319701</v>
      </c>
      <c r="L5143">
        <v>965.45821929930298</v>
      </c>
      <c r="M5143">
        <v>19.4864066153491</v>
      </c>
      <c r="N5143">
        <v>51.772747022171899</v>
      </c>
      <c r="O5143">
        <v>49.032284137284101</v>
      </c>
      <c r="P5143">
        <v>-7.1160566694987396E-2</v>
      </c>
      <c r="Q5143">
        <v>0.28380037645766898</v>
      </c>
      <c r="R5143">
        <v>0.991246436146903</v>
      </c>
      <c r="S5143" t="s">
        <v>11813</v>
      </c>
      <c r="T5143" t="s">
        <v>13338</v>
      </c>
      <c r="U5143" t="s">
        <v>13338</v>
      </c>
      <c r="V5143" t="s">
        <v>13338</v>
      </c>
      <c r="W5143" t="s">
        <v>18425</v>
      </c>
      <c r="X5143">
        <v>4</v>
      </c>
      <c r="Y5143" t="s">
        <v>24921</v>
      </c>
      <c r="Z5143" t="s">
        <v>31558</v>
      </c>
      <c r="AA5143">
        <v>0.52219714560065555</v>
      </c>
      <c r="AB5143" t="str">
        <f>HYPERLINK("Melting_Curves/meltCurve_Q96K19_2_RNF170.pdf", "Melting_Curves/meltCurve_Q96K19_2_RNF170.pdf")</f>
        <v>Melting_Curves/meltCurve_Q96K19_2_RNF170.pdf</v>
      </c>
    </row>
    <row r="5144" spans="1:28" x14ac:dyDescent="0.25">
      <c r="A5144" t="s">
        <v>5148</v>
      </c>
      <c r="B5144">
        <v>0.99193492352474899</v>
      </c>
      <c r="C5144">
        <v>0.81212905301624805</v>
      </c>
      <c r="D5144">
        <v>0.89455949828699599</v>
      </c>
      <c r="E5144">
        <v>0.76215556877312296</v>
      </c>
      <c r="F5144">
        <v>0.62050194083976795</v>
      </c>
      <c r="G5144">
        <v>0.573389394113204</v>
      </c>
      <c r="H5144">
        <v>0.23924401993774699</v>
      </c>
      <c r="I5144">
        <v>0.28237469759450101</v>
      </c>
      <c r="J5144">
        <v>0.113631133614329</v>
      </c>
      <c r="K5144">
        <v>0.18661347992855801</v>
      </c>
      <c r="L5144">
        <v>496.917809696353</v>
      </c>
      <c r="M5144">
        <v>8.8615136295435999</v>
      </c>
      <c r="N5144">
        <v>56.075951633159697</v>
      </c>
      <c r="O5144">
        <v>53.440561123960201</v>
      </c>
      <c r="P5144">
        <v>-4.1486923166267002E-2</v>
      </c>
      <c r="Q5144">
        <v>0</v>
      </c>
      <c r="R5144">
        <v>0.95191724274612599</v>
      </c>
      <c r="S5144" t="s">
        <v>11814</v>
      </c>
      <c r="T5144" t="s">
        <v>13338</v>
      </c>
      <c r="U5144" t="s">
        <v>13338</v>
      </c>
      <c r="V5144" t="s">
        <v>13338</v>
      </c>
      <c r="W5144" t="s">
        <v>18426</v>
      </c>
      <c r="X5144">
        <v>2</v>
      </c>
      <c r="Y5144" t="s">
        <v>24922</v>
      </c>
      <c r="Z5144" t="s">
        <v>31559</v>
      </c>
      <c r="AA5144">
        <v>0.55608327259895796</v>
      </c>
      <c r="AB5144" t="str">
        <f>HYPERLINK("Melting_Curves/meltCurve_Q96K31_C8orf76.pdf", "Melting_Curves/meltCurve_Q96K31_C8orf76.pdf")</f>
        <v>Melting_Curves/meltCurve_Q96K31_C8orf76.pdf</v>
      </c>
    </row>
    <row r="5145" spans="1:28" x14ac:dyDescent="0.25">
      <c r="A5145" t="s">
        <v>5149</v>
      </c>
      <c r="B5145">
        <v>0.99193492352474899</v>
      </c>
      <c r="C5145">
        <v>1.1198902836117399</v>
      </c>
      <c r="D5145">
        <v>0.83013790024774003</v>
      </c>
      <c r="E5145">
        <v>0.78176542325819498</v>
      </c>
      <c r="F5145">
        <v>0.497100931619821</v>
      </c>
      <c r="G5145">
        <v>0.31182454741239501</v>
      </c>
      <c r="H5145">
        <v>0.25444301137992797</v>
      </c>
      <c r="I5145">
        <v>0.44755688338851102</v>
      </c>
      <c r="J5145">
        <v>0.43642471160685797</v>
      </c>
      <c r="K5145">
        <v>0.73238911926352901</v>
      </c>
      <c r="L5145">
        <v>1512.7162143812</v>
      </c>
      <c r="M5145">
        <v>30.402537680850902</v>
      </c>
      <c r="N5145">
        <v>53.3575620580283</v>
      </c>
      <c r="O5145">
        <v>49.5424668024352</v>
      </c>
      <c r="P5145">
        <v>-8.6564231219602494E-2</v>
      </c>
      <c r="Q5145">
        <v>0.43576038315705301</v>
      </c>
      <c r="R5145">
        <v>0.77461202608659996</v>
      </c>
      <c r="S5145" t="s">
        <v>11815</v>
      </c>
      <c r="T5145" t="s">
        <v>13338</v>
      </c>
      <c r="U5145" t="s">
        <v>13338</v>
      </c>
      <c r="V5145" t="s">
        <v>13338</v>
      </c>
      <c r="W5145" t="s">
        <v>18427</v>
      </c>
      <c r="X5145">
        <v>3</v>
      </c>
      <c r="Y5145" t="s">
        <v>24923</v>
      </c>
      <c r="Z5145" t="s">
        <v>31560</v>
      </c>
      <c r="AA5145">
        <v>0.62263929211085434</v>
      </c>
      <c r="AB5145" t="str">
        <f>HYPERLINK("Melting_Curves/meltCurve_Q96K80_ZC3H10.pdf", "Melting_Curves/meltCurve_Q96K80_ZC3H10.pdf")</f>
        <v>Melting_Curves/meltCurve_Q96K80_ZC3H10.pdf</v>
      </c>
    </row>
    <row r="5146" spans="1:28" x14ac:dyDescent="0.25">
      <c r="A5146" t="s">
        <v>5150</v>
      </c>
      <c r="B5146">
        <v>0.99193492352474899</v>
      </c>
      <c r="C5146">
        <v>0.80846287911042403</v>
      </c>
      <c r="D5146">
        <v>0.77423524594970805</v>
      </c>
      <c r="E5146">
        <v>0.53298121074440896</v>
      </c>
      <c r="F5146">
        <v>0.19944045614898001</v>
      </c>
      <c r="G5146">
        <v>0.10714976036407001</v>
      </c>
      <c r="H5146">
        <v>5.4555925964132397E-2</v>
      </c>
      <c r="I5146">
        <v>5.4310246911620202E-2</v>
      </c>
      <c r="J5146">
        <v>7.7047732626772697E-2</v>
      </c>
      <c r="K5146">
        <v>5.6842136487013903E-2</v>
      </c>
      <c r="L5146">
        <v>778.94880904391198</v>
      </c>
      <c r="M5146">
        <v>15.876603832163401</v>
      </c>
      <c r="N5146">
        <v>49.261467885332998</v>
      </c>
      <c r="O5146">
        <v>48.304100352435498</v>
      </c>
      <c r="P5146">
        <v>-7.9626876668133298E-2</v>
      </c>
      <c r="Q5146">
        <v>3.1028596540163302E-2</v>
      </c>
      <c r="R5146">
        <v>0.98436803986718402</v>
      </c>
      <c r="S5146" t="s">
        <v>11816</v>
      </c>
      <c r="T5146" t="s">
        <v>13338</v>
      </c>
      <c r="U5146" t="s">
        <v>13338</v>
      </c>
      <c r="V5146" t="s">
        <v>13338</v>
      </c>
      <c r="W5146" t="s">
        <v>18428</v>
      </c>
      <c r="X5146">
        <v>10</v>
      </c>
      <c r="Y5146" t="s">
        <v>24924</v>
      </c>
      <c r="Z5146" t="s">
        <v>31561</v>
      </c>
      <c r="AA5146">
        <v>0.34516873803805692</v>
      </c>
      <c r="AB5146" t="str">
        <f>HYPERLINK("Melting_Curves/meltCurve_Q96KA5_2_CLPTM1L.pdf", "Melting_Curves/meltCurve_Q96KA5_2_CLPTM1L.pdf")</f>
        <v>Melting_Curves/meltCurve_Q96KA5_2_CLPTM1L.pdf</v>
      </c>
    </row>
    <row r="5147" spans="1:28" x14ac:dyDescent="0.25">
      <c r="A5147" t="s">
        <v>5151</v>
      </c>
      <c r="B5147">
        <v>0.99193492352474899</v>
      </c>
      <c r="C5147">
        <v>0.91084680672396001</v>
      </c>
      <c r="D5147">
        <v>0.68372058128475</v>
      </c>
      <c r="E5147">
        <v>0.172437144421412</v>
      </c>
      <c r="F5147">
        <v>9.0867719516463802E-2</v>
      </c>
      <c r="G5147">
        <v>5.601051698343E-2</v>
      </c>
      <c r="H5147">
        <v>4.2646074106405099E-2</v>
      </c>
      <c r="I5147">
        <v>5.0267579397300199E-2</v>
      </c>
      <c r="J5147">
        <v>5.9344122679455102E-2</v>
      </c>
      <c r="K5147">
        <v>5.3594436287790398E-2</v>
      </c>
      <c r="L5147">
        <v>1484.9150837545501</v>
      </c>
      <c r="M5147">
        <v>31.677552486251301</v>
      </c>
      <c r="N5147">
        <v>47.039406296772597</v>
      </c>
      <c r="O5147">
        <v>46.690317994502301</v>
      </c>
      <c r="P5147">
        <v>-0.160775813458327</v>
      </c>
      <c r="Q5147">
        <v>5.2119402691271299E-2</v>
      </c>
      <c r="R5147">
        <v>0.99780485025190802</v>
      </c>
      <c r="S5147" t="s">
        <v>11817</v>
      </c>
      <c r="T5147" t="s">
        <v>13338</v>
      </c>
      <c r="U5147" t="s">
        <v>13338</v>
      </c>
      <c r="V5147" t="s">
        <v>13338</v>
      </c>
      <c r="W5147" t="s">
        <v>18429</v>
      </c>
      <c r="X5147">
        <v>7</v>
      </c>
      <c r="Y5147" t="s">
        <v>24925</v>
      </c>
      <c r="Z5147" t="s">
        <v>31562</v>
      </c>
      <c r="AA5147">
        <v>0.27443261189069951</v>
      </c>
      <c r="AB5147" t="str">
        <f>HYPERLINK("Melting_Curves/meltCurve_Q96KB5_PBK.pdf", "Melting_Curves/meltCurve_Q96KB5_PBK.pdf")</f>
        <v>Melting_Curves/meltCurve_Q96KB5_PBK.pdf</v>
      </c>
    </row>
    <row r="5148" spans="1:28" x14ac:dyDescent="0.25">
      <c r="A5148" t="s">
        <v>5152</v>
      </c>
      <c r="B5148">
        <v>0.99193492352474899</v>
      </c>
      <c r="C5148">
        <v>0.89168568110218305</v>
      </c>
      <c r="D5148">
        <v>0.80199303218135698</v>
      </c>
      <c r="E5148">
        <v>0.64158765667516504</v>
      </c>
      <c r="F5148">
        <v>0.252709233771859</v>
      </c>
      <c r="G5148">
        <v>8.4118453176165495E-2</v>
      </c>
      <c r="H5148">
        <v>4.6086738059852701E-2</v>
      </c>
      <c r="I5148">
        <v>5.4608874669572399E-2</v>
      </c>
      <c r="J5148">
        <v>9.3110428267728196E-2</v>
      </c>
      <c r="K5148">
        <v>4.7260213323872903E-2</v>
      </c>
      <c r="L5148">
        <v>937.33014989181697</v>
      </c>
      <c r="M5148">
        <v>18.693351584484599</v>
      </c>
      <c r="N5148">
        <v>50.333640240595003</v>
      </c>
      <c r="O5148">
        <v>49.579164522942698</v>
      </c>
      <c r="P5148">
        <v>-9.1033240788389494E-2</v>
      </c>
      <c r="Q5148">
        <v>3.4274559924169001E-2</v>
      </c>
      <c r="R5148">
        <v>0.98657875224634395</v>
      </c>
      <c r="S5148" t="s">
        <v>11818</v>
      </c>
      <c r="T5148" t="s">
        <v>13338</v>
      </c>
      <c r="U5148" t="s">
        <v>13338</v>
      </c>
      <c r="V5148" t="s">
        <v>13338</v>
      </c>
      <c r="W5148" t="s">
        <v>18430</v>
      </c>
      <c r="X5148">
        <v>2</v>
      </c>
      <c r="Y5148" t="s">
        <v>24926</v>
      </c>
      <c r="Z5148" t="s">
        <v>31563</v>
      </c>
      <c r="AA5148">
        <v>0.37607018541622039</v>
      </c>
      <c r="AB5148" t="str">
        <f>HYPERLINK("Melting_Curves/meltCurve_Q96KC8_DNAJC1.pdf", "Melting_Curves/meltCurve_Q96KC8_DNAJC1.pdf")</f>
        <v>Melting_Curves/meltCurve_Q96KC8_DNAJC1.pdf</v>
      </c>
    </row>
    <row r="5149" spans="1:28" x14ac:dyDescent="0.25">
      <c r="A5149" t="s">
        <v>5153</v>
      </c>
      <c r="B5149">
        <v>0.99193492352474899</v>
      </c>
      <c r="C5149">
        <v>0.61822449546329505</v>
      </c>
      <c r="D5149">
        <v>0.71374420066932998</v>
      </c>
      <c r="E5149">
        <v>0.50553857768453803</v>
      </c>
      <c r="F5149">
        <v>0.58123387348009403</v>
      </c>
      <c r="G5149">
        <v>0.22044439182660699</v>
      </c>
      <c r="H5149">
        <v>0.11055205149016201</v>
      </c>
      <c r="I5149">
        <v>0.17732059618493001</v>
      </c>
      <c r="J5149">
        <v>0.108544168378277</v>
      </c>
      <c r="K5149">
        <v>0.19572423487226701</v>
      </c>
      <c r="L5149">
        <v>386.02601284619601</v>
      </c>
      <c r="M5149">
        <v>7.6848331642284498</v>
      </c>
      <c r="N5149">
        <v>50.395133285561997</v>
      </c>
      <c r="O5149">
        <v>47.1700821948669</v>
      </c>
      <c r="P5149">
        <v>-4.0282458298295E-2</v>
      </c>
      <c r="Q5149">
        <v>1.22705253968005E-2</v>
      </c>
      <c r="R5149">
        <v>0.87621593422585198</v>
      </c>
      <c r="S5149" t="s">
        <v>11819</v>
      </c>
      <c r="T5149" t="s">
        <v>13338</v>
      </c>
      <c r="U5149" t="s">
        <v>13338</v>
      </c>
      <c r="V5149" t="s">
        <v>13338</v>
      </c>
      <c r="W5149" t="s">
        <v>18431</v>
      </c>
      <c r="X5149">
        <v>2</v>
      </c>
      <c r="Y5149" t="s">
        <v>24927</v>
      </c>
      <c r="Z5149" t="s">
        <v>31564</v>
      </c>
      <c r="AA5149">
        <v>0.40916265060748708</v>
      </c>
      <c r="AB5149" t="str">
        <f>HYPERLINK("Melting_Curves/meltCurve_Q96KM6_ZNF512B.pdf", "Melting_Curves/meltCurve_Q96KM6_ZNF512B.pdf")</f>
        <v>Melting_Curves/meltCurve_Q96KM6_ZNF512B.pdf</v>
      </c>
    </row>
    <row r="5150" spans="1:28" x14ac:dyDescent="0.25">
      <c r="A5150" t="s">
        <v>5154</v>
      </c>
      <c r="B5150">
        <v>0.99193492352474899</v>
      </c>
      <c r="C5150">
        <v>0.917947424257331</v>
      </c>
      <c r="D5150">
        <v>0.78371533187307096</v>
      </c>
      <c r="E5150">
        <v>0.40936802905925501</v>
      </c>
      <c r="F5150">
        <v>0.26512495978359102</v>
      </c>
      <c r="G5150">
        <v>0.20350406607325899</v>
      </c>
      <c r="H5150">
        <v>0.112623343909388</v>
      </c>
      <c r="I5150">
        <v>0.10861334389669</v>
      </c>
      <c r="J5150">
        <v>0.132581286492753</v>
      </c>
      <c r="K5150">
        <v>0.15741020139578701</v>
      </c>
      <c r="L5150">
        <v>979.54337460152101</v>
      </c>
      <c r="M5150">
        <v>20.3393479462069</v>
      </c>
      <c r="N5150">
        <v>48.8957348728798</v>
      </c>
      <c r="O5150">
        <v>47.701722205926302</v>
      </c>
      <c r="P5150">
        <v>-9.2547671718377397E-2</v>
      </c>
      <c r="Q5150">
        <v>0.13182096169169999</v>
      </c>
      <c r="R5150">
        <v>0.99461772700144602</v>
      </c>
      <c r="S5150" t="s">
        <v>11820</v>
      </c>
      <c r="T5150" t="s">
        <v>13338</v>
      </c>
      <c r="U5150" t="s">
        <v>13338</v>
      </c>
      <c r="V5150" t="s">
        <v>13338</v>
      </c>
      <c r="W5150" t="s">
        <v>18432</v>
      </c>
      <c r="X5150">
        <v>6</v>
      </c>
      <c r="Y5150" t="s">
        <v>24928</v>
      </c>
      <c r="Z5150" t="s">
        <v>31565</v>
      </c>
      <c r="AA5150">
        <v>0.3798371902017596</v>
      </c>
      <c r="AB5150" t="str">
        <f>HYPERLINK("Melting_Curves/meltCurve_Q96KP1_EXOC2.pdf", "Melting_Curves/meltCurve_Q96KP1_EXOC2.pdf")</f>
        <v>Melting_Curves/meltCurve_Q96KP1_EXOC2.pdf</v>
      </c>
    </row>
    <row r="5151" spans="1:28" x14ac:dyDescent="0.25">
      <c r="A5151" t="s">
        <v>5155</v>
      </c>
      <c r="B5151">
        <v>0.99193492352474899</v>
      </c>
      <c r="C5151">
        <v>1.05247956919024</v>
      </c>
      <c r="D5151">
        <v>0.86310199399684695</v>
      </c>
      <c r="E5151">
        <v>0.86348290150291995</v>
      </c>
      <c r="F5151">
        <v>0.66481470439859702</v>
      </c>
      <c r="G5151">
        <v>0.59523553232468496</v>
      </c>
      <c r="H5151">
        <v>0.41674041339376</v>
      </c>
      <c r="I5151">
        <v>0.397350666756905</v>
      </c>
      <c r="J5151">
        <v>0.34956288738520702</v>
      </c>
      <c r="K5151">
        <v>0.34689440223659501</v>
      </c>
      <c r="L5151">
        <v>668.77392227350504</v>
      </c>
      <c r="M5151">
        <v>12.3087492617093</v>
      </c>
      <c r="N5151">
        <v>58.5932428486839</v>
      </c>
      <c r="O5151">
        <v>52.958811937716497</v>
      </c>
      <c r="P5151">
        <v>-4.09337919471413E-2</v>
      </c>
      <c r="Q5151">
        <v>0.29567775089952503</v>
      </c>
      <c r="R5151">
        <v>0.977632703790285</v>
      </c>
      <c r="S5151" t="s">
        <v>11821</v>
      </c>
      <c r="T5151" t="s">
        <v>13338</v>
      </c>
      <c r="U5151" t="s">
        <v>13338</v>
      </c>
      <c r="V5151" t="s">
        <v>13338</v>
      </c>
      <c r="W5151" t="s">
        <v>18433</v>
      </c>
      <c r="X5151">
        <v>26</v>
      </c>
      <c r="Y5151" t="s">
        <v>24929</v>
      </c>
      <c r="Z5151" t="s">
        <v>31566</v>
      </c>
      <c r="AA5151">
        <v>0.64959253600193556</v>
      </c>
      <c r="AB5151" t="str">
        <f>HYPERLINK("Melting_Curves/meltCurve_Q96KP4_CNDP2.pdf", "Melting_Curves/meltCurve_Q96KP4_CNDP2.pdf")</f>
        <v>Melting_Curves/meltCurve_Q96KP4_CNDP2.pdf</v>
      </c>
    </row>
    <row r="5152" spans="1:28" x14ac:dyDescent="0.25">
      <c r="A5152" t="s">
        <v>5156</v>
      </c>
      <c r="B5152">
        <v>0.99193492352474899</v>
      </c>
      <c r="C5152">
        <v>0.80171611891802097</v>
      </c>
      <c r="D5152">
        <v>0.399613456943199</v>
      </c>
      <c r="E5152">
        <v>0.166233062245664</v>
      </c>
      <c r="F5152">
        <v>0.223740634361388</v>
      </c>
      <c r="G5152">
        <v>0.101630273316117</v>
      </c>
      <c r="H5152">
        <v>6.0179253972846201E-2</v>
      </c>
      <c r="I5152">
        <v>8.0522963625309502E-2</v>
      </c>
      <c r="J5152">
        <v>8.0682061716359499E-2</v>
      </c>
      <c r="K5152">
        <v>3.6257171556600701E-2</v>
      </c>
      <c r="L5152">
        <v>1142.84018289763</v>
      </c>
      <c r="M5152">
        <v>25.414351905606399</v>
      </c>
      <c r="N5152">
        <v>45.3260811323225</v>
      </c>
      <c r="O5152">
        <v>44.6926509157692</v>
      </c>
      <c r="P5152">
        <v>-0.12924325666946701</v>
      </c>
      <c r="Q5152">
        <v>9.0883607972024105E-2</v>
      </c>
      <c r="R5152">
        <v>0.98159447673975697</v>
      </c>
      <c r="S5152" t="s">
        <v>11822</v>
      </c>
      <c r="T5152" t="s">
        <v>13338</v>
      </c>
      <c r="U5152" t="s">
        <v>13338</v>
      </c>
      <c r="V5152" t="s">
        <v>13338</v>
      </c>
      <c r="W5152" t="s">
        <v>18434</v>
      </c>
      <c r="X5152">
        <v>1</v>
      </c>
      <c r="Y5152" t="s">
        <v>24930</v>
      </c>
      <c r="Z5152" t="s">
        <v>31567</v>
      </c>
      <c r="AA5152">
        <v>0.25017800745463942</v>
      </c>
      <c r="AB5152" t="str">
        <f>HYPERLINK("Melting_Curves/meltCurve_Q96KQ4_PPP1R13B.pdf", "Melting_Curves/meltCurve_Q96KQ4_PPP1R13B.pdf")</f>
        <v>Melting_Curves/meltCurve_Q96KQ4_PPP1R13B.pdf</v>
      </c>
    </row>
    <row r="5153" spans="1:28" x14ac:dyDescent="0.25">
      <c r="A5153" t="s">
        <v>5157</v>
      </c>
      <c r="B5153">
        <v>0.99193492352474899</v>
      </c>
      <c r="C5153">
        <v>0.34880813445417003</v>
      </c>
      <c r="D5153">
        <v>0.554961140008564</v>
      </c>
      <c r="E5153">
        <v>0.38782617105530398</v>
      </c>
      <c r="F5153">
        <v>0.53300610601882603</v>
      </c>
      <c r="G5153">
        <v>0.378671493289438</v>
      </c>
      <c r="H5153">
        <v>0.29984547980703702</v>
      </c>
      <c r="I5153">
        <v>0.61335467616419104</v>
      </c>
      <c r="J5153">
        <v>0.80939532743085596</v>
      </c>
      <c r="K5153">
        <v>1.06348983404147</v>
      </c>
      <c r="L5153">
        <v>10159.644369611</v>
      </c>
      <c r="M5153">
        <v>250</v>
      </c>
      <c r="O5153">
        <v>40.635976956750397</v>
      </c>
      <c r="P5153">
        <v>-0.68539458860818203</v>
      </c>
      <c r="Q5153">
        <v>0.55437314203114696</v>
      </c>
      <c r="R5153">
        <v>0.25867665046807597</v>
      </c>
      <c r="S5153" t="s">
        <v>11823</v>
      </c>
      <c r="T5153" t="s">
        <v>13338</v>
      </c>
      <c r="U5153" t="s">
        <v>13338</v>
      </c>
      <c r="V5153" t="s">
        <v>13338</v>
      </c>
      <c r="W5153" t="s">
        <v>18435</v>
      </c>
      <c r="X5153">
        <v>6</v>
      </c>
      <c r="Y5153" t="s">
        <v>24931</v>
      </c>
      <c r="Z5153" t="s">
        <v>31568</v>
      </c>
      <c r="AA5153">
        <v>0.56393299952705089</v>
      </c>
      <c r="AB5153" t="str">
        <f>HYPERLINK("Melting_Curves/meltCurve_Q96KR1_ZFR.pdf", "Melting_Curves/meltCurve_Q96KR1_ZFR.pdf")</f>
        <v>Melting_Curves/meltCurve_Q96KR1_ZFR.pdf</v>
      </c>
    </row>
    <row r="5154" spans="1:28" x14ac:dyDescent="0.25">
      <c r="A5154" t="s">
        <v>5158</v>
      </c>
      <c r="B5154">
        <v>0.99193492352474899</v>
      </c>
      <c r="C5154">
        <v>0.85040492090784103</v>
      </c>
      <c r="D5154">
        <v>0.61468800086851805</v>
      </c>
      <c r="E5154">
        <v>0.23183886804637999</v>
      </c>
      <c r="F5154">
        <v>0.15025692342171501</v>
      </c>
      <c r="G5154">
        <v>9.7785797726013202E-2</v>
      </c>
      <c r="H5154">
        <v>5.6847344277689199E-2</v>
      </c>
      <c r="I5154">
        <v>5.8481486487756598E-2</v>
      </c>
      <c r="J5154">
        <v>5.5635521875904502E-2</v>
      </c>
      <c r="K5154">
        <v>5.1095249833151897E-2</v>
      </c>
      <c r="L5154">
        <v>991.81035724085302</v>
      </c>
      <c r="M5154">
        <v>21.284634504696399</v>
      </c>
      <c r="N5154">
        <v>46.8758131087856</v>
      </c>
      <c r="O5154">
        <v>46.1920155437166</v>
      </c>
      <c r="P5154">
        <v>-0.108361181099096</v>
      </c>
      <c r="Q5154">
        <v>5.9360227735223502E-2</v>
      </c>
      <c r="R5154">
        <v>0.997065503742943</v>
      </c>
      <c r="S5154" t="s">
        <v>11824</v>
      </c>
      <c r="T5154" t="s">
        <v>13338</v>
      </c>
      <c r="U5154" t="s">
        <v>13338</v>
      </c>
      <c r="V5154" t="s">
        <v>13338</v>
      </c>
      <c r="W5154" t="s">
        <v>18436</v>
      </c>
      <c r="X5154">
        <v>5</v>
      </c>
      <c r="Y5154" t="s">
        <v>24932</v>
      </c>
      <c r="Z5154" t="s">
        <v>31569</v>
      </c>
      <c r="AA5154">
        <v>0.27841322430120607</v>
      </c>
      <c r="AB5154" t="str">
        <f>HYPERLINK("Melting_Curves/meltCurve_Q96L50_LRR1.pdf", "Melting_Curves/meltCurve_Q96L50_LRR1.pdf")</f>
        <v>Melting_Curves/meltCurve_Q96L50_LRR1.pdf</v>
      </c>
    </row>
    <row r="5155" spans="1:28" x14ac:dyDescent="0.25">
      <c r="A5155" t="s">
        <v>5159</v>
      </c>
      <c r="B5155">
        <v>0.99193492352474899</v>
      </c>
      <c r="C5155">
        <v>0.97245967219921003</v>
      </c>
      <c r="D5155">
        <v>0.76663161862284901</v>
      </c>
      <c r="E5155">
        <v>0.306273510986243</v>
      </c>
      <c r="F5155">
        <v>0.200973010777203</v>
      </c>
      <c r="G5155">
        <v>0.160254749127137</v>
      </c>
      <c r="H5155">
        <v>0.120491626377273</v>
      </c>
      <c r="I5155">
        <v>0.186220312453451</v>
      </c>
      <c r="J5155">
        <v>0.162081023834768</v>
      </c>
      <c r="K5155">
        <v>0.14005575505433501</v>
      </c>
      <c r="L5155">
        <v>1536.9561605046299</v>
      </c>
      <c r="M5155">
        <v>32.463853901546003</v>
      </c>
      <c r="N5155">
        <v>47.896043365513201</v>
      </c>
      <c r="O5155">
        <v>47.165061591479699</v>
      </c>
      <c r="P5155">
        <v>-0.145205773411965</v>
      </c>
      <c r="Q5155">
        <v>0.15615620052923301</v>
      </c>
      <c r="R5155">
        <v>0.99737105607265097</v>
      </c>
      <c r="S5155" t="s">
        <v>11825</v>
      </c>
      <c r="T5155" t="s">
        <v>13338</v>
      </c>
      <c r="U5155" t="s">
        <v>13338</v>
      </c>
      <c r="V5155" t="s">
        <v>13338</v>
      </c>
      <c r="W5155" t="s">
        <v>18437</v>
      </c>
      <c r="X5155">
        <v>7</v>
      </c>
      <c r="Y5155" t="s">
        <v>24933</v>
      </c>
      <c r="Z5155" t="s">
        <v>31570</v>
      </c>
      <c r="AA5155">
        <v>0.36700059534143198</v>
      </c>
      <c r="AB5155" t="str">
        <f>HYPERLINK("Melting_Curves/meltCurve_Q96L92_3_SNX27.pdf", "Melting_Curves/meltCurve_Q96L92_3_SNX27.pdf")</f>
        <v>Melting_Curves/meltCurve_Q96L92_3_SNX27.pdf</v>
      </c>
    </row>
    <row r="5156" spans="1:28" x14ac:dyDescent="0.25">
      <c r="A5156" t="s">
        <v>5160</v>
      </c>
      <c r="B5156">
        <v>0.99193492352474899</v>
      </c>
      <c r="C5156">
        <v>2.3399569274676</v>
      </c>
      <c r="D5156">
        <v>0.78723072620845702</v>
      </c>
      <c r="E5156">
        <v>0.92044628209777801</v>
      </c>
      <c r="F5156">
        <v>0.161832491489313</v>
      </c>
      <c r="G5156">
        <v>0.13321659700114</v>
      </c>
      <c r="H5156">
        <v>9.0250790525050306E-2</v>
      </c>
      <c r="I5156">
        <v>9.7950903019807203E-2</v>
      </c>
      <c r="J5156">
        <v>0.121029023369816</v>
      </c>
      <c r="K5156">
        <v>0.170629403890703</v>
      </c>
      <c r="L5156">
        <v>3889.79573554642</v>
      </c>
      <c r="M5156">
        <v>76.134217808134295</v>
      </c>
      <c r="N5156">
        <v>51.280196562128303</v>
      </c>
      <c r="O5156">
        <v>51.056077858540498</v>
      </c>
      <c r="P5156">
        <v>-0.32721112299944699</v>
      </c>
      <c r="Q5156">
        <v>0.12228092074626</v>
      </c>
      <c r="R5156">
        <v>0.60334402595173198</v>
      </c>
      <c r="S5156" t="s">
        <v>11826</v>
      </c>
      <c r="T5156" t="s">
        <v>13338</v>
      </c>
      <c r="U5156" t="s">
        <v>13338</v>
      </c>
      <c r="V5156" t="s">
        <v>13338</v>
      </c>
      <c r="W5156" t="s">
        <v>18438</v>
      </c>
      <c r="X5156">
        <v>2</v>
      </c>
      <c r="Y5156" t="s">
        <v>24934</v>
      </c>
      <c r="Z5156" t="s">
        <v>31571</v>
      </c>
      <c r="AA5156">
        <v>0.44763270942529959</v>
      </c>
      <c r="AB5156" t="str">
        <f>HYPERLINK("Melting_Curves/meltCurve_Q96L93_6_KIF16B.pdf", "Melting_Curves/meltCurve_Q96L93_6_KIF16B.pdf")</f>
        <v>Melting_Curves/meltCurve_Q96L93_6_KIF16B.pdf</v>
      </c>
    </row>
    <row r="5157" spans="1:28" x14ac:dyDescent="0.25">
      <c r="A5157" t="s">
        <v>5161</v>
      </c>
      <c r="B5157">
        <v>0.99193492352474899</v>
      </c>
      <c r="C5157">
        <v>1.22611182305594</v>
      </c>
      <c r="D5157">
        <v>1.0562375448364001</v>
      </c>
      <c r="E5157">
        <v>0.99629312055449004</v>
      </c>
      <c r="F5157">
        <v>0.48663235803002403</v>
      </c>
      <c r="G5157">
        <v>0.29865973937940499</v>
      </c>
      <c r="H5157">
        <v>0.165174991652389</v>
      </c>
      <c r="I5157">
        <v>0.229886128475952</v>
      </c>
      <c r="J5157">
        <v>0.30158754379945601</v>
      </c>
      <c r="K5157">
        <v>0.33858153448825201</v>
      </c>
      <c r="L5157">
        <v>3650.5512872547702</v>
      </c>
      <c r="M5157">
        <v>69.454435993523305</v>
      </c>
      <c r="N5157">
        <v>53.140535641108798</v>
      </c>
      <c r="O5157">
        <v>52.516853350869098</v>
      </c>
      <c r="P5157">
        <v>-0.242761029424958</v>
      </c>
      <c r="Q5157">
        <v>0.26576079665388602</v>
      </c>
      <c r="R5157">
        <v>0.95107020873585402</v>
      </c>
      <c r="S5157" t="s">
        <v>11827</v>
      </c>
      <c r="T5157" t="s">
        <v>13338</v>
      </c>
      <c r="U5157" t="s">
        <v>13338</v>
      </c>
      <c r="V5157" t="s">
        <v>13338</v>
      </c>
      <c r="W5157" t="s">
        <v>18439</v>
      </c>
      <c r="X5157">
        <v>4</v>
      </c>
      <c r="Y5157" t="s">
        <v>24935</v>
      </c>
      <c r="Z5157" t="s">
        <v>31572</v>
      </c>
      <c r="AA5157">
        <v>0.57405132353843158</v>
      </c>
      <c r="AB5157" t="str">
        <f>HYPERLINK("Melting_Curves/meltCurve_Q96LA8_PRMT6.pdf", "Melting_Curves/meltCurve_Q96LA8_PRMT6.pdf")</f>
        <v>Melting_Curves/meltCurve_Q96LA8_PRMT6.pdf</v>
      </c>
    </row>
    <row r="5158" spans="1:28" x14ac:dyDescent="0.25">
      <c r="A5158" t="s">
        <v>5162</v>
      </c>
      <c r="B5158">
        <v>0.99193492352474899</v>
      </c>
      <c r="C5158">
        <v>0.81430161730096795</v>
      </c>
      <c r="D5158">
        <v>0.71631109812851301</v>
      </c>
      <c r="E5158">
        <v>0.35239880927241102</v>
      </c>
      <c r="F5158">
        <v>0.16622375550913401</v>
      </c>
      <c r="G5158">
        <v>7.9327930770551905E-2</v>
      </c>
      <c r="H5158">
        <v>6.0708165055111799E-2</v>
      </c>
      <c r="I5158">
        <v>4.22795611473709E-2</v>
      </c>
      <c r="J5158">
        <v>4.2939430176649099E-2</v>
      </c>
      <c r="K5158">
        <v>2.9550166036068401E-2</v>
      </c>
      <c r="L5158">
        <v>817.53174815888599</v>
      </c>
      <c r="M5158">
        <v>17.109334506796401</v>
      </c>
      <c r="N5158">
        <v>47.944901162828998</v>
      </c>
      <c r="O5158">
        <v>47.144375893528299</v>
      </c>
      <c r="P5158">
        <v>-8.8184010827773607E-2</v>
      </c>
      <c r="Q5158">
        <v>2.8103020356161999E-2</v>
      </c>
      <c r="R5158">
        <v>0.99398916696669204</v>
      </c>
      <c r="S5158" t="s">
        <v>11828</v>
      </c>
      <c r="T5158" t="s">
        <v>13338</v>
      </c>
      <c r="U5158" t="s">
        <v>13338</v>
      </c>
      <c r="V5158" t="s">
        <v>13338</v>
      </c>
      <c r="W5158" t="s">
        <v>18440</v>
      </c>
      <c r="X5158">
        <v>2</v>
      </c>
      <c r="Y5158" t="s">
        <v>24936</v>
      </c>
      <c r="Z5158" t="s">
        <v>31573</v>
      </c>
      <c r="AA5158">
        <v>0.29955280056999328</v>
      </c>
      <c r="AB5158" t="str">
        <f>HYPERLINK("Melting_Curves/meltCurve_Q96LD8_SENP8.pdf", "Melting_Curves/meltCurve_Q96LD8_SENP8.pdf")</f>
        <v>Melting_Curves/meltCurve_Q96LD8_SENP8.pdf</v>
      </c>
    </row>
    <row r="5159" spans="1:28" x14ac:dyDescent="0.25">
      <c r="A5159" t="s">
        <v>5163</v>
      </c>
      <c r="B5159">
        <v>0.99193492352474899</v>
      </c>
      <c r="C5159">
        <v>0.88264707808007403</v>
      </c>
      <c r="D5159">
        <v>0.83514112547842301</v>
      </c>
      <c r="E5159">
        <v>0.49682359471072801</v>
      </c>
      <c r="F5159">
        <v>0.27556494818116301</v>
      </c>
      <c r="G5159">
        <v>0.17311382299214501</v>
      </c>
      <c r="H5159">
        <v>0.10452188217637801</v>
      </c>
      <c r="I5159">
        <v>8.0771670282689806E-2</v>
      </c>
      <c r="J5159">
        <v>8.8787802874514196E-2</v>
      </c>
      <c r="K5159">
        <v>9.3969554369968497E-2</v>
      </c>
      <c r="L5159">
        <v>863.01819413339103</v>
      </c>
      <c r="M5159">
        <v>17.512328439053501</v>
      </c>
      <c r="N5159">
        <v>49.764151752238803</v>
      </c>
      <c r="O5159">
        <v>48.651480534052403</v>
      </c>
      <c r="P5159">
        <v>-8.2952884942447E-2</v>
      </c>
      <c r="Q5159">
        <v>7.8235930205209706E-2</v>
      </c>
      <c r="R5159">
        <v>0.99563372814612805</v>
      </c>
      <c r="S5159" t="s">
        <v>11829</v>
      </c>
      <c r="T5159" t="s">
        <v>13338</v>
      </c>
      <c r="U5159" t="s">
        <v>13338</v>
      </c>
      <c r="V5159" t="s">
        <v>13338</v>
      </c>
      <c r="W5159" t="s">
        <v>18441</v>
      </c>
      <c r="X5159">
        <v>3</v>
      </c>
      <c r="Y5159" t="s">
        <v>24937</v>
      </c>
      <c r="Z5159" t="s">
        <v>31574</v>
      </c>
      <c r="AA5159">
        <v>0.38015214448244689</v>
      </c>
      <c r="AB5159" t="str">
        <f>HYPERLINK("Melting_Curves/meltCurve_Q96LJ7_DHRS1.pdf", "Melting_Curves/meltCurve_Q96LJ7_DHRS1.pdf")</f>
        <v>Melting_Curves/meltCurve_Q96LJ7_DHRS1.pdf</v>
      </c>
    </row>
    <row r="5160" spans="1:28" x14ac:dyDescent="0.25">
      <c r="A5160" t="s">
        <v>5164</v>
      </c>
      <c r="B5160">
        <v>0.99193492352474899</v>
      </c>
      <c r="C5160">
        <v>0.59337511947344701</v>
      </c>
      <c r="D5160">
        <v>0.95381098527109498</v>
      </c>
      <c r="E5160">
        <v>0.33605740698042402</v>
      </c>
      <c r="F5160">
        <v>0.14983676848635399</v>
      </c>
      <c r="G5160">
        <v>8.5227414369284604E-2</v>
      </c>
      <c r="H5160">
        <v>6.9796641374635898E-2</v>
      </c>
      <c r="I5160">
        <v>9.2113370224776794E-3</v>
      </c>
      <c r="J5160">
        <v>5.8987528251583501E-2</v>
      </c>
      <c r="K5160">
        <v>7.4925307064892796E-2</v>
      </c>
      <c r="L5160">
        <v>860.62205274413805</v>
      </c>
      <c r="M5160">
        <v>17.816384325855399</v>
      </c>
      <c r="N5160">
        <v>48.476971974510199</v>
      </c>
      <c r="O5160">
        <v>47.708860929283397</v>
      </c>
      <c r="P5160">
        <v>-9.0507173478892006E-2</v>
      </c>
      <c r="Q5160">
        <v>3.0606428000055599E-2</v>
      </c>
      <c r="R5160">
        <v>0.87381187082024003</v>
      </c>
      <c r="S5160" t="s">
        <v>11830</v>
      </c>
      <c r="T5160" t="s">
        <v>13338</v>
      </c>
      <c r="U5160" t="s">
        <v>13338</v>
      </c>
      <c r="V5160" t="s">
        <v>13338</v>
      </c>
      <c r="W5160" t="s">
        <v>18442</v>
      </c>
      <c r="X5160">
        <v>4</v>
      </c>
      <c r="Y5160" t="s">
        <v>24938</v>
      </c>
      <c r="Z5160" t="s">
        <v>31575</v>
      </c>
      <c r="AA5160">
        <v>0.31638564007099962</v>
      </c>
      <c r="AB5160" t="str">
        <f>HYPERLINK("Melting_Curves/meltCurve_Q96LR5_UBE2E2.pdf", "Melting_Curves/meltCurve_Q96LR5_UBE2E2.pdf")</f>
        <v>Melting_Curves/meltCurve_Q96LR5_UBE2E2.pdf</v>
      </c>
    </row>
    <row r="5161" spans="1:28" x14ac:dyDescent="0.25">
      <c r="A5161" t="s">
        <v>5165</v>
      </c>
      <c r="B5161">
        <v>0.99193492352474899</v>
      </c>
      <c r="C5161">
        <v>0.93814053699935795</v>
      </c>
      <c r="D5161">
        <v>0.82734320725921995</v>
      </c>
      <c r="E5161">
        <v>0.67838622254542702</v>
      </c>
      <c r="F5161">
        <v>0.49503771059379198</v>
      </c>
      <c r="G5161">
        <v>0.325471310536881</v>
      </c>
      <c r="H5161">
        <v>0.14592229141774399</v>
      </c>
      <c r="I5161">
        <v>0.14432555103783401</v>
      </c>
      <c r="J5161">
        <v>0.17324434883954901</v>
      </c>
      <c r="K5161">
        <v>0.19023245519631601</v>
      </c>
      <c r="L5161">
        <v>704.43781084655404</v>
      </c>
      <c r="M5161">
        <v>13.6784696213624</v>
      </c>
      <c r="N5161">
        <v>52.5442569411642</v>
      </c>
      <c r="O5161">
        <v>50.436429576510797</v>
      </c>
      <c r="P5161">
        <v>-5.9738400582165202E-2</v>
      </c>
      <c r="Q5161">
        <v>0.119037297921994</v>
      </c>
      <c r="R5161">
        <v>0.98986736445178403</v>
      </c>
      <c r="S5161" t="s">
        <v>11831</v>
      </c>
      <c r="T5161" t="s">
        <v>13338</v>
      </c>
      <c r="U5161" t="s">
        <v>13338</v>
      </c>
      <c r="V5161" t="s">
        <v>13338</v>
      </c>
      <c r="W5161" t="s">
        <v>18443</v>
      </c>
      <c r="X5161">
        <v>5</v>
      </c>
      <c r="Y5161" t="s">
        <v>24939</v>
      </c>
      <c r="Z5161" t="s">
        <v>31576</v>
      </c>
      <c r="AA5161">
        <v>0.47983238595395322</v>
      </c>
      <c r="AB5161" t="str">
        <f>HYPERLINK("Melting_Curves/meltCurve_Q96LT7_C9orf72.pdf", "Melting_Curves/meltCurve_Q96LT7_C9orf72.pdf")</f>
        <v>Melting_Curves/meltCurve_Q96LT7_C9orf72.pdf</v>
      </c>
    </row>
    <row r="5162" spans="1:28" x14ac:dyDescent="0.25">
      <c r="A5162" t="s">
        <v>5166</v>
      </c>
      <c r="B5162">
        <v>0.99193492352474899</v>
      </c>
      <c r="C5162">
        <v>0.73028897191759601</v>
      </c>
      <c r="D5162">
        <v>0.53511849276039203</v>
      </c>
      <c r="E5162">
        <v>0.70632070471636998</v>
      </c>
      <c r="F5162">
        <v>0.59118938641674901</v>
      </c>
      <c r="G5162">
        <v>0.40460923106910102</v>
      </c>
      <c r="H5162">
        <v>0.39764205582411699</v>
      </c>
      <c r="I5162">
        <v>1.65404888120977</v>
      </c>
      <c r="J5162">
        <v>2.5106781281804902</v>
      </c>
      <c r="K5162">
        <v>2.2584219925253399</v>
      </c>
      <c r="L5162">
        <v>6478.1296096921396</v>
      </c>
      <c r="M5162">
        <v>103.29994739415</v>
      </c>
      <c r="O5162">
        <v>62.688349231190003</v>
      </c>
      <c r="P5162">
        <v>0.205979180626091</v>
      </c>
      <c r="Q5162">
        <v>1.5</v>
      </c>
      <c r="R5162">
        <v>0.46756104840402002</v>
      </c>
      <c r="S5162" t="s">
        <v>11832</v>
      </c>
      <c r="T5162" t="s">
        <v>13338</v>
      </c>
      <c r="U5162" t="s">
        <v>13338</v>
      </c>
      <c r="V5162" t="s">
        <v>13338</v>
      </c>
      <c r="W5162" t="s">
        <v>18444</v>
      </c>
      <c r="X5162">
        <v>2</v>
      </c>
      <c r="Y5162" t="s">
        <v>24940</v>
      </c>
      <c r="Z5162" t="s">
        <v>31577</v>
      </c>
      <c r="AA5162">
        <v>1.1211469782756061</v>
      </c>
      <c r="AB5162" t="str">
        <f>HYPERLINK("Melting_Curves/meltCurve_Q96M20_2_CNBD2.pdf", "Melting_Curves/meltCurve_Q96M20_2_CNBD2.pdf")</f>
        <v>Melting_Curves/meltCurve_Q96M20_2_CNBD2.pdf</v>
      </c>
    </row>
    <row r="5163" spans="1:28" x14ac:dyDescent="0.25">
      <c r="A5163" t="s">
        <v>5167</v>
      </c>
      <c r="B5163">
        <v>0.99193492352474899</v>
      </c>
      <c r="C5163">
        <v>1.03481156737253</v>
      </c>
      <c r="D5163">
        <v>0.87004339661101604</v>
      </c>
      <c r="E5163">
        <v>0.77642876533230698</v>
      </c>
      <c r="F5163">
        <v>0.55247262169864397</v>
      </c>
      <c r="G5163">
        <v>0.49399943221766102</v>
      </c>
      <c r="H5163">
        <v>0.40020814181620401</v>
      </c>
      <c r="I5163">
        <v>0.42568895136278301</v>
      </c>
      <c r="J5163">
        <v>0.42221239507074498</v>
      </c>
      <c r="K5163">
        <v>0.34121909550973301</v>
      </c>
      <c r="L5163">
        <v>865.61709501140695</v>
      </c>
      <c r="M5163">
        <v>17.040847651280099</v>
      </c>
      <c r="N5163">
        <v>55.513664135871402</v>
      </c>
      <c r="O5163">
        <v>50.112549049273603</v>
      </c>
      <c r="P5163">
        <v>-5.2500472984802503E-2</v>
      </c>
      <c r="Q5163">
        <v>0.38247874024475698</v>
      </c>
      <c r="R5163">
        <v>0.98206542313963496</v>
      </c>
      <c r="S5163" t="s">
        <v>11833</v>
      </c>
      <c r="T5163" t="s">
        <v>13338</v>
      </c>
      <c r="U5163" t="s">
        <v>13338</v>
      </c>
      <c r="V5163" t="s">
        <v>13338</v>
      </c>
      <c r="W5163" t="s">
        <v>18445</v>
      </c>
      <c r="X5163">
        <v>8</v>
      </c>
      <c r="Y5163" t="s">
        <v>24941</v>
      </c>
      <c r="Z5163" t="s">
        <v>31578</v>
      </c>
      <c r="AA5163">
        <v>0.61622857892738259</v>
      </c>
      <c r="AB5163" t="str">
        <f>HYPERLINK("Melting_Curves/meltCurve_Q96M27_PRRC1.pdf", "Melting_Curves/meltCurve_Q96M27_PRRC1.pdf")</f>
        <v>Melting_Curves/meltCurve_Q96M27_PRRC1.pdf</v>
      </c>
    </row>
    <row r="5164" spans="1:28" x14ac:dyDescent="0.25">
      <c r="A5164" t="s">
        <v>5168</v>
      </c>
      <c r="B5164">
        <v>0.99193492352474899</v>
      </c>
      <c r="C5164">
        <v>1.06994005037446</v>
      </c>
      <c r="D5164">
        <v>1.1284022317725899</v>
      </c>
      <c r="E5164">
        <v>0.97611857348809905</v>
      </c>
      <c r="F5164">
        <v>0.56253579248494201</v>
      </c>
      <c r="G5164">
        <v>0.14261751378832099</v>
      </c>
      <c r="H5164">
        <v>7.1254023257534896E-2</v>
      </c>
      <c r="I5164">
        <v>8.1783348497390898E-2</v>
      </c>
      <c r="J5164">
        <v>7.8915312002447793E-2</v>
      </c>
      <c r="K5164">
        <v>5.8432688887208303E-2</v>
      </c>
      <c r="L5164">
        <v>2360.8155190470502</v>
      </c>
      <c r="M5164">
        <v>44.248297092150104</v>
      </c>
      <c r="N5164">
        <v>53.545943236368103</v>
      </c>
      <c r="O5164">
        <v>53.245184895889501</v>
      </c>
      <c r="P5164">
        <v>-0.19250866653837201</v>
      </c>
      <c r="Q5164">
        <v>7.3397533943458104E-2</v>
      </c>
      <c r="R5164">
        <v>0.98917526273935896</v>
      </c>
      <c r="S5164" t="s">
        <v>11834</v>
      </c>
      <c r="T5164" t="s">
        <v>13338</v>
      </c>
      <c r="U5164" t="s">
        <v>13338</v>
      </c>
      <c r="V5164" t="s">
        <v>13338</v>
      </c>
      <c r="W5164" t="s">
        <v>18446</v>
      </c>
      <c r="X5164">
        <v>11</v>
      </c>
      <c r="Y5164" t="s">
        <v>24942</v>
      </c>
      <c r="Z5164" t="s">
        <v>31579</v>
      </c>
      <c r="AA5164">
        <v>0.48864053950192582</v>
      </c>
      <c r="AB5164" t="str">
        <f>HYPERLINK("Melting_Curves/meltCurve_Q96ME1_4_FBXL18.pdf", "Melting_Curves/meltCurve_Q96ME1_4_FBXL18.pdf")</f>
        <v>Melting_Curves/meltCurve_Q96ME1_4_FBXL18.pdf</v>
      </c>
    </row>
    <row r="5165" spans="1:28" x14ac:dyDescent="0.25">
      <c r="A5165" t="s">
        <v>5169</v>
      </c>
      <c r="B5165">
        <v>0.99193492352474899</v>
      </c>
      <c r="C5165">
        <v>0.62112433396765099</v>
      </c>
      <c r="D5165">
        <v>0.69710764690240901</v>
      </c>
      <c r="E5165">
        <v>0.45097609956088203</v>
      </c>
      <c r="F5165">
        <v>0.26703872477419899</v>
      </c>
      <c r="G5165">
        <v>0.12942331815248101</v>
      </c>
      <c r="H5165">
        <v>7.8134686601678799E-2</v>
      </c>
      <c r="I5165">
        <v>8.1435818689045397E-2</v>
      </c>
      <c r="J5165">
        <v>0.108305934783941</v>
      </c>
      <c r="K5165">
        <v>0.103418509403487</v>
      </c>
      <c r="L5165">
        <v>535.32148521692602</v>
      </c>
      <c r="M5165">
        <v>11.2340514802819</v>
      </c>
      <c r="N5165">
        <v>48.024658936549201</v>
      </c>
      <c r="O5165">
        <v>46.216601208615401</v>
      </c>
      <c r="P5165">
        <v>-5.82480790894764E-2</v>
      </c>
      <c r="Q5165">
        <v>4.1773673928812698E-2</v>
      </c>
      <c r="R5165">
        <v>0.94711876164113196</v>
      </c>
      <c r="S5165" t="s">
        <v>11835</v>
      </c>
      <c r="T5165" t="s">
        <v>13338</v>
      </c>
      <c r="U5165" t="s">
        <v>13338</v>
      </c>
      <c r="V5165" t="s">
        <v>13338</v>
      </c>
      <c r="W5165" t="s">
        <v>18447</v>
      </c>
      <c r="X5165">
        <v>3</v>
      </c>
      <c r="Y5165" t="s">
        <v>24943</v>
      </c>
      <c r="Z5165" t="s">
        <v>31580</v>
      </c>
      <c r="AA5165">
        <v>0.3292726136837425</v>
      </c>
      <c r="AB5165" t="str">
        <f>HYPERLINK("Melting_Curves/meltCurve_Q96MG7_NDNL2.pdf", "Melting_Curves/meltCurve_Q96MG7_NDNL2.pdf")</f>
        <v>Melting_Curves/meltCurve_Q96MG7_NDNL2.pdf</v>
      </c>
    </row>
    <row r="5166" spans="1:28" x14ac:dyDescent="0.25">
      <c r="A5166" t="s">
        <v>5170</v>
      </c>
      <c r="B5166">
        <v>0.99193492352474899</v>
      </c>
      <c r="C5166">
        <v>1.11400675864444</v>
      </c>
      <c r="D5166">
        <v>0.81849295401847999</v>
      </c>
      <c r="E5166">
        <v>0.68503574062480199</v>
      </c>
      <c r="F5166">
        <v>0.60083843362766798</v>
      </c>
      <c r="G5166">
        <v>0.42690940853721798</v>
      </c>
      <c r="H5166">
        <v>0.312087976170076</v>
      </c>
      <c r="I5166">
        <v>0.46217130268539702</v>
      </c>
      <c r="J5166">
        <v>0.368242354721109</v>
      </c>
      <c r="K5166">
        <v>0.71510666844412296</v>
      </c>
      <c r="L5166">
        <v>1110.4726750438499</v>
      </c>
      <c r="M5166">
        <v>22.795460685873199</v>
      </c>
      <c r="N5166">
        <v>54.9937187456256</v>
      </c>
      <c r="O5166">
        <v>48.344402565353803</v>
      </c>
      <c r="P5166">
        <v>-6.3307241617871504E-2</v>
      </c>
      <c r="Q5166">
        <v>0.46296491161558001</v>
      </c>
      <c r="R5166">
        <v>0.800804035021208</v>
      </c>
      <c r="S5166" t="s">
        <v>11836</v>
      </c>
      <c r="T5166" t="s">
        <v>13338</v>
      </c>
      <c r="U5166" t="s">
        <v>13338</v>
      </c>
      <c r="V5166" t="s">
        <v>13338</v>
      </c>
      <c r="W5166" t="s">
        <v>18448</v>
      </c>
      <c r="X5166">
        <v>6</v>
      </c>
      <c r="Y5166" t="s">
        <v>24944</v>
      </c>
      <c r="Z5166" t="s">
        <v>31581</v>
      </c>
      <c r="AA5166">
        <v>0.62472309935211701</v>
      </c>
      <c r="AB5166" t="str">
        <f>HYPERLINK("Melting_Curves/meltCurve_Q96MH2_HEXIM2.pdf", "Melting_Curves/meltCurve_Q96MH2_HEXIM2.pdf")</f>
        <v>Melting_Curves/meltCurve_Q96MH2_HEXIM2.pdf</v>
      </c>
    </row>
    <row r="5167" spans="1:28" x14ac:dyDescent="0.25">
      <c r="A5167" t="s">
        <v>5171</v>
      </c>
      <c r="B5167">
        <v>0.99193492352474899</v>
      </c>
      <c r="C5167">
        <v>0.93509700567950704</v>
      </c>
      <c r="D5167">
        <v>0.99024257304760899</v>
      </c>
      <c r="E5167">
        <v>0.83939382036846399</v>
      </c>
      <c r="F5167">
        <v>0.76730320435945498</v>
      </c>
      <c r="G5167">
        <v>0.53392389070633195</v>
      </c>
      <c r="H5167">
        <v>0.240648239267402</v>
      </c>
      <c r="I5167">
        <v>0.19318606201036501</v>
      </c>
      <c r="J5167">
        <v>0.142495276897324</v>
      </c>
      <c r="K5167">
        <v>0.15593685505010199</v>
      </c>
      <c r="L5167">
        <v>915.466548070915</v>
      </c>
      <c r="M5167">
        <v>16.3145328702069</v>
      </c>
      <c r="N5167">
        <v>56.808872813544099</v>
      </c>
      <c r="O5167">
        <v>55.290799574884197</v>
      </c>
      <c r="P5167">
        <v>-6.7095571867158796E-2</v>
      </c>
      <c r="Q5167">
        <v>9.0504564598733697E-2</v>
      </c>
      <c r="R5167">
        <v>0.98860129849660705</v>
      </c>
      <c r="S5167" t="s">
        <v>11837</v>
      </c>
      <c r="T5167" t="s">
        <v>13338</v>
      </c>
      <c r="U5167" t="s">
        <v>13338</v>
      </c>
      <c r="V5167" t="s">
        <v>13338</v>
      </c>
      <c r="W5167" t="s">
        <v>18449</v>
      </c>
      <c r="X5167">
        <v>6</v>
      </c>
      <c r="Y5167" t="s">
        <v>24945</v>
      </c>
      <c r="Z5167" t="s">
        <v>31582</v>
      </c>
      <c r="AA5167">
        <v>0.59380276625548822</v>
      </c>
      <c r="AB5167" t="str">
        <f>HYPERLINK("Melting_Curves/meltCurve_Q96MH6_TMEM68.pdf", "Melting_Curves/meltCurve_Q96MH6_TMEM68.pdf")</f>
        <v>Melting_Curves/meltCurve_Q96MH6_TMEM68.pdf</v>
      </c>
    </row>
    <row r="5168" spans="1:28" x14ac:dyDescent="0.25">
      <c r="A5168" t="s">
        <v>5172</v>
      </c>
      <c r="B5168">
        <v>0.99193492352474899</v>
      </c>
      <c r="C5168">
        <v>0.52643943906423896</v>
      </c>
      <c r="D5168">
        <v>0.64114642775654895</v>
      </c>
      <c r="E5168">
        <v>0.37057407516822499</v>
      </c>
      <c r="F5168">
        <v>0.31556135797775697</v>
      </c>
      <c r="G5168">
        <v>0.28079055057570901</v>
      </c>
      <c r="H5168">
        <v>0.203430368282143</v>
      </c>
      <c r="I5168">
        <v>0.33062511871570599</v>
      </c>
      <c r="J5168">
        <v>0.26268353082138601</v>
      </c>
      <c r="K5168">
        <v>0.66199558864063901</v>
      </c>
      <c r="L5168">
        <v>861.07469236389795</v>
      </c>
      <c r="M5168">
        <v>20.012110657511599</v>
      </c>
      <c r="N5168">
        <v>45.730594820603002</v>
      </c>
      <c r="O5168">
        <v>42.6049437938469</v>
      </c>
      <c r="P5168">
        <v>-7.6707482822335096E-2</v>
      </c>
      <c r="Q5168">
        <v>0.34679317205086102</v>
      </c>
      <c r="R5168">
        <v>0.64048889514446605</v>
      </c>
      <c r="S5168" t="s">
        <v>11838</v>
      </c>
      <c r="T5168" t="s">
        <v>13338</v>
      </c>
      <c r="U5168" t="s">
        <v>13338</v>
      </c>
      <c r="V5168" t="s">
        <v>13338</v>
      </c>
      <c r="W5168" t="s">
        <v>18450</v>
      </c>
      <c r="X5168">
        <v>3</v>
      </c>
      <c r="Y5168" t="s">
        <v>24946</v>
      </c>
      <c r="Z5168" t="s">
        <v>31583</v>
      </c>
      <c r="AA5168">
        <v>0.42798539514268369</v>
      </c>
      <c r="AB5168" t="str">
        <f>HYPERLINK("Melting_Curves/meltCurve_Q96MX3_ZNF48.pdf", "Melting_Curves/meltCurve_Q96MX3_ZNF48.pdf")</f>
        <v>Melting_Curves/meltCurve_Q96MX3_ZNF48.pdf</v>
      </c>
    </row>
    <row r="5169" spans="1:28" x14ac:dyDescent="0.25">
      <c r="A5169" t="s">
        <v>5173</v>
      </c>
      <c r="B5169">
        <v>0.99193492352474899</v>
      </c>
      <c r="C5169">
        <v>0.73132214009779495</v>
      </c>
      <c r="D5169">
        <v>0.97774983569864904</v>
      </c>
      <c r="E5169">
        <v>0.67294562496282695</v>
      </c>
      <c r="F5169">
        <v>0.80545702272891695</v>
      </c>
      <c r="G5169">
        <v>0.41886632284944197</v>
      </c>
      <c r="H5169">
        <v>0.12911046515386501</v>
      </c>
      <c r="I5169">
        <v>0.13448507969482801</v>
      </c>
      <c r="J5169">
        <v>0.16431354510366</v>
      </c>
      <c r="K5169">
        <v>0.19542376946784901</v>
      </c>
      <c r="L5169">
        <v>675.52818674523803</v>
      </c>
      <c r="M5169">
        <v>12.335839056517299</v>
      </c>
      <c r="N5169">
        <v>55.237957252970801</v>
      </c>
      <c r="O5169">
        <v>53.382019420111099</v>
      </c>
      <c r="P5169">
        <v>-5.4867311842090198E-2</v>
      </c>
      <c r="Q5169">
        <v>5.0476057880294301E-2</v>
      </c>
      <c r="R5169">
        <v>0.87335341439195302</v>
      </c>
      <c r="S5169" t="s">
        <v>11839</v>
      </c>
      <c r="T5169" t="s">
        <v>13338</v>
      </c>
      <c r="U5169" t="s">
        <v>13338</v>
      </c>
      <c r="V5169" t="s">
        <v>13338</v>
      </c>
      <c r="W5169" t="s">
        <v>18451</v>
      </c>
      <c r="X5169">
        <v>9</v>
      </c>
      <c r="Y5169" t="s">
        <v>24947</v>
      </c>
      <c r="Z5169" t="s">
        <v>31584</v>
      </c>
      <c r="AA5169">
        <v>0.5401069570166056</v>
      </c>
      <c r="AB5169" t="str">
        <f>HYPERLINK("Melting_Curves/meltCurve_Q96MX6_WDR92.pdf", "Melting_Curves/meltCurve_Q96MX6_WDR92.pdf")</f>
        <v>Melting_Curves/meltCurve_Q96MX6_WDR92.pdf</v>
      </c>
    </row>
    <row r="5170" spans="1:28" x14ac:dyDescent="0.25">
      <c r="A5170" t="s">
        <v>5174</v>
      </c>
      <c r="B5170">
        <v>0.99193492352474899</v>
      </c>
      <c r="C5170">
        <v>0.86552813981822097</v>
      </c>
      <c r="D5170">
        <v>0.95420717855460702</v>
      </c>
      <c r="E5170">
        <v>0.49748027413263202</v>
      </c>
      <c r="F5170">
        <v>0.25945990146229497</v>
      </c>
      <c r="G5170">
        <v>3.3927282853404302E-2</v>
      </c>
      <c r="H5170">
        <v>3.6751177019187703E-2</v>
      </c>
      <c r="I5170">
        <v>2.6634702435408199E-2</v>
      </c>
      <c r="J5170">
        <v>5.5034531226962898E-2</v>
      </c>
      <c r="K5170">
        <v>0</v>
      </c>
      <c r="L5170">
        <v>1147.0105000686699</v>
      </c>
      <c r="M5170">
        <v>22.987662599758</v>
      </c>
      <c r="N5170">
        <v>49.984013913068701</v>
      </c>
      <c r="O5170">
        <v>49.523787272310997</v>
      </c>
      <c r="P5170">
        <v>-0.11376415718284601</v>
      </c>
      <c r="Q5170">
        <v>1.96608818617021E-2</v>
      </c>
      <c r="R5170">
        <v>0.98332999916136299</v>
      </c>
      <c r="S5170" t="s">
        <v>11840</v>
      </c>
      <c r="T5170" t="s">
        <v>13338</v>
      </c>
      <c r="U5170" t="s">
        <v>13338</v>
      </c>
      <c r="V5170" t="s">
        <v>13338</v>
      </c>
      <c r="W5170" t="s">
        <v>18452</v>
      </c>
      <c r="X5170">
        <v>1</v>
      </c>
      <c r="Y5170" t="s">
        <v>24948</v>
      </c>
      <c r="Z5170" t="s">
        <v>31585</v>
      </c>
      <c r="AA5170">
        <v>0.35342818662102171</v>
      </c>
      <c r="AB5170" t="str">
        <f>HYPERLINK("Melting_Curves/meltCurve_Q96N11_2_C7orf26.pdf", "Melting_Curves/meltCurve_Q96N11_2_C7orf26.pdf")</f>
        <v>Melting_Curves/meltCurve_Q96N11_2_C7orf26.pdf</v>
      </c>
    </row>
    <row r="5171" spans="1:28" x14ac:dyDescent="0.25">
      <c r="A5171" t="s">
        <v>5175</v>
      </c>
      <c r="B5171">
        <v>0.99193492352474899</v>
      </c>
      <c r="C5171">
        <v>0.40523625759589699</v>
      </c>
      <c r="D5171">
        <v>0.26776893759583198</v>
      </c>
      <c r="E5171">
        <v>0.13345597847732199</v>
      </c>
      <c r="F5171">
        <v>0.100711221057218</v>
      </c>
      <c r="G5171">
        <v>6.9786986469664497E-2</v>
      </c>
      <c r="H5171">
        <v>3.9722524112771503E-2</v>
      </c>
      <c r="I5171">
        <v>5.6457372545276198E-2</v>
      </c>
      <c r="J5171">
        <v>8.3233455954780905E-2</v>
      </c>
      <c r="K5171">
        <v>9.2117131834089594E-2</v>
      </c>
      <c r="L5171">
        <v>1636.14543556124</v>
      </c>
      <c r="M5171">
        <v>38.560097830368797</v>
      </c>
      <c r="N5171">
        <v>42.666484511390998</v>
      </c>
      <c r="O5171">
        <v>42.3174112913551</v>
      </c>
      <c r="P5171">
        <v>-0.20597216204794999</v>
      </c>
      <c r="Q5171">
        <v>9.5833434674161694E-2</v>
      </c>
      <c r="R5171">
        <v>0.96011171338587598</v>
      </c>
      <c r="S5171" t="s">
        <v>11841</v>
      </c>
      <c r="T5171" t="s">
        <v>13338</v>
      </c>
      <c r="U5171" t="s">
        <v>13338</v>
      </c>
      <c r="V5171" t="s">
        <v>13338</v>
      </c>
      <c r="W5171" t="s">
        <v>18453</v>
      </c>
      <c r="X5171">
        <v>5</v>
      </c>
      <c r="Y5171" t="s">
        <v>24949</v>
      </c>
      <c r="Z5171" t="s">
        <v>31586</v>
      </c>
      <c r="AA5171">
        <v>0.17453431509656081</v>
      </c>
      <c r="AB5171" t="str">
        <f>HYPERLINK("Melting_Curves/meltCurve_Q96N16_JAKMIP1.pdf", "Melting_Curves/meltCurve_Q96N16_JAKMIP1.pdf")</f>
        <v>Melting_Curves/meltCurve_Q96N16_JAKMIP1.pdf</v>
      </c>
    </row>
    <row r="5172" spans="1:28" x14ac:dyDescent="0.25">
      <c r="A5172" t="s">
        <v>5176</v>
      </c>
      <c r="B5172">
        <v>0.99193492352474899</v>
      </c>
      <c r="C5172">
        <v>0.84592913523772695</v>
      </c>
      <c r="D5172">
        <v>0.41749699059343298</v>
      </c>
      <c r="E5172">
        <v>0.18692307087562299</v>
      </c>
      <c r="F5172">
        <v>0.14837750070167899</v>
      </c>
      <c r="G5172">
        <v>5.35312075465691E-2</v>
      </c>
      <c r="H5172">
        <v>4.97567753270051E-2</v>
      </c>
      <c r="I5172">
        <v>2.65578990023576E-2</v>
      </c>
      <c r="J5172">
        <v>5.7051270275422998E-2</v>
      </c>
      <c r="K5172">
        <v>4.4361689632876899E-2</v>
      </c>
      <c r="L5172">
        <v>1136.7443035077299</v>
      </c>
      <c r="M5172">
        <v>25.043099029645699</v>
      </c>
      <c r="N5172">
        <v>45.621249711153098</v>
      </c>
      <c r="O5172">
        <v>45.105052137670597</v>
      </c>
      <c r="P5172">
        <v>-0.13058338196348901</v>
      </c>
      <c r="Q5172">
        <v>5.9239172557199897E-2</v>
      </c>
      <c r="R5172">
        <v>0.99212591819946805</v>
      </c>
      <c r="S5172" t="s">
        <v>11842</v>
      </c>
      <c r="T5172" t="s">
        <v>13338</v>
      </c>
      <c r="U5172" t="s">
        <v>13338</v>
      </c>
      <c r="V5172" t="s">
        <v>13338</v>
      </c>
      <c r="W5172" t="s">
        <v>18454</v>
      </c>
      <c r="X5172">
        <v>1</v>
      </c>
      <c r="Y5172" t="s">
        <v>24950</v>
      </c>
      <c r="Z5172" t="s">
        <v>31587</v>
      </c>
      <c r="AA5172">
        <v>0.23731592132658519</v>
      </c>
      <c r="AB5172" t="str">
        <f>HYPERLINK("Melting_Curves/meltCurve_Q96N21_2_ENTHD2.pdf", "Melting_Curves/meltCurve_Q96N21_2_ENTHD2.pdf")</f>
        <v>Melting_Curves/meltCurve_Q96N21_2_ENTHD2.pdf</v>
      </c>
    </row>
    <row r="5173" spans="1:28" x14ac:dyDescent="0.25">
      <c r="A5173" t="s">
        <v>5177</v>
      </c>
      <c r="B5173">
        <v>0.99193492352474899</v>
      </c>
      <c r="C5173">
        <v>0.67675655423125503</v>
      </c>
      <c r="D5173">
        <v>0.79326466322768396</v>
      </c>
      <c r="E5173">
        <v>0.40900213933073098</v>
      </c>
      <c r="F5173">
        <v>0.39891818977105198</v>
      </c>
      <c r="G5173">
        <v>0.31880580141755599</v>
      </c>
      <c r="H5173">
        <v>0.39767745714015801</v>
      </c>
      <c r="I5173">
        <v>1.4473564158983101</v>
      </c>
      <c r="J5173">
        <v>2.21391916999311</v>
      </c>
      <c r="K5173">
        <v>1.9977329542311899</v>
      </c>
      <c r="L5173">
        <v>15000</v>
      </c>
      <c r="M5173">
        <v>236.51017262438799</v>
      </c>
      <c r="O5173">
        <v>63.417700663607903</v>
      </c>
      <c r="P5173">
        <v>0.46617551340216401</v>
      </c>
      <c r="Q5173">
        <v>1.5</v>
      </c>
      <c r="R5173">
        <v>0.43746701257906401</v>
      </c>
      <c r="S5173" t="s">
        <v>11843</v>
      </c>
      <c r="T5173" t="s">
        <v>13338</v>
      </c>
      <c r="U5173" t="s">
        <v>13338</v>
      </c>
      <c r="V5173" t="s">
        <v>13338</v>
      </c>
      <c r="W5173" t="s">
        <v>18455</v>
      </c>
      <c r="X5173">
        <v>1</v>
      </c>
      <c r="Y5173" t="s">
        <v>24951</v>
      </c>
      <c r="Z5173" t="s">
        <v>31588</v>
      </c>
      <c r="AA5173">
        <v>1.1095674971215539</v>
      </c>
      <c r="AB5173" t="str">
        <f>HYPERLINK("Melting_Curves/meltCurve_Q96N46_TTC14.pdf", "Melting_Curves/meltCurve_Q96N46_TTC14.pdf")</f>
        <v>Melting_Curves/meltCurve_Q96N46_TTC14.pdf</v>
      </c>
    </row>
    <row r="5174" spans="1:28" x14ac:dyDescent="0.25">
      <c r="A5174" t="s">
        <v>5178</v>
      </c>
      <c r="B5174">
        <v>0.99193492352474899</v>
      </c>
      <c r="C5174">
        <v>1.06184862518064</v>
      </c>
      <c r="D5174">
        <v>1.2403027264508</v>
      </c>
      <c r="E5174">
        <v>1.0696686693756701</v>
      </c>
      <c r="F5174">
        <v>0.97975638849836499</v>
      </c>
      <c r="G5174">
        <v>0.76965057123474401</v>
      </c>
      <c r="H5174">
        <v>0.49390947266271201</v>
      </c>
      <c r="I5174">
        <v>0.28552468675736598</v>
      </c>
      <c r="J5174">
        <v>0.20122029680834599</v>
      </c>
      <c r="K5174">
        <v>0.20477504068243399</v>
      </c>
      <c r="L5174">
        <v>1489.59704477439</v>
      </c>
      <c r="M5174">
        <v>25.078026036591599</v>
      </c>
      <c r="N5174">
        <v>60.431584983907399</v>
      </c>
      <c r="O5174">
        <v>59.024689159840698</v>
      </c>
      <c r="P5174">
        <v>-8.7702885770219993E-2</v>
      </c>
      <c r="Q5174">
        <v>0.174326615167395</v>
      </c>
      <c r="R5174">
        <v>0.95090856396692403</v>
      </c>
      <c r="S5174" t="s">
        <v>11844</v>
      </c>
      <c r="T5174" t="s">
        <v>13338</v>
      </c>
      <c r="U5174" t="s">
        <v>13338</v>
      </c>
      <c r="V5174" t="s">
        <v>13338</v>
      </c>
      <c r="W5174" t="s">
        <v>18456</v>
      </c>
      <c r="X5174">
        <v>6</v>
      </c>
      <c r="Y5174" t="s">
        <v>24952</v>
      </c>
      <c r="Z5174" t="s">
        <v>31589</v>
      </c>
      <c r="AA5174">
        <v>0.71474072234565633</v>
      </c>
      <c r="AB5174" t="str">
        <f>HYPERLINK("Melting_Curves/meltCurve_Q96N66_2_MBOAT7.pdf", "Melting_Curves/meltCurve_Q96N66_2_MBOAT7.pdf")</f>
        <v>Melting_Curves/meltCurve_Q96N66_2_MBOAT7.pdf</v>
      </c>
    </row>
    <row r="5175" spans="1:28" x14ac:dyDescent="0.25">
      <c r="A5175" t="s">
        <v>5179</v>
      </c>
      <c r="B5175">
        <v>0.99193492352474899</v>
      </c>
      <c r="C5175">
        <v>0.74523209076449803</v>
      </c>
      <c r="D5175">
        <v>0.75132494204213696</v>
      </c>
      <c r="E5175">
        <v>0.31150964918158103</v>
      </c>
      <c r="F5175">
        <v>0.188602518232035</v>
      </c>
      <c r="G5175">
        <v>0.126395779873437</v>
      </c>
      <c r="H5175">
        <v>9.1943719137736898E-2</v>
      </c>
      <c r="I5175">
        <v>0.10558143478301001</v>
      </c>
      <c r="J5175">
        <v>0.111982535215896</v>
      </c>
      <c r="K5175">
        <v>0.152962372933687</v>
      </c>
      <c r="L5175">
        <v>855.11058964982999</v>
      </c>
      <c r="M5175">
        <v>18.1641308648686</v>
      </c>
      <c r="N5175">
        <v>47.670025235577697</v>
      </c>
      <c r="O5175">
        <v>46.517409219853398</v>
      </c>
      <c r="P5175">
        <v>-8.7750401634385605E-2</v>
      </c>
      <c r="Q5175">
        <v>0.101145646349228</v>
      </c>
      <c r="R5175">
        <v>0.96809188588572104</v>
      </c>
      <c r="S5175" t="s">
        <v>11845</v>
      </c>
      <c r="T5175" t="s">
        <v>13338</v>
      </c>
      <c r="U5175" t="s">
        <v>13338</v>
      </c>
      <c r="V5175" t="s">
        <v>13338</v>
      </c>
      <c r="W5175" t="s">
        <v>18457</v>
      </c>
      <c r="X5175">
        <v>13</v>
      </c>
      <c r="Y5175" t="s">
        <v>24953</v>
      </c>
      <c r="Z5175" t="s">
        <v>31590</v>
      </c>
      <c r="AA5175">
        <v>0.32938119132205018</v>
      </c>
      <c r="AB5175" t="str">
        <f>HYPERLINK("Melting_Curves/meltCurve_Q96N67_4_DOCK7.pdf", "Melting_Curves/meltCurve_Q96N67_4_DOCK7.pdf")</f>
        <v>Melting_Curves/meltCurve_Q96N67_4_DOCK7.pdf</v>
      </c>
    </row>
    <row r="5176" spans="1:28" x14ac:dyDescent="0.25">
      <c r="A5176" t="s">
        <v>5180</v>
      </c>
      <c r="B5176">
        <v>0.99193492352474899</v>
      </c>
      <c r="C5176">
        <v>0.88543751108866797</v>
      </c>
      <c r="D5176">
        <v>0.78267273186428998</v>
      </c>
      <c r="E5176">
        <v>0.60782361748373004</v>
      </c>
      <c r="F5176">
        <v>0.28659921564199797</v>
      </c>
      <c r="G5176">
        <v>0.149415058179592</v>
      </c>
      <c r="H5176">
        <v>9.3134621642463694E-2</v>
      </c>
      <c r="I5176">
        <v>6.0383175628988102E-2</v>
      </c>
      <c r="J5176">
        <v>9.3628645885091996E-2</v>
      </c>
      <c r="K5176">
        <v>4.3675062730355797E-2</v>
      </c>
      <c r="L5176">
        <v>765.95336008312097</v>
      </c>
      <c r="M5176">
        <v>15.3031960904329</v>
      </c>
      <c r="N5176">
        <v>50.3021781771523</v>
      </c>
      <c r="O5176">
        <v>49.220521410513598</v>
      </c>
      <c r="P5176">
        <v>-7.4884950413393797E-2</v>
      </c>
      <c r="Q5176">
        <v>3.66634742341393E-2</v>
      </c>
      <c r="R5176">
        <v>0.99343549185288305</v>
      </c>
      <c r="S5176" t="s">
        <v>11846</v>
      </c>
      <c r="T5176" t="s">
        <v>13338</v>
      </c>
      <c r="U5176" t="s">
        <v>13338</v>
      </c>
      <c r="V5176" t="s">
        <v>13338</v>
      </c>
      <c r="W5176" t="s">
        <v>18458</v>
      </c>
      <c r="X5176">
        <v>3</v>
      </c>
      <c r="Y5176" t="s">
        <v>24954</v>
      </c>
      <c r="Z5176" t="s">
        <v>31591</v>
      </c>
      <c r="AA5176">
        <v>0.38157481335009258</v>
      </c>
      <c r="AB5176" t="str">
        <f>HYPERLINK("Melting_Curves/meltCurve_Q96NB1_FOPNL.pdf", "Melting_Curves/meltCurve_Q96NB1_FOPNL.pdf")</f>
        <v>Melting_Curves/meltCurve_Q96NB1_FOPNL.pdf</v>
      </c>
    </row>
    <row r="5177" spans="1:28" x14ac:dyDescent="0.25">
      <c r="A5177" t="s">
        <v>5181</v>
      </c>
      <c r="B5177">
        <v>0.99193492352474899</v>
      </c>
      <c r="C5177">
        <v>1.21039233772173</v>
      </c>
      <c r="D5177">
        <v>1.15280747265161</v>
      </c>
      <c r="E5177">
        <v>1.0455825355535</v>
      </c>
      <c r="F5177">
        <v>0.409864665725924</v>
      </c>
      <c r="G5177">
        <v>0.173640934675273</v>
      </c>
      <c r="H5177">
        <v>0.123062379447558</v>
      </c>
      <c r="I5177">
        <v>0.112722420905915</v>
      </c>
      <c r="J5177">
        <v>0.14932748454359501</v>
      </c>
      <c r="K5177">
        <v>0.13091677423394399</v>
      </c>
      <c r="L5177">
        <v>11193.069177351499</v>
      </c>
      <c r="M5177">
        <v>211.17084061263299</v>
      </c>
      <c r="N5177">
        <v>53.085948421778802</v>
      </c>
      <c r="O5177">
        <v>53.000059043300098</v>
      </c>
      <c r="P5177">
        <v>-0.85869368813795299</v>
      </c>
      <c r="Q5177">
        <v>0.13793383645868401</v>
      </c>
      <c r="R5177">
        <v>0.96586596493263499</v>
      </c>
      <c r="S5177" t="s">
        <v>11847</v>
      </c>
      <c r="T5177" t="s">
        <v>13338</v>
      </c>
      <c r="U5177" t="s">
        <v>13338</v>
      </c>
      <c r="V5177" t="s">
        <v>13338</v>
      </c>
      <c r="W5177" t="s">
        <v>18459</v>
      </c>
      <c r="X5177">
        <v>2</v>
      </c>
      <c r="Y5177" t="s">
        <v>24955</v>
      </c>
      <c r="Z5177" t="s">
        <v>31592</v>
      </c>
      <c r="AA5177">
        <v>0.51174631147887528</v>
      </c>
      <c r="AB5177" t="str">
        <f>HYPERLINK("Melting_Curves/meltCurve_Q96NB2_SFXN2.pdf", "Melting_Curves/meltCurve_Q96NB2_SFXN2.pdf")</f>
        <v>Melting_Curves/meltCurve_Q96NB2_SFXN2.pdf</v>
      </c>
    </row>
    <row r="5178" spans="1:28" x14ac:dyDescent="0.25">
      <c r="A5178" t="s">
        <v>5182</v>
      </c>
      <c r="B5178">
        <v>0.99193492352474899</v>
      </c>
      <c r="C5178">
        <v>0.77328875808747699</v>
      </c>
      <c r="D5178">
        <v>0.88649354194172802</v>
      </c>
      <c r="E5178">
        <v>0.72848310232754798</v>
      </c>
      <c r="F5178">
        <v>0.69350973232082103</v>
      </c>
      <c r="G5178">
        <v>0.51861587242642204</v>
      </c>
      <c r="H5178">
        <v>0.452734968929906</v>
      </c>
      <c r="I5178">
        <v>0.50490147959313403</v>
      </c>
      <c r="J5178">
        <v>0.61213415093402401</v>
      </c>
      <c r="K5178">
        <v>0.76769225110914796</v>
      </c>
      <c r="L5178">
        <v>609.68905040700804</v>
      </c>
      <c r="M5178">
        <v>13.0622724111461</v>
      </c>
      <c r="O5178">
        <v>45.622252536436399</v>
      </c>
      <c r="P5178">
        <v>-3.0729530176392999E-2</v>
      </c>
      <c r="Q5178">
        <v>0.57076157353014001</v>
      </c>
      <c r="R5178">
        <v>0.64079294611091797</v>
      </c>
      <c r="S5178" t="s">
        <v>11848</v>
      </c>
      <c r="T5178" t="s">
        <v>13338</v>
      </c>
      <c r="U5178" t="s">
        <v>13338</v>
      </c>
      <c r="V5178" t="s">
        <v>13338</v>
      </c>
      <c r="W5178" t="s">
        <v>18460</v>
      </c>
      <c r="X5178">
        <v>16</v>
      </c>
      <c r="Y5178" t="s">
        <v>24956</v>
      </c>
      <c r="Z5178" t="s">
        <v>31593</v>
      </c>
      <c r="AA5178">
        <v>0.68200867444970492</v>
      </c>
      <c r="AB5178" t="str">
        <f>HYPERLINK("Melting_Curves/meltCurve_Q96NB3_ZNF830.pdf", "Melting_Curves/meltCurve_Q96NB3_ZNF830.pdf")</f>
        <v>Melting_Curves/meltCurve_Q96NB3_ZNF830.pdf</v>
      </c>
    </row>
    <row r="5179" spans="1:28" x14ac:dyDescent="0.25">
      <c r="A5179" t="s">
        <v>5183</v>
      </c>
      <c r="B5179">
        <v>0.99193492352474899</v>
      </c>
      <c r="C5179">
        <v>0.91885320213889798</v>
      </c>
      <c r="D5179">
        <v>0.84825028460584595</v>
      </c>
      <c r="E5179">
        <v>0.92963348572344195</v>
      </c>
      <c r="F5179">
        <v>0.59499001201545398</v>
      </c>
      <c r="G5179">
        <v>0.41554875442779998</v>
      </c>
      <c r="H5179">
        <v>0.41429232047289699</v>
      </c>
      <c r="I5179">
        <v>0.56320984709132405</v>
      </c>
      <c r="J5179">
        <v>0.63473396368847501</v>
      </c>
      <c r="K5179">
        <v>0.85446295004290096</v>
      </c>
      <c r="L5179">
        <v>3500.80104778641</v>
      </c>
      <c r="M5179">
        <v>68.988932373370005</v>
      </c>
      <c r="O5179">
        <v>50.701802732825797</v>
      </c>
      <c r="P5179">
        <v>-0.14399029020437501</v>
      </c>
      <c r="Q5179">
        <v>0.57671094220155505</v>
      </c>
      <c r="R5179">
        <v>0.61757392335372596</v>
      </c>
      <c r="S5179" t="s">
        <v>11849</v>
      </c>
      <c r="T5179" t="s">
        <v>13338</v>
      </c>
      <c r="U5179" t="s">
        <v>13338</v>
      </c>
      <c r="V5179" t="s">
        <v>13338</v>
      </c>
      <c r="W5179" t="s">
        <v>18461</v>
      </c>
      <c r="X5179">
        <v>11</v>
      </c>
      <c r="Y5179" t="s">
        <v>24957</v>
      </c>
      <c r="Z5179" t="s">
        <v>31594</v>
      </c>
      <c r="AA5179">
        <v>0.72880666972800379</v>
      </c>
      <c r="AB5179" t="str">
        <f>HYPERLINK("Melting_Curves/meltCurve_Q96NC0_ZMAT2.pdf", "Melting_Curves/meltCurve_Q96NC0_ZMAT2.pdf")</f>
        <v>Melting_Curves/meltCurve_Q96NC0_ZMAT2.pdf</v>
      </c>
    </row>
    <row r="5180" spans="1:28" x14ac:dyDescent="0.25">
      <c r="A5180" t="s">
        <v>5184</v>
      </c>
      <c r="B5180">
        <v>0.99193492352474899</v>
      </c>
      <c r="C5180">
        <v>1.08921236062959</v>
      </c>
      <c r="D5180">
        <v>0.93838710271144299</v>
      </c>
      <c r="E5180">
        <v>0.81628383346540001</v>
      </c>
      <c r="F5180">
        <v>0.53853727073360402</v>
      </c>
      <c r="G5180">
        <v>0.363205388996792</v>
      </c>
      <c r="H5180">
        <v>0.193210962343867</v>
      </c>
      <c r="I5180">
        <v>0.189037968475365</v>
      </c>
      <c r="J5180">
        <v>0.21259477167170099</v>
      </c>
      <c r="K5180">
        <v>0.26161040683285403</v>
      </c>
      <c r="L5180">
        <v>1138.2594897778699</v>
      </c>
      <c r="M5180">
        <v>21.711065295966598</v>
      </c>
      <c r="N5180">
        <v>53.733854875814401</v>
      </c>
      <c r="O5180">
        <v>51.988939740927698</v>
      </c>
      <c r="P5180">
        <v>-8.2997240955566903E-2</v>
      </c>
      <c r="Q5180">
        <v>0.205044051023866</v>
      </c>
      <c r="R5180">
        <v>0.98563258877289495</v>
      </c>
      <c r="S5180" t="s">
        <v>11850</v>
      </c>
      <c r="T5180" t="s">
        <v>13338</v>
      </c>
      <c r="U5180" t="s">
        <v>13338</v>
      </c>
      <c r="V5180" t="s">
        <v>13338</v>
      </c>
      <c r="W5180" t="s">
        <v>18462</v>
      </c>
      <c r="X5180">
        <v>3</v>
      </c>
      <c r="Y5180" t="s">
        <v>24958</v>
      </c>
      <c r="Z5180" t="s">
        <v>31595</v>
      </c>
      <c r="AA5180">
        <v>0.54383638953182745</v>
      </c>
      <c r="AB5180" t="str">
        <f>HYPERLINK("Melting_Curves/meltCurve_Q96NT0_CCDC115.pdf", "Melting_Curves/meltCurve_Q96NT0_CCDC115.pdf")</f>
        <v>Melting_Curves/meltCurve_Q96NT0_CCDC115.pdf</v>
      </c>
    </row>
    <row r="5181" spans="1:28" x14ac:dyDescent="0.25">
      <c r="A5181" t="s">
        <v>5185</v>
      </c>
      <c r="B5181">
        <v>0.99193492352474899</v>
      </c>
      <c r="C5181">
        <v>1.16207933252374</v>
      </c>
      <c r="D5181">
        <v>0.48734834688037099</v>
      </c>
      <c r="E5181">
        <v>0.81970753008421804</v>
      </c>
      <c r="F5181">
        <v>0.44876608157317199</v>
      </c>
      <c r="G5181">
        <v>0.45611791654977502</v>
      </c>
      <c r="H5181">
        <v>0.42290972226805001</v>
      </c>
      <c r="I5181">
        <v>0.42991435337760397</v>
      </c>
      <c r="J5181">
        <v>0.28726840534283499</v>
      </c>
      <c r="K5181">
        <v>1.3947789274995901</v>
      </c>
      <c r="L5181">
        <v>11109.6441185003</v>
      </c>
      <c r="M5181">
        <v>250</v>
      </c>
      <c r="O5181">
        <v>44.435732680121802</v>
      </c>
      <c r="P5181">
        <v>-0.57196895524965796</v>
      </c>
      <c r="Q5181">
        <v>0.59334624674716796</v>
      </c>
      <c r="R5181">
        <v>0.28251531110182099</v>
      </c>
      <c r="S5181" t="s">
        <v>11851</v>
      </c>
      <c r="T5181" t="s">
        <v>13338</v>
      </c>
      <c r="U5181" t="s">
        <v>13338</v>
      </c>
      <c r="V5181" t="s">
        <v>13338</v>
      </c>
      <c r="W5181" t="s">
        <v>18463</v>
      </c>
      <c r="X5181">
        <v>2</v>
      </c>
      <c r="Y5181" t="s">
        <v>24959</v>
      </c>
      <c r="Z5181" t="s">
        <v>31596</v>
      </c>
      <c r="AA5181">
        <v>0.65354342067924753</v>
      </c>
      <c r="AB5181" t="str">
        <f>HYPERLINK("Melting_Curves/meltCurve_Q96NT1_NAP1L5.pdf", "Melting_Curves/meltCurve_Q96NT1_NAP1L5.pdf")</f>
        <v>Melting_Curves/meltCurve_Q96NT1_NAP1L5.pdf</v>
      </c>
    </row>
    <row r="5182" spans="1:28" x14ac:dyDescent="0.25">
      <c r="A5182" t="s">
        <v>5186</v>
      </c>
      <c r="B5182">
        <v>0.99193492352474899</v>
      </c>
      <c r="C5182">
        <v>0.440560653508142</v>
      </c>
      <c r="D5182">
        <v>0.492235545641931</v>
      </c>
      <c r="E5182">
        <v>0.21792913115988699</v>
      </c>
      <c r="F5182">
        <v>0.15875435649581199</v>
      </c>
      <c r="G5182">
        <v>9.2950240168121007E-2</v>
      </c>
      <c r="H5182">
        <v>6.2452577983915999E-2</v>
      </c>
      <c r="I5182">
        <v>7.3269042462138695E-2</v>
      </c>
      <c r="J5182">
        <v>8.7073486546429005E-2</v>
      </c>
      <c r="K5182">
        <v>9.3593058316168098E-2</v>
      </c>
      <c r="L5182">
        <v>682.44702490973498</v>
      </c>
      <c r="M5182">
        <v>15.5086300970175</v>
      </c>
      <c r="N5182">
        <v>44.498441920295903</v>
      </c>
      <c r="O5182">
        <v>43.292170689707497</v>
      </c>
      <c r="P5182">
        <v>-8.2481818298334994E-2</v>
      </c>
      <c r="Q5182">
        <v>7.9093275515928999E-2</v>
      </c>
      <c r="R5182">
        <v>0.90974547544806095</v>
      </c>
      <c r="S5182" t="s">
        <v>11852</v>
      </c>
      <c r="T5182" t="s">
        <v>13338</v>
      </c>
      <c r="U5182" t="s">
        <v>13338</v>
      </c>
      <c r="V5182" t="s">
        <v>13338</v>
      </c>
      <c r="W5182" t="s">
        <v>18464</v>
      </c>
      <c r="X5182">
        <v>14</v>
      </c>
      <c r="Y5182" t="s">
        <v>24960</v>
      </c>
      <c r="Z5182" t="s">
        <v>31597</v>
      </c>
      <c r="AA5182">
        <v>0.23319395105605481</v>
      </c>
      <c r="AB5182" t="str">
        <f>HYPERLINK("Melting_Curves/meltCurve_Q96P11_2_NSUN5.pdf", "Melting_Curves/meltCurve_Q96P11_2_NSUN5.pdf")</f>
        <v>Melting_Curves/meltCurve_Q96P11_2_NSUN5.pdf</v>
      </c>
    </row>
    <row r="5183" spans="1:28" x14ac:dyDescent="0.25">
      <c r="A5183" t="s">
        <v>5187</v>
      </c>
      <c r="B5183">
        <v>0.99193492352474899</v>
      </c>
      <c r="C5183">
        <v>0.731484735593946</v>
      </c>
      <c r="D5183">
        <v>0.725383239511457</v>
      </c>
      <c r="E5183">
        <v>0.22838704092079101</v>
      </c>
      <c r="F5183">
        <v>0.146918502618993</v>
      </c>
      <c r="G5183">
        <v>7.3065103809929199E-2</v>
      </c>
      <c r="H5183">
        <v>5.9661261064130403E-2</v>
      </c>
      <c r="I5183">
        <v>5.7699947728864498E-2</v>
      </c>
      <c r="J5183">
        <v>7.2251714091768393E-2</v>
      </c>
      <c r="K5183">
        <v>6.5181204718433694E-2</v>
      </c>
      <c r="L5183">
        <v>877.85416878697595</v>
      </c>
      <c r="M5183">
        <v>18.734595158962598</v>
      </c>
      <c r="N5183">
        <v>47.125119909488902</v>
      </c>
      <c r="O5183">
        <v>46.333302776802498</v>
      </c>
      <c r="P5183">
        <v>-9.5986796721261106E-2</v>
      </c>
      <c r="Q5183">
        <v>5.0484330721601398E-2</v>
      </c>
      <c r="R5183">
        <v>0.96847522010621701</v>
      </c>
      <c r="S5183" t="s">
        <v>11853</v>
      </c>
      <c r="T5183" t="s">
        <v>13338</v>
      </c>
      <c r="U5183" t="s">
        <v>13338</v>
      </c>
      <c r="V5183" t="s">
        <v>13338</v>
      </c>
      <c r="W5183" t="s">
        <v>18465</v>
      </c>
      <c r="X5183">
        <v>8</v>
      </c>
      <c r="Y5183" t="s">
        <v>24961</v>
      </c>
      <c r="Z5183" t="s">
        <v>31598</v>
      </c>
      <c r="AA5183">
        <v>0.28368583643681988</v>
      </c>
      <c r="AB5183" t="str">
        <f>HYPERLINK("Melting_Curves/meltCurve_Q96P16_RPRD1A.pdf", "Melting_Curves/meltCurve_Q96P16_RPRD1A.pdf")</f>
        <v>Melting_Curves/meltCurve_Q96P16_RPRD1A.pdf</v>
      </c>
    </row>
    <row r="5184" spans="1:28" x14ac:dyDescent="0.25">
      <c r="A5184" t="s">
        <v>5188</v>
      </c>
      <c r="B5184">
        <v>0.99193492352474899</v>
      </c>
      <c r="C5184">
        <v>0.956366723190197</v>
      </c>
      <c r="D5184">
        <v>0.92576479514881005</v>
      </c>
      <c r="E5184">
        <v>0.49843300079459202</v>
      </c>
      <c r="F5184">
        <v>0.246488222547744</v>
      </c>
      <c r="G5184">
        <v>0.105303637054406</v>
      </c>
      <c r="H5184">
        <v>7.1674860828826598E-2</v>
      </c>
      <c r="I5184">
        <v>8.4550153215093002E-2</v>
      </c>
      <c r="J5184">
        <v>9.6995461647311099E-2</v>
      </c>
      <c r="K5184">
        <v>9.87786129611751E-2</v>
      </c>
      <c r="L5184">
        <v>1312.7313224137099</v>
      </c>
      <c r="M5184">
        <v>26.5443359107799</v>
      </c>
      <c r="N5184">
        <v>49.817969148070397</v>
      </c>
      <c r="O5184">
        <v>49.1761688123634</v>
      </c>
      <c r="P5184">
        <v>-0.123060811218453</v>
      </c>
      <c r="Q5184">
        <v>8.8077379858566202E-2</v>
      </c>
      <c r="R5184">
        <v>0.99652561399735096</v>
      </c>
      <c r="S5184" t="s">
        <v>11854</v>
      </c>
      <c r="T5184" t="s">
        <v>13338</v>
      </c>
      <c r="U5184" t="s">
        <v>13338</v>
      </c>
      <c r="V5184" t="s">
        <v>13338</v>
      </c>
      <c r="W5184" t="s">
        <v>18466</v>
      </c>
      <c r="X5184">
        <v>13</v>
      </c>
      <c r="Y5184" t="s">
        <v>24962</v>
      </c>
      <c r="Z5184" t="s">
        <v>31599</v>
      </c>
      <c r="AA5184">
        <v>0.38263968396906628</v>
      </c>
      <c r="AB5184" t="str">
        <f>HYPERLINK("Melting_Curves/meltCurve_Q96P70_IPO9.pdf", "Melting_Curves/meltCurve_Q96P70_IPO9.pdf")</f>
        <v>Melting_Curves/meltCurve_Q96P70_IPO9.pdf</v>
      </c>
    </row>
    <row r="5185" spans="1:28" x14ac:dyDescent="0.25">
      <c r="A5185" t="s">
        <v>5189</v>
      </c>
      <c r="B5185">
        <v>0.99193492352474899</v>
      </c>
      <c r="C5185">
        <v>1.32633266835682</v>
      </c>
      <c r="D5185">
        <v>0.737758229020686</v>
      </c>
      <c r="E5185">
        <v>0.529922290637869</v>
      </c>
      <c r="F5185">
        <v>0.49167944707537797</v>
      </c>
      <c r="G5185">
        <v>0.43470706170595302</v>
      </c>
      <c r="H5185">
        <v>0.12866626792596</v>
      </c>
      <c r="I5185">
        <v>0.24413399012408801</v>
      </c>
      <c r="J5185">
        <v>0.32263405766916697</v>
      </c>
      <c r="K5185">
        <v>0.32592170049764801</v>
      </c>
      <c r="L5185">
        <v>1096.93332782474</v>
      </c>
      <c r="M5185">
        <v>22.5293606304359</v>
      </c>
      <c r="N5185">
        <v>50.686809751118197</v>
      </c>
      <c r="O5185">
        <v>48.310324566986701</v>
      </c>
      <c r="P5185">
        <v>-8.2282435788224695E-2</v>
      </c>
      <c r="Q5185">
        <v>0.29425248646249202</v>
      </c>
      <c r="R5185">
        <v>0.83473026139281603</v>
      </c>
      <c r="S5185" t="s">
        <v>11855</v>
      </c>
      <c r="T5185" t="s">
        <v>13338</v>
      </c>
      <c r="U5185" t="s">
        <v>13338</v>
      </c>
      <c r="V5185" t="s">
        <v>13338</v>
      </c>
      <c r="W5185" t="s">
        <v>18467</v>
      </c>
      <c r="X5185">
        <v>2</v>
      </c>
      <c r="Y5185" t="s">
        <v>24963</v>
      </c>
      <c r="Z5185" t="s">
        <v>31600</v>
      </c>
      <c r="AA5185">
        <v>0.50641319146374131</v>
      </c>
      <c r="AB5185" t="str">
        <f>HYPERLINK("Melting_Curves/meltCurve_Q96PD2_DCBLD2.pdf", "Melting_Curves/meltCurve_Q96PD2_DCBLD2.pdf")</f>
        <v>Melting_Curves/meltCurve_Q96PD2_DCBLD2.pdf</v>
      </c>
    </row>
    <row r="5186" spans="1:28" x14ac:dyDescent="0.25">
      <c r="A5186" t="s">
        <v>5190</v>
      </c>
      <c r="B5186">
        <v>0.99193492352474899</v>
      </c>
      <c r="C5186">
        <v>0.95229680384881599</v>
      </c>
      <c r="D5186">
        <v>0.83205939883853097</v>
      </c>
      <c r="E5186">
        <v>0.90118049526169397</v>
      </c>
      <c r="F5186">
        <v>0.70987263239549703</v>
      </c>
      <c r="G5186">
        <v>0.61439079575224198</v>
      </c>
      <c r="H5186">
        <v>0.55936031368711903</v>
      </c>
      <c r="I5186">
        <v>0.51180616330356699</v>
      </c>
      <c r="J5186">
        <v>0.35867568565720198</v>
      </c>
      <c r="K5186">
        <v>0.29677440911772801</v>
      </c>
      <c r="L5186">
        <v>394.547575735799</v>
      </c>
      <c r="M5186">
        <v>6.3553626157859897</v>
      </c>
      <c r="N5186">
        <v>62.0810388961035</v>
      </c>
      <c r="O5186">
        <v>56.787207887952299</v>
      </c>
      <c r="P5186">
        <v>-2.8052556366711601E-2</v>
      </c>
      <c r="Q5186">
        <v>0</v>
      </c>
      <c r="R5186">
        <v>0.96691662595310401</v>
      </c>
      <c r="S5186" t="s">
        <v>11856</v>
      </c>
      <c r="T5186" t="s">
        <v>13338</v>
      </c>
      <c r="U5186" t="s">
        <v>13338</v>
      </c>
      <c r="V5186" t="s">
        <v>13338</v>
      </c>
      <c r="W5186" t="s">
        <v>18468</v>
      </c>
      <c r="X5186">
        <v>5</v>
      </c>
      <c r="Y5186" t="s">
        <v>24964</v>
      </c>
      <c r="Z5186" t="s">
        <v>31601</v>
      </c>
      <c r="AA5186">
        <v>0.67870750997524687</v>
      </c>
      <c r="AB5186" t="str">
        <f>HYPERLINK("Melting_Curves/meltCurve_Q96PE7_MCEE.pdf", "Melting_Curves/meltCurve_Q96PE7_MCEE.pdf")</f>
        <v>Melting_Curves/meltCurve_Q96PE7_MCEE.pdf</v>
      </c>
    </row>
    <row r="5187" spans="1:28" x14ac:dyDescent="0.25">
      <c r="A5187" t="s">
        <v>5191</v>
      </c>
      <c r="B5187">
        <v>0.99193492352474899</v>
      </c>
      <c r="C5187">
        <v>0.41244944774528602</v>
      </c>
      <c r="D5187">
        <v>0.35243655491049702</v>
      </c>
      <c r="E5187">
        <v>0.18386639064411101</v>
      </c>
      <c r="F5187">
        <v>0.12365243777635</v>
      </c>
      <c r="G5187">
        <v>7.7525894719909699E-2</v>
      </c>
      <c r="H5187">
        <v>0.100616656774448</v>
      </c>
      <c r="I5187">
        <v>0.21305457439151801</v>
      </c>
      <c r="J5187">
        <v>0.32497550904810202</v>
      </c>
      <c r="K5187">
        <v>0.42087534694337198</v>
      </c>
      <c r="L5187">
        <v>2609.5602086858298</v>
      </c>
      <c r="M5187">
        <v>61.914605439848501</v>
      </c>
      <c r="N5187">
        <v>42.554689242686301</v>
      </c>
      <c r="O5187">
        <v>42.103840531974697</v>
      </c>
      <c r="P5187">
        <v>-0.285495533525153</v>
      </c>
      <c r="Q5187">
        <v>0.22341743051092999</v>
      </c>
      <c r="R5187">
        <v>0.82488440129892904</v>
      </c>
      <c r="S5187" t="s">
        <v>11857</v>
      </c>
      <c r="T5187" t="s">
        <v>13338</v>
      </c>
      <c r="U5187" t="s">
        <v>13338</v>
      </c>
      <c r="V5187" t="s">
        <v>13338</v>
      </c>
      <c r="W5187" t="s">
        <v>18469</v>
      </c>
      <c r="X5187">
        <v>9</v>
      </c>
      <c r="Y5187" t="s">
        <v>24965</v>
      </c>
      <c r="Z5187" t="s">
        <v>31602</v>
      </c>
      <c r="AA5187">
        <v>0.2804981897488476</v>
      </c>
      <c r="AB5187" t="str">
        <f>HYPERLINK("Melting_Curves/meltCurve_Q96PK6_RBM14.pdf", "Melting_Curves/meltCurve_Q96PK6_RBM14.pdf")</f>
        <v>Melting_Curves/meltCurve_Q96PK6_RBM14.pdf</v>
      </c>
    </row>
    <row r="5188" spans="1:28" x14ac:dyDescent="0.25">
      <c r="A5188" t="s">
        <v>5192</v>
      </c>
      <c r="B5188">
        <v>0.99193492352474899</v>
      </c>
      <c r="C5188">
        <v>1.04592966357106</v>
      </c>
      <c r="D5188">
        <v>0.76959591247317605</v>
      </c>
      <c r="E5188">
        <v>0.69549284382884702</v>
      </c>
      <c r="F5188">
        <v>0.365220385737482</v>
      </c>
      <c r="G5188">
        <v>0.18089030131502701</v>
      </c>
      <c r="H5188">
        <v>0.12118540830638699</v>
      </c>
      <c r="I5188">
        <v>0.169223123644829</v>
      </c>
      <c r="J5188">
        <v>0.16986020544118699</v>
      </c>
      <c r="K5188">
        <v>0.27762986662075501</v>
      </c>
      <c r="L5188">
        <v>1026.1777912866</v>
      </c>
      <c r="M5188">
        <v>20.476116147933901</v>
      </c>
      <c r="N5188">
        <v>51.132822461683602</v>
      </c>
      <c r="O5188">
        <v>49.645184073182897</v>
      </c>
      <c r="P5188">
        <v>-8.5868144359711199E-2</v>
      </c>
      <c r="Q5188">
        <v>0.16726133546227501</v>
      </c>
      <c r="R5188">
        <v>0.96393305247612904</v>
      </c>
      <c r="S5188" t="s">
        <v>11858</v>
      </c>
      <c r="T5188" t="s">
        <v>13338</v>
      </c>
      <c r="U5188" t="s">
        <v>13338</v>
      </c>
      <c r="V5188" t="s">
        <v>13338</v>
      </c>
      <c r="W5188" t="s">
        <v>18470</v>
      </c>
      <c r="X5188">
        <v>9</v>
      </c>
      <c r="Y5188" t="s">
        <v>24966</v>
      </c>
      <c r="Z5188" t="s">
        <v>31603</v>
      </c>
      <c r="AA5188">
        <v>0.45912563076026081</v>
      </c>
      <c r="AB5188" t="str">
        <f>HYPERLINK("Melting_Curves/meltCurve_Q96PM5_RCHY1.pdf", "Melting_Curves/meltCurve_Q96PM5_RCHY1.pdf")</f>
        <v>Melting_Curves/meltCurve_Q96PM5_RCHY1.pdf</v>
      </c>
    </row>
    <row r="5189" spans="1:28" x14ac:dyDescent="0.25">
      <c r="A5189" t="s">
        <v>5193</v>
      </c>
      <c r="B5189">
        <v>0.99193492352474899</v>
      </c>
      <c r="C5189">
        <v>0.80627855028289297</v>
      </c>
      <c r="D5189">
        <v>0.47965003596276601</v>
      </c>
      <c r="E5189">
        <v>0.24041386778461199</v>
      </c>
      <c r="F5189">
        <v>0.14742096906074101</v>
      </c>
      <c r="G5189">
        <v>7.5694344533640906E-2</v>
      </c>
      <c r="H5189">
        <v>6.2674031166477601E-2</v>
      </c>
      <c r="I5189">
        <v>8.27628667561007E-2</v>
      </c>
      <c r="J5189">
        <v>8.6205703702613101E-2</v>
      </c>
      <c r="K5189">
        <v>0.12912380189672801</v>
      </c>
      <c r="L5189">
        <v>988.88041610866799</v>
      </c>
      <c r="M5189">
        <v>21.717462061789899</v>
      </c>
      <c r="N5189">
        <v>45.950098315545702</v>
      </c>
      <c r="O5189">
        <v>45.153088487274097</v>
      </c>
      <c r="P5189">
        <v>-0.10950979017050699</v>
      </c>
      <c r="Q5189">
        <v>8.9287881058676896E-2</v>
      </c>
      <c r="R5189">
        <v>0.994641736467201</v>
      </c>
      <c r="S5189" t="s">
        <v>11859</v>
      </c>
      <c r="T5189" t="s">
        <v>13338</v>
      </c>
      <c r="U5189" t="s">
        <v>13338</v>
      </c>
      <c r="V5189" t="s">
        <v>13338</v>
      </c>
      <c r="W5189" t="s">
        <v>18471</v>
      </c>
      <c r="X5189">
        <v>1</v>
      </c>
      <c r="Y5189" t="s">
        <v>24967</v>
      </c>
      <c r="Z5189" t="s">
        <v>31604</v>
      </c>
      <c r="AA5189">
        <v>0.26933797904709927</v>
      </c>
      <c r="AB5189" t="str">
        <f>HYPERLINK("Melting_Curves/meltCurve_Q96PU4_UHRF2.pdf", "Melting_Curves/meltCurve_Q96PU4_UHRF2.pdf")</f>
        <v>Melting_Curves/meltCurve_Q96PU4_UHRF2.pdf</v>
      </c>
    </row>
    <row r="5190" spans="1:28" x14ac:dyDescent="0.25">
      <c r="A5190" t="s">
        <v>5194</v>
      </c>
      <c r="B5190">
        <v>0.99193492352474899</v>
      </c>
      <c r="C5190">
        <v>0.91816432978621498</v>
      </c>
      <c r="D5190">
        <v>0.78348441237632205</v>
      </c>
      <c r="E5190">
        <v>0.262011069307654</v>
      </c>
      <c r="F5190">
        <v>0.185011542227493</v>
      </c>
      <c r="G5190">
        <v>8.3459176931707096E-2</v>
      </c>
      <c r="H5190">
        <v>5.3856844002539803E-2</v>
      </c>
      <c r="I5190">
        <v>7.5639390453423702E-2</v>
      </c>
      <c r="J5190">
        <v>5.5273765746642903E-2</v>
      </c>
      <c r="K5190">
        <v>6.9882496584524403E-2</v>
      </c>
      <c r="L5190">
        <v>1346.31416798189</v>
      </c>
      <c r="M5190">
        <v>28.2582183870325</v>
      </c>
      <c r="N5190">
        <v>47.910572230024499</v>
      </c>
      <c r="O5190">
        <v>47.406592691139302</v>
      </c>
      <c r="P5190">
        <v>-0.13815398232551801</v>
      </c>
      <c r="Q5190">
        <v>7.2927270006576797E-2</v>
      </c>
      <c r="R5190">
        <v>0.992964989979918</v>
      </c>
      <c r="S5190" t="s">
        <v>11860</v>
      </c>
      <c r="T5190" t="s">
        <v>13338</v>
      </c>
      <c r="U5190" t="s">
        <v>13338</v>
      </c>
      <c r="V5190" t="s">
        <v>13338</v>
      </c>
      <c r="W5190" t="s">
        <v>18472</v>
      </c>
      <c r="X5190">
        <v>6</v>
      </c>
      <c r="Y5190" t="s">
        <v>24968</v>
      </c>
      <c r="Z5190" t="s">
        <v>31605</v>
      </c>
      <c r="AA5190">
        <v>0.31543950262698389</v>
      </c>
      <c r="AB5190" t="str">
        <f>HYPERLINK("Melting_Curves/meltCurve_Q96PU5_2_NEDD4L.pdf", "Melting_Curves/meltCurve_Q96PU5_2_NEDD4L.pdf")</f>
        <v>Melting_Curves/meltCurve_Q96PU5_2_NEDD4L.pdf</v>
      </c>
    </row>
    <row r="5191" spans="1:28" x14ac:dyDescent="0.25">
      <c r="A5191" t="s">
        <v>5195</v>
      </c>
      <c r="B5191">
        <v>0.99193492352474899</v>
      </c>
      <c r="C5191">
        <v>0.71423938395313102</v>
      </c>
      <c r="D5191">
        <v>0.52796195601990104</v>
      </c>
      <c r="E5191">
        <v>0.26445758162892102</v>
      </c>
      <c r="F5191">
        <v>0.141261687486927</v>
      </c>
      <c r="G5191">
        <v>7.7476693785444001E-2</v>
      </c>
      <c r="H5191">
        <v>4.6392889508407899E-2</v>
      </c>
      <c r="I5191">
        <v>5.4510813529751602E-2</v>
      </c>
      <c r="J5191">
        <v>6.8827955128932305E-2</v>
      </c>
      <c r="K5191">
        <v>7.5559046401105501E-2</v>
      </c>
      <c r="L5191">
        <v>772.558924687022</v>
      </c>
      <c r="M5191">
        <v>16.868697262289398</v>
      </c>
      <c r="N5191">
        <v>46.110853860579802</v>
      </c>
      <c r="O5191">
        <v>45.169268529959801</v>
      </c>
      <c r="P5191">
        <v>-8.8326736250989302E-2</v>
      </c>
      <c r="Q5191">
        <v>5.4011148812935603E-2</v>
      </c>
      <c r="R5191">
        <v>0.99079164298054101</v>
      </c>
      <c r="S5191" t="s">
        <v>11861</v>
      </c>
      <c r="T5191" t="s">
        <v>13338</v>
      </c>
      <c r="U5191" t="s">
        <v>13338</v>
      </c>
      <c r="V5191" t="s">
        <v>13338</v>
      </c>
      <c r="W5191" t="s">
        <v>18473</v>
      </c>
      <c r="X5191">
        <v>5</v>
      </c>
      <c r="Y5191" t="s">
        <v>24969</v>
      </c>
      <c r="Z5191" t="s">
        <v>31606</v>
      </c>
      <c r="AA5191">
        <v>0.2586641106070548</v>
      </c>
      <c r="AB5191" t="str">
        <f>HYPERLINK("Melting_Curves/meltCurve_Q96PU8_9_QKI.pdf", "Melting_Curves/meltCurve_Q96PU8_9_QKI.pdf")</f>
        <v>Melting_Curves/meltCurve_Q96PU8_9_QKI.pdf</v>
      </c>
    </row>
    <row r="5192" spans="1:28" x14ac:dyDescent="0.25">
      <c r="A5192" t="s">
        <v>5196</v>
      </c>
      <c r="B5192">
        <v>0.99193492352474899</v>
      </c>
      <c r="C5192">
        <v>0.69615009321935095</v>
      </c>
      <c r="D5192">
        <v>0.71252203875459597</v>
      </c>
      <c r="E5192">
        <v>0.39310073894449299</v>
      </c>
      <c r="F5192">
        <v>0.28928043880045701</v>
      </c>
      <c r="G5192">
        <v>0.15604123622309299</v>
      </c>
      <c r="H5192">
        <v>0.11718074076865399</v>
      </c>
      <c r="I5192">
        <v>0.150747214271369</v>
      </c>
      <c r="J5192">
        <v>0.18608149486220499</v>
      </c>
      <c r="K5192">
        <v>0.184609484319251</v>
      </c>
      <c r="L5192">
        <v>663.42739747657595</v>
      </c>
      <c r="M5192">
        <v>14.1510613347823</v>
      </c>
      <c r="N5192">
        <v>47.959974157937999</v>
      </c>
      <c r="O5192">
        <v>45.975390622525701</v>
      </c>
      <c r="P5192">
        <v>-6.6473829204201904E-2</v>
      </c>
      <c r="Q5192">
        <v>0.136242272135849</v>
      </c>
      <c r="R5192">
        <v>0.95911490421212298</v>
      </c>
      <c r="S5192" t="s">
        <v>11862</v>
      </c>
      <c r="T5192" t="s">
        <v>13338</v>
      </c>
      <c r="U5192" t="s">
        <v>13338</v>
      </c>
      <c r="V5192" t="s">
        <v>13338</v>
      </c>
      <c r="W5192" t="s">
        <v>18474</v>
      </c>
      <c r="X5192">
        <v>1</v>
      </c>
      <c r="Y5192" t="s">
        <v>24970</v>
      </c>
      <c r="Z5192" t="s">
        <v>31607</v>
      </c>
      <c r="AA5192">
        <v>0.36101042885474482</v>
      </c>
      <c r="AB5192" t="str">
        <f>HYPERLINK("Melting_Curves/meltCurve_Q96PV6_2_LENG8.pdf", "Melting_Curves/meltCurve_Q96PV6_2_LENG8.pdf")</f>
        <v>Melting_Curves/meltCurve_Q96PV6_2_LENG8.pdf</v>
      </c>
    </row>
    <row r="5193" spans="1:28" x14ac:dyDescent="0.25">
      <c r="A5193" t="s">
        <v>5197</v>
      </c>
      <c r="B5193">
        <v>0.99193492352474899</v>
      </c>
      <c r="C5193">
        <v>0.76652319248406897</v>
      </c>
      <c r="D5193">
        <v>0.73532581993993595</v>
      </c>
      <c r="E5193">
        <v>0.47039620280523298</v>
      </c>
      <c r="F5193">
        <v>0.225254392707984</v>
      </c>
      <c r="G5193">
        <v>0.10522005982709901</v>
      </c>
      <c r="H5193">
        <v>6.1777345730985797E-2</v>
      </c>
      <c r="I5193">
        <v>6.8434913284184398E-2</v>
      </c>
      <c r="J5193">
        <v>8.1378527123862801E-2</v>
      </c>
      <c r="K5193">
        <v>0.10056672238964599</v>
      </c>
      <c r="L5193">
        <v>702.17931327135898</v>
      </c>
      <c r="M5193">
        <v>14.5303587140332</v>
      </c>
      <c r="N5193">
        <v>48.651192306288202</v>
      </c>
      <c r="O5193">
        <v>47.437334598519698</v>
      </c>
      <c r="P5193">
        <v>-7.3030758630345596E-2</v>
      </c>
      <c r="Q5193">
        <v>4.6413588533658297E-2</v>
      </c>
      <c r="R5193">
        <v>0.98195918943343496</v>
      </c>
      <c r="S5193" t="s">
        <v>11863</v>
      </c>
      <c r="T5193" t="s">
        <v>13338</v>
      </c>
      <c r="U5193" t="s">
        <v>13338</v>
      </c>
      <c r="V5193" t="s">
        <v>13338</v>
      </c>
      <c r="W5193" t="s">
        <v>18475</v>
      </c>
      <c r="X5193">
        <v>24</v>
      </c>
      <c r="Y5193" t="s">
        <v>24971</v>
      </c>
      <c r="Z5193" t="s">
        <v>31608</v>
      </c>
      <c r="AA5193">
        <v>0.33675060611508922</v>
      </c>
      <c r="AB5193" t="str">
        <f>HYPERLINK("Melting_Curves/meltCurve_Q96PZ0_PUS7.pdf", "Melting_Curves/meltCurve_Q96PZ0_PUS7.pdf")</f>
        <v>Melting_Curves/meltCurve_Q96PZ0_PUS7.pdf</v>
      </c>
    </row>
    <row r="5194" spans="1:28" x14ac:dyDescent="0.25">
      <c r="A5194" t="s">
        <v>5198</v>
      </c>
      <c r="B5194">
        <v>0.99193492352474899</v>
      </c>
      <c r="C5194">
        <v>0.47795770336590798</v>
      </c>
      <c r="D5194">
        <v>0.51909120206274295</v>
      </c>
      <c r="E5194">
        <v>0.389518692893702</v>
      </c>
      <c r="F5194">
        <v>0.20221194019816399</v>
      </c>
      <c r="G5194">
        <v>0.11709911051170301</v>
      </c>
      <c r="H5194">
        <v>5.6388061294169199E-2</v>
      </c>
      <c r="I5194">
        <v>0.13459275386282399</v>
      </c>
      <c r="J5194">
        <v>0.110800787691438</v>
      </c>
      <c r="K5194">
        <v>0.16357191195686299</v>
      </c>
      <c r="L5194">
        <v>568.24338070622696</v>
      </c>
      <c r="M5194">
        <v>12.7000141844451</v>
      </c>
      <c r="N5194">
        <v>45.555401494337701</v>
      </c>
      <c r="O5194">
        <v>43.677671996564399</v>
      </c>
      <c r="P5194">
        <v>-6.5342452576926294E-2</v>
      </c>
      <c r="Q5194">
        <v>0.101275298013613</v>
      </c>
      <c r="R5194">
        <v>0.89155556021334403</v>
      </c>
      <c r="S5194" t="s">
        <v>11864</v>
      </c>
      <c r="T5194" t="s">
        <v>13338</v>
      </c>
      <c r="U5194" t="s">
        <v>13338</v>
      </c>
      <c r="V5194" t="s">
        <v>13338</v>
      </c>
      <c r="W5194" t="s">
        <v>18476</v>
      </c>
      <c r="X5194">
        <v>1</v>
      </c>
      <c r="Y5194" t="s">
        <v>24972</v>
      </c>
      <c r="Z5194" t="s">
        <v>31609</v>
      </c>
      <c r="AA5194">
        <v>0.28481542287485812</v>
      </c>
      <c r="AB5194" t="str">
        <f>HYPERLINK("Melting_Curves/meltCurve_Q96PZ2_FAM111A.pdf", "Melting_Curves/meltCurve_Q96PZ2_FAM111A.pdf")</f>
        <v>Melting_Curves/meltCurve_Q96PZ2_FAM111A.pdf</v>
      </c>
    </row>
    <row r="5195" spans="1:28" x14ac:dyDescent="0.25">
      <c r="A5195" t="s">
        <v>5199</v>
      </c>
      <c r="B5195">
        <v>0.99193492352474899</v>
      </c>
      <c r="C5195">
        <v>0.93002456657288801</v>
      </c>
      <c r="D5195">
        <v>0.94957074801336405</v>
      </c>
      <c r="E5195">
        <v>0.686549514455711</v>
      </c>
      <c r="F5195">
        <v>0.38131195401689799</v>
      </c>
      <c r="G5195">
        <v>0.22103746807696301</v>
      </c>
      <c r="H5195">
        <v>0.138666274902016</v>
      </c>
      <c r="I5195">
        <v>0.168375742263221</v>
      </c>
      <c r="J5195">
        <v>0.203756370153308</v>
      </c>
      <c r="K5195">
        <v>0.213217083115842</v>
      </c>
      <c r="L5195">
        <v>1250.1978611408599</v>
      </c>
      <c r="M5195">
        <v>24.690020031024702</v>
      </c>
      <c r="N5195">
        <v>51.542817533050098</v>
      </c>
      <c r="O5195">
        <v>50.3070885198822</v>
      </c>
      <c r="P5195">
        <v>-0.10107813373369801</v>
      </c>
      <c r="Q5195">
        <v>0.17620564618198101</v>
      </c>
      <c r="R5195">
        <v>0.99243600098124696</v>
      </c>
      <c r="S5195" t="s">
        <v>11865</v>
      </c>
      <c r="T5195" t="s">
        <v>13338</v>
      </c>
      <c r="U5195" t="s">
        <v>13338</v>
      </c>
      <c r="V5195" t="s">
        <v>13338</v>
      </c>
      <c r="W5195" t="s">
        <v>18477</v>
      </c>
      <c r="X5195">
        <v>4</v>
      </c>
      <c r="Y5195" t="s">
        <v>24973</v>
      </c>
      <c r="Z5195" t="s">
        <v>31610</v>
      </c>
      <c r="AA5195">
        <v>0.47585966929329909</v>
      </c>
      <c r="AB5195" t="str">
        <f>HYPERLINK("Melting_Curves/meltCurve_Q96Q05_3_TRAPPC9.pdf", "Melting_Curves/meltCurve_Q96Q05_3_TRAPPC9.pdf")</f>
        <v>Melting_Curves/meltCurve_Q96Q05_3_TRAPPC9.pdf</v>
      </c>
    </row>
    <row r="5196" spans="1:28" x14ac:dyDescent="0.25">
      <c r="A5196" t="s">
        <v>5200</v>
      </c>
      <c r="B5196">
        <v>0.99193492352474899</v>
      </c>
      <c r="C5196">
        <v>1.10942548108303</v>
      </c>
      <c r="D5196">
        <v>1.08150004988115</v>
      </c>
      <c r="E5196">
        <v>0.85737603709481902</v>
      </c>
      <c r="F5196">
        <v>0.19857176093360401</v>
      </c>
      <c r="G5196">
        <v>0.10707137602897999</v>
      </c>
      <c r="H5196">
        <v>6.4372634861703096E-2</v>
      </c>
      <c r="I5196">
        <v>6.7589636776711703E-2</v>
      </c>
      <c r="J5196">
        <v>7.9021212704788193E-2</v>
      </c>
      <c r="K5196">
        <v>9.0773164741953599E-2</v>
      </c>
      <c r="L5196">
        <v>2668.1567473999999</v>
      </c>
      <c r="M5196">
        <v>52.073059041405102</v>
      </c>
      <c r="N5196">
        <v>51.4122275026727</v>
      </c>
      <c r="O5196">
        <v>51.163330978242797</v>
      </c>
      <c r="P5196">
        <v>-0.23393973443763699</v>
      </c>
      <c r="Q5196">
        <v>8.0589876522614706E-2</v>
      </c>
      <c r="R5196">
        <v>0.99012261192245898</v>
      </c>
      <c r="S5196" t="s">
        <v>11866</v>
      </c>
      <c r="T5196" t="s">
        <v>13338</v>
      </c>
      <c r="U5196" t="s">
        <v>13338</v>
      </c>
      <c r="V5196" t="s">
        <v>13338</v>
      </c>
      <c r="W5196" t="s">
        <v>18478</v>
      </c>
      <c r="X5196">
        <v>18</v>
      </c>
      <c r="Y5196" t="s">
        <v>24974</v>
      </c>
      <c r="Z5196" t="s">
        <v>31611</v>
      </c>
      <c r="AA5196">
        <v>0.42693785958081287</v>
      </c>
      <c r="AB5196" t="str">
        <f>HYPERLINK("Melting_Curves/meltCurve_Q96Q11_2_TRNT1.pdf", "Melting_Curves/meltCurve_Q96Q11_2_TRNT1.pdf")</f>
        <v>Melting_Curves/meltCurve_Q96Q11_2_TRNT1.pdf</v>
      </c>
    </row>
    <row r="5197" spans="1:28" x14ac:dyDescent="0.25">
      <c r="A5197" t="s">
        <v>5201</v>
      </c>
      <c r="B5197">
        <v>0.99193492352474899</v>
      </c>
      <c r="C5197">
        <v>0.52422181846399996</v>
      </c>
      <c r="D5197">
        <v>0.97703240518439805</v>
      </c>
      <c r="E5197">
        <v>0.57754640136511803</v>
      </c>
      <c r="F5197">
        <v>0.68297922268246203</v>
      </c>
      <c r="G5197">
        <v>0.263941294856814</v>
      </c>
      <c r="H5197">
        <v>0.53428989908453595</v>
      </c>
      <c r="I5197">
        <v>0.34802119940477599</v>
      </c>
      <c r="J5197">
        <v>0.79962354093444199</v>
      </c>
      <c r="K5197">
        <v>0.98354461383764002</v>
      </c>
      <c r="L5197">
        <v>700.35974909037702</v>
      </c>
      <c r="M5197">
        <v>16.6506053412045</v>
      </c>
      <c r="O5197">
        <v>41.4694560130228</v>
      </c>
      <c r="P5197">
        <v>-3.9153904388739502E-2</v>
      </c>
      <c r="Q5197">
        <v>0.60996439410125702</v>
      </c>
      <c r="R5197">
        <v>0.143022426521204</v>
      </c>
      <c r="S5197" t="s">
        <v>11867</v>
      </c>
      <c r="T5197" t="s">
        <v>13338</v>
      </c>
      <c r="U5197" t="s">
        <v>13338</v>
      </c>
      <c r="V5197" t="s">
        <v>13338</v>
      </c>
      <c r="W5197" t="s">
        <v>18479</v>
      </c>
      <c r="X5197">
        <v>5</v>
      </c>
      <c r="Y5197" t="s">
        <v>24975</v>
      </c>
      <c r="Z5197" t="s">
        <v>31612</v>
      </c>
      <c r="AA5197">
        <v>0.65285839974357596</v>
      </c>
      <c r="AB5197" t="str">
        <f>HYPERLINK("Melting_Curves/meltCurve_Q96Q45_2_TMEM237.pdf", "Melting_Curves/meltCurve_Q96Q45_2_TMEM237.pdf")</f>
        <v>Melting_Curves/meltCurve_Q96Q45_2_TMEM237.pdf</v>
      </c>
    </row>
    <row r="5198" spans="1:28" x14ac:dyDescent="0.25">
      <c r="A5198" t="s">
        <v>5202</v>
      </c>
      <c r="B5198">
        <v>0.99193492352474899</v>
      </c>
      <c r="C5198">
        <v>0.94234677294950997</v>
      </c>
      <c r="D5198">
        <v>0.91269607873319003</v>
      </c>
      <c r="E5198">
        <v>0.74340795399250303</v>
      </c>
      <c r="F5198">
        <v>0.55641246420124801</v>
      </c>
      <c r="G5198">
        <v>0.47406849283707903</v>
      </c>
      <c r="H5198">
        <v>0.417854382270894</v>
      </c>
      <c r="I5198">
        <v>0.44561890019436101</v>
      </c>
      <c r="J5198">
        <v>0.47994329020027998</v>
      </c>
      <c r="K5198">
        <v>0.55703699141688601</v>
      </c>
      <c r="L5198">
        <v>1138.4550213110299</v>
      </c>
      <c r="M5198">
        <v>23.0082521122483</v>
      </c>
      <c r="N5198">
        <v>56.256697471834201</v>
      </c>
      <c r="O5198">
        <v>49.111076936242704</v>
      </c>
      <c r="P5198">
        <v>-6.2227189127422297E-2</v>
      </c>
      <c r="Q5198">
        <v>0.46871478854010601</v>
      </c>
      <c r="R5198">
        <v>0.96811873956677796</v>
      </c>
      <c r="S5198" t="s">
        <v>11868</v>
      </c>
      <c r="T5198" t="s">
        <v>13338</v>
      </c>
      <c r="U5198" t="s">
        <v>13338</v>
      </c>
      <c r="V5198" t="s">
        <v>13338</v>
      </c>
      <c r="W5198" t="s">
        <v>18480</v>
      </c>
      <c r="X5198">
        <v>11</v>
      </c>
      <c r="Y5198" t="s">
        <v>24976</v>
      </c>
      <c r="Z5198" t="s">
        <v>31613</v>
      </c>
      <c r="AA5198">
        <v>0.64219943519525957</v>
      </c>
      <c r="AB5198" t="str">
        <f>HYPERLINK("Melting_Curves/meltCurve_Q96Q83_ALKBH3.pdf", "Melting_Curves/meltCurve_Q96Q83_ALKBH3.pdf")</f>
        <v>Melting_Curves/meltCurve_Q96Q83_ALKBH3.pdf</v>
      </c>
    </row>
    <row r="5199" spans="1:28" x14ac:dyDescent="0.25">
      <c r="A5199" t="s">
        <v>5203</v>
      </c>
      <c r="B5199">
        <v>0.99193492352474899</v>
      </c>
      <c r="C5199">
        <v>0.60090217665358003</v>
      </c>
      <c r="D5199">
        <v>0.74097840590380204</v>
      </c>
      <c r="E5199">
        <v>0.42507053991566601</v>
      </c>
      <c r="F5199">
        <v>0.31308553315890603</v>
      </c>
      <c r="G5199">
        <v>0.28613118796480402</v>
      </c>
      <c r="H5199">
        <v>0.19205788408840599</v>
      </c>
      <c r="I5199">
        <v>0.25554231368635599</v>
      </c>
      <c r="J5199">
        <v>0.26970055677200999</v>
      </c>
      <c r="K5199">
        <v>0.33009999139701501</v>
      </c>
      <c r="L5199">
        <v>612.07574232774095</v>
      </c>
      <c r="M5199">
        <v>13.4068551826215</v>
      </c>
      <c r="N5199">
        <v>48.062354551281402</v>
      </c>
      <c r="O5199">
        <v>44.674106708553197</v>
      </c>
      <c r="P5199">
        <v>-5.6682580990497798E-2</v>
      </c>
      <c r="Q5199">
        <v>0.24461129184181499</v>
      </c>
      <c r="R5199">
        <v>0.88064640141452499</v>
      </c>
      <c r="S5199" t="s">
        <v>11869</v>
      </c>
      <c r="T5199" t="s">
        <v>13338</v>
      </c>
      <c r="U5199" t="s">
        <v>13338</v>
      </c>
      <c r="V5199" t="s">
        <v>13338</v>
      </c>
      <c r="W5199" t="s">
        <v>18481</v>
      </c>
      <c r="X5199">
        <v>13</v>
      </c>
      <c r="Y5199" t="s">
        <v>24977</v>
      </c>
      <c r="Z5199" t="s">
        <v>31614</v>
      </c>
      <c r="AA5199">
        <v>0.41560068884420881</v>
      </c>
      <c r="AB5199" t="str">
        <f>HYPERLINK("Melting_Curves/meltCurve_Q96QC0_PPP1R10.pdf", "Melting_Curves/meltCurve_Q96QC0_PPP1R10.pdf")</f>
        <v>Melting_Curves/meltCurve_Q96QC0_PPP1R10.pdf</v>
      </c>
    </row>
    <row r="5200" spans="1:28" x14ac:dyDescent="0.25">
      <c r="A5200" t="s">
        <v>5204</v>
      </c>
      <c r="B5200">
        <v>0.99193492352474899</v>
      </c>
      <c r="C5200">
        <v>0.96376576502645595</v>
      </c>
      <c r="D5200">
        <v>0.77166920579763498</v>
      </c>
      <c r="E5200">
        <v>0.76097039809338296</v>
      </c>
      <c r="F5200">
        <v>0.63746480323928201</v>
      </c>
      <c r="G5200">
        <v>0.51835832225058098</v>
      </c>
      <c r="H5200">
        <v>0.42072890867677798</v>
      </c>
      <c r="I5200">
        <v>0.45198253140637901</v>
      </c>
      <c r="J5200">
        <v>0.29342741537615902</v>
      </c>
      <c r="K5200">
        <v>0.31553966075130702</v>
      </c>
      <c r="L5200">
        <v>441.62926751963801</v>
      </c>
      <c r="M5200">
        <v>8.1660073177994494</v>
      </c>
      <c r="N5200">
        <v>57.880284823304002</v>
      </c>
      <c r="O5200">
        <v>51.1284162741213</v>
      </c>
      <c r="P5200">
        <v>-3.1678942734828699E-2</v>
      </c>
      <c r="Q5200">
        <v>0.20744651582679299</v>
      </c>
      <c r="R5200">
        <v>0.97014237974311801</v>
      </c>
      <c r="S5200" t="s">
        <v>11870</v>
      </c>
      <c r="T5200" t="s">
        <v>13338</v>
      </c>
      <c r="U5200" t="s">
        <v>13338</v>
      </c>
      <c r="V5200" t="s">
        <v>13338</v>
      </c>
      <c r="W5200" t="s">
        <v>14312</v>
      </c>
      <c r="X5200">
        <v>2</v>
      </c>
      <c r="Y5200" t="s">
        <v>24978</v>
      </c>
      <c r="Z5200" t="s">
        <v>31615</v>
      </c>
      <c r="AA5200">
        <v>0.60582648624142266</v>
      </c>
      <c r="AB5200" t="str">
        <f>HYPERLINK("Melting_Curves/meltCurve_Q96QD8_SLC38A2.pdf", "Melting_Curves/meltCurve_Q96QD8_SLC38A2.pdf")</f>
        <v>Melting_Curves/meltCurve_Q96QD8_SLC38A2.pdf</v>
      </c>
    </row>
    <row r="5201" spans="1:28" x14ac:dyDescent="0.25">
      <c r="A5201" t="s">
        <v>5205</v>
      </c>
      <c r="B5201">
        <v>0.99193492352474899</v>
      </c>
      <c r="C5201">
        <v>0.98815682920476899</v>
      </c>
      <c r="D5201">
        <v>0.93640537455393102</v>
      </c>
      <c r="E5201">
        <v>0.93500059635104005</v>
      </c>
      <c r="F5201">
        <v>0.81530039615531003</v>
      </c>
      <c r="G5201">
        <v>0.77328443519678802</v>
      </c>
      <c r="H5201">
        <v>0.62940327493872295</v>
      </c>
      <c r="I5201">
        <v>0.81668956180073404</v>
      </c>
      <c r="J5201">
        <v>0.77103789555111502</v>
      </c>
      <c r="K5201">
        <v>0.92492737372851797</v>
      </c>
      <c r="L5201">
        <v>1572.2387548635199</v>
      </c>
      <c r="M5201">
        <v>31.1856911842766</v>
      </c>
      <c r="O5201">
        <v>50.209448724064202</v>
      </c>
      <c r="P5201">
        <v>-3.3842159695423903E-2</v>
      </c>
      <c r="Q5201">
        <v>0.78205561384010902</v>
      </c>
      <c r="R5201">
        <v>0.59941805448527397</v>
      </c>
      <c r="S5201" t="s">
        <v>11871</v>
      </c>
      <c r="T5201" t="s">
        <v>13338</v>
      </c>
      <c r="U5201" t="s">
        <v>13338</v>
      </c>
      <c r="V5201" t="s">
        <v>13338</v>
      </c>
      <c r="W5201" t="s">
        <v>18482</v>
      </c>
      <c r="X5201">
        <v>2</v>
      </c>
      <c r="Y5201" t="s">
        <v>24979</v>
      </c>
      <c r="Z5201" t="s">
        <v>31616</v>
      </c>
      <c r="AA5201">
        <v>0.85897666012098861</v>
      </c>
      <c r="AB5201" t="str">
        <f>HYPERLINK("Melting_Curves/meltCurve_Q96QE2_SLC2A13.pdf", "Melting_Curves/meltCurve_Q96QE2_SLC2A13.pdf")</f>
        <v>Melting_Curves/meltCurve_Q96QE2_SLC2A13.pdf</v>
      </c>
    </row>
    <row r="5202" spans="1:28" x14ac:dyDescent="0.25">
      <c r="A5202" t="s">
        <v>5206</v>
      </c>
      <c r="B5202">
        <v>0.99193492352474899</v>
      </c>
      <c r="C5202">
        <v>0.97172776357244695</v>
      </c>
      <c r="D5202">
        <v>1.0805736238938899</v>
      </c>
      <c r="E5202">
        <v>0.74870058634956704</v>
      </c>
      <c r="F5202">
        <v>0.23471935385822601</v>
      </c>
      <c r="G5202">
        <v>0.113615717907615</v>
      </c>
      <c r="H5202">
        <v>6.4755944056990394E-2</v>
      </c>
      <c r="I5202">
        <v>7.6550711954691097E-2</v>
      </c>
      <c r="J5202">
        <v>0.12338240803506099</v>
      </c>
      <c r="K5202">
        <v>0.123955703539619</v>
      </c>
      <c r="L5202">
        <v>2097.8734248637002</v>
      </c>
      <c r="M5202">
        <v>41.2731522638597</v>
      </c>
      <c r="N5202">
        <v>51.103612552854401</v>
      </c>
      <c r="O5202">
        <v>50.710141197458697</v>
      </c>
      <c r="P5202">
        <v>-0.183239235704929</v>
      </c>
      <c r="Q5202">
        <v>9.9456556260106396E-2</v>
      </c>
      <c r="R5202">
        <v>0.99261764273415098</v>
      </c>
      <c r="S5202" t="s">
        <v>11872</v>
      </c>
      <c r="T5202" t="s">
        <v>13338</v>
      </c>
      <c r="U5202" t="s">
        <v>13338</v>
      </c>
      <c r="V5202" t="s">
        <v>13338</v>
      </c>
      <c r="W5202" t="s">
        <v>18483</v>
      </c>
      <c r="X5202">
        <v>4</v>
      </c>
      <c r="Y5202" t="s">
        <v>24980</v>
      </c>
      <c r="Z5202" t="s">
        <v>31617</v>
      </c>
      <c r="AA5202">
        <v>0.42749344143425072</v>
      </c>
      <c r="AB5202" t="str">
        <f>HYPERLINK("Melting_Curves/meltCurve_Q96QF0_2_RAB3IP.pdf", "Melting_Curves/meltCurve_Q96QF0_2_RAB3IP.pdf")</f>
        <v>Melting_Curves/meltCurve_Q96QF0_2_RAB3IP.pdf</v>
      </c>
    </row>
    <row r="5203" spans="1:28" x14ac:dyDescent="0.25">
      <c r="A5203" t="s">
        <v>5207</v>
      </c>
      <c r="B5203">
        <v>0.99193492352474899</v>
      </c>
      <c r="C5203">
        <v>0.82322491889085303</v>
      </c>
      <c r="D5203">
        <v>1.0162977101102</v>
      </c>
      <c r="E5203">
        <v>0.72948507258191997</v>
      </c>
      <c r="F5203">
        <v>0.457448949350103</v>
      </c>
      <c r="G5203">
        <v>0.12932612212208699</v>
      </c>
      <c r="H5203">
        <v>8.8690710848057505E-2</v>
      </c>
      <c r="I5203">
        <v>9.4101602168439005E-2</v>
      </c>
      <c r="J5203">
        <v>0.103403835459268</v>
      </c>
      <c r="K5203">
        <v>9.21562188326943E-2</v>
      </c>
      <c r="L5203">
        <v>1218.28133301251</v>
      </c>
      <c r="M5203">
        <v>23.481623235169199</v>
      </c>
      <c r="N5203">
        <v>52.255170927391603</v>
      </c>
      <c r="O5203">
        <v>51.510444036959598</v>
      </c>
      <c r="P5203">
        <v>-0.105177304291109</v>
      </c>
      <c r="Q5203">
        <v>7.7127521392980805E-2</v>
      </c>
      <c r="R5203">
        <v>0.97200689378655203</v>
      </c>
      <c r="S5203" t="s">
        <v>11873</v>
      </c>
      <c r="T5203" t="s">
        <v>13338</v>
      </c>
      <c r="U5203" t="s">
        <v>13338</v>
      </c>
      <c r="V5203" t="s">
        <v>13338</v>
      </c>
      <c r="W5203" t="s">
        <v>18484</v>
      </c>
      <c r="X5203">
        <v>23</v>
      </c>
      <c r="Y5203" t="s">
        <v>24981</v>
      </c>
      <c r="Z5203" t="s">
        <v>31618</v>
      </c>
      <c r="AA5203">
        <v>0.45214520330935842</v>
      </c>
      <c r="AB5203" t="str">
        <f>HYPERLINK("Melting_Curves/meltCurve_Q96QK1_VPS35.pdf", "Melting_Curves/meltCurve_Q96QK1_VPS35.pdf")</f>
        <v>Melting_Curves/meltCurve_Q96QK1_VPS35.pdf</v>
      </c>
    </row>
    <row r="5204" spans="1:28" x14ac:dyDescent="0.25">
      <c r="A5204" t="s">
        <v>5208</v>
      </c>
      <c r="B5204">
        <v>0.99193492352474899</v>
      </c>
      <c r="C5204">
        <v>0.44617831462869101</v>
      </c>
      <c r="D5204">
        <v>0.63892585059866402</v>
      </c>
      <c r="E5204">
        <v>0.36306256389312602</v>
      </c>
      <c r="F5204">
        <v>0.522234027421146</v>
      </c>
      <c r="G5204">
        <v>0.416576196093767</v>
      </c>
      <c r="H5204">
        <v>0.19629339243263699</v>
      </c>
      <c r="I5204">
        <v>0.116072736579173</v>
      </c>
      <c r="J5204">
        <v>0.113088605228505</v>
      </c>
      <c r="K5204">
        <v>0.15008213345358501</v>
      </c>
      <c r="L5204">
        <v>296.66943065985902</v>
      </c>
      <c r="M5204">
        <v>6.0802724455922297</v>
      </c>
      <c r="N5204">
        <v>48.7921281093803</v>
      </c>
      <c r="O5204">
        <v>44.3029114314037</v>
      </c>
      <c r="P5204">
        <v>-3.4416753000673997E-2</v>
      </c>
      <c r="Q5204">
        <v>0</v>
      </c>
      <c r="R5204">
        <v>0.76553187483605001</v>
      </c>
      <c r="S5204" t="s">
        <v>11874</v>
      </c>
      <c r="T5204" t="s">
        <v>13338</v>
      </c>
      <c r="U5204" t="s">
        <v>13338</v>
      </c>
      <c r="V5204" t="s">
        <v>13338</v>
      </c>
      <c r="W5204" t="s">
        <v>18485</v>
      </c>
      <c r="X5204">
        <v>3</v>
      </c>
      <c r="Y5204" t="s">
        <v>24982</v>
      </c>
      <c r="Z5204" t="s">
        <v>31619</v>
      </c>
      <c r="AA5204">
        <v>0.38353749763989459</v>
      </c>
      <c r="AB5204" t="str">
        <f>HYPERLINK("Melting_Curves/meltCurve_Q96QR8_PURB.pdf", "Melting_Curves/meltCurve_Q96QR8_PURB.pdf")</f>
        <v>Melting_Curves/meltCurve_Q96QR8_PURB.pdf</v>
      </c>
    </row>
    <row r="5205" spans="1:28" x14ac:dyDescent="0.25">
      <c r="A5205" t="s">
        <v>5209</v>
      </c>
      <c r="B5205">
        <v>0.99193492352474899</v>
      </c>
      <c r="C5205">
        <v>0.71378464872134995</v>
      </c>
      <c r="D5205">
        <v>0.96074117150817295</v>
      </c>
      <c r="E5205">
        <v>0.50891598783701097</v>
      </c>
      <c r="F5205">
        <v>0.224387539841234</v>
      </c>
      <c r="G5205">
        <v>0.11228967960767</v>
      </c>
      <c r="H5205">
        <v>6.9399295297866301E-2</v>
      </c>
      <c r="I5205">
        <v>6.6047832023443998E-2</v>
      </c>
      <c r="J5205">
        <v>7.2872953881230801E-2</v>
      </c>
      <c r="K5205">
        <v>3.95746804156984E-2</v>
      </c>
      <c r="L5205">
        <v>1018.34469084119</v>
      </c>
      <c r="M5205">
        <v>20.5212394848812</v>
      </c>
      <c r="N5205">
        <v>49.874370003770998</v>
      </c>
      <c r="O5205">
        <v>49.159901416202999</v>
      </c>
      <c r="P5205">
        <v>-9.9253524335589996E-2</v>
      </c>
      <c r="Q5205">
        <v>4.8955825075366798E-2</v>
      </c>
      <c r="R5205">
        <v>0.94225147126747599</v>
      </c>
      <c r="S5205" t="s">
        <v>11875</v>
      </c>
      <c r="T5205" t="s">
        <v>13338</v>
      </c>
      <c r="U5205" t="s">
        <v>13338</v>
      </c>
      <c r="V5205" t="s">
        <v>13338</v>
      </c>
      <c r="W5205" t="s">
        <v>18486</v>
      </c>
      <c r="X5205">
        <v>3</v>
      </c>
      <c r="Y5205" t="s">
        <v>24983</v>
      </c>
      <c r="Z5205" t="s">
        <v>31620</v>
      </c>
      <c r="AA5205">
        <v>0.36665074656809959</v>
      </c>
      <c r="AB5205" t="str">
        <f>HYPERLINK("Melting_Curves/meltCurve_Q96QZ7_6_MAGI1.pdf", "Melting_Curves/meltCurve_Q96QZ7_6_MAGI1.pdf")</f>
        <v>Melting_Curves/meltCurve_Q96QZ7_6_MAGI1.pdf</v>
      </c>
    </row>
    <row r="5206" spans="1:28" x14ac:dyDescent="0.25">
      <c r="A5206" t="s">
        <v>5210</v>
      </c>
      <c r="B5206">
        <v>0.99193492352474899</v>
      </c>
      <c r="C5206">
        <v>0.50113959299720101</v>
      </c>
      <c r="D5206">
        <v>0.379589605335858</v>
      </c>
      <c r="E5206">
        <v>0.178056916878055</v>
      </c>
      <c r="F5206">
        <v>0.117599407553331</v>
      </c>
      <c r="G5206">
        <v>8.4280142976498107E-2</v>
      </c>
      <c r="H5206">
        <v>7.1055321944167804E-2</v>
      </c>
      <c r="I5206">
        <v>9.1291576803262095E-2</v>
      </c>
      <c r="J5206">
        <v>9.60926654018152E-2</v>
      </c>
      <c r="K5206">
        <v>0.114248106456944</v>
      </c>
      <c r="L5206">
        <v>930.20408341266</v>
      </c>
      <c r="M5206">
        <v>21.403919260368401</v>
      </c>
      <c r="N5206">
        <v>43.907202849061903</v>
      </c>
      <c r="O5206">
        <v>43.085492547066202</v>
      </c>
      <c r="P5206">
        <v>-0.112022315462439</v>
      </c>
      <c r="Q5206">
        <v>9.8031130759470606E-2</v>
      </c>
      <c r="R5206">
        <v>0.95872321671976501</v>
      </c>
      <c r="S5206" t="s">
        <v>11876</v>
      </c>
      <c r="T5206" t="s">
        <v>13338</v>
      </c>
      <c r="U5206" t="s">
        <v>13338</v>
      </c>
      <c r="V5206" t="s">
        <v>13338</v>
      </c>
      <c r="W5206" t="s">
        <v>18487</v>
      </c>
      <c r="X5206">
        <v>3</v>
      </c>
      <c r="Y5206" t="s">
        <v>24984</v>
      </c>
      <c r="Z5206" t="s">
        <v>31621</v>
      </c>
      <c r="AA5206">
        <v>0.21862209786847919</v>
      </c>
      <c r="AB5206" t="str">
        <f>HYPERLINK("Melting_Curves/meltCurve_Q96R06_SPAG5.pdf", "Melting_Curves/meltCurve_Q96R06_SPAG5.pdf")</f>
        <v>Melting_Curves/meltCurve_Q96R06_SPAG5.pdf</v>
      </c>
    </row>
    <row r="5207" spans="1:28" x14ac:dyDescent="0.25">
      <c r="A5207" t="s">
        <v>5211</v>
      </c>
      <c r="B5207">
        <v>0.99193492352474899</v>
      </c>
      <c r="C5207">
        <v>0.93728927141302498</v>
      </c>
      <c r="D5207">
        <v>0.90722938680183396</v>
      </c>
      <c r="E5207">
        <v>0.77756252283236704</v>
      </c>
      <c r="F5207">
        <v>0.83033359892917202</v>
      </c>
      <c r="G5207">
        <v>0.668611748758286</v>
      </c>
      <c r="H5207">
        <v>0.47376958846438399</v>
      </c>
      <c r="I5207">
        <v>0.58739777115118696</v>
      </c>
      <c r="J5207">
        <v>1.11649728678953</v>
      </c>
      <c r="K5207">
        <v>1.3248395876086201</v>
      </c>
      <c r="L5207">
        <v>1304.74957761119</v>
      </c>
      <c r="M5207">
        <v>29.345054592996799</v>
      </c>
      <c r="O5207">
        <v>44.257387664924799</v>
      </c>
      <c r="P5207">
        <v>-2.86199059680514E-2</v>
      </c>
      <c r="Q5207">
        <v>0.82734627231768099</v>
      </c>
      <c r="R5207">
        <v>5.4682411416426303E-2</v>
      </c>
      <c r="S5207" t="s">
        <v>11877</v>
      </c>
      <c r="T5207" t="s">
        <v>13338</v>
      </c>
      <c r="U5207" t="s">
        <v>13338</v>
      </c>
      <c r="V5207" t="s">
        <v>13338</v>
      </c>
      <c r="W5207" t="s">
        <v>18488</v>
      </c>
      <c r="X5207">
        <v>2</v>
      </c>
      <c r="Y5207" t="s">
        <v>24985</v>
      </c>
      <c r="Z5207" t="s">
        <v>31622</v>
      </c>
      <c r="AA5207">
        <v>0.85426830033375911</v>
      </c>
      <c r="AB5207" t="str">
        <f>HYPERLINK("Melting_Curves/meltCurve_Q96RD7_2_PANX1.pdf", "Melting_Curves/meltCurve_Q96RD7_2_PANX1.pdf")</f>
        <v>Melting_Curves/meltCurve_Q96RD7_2_PANX1.pdf</v>
      </c>
    </row>
    <row r="5208" spans="1:28" x14ac:dyDescent="0.25">
      <c r="A5208" t="s">
        <v>5212</v>
      </c>
      <c r="B5208">
        <v>0.99193492352474899</v>
      </c>
      <c r="C5208">
        <v>0.80143276775720496</v>
      </c>
      <c r="D5208">
        <v>0.58534547031705697</v>
      </c>
      <c r="E5208">
        <v>0.19386539163918201</v>
      </c>
      <c r="F5208">
        <v>0.119345458959409</v>
      </c>
      <c r="G5208">
        <v>7.17221927681541E-2</v>
      </c>
      <c r="H5208">
        <v>6.4790775560079505E-2</v>
      </c>
      <c r="I5208">
        <v>5.87766373324171E-2</v>
      </c>
      <c r="J5208">
        <v>7.1526117866366604E-2</v>
      </c>
      <c r="K5208">
        <v>5.9188696667895099E-2</v>
      </c>
      <c r="L5208">
        <v>998.39508663457195</v>
      </c>
      <c r="M5208">
        <v>21.638420072964198</v>
      </c>
      <c r="N5208">
        <v>46.408878519114602</v>
      </c>
      <c r="O5208">
        <v>45.751270880093401</v>
      </c>
      <c r="P5208">
        <v>-0.111274531837771</v>
      </c>
      <c r="Q5208">
        <v>5.8927527089760998E-2</v>
      </c>
      <c r="R5208">
        <v>0.99490414792148996</v>
      </c>
      <c r="S5208" t="s">
        <v>11878</v>
      </c>
      <c r="T5208" t="s">
        <v>13338</v>
      </c>
      <c r="U5208" t="s">
        <v>13338</v>
      </c>
      <c r="V5208" t="s">
        <v>13338</v>
      </c>
      <c r="W5208" t="s">
        <v>18489</v>
      </c>
      <c r="X5208">
        <v>6</v>
      </c>
      <c r="Y5208" t="s">
        <v>24986</v>
      </c>
      <c r="Z5208" t="s">
        <v>31623</v>
      </c>
      <c r="AA5208">
        <v>0.26356388712019552</v>
      </c>
      <c r="AB5208" t="str">
        <f>HYPERLINK("Melting_Curves/meltCurve_Q96RE7_NACC1.pdf", "Melting_Curves/meltCurve_Q96RE7_NACC1.pdf")</f>
        <v>Melting_Curves/meltCurve_Q96RE7_NACC1.pdf</v>
      </c>
    </row>
    <row r="5209" spans="1:28" x14ac:dyDescent="0.25">
      <c r="A5209" t="s">
        <v>5213</v>
      </c>
      <c r="B5209">
        <v>0.99193492352474899</v>
      </c>
      <c r="C5209">
        <v>0.92282318312614797</v>
      </c>
      <c r="D5209">
        <v>0.827684100982231</v>
      </c>
      <c r="E5209">
        <v>0.377892570164648</v>
      </c>
      <c r="F5209">
        <v>0.195203253887169</v>
      </c>
      <c r="G5209">
        <v>9.5488714095389296E-2</v>
      </c>
      <c r="H5209">
        <v>6.0648447978687701E-2</v>
      </c>
      <c r="I5209">
        <v>5.2041901756656198E-2</v>
      </c>
      <c r="J5209">
        <v>6.4992616898449096E-2</v>
      </c>
      <c r="K5209">
        <v>7.9030567973654195E-2</v>
      </c>
      <c r="L5209">
        <v>1159.0946943117799</v>
      </c>
      <c r="M5209">
        <v>23.921646172137802</v>
      </c>
      <c r="N5209">
        <v>48.740240320106203</v>
      </c>
      <c r="O5209">
        <v>48.118977423609302</v>
      </c>
      <c r="P5209">
        <v>-0.116135787607719</v>
      </c>
      <c r="Q5209">
        <v>6.5574552227227106E-2</v>
      </c>
      <c r="R5209">
        <v>0.99657843664823198</v>
      </c>
      <c r="S5209" t="s">
        <v>11879</v>
      </c>
      <c r="T5209" t="s">
        <v>13338</v>
      </c>
      <c r="U5209" t="s">
        <v>13338</v>
      </c>
      <c r="V5209" t="s">
        <v>13338</v>
      </c>
      <c r="W5209" t="s">
        <v>18490</v>
      </c>
      <c r="X5209">
        <v>9</v>
      </c>
      <c r="Y5209" t="s">
        <v>24987</v>
      </c>
      <c r="Z5209" t="s">
        <v>31624</v>
      </c>
      <c r="AA5209">
        <v>0.33794824384165673</v>
      </c>
      <c r="AB5209" t="str">
        <f>HYPERLINK("Melting_Curves/meltCurve_Q96RG2_PASK.pdf", "Melting_Curves/meltCurve_Q96RG2_PASK.pdf")</f>
        <v>Melting_Curves/meltCurve_Q96RG2_PASK.pdf</v>
      </c>
    </row>
    <row r="5210" spans="1:28" x14ac:dyDescent="0.25">
      <c r="A5210" t="s">
        <v>5214</v>
      </c>
      <c r="B5210">
        <v>0.99193492352474899</v>
      </c>
      <c r="C5210">
        <v>0.83740952863822604</v>
      </c>
      <c r="D5210">
        <v>0.82855398408521297</v>
      </c>
      <c r="E5210">
        <v>0.61144778075944395</v>
      </c>
      <c r="F5210">
        <v>0.58523460909581704</v>
      </c>
      <c r="G5210">
        <v>0.29309671721965502</v>
      </c>
      <c r="H5210">
        <v>0.156473363287498</v>
      </c>
      <c r="I5210">
        <v>0.15542673347334399</v>
      </c>
      <c r="J5210">
        <v>0.14375899075266099</v>
      </c>
      <c r="K5210">
        <v>0.153956699566486</v>
      </c>
      <c r="L5210">
        <v>542.27939225355203</v>
      </c>
      <c r="M5210">
        <v>10.3983480805962</v>
      </c>
      <c r="N5210">
        <v>52.660119404721797</v>
      </c>
      <c r="O5210">
        <v>50.332374546352199</v>
      </c>
      <c r="P5210">
        <v>-4.91970371824327E-2</v>
      </c>
      <c r="Q5210">
        <v>4.7861451140649297E-2</v>
      </c>
      <c r="R5210">
        <v>0.97193904664487596</v>
      </c>
      <c r="S5210" t="s">
        <v>11880</v>
      </c>
      <c r="T5210" t="s">
        <v>13338</v>
      </c>
      <c r="U5210" t="s">
        <v>13338</v>
      </c>
      <c r="V5210" t="s">
        <v>13338</v>
      </c>
      <c r="W5210" t="s">
        <v>18491</v>
      </c>
      <c r="X5210">
        <v>12</v>
      </c>
      <c r="Y5210" t="s">
        <v>24988</v>
      </c>
      <c r="Z5210" t="s">
        <v>31625</v>
      </c>
      <c r="AA5210">
        <v>0.46764660900933092</v>
      </c>
      <c r="AB5210" t="str">
        <f>HYPERLINK("Melting_Curves/meltCurve_Q96RL7_4_VPS13A.pdf", "Melting_Curves/meltCurve_Q96RL7_4_VPS13A.pdf")</f>
        <v>Melting_Curves/meltCurve_Q96RL7_4_VPS13A.pdf</v>
      </c>
    </row>
    <row r="5211" spans="1:28" x14ac:dyDescent="0.25">
      <c r="A5211" t="s">
        <v>5215</v>
      </c>
      <c r="B5211">
        <v>0.99193492352474899</v>
      </c>
      <c r="C5211">
        <v>0.77279444931021701</v>
      </c>
      <c r="D5211">
        <v>0.76017360073851903</v>
      </c>
      <c r="E5211">
        <v>0.49795943208445997</v>
      </c>
      <c r="F5211">
        <v>0.29291500717275598</v>
      </c>
      <c r="G5211">
        <v>0.12736526852985999</v>
      </c>
      <c r="H5211">
        <v>8.4823602328741698E-2</v>
      </c>
      <c r="I5211">
        <v>9.0439739140017697E-2</v>
      </c>
      <c r="J5211">
        <v>9.7452220121380106E-2</v>
      </c>
      <c r="K5211">
        <v>0.13004889570247</v>
      </c>
      <c r="L5211">
        <v>678.08326118484104</v>
      </c>
      <c r="M5211">
        <v>13.9208317901247</v>
      </c>
      <c r="N5211">
        <v>49.200763192390902</v>
      </c>
      <c r="O5211">
        <v>47.737812732922599</v>
      </c>
      <c r="P5211">
        <v>-6.8185670734951506E-2</v>
      </c>
      <c r="Q5211">
        <v>6.4827441588350201E-2</v>
      </c>
      <c r="R5211">
        <v>0.97996570901026403</v>
      </c>
      <c r="S5211" t="s">
        <v>11881</v>
      </c>
      <c r="T5211" t="s">
        <v>13338</v>
      </c>
      <c r="U5211" t="s">
        <v>13338</v>
      </c>
      <c r="V5211" t="s">
        <v>13338</v>
      </c>
      <c r="W5211" t="s">
        <v>18492</v>
      </c>
      <c r="X5211">
        <v>8</v>
      </c>
      <c r="Y5211" t="s">
        <v>24989</v>
      </c>
      <c r="Z5211" t="s">
        <v>31626</v>
      </c>
      <c r="AA5211">
        <v>0.36319558090880549</v>
      </c>
      <c r="AB5211" t="str">
        <f>HYPERLINK("Melting_Curves/meltCurve_Q96RN5_3_MED15.pdf", "Melting_Curves/meltCurve_Q96RN5_3_MED15.pdf")</f>
        <v>Melting_Curves/meltCurve_Q96RN5_3_MED15.pdf</v>
      </c>
    </row>
    <row r="5212" spans="1:28" x14ac:dyDescent="0.25">
      <c r="A5212" t="s">
        <v>5216</v>
      </c>
      <c r="B5212">
        <v>0.99193492352474899</v>
      </c>
      <c r="C5212">
        <v>0.939519904090653</v>
      </c>
      <c r="D5212">
        <v>0.90842139947054701</v>
      </c>
      <c r="E5212">
        <v>0.58588655272394197</v>
      </c>
      <c r="F5212">
        <v>0.16330945967395899</v>
      </c>
      <c r="G5212">
        <v>0.107612723640407</v>
      </c>
      <c r="H5212">
        <v>6.7930835777308393E-2</v>
      </c>
      <c r="I5212">
        <v>6.5701008299304905E-2</v>
      </c>
      <c r="J5212">
        <v>5.8409931155145201E-2</v>
      </c>
      <c r="K5212">
        <v>5.8645488901998E-2</v>
      </c>
      <c r="L5212">
        <v>1445.22291582975</v>
      </c>
      <c r="M5212">
        <v>28.980681387780699</v>
      </c>
      <c r="N5212">
        <v>50.093681528732297</v>
      </c>
      <c r="O5212">
        <v>49.632865936697399</v>
      </c>
      <c r="P5212">
        <v>-0.137061008096176</v>
      </c>
      <c r="Q5212">
        <v>6.1074006569750199E-2</v>
      </c>
      <c r="R5212">
        <v>0.99695817660867603</v>
      </c>
      <c r="S5212" t="s">
        <v>11882</v>
      </c>
      <c r="T5212" t="s">
        <v>13338</v>
      </c>
      <c r="U5212" t="s">
        <v>13338</v>
      </c>
      <c r="V5212" t="s">
        <v>13338</v>
      </c>
      <c r="W5212" t="s">
        <v>18493</v>
      </c>
      <c r="X5212">
        <v>16</v>
      </c>
      <c r="Y5212" t="s">
        <v>24990</v>
      </c>
      <c r="Z5212" t="s">
        <v>31627</v>
      </c>
      <c r="AA5212">
        <v>0.376149118978158</v>
      </c>
      <c r="AB5212" t="str">
        <f>HYPERLINK("Melting_Curves/meltCurve_Q96RP9_GFM1.pdf", "Melting_Curves/meltCurve_Q96RP9_GFM1.pdf")</f>
        <v>Melting_Curves/meltCurve_Q96RP9_GFM1.pdf</v>
      </c>
    </row>
    <row r="5213" spans="1:28" x14ac:dyDescent="0.25">
      <c r="A5213" t="s">
        <v>5217</v>
      </c>
      <c r="B5213">
        <v>0.99193492352474899</v>
      </c>
      <c r="C5213">
        <v>0.781359571785742</v>
      </c>
      <c r="D5213">
        <v>0.73014518379000504</v>
      </c>
      <c r="E5213">
        <v>0.44857253049387102</v>
      </c>
      <c r="F5213">
        <v>0.188634573178281</v>
      </c>
      <c r="G5213">
        <v>8.7531867352247494E-2</v>
      </c>
      <c r="H5213">
        <v>6.1241644273638297E-2</v>
      </c>
      <c r="I5213">
        <v>7.05322465688734E-2</v>
      </c>
      <c r="J5213">
        <v>0.13025750261631999</v>
      </c>
      <c r="K5213">
        <v>0.136110156237358</v>
      </c>
      <c r="L5213">
        <v>793.55315517499105</v>
      </c>
      <c r="M5213">
        <v>16.574056261482902</v>
      </c>
      <c r="N5213">
        <v>48.349854771733298</v>
      </c>
      <c r="O5213">
        <v>47.198502049077703</v>
      </c>
      <c r="P5213">
        <v>-8.1254928180646696E-2</v>
      </c>
      <c r="Q5213">
        <v>7.4493397618140902E-2</v>
      </c>
      <c r="R5213">
        <v>0.97694906809028204</v>
      </c>
      <c r="S5213" t="s">
        <v>11883</v>
      </c>
      <c r="T5213" t="s">
        <v>13338</v>
      </c>
      <c r="U5213" t="s">
        <v>13338</v>
      </c>
      <c r="V5213" t="s">
        <v>13338</v>
      </c>
      <c r="W5213" t="s">
        <v>18494</v>
      </c>
      <c r="X5213">
        <v>1</v>
      </c>
      <c r="Y5213" t="s">
        <v>24991</v>
      </c>
      <c r="Z5213" t="s">
        <v>31628</v>
      </c>
      <c r="AA5213">
        <v>0.33713985186203638</v>
      </c>
      <c r="AB5213" t="str">
        <f>HYPERLINK("Melting_Curves/meltCurve_Q96RR1_PEO1.pdf", "Melting_Curves/meltCurve_Q96RR1_PEO1.pdf")</f>
        <v>Melting_Curves/meltCurve_Q96RR1_PEO1.pdf</v>
      </c>
    </row>
    <row r="5214" spans="1:28" x14ac:dyDescent="0.25">
      <c r="A5214" t="s">
        <v>5218</v>
      </c>
      <c r="B5214">
        <v>0.99193492352474899</v>
      </c>
      <c r="C5214">
        <v>0.95352348213667204</v>
      </c>
      <c r="D5214">
        <v>0.75934252637682798</v>
      </c>
      <c r="E5214">
        <v>0.48810823143166199</v>
      </c>
      <c r="F5214">
        <v>0.22416689109160301</v>
      </c>
      <c r="G5214">
        <v>0.16558528392194199</v>
      </c>
      <c r="H5214">
        <v>0.102296251485072</v>
      </c>
      <c r="I5214">
        <v>0.110216247899677</v>
      </c>
      <c r="J5214">
        <v>0.12152888632080799</v>
      </c>
      <c r="K5214">
        <v>0.11159281235223199</v>
      </c>
      <c r="L5214">
        <v>957.02502906381198</v>
      </c>
      <c r="M5214">
        <v>19.682115658068199</v>
      </c>
      <c r="N5214">
        <v>49.210127061933903</v>
      </c>
      <c r="O5214">
        <v>48.130489013064299</v>
      </c>
      <c r="P5214">
        <v>-9.1555615357031994E-2</v>
      </c>
      <c r="Q5214">
        <v>0.104473512134024</v>
      </c>
      <c r="R5214">
        <v>0.99819469982526299</v>
      </c>
      <c r="S5214" t="s">
        <v>11884</v>
      </c>
      <c r="T5214" t="s">
        <v>13338</v>
      </c>
      <c r="U5214" t="s">
        <v>13338</v>
      </c>
      <c r="V5214" t="s">
        <v>13338</v>
      </c>
      <c r="W5214" t="s">
        <v>18495</v>
      </c>
      <c r="X5214">
        <v>5</v>
      </c>
      <c r="Y5214" t="s">
        <v>24992</v>
      </c>
      <c r="Z5214" t="s">
        <v>31629</v>
      </c>
      <c r="AA5214">
        <v>0.37492989831381057</v>
      </c>
      <c r="AB5214" t="str">
        <f>HYPERLINK("Melting_Curves/meltCurve_Q96RR4_2_CAMKK2.pdf", "Melting_Curves/meltCurve_Q96RR4_2_CAMKK2.pdf")</f>
        <v>Melting_Curves/meltCurve_Q96RR4_2_CAMKK2.pdf</v>
      </c>
    </row>
    <row r="5215" spans="1:28" x14ac:dyDescent="0.25">
      <c r="A5215" t="s">
        <v>5219</v>
      </c>
      <c r="B5215">
        <v>0.99193492352474899</v>
      </c>
      <c r="C5215">
        <v>0.55260212078773197</v>
      </c>
      <c r="D5215">
        <v>0.401878990166118</v>
      </c>
      <c r="E5215">
        <v>0.163420876446181</v>
      </c>
      <c r="F5215">
        <v>0.12866249375979599</v>
      </c>
      <c r="G5215">
        <v>5.2379193340851102E-2</v>
      </c>
      <c r="H5215">
        <v>3.7095177344305001E-2</v>
      </c>
      <c r="I5215">
        <v>5.0677004203837903E-2</v>
      </c>
      <c r="J5215">
        <v>5.4405289710851998E-2</v>
      </c>
      <c r="K5215">
        <v>4.5710190458871598E-2</v>
      </c>
      <c r="L5215">
        <v>824.10750838738102</v>
      </c>
      <c r="M5215">
        <v>18.661139465378799</v>
      </c>
      <c r="N5215">
        <v>44.424498477583597</v>
      </c>
      <c r="O5215">
        <v>43.663935777240503</v>
      </c>
      <c r="P5215">
        <v>-0.10126587877727</v>
      </c>
      <c r="Q5215">
        <v>5.2259884584755799E-2</v>
      </c>
      <c r="R5215">
        <v>0.97020692380929796</v>
      </c>
      <c r="S5215" t="s">
        <v>11885</v>
      </c>
      <c r="T5215" t="s">
        <v>13338</v>
      </c>
      <c r="U5215" t="s">
        <v>13338</v>
      </c>
      <c r="V5215" t="s">
        <v>13338</v>
      </c>
      <c r="W5215" t="s">
        <v>18496</v>
      </c>
      <c r="X5215">
        <v>1</v>
      </c>
      <c r="Y5215" t="s">
        <v>24993</v>
      </c>
      <c r="Z5215" t="s">
        <v>31630</v>
      </c>
      <c r="AA5215">
        <v>0.20475734687956579</v>
      </c>
      <c r="AB5215" t="str">
        <f>HYPERLINK("Melting_Curves/meltCurve_Q96RS0_TGS1.pdf", "Melting_Curves/meltCurve_Q96RS0_TGS1.pdf")</f>
        <v>Melting_Curves/meltCurve_Q96RS0_TGS1.pdf</v>
      </c>
    </row>
    <row r="5216" spans="1:28" x14ac:dyDescent="0.25">
      <c r="A5216" t="s">
        <v>5220</v>
      </c>
      <c r="B5216">
        <v>0.99193492352474899</v>
      </c>
      <c r="C5216">
        <v>0.76436198989374105</v>
      </c>
      <c r="D5216">
        <v>0.766633646196338</v>
      </c>
      <c r="E5216">
        <v>0.44957132930766303</v>
      </c>
      <c r="F5216">
        <v>0.219954096567862</v>
      </c>
      <c r="G5216">
        <v>8.7480450175944802E-2</v>
      </c>
      <c r="H5216">
        <v>5.5565586349693899E-2</v>
      </c>
      <c r="I5216">
        <v>8.1004034731415805E-2</v>
      </c>
      <c r="J5216">
        <v>7.5862483873782804E-2</v>
      </c>
      <c r="K5216">
        <v>8.8602123907718794E-2</v>
      </c>
      <c r="L5216">
        <v>744.52131496528898</v>
      </c>
      <c r="M5216">
        <v>15.396791024248399</v>
      </c>
      <c r="N5216">
        <v>48.659899369743002</v>
      </c>
      <c r="O5216">
        <v>47.5619235261778</v>
      </c>
      <c r="P5216">
        <v>-7.72230924405716E-2</v>
      </c>
      <c r="Q5216">
        <v>4.58936585152716E-2</v>
      </c>
      <c r="R5216">
        <v>0.97916860904743597</v>
      </c>
      <c r="S5216" t="s">
        <v>11886</v>
      </c>
      <c r="T5216" t="s">
        <v>13338</v>
      </c>
      <c r="U5216" t="s">
        <v>13338</v>
      </c>
      <c r="V5216" t="s">
        <v>13338</v>
      </c>
      <c r="W5216" t="s">
        <v>18497</v>
      </c>
      <c r="X5216">
        <v>17</v>
      </c>
      <c r="Y5216" t="s">
        <v>24994</v>
      </c>
      <c r="Z5216" t="s">
        <v>31631</v>
      </c>
      <c r="AA5216">
        <v>0.33459134833966819</v>
      </c>
      <c r="AB5216" t="str">
        <f>HYPERLINK("Melting_Curves/meltCurve_Q96RS6_NUDCD1.pdf", "Melting_Curves/meltCurve_Q96RS6_NUDCD1.pdf")</f>
        <v>Melting_Curves/meltCurve_Q96RS6_NUDCD1.pdf</v>
      </c>
    </row>
    <row r="5217" spans="1:28" x14ac:dyDescent="0.25">
      <c r="A5217" t="s">
        <v>5221</v>
      </c>
      <c r="B5217">
        <v>0.99193492352474899</v>
      </c>
      <c r="C5217">
        <v>0.79333734768251096</v>
      </c>
      <c r="D5217">
        <v>0.65390553556424302</v>
      </c>
      <c r="E5217">
        <v>0.38011100001030401</v>
      </c>
      <c r="F5217">
        <v>0.18649094222324</v>
      </c>
      <c r="G5217">
        <v>9.4524765479948397E-2</v>
      </c>
      <c r="H5217">
        <v>7.0388471514120393E-2</v>
      </c>
      <c r="I5217">
        <v>9.5835959723199096E-2</v>
      </c>
      <c r="J5217">
        <v>8.8150011594276503E-2</v>
      </c>
      <c r="K5217">
        <v>0.16139038676169201</v>
      </c>
      <c r="L5217">
        <v>795.10164063625405</v>
      </c>
      <c r="M5217">
        <v>16.894034459141299</v>
      </c>
      <c r="N5217">
        <v>47.597348361309301</v>
      </c>
      <c r="O5217">
        <v>46.419433277320302</v>
      </c>
      <c r="P5217">
        <v>-8.3145883311621399E-2</v>
      </c>
      <c r="Q5217">
        <v>8.6223803990509107E-2</v>
      </c>
      <c r="R5217">
        <v>0.98667700416745396</v>
      </c>
      <c r="S5217" t="s">
        <v>11887</v>
      </c>
      <c r="T5217" t="s">
        <v>13338</v>
      </c>
      <c r="U5217" t="s">
        <v>13338</v>
      </c>
      <c r="V5217" t="s">
        <v>13338</v>
      </c>
      <c r="W5217" t="s">
        <v>18498</v>
      </c>
      <c r="X5217">
        <v>10</v>
      </c>
      <c r="Y5217" t="s">
        <v>24995</v>
      </c>
      <c r="Z5217" t="s">
        <v>31632</v>
      </c>
      <c r="AA5217">
        <v>0.32065711129925689</v>
      </c>
      <c r="AB5217" t="str">
        <f>HYPERLINK("Melting_Curves/meltCurve_Q96RT1_7_ERBB2IP.pdf", "Melting_Curves/meltCurve_Q96RT1_7_ERBB2IP.pdf")</f>
        <v>Melting_Curves/meltCurve_Q96RT1_7_ERBB2IP.pdf</v>
      </c>
    </row>
    <row r="5218" spans="1:28" x14ac:dyDescent="0.25">
      <c r="A5218" t="s">
        <v>5222</v>
      </c>
      <c r="B5218">
        <v>0.99193492352474899</v>
      </c>
      <c r="C5218">
        <v>1.06611772009251</v>
      </c>
      <c r="D5218">
        <v>0.86878994951255795</v>
      </c>
      <c r="E5218">
        <v>0.60018262789450805</v>
      </c>
      <c r="F5218">
        <v>0.19409455632901401</v>
      </c>
      <c r="G5218">
        <v>0.123867422057962</v>
      </c>
      <c r="H5218">
        <v>6.6611325428773294E-2</v>
      </c>
      <c r="I5218">
        <v>0.111554459335184</v>
      </c>
      <c r="J5218">
        <v>0.101564816560861</v>
      </c>
      <c r="K5218">
        <v>0.13606759564339699</v>
      </c>
      <c r="L5218">
        <v>1446.0547695170001</v>
      </c>
      <c r="M5218">
        <v>29.048686447182501</v>
      </c>
      <c r="N5218">
        <v>50.161769663156797</v>
      </c>
      <c r="O5218">
        <v>49.546257089158097</v>
      </c>
      <c r="P5218">
        <v>-0.1320505377648</v>
      </c>
      <c r="Q5218">
        <v>9.9090219302788093E-2</v>
      </c>
      <c r="R5218">
        <v>0.99149539647176299</v>
      </c>
      <c r="S5218" t="s">
        <v>11888</v>
      </c>
      <c r="T5218" t="s">
        <v>13338</v>
      </c>
      <c r="U5218" t="s">
        <v>13338</v>
      </c>
      <c r="V5218" t="s">
        <v>13338</v>
      </c>
      <c r="W5218" t="s">
        <v>18499</v>
      </c>
      <c r="X5218">
        <v>7</v>
      </c>
      <c r="Y5218" t="s">
        <v>24996</v>
      </c>
      <c r="Z5218" t="s">
        <v>31633</v>
      </c>
      <c r="AA5218">
        <v>0.39872609889576421</v>
      </c>
      <c r="AB5218" t="str">
        <f>HYPERLINK("Melting_Curves/meltCurve_Q96S19_C16orf13.pdf", "Melting_Curves/meltCurve_Q96S19_C16orf13.pdf")</f>
        <v>Melting_Curves/meltCurve_Q96S19_C16orf13.pdf</v>
      </c>
    </row>
    <row r="5219" spans="1:28" x14ac:dyDescent="0.25">
      <c r="A5219" t="s">
        <v>5223</v>
      </c>
      <c r="B5219">
        <v>0.99193492352474899</v>
      </c>
      <c r="C5219">
        <v>0.81557323733569997</v>
      </c>
      <c r="D5219">
        <v>1.01386463239081</v>
      </c>
      <c r="E5219">
        <v>0.74320519138825702</v>
      </c>
      <c r="F5219">
        <v>0.66636253619330099</v>
      </c>
      <c r="G5219">
        <v>0.42391674656832201</v>
      </c>
      <c r="H5219">
        <v>0.127355327357</v>
      </c>
      <c r="I5219">
        <v>8.9602872697269201E-2</v>
      </c>
      <c r="J5219">
        <v>0.10068190685693</v>
      </c>
      <c r="K5219">
        <v>0.100668031112254</v>
      </c>
      <c r="L5219">
        <v>781.69502167665803</v>
      </c>
      <c r="M5219">
        <v>14.2735532949779</v>
      </c>
      <c r="N5219">
        <v>54.877063133772303</v>
      </c>
      <c r="O5219">
        <v>53.723931055938003</v>
      </c>
      <c r="P5219">
        <v>-6.5477085421103004E-2</v>
      </c>
      <c r="Q5219">
        <v>1.4329189808379101E-2</v>
      </c>
      <c r="R5219">
        <v>0.95957290289833297</v>
      </c>
      <c r="S5219" t="s">
        <v>11889</v>
      </c>
      <c r="T5219" t="s">
        <v>13338</v>
      </c>
      <c r="U5219" t="s">
        <v>13338</v>
      </c>
      <c r="V5219" t="s">
        <v>13338</v>
      </c>
      <c r="W5219" t="s">
        <v>18500</v>
      </c>
      <c r="X5219">
        <v>6</v>
      </c>
      <c r="Y5219" t="s">
        <v>24997</v>
      </c>
      <c r="Z5219" t="s">
        <v>31634</v>
      </c>
      <c r="AA5219">
        <v>0.51982041547474145</v>
      </c>
      <c r="AB5219" t="str">
        <f>HYPERLINK("Melting_Curves/meltCurve_Q96S44_TP53RK.pdf", "Melting_Curves/meltCurve_Q96S44_TP53RK.pdf")</f>
        <v>Melting_Curves/meltCurve_Q96S44_TP53RK.pdf</v>
      </c>
    </row>
    <row r="5220" spans="1:28" x14ac:dyDescent="0.25">
      <c r="A5220" t="s">
        <v>5224</v>
      </c>
      <c r="B5220">
        <v>0.99193492352474899</v>
      </c>
      <c r="C5220">
        <v>0.91313433723352799</v>
      </c>
      <c r="D5220">
        <v>0.73999701021612296</v>
      </c>
      <c r="E5220">
        <v>0.66955337891790401</v>
      </c>
      <c r="F5220">
        <v>0.377830468788663</v>
      </c>
      <c r="G5220">
        <v>0.24388978441331</v>
      </c>
      <c r="H5220">
        <v>0.14231570021104201</v>
      </c>
      <c r="I5220">
        <v>0.208149337398089</v>
      </c>
      <c r="J5220">
        <v>0.18686234609444199</v>
      </c>
      <c r="K5220">
        <v>0.16726499141221701</v>
      </c>
      <c r="L5220">
        <v>710.74645323882498</v>
      </c>
      <c r="M5220">
        <v>14.2405043147995</v>
      </c>
      <c r="N5220">
        <v>51.0969396138184</v>
      </c>
      <c r="O5220">
        <v>48.956926809331797</v>
      </c>
      <c r="P5220">
        <v>-6.24881394234107E-2</v>
      </c>
      <c r="Q5220">
        <v>0.14080330697429999</v>
      </c>
      <c r="R5220">
        <v>0.98274237050982205</v>
      </c>
      <c r="S5220" t="s">
        <v>11890</v>
      </c>
      <c r="T5220" t="s">
        <v>13338</v>
      </c>
      <c r="U5220" t="s">
        <v>13338</v>
      </c>
      <c r="V5220" t="s">
        <v>13338</v>
      </c>
      <c r="W5220" t="s">
        <v>18501</v>
      </c>
      <c r="X5220">
        <v>4</v>
      </c>
      <c r="Y5220" t="s">
        <v>24998</v>
      </c>
      <c r="Z5220" t="s">
        <v>31635</v>
      </c>
      <c r="AA5220">
        <v>0.44714607955236979</v>
      </c>
      <c r="AB5220" t="str">
        <f>HYPERLINK("Melting_Curves/meltCurve_Q96S52_PIGS.pdf", "Melting_Curves/meltCurve_Q96S52_PIGS.pdf")</f>
        <v>Melting_Curves/meltCurve_Q96S52_PIGS.pdf</v>
      </c>
    </row>
    <row r="5221" spans="1:28" x14ac:dyDescent="0.25">
      <c r="A5221" t="s">
        <v>5225</v>
      </c>
      <c r="B5221">
        <v>0.99193492352474899</v>
      </c>
      <c r="C5221">
        <v>0.70147857586610596</v>
      </c>
      <c r="D5221">
        <v>0.50682405625122495</v>
      </c>
      <c r="E5221">
        <v>0.169447397031804</v>
      </c>
      <c r="F5221">
        <v>8.9270743064569599E-2</v>
      </c>
      <c r="G5221">
        <v>5.7111717762425802E-2</v>
      </c>
      <c r="H5221">
        <v>3.1151920940766901E-2</v>
      </c>
      <c r="I5221">
        <v>3.9464120800081298E-2</v>
      </c>
      <c r="J5221">
        <v>4.8459289218848803E-2</v>
      </c>
      <c r="K5221">
        <v>4.4618077753088299E-2</v>
      </c>
      <c r="L5221">
        <v>872.26021494976897</v>
      </c>
      <c r="M5221">
        <v>19.203478295370999</v>
      </c>
      <c r="N5221">
        <v>45.597952112864199</v>
      </c>
      <c r="O5221">
        <v>44.938034437175098</v>
      </c>
      <c r="P5221">
        <v>-0.10302164635722499</v>
      </c>
      <c r="Q5221">
        <v>3.5713576752868501E-2</v>
      </c>
      <c r="R5221">
        <v>0.99005455316977098</v>
      </c>
      <c r="S5221" t="s">
        <v>11891</v>
      </c>
      <c r="T5221" t="s">
        <v>13338</v>
      </c>
      <c r="U5221" t="s">
        <v>13338</v>
      </c>
      <c r="V5221" t="s">
        <v>13338</v>
      </c>
      <c r="W5221" t="s">
        <v>18502</v>
      </c>
      <c r="X5221">
        <v>9</v>
      </c>
      <c r="Y5221" t="s">
        <v>24999</v>
      </c>
      <c r="Z5221" t="s">
        <v>31636</v>
      </c>
      <c r="AA5221">
        <v>0.22715975582908501</v>
      </c>
      <c r="AB5221" t="str">
        <f>HYPERLINK("Melting_Curves/meltCurve_Q96S55_2_WRNIP1.pdf", "Melting_Curves/meltCurve_Q96S55_2_WRNIP1.pdf")</f>
        <v>Melting_Curves/meltCurve_Q96S55_2_WRNIP1.pdf</v>
      </c>
    </row>
    <row r="5222" spans="1:28" x14ac:dyDescent="0.25">
      <c r="A5222" t="s">
        <v>5226</v>
      </c>
      <c r="B5222">
        <v>0.99193492352474899</v>
      </c>
      <c r="C5222">
        <v>0.74794840343747104</v>
      </c>
      <c r="D5222">
        <v>0.87060604470171099</v>
      </c>
      <c r="E5222">
        <v>0.59844823725485197</v>
      </c>
      <c r="F5222">
        <v>0.33329126453921198</v>
      </c>
      <c r="G5222">
        <v>0.14235112017042101</v>
      </c>
      <c r="H5222">
        <v>8.2119627410178503E-2</v>
      </c>
      <c r="I5222">
        <v>7.6388531924853495E-2</v>
      </c>
      <c r="J5222">
        <v>9.9248831413965996E-2</v>
      </c>
      <c r="K5222">
        <v>0.10645304013409999</v>
      </c>
      <c r="L5222">
        <v>738.90512565860695</v>
      </c>
      <c r="M5222">
        <v>14.7377485375722</v>
      </c>
      <c r="N5222">
        <v>50.495739497488898</v>
      </c>
      <c r="O5222">
        <v>49.240946943422301</v>
      </c>
      <c r="P5222">
        <v>-7.1112373170515497E-2</v>
      </c>
      <c r="Q5222">
        <v>4.97158694144215E-2</v>
      </c>
      <c r="R5222">
        <v>0.96217247847043297</v>
      </c>
      <c r="S5222" t="s">
        <v>11892</v>
      </c>
      <c r="T5222" t="s">
        <v>13338</v>
      </c>
      <c r="U5222" t="s">
        <v>13338</v>
      </c>
      <c r="V5222" t="s">
        <v>13338</v>
      </c>
      <c r="W5222" t="s">
        <v>18503</v>
      </c>
      <c r="X5222">
        <v>13</v>
      </c>
      <c r="Y5222" t="s">
        <v>25000</v>
      </c>
      <c r="Z5222" t="s">
        <v>31637</v>
      </c>
      <c r="AA5222">
        <v>0.39408182979731898</v>
      </c>
      <c r="AB5222" t="str">
        <f>HYPERLINK("Melting_Curves/meltCurve_Q96S59_RANBP9.pdf", "Melting_Curves/meltCurve_Q96S59_RANBP9.pdf")</f>
        <v>Melting_Curves/meltCurve_Q96S59_RANBP9.pdf</v>
      </c>
    </row>
    <row r="5223" spans="1:28" x14ac:dyDescent="0.25">
      <c r="A5223" t="s">
        <v>5227</v>
      </c>
      <c r="B5223">
        <v>0.99193492352474899</v>
      </c>
      <c r="C5223">
        <v>0.86190663402830703</v>
      </c>
      <c r="D5223">
        <v>0.90897289387282298</v>
      </c>
      <c r="E5223">
        <v>0.699359130970298</v>
      </c>
      <c r="F5223">
        <v>0.54152373658283104</v>
      </c>
      <c r="G5223">
        <v>0.33424232402056597</v>
      </c>
      <c r="H5223">
        <v>0.19743795307654899</v>
      </c>
      <c r="I5223">
        <v>0.20639841541673701</v>
      </c>
      <c r="J5223">
        <v>0.24798694767110199</v>
      </c>
      <c r="K5223">
        <v>0.23435269476114601</v>
      </c>
      <c r="L5223">
        <v>759.59731041753503</v>
      </c>
      <c r="M5223">
        <v>14.7429239695607</v>
      </c>
      <c r="N5223">
        <v>53.1858653229014</v>
      </c>
      <c r="O5223">
        <v>50.602748482381301</v>
      </c>
      <c r="P5223">
        <v>-5.93923562656095E-2</v>
      </c>
      <c r="Q5223">
        <v>0.18466876652910699</v>
      </c>
      <c r="R5223">
        <v>0.97850584406095398</v>
      </c>
      <c r="S5223" t="s">
        <v>11893</v>
      </c>
      <c r="T5223" t="s">
        <v>13338</v>
      </c>
      <c r="U5223" t="s">
        <v>13338</v>
      </c>
      <c r="V5223" t="s">
        <v>13338</v>
      </c>
      <c r="W5223" t="s">
        <v>18504</v>
      </c>
      <c r="X5223">
        <v>11</v>
      </c>
      <c r="Y5223" t="s">
        <v>25001</v>
      </c>
      <c r="Z5223" t="s">
        <v>31638</v>
      </c>
      <c r="AA5223">
        <v>0.51687059348070785</v>
      </c>
      <c r="AB5223" t="str">
        <f>HYPERLINK("Melting_Curves/meltCurve_Q96S66_CLCC1.pdf", "Melting_Curves/meltCurve_Q96S66_CLCC1.pdf")</f>
        <v>Melting_Curves/meltCurve_Q96S66_CLCC1.pdf</v>
      </c>
    </row>
    <row r="5224" spans="1:28" x14ac:dyDescent="0.25">
      <c r="A5224" t="s">
        <v>5228</v>
      </c>
      <c r="B5224">
        <v>0.99193492352474899</v>
      </c>
      <c r="C5224">
        <v>0.95275124741377404</v>
      </c>
      <c r="D5224">
        <v>0.94436497301481404</v>
      </c>
      <c r="E5224">
        <v>0.56555141030753697</v>
      </c>
      <c r="F5224">
        <v>0.25982226564128302</v>
      </c>
      <c r="G5224">
        <v>0.118162109307452</v>
      </c>
      <c r="H5224">
        <v>6.0187535863558302E-2</v>
      </c>
      <c r="I5224">
        <v>4.7282837596816001E-2</v>
      </c>
      <c r="J5224">
        <v>5.90588392113598E-2</v>
      </c>
      <c r="K5224">
        <v>5.1884351048308602E-2</v>
      </c>
      <c r="L5224">
        <v>1204.1503221877499</v>
      </c>
      <c r="M5224">
        <v>24.004704619243402</v>
      </c>
      <c r="N5224">
        <v>50.397798034394498</v>
      </c>
      <c r="O5224">
        <v>49.8188531436166</v>
      </c>
      <c r="P5224">
        <v>-0.114091379233378</v>
      </c>
      <c r="Q5224">
        <v>5.2883659077990697E-2</v>
      </c>
      <c r="R5224">
        <v>0.99751107095889002</v>
      </c>
      <c r="S5224" t="s">
        <v>11894</v>
      </c>
      <c r="T5224" t="s">
        <v>13338</v>
      </c>
      <c r="U5224" t="s">
        <v>13338</v>
      </c>
      <c r="V5224" t="s">
        <v>13338</v>
      </c>
      <c r="W5224" t="s">
        <v>18505</v>
      </c>
      <c r="X5224">
        <v>2</v>
      </c>
      <c r="Y5224" t="s">
        <v>25002</v>
      </c>
      <c r="Z5224" t="s">
        <v>31639</v>
      </c>
      <c r="AA5224">
        <v>0.38293511664197422</v>
      </c>
      <c r="AB5224" t="str">
        <f>HYPERLINK("Melting_Curves/meltCurve_Q96S82_UBL7.pdf", "Melting_Curves/meltCurve_Q96S82_UBL7.pdf")</f>
        <v>Melting_Curves/meltCurve_Q96S82_UBL7.pdf</v>
      </c>
    </row>
    <row r="5225" spans="1:28" x14ac:dyDescent="0.25">
      <c r="A5225" t="s">
        <v>5229</v>
      </c>
      <c r="B5225">
        <v>0.99193492352474899</v>
      </c>
      <c r="C5225">
        <v>0.55053207867304499</v>
      </c>
      <c r="D5225">
        <v>0.54066358358692701</v>
      </c>
      <c r="E5225">
        <v>0.76862127642635603</v>
      </c>
      <c r="F5225">
        <v>0.243899489180324</v>
      </c>
      <c r="G5225">
        <v>0.35939425911183498</v>
      </c>
      <c r="H5225">
        <v>0.118330969783581</v>
      </c>
      <c r="I5225">
        <v>0.48881617168992803</v>
      </c>
      <c r="J5225">
        <v>0.55956533450762203</v>
      </c>
      <c r="K5225">
        <v>2.5720523623501199</v>
      </c>
      <c r="L5225">
        <v>10144.9912064974</v>
      </c>
      <c r="M5225">
        <v>250</v>
      </c>
      <c r="O5225">
        <v>40.577368489681803</v>
      </c>
      <c r="P5225">
        <v>-0.47887335520896501</v>
      </c>
      <c r="Q5225">
        <v>0.68909727478147498</v>
      </c>
      <c r="R5225">
        <v>1.89085744134142E-2</v>
      </c>
      <c r="S5225" t="s">
        <v>11895</v>
      </c>
      <c r="T5225" t="s">
        <v>13338</v>
      </c>
      <c r="U5225" t="s">
        <v>13338</v>
      </c>
      <c r="V5225" t="s">
        <v>13338</v>
      </c>
      <c r="W5225" t="s">
        <v>18506</v>
      </c>
      <c r="X5225">
        <v>3</v>
      </c>
      <c r="Y5225" t="s">
        <v>25003</v>
      </c>
      <c r="Z5225" t="s">
        <v>31640</v>
      </c>
      <c r="AA5225">
        <v>0.69517249628069233</v>
      </c>
      <c r="AB5225" t="str">
        <f>HYPERLINK("Melting_Curves/meltCurve_Q96S90_LYSMD1.pdf", "Melting_Curves/meltCurve_Q96S90_LYSMD1.pdf")</f>
        <v>Melting_Curves/meltCurve_Q96S90_LYSMD1.pdf</v>
      </c>
    </row>
    <row r="5226" spans="1:28" x14ac:dyDescent="0.25">
      <c r="A5226" t="s">
        <v>5230</v>
      </c>
      <c r="B5226">
        <v>0.99193492352474899</v>
      </c>
      <c r="C5226">
        <v>0.72111513998091703</v>
      </c>
      <c r="D5226">
        <v>0.271436285764109</v>
      </c>
      <c r="E5226">
        <v>8.8973689256041905E-2</v>
      </c>
      <c r="F5226">
        <v>7.3407166036209295E-2</v>
      </c>
      <c r="G5226">
        <v>2.6664186520633501E-2</v>
      </c>
      <c r="H5226">
        <v>2.1528468989037298E-2</v>
      </c>
      <c r="I5226">
        <v>1.6111881207526099E-2</v>
      </c>
      <c r="J5226">
        <v>1.3707225912251399E-2</v>
      </c>
      <c r="K5226">
        <v>2.8664646522545401E-2</v>
      </c>
      <c r="L5226">
        <v>1293.35939244718</v>
      </c>
      <c r="M5226">
        <v>29.202740925675698</v>
      </c>
      <c r="N5226">
        <v>44.385052147356703</v>
      </c>
      <c r="O5226">
        <v>44.082839862930598</v>
      </c>
      <c r="P5226">
        <v>-0.16054142944411601</v>
      </c>
      <c r="Q5226">
        <v>3.0629066436362599E-2</v>
      </c>
      <c r="R5226">
        <v>0.99693314825048296</v>
      </c>
      <c r="S5226" t="s">
        <v>11896</v>
      </c>
      <c r="T5226" t="s">
        <v>13338</v>
      </c>
      <c r="U5226" t="s">
        <v>13338</v>
      </c>
      <c r="V5226" t="s">
        <v>13338</v>
      </c>
      <c r="W5226" t="s">
        <v>18507</v>
      </c>
      <c r="X5226">
        <v>3</v>
      </c>
      <c r="Y5226" t="s">
        <v>25004</v>
      </c>
      <c r="Z5226" t="s">
        <v>31641</v>
      </c>
      <c r="AA5226">
        <v>0.17643698384375331</v>
      </c>
      <c r="AB5226" t="str">
        <f>HYPERLINK("Melting_Curves/meltCurve_Q96S94_CCNL2.pdf", "Melting_Curves/meltCurve_Q96S94_CCNL2.pdf")</f>
        <v>Melting_Curves/meltCurve_Q96S94_CCNL2.pdf</v>
      </c>
    </row>
    <row r="5227" spans="1:28" x14ac:dyDescent="0.25">
      <c r="A5227" t="s">
        <v>5231</v>
      </c>
      <c r="B5227">
        <v>0.99193492352474899</v>
      </c>
      <c r="C5227">
        <v>2.0554292973025898</v>
      </c>
      <c r="D5227">
        <v>0.96419184259511204</v>
      </c>
      <c r="E5227">
        <v>1.01401739658908</v>
      </c>
      <c r="F5227">
        <v>0.52352683320174298</v>
      </c>
      <c r="G5227">
        <v>0.38294092649721101</v>
      </c>
      <c r="H5227">
        <v>0.23322704811078401</v>
      </c>
      <c r="I5227">
        <v>0.29312847674535097</v>
      </c>
      <c r="J5227">
        <v>0.27658777736769802</v>
      </c>
      <c r="K5227">
        <v>0.36995616946485099</v>
      </c>
      <c r="L5227">
        <v>3679.16470781721</v>
      </c>
      <c r="M5227">
        <v>69.936955849790806</v>
      </c>
      <c r="N5227">
        <v>53.3445360163415</v>
      </c>
      <c r="O5227">
        <v>52.563911915508697</v>
      </c>
      <c r="P5227">
        <v>-0.229545378483829</v>
      </c>
      <c r="Q5227">
        <v>0.309904171888502</v>
      </c>
      <c r="R5227">
        <v>0.60887984091088099</v>
      </c>
      <c r="S5227" t="s">
        <v>11897</v>
      </c>
      <c r="T5227" t="s">
        <v>13338</v>
      </c>
      <c r="U5227" t="s">
        <v>13338</v>
      </c>
      <c r="V5227" t="s">
        <v>13338</v>
      </c>
      <c r="W5227" t="s">
        <v>18508</v>
      </c>
      <c r="X5227">
        <v>1</v>
      </c>
      <c r="Y5227" t="s">
        <v>25005</v>
      </c>
      <c r="Z5227" t="s">
        <v>31642</v>
      </c>
      <c r="AA5227">
        <v>0.60071883062459042</v>
      </c>
      <c r="AB5227" t="str">
        <f>HYPERLINK("Melting_Curves/meltCurve_Q96S97_MYADM.pdf", "Melting_Curves/meltCurve_Q96S97_MYADM.pdf")</f>
        <v>Melting_Curves/meltCurve_Q96S97_MYADM.pdf</v>
      </c>
    </row>
    <row r="5228" spans="1:28" x14ac:dyDescent="0.25">
      <c r="A5228" t="s">
        <v>5232</v>
      </c>
      <c r="B5228">
        <v>0.99193492352474899</v>
      </c>
      <c r="C5228">
        <v>0.87431104294314199</v>
      </c>
      <c r="D5228">
        <v>0.56294314253394595</v>
      </c>
      <c r="E5228">
        <v>0.21885607909400701</v>
      </c>
      <c r="F5228">
        <v>0.12962370723557801</v>
      </c>
      <c r="G5228">
        <v>6.9012898370302597E-2</v>
      </c>
      <c r="H5228">
        <v>6.6663296092034002E-2</v>
      </c>
      <c r="I5228">
        <v>6.19574324723247E-2</v>
      </c>
      <c r="J5228">
        <v>6.6429703439511906E-2</v>
      </c>
      <c r="K5228">
        <v>8.3308076768526501E-2</v>
      </c>
      <c r="L5228">
        <v>1106.96449741846</v>
      </c>
      <c r="M5228">
        <v>23.9382955270945</v>
      </c>
      <c r="N5228">
        <v>46.533751971167597</v>
      </c>
      <c r="O5228">
        <v>45.923324304107297</v>
      </c>
      <c r="P5228">
        <v>-0.121249922239722</v>
      </c>
      <c r="Q5228">
        <v>6.9589334408338394E-2</v>
      </c>
      <c r="R5228">
        <v>0.99907671495010497</v>
      </c>
      <c r="S5228" t="s">
        <v>11898</v>
      </c>
      <c r="T5228" t="s">
        <v>13338</v>
      </c>
      <c r="U5228" t="s">
        <v>13338</v>
      </c>
      <c r="V5228" t="s">
        <v>13338</v>
      </c>
      <c r="W5228" t="s">
        <v>18509</v>
      </c>
      <c r="X5228">
        <v>2</v>
      </c>
      <c r="Y5228" t="s">
        <v>25006</v>
      </c>
      <c r="Z5228" t="s">
        <v>31643</v>
      </c>
      <c r="AA5228">
        <v>0.2725737752193137</v>
      </c>
      <c r="AB5228" t="str">
        <f>HYPERLINK("Melting_Curves/meltCurve_Q96S99_PLEKHF1.pdf", "Melting_Curves/meltCurve_Q96S99_PLEKHF1.pdf")</f>
        <v>Melting_Curves/meltCurve_Q96S99_PLEKHF1.pdf</v>
      </c>
    </row>
    <row r="5229" spans="1:28" x14ac:dyDescent="0.25">
      <c r="A5229" t="s">
        <v>5233</v>
      </c>
      <c r="B5229">
        <v>0.99193492352474899</v>
      </c>
      <c r="C5229">
        <v>0.50699584682894805</v>
      </c>
      <c r="D5229">
        <v>0.41364824279912898</v>
      </c>
      <c r="E5229">
        <v>0.20090349341406499</v>
      </c>
      <c r="F5229">
        <v>0.161924362441938</v>
      </c>
      <c r="G5229">
        <v>8.2051492810752094E-2</v>
      </c>
      <c r="H5229">
        <v>5.4729195973444902E-2</v>
      </c>
      <c r="I5229">
        <v>0.108729665953176</v>
      </c>
      <c r="J5229">
        <v>0.13828965065889801</v>
      </c>
      <c r="K5229">
        <v>0.218809197532707</v>
      </c>
      <c r="L5229">
        <v>917.87487614649604</v>
      </c>
      <c r="M5229">
        <v>21.127392676417799</v>
      </c>
      <c r="N5229">
        <v>44.068080079647302</v>
      </c>
      <c r="O5229">
        <v>43.061174895455203</v>
      </c>
      <c r="P5229">
        <v>-0.106819740242677</v>
      </c>
      <c r="Q5229">
        <v>0.12915653056673801</v>
      </c>
      <c r="R5229">
        <v>0.932293795973543</v>
      </c>
      <c r="S5229" t="s">
        <v>11899</v>
      </c>
      <c r="T5229" t="s">
        <v>13338</v>
      </c>
      <c r="U5229" t="s">
        <v>13338</v>
      </c>
      <c r="V5229" t="s">
        <v>13338</v>
      </c>
      <c r="W5229" t="s">
        <v>18510</v>
      </c>
      <c r="X5229">
        <v>6</v>
      </c>
      <c r="Y5229" t="s">
        <v>25007</v>
      </c>
      <c r="Z5229" t="s">
        <v>31644</v>
      </c>
      <c r="AA5229">
        <v>0.24568876517058219</v>
      </c>
      <c r="AB5229" t="str">
        <f>HYPERLINK("Melting_Curves/meltCurve_Q96SB3_PPP1R9B.pdf", "Melting_Curves/meltCurve_Q96SB3_PPP1R9B.pdf")</f>
        <v>Melting_Curves/meltCurve_Q96SB3_PPP1R9B.pdf</v>
      </c>
    </row>
    <row r="5230" spans="1:28" x14ac:dyDescent="0.25">
      <c r="A5230" t="s">
        <v>5234</v>
      </c>
      <c r="B5230">
        <v>0.99193492352474899</v>
      </c>
      <c r="C5230">
        <v>0.30741542688824902</v>
      </c>
      <c r="D5230">
        <v>0.74144662789159699</v>
      </c>
      <c r="E5230">
        <v>0.313262263313144</v>
      </c>
      <c r="F5230">
        <v>0.20229743541477699</v>
      </c>
      <c r="G5230">
        <v>6.7588839537428294E-2</v>
      </c>
      <c r="H5230">
        <v>4.0735695764027198E-2</v>
      </c>
      <c r="I5230">
        <v>4.3063657977190001E-2</v>
      </c>
      <c r="J5230">
        <v>4.5005532656829099E-2</v>
      </c>
      <c r="K5230">
        <v>4.1499213861119703E-2</v>
      </c>
      <c r="L5230">
        <v>463.85529885015302</v>
      </c>
      <c r="M5230">
        <v>10.115427363623899</v>
      </c>
      <c r="N5230">
        <v>45.856226843606798</v>
      </c>
      <c r="O5230">
        <v>44.1722687824915</v>
      </c>
      <c r="P5230">
        <v>-5.7276513723692503E-2</v>
      </c>
      <c r="Q5230">
        <v>0</v>
      </c>
      <c r="R5230">
        <v>0.77145355763854095</v>
      </c>
      <c r="S5230" t="s">
        <v>11900</v>
      </c>
      <c r="T5230" t="s">
        <v>13338</v>
      </c>
      <c r="U5230" t="s">
        <v>13338</v>
      </c>
      <c r="V5230" t="s">
        <v>13338</v>
      </c>
      <c r="W5230" t="s">
        <v>18511</v>
      </c>
      <c r="X5230">
        <v>16</v>
      </c>
      <c r="Y5230" t="s">
        <v>25008</v>
      </c>
      <c r="Z5230" t="s">
        <v>31645</v>
      </c>
      <c r="AA5230">
        <v>0.25740158959536141</v>
      </c>
      <c r="AB5230" t="str">
        <f>HYPERLINK("Melting_Curves/meltCurve_Q96SB4_SRPK1.pdf", "Melting_Curves/meltCurve_Q96SB4_SRPK1.pdf")</f>
        <v>Melting_Curves/meltCurve_Q96SB4_SRPK1.pdf</v>
      </c>
    </row>
    <row r="5231" spans="1:28" x14ac:dyDescent="0.25">
      <c r="A5231" t="s">
        <v>5235</v>
      </c>
      <c r="B5231">
        <v>0.99193492352474899</v>
      </c>
      <c r="C5231">
        <v>0.77546998001478296</v>
      </c>
      <c r="D5231">
        <v>0.95031104369541597</v>
      </c>
      <c r="E5231">
        <v>0.66261534298368796</v>
      </c>
      <c r="F5231">
        <v>0.27531865627350599</v>
      </c>
      <c r="G5231">
        <v>0.23869874749411399</v>
      </c>
      <c r="H5231">
        <v>0.12529419858903801</v>
      </c>
      <c r="I5231">
        <v>0.112255406970204</v>
      </c>
      <c r="J5231">
        <v>9.9620674185500802E-2</v>
      </c>
      <c r="K5231">
        <v>9.8170556282188196E-2</v>
      </c>
      <c r="L5231">
        <v>1005.0845951687101</v>
      </c>
      <c r="M5231">
        <v>19.891190220500899</v>
      </c>
      <c r="N5231">
        <v>51.091259736428597</v>
      </c>
      <c r="O5231">
        <v>50.026742777485097</v>
      </c>
      <c r="P5231">
        <v>-8.9636564241010103E-2</v>
      </c>
      <c r="Q5231">
        <v>9.8278970810834906E-2</v>
      </c>
      <c r="R5231">
        <v>0.95844373178932896</v>
      </c>
      <c r="S5231" t="s">
        <v>11901</v>
      </c>
      <c r="T5231" t="s">
        <v>13338</v>
      </c>
      <c r="U5231" t="s">
        <v>13338</v>
      </c>
      <c r="V5231" t="s">
        <v>13338</v>
      </c>
      <c r="W5231" t="s">
        <v>18512</v>
      </c>
      <c r="X5231">
        <v>12</v>
      </c>
      <c r="Y5231" t="s">
        <v>25009</v>
      </c>
      <c r="Z5231" t="s">
        <v>31646</v>
      </c>
      <c r="AA5231">
        <v>0.42742016550074757</v>
      </c>
      <c r="AB5231" t="str">
        <f>HYPERLINK("Melting_Curves/meltCurve_Q96SB8_SMC6.pdf", "Melting_Curves/meltCurve_Q96SB8_SMC6.pdf")</f>
        <v>Melting_Curves/meltCurve_Q96SB8_SMC6.pdf</v>
      </c>
    </row>
    <row r="5232" spans="1:28" x14ac:dyDescent="0.25">
      <c r="A5232" t="s">
        <v>5236</v>
      </c>
      <c r="B5232">
        <v>0.99193492352474899</v>
      </c>
      <c r="C5232">
        <v>0.79557150222128903</v>
      </c>
      <c r="D5232">
        <v>0.75174944163327395</v>
      </c>
      <c r="E5232">
        <v>0.620734531561002</v>
      </c>
      <c r="F5232">
        <v>0.42086487111264997</v>
      </c>
      <c r="G5232">
        <v>0.25865784279340698</v>
      </c>
      <c r="H5232">
        <v>8.4707010475376598E-2</v>
      </c>
      <c r="I5232">
        <v>9.7380185091961502E-2</v>
      </c>
      <c r="J5232">
        <v>0.150397743826403</v>
      </c>
      <c r="K5232">
        <v>8.3131163005287598E-2</v>
      </c>
      <c r="L5232">
        <v>533.898815313304</v>
      </c>
      <c r="M5232">
        <v>10.4914725559841</v>
      </c>
      <c r="N5232">
        <v>51.0558149447441</v>
      </c>
      <c r="O5232">
        <v>49.144273401465</v>
      </c>
      <c r="P5232">
        <v>-5.2491944990616601E-2</v>
      </c>
      <c r="Q5232">
        <v>1.68647696727252E-2</v>
      </c>
      <c r="R5232">
        <v>0.97825480215148197</v>
      </c>
      <c r="S5232" t="s">
        <v>11902</v>
      </c>
      <c r="T5232" t="s">
        <v>13338</v>
      </c>
      <c r="U5232" t="s">
        <v>13338</v>
      </c>
      <c r="V5232" t="s">
        <v>13338</v>
      </c>
      <c r="W5232" t="s">
        <v>18513</v>
      </c>
      <c r="X5232">
        <v>3</v>
      </c>
      <c r="Y5232" t="s">
        <v>25010</v>
      </c>
      <c r="Z5232" t="s">
        <v>31647</v>
      </c>
      <c r="AA5232">
        <v>0.41253446686987738</v>
      </c>
      <c r="AB5232" t="str">
        <f>HYPERLINK("Melting_Curves/meltCurve_Q96SI9_2_STRBP.pdf", "Melting_Curves/meltCurve_Q96SI9_2_STRBP.pdf")</f>
        <v>Melting_Curves/meltCurve_Q96SI9_2_STRBP.pdf</v>
      </c>
    </row>
    <row r="5233" spans="1:28" x14ac:dyDescent="0.25">
      <c r="A5233" t="s">
        <v>5237</v>
      </c>
      <c r="B5233">
        <v>0.99193492352474899</v>
      </c>
      <c r="C5233">
        <v>0.81524945202826005</v>
      </c>
      <c r="D5233">
        <v>0.80304949538352699</v>
      </c>
      <c r="E5233">
        <v>0.62991829862179005</v>
      </c>
      <c r="F5233">
        <v>0.19464475337676401</v>
      </c>
      <c r="G5233">
        <v>0.10332400146755701</v>
      </c>
      <c r="H5233">
        <v>7.1697015824655194E-2</v>
      </c>
      <c r="I5233">
        <v>8.7732507594006498E-2</v>
      </c>
      <c r="J5233">
        <v>8.7407077985519305E-2</v>
      </c>
      <c r="K5233">
        <v>7.3511066034142106E-2</v>
      </c>
      <c r="L5233">
        <v>891.28328882311303</v>
      </c>
      <c r="M5233">
        <v>17.955173485629999</v>
      </c>
      <c r="N5233">
        <v>49.939024781653998</v>
      </c>
      <c r="O5233">
        <v>49.035912331088298</v>
      </c>
      <c r="P5233">
        <v>-8.6870224452193098E-2</v>
      </c>
      <c r="Q5233">
        <v>5.1070675386508398E-2</v>
      </c>
      <c r="R5233">
        <v>0.97147227331362696</v>
      </c>
      <c r="S5233" t="s">
        <v>11903</v>
      </c>
      <c r="T5233" t="s">
        <v>13338</v>
      </c>
      <c r="U5233" t="s">
        <v>13338</v>
      </c>
      <c r="V5233" t="s">
        <v>13338</v>
      </c>
      <c r="W5233" t="s">
        <v>18514</v>
      </c>
      <c r="X5233">
        <v>6</v>
      </c>
      <c r="Y5233" t="s">
        <v>25011</v>
      </c>
      <c r="Z5233" t="s">
        <v>31648</v>
      </c>
      <c r="AA5233">
        <v>0.37231480164912167</v>
      </c>
      <c r="AB5233" t="str">
        <f>HYPERLINK("Melting_Curves/meltCurve_Q96SK2_2_TMEM209.pdf", "Melting_Curves/meltCurve_Q96SK2_2_TMEM209.pdf")</f>
        <v>Melting_Curves/meltCurve_Q96SK2_2_TMEM209.pdf</v>
      </c>
    </row>
    <row r="5234" spans="1:28" x14ac:dyDescent="0.25">
      <c r="A5234" t="s">
        <v>5238</v>
      </c>
      <c r="B5234">
        <v>0.99193492352474899</v>
      </c>
      <c r="C5234">
        <v>1.3393729051154499</v>
      </c>
      <c r="D5234">
        <v>1.03621754057808</v>
      </c>
      <c r="E5234">
        <v>0.96755588336453002</v>
      </c>
      <c r="F5234">
        <v>0.77250176649449198</v>
      </c>
      <c r="G5234">
        <v>0.65107330644454298</v>
      </c>
      <c r="H5234">
        <v>0.50869648112475396</v>
      </c>
      <c r="I5234">
        <v>0.78215968206608</v>
      </c>
      <c r="J5234">
        <v>0.51994537092692705</v>
      </c>
      <c r="K5234">
        <v>0.85181538410332602</v>
      </c>
      <c r="L5234">
        <v>2578.6457093283798</v>
      </c>
      <c r="M5234">
        <v>49.264454406642898</v>
      </c>
      <c r="O5234">
        <v>52.256896427604303</v>
      </c>
      <c r="P5234">
        <v>-7.9669368284084496E-2</v>
      </c>
      <c r="Q5234">
        <v>0.66196560492822598</v>
      </c>
      <c r="R5234">
        <v>0.63760997965945798</v>
      </c>
      <c r="S5234" t="s">
        <v>11904</v>
      </c>
      <c r="T5234" t="s">
        <v>13338</v>
      </c>
      <c r="U5234" t="s">
        <v>13338</v>
      </c>
      <c r="V5234" t="s">
        <v>13338</v>
      </c>
      <c r="W5234" t="s">
        <v>18515</v>
      </c>
      <c r="X5234">
        <v>1</v>
      </c>
      <c r="Y5234" t="s">
        <v>25012</v>
      </c>
      <c r="Z5234" t="s">
        <v>31649</v>
      </c>
      <c r="AA5234">
        <v>0.8018473976658741</v>
      </c>
      <c r="AB5234" t="str">
        <f>HYPERLINK("Melting_Curves/meltCurve_Q96SN7_ORAI2.pdf", "Melting_Curves/meltCurve_Q96SN7_ORAI2.pdf")</f>
        <v>Melting_Curves/meltCurve_Q96SN7_ORAI2.pdf</v>
      </c>
    </row>
    <row r="5235" spans="1:28" x14ac:dyDescent="0.25">
      <c r="A5235" t="s">
        <v>5239</v>
      </c>
      <c r="B5235">
        <v>0.99193492352474899</v>
      </c>
      <c r="C5235">
        <v>0.87262354851471302</v>
      </c>
      <c r="D5235">
        <v>0.71584621750116895</v>
      </c>
      <c r="E5235">
        <v>0.33357843869833997</v>
      </c>
      <c r="F5235">
        <v>0.20742862434207299</v>
      </c>
      <c r="G5235">
        <v>0.128545334402837</v>
      </c>
      <c r="H5235">
        <v>9.6933442259692804E-2</v>
      </c>
      <c r="I5235">
        <v>0.123606917195987</v>
      </c>
      <c r="J5235">
        <v>0.15647512684873499</v>
      </c>
      <c r="K5235">
        <v>0.18848978863559401</v>
      </c>
      <c r="L5235">
        <v>1064.4325265724001</v>
      </c>
      <c r="M5235">
        <v>22.570264182108801</v>
      </c>
      <c r="N5235">
        <v>47.824184782255202</v>
      </c>
      <c r="O5235">
        <v>46.795309480962203</v>
      </c>
      <c r="P5235">
        <v>-0.104376226474971</v>
      </c>
      <c r="Q5235">
        <v>0.13439770959984099</v>
      </c>
      <c r="R5235">
        <v>0.99140625236158098</v>
      </c>
      <c r="S5235" t="s">
        <v>11905</v>
      </c>
      <c r="T5235" t="s">
        <v>13338</v>
      </c>
      <c r="U5235" t="s">
        <v>13338</v>
      </c>
      <c r="V5235" t="s">
        <v>13338</v>
      </c>
      <c r="W5235" t="s">
        <v>18516</v>
      </c>
      <c r="X5235">
        <v>12</v>
      </c>
      <c r="Y5235" t="s">
        <v>25013</v>
      </c>
      <c r="Z5235" t="s">
        <v>31650</v>
      </c>
      <c r="AA5235">
        <v>0.35066154165634011</v>
      </c>
      <c r="AB5235" t="str">
        <f>HYPERLINK("Melting_Curves/meltCurve_Q96ST2_IWS1.pdf", "Melting_Curves/meltCurve_Q96ST2_IWS1.pdf")</f>
        <v>Melting_Curves/meltCurve_Q96ST2_IWS1.pdf</v>
      </c>
    </row>
    <row r="5236" spans="1:28" x14ac:dyDescent="0.25">
      <c r="A5236" t="s">
        <v>5240</v>
      </c>
      <c r="B5236">
        <v>0.99193492352474899</v>
      </c>
      <c r="C5236">
        <v>0.64443210329296396</v>
      </c>
      <c r="D5236">
        <v>0.52099457642594005</v>
      </c>
      <c r="E5236">
        <v>0.26988101876824</v>
      </c>
      <c r="F5236">
        <v>0.18100274764461199</v>
      </c>
      <c r="G5236">
        <v>9.0330781456237103E-2</v>
      </c>
      <c r="H5236">
        <v>6.8316216680470998E-2</v>
      </c>
      <c r="I5236">
        <v>8.1464770162513897E-2</v>
      </c>
      <c r="J5236">
        <v>0.111864663510312</v>
      </c>
      <c r="K5236">
        <v>0.11573522566293699</v>
      </c>
      <c r="L5236">
        <v>729.698634514996</v>
      </c>
      <c r="M5236">
        <v>16.122671479907101</v>
      </c>
      <c r="N5236">
        <v>45.796902898142598</v>
      </c>
      <c r="O5236">
        <v>44.580060310213199</v>
      </c>
      <c r="P5236">
        <v>-8.2623496103999702E-2</v>
      </c>
      <c r="Q5236">
        <v>8.6235775227039596E-2</v>
      </c>
      <c r="R5236">
        <v>0.97608044109688497</v>
      </c>
      <c r="S5236" t="s">
        <v>11906</v>
      </c>
      <c r="T5236" t="s">
        <v>13338</v>
      </c>
      <c r="U5236" t="s">
        <v>13338</v>
      </c>
      <c r="V5236" t="s">
        <v>13338</v>
      </c>
      <c r="W5236" t="s">
        <v>18517</v>
      </c>
      <c r="X5236">
        <v>14</v>
      </c>
      <c r="Y5236" t="s">
        <v>25014</v>
      </c>
      <c r="Z5236" t="s">
        <v>31651</v>
      </c>
      <c r="AA5236">
        <v>0.27089996636477331</v>
      </c>
      <c r="AB5236" t="str">
        <f>HYPERLINK("Melting_Curves/meltCurve_Q96ST3_SIN3A.pdf", "Melting_Curves/meltCurve_Q96ST3_SIN3A.pdf")</f>
        <v>Melting_Curves/meltCurve_Q96ST3_SIN3A.pdf</v>
      </c>
    </row>
    <row r="5237" spans="1:28" x14ac:dyDescent="0.25">
      <c r="A5237" t="s">
        <v>5241</v>
      </c>
      <c r="B5237">
        <v>0.99193492352474899</v>
      </c>
      <c r="C5237">
        <v>1.06234479436183</v>
      </c>
      <c r="D5237">
        <v>0.95084481832718604</v>
      </c>
      <c r="E5237">
        <v>0.85150086502779698</v>
      </c>
      <c r="F5237">
        <v>0.62735777302990503</v>
      </c>
      <c r="G5237">
        <v>0.425841669375909</v>
      </c>
      <c r="H5237">
        <v>0.236867859118958</v>
      </c>
      <c r="I5237">
        <v>0.21196690207405</v>
      </c>
      <c r="J5237">
        <v>0.196781750963716</v>
      </c>
      <c r="K5237">
        <v>0.161906283185174</v>
      </c>
      <c r="L5237">
        <v>953.20028667090901</v>
      </c>
      <c r="M5237">
        <v>17.645452374312502</v>
      </c>
      <c r="N5237">
        <v>55.190556551899498</v>
      </c>
      <c r="O5237">
        <v>53.340123910141799</v>
      </c>
      <c r="P5237">
        <v>-6.9793002980162E-2</v>
      </c>
      <c r="Q5237">
        <v>0.15614092201776</v>
      </c>
      <c r="R5237">
        <v>0.99464323141871502</v>
      </c>
      <c r="S5237" t="s">
        <v>11907</v>
      </c>
      <c r="T5237" t="s">
        <v>13338</v>
      </c>
      <c r="U5237" t="s">
        <v>13338</v>
      </c>
      <c r="V5237" t="s">
        <v>13338</v>
      </c>
      <c r="W5237" t="s">
        <v>18518</v>
      </c>
      <c r="X5237">
        <v>6</v>
      </c>
      <c r="Y5237" t="s">
        <v>25015</v>
      </c>
      <c r="Z5237" t="s">
        <v>31652</v>
      </c>
      <c r="AA5237">
        <v>0.56438767025364234</v>
      </c>
      <c r="AB5237" t="str">
        <f>HYPERLINK("Melting_Curves/meltCurve_Q96SZ5_ADO.pdf", "Melting_Curves/meltCurve_Q96SZ5_ADO.pdf")</f>
        <v>Melting_Curves/meltCurve_Q96SZ5_ADO.pdf</v>
      </c>
    </row>
    <row r="5238" spans="1:28" x14ac:dyDescent="0.25">
      <c r="A5238" t="s">
        <v>5242</v>
      </c>
      <c r="B5238">
        <v>0.99193492352474899</v>
      </c>
      <c r="C5238">
        <v>0.32329945396849902</v>
      </c>
      <c r="D5238">
        <v>0.40352674815037098</v>
      </c>
      <c r="E5238">
        <v>0.20776996097411601</v>
      </c>
      <c r="F5238">
        <v>0.14859627064163</v>
      </c>
      <c r="G5238">
        <v>8.4312310424835002E-2</v>
      </c>
      <c r="H5238">
        <v>5.1295909304086999E-2</v>
      </c>
      <c r="I5238">
        <v>4.5795894700938498E-2</v>
      </c>
      <c r="J5238">
        <v>4.7934002734782301E-2</v>
      </c>
      <c r="K5238">
        <v>3.4911759726958501E-2</v>
      </c>
      <c r="L5238">
        <v>772.99620312499496</v>
      </c>
      <c r="M5238">
        <v>17.972570949040801</v>
      </c>
      <c r="N5238">
        <v>43.381960488283603</v>
      </c>
      <c r="O5238">
        <v>42.4879027532211</v>
      </c>
      <c r="P5238">
        <v>-9.8200446594006896E-2</v>
      </c>
      <c r="Q5238">
        <v>7.1446356280290502E-2</v>
      </c>
      <c r="R5238">
        <v>0.86636000235436805</v>
      </c>
      <c r="S5238" t="s">
        <v>11908</v>
      </c>
      <c r="T5238" t="s">
        <v>13338</v>
      </c>
      <c r="U5238" t="s">
        <v>13338</v>
      </c>
      <c r="V5238" t="s">
        <v>13338</v>
      </c>
      <c r="W5238" t="s">
        <v>18519</v>
      </c>
      <c r="X5238">
        <v>14</v>
      </c>
      <c r="Y5238" t="s">
        <v>25016</v>
      </c>
      <c r="Z5238" t="s">
        <v>31653</v>
      </c>
      <c r="AA5238">
        <v>0.19190701578148939</v>
      </c>
      <c r="AB5238" t="str">
        <f>HYPERLINK("Melting_Curves/meltCurve_Q96T37_2_RBM15.pdf", "Melting_Curves/meltCurve_Q96T37_2_RBM15.pdf")</f>
        <v>Melting_Curves/meltCurve_Q96T37_2_RBM15.pdf</v>
      </c>
    </row>
    <row r="5239" spans="1:28" x14ac:dyDescent="0.25">
      <c r="A5239" t="s">
        <v>5243</v>
      </c>
      <c r="B5239">
        <v>0.99193492352474899</v>
      </c>
      <c r="C5239">
        <v>0.80754257714462796</v>
      </c>
      <c r="D5239">
        <v>0.52517215611793799</v>
      </c>
      <c r="E5239">
        <v>0.28500481176808601</v>
      </c>
      <c r="F5239">
        <v>0.19605205621152999</v>
      </c>
      <c r="G5239">
        <v>0.129649446216486</v>
      </c>
      <c r="H5239">
        <v>7.7743990928642301E-2</v>
      </c>
      <c r="I5239">
        <v>0.101639637390464</v>
      </c>
      <c r="J5239">
        <v>0.105143052245127</v>
      </c>
      <c r="K5239">
        <v>0.130007920139108</v>
      </c>
      <c r="L5239">
        <v>882.96541269893203</v>
      </c>
      <c r="M5239">
        <v>19.250323274189199</v>
      </c>
      <c r="N5239">
        <v>46.449576510927002</v>
      </c>
      <c r="O5239">
        <v>45.381193045037399</v>
      </c>
      <c r="P5239">
        <v>-9.4687743108205602E-2</v>
      </c>
      <c r="Q5239">
        <v>0.107156796857306</v>
      </c>
      <c r="R5239">
        <v>0.99485859939398102</v>
      </c>
      <c r="S5239" t="s">
        <v>11909</v>
      </c>
      <c r="T5239" t="s">
        <v>13338</v>
      </c>
      <c r="U5239" t="s">
        <v>13338</v>
      </c>
      <c r="V5239" t="s">
        <v>13338</v>
      </c>
      <c r="W5239" t="s">
        <v>18520</v>
      </c>
      <c r="X5239">
        <v>12</v>
      </c>
      <c r="Y5239" t="s">
        <v>25017</v>
      </c>
      <c r="Z5239" t="s">
        <v>31654</v>
      </c>
      <c r="AA5239">
        <v>0.29699531233293908</v>
      </c>
      <c r="AB5239" t="str">
        <f>HYPERLINK("Melting_Curves/meltCurve_Q96T51_RUFY1.pdf", "Melting_Curves/meltCurve_Q96T51_RUFY1.pdf")</f>
        <v>Melting_Curves/meltCurve_Q96T51_RUFY1.pdf</v>
      </c>
    </row>
    <row r="5240" spans="1:28" x14ac:dyDescent="0.25">
      <c r="A5240" t="s">
        <v>5244</v>
      </c>
      <c r="B5240">
        <v>0.99193492352474899</v>
      </c>
      <c r="C5240">
        <v>0.48589100509467498</v>
      </c>
      <c r="D5240">
        <v>0.68969978242307495</v>
      </c>
      <c r="E5240">
        <v>0.36365303925225501</v>
      </c>
      <c r="F5240">
        <v>0.29301754918963502</v>
      </c>
      <c r="G5240">
        <v>0.230563504614267</v>
      </c>
      <c r="H5240">
        <v>0.29753063791616702</v>
      </c>
      <c r="I5240">
        <v>0.45907126316588498</v>
      </c>
      <c r="J5240">
        <v>0.69782072038808496</v>
      </c>
      <c r="K5240">
        <v>0.99487695700344403</v>
      </c>
      <c r="L5240">
        <v>10164.312825446001</v>
      </c>
      <c r="M5240">
        <v>250</v>
      </c>
      <c r="O5240">
        <v>40.6546495280651</v>
      </c>
      <c r="P5240">
        <v>-0.76659889192589203</v>
      </c>
      <c r="Q5240">
        <v>0.50134705236066801</v>
      </c>
      <c r="R5240">
        <v>0.30358144247684699</v>
      </c>
      <c r="S5240" t="s">
        <v>11910</v>
      </c>
      <c r="T5240" t="s">
        <v>13338</v>
      </c>
      <c r="U5240" t="s">
        <v>13338</v>
      </c>
      <c r="V5240" t="s">
        <v>13338</v>
      </c>
      <c r="W5240" t="s">
        <v>18521</v>
      </c>
      <c r="X5240">
        <v>5</v>
      </c>
      <c r="Y5240" t="s">
        <v>25018</v>
      </c>
      <c r="Z5240" t="s">
        <v>31655</v>
      </c>
      <c r="AA5240">
        <v>0.51234965051366699</v>
      </c>
      <c r="AB5240" t="str">
        <f>HYPERLINK("Melting_Curves/meltCurve_Q96T58_SPEN.pdf", "Melting_Curves/meltCurve_Q96T58_SPEN.pdf")</f>
        <v>Melting_Curves/meltCurve_Q96T58_SPEN.pdf</v>
      </c>
    </row>
    <row r="5241" spans="1:28" x14ac:dyDescent="0.25">
      <c r="A5241" t="s">
        <v>5245</v>
      </c>
      <c r="B5241">
        <v>0.99193492352474899</v>
      </c>
      <c r="C5241">
        <v>0.63696849509006004</v>
      </c>
      <c r="D5241">
        <v>0.78179385755025399</v>
      </c>
      <c r="E5241">
        <v>0.23432468267437701</v>
      </c>
      <c r="F5241">
        <v>0.13267653854558001</v>
      </c>
      <c r="G5241">
        <v>6.0393811562941498E-2</v>
      </c>
      <c r="H5241">
        <v>4.5633808029315902E-2</v>
      </c>
      <c r="I5241">
        <v>6.30587874683841E-2</v>
      </c>
      <c r="J5241">
        <v>8.1655644707935696E-2</v>
      </c>
      <c r="K5241">
        <v>0.10298580685603</v>
      </c>
      <c r="L5241">
        <v>795.47238985921604</v>
      </c>
      <c r="M5241">
        <v>16.996891740966799</v>
      </c>
      <c r="N5241">
        <v>47.083363912178598</v>
      </c>
      <c r="O5241">
        <v>46.167626838414002</v>
      </c>
      <c r="P5241">
        <v>-8.7585859942728897E-2</v>
      </c>
      <c r="Q5241">
        <v>4.8442435321575703E-2</v>
      </c>
      <c r="R5241">
        <v>0.92232073676074</v>
      </c>
      <c r="S5241" t="s">
        <v>11911</v>
      </c>
      <c r="T5241" t="s">
        <v>13338</v>
      </c>
      <c r="U5241" t="s">
        <v>13338</v>
      </c>
      <c r="V5241" t="s">
        <v>13338</v>
      </c>
      <c r="W5241" t="s">
        <v>18522</v>
      </c>
      <c r="X5241">
        <v>15</v>
      </c>
      <c r="Y5241" t="s">
        <v>25019</v>
      </c>
      <c r="Z5241" t="s">
        <v>31656</v>
      </c>
      <c r="AA5241">
        <v>0.28425708141896472</v>
      </c>
      <c r="AB5241" t="str">
        <f>HYPERLINK("Melting_Curves/meltCurve_Q96T60_PNKP.pdf", "Melting_Curves/meltCurve_Q96T60_PNKP.pdf")</f>
        <v>Melting_Curves/meltCurve_Q96T60_PNKP.pdf</v>
      </c>
    </row>
    <row r="5242" spans="1:28" x14ac:dyDescent="0.25">
      <c r="A5242" t="s">
        <v>5246</v>
      </c>
      <c r="B5242">
        <v>0.99193492352474899</v>
      </c>
      <c r="C5242">
        <v>0.70351987776835601</v>
      </c>
      <c r="D5242">
        <v>0.53146986377095895</v>
      </c>
      <c r="E5242">
        <v>0.192164602629501</v>
      </c>
      <c r="F5242">
        <v>0.13979781135604599</v>
      </c>
      <c r="G5242">
        <v>9.0429744945459994E-2</v>
      </c>
      <c r="H5242">
        <v>6.3598303410960899E-2</v>
      </c>
      <c r="I5242">
        <v>6.50979578949855E-2</v>
      </c>
      <c r="J5242">
        <v>7.4657587606353701E-2</v>
      </c>
      <c r="K5242">
        <v>8.3687281185510706E-2</v>
      </c>
      <c r="L5242">
        <v>851.92846018210298</v>
      </c>
      <c r="M5242">
        <v>18.750307248788602</v>
      </c>
      <c r="N5242">
        <v>45.793783095490397</v>
      </c>
      <c r="O5242">
        <v>44.928095781620698</v>
      </c>
      <c r="P5242">
        <v>-9.7219895540582094E-2</v>
      </c>
      <c r="Q5242">
        <v>6.8234718429891997E-2</v>
      </c>
      <c r="R5242">
        <v>0.98749043561030603</v>
      </c>
      <c r="S5242" t="s">
        <v>11912</v>
      </c>
      <c r="T5242" t="s">
        <v>13338</v>
      </c>
      <c r="U5242" t="s">
        <v>13338</v>
      </c>
      <c r="V5242" t="s">
        <v>13338</v>
      </c>
      <c r="W5242" t="s">
        <v>18523</v>
      </c>
      <c r="X5242">
        <v>7</v>
      </c>
      <c r="Y5242" t="s">
        <v>25020</v>
      </c>
      <c r="Z5242" t="s">
        <v>31657</v>
      </c>
      <c r="AA5242">
        <v>0.25455366631430593</v>
      </c>
      <c r="AB5242" t="str">
        <f>HYPERLINK("Melting_Curves/meltCurve_Q96T76_MMS19.pdf", "Melting_Curves/meltCurve_Q96T76_MMS19.pdf")</f>
        <v>Melting_Curves/meltCurve_Q96T76_MMS19.pdf</v>
      </c>
    </row>
    <row r="5243" spans="1:28" x14ac:dyDescent="0.25">
      <c r="A5243" t="s">
        <v>5247</v>
      </c>
      <c r="B5243">
        <v>0.99193492352474899</v>
      </c>
      <c r="C5243">
        <v>0.96165251261138995</v>
      </c>
      <c r="D5243">
        <v>0.92447414980374598</v>
      </c>
      <c r="E5243">
        <v>0.67280596827251304</v>
      </c>
      <c r="F5243">
        <v>0.61672001674080801</v>
      </c>
      <c r="G5243">
        <v>0.37676114488097101</v>
      </c>
      <c r="H5243">
        <v>0.28283126775856499</v>
      </c>
      <c r="I5243">
        <v>0.35112046754902398</v>
      </c>
      <c r="J5243">
        <v>0.45023094382857698</v>
      </c>
      <c r="K5243">
        <v>0.56238546686396595</v>
      </c>
      <c r="L5243">
        <v>1068.2385404870699</v>
      </c>
      <c r="M5243">
        <v>21.490323302723599</v>
      </c>
      <c r="N5243">
        <v>53.907172243594196</v>
      </c>
      <c r="O5243">
        <v>49.283464015206697</v>
      </c>
      <c r="P5243">
        <v>-6.4727586128329795E-2</v>
      </c>
      <c r="Q5243">
        <v>0.40625888751674</v>
      </c>
      <c r="R5243">
        <v>0.899760078346031</v>
      </c>
      <c r="S5243" t="s">
        <v>11913</v>
      </c>
      <c r="T5243" t="s">
        <v>13338</v>
      </c>
      <c r="U5243" t="s">
        <v>13338</v>
      </c>
      <c r="V5243" t="s">
        <v>13338</v>
      </c>
      <c r="W5243" t="s">
        <v>18524</v>
      </c>
      <c r="X5243">
        <v>6</v>
      </c>
      <c r="Y5243" t="s">
        <v>25021</v>
      </c>
      <c r="Z5243" t="s">
        <v>31658</v>
      </c>
      <c r="AA5243">
        <v>0.60556642021141494</v>
      </c>
      <c r="AB5243" t="str">
        <f>HYPERLINK("Melting_Curves/meltCurve_Q96T83_SLC9A7.pdf", "Melting_Curves/meltCurve_Q96T83_SLC9A7.pdf")</f>
        <v>Melting_Curves/meltCurve_Q96T83_SLC9A7.pdf</v>
      </c>
    </row>
    <row r="5244" spans="1:28" x14ac:dyDescent="0.25">
      <c r="A5244" t="s">
        <v>5248</v>
      </c>
      <c r="B5244">
        <v>0.99193492352474899</v>
      </c>
      <c r="C5244">
        <v>0.377033939836323</v>
      </c>
      <c r="D5244">
        <v>0.25923749077897601</v>
      </c>
      <c r="E5244">
        <v>0.14921026390529801</v>
      </c>
      <c r="F5244">
        <v>0.11229491687420801</v>
      </c>
      <c r="G5244">
        <v>7.9235706029751704E-2</v>
      </c>
      <c r="H5244">
        <v>4.9707555160697803E-2</v>
      </c>
      <c r="I5244">
        <v>5.9134089044287103E-2</v>
      </c>
      <c r="J5244">
        <v>6.4117514717244597E-2</v>
      </c>
      <c r="K5244">
        <v>5.1783258696559399E-2</v>
      </c>
      <c r="L5244">
        <v>1987.4929403999499</v>
      </c>
      <c r="M5244">
        <v>46.996386575979102</v>
      </c>
      <c r="N5244">
        <v>42.488118559808903</v>
      </c>
      <c r="O5244">
        <v>42.213976218974601</v>
      </c>
      <c r="P5244">
        <v>-0.25097642428320299</v>
      </c>
      <c r="Q5244">
        <v>9.8253983012858107E-2</v>
      </c>
      <c r="R5244">
        <v>0.95650251902722605</v>
      </c>
      <c r="S5244" t="s">
        <v>11914</v>
      </c>
      <c r="T5244" t="s">
        <v>13338</v>
      </c>
      <c r="U5244" t="s">
        <v>13338</v>
      </c>
      <c r="V5244" t="s">
        <v>13338</v>
      </c>
      <c r="W5244" t="s">
        <v>18525</v>
      </c>
      <c r="X5244">
        <v>17</v>
      </c>
      <c r="Y5244" t="s">
        <v>25022</v>
      </c>
      <c r="Z5244" t="s">
        <v>31659</v>
      </c>
      <c r="AA5244">
        <v>0.1705292858406767</v>
      </c>
      <c r="AB5244" t="str">
        <f>HYPERLINK("Melting_Curves/meltCurve_Q96T88_UHRF1.pdf", "Melting_Curves/meltCurve_Q96T88_UHRF1.pdf")</f>
        <v>Melting_Curves/meltCurve_Q96T88_UHRF1.pdf</v>
      </c>
    </row>
    <row r="5245" spans="1:28" x14ac:dyDescent="0.25">
      <c r="A5245" t="s">
        <v>5249</v>
      </c>
      <c r="B5245">
        <v>0.99193492352474899</v>
      </c>
      <c r="C5245">
        <v>0.99733062823492602</v>
      </c>
      <c r="D5245">
        <v>1.0090794179417899</v>
      </c>
      <c r="E5245">
        <v>0.83433554836452595</v>
      </c>
      <c r="F5245">
        <v>0.39708562513600698</v>
      </c>
      <c r="G5245">
        <v>0.1378653541139</v>
      </c>
      <c r="H5245">
        <v>9.5585288696829696E-2</v>
      </c>
      <c r="I5245">
        <v>0.118018664208142</v>
      </c>
      <c r="J5245">
        <v>0.10783873464537901</v>
      </c>
      <c r="K5245">
        <v>9.7472208918785094E-2</v>
      </c>
      <c r="L5245">
        <v>1699.9227041930999</v>
      </c>
      <c r="M5245">
        <v>32.707496682180199</v>
      </c>
      <c r="N5245">
        <v>52.3301064102467</v>
      </c>
      <c r="O5245">
        <v>51.780357592555497</v>
      </c>
      <c r="P5245">
        <v>-0.142139541889373</v>
      </c>
      <c r="Q5245">
        <v>9.9900259144151293E-2</v>
      </c>
      <c r="R5245">
        <v>0.99913103422773497</v>
      </c>
      <c r="S5245" t="s">
        <v>11915</v>
      </c>
      <c r="T5245" t="s">
        <v>13338</v>
      </c>
      <c r="U5245" t="s">
        <v>13338</v>
      </c>
      <c r="V5245" t="s">
        <v>13338</v>
      </c>
      <c r="W5245" t="s">
        <v>18526</v>
      </c>
      <c r="X5245">
        <v>9</v>
      </c>
      <c r="Y5245" t="s">
        <v>25023</v>
      </c>
      <c r="Z5245" t="s">
        <v>31660</v>
      </c>
      <c r="AA5245">
        <v>0.46398479589766362</v>
      </c>
      <c r="AB5245" t="str">
        <f>HYPERLINK("Melting_Curves/meltCurve_Q96TA1_2_FAM129B.pdf", "Melting_Curves/meltCurve_Q96TA1_2_FAM129B.pdf")</f>
        <v>Melting_Curves/meltCurve_Q96TA1_2_FAM129B.pdf</v>
      </c>
    </row>
    <row r="5246" spans="1:28" x14ac:dyDescent="0.25">
      <c r="A5246" t="s">
        <v>5250</v>
      </c>
      <c r="B5246">
        <v>0.99193492352474899</v>
      </c>
      <c r="C5246">
        <v>0.77502378516016601</v>
      </c>
      <c r="D5246">
        <v>0.97237997920515495</v>
      </c>
      <c r="E5246">
        <v>0.64548843520020904</v>
      </c>
      <c r="F5246">
        <v>0.38378733874695098</v>
      </c>
      <c r="G5246">
        <v>0.16069296544374001</v>
      </c>
      <c r="H5246">
        <v>6.72504894872753E-2</v>
      </c>
      <c r="I5246">
        <v>7.2687175302372495E-2</v>
      </c>
      <c r="J5246">
        <v>8.8243329718639907E-2</v>
      </c>
      <c r="K5246">
        <v>8.52793210454868E-2</v>
      </c>
      <c r="L5246">
        <v>952.39856334169099</v>
      </c>
      <c r="M5246">
        <v>18.631524504398399</v>
      </c>
      <c r="N5246">
        <v>51.444403317608597</v>
      </c>
      <c r="O5246">
        <v>50.539631620968798</v>
      </c>
      <c r="P5246">
        <v>-8.7022854069016997E-2</v>
      </c>
      <c r="Q5246">
        <v>5.58124470429055E-2</v>
      </c>
      <c r="R5246">
        <v>0.96352955663301598</v>
      </c>
      <c r="S5246" t="s">
        <v>11916</v>
      </c>
      <c r="T5246" t="s">
        <v>13338</v>
      </c>
      <c r="U5246" t="s">
        <v>13338</v>
      </c>
      <c r="V5246" t="s">
        <v>13338</v>
      </c>
      <c r="W5246" t="s">
        <v>18527</v>
      </c>
      <c r="X5246">
        <v>17</v>
      </c>
      <c r="Y5246" t="s">
        <v>25024</v>
      </c>
      <c r="Z5246" t="s">
        <v>31661</v>
      </c>
      <c r="AA5246">
        <v>0.42064385985973901</v>
      </c>
      <c r="AB5246" t="str">
        <f>HYPERLINK("Melting_Curves/meltCurve_Q96TA2_3_YME1L1.pdf", "Melting_Curves/meltCurve_Q96TA2_3_YME1L1.pdf")</f>
        <v>Melting_Curves/meltCurve_Q96TA2_3_YME1L1.pdf</v>
      </c>
    </row>
    <row r="5247" spans="1:28" x14ac:dyDescent="0.25">
      <c r="A5247" t="s">
        <v>5251</v>
      </c>
      <c r="B5247">
        <v>0.99193492352474899</v>
      </c>
      <c r="C5247">
        <v>0.98053695358190096</v>
      </c>
      <c r="D5247">
        <v>0.99422483307021003</v>
      </c>
      <c r="E5247">
        <v>0.63626313258568501</v>
      </c>
      <c r="F5247">
        <v>0.22017090210368701</v>
      </c>
      <c r="G5247">
        <v>0.13329425916729701</v>
      </c>
      <c r="H5247">
        <v>0.116603677274324</v>
      </c>
      <c r="I5247">
        <v>7.4832430338622496E-2</v>
      </c>
      <c r="J5247">
        <v>0.11989419305160701</v>
      </c>
      <c r="K5247">
        <v>6.3358589911847799E-2</v>
      </c>
      <c r="L5247">
        <v>1716.33102225978</v>
      </c>
      <c r="M5247">
        <v>34.168933636404098</v>
      </c>
      <c r="N5247">
        <v>50.553437004867</v>
      </c>
      <c r="O5247">
        <v>50.059628073425898</v>
      </c>
      <c r="P5247">
        <v>-0.15392235877959401</v>
      </c>
      <c r="Q5247">
        <v>9.7979918394736895E-2</v>
      </c>
      <c r="R5247">
        <v>0.99725832416404303</v>
      </c>
      <c r="S5247" t="s">
        <v>11917</v>
      </c>
      <c r="T5247" t="s">
        <v>13338</v>
      </c>
      <c r="U5247" t="s">
        <v>13338</v>
      </c>
      <c r="V5247" t="s">
        <v>13338</v>
      </c>
      <c r="W5247" t="s">
        <v>18528</v>
      </c>
      <c r="X5247">
        <v>2</v>
      </c>
      <c r="Y5247" t="s">
        <v>25025</v>
      </c>
      <c r="Z5247" t="s">
        <v>31662</v>
      </c>
      <c r="AA5247">
        <v>0.40989701230405101</v>
      </c>
      <c r="AB5247" t="str">
        <f>HYPERLINK("Melting_Curves/meltCurve_Q96TC7_RMDN3.pdf", "Melting_Curves/meltCurve_Q96TC7_RMDN3.pdf")</f>
        <v>Melting_Curves/meltCurve_Q96TC7_RMDN3.pdf</v>
      </c>
    </row>
    <row r="5248" spans="1:28" x14ac:dyDescent="0.25">
      <c r="A5248" t="s">
        <v>5252</v>
      </c>
      <c r="B5248">
        <v>0.99193492352474899</v>
      </c>
      <c r="C5248">
        <v>0.613278441381366</v>
      </c>
      <c r="D5248">
        <v>0.49561521690162103</v>
      </c>
      <c r="E5248">
        <v>0.20332666234336599</v>
      </c>
      <c r="F5248">
        <v>0.16130112307743499</v>
      </c>
      <c r="G5248">
        <v>0.104312511370764</v>
      </c>
      <c r="H5248">
        <v>0.106930255787084</v>
      </c>
      <c r="I5248">
        <v>0.164705898959598</v>
      </c>
      <c r="J5248">
        <v>0.23434749637726199</v>
      </c>
      <c r="K5248">
        <v>0.31342487165619698</v>
      </c>
      <c r="L5248">
        <v>958.17987862093605</v>
      </c>
      <c r="M5248">
        <v>21.772675647654701</v>
      </c>
      <c r="N5248">
        <v>44.909080127688398</v>
      </c>
      <c r="O5248">
        <v>43.642163701965401</v>
      </c>
      <c r="P5248">
        <v>-0.10266023341550699</v>
      </c>
      <c r="Q5248">
        <v>0.17691133256206601</v>
      </c>
      <c r="R5248">
        <v>0.92133715259354099</v>
      </c>
      <c r="S5248" t="s">
        <v>11918</v>
      </c>
      <c r="T5248" t="s">
        <v>13338</v>
      </c>
      <c r="U5248" t="s">
        <v>13338</v>
      </c>
      <c r="V5248" t="s">
        <v>13338</v>
      </c>
      <c r="W5248" t="s">
        <v>18529</v>
      </c>
      <c r="X5248">
        <v>9</v>
      </c>
      <c r="Y5248" t="s">
        <v>25026</v>
      </c>
      <c r="Z5248" t="s">
        <v>31663</v>
      </c>
      <c r="AA5248">
        <v>0.30000050525094202</v>
      </c>
      <c r="AB5248" t="str">
        <f>HYPERLINK("Melting_Curves/meltCurve_Q99081_TCF12.pdf", "Melting_Curves/meltCurve_Q99081_TCF12.pdf")</f>
        <v>Melting_Curves/meltCurve_Q99081_TCF12.pdf</v>
      </c>
    </row>
    <row r="5249" spans="1:28" x14ac:dyDescent="0.25">
      <c r="A5249" t="s">
        <v>5253</v>
      </c>
      <c r="B5249">
        <v>0.99193492352474899</v>
      </c>
      <c r="C5249">
        <v>0.808667138621743</v>
      </c>
      <c r="D5249">
        <v>0.86387806294915004</v>
      </c>
      <c r="E5249">
        <v>0.72223173552410103</v>
      </c>
      <c r="F5249">
        <v>0.64590223463184304</v>
      </c>
      <c r="G5249">
        <v>0.497002997681249</v>
      </c>
      <c r="H5249">
        <v>0.38697193602531199</v>
      </c>
      <c r="I5249">
        <v>0.44562141815796902</v>
      </c>
      <c r="J5249">
        <v>0.48808900660571097</v>
      </c>
      <c r="K5249">
        <v>0.63799416240945706</v>
      </c>
      <c r="L5249">
        <v>620.97309017620796</v>
      </c>
      <c r="M5249">
        <v>12.841485296046301</v>
      </c>
      <c r="N5249">
        <v>62.858781363629703</v>
      </c>
      <c r="O5249">
        <v>47.229146523781999</v>
      </c>
      <c r="P5249">
        <v>-3.5750364113960403E-2</v>
      </c>
      <c r="Q5249">
        <v>0.47415857654211802</v>
      </c>
      <c r="R5249">
        <v>0.83056337521921897</v>
      </c>
      <c r="S5249" t="s">
        <v>11919</v>
      </c>
      <c r="T5249" t="s">
        <v>13338</v>
      </c>
      <c r="U5249" t="s">
        <v>13338</v>
      </c>
      <c r="V5249" t="s">
        <v>13338</v>
      </c>
      <c r="W5249" t="s">
        <v>18530</v>
      </c>
      <c r="X5249">
        <v>12</v>
      </c>
      <c r="Y5249" t="s">
        <v>25027</v>
      </c>
      <c r="Z5249" t="s">
        <v>31664</v>
      </c>
      <c r="AA5249">
        <v>0.6384681828964861</v>
      </c>
      <c r="AB5249" t="str">
        <f>HYPERLINK("Melting_Curves/meltCurve_Q99417_MYCBP.pdf", "Melting_Curves/meltCurve_Q99417_MYCBP.pdf")</f>
        <v>Melting_Curves/meltCurve_Q99417_MYCBP.pdf</v>
      </c>
    </row>
    <row r="5250" spans="1:28" x14ac:dyDescent="0.25">
      <c r="A5250" t="s">
        <v>5254</v>
      </c>
      <c r="B5250">
        <v>0.99193492352474899</v>
      </c>
      <c r="C5250">
        <v>0.93318155434830996</v>
      </c>
      <c r="D5250">
        <v>0.649387751743145</v>
      </c>
      <c r="E5250">
        <v>0.31167129093319701</v>
      </c>
      <c r="F5250">
        <v>0.141040720550939</v>
      </c>
      <c r="G5250">
        <v>7.9423517365056706E-2</v>
      </c>
      <c r="H5250">
        <v>4.9955503055869599E-2</v>
      </c>
      <c r="I5250">
        <v>7.1361303072664195E-2</v>
      </c>
      <c r="J5250">
        <v>8.1721582390994807E-2</v>
      </c>
      <c r="K5250">
        <v>9.6040714475340599E-2</v>
      </c>
      <c r="L5250">
        <v>1081.5976084526801</v>
      </c>
      <c r="M5250">
        <v>22.933774311678299</v>
      </c>
      <c r="N5250">
        <v>47.4845346535066</v>
      </c>
      <c r="O5250">
        <v>46.807587186858903</v>
      </c>
      <c r="P5250">
        <v>-0.113651696896045</v>
      </c>
      <c r="Q5250">
        <v>7.2169994838044899E-2</v>
      </c>
      <c r="R5250">
        <v>0.99808001043542305</v>
      </c>
      <c r="S5250" t="s">
        <v>11920</v>
      </c>
      <c r="T5250" t="s">
        <v>13338</v>
      </c>
      <c r="U5250" t="s">
        <v>13338</v>
      </c>
      <c r="V5250" t="s">
        <v>13338</v>
      </c>
      <c r="W5250" t="s">
        <v>18531</v>
      </c>
      <c r="X5250">
        <v>18</v>
      </c>
      <c r="Y5250" t="s">
        <v>25028</v>
      </c>
      <c r="Z5250" t="s">
        <v>31665</v>
      </c>
      <c r="AA5250">
        <v>0.30365196673616113</v>
      </c>
      <c r="AB5250" t="str">
        <f>HYPERLINK("Melting_Curves/meltCurve_Q99426_TBCB.pdf", "Melting_Curves/meltCurve_Q99426_TBCB.pdf")</f>
        <v>Melting_Curves/meltCurve_Q99426_TBCB.pdf</v>
      </c>
    </row>
    <row r="5251" spans="1:28" x14ac:dyDescent="0.25">
      <c r="A5251" t="s">
        <v>5255</v>
      </c>
      <c r="B5251">
        <v>0.99193492352474899</v>
      </c>
      <c r="C5251">
        <v>0.99133812249846898</v>
      </c>
      <c r="D5251">
        <v>1.0057227466969301</v>
      </c>
      <c r="E5251">
        <v>0.89511557978756096</v>
      </c>
      <c r="F5251">
        <v>0.91010922156085405</v>
      </c>
      <c r="G5251">
        <v>0.80135406239710105</v>
      </c>
      <c r="H5251">
        <v>0.52822321015281004</v>
      </c>
      <c r="I5251">
        <v>0.61373857766028606</v>
      </c>
      <c r="J5251">
        <v>0.58731546922869304</v>
      </c>
      <c r="K5251">
        <v>0.420756599269</v>
      </c>
      <c r="L5251">
        <v>792.87577260866101</v>
      </c>
      <c r="M5251">
        <v>13.6262456462592</v>
      </c>
      <c r="N5251">
        <v>68.164681576608004</v>
      </c>
      <c r="O5251">
        <v>56.977087821087302</v>
      </c>
      <c r="P5251">
        <v>-3.3967265377855098E-2</v>
      </c>
      <c r="Q5251">
        <v>0.43195761667501498</v>
      </c>
      <c r="R5251">
        <v>0.92931254446388201</v>
      </c>
      <c r="S5251" t="s">
        <v>11921</v>
      </c>
      <c r="T5251" t="s">
        <v>13338</v>
      </c>
      <c r="U5251" t="s">
        <v>13338</v>
      </c>
      <c r="V5251" t="s">
        <v>13338</v>
      </c>
      <c r="W5251" t="s">
        <v>18532</v>
      </c>
      <c r="X5251">
        <v>10</v>
      </c>
      <c r="Y5251" t="s">
        <v>25029</v>
      </c>
      <c r="Z5251" t="s">
        <v>31666</v>
      </c>
      <c r="AA5251">
        <v>0.78360268323268178</v>
      </c>
      <c r="AB5251" t="str">
        <f>HYPERLINK("Melting_Curves/meltCurve_Q99436_PSMB7.pdf", "Melting_Curves/meltCurve_Q99436_PSMB7.pdf")</f>
        <v>Melting_Curves/meltCurve_Q99436_PSMB7.pdf</v>
      </c>
    </row>
    <row r="5252" spans="1:28" x14ac:dyDescent="0.25">
      <c r="A5252" t="s">
        <v>5256</v>
      </c>
      <c r="B5252">
        <v>0.99193492352474899</v>
      </c>
      <c r="C5252">
        <v>0.763023181639222</v>
      </c>
      <c r="D5252">
        <v>0.86369241711045497</v>
      </c>
      <c r="E5252">
        <v>0.65595388081712203</v>
      </c>
      <c r="F5252">
        <v>0.42330711183806802</v>
      </c>
      <c r="G5252">
        <v>0.28245336905320301</v>
      </c>
      <c r="H5252">
        <v>0.18945479424071299</v>
      </c>
      <c r="I5252">
        <v>0.15559277236977401</v>
      </c>
      <c r="J5252">
        <v>0.13891334555071599</v>
      </c>
      <c r="K5252">
        <v>0.13470904259500799</v>
      </c>
      <c r="L5252">
        <v>572.29744779013902</v>
      </c>
      <c r="M5252">
        <v>11.1731941393142</v>
      </c>
      <c r="N5252">
        <v>51.919838078520698</v>
      </c>
      <c r="O5252">
        <v>49.662004479461203</v>
      </c>
      <c r="P5252">
        <v>-5.2333835684411703E-2</v>
      </c>
      <c r="Q5252">
        <v>6.9853205569877605E-2</v>
      </c>
      <c r="R5252">
        <v>0.97114437418848998</v>
      </c>
      <c r="S5252" t="s">
        <v>11922</v>
      </c>
      <c r="T5252" t="s">
        <v>13338</v>
      </c>
      <c r="U5252" t="s">
        <v>13338</v>
      </c>
      <c r="V5252" t="s">
        <v>13338</v>
      </c>
      <c r="W5252" t="s">
        <v>18533</v>
      </c>
      <c r="X5252">
        <v>7</v>
      </c>
      <c r="Y5252" t="s">
        <v>25030</v>
      </c>
      <c r="Z5252" t="s">
        <v>31667</v>
      </c>
      <c r="AA5252">
        <v>0.45072975508586949</v>
      </c>
      <c r="AB5252" t="str">
        <f>HYPERLINK("Melting_Curves/meltCurve_Q99442_SEC62.pdf", "Melting_Curves/meltCurve_Q99442_SEC62.pdf")</f>
        <v>Melting_Curves/meltCurve_Q99442_SEC62.pdf</v>
      </c>
    </row>
    <row r="5253" spans="1:28" x14ac:dyDescent="0.25">
      <c r="A5253" t="s">
        <v>5257</v>
      </c>
      <c r="B5253">
        <v>0.99193492352474899</v>
      </c>
      <c r="C5253">
        <v>0.89684323272792199</v>
      </c>
      <c r="D5253">
        <v>1.0057202168830499</v>
      </c>
      <c r="E5253">
        <v>0.80672170203999205</v>
      </c>
      <c r="F5253">
        <v>0.59580543465033797</v>
      </c>
      <c r="G5253">
        <v>0.21985618015660499</v>
      </c>
      <c r="H5253">
        <v>7.3494941816253601E-2</v>
      </c>
      <c r="I5253">
        <v>8.2284604886655802E-2</v>
      </c>
      <c r="J5253">
        <v>8.0870806291556505E-2</v>
      </c>
      <c r="K5253">
        <v>0.10665231213271199</v>
      </c>
      <c r="L5253">
        <v>1243.0707218903599</v>
      </c>
      <c r="M5253">
        <v>23.312383060030498</v>
      </c>
      <c r="N5253">
        <v>53.643749143986298</v>
      </c>
      <c r="O5253">
        <v>52.9346033940176</v>
      </c>
      <c r="P5253">
        <v>-0.102925250519046</v>
      </c>
      <c r="Q5253">
        <v>6.5181344345306605E-2</v>
      </c>
      <c r="R5253">
        <v>0.98662443568963298</v>
      </c>
      <c r="S5253" t="s">
        <v>11923</v>
      </c>
      <c r="T5253" t="s">
        <v>13338</v>
      </c>
      <c r="U5253" t="s">
        <v>13338</v>
      </c>
      <c r="V5253" t="s">
        <v>13338</v>
      </c>
      <c r="W5253" t="s">
        <v>18534</v>
      </c>
      <c r="X5253">
        <v>14</v>
      </c>
      <c r="Y5253" t="s">
        <v>25031</v>
      </c>
      <c r="Z5253" t="s">
        <v>31668</v>
      </c>
      <c r="AA5253">
        <v>0.49012007947263819</v>
      </c>
      <c r="AB5253" t="str">
        <f>HYPERLINK("Melting_Curves/meltCurve_Q99447_PCYT2.pdf", "Melting_Curves/meltCurve_Q99447_PCYT2.pdf")</f>
        <v>Melting_Curves/meltCurve_Q99447_PCYT2.pdf</v>
      </c>
    </row>
    <row r="5254" spans="1:28" x14ac:dyDescent="0.25">
      <c r="A5254" t="s">
        <v>5258</v>
      </c>
      <c r="B5254">
        <v>0.99193492352474899</v>
      </c>
      <c r="C5254">
        <v>0.68120227898339403</v>
      </c>
      <c r="D5254">
        <v>0.84923400437587104</v>
      </c>
      <c r="E5254">
        <v>0.32016912817972598</v>
      </c>
      <c r="F5254">
        <v>0.19321299587038801</v>
      </c>
      <c r="G5254">
        <v>0.102646525455259</v>
      </c>
      <c r="H5254">
        <v>7.6245461520109206E-2</v>
      </c>
      <c r="I5254">
        <v>0.114485196247986</v>
      </c>
      <c r="J5254">
        <v>0.16817646410426501</v>
      </c>
      <c r="K5254">
        <v>0.209512009773684</v>
      </c>
      <c r="L5254">
        <v>925.67163225250397</v>
      </c>
      <c r="M5254">
        <v>19.538667139889402</v>
      </c>
      <c r="N5254">
        <v>48.045247725703099</v>
      </c>
      <c r="O5254">
        <v>46.888492195907503</v>
      </c>
      <c r="P5254">
        <v>-9.1774790487473903E-2</v>
      </c>
      <c r="Q5254">
        <v>0.11907438960241799</v>
      </c>
      <c r="R5254">
        <v>0.90952645347298999</v>
      </c>
      <c r="S5254" t="s">
        <v>11924</v>
      </c>
      <c r="T5254" t="s">
        <v>13338</v>
      </c>
      <c r="U5254" t="s">
        <v>13338</v>
      </c>
      <c r="V5254" t="s">
        <v>13338</v>
      </c>
      <c r="W5254" t="s">
        <v>18535</v>
      </c>
      <c r="X5254">
        <v>13</v>
      </c>
      <c r="Y5254" t="s">
        <v>25032</v>
      </c>
      <c r="Z5254" t="s">
        <v>31669</v>
      </c>
      <c r="AA5254">
        <v>0.34906176507866449</v>
      </c>
      <c r="AB5254" t="str">
        <f>HYPERLINK("Melting_Curves/meltCurve_Q99459_CDC5L.pdf", "Melting_Curves/meltCurve_Q99459_CDC5L.pdf")</f>
        <v>Melting_Curves/meltCurve_Q99459_CDC5L.pdf</v>
      </c>
    </row>
    <row r="5255" spans="1:28" x14ac:dyDescent="0.25">
      <c r="A5255" t="s">
        <v>5259</v>
      </c>
      <c r="B5255">
        <v>0.99193492352474899</v>
      </c>
      <c r="C5255">
        <v>0.79786294717711304</v>
      </c>
      <c r="D5255">
        <v>0.94689042281986002</v>
      </c>
      <c r="E5255">
        <v>0.73946713784476303</v>
      </c>
      <c r="F5255">
        <v>0.86178646797939396</v>
      </c>
      <c r="G5255">
        <v>0.26640464639301298</v>
      </c>
      <c r="H5255">
        <v>7.7135255779336998E-2</v>
      </c>
      <c r="I5255">
        <v>7.8679388466642797E-2</v>
      </c>
      <c r="J5255">
        <v>8.3533889455518207E-2</v>
      </c>
      <c r="K5255">
        <v>7.2363901468239497E-2</v>
      </c>
      <c r="L5255">
        <v>2266.8385066640399</v>
      </c>
      <c r="M5255">
        <v>41.137487256508102</v>
      </c>
      <c r="N5255">
        <v>55.307995838489397</v>
      </c>
      <c r="O5255">
        <v>54.974225253061697</v>
      </c>
      <c r="P5255">
        <v>-0.17390599051127201</v>
      </c>
      <c r="Q5255">
        <v>7.0402202380694806E-2</v>
      </c>
      <c r="R5255">
        <v>0.92695084253624205</v>
      </c>
      <c r="S5255" t="s">
        <v>11925</v>
      </c>
      <c r="T5255" t="s">
        <v>13338</v>
      </c>
      <c r="U5255" t="s">
        <v>13338</v>
      </c>
      <c r="V5255" t="s">
        <v>13338</v>
      </c>
      <c r="W5255" t="s">
        <v>18536</v>
      </c>
      <c r="X5255">
        <v>38</v>
      </c>
      <c r="Y5255" t="s">
        <v>25033</v>
      </c>
      <c r="Z5255" t="s">
        <v>31670</v>
      </c>
      <c r="AA5255">
        <v>0.54175824079004442</v>
      </c>
      <c r="AB5255" t="str">
        <f>HYPERLINK("Melting_Curves/meltCurve_Q99460_PSMD1.pdf", "Melting_Curves/meltCurve_Q99460_PSMD1.pdf")</f>
        <v>Melting_Curves/meltCurve_Q99460_PSMD1.pdf</v>
      </c>
    </row>
    <row r="5256" spans="1:28" x14ac:dyDescent="0.25">
      <c r="A5256" t="s">
        <v>5260</v>
      </c>
      <c r="B5256">
        <v>0.99193492352474899</v>
      </c>
      <c r="C5256">
        <v>0.79685567413731395</v>
      </c>
      <c r="D5256">
        <v>0.951820170567931</v>
      </c>
      <c r="E5256">
        <v>0.73276381945920299</v>
      </c>
      <c r="F5256">
        <v>0.53639364388996302</v>
      </c>
      <c r="G5256">
        <v>0.28319719271924898</v>
      </c>
      <c r="H5256">
        <v>0.14555316079137801</v>
      </c>
      <c r="I5256">
        <v>0.120829865893889</v>
      </c>
      <c r="J5256">
        <v>0.102204151500564</v>
      </c>
      <c r="K5256">
        <v>0.117447830213145</v>
      </c>
      <c r="L5256">
        <v>764.93668678172196</v>
      </c>
      <c r="M5256">
        <v>14.4952630067512</v>
      </c>
      <c r="N5256">
        <v>53.228803239742099</v>
      </c>
      <c r="O5256">
        <v>51.797616522055897</v>
      </c>
      <c r="P5256">
        <v>-6.5872718339689398E-2</v>
      </c>
      <c r="Q5256">
        <v>5.85460392600839E-2</v>
      </c>
      <c r="R5256">
        <v>0.970265466188587</v>
      </c>
      <c r="S5256" t="s">
        <v>11926</v>
      </c>
      <c r="T5256" t="s">
        <v>13338</v>
      </c>
      <c r="U5256" t="s">
        <v>13338</v>
      </c>
      <c r="V5256" t="s">
        <v>13338</v>
      </c>
      <c r="W5256" t="s">
        <v>18537</v>
      </c>
      <c r="X5256">
        <v>2</v>
      </c>
      <c r="Y5256" t="s">
        <v>25034</v>
      </c>
      <c r="Z5256" t="s">
        <v>31671</v>
      </c>
      <c r="AA5256">
        <v>0.48079555394291412</v>
      </c>
      <c r="AB5256" t="str">
        <f>HYPERLINK("Melting_Curves/meltCurve_Q99470_SDF2.pdf", "Melting_Curves/meltCurve_Q99470_SDF2.pdf")</f>
        <v>Melting_Curves/meltCurve_Q99470_SDF2.pdf</v>
      </c>
    </row>
    <row r="5257" spans="1:28" x14ac:dyDescent="0.25">
      <c r="A5257" t="s">
        <v>5261</v>
      </c>
      <c r="B5257">
        <v>0.99193492352474899</v>
      </c>
      <c r="C5257">
        <v>1.1661741979296301</v>
      </c>
      <c r="D5257">
        <v>0.88477851744802305</v>
      </c>
      <c r="E5257">
        <v>0.99096333538932302</v>
      </c>
      <c r="F5257">
        <v>0.66736328097064701</v>
      </c>
      <c r="G5257">
        <v>0.67319946540280995</v>
      </c>
      <c r="H5257">
        <v>0.40691727181126203</v>
      </c>
      <c r="I5257">
        <v>0.37358642982791801</v>
      </c>
      <c r="J5257">
        <v>0.25438248749695003</v>
      </c>
      <c r="K5257">
        <v>0.264697500480986</v>
      </c>
      <c r="L5257">
        <v>770.52879241419805</v>
      </c>
      <c r="M5257">
        <v>13.5341881217519</v>
      </c>
      <c r="N5257">
        <v>59.090520232619703</v>
      </c>
      <c r="O5257">
        <v>55.7322448911818</v>
      </c>
      <c r="P5257">
        <v>-4.8877927907340503E-2</v>
      </c>
      <c r="Q5257">
        <v>0.195026839160927</v>
      </c>
      <c r="R5257">
        <v>0.93467119061065895</v>
      </c>
      <c r="S5257" t="s">
        <v>11927</v>
      </c>
      <c r="T5257" t="s">
        <v>13338</v>
      </c>
      <c r="U5257" t="s">
        <v>13338</v>
      </c>
      <c r="V5257" t="s">
        <v>13338</v>
      </c>
      <c r="W5257" t="s">
        <v>18538</v>
      </c>
      <c r="X5257">
        <v>14</v>
      </c>
      <c r="Y5257" t="s">
        <v>25035</v>
      </c>
      <c r="Z5257" t="s">
        <v>31672</v>
      </c>
      <c r="AA5257">
        <v>0.66283422029342443</v>
      </c>
      <c r="AB5257" t="str">
        <f>HYPERLINK("Melting_Curves/meltCurve_Q99471_PFDN5.pdf", "Melting_Curves/meltCurve_Q99471_PFDN5.pdf")</f>
        <v>Melting_Curves/meltCurve_Q99471_PFDN5.pdf</v>
      </c>
    </row>
    <row r="5258" spans="1:28" x14ac:dyDescent="0.25">
      <c r="A5258" t="s">
        <v>5262</v>
      </c>
      <c r="B5258">
        <v>0.99193492352474899</v>
      </c>
      <c r="C5258">
        <v>0.92135716348703001</v>
      </c>
      <c r="D5258">
        <v>0.93595844780332504</v>
      </c>
      <c r="E5258">
        <v>0.71288482255337304</v>
      </c>
      <c r="F5258">
        <v>0.55494652360390095</v>
      </c>
      <c r="G5258">
        <v>0.31444656535542798</v>
      </c>
      <c r="H5258">
        <v>0.130024668634247</v>
      </c>
      <c r="I5258">
        <v>0.12991886715020101</v>
      </c>
      <c r="J5258">
        <v>0.12697744485713999</v>
      </c>
      <c r="K5258">
        <v>0.114329165516766</v>
      </c>
      <c r="L5258">
        <v>796.377882618439</v>
      </c>
      <c r="M5258">
        <v>15.073469121658601</v>
      </c>
      <c r="N5258">
        <v>53.385475214708499</v>
      </c>
      <c r="O5258">
        <v>51.929365290583597</v>
      </c>
      <c r="P5258">
        <v>-6.7334008431663206E-2</v>
      </c>
      <c r="Q5258">
        <v>7.2206735125982302E-2</v>
      </c>
      <c r="R5258">
        <v>0.99194681157067299</v>
      </c>
      <c r="S5258" t="s">
        <v>11928</v>
      </c>
      <c r="T5258" t="s">
        <v>13338</v>
      </c>
      <c r="U5258" t="s">
        <v>13338</v>
      </c>
      <c r="V5258" t="s">
        <v>13338</v>
      </c>
      <c r="W5258" t="s">
        <v>18539</v>
      </c>
      <c r="X5258">
        <v>5</v>
      </c>
      <c r="Y5258" t="s">
        <v>25036</v>
      </c>
      <c r="Z5258" t="s">
        <v>31673</v>
      </c>
      <c r="AA5258">
        <v>0.48905299862441992</v>
      </c>
      <c r="AB5258" t="str">
        <f>HYPERLINK("Melting_Curves/meltCurve_Q99487_PAFAH2.pdf", "Melting_Curves/meltCurve_Q99487_PAFAH2.pdf")</f>
        <v>Melting_Curves/meltCurve_Q99487_PAFAH2.pdf</v>
      </c>
    </row>
    <row r="5259" spans="1:28" x14ac:dyDescent="0.25">
      <c r="A5259" t="s">
        <v>5263</v>
      </c>
      <c r="B5259">
        <v>0.99193492352474899</v>
      </c>
      <c r="C5259">
        <v>0.57758820958181001</v>
      </c>
      <c r="D5259">
        <v>0.67744115923537795</v>
      </c>
      <c r="E5259">
        <v>0.185687999577624</v>
      </c>
      <c r="F5259">
        <v>0.126959441449292</v>
      </c>
      <c r="G5259">
        <v>6.9915053661441198E-2</v>
      </c>
      <c r="H5259">
        <v>3.6987804234256599E-2</v>
      </c>
      <c r="I5259">
        <v>5.9906879558307403E-2</v>
      </c>
      <c r="J5259">
        <v>5.7225393773834801E-2</v>
      </c>
      <c r="K5259">
        <v>5.3313241815216197E-2</v>
      </c>
      <c r="L5259">
        <v>699.12263156279903</v>
      </c>
      <c r="M5259">
        <v>15.231917045007901</v>
      </c>
      <c r="N5259">
        <v>46.096584787373203</v>
      </c>
      <c r="O5259">
        <v>45.129238921614402</v>
      </c>
      <c r="P5259">
        <v>-8.1714582069799493E-2</v>
      </c>
      <c r="Q5259">
        <v>3.16740425055878E-2</v>
      </c>
      <c r="R5259">
        <v>0.92847932256784704</v>
      </c>
      <c r="S5259" t="s">
        <v>11929</v>
      </c>
      <c r="T5259" t="s">
        <v>13338</v>
      </c>
      <c r="U5259" t="s">
        <v>13338</v>
      </c>
      <c r="V5259" t="s">
        <v>13338</v>
      </c>
      <c r="W5259" t="s">
        <v>18540</v>
      </c>
      <c r="X5259">
        <v>10</v>
      </c>
      <c r="Y5259" t="s">
        <v>20963</v>
      </c>
      <c r="Z5259" t="s">
        <v>31674</v>
      </c>
      <c r="AA5259">
        <v>0.24967709335220911</v>
      </c>
      <c r="AB5259" t="str">
        <f>HYPERLINK("Melting_Curves/meltCurve_Q99490_2_AGAP2.pdf", "Melting_Curves/meltCurve_Q99490_2_AGAP2.pdf")</f>
        <v>Melting_Curves/meltCurve_Q99490_2_AGAP2.pdf</v>
      </c>
    </row>
    <row r="5260" spans="1:28" x14ac:dyDescent="0.25">
      <c r="A5260" t="s">
        <v>5264</v>
      </c>
      <c r="B5260">
        <v>0.99193492352474899</v>
      </c>
      <c r="C5260">
        <v>0.63173319575035103</v>
      </c>
      <c r="D5260">
        <v>0.69567617622089595</v>
      </c>
      <c r="E5260">
        <v>0.431091899184884</v>
      </c>
      <c r="F5260">
        <v>0.27852202151588301</v>
      </c>
      <c r="G5260">
        <v>0.15011070571869001</v>
      </c>
      <c r="H5260">
        <v>9.9678074606544598E-2</v>
      </c>
      <c r="I5260">
        <v>0.146497382200173</v>
      </c>
      <c r="J5260">
        <v>0.20272120780415001</v>
      </c>
      <c r="K5260">
        <v>0.19550209192519299</v>
      </c>
      <c r="L5260">
        <v>600.15717392323302</v>
      </c>
      <c r="M5260">
        <v>12.865181748571599</v>
      </c>
      <c r="N5260">
        <v>47.778171472575799</v>
      </c>
      <c r="O5260">
        <v>45.565728437446701</v>
      </c>
      <c r="P5260">
        <v>-6.1349244966109301E-2</v>
      </c>
      <c r="Q5260">
        <v>0.131016138679387</v>
      </c>
      <c r="R5260">
        <v>0.93177042099024299</v>
      </c>
      <c r="S5260" t="s">
        <v>11930</v>
      </c>
      <c r="T5260" t="s">
        <v>13338</v>
      </c>
      <c r="U5260" t="s">
        <v>13338</v>
      </c>
      <c r="V5260" t="s">
        <v>13338</v>
      </c>
      <c r="W5260" t="s">
        <v>18541</v>
      </c>
      <c r="X5260">
        <v>7</v>
      </c>
      <c r="Y5260" t="s">
        <v>25037</v>
      </c>
      <c r="Z5260" t="s">
        <v>31675</v>
      </c>
      <c r="AA5260">
        <v>0.35649880555726021</v>
      </c>
      <c r="AB5260" t="str">
        <f>HYPERLINK("Melting_Curves/meltCurve_Q99496_RNF2.pdf", "Melting_Curves/meltCurve_Q99496_RNF2.pdf")</f>
        <v>Melting_Curves/meltCurve_Q99496_RNF2.pdf</v>
      </c>
    </row>
    <row r="5261" spans="1:28" x14ac:dyDescent="0.25">
      <c r="A5261" t="s">
        <v>5265</v>
      </c>
      <c r="B5261">
        <v>0.99193492352474899</v>
      </c>
      <c r="C5261">
        <v>0.97959069415190103</v>
      </c>
      <c r="D5261">
        <v>0.92034390184236503</v>
      </c>
      <c r="E5261">
        <v>0.84404570777504095</v>
      </c>
      <c r="F5261">
        <v>0.61143002453241702</v>
      </c>
      <c r="G5261">
        <v>0.38634354007107002</v>
      </c>
      <c r="H5261">
        <v>0.21611722305575801</v>
      </c>
      <c r="I5261">
        <v>0.168061477173304</v>
      </c>
      <c r="J5261">
        <v>0.169936556559143</v>
      </c>
      <c r="K5261">
        <v>0.184718915930983</v>
      </c>
      <c r="L5261">
        <v>948.18713757940702</v>
      </c>
      <c r="M5261">
        <v>17.6690704953545</v>
      </c>
      <c r="N5261">
        <v>54.704110553884298</v>
      </c>
      <c r="O5261">
        <v>52.990434513422301</v>
      </c>
      <c r="P5261">
        <v>-7.1467384245974402E-2</v>
      </c>
      <c r="Q5261">
        <v>0.14270832739390399</v>
      </c>
      <c r="R5261">
        <v>0.99705296159823997</v>
      </c>
      <c r="S5261" t="s">
        <v>11931</v>
      </c>
      <c r="T5261" t="s">
        <v>13338</v>
      </c>
      <c r="U5261" t="s">
        <v>13338</v>
      </c>
      <c r="V5261" t="s">
        <v>13338</v>
      </c>
      <c r="W5261" t="s">
        <v>18542</v>
      </c>
      <c r="X5261">
        <v>19</v>
      </c>
      <c r="Y5261" t="s">
        <v>25038</v>
      </c>
      <c r="Z5261" t="s">
        <v>31676</v>
      </c>
      <c r="AA5261">
        <v>0.54739812087698003</v>
      </c>
      <c r="AB5261" t="str">
        <f>HYPERLINK("Melting_Curves/meltCurve_Q99497_PARK7.pdf", "Melting_Curves/meltCurve_Q99497_PARK7.pdf")</f>
        <v>Melting_Curves/meltCurve_Q99497_PARK7.pdf</v>
      </c>
    </row>
    <row r="5262" spans="1:28" x14ac:dyDescent="0.25">
      <c r="A5262" t="s">
        <v>5266</v>
      </c>
      <c r="B5262">
        <v>0.99193492352474899</v>
      </c>
      <c r="C5262">
        <v>0.80196332041559404</v>
      </c>
      <c r="D5262">
        <v>0.65305035577217496</v>
      </c>
      <c r="E5262">
        <v>0.30777543463169499</v>
      </c>
      <c r="F5262">
        <v>0.237904544110183</v>
      </c>
      <c r="G5262">
        <v>0.11375833341846001</v>
      </c>
      <c r="H5262">
        <v>8.0298428085392295E-2</v>
      </c>
      <c r="I5262">
        <v>8.0920249235052893E-2</v>
      </c>
      <c r="J5262">
        <v>9.0061492673412499E-2</v>
      </c>
      <c r="K5262">
        <v>7.1870481300112296E-2</v>
      </c>
      <c r="L5262">
        <v>773.87859366068199</v>
      </c>
      <c r="M5262">
        <v>16.457101633262099</v>
      </c>
      <c r="N5262">
        <v>47.474854630639598</v>
      </c>
      <c r="O5262">
        <v>46.346137553946498</v>
      </c>
      <c r="P5262">
        <v>-8.2356419518698695E-2</v>
      </c>
      <c r="Q5262">
        <v>7.2344048366466199E-2</v>
      </c>
      <c r="R5262">
        <v>0.99194085766930995</v>
      </c>
      <c r="S5262" t="s">
        <v>11932</v>
      </c>
      <c r="T5262" t="s">
        <v>13338</v>
      </c>
      <c r="U5262" t="s">
        <v>13338</v>
      </c>
      <c r="V5262" t="s">
        <v>13338</v>
      </c>
      <c r="W5262" t="s">
        <v>18543</v>
      </c>
      <c r="X5262">
        <v>2</v>
      </c>
      <c r="Y5262" t="s">
        <v>25039</v>
      </c>
      <c r="Z5262" t="s">
        <v>31677</v>
      </c>
      <c r="AA5262">
        <v>0.31026837281643538</v>
      </c>
      <c r="AB5262" t="str">
        <f>HYPERLINK("Melting_Curves/meltCurve_Q99501_GAS2L1.pdf", "Melting_Curves/meltCurve_Q99501_GAS2L1.pdf")</f>
        <v>Melting_Curves/meltCurve_Q99501_GAS2L1.pdf</v>
      </c>
    </row>
    <row r="5263" spans="1:28" x14ac:dyDescent="0.25">
      <c r="A5263" t="s">
        <v>5267</v>
      </c>
      <c r="B5263">
        <v>0.99193492352474899</v>
      </c>
      <c r="C5263">
        <v>1.02844059103013</v>
      </c>
      <c r="D5263">
        <v>1.04355806851646</v>
      </c>
      <c r="E5263">
        <v>0.81856918294377001</v>
      </c>
      <c r="F5263">
        <v>0.80373309443024898</v>
      </c>
      <c r="G5263">
        <v>0.43110539759536798</v>
      </c>
      <c r="H5263">
        <v>0.15097132614560299</v>
      </c>
      <c r="I5263">
        <v>0.212456214770155</v>
      </c>
      <c r="J5263">
        <v>0.240114123229236</v>
      </c>
      <c r="K5263">
        <v>0.26564002713583601</v>
      </c>
      <c r="L5263">
        <v>1569.1846257272</v>
      </c>
      <c r="M5263">
        <v>28.647454593887598</v>
      </c>
      <c r="N5263">
        <v>55.817961953326098</v>
      </c>
      <c r="O5263">
        <v>54.510879390098602</v>
      </c>
      <c r="P5263">
        <v>-0.10417040868569601</v>
      </c>
      <c r="Q5263">
        <v>0.207137083375624</v>
      </c>
      <c r="R5263">
        <v>0.96810566244096397</v>
      </c>
      <c r="S5263" t="s">
        <v>11933</v>
      </c>
      <c r="T5263" t="s">
        <v>13338</v>
      </c>
      <c r="U5263" t="s">
        <v>13338</v>
      </c>
      <c r="V5263" t="s">
        <v>13338</v>
      </c>
      <c r="W5263" t="s">
        <v>18544</v>
      </c>
      <c r="X5263">
        <v>4</v>
      </c>
      <c r="Y5263" t="s">
        <v>25040</v>
      </c>
      <c r="Z5263" t="s">
        <v>31678</v>
      </c>
      <c r="AA5263">
        <v>0.60336724594767155</v>
      </c>
      <c r="AB5263" t="str">
        <f>HYPERLINK("Melting_Curves/meltCurve_Q99519_NEU1.pdf", "Melting_Curves/meltCurve_Q99519_NEU1.pdf")</f>
        <v>Melting_Curves/meltCurve_Q99519_NEU1.pdf</v>
      </c>
    </row>
    <row r="5264" spans="1:28" x14ac:dyDescent="0.25">
      <c r="A5264" t="s">
        <v>5268</v>
      </c>
      <c r="B5264">
        <v>0.99193492352474899</v>
      </c>
      <c r="C5264">
        <v>0.93499249021754505</v>
      </c>
      <c r="D5264">
        <v>0.91613178872833301</v>
      </c>
      <c r="E5264">
        <v>0.83723332894525104</v>
      </c>
      <c r="F5264">
        <v>0.80408243597349205</v>
      </c>
      <c r="G5264">
        <v>0.59513954375245204</v>
      </c>
      <c r="H5264">
        <v>0.34145496747026299</v>
      </c>
      <c r="I5264">
        <v>0.210366415570583</v>
      </c>
      <c r="J5264">
        <v>0.19339579348050401</v>
      </c>
      <c r="K5264">
        <v>0.20975483299272701</v>
      </c>
      <c r="L5264">
        <v>759.42944571366695</v>
      </c>
      <c r="M5264">
        <v>13.3016933811918</v>
      </c>
      <c r="N5264">
        <v>57.945226230925797</v>
      </c>
      <c r="O5264">
        <v>55.848611525399797</v>
      </c>
      <c r="P5264">
        <v>-5.4260508413675301E-2</v>
      </c>
      <c r="Q5264">
        <v>8.8872732861408094E-2</v>
      </c>
      <c r="R5264">
        <v>0.98149320429582898</v>
      </c>
      <c r="S5264" t="s">
        <v>11934</v>
      </c>
      <c r="T5264" t="s">
        <v>13338</v>
      </c>
      <c r="U5264" t="s">
        <v>13338</v>
      </c>
      <c r="V5264" t="s">
        <v>13338</v>
      </c>
      <c r="W5264" t="s">
        <v>18545</v>
      </c>
      <c r="X5264">
        <v>19</v>
      </c>
      <c r="Y5264" t="s">
        <v>25041</v>
      </c>
      <c r="Z5264" t="s">
        <v>31679</v>
      </c>
      <c r="AA5264">
        <v>0.62289558080377938</v>
      </c>
      <c r="AB5264" t="str">
        <f>HYPERLINK("Melting_Curves/meltCurve_Q99523_SORT1.pdf", "Melting_Curves/meltCurve_Q99523_SORT1.pdf")</f>
        <v>Melting_Curves/meltCurve_Q99523_SORT1.pdf</v>
      </c>
    </row>
    <row r="5265" spans="1:28" x14ac:dyDescent="0.25">
      <c r="A5265" t="s">
        <v>5269</v>
      </c>
      <c r="B5265">
        <v>0.99193492352474899</v>
      </c>
      <c r="C5265">
        <v>0.92499287658682905</v>
      </c>
      <c r="D5265">
        <v>0.97534612661406594</v>
      </c>
      <c r="E5265">
        <v>0.84094097848482097</v>
      </c>
      <c r="F5265">
        <v>0.74003101081731304</v>
      </c>
      <c r="G5265">
        <v>0.58618517074501497</v>
      </c>
      <c r="H5265">
        <v>0.32820603490334499</v>
      </c>
      <c r="I5265">
        <v>0.18180724004959101</v>
      </c>
      <c r="J5265">
        <v>0.16998958879347101</v>
      </c>
      <c r="K5265">
        <v>0.134883079229767</v>
      </c>
      <c r="L5265">
        <v>711.20611130841496</v>
      </c>
      <c r="M5265">
        <v>12.386127513291701</v>
      </c>
      <c r="N5265">
        <v>57.572586646487899</v>
      </c>
      <c r="O5265">
        <v>55.9844407784041</v>
      </c>
      <c r="P5265">
        <v>-5.4426536602601001E-2</v>
      </c>
      <c r="Q5265">
        <v>1.6193013008113901E-2</v>
      </c>
      <c r="R5265">
        <v>0.99035555148284604</v>
      </c>
      <c r="S5265" t="s">
        <v>11935</v>
      </c>
      <c r="T5265" t="s">
        <v>13338</v>
      </c>
      <c r="U5265" t="s">
        <v>13338</v>
      </c>
      <c r="V5265" t="s">
        <v>13338</v>
      </c>
      <c r="W5265" t="s">
        <v>18546</v>
      </c>
      <c r="X5265">
        <v>19</v>
      </c>
      <c r="Y5265" t="s">
        <v>25042</v>
      </c>
      <c r="Z5265" t="s">
        <v>31680</v>
      </c>
      <c r="AA5265">
        <v>0.60247889806415367</v>
      </c>
      <c r="AB5265" t="str">
        <f>HYPERLINK("Melting_Curves/meltCurve_Q99536_VAT1.pdf", "Melting_Curves/meltCurve_Q99536_VAT1.pdf")</f>
        <v>Melting_Curves/meltCurve_Q99536_VAT1.pdf</v>
      </c>
    </row>
    <row r="5266" spans="1:28" x14ac:dyDescent="0.25">
      <c r="A5266" t="s">
        <v>5270</v>
      </c>
      <c r="B5266">
        <v>0.99193492352474899</v>
      </c>
      <c r="C5266">
        <v>0.67209379800179503</v>
      </c>
      <c r="D5266">
        <v>0.39100210411224401</v>
      </c>
      <c r="E5266">
        <v>0.20768064103998801</v>
      </c>
      <c r="F5266">
        <v>0.13345756329754599</v>
      </c>
      <c r="G5266">
        <v>8.4719690755693994E-2</v>
      </c>
      <c r="H5266">
        <v>5.84854127025786E-2</v>
      </c>
      <c r="I5266">
        <v>7.1566249596244302E-2</v>
      </c>
      <c r="J5266">
        <v>7.2035580124166207E-2</v>
      </c>
      <c r="K5266">
        <v>7.95285316000892E-2</v>
      </c>
      <c r="L5266">
        <v>914.11268840318598</v>
      </c>
      <c r="M5266">
        <v>20.519547135977199</v>
      </c>
      <c r="N5266">
        <v>44.918347293982102</v>
      </c>
      <c r="O5266">
        <v>44.131753593528799</v>
      </c>
      <c r="P5266">
        <v>-0.107205531826686</v>
      </c>
      <c r="Q5266">
        <v>7.7751736018227102E-2</v>
      </c>
      <c r="R5266">
        <v>0.99011683029066899</v>
      </c>
      <c r="S5266" t="s">
        <v>11936</v>
      </c>
      <c r="T5266" t="s">
        <v>13338</v>
      </c>
      <c r="U5266" t="s">
        <v>13338</v>
      </c>
      <c r="V5266" t="s">
        <v>13338</v>
      </c>
      <c r="W5266" t="s">
        <v>18547</v>
      </c>
      <c r="X5266">
        <v>22</v>
      </c>
      <c r="Y5266" t="s">
        <v>25043</v>
      </c>
      <c r="Z5266" t="s">
        <v>31681</v>
      </c>
      <c r="AA5266">
        <v>0.23312927212286971</v>
      </c>
      <c r="AB5266" t="str">
        <f>HYPERLINK("Melting_Curves/meltCurve_Q99543_DNAJC2.pdf", "Melting_Curves/meltCurve_Q99543_DNAJC2.pdf")</f>
        <v>Melting_Curves/meltCurve_Q99543_DNAJC2.pdf</v>
      </c>
    </row>
    <row r="5267" spans="1:28" x14ac:dyDescent="0.25">
      <c r="A5267" t="s">
        <v>5271</v>
      </c>
      <c r="B5267">
        <v>0.99193492352474899</v>
      </c>
      <c r="C5267">
        <v>0.532006318565728</v>
      </c>
      <c r="D5267">
        <v>0.64309261697525799</v>
      </c>
      <c r="E5267">
        <v>0.39060190412801599</v>
      </c>
      <c r="F5267">
        <v>0.22914939361391501</v>
      </c>
      <c r="G5267">
        <v>0.120477895922635</v>
      </c>
      <c r="H5267">
        <v>0.112953412175162</v>
      </c>
      <c r="I5267">
        <v>0.106199219980674</v>
      </c>
      <c r="J5267">
        <v>0.127240880982045</v>
      </c>
      <c r="K5267">
        <v>0.145959744308268</v>
      </c>
      <c r="L5267">
        <v>544.64686018633904</v>
      </c>
      <c r="M5267">
        <v>11.846984072623799</v>
      </c>
      <c r="N5267">
        <v>46.737565602365102</v>
      </c>
      <c r="O5267">
        <v>44.7222534394962</v>
      </c>
      <c r="P5267">
        <v>-6.0410106545875697E-2</v>
      </c>
      <c r="Q5267">
        <v>8.8041036080561894E-2</v>
      </c>
      <c r="R5267">
        <v>0.91250633975220796</v>
      </c>
      <c r="S5267" t="s">
        <v>11937</v>
      </c>
      <c r="T5267" t="s">
        <v>13338</v>
      </c>
      <c r="U5267" t="s">
        <v>13338</v>
      </c>
      <c r="V5267" t="s">
        <v>13338</v>
      </c>
      <c r="W5267" t="s">
        <v>18548</v>
      </c>
      <c r="X5267">
        <v>3</v>
      </c>
      <c r="Y5267" t="s">
        <v>25044</v>
      </c>
      <c r="Z5267" t="s">
        <v>31682</v>
      </c>
      <c r="AA5267">
        <v>0.3122194842465591</v>
      </c>
      <c r="AB5267" t="str">
        <f>HYPERLINK("Melting_Curves/meltCurve_Q99549_MPHOSPH8.pdf", "Melting_Curves/meltCurve_Q99549_MPHOSPH8.pdf")</f>
        <v>Melting_Curves/meltCurve_Q99549_MPHOSPH8.pdf</v>
      </c>
    </row>
    <row r="5268" spans="1:28" x14ac:dyDescent="0.25">
      <c r="A5268" t="s">
        <v>5272</v>
      </c>
      <c r="B5268">
        <v>0.99193492352474899</v>
      </c>
      <c r="C5268">
        <v>0.74562809898893201</v>
      </c>
      <c r="D5268">
        <v>0.70043084273705203</v>
      </c>
      <c r="E5268">
        <v>0.33038180119302202</v>
      </c>
      <c r="F5268">
        <v>0.100932609750362</v>
      </c>
      <c r="G5268">
        <v>6.36046022850386E-2</v>
      </c>
      <c r="H5268">
        <v>3.4489021071627199E-2</v>
      </c>
      <c r="I5268">
        <v>3.43823225222731E-2</v>
      </c>
      <c r="J5268">
        <v>4.3964983447965199E-2</v>
      </c>
      <c r="K5268">
        <v>3.6130160277692801E-2</v>
      </c>
      <c r="L5268">
        <v>796.83423116543804</v>
      </c>
      <c r="M5268">
        <v>16.836522573726299</v>
      </c>
      <c r="N5268">
        <v>47.424710014423802</v>
      </c>
      <c r="O5268">
        <v>46.675159134491302</v>
      </c>
      <c r="P5268">
        <v>-8.8659032703175406E-2</v>
      </c>
      <c r="Q5268">
        <v>1.69204429279456E-2</v>
      </c>
      <c r="R5268">
        <v>0.98224303001824298</v>
      </c>
      <c r="S5268" t="s">
        <v>11938</v>
      </c>
      <c r="T5268" t="s">
        <v>13338</v>
      </c>
      <c r="U5268" t="s">
        <v>13338</v>
      </c>
      <c r="V5268" t="s">
        <v>13338</v>
      </c>
      <c r="W5268" t="s">
        <v>18549</v>
      </c>
      <c r="X5268">
        <v>9</v>
      </c>
      <c r="Y5268" t="s">
        <v>25045</v>
      </c>
      <c r="Z5268" t="s">
        <v>31683</v>
      </c>
      <c r="AA5268">
        <v>0.27765071823126231</v>
      </c>
      <c r="AB5268" t="str">
        <f>HYPERLINK("Melting_Curves/meltCurve_Q99567_NUP88.pdf", "Melting_Curves/meltCurve_Q99567_NUP88.pdf")</f>
        <v>Melting_Curves/meltCurve_Q99567_NUP88.pdf</v>
      </c>
    </row>
    <row r="5269" spans="1:28" x14ac:dyDescent="0.25">
      <c r="A5269" t="s">
        <v>5273</v>
      </c>
      <c r="B5269">
        <v>0.99193492352474899</v>
      </c>
      <c r="C5269">
        <v>1.0296431219606199</v>
      </c>
      <c r="D5269">
        <v>1.0390769885102</v>
      </c>
      <c r="E5269">
        <v>0.85245961863369701</v>
      </c>
      <c r="F5269">
        <v>0.41636377370443201</v>
      </c>
      <c r="G5269">
        <v>0.15424373030687699</v>
      </c>
      <c r="H5269">
        <v>9.0788434325009604E-2</v>
      </c>
      <c r="I5269">
        <v>0.11945724964193399</v>
      </c>
      <c r="J5269">
        <v>0.14148185107687899</v>
      </c>
      <c r="K5269">
        <v>0.13979482748678501</v>
      </c>
      <c r="L5269">
        <v>1807.3549544012301</v>
      </c>
      <c r="M5269">
        <v>34.702798793207798</v>
      </c>
      <c r="N5269">
        <v>52.493975201542902</v>
      </c>
      <c r="O5269">
        <v>51.908917481814697</v>
      </c>
      <c r="P5269">
        <v>-0.14716648711196001</v>
      </c>
      <c r="Q5269">
        <v>0.119468612030732</v>
      </c>
      <c r="R5269">
        <v>0.99641893919097302</v>
      </c>
      <c r="S5269" t="s">
        <v>11939</v>
      </c>
      <c r="T5269" t="s">
        <v>13338</v>
      </c>
      <c r="U5269" t="s">
        <v>13338</v>
      </c>
      <c r="V5269" t="s">
        <v>13338</v>
      </c>
      <c r="W5269" t="s">
        <v>18550</v>
      </c>
      <c r="X5269">
        <v>15</v>
      </c>
      <c r="Y5269" t="s">
        <v>25046</v>
      </c>
      <c r="Z5269" t="s">
        <v>31684</v>
      </c>
      <c r="AA5269">
        <v>0.47827115389946878</v>
      </c>
      <c r="AB5269" t="str">
        <f>HYPERLINK("Melting_Curves/meltCurve_Q99570_PIK3R4.pdf", "Melting_Curves/meltCurve_Q99570_PIK3R4.pdf")</f>
        <v>Melting_Curves/meltCurve_Q99570_PIK3R4.pdf</v>
      </c>
    </row>
    <row r="5270" spans="1:28" x14ac:dyDescent="0.25">
      <c r="A5270" t="s">
        <v>5274</v>
      </c>
      <c r="B5270">
        <v>0.99193492352474899</v>
      </c>
      <c r="C5270">
        <v>1.1258743905528601</v>
      </c>
      <c r="D5270">
        <v>1.1820846228442301</v>
      </c>
      <c r="E5270">
        <v>0.96449979825296295</v>
      </c>
      <c r="F5270">
        <v>1.0127143828782099</v>
      </c>
      <c r="G5270">
        <v>0.34291991150753098</v>
      </c>
      <c r="H5270">
        <v>0.100445626463536</v>
      </c>
      <c r="I5270">
        <v>0.10261343356974099</v>
      </c>
      <c r="J5270">
        <v>0.13007121011363301</v>
      </c>
      <c r="K5270">
        <v>0.117658779490444</v>
      </c>
      <c r="L5270">
        <v>14140.430491466999</v>
      </c>
      <c r="M5270">
        <v>250</v>
      </c>
      <c r="N5270">
        <v>56.619569519619802</v>
      </c>
      <c r="O5270">
        <v>56.558102408666201</v>
      </c>
      <c r="P5270">
        <v>-0.98052125615299301</v>
      </c>
      <c r="Q5270">
        <v>0.112697255409895</v>
      </c>
      <c r="R5270">
        <v>0.97554615899464703</v>
      </c>
      <c r="S5270" t="s">
        <v>11940</v>
      </c>
      <c r="T5270" t="s">
        <v>13338</v>
      </c>
      <c r="U5270" t="s">
        <v>13338</v>
      </c>
      <c r="V5270" t="s">
        <v>13338</v>
      </c>
      <c r="W5270" t="s">
        <v>18551</v>
      </c>
      <c r="X5270">
        <v>10</v>
      </c>
      <c r="Y5270" t="s">
        <v>25047</v>
      </c>
      <c r="Z5270" t="s">
        <v>31685</v>
      </c>
      <c r="AA5270">
        <v>0.60262737864691951</v>
      </c>
      <c r="AB5270" t="str">
        <f>HYPERLINK("Melting_Curves/meltCurve_Q99575_POP1.pdf", "Melting_Curves/meltCurve_Q99575_POP1.pdf")</f>
        <v>Melting_Curves/meltCurve_Q99575_POP1.pdf</v>
      </c>
    </row>
    <row r="5271" spans="1:28" x14ac:dyDescent="0.25">
      <c r="A5271" t="s">
        <v>5275</v>
      </c>
      <c r="B5271">
        <v>0.99193492352474899</v>
      </c>
      <c r="C5271">
        <v>1.0850928451724</v>
      </c>
      <c r="D5271">
        <v>0.97207424450553204</v>
      </c>
      <c r="E5271">
        <v>0.92270092131579395</v>
      </c>
      <c r="F5271">
        <v>0.67292113380882701</v>
      </c>
      <c r="G5271">
        <v>0.62854046979561895</v>
      </c>
      <c r="H5271">
        <v>0.49542076242937499</v>
      </c>
      <c r="I5271">
        <v>0.24270377001431201</v>
      </c>
      <c r="J5271">
        <v>0.13297104628525799</v>
      </c>
      <c r="K5271">
        <v>6.7400391340253898E-2</v>
      </c>
      <c r="L5271">
        <v>728.28807987429605</v>
      </c>
      <c r="M5271">
        <v>12.413128151569699</v>
      </c>
      <c r="N5271">
        <v>58.670793647397801</v>
      </c>
      <c r="O5271">
        <v>57.210491828671302</v>
      </c>
      <c r="P5271">
        <v>-5.4254689839557002E-2</v>
      </c>
      <c r="Q5271">
        <v>0</v>
      </c>
      <c r="R5271">
        <v>0.97081315745333296</v>
      </c>
      <c r="S5271" t="s">
        <v>11941</v>
      </c>
      <c r="T5271" t="s">
        <v>13338</v>
      </c>
      <c r="U5271" t="s">
        <v>13338</v>
      </c>
      <c r="V5271" t="s">
        <v>13338</v>
      </c>
      <c r="W5271" t="s">
        <v>18552</v>
      </c>
      <c r="X5271">
        <v>1</v>
      </c>
      <c r="Y5271" t="s">
        <v>25048</v>
      </c>
      <c r="Z5271" t="s">
        <v>31686</v>
      </c>
      <c r="AA5271">
        <v>0.63242097288238175</v>
      </c>
      <c r="AB5271" t="str">
        <f>HYPERLINK("Melting_Curves/meltCurve_Q99595_TIMM17A.pdf", "Melting_Curves/meltCurve_Q99595_TIMM17A.pdf")</f>
        <v>Melting_Curves/meltCurve_Q99595_TIMM17A.pdf</v>
      </c>
    </row>
    <row r="5272" spans="1:28" x14ac:dyDescent="0.25">
      <c r="A5272" t="s">
        <v>5276</v>
      </c>
      <c r="B5272">
        <v>0.99193492352474899</v>
      </c>
      <c r="C5272">
        <v>0.86265768505192897</v>
      </c>
      <c r="D5272">
        <v>0.89433618210971799</v>
      </c>
      <c r="E5272">
        <v>0.728930351781647</v>
      </c>
      <c r="F5272">
        <v>0.59766086728953904</v>
      </c>
      <c r="G5272">
        <v>0.45695342459031302</v>
      </c>
      <c r="H5272">
        <v>0.27725530118633401</v>
      </c>
      <c r="I5272">
        <v>0.16413757366593401</v>
      </c>
      <c r="J5272">
        <v>0.14495283922701199</v>
      </c>
      <c r="K5272">
        <v>0.120965880435141</v>
      </c>
      <c r="L5272">
        <v>533.65073266276704</v>
      </c>
      <c r="M5272">
        <v>9.6978650660992294</v>
      </c>
      <c r="N5272">
        <v>55.0276508127114</v>
      </c>
      <c r="O5272">
        <v>52.840717849439599</v>
      </c>
      <c r="P5272">
        <v>-4.5907647835541097E-2</v>
      </c>
      <c r="Q5272">
        <v>0</v>
      </c>
      <c r="R5272">
        <v>0.99018711588022001</v>
      </c>
      <c r="S5272" t="s">
        <v>11942</v>
      </c>
      <c r="T5272" t="s">
        <v>13338</v>
      </c>
      <c r="U5272" t="s">
        <v>13338</v>
      </c>
      <c r="V5272" t="s">
        <v>13338</v>
      </c>
      <c r="W5272" t="s">
        <v>18553</v>
      </c>
      <c r="X5272">
        <v>22</v>
      </c>
      <c r="Y5272" t="s">
        <v>25049</v>
      </c>
      <c r="Z5272" t="s">
        <v>31687</v>
      </c>
      <c r="AA5272">
        <v>0.52695019764752704</v>
      </c>
      <c r="AB5272" t="str">
        <f>HYPERLINK("Melting_Curves/meltCurve_Q99598_TSNAX.pdf", "Melting_Curves/meltCurve_Q99598_TSNAX.pdf")</f>
        <v>Melting_Curves/meltCurve_Q99598_TSNAX.pdf</v>
      </c>
    </row>
    <row r="5273" spans="1:28" x14ac:dyDescent="0.25">
      <c r="A5273" t="s">
        <v>5277</v>
      </c>
      <c r="B5273">
        <v>0.99193492352474899</v>
      </c>
      <c r="C5273">
        <v>1.13683222421025</v>
      </c>
      <c r="D5273">
        <v>0.82726641442481197</v>
      </c>
      <c r="E5273">
        <v>0.67742198537062304</v>
      </c>
      <c r="F5273">
        <v>0.25502869201651501</v>
      </c>
      <c r="G5273">
        <v>0.21026348974280301</v>
      </c>
      <c r="H5273">
        <v>0.14700084308460101</v>
      </c>
      <c r="I5273">
        <v>0.166127871492944</v>
      </c>
      <c r="J5273">
        <v>0.151523253051905</v>
      </c>
      <c r="K5273">
        <v>0.27070287017609002</v>
      </c>
      <c r="L5273">
        <v>1414.95459961949</v>
      </c>
      <c r="M5273">
        <v>28.338560101511</v>
      </c>
      <c r="N5273">
        <v>50.716742869086801</v>
      </c>
      <c r="O5273">
        <v>49.683712787711698</v>
      </c>
      <c r="P5273">
        <v>-0.117244136608468</v>
      </c>
      <c r="Q5273">
        <v>0.17778796135271899</v>
      </c>
      <c r="R5273">
        <v>0.96447639820296505</v>
      </c>
      <c r="S5273" t="s">
        <v>11943</v>
      </c>
      <c r="T5273" t="s">
        <v>13338</v>
      </c>
      <c r="U5273" t="s">
        <v>13338</v>
      </c>
      <c r="V5273" t="s">
        <v>13338</v>
      </c>
      <c r="W5273" t="s">
        <v>18554</v>
      </c>
      <c r="X5273">
        <v>2</v>
      </c>
      <c r="Y5273" t="s">
        <v>25050</v>
      </c>
      <c r="Z5273" t="s">
        <v>31688</v>
      </c>
      <c r="AA5273">
        <v>0.45565101313428991</v>
      </c>
      <c r="AB5273" t="str">
        <f>HYPERLINK("Melting_Curves/meltCurve_Q99608_NDN.pdf", "Melting_Curves/meltCurve_Q99608_NDN.pdf")</f>
        <v>Melting_Curves/meltCurve_Q99608_NDN.pdf</v>
      </c>
    </row>
    <row r="5274" spans="1:28" x14ac:dyDescent="0.25">
      <c r="A5274" t="s">
        <v>5278</v>
      </c>
      <c r="B5274">
        <v>0.99193492352474899</v>
      </c>
      <c r="C5274">
        <v>0.82226909872012099</v>
      </c>
      <c r="D5274">
        <v>0.82783412116153998</v>
      </c>
      <c r="E5274">
        <v>0.69892160034085604</v>
      </c>
      <c r="F5274">
        <v>0.71971489739832195</v>
      </c>
      <c r="G5274">
        <v>0.58158846815436904</v>
      </c>
      <c r="H5274">
        <v>0.43408775194417798</v>
      </c>
      <c r="I5274">
        <v>0.30199842018030998</v>
      </c>
      <c r="J5274">
        <v>0.27911540912855098</v>
      </c>
      <c r="K5274">
        <v>0.181225796155006</v>
      </c>
      <c r="L5274">
        <v>391.26142003129701</v>
      </c>
      <c r="M5274">
        <v>6.7769632642857296</v>
      </c>
      <c r="N5274">
        <v>57.7340192507639</v>
      </c>
      <c r="O5274">
        <v>53.331988000271402</v>
      </c>
      <c r="P5274">
        <v>-3.1834119591320598E-2</v>
      </c>
      <c r="Q5274">
        <v>0</v>
      </c>
      <c r="R5274">
        <v>0.96026175540832703</v>
      </c>
      <c r="S5274" t="s">
        <v>11944</v>
      </c>
      <c r="T5274" t="s">
        <v>13338</v>
      </c>
      <c r="U5274" t="s">
        <v>13338</v>
      </c>
      <c r="V5274" t="s">
        <v>13338</v>
      </c>
      <c r="W5274" t="s">
        <v>18555</v>
      </c>
      <c r="X5274">
        <v>5</v>
      </c>
      <c r="Y5274" t="s">
        <v>25051</v>
      </c>
      <c r="Z5274" t="s">
        <v>31689</v>
      </c>
      <c r="AA5274">
        <v>0.59098872484273468</v>
      </c>
      <c r="AB5274" t="str">
        <f>HYPERLINK("Melting_Curves/meltCurve_Q99611_SEPHS2.pdf", "Melting_Curves/meltCurve_Q99611_SEPHS2.pdf")</f>
        <v>Melting_Curves/meltCurve_Q99611_SEPHS2.pdf</v>
      </c>
    </row>
    <row r="5275" spans="1:28" x14ac:dyDescent="0.25">
      <c r="A5275" t="s">
        <v>5279</v>
      </c>
      <c r="B5275">
        <v>0.99193492352474899</v>
      </c>
      <c r="C5275">
        <v>0.90127549626535197</v>
      </c>
      <c r="D5275">
        <v>0.92618649503901795</v>
      </c>
      <c r="E5275">
        <v>0.86484419447911698</v>
      </c>
      <c r="F5275">
        <v>0.66256502377620097</v>
      </c>
      <c r="G5275">
        <v>0.47945272480321899</v>
      </c>
      <c r="H5275">
        <v>0.35556006526876599</v>
      </c>
      <c r="I5275">
        <v>0.46840113441446102</v>
      </c>
      <c r="J5275">
        <v>0.52497252356398605</v>
      </c>
      <c r="K5275">
        <v>0.82175467529356705</v>
      </c>
      <c r="L5275">
        <v>1598.80644785204</v>
      </c>
      <c r="M5275">
        <v>31.358599202668898</v>
      </c>
      <c r="O5275">
        <v>50.778633714038101</v>
      </c>
      <c r="P5275">
        <v>-7.2401729065193404E-2</v>
      </c>
      <c r="Q5275">
        <v>0.53104529422345703</v>
      </c>
      <c r="R5275">
        <v>0.70492182398784398</v>
      </c>
      <c r="S5275" t="s">
        <v>11945</v>
      </c>
      <c r="T5275" t="s">
        <v>13338</v>
      </c>
      <c r="U5275" t="s">
        <v>13338</v>
      </c>
      <c r="V5275" t="s">
        <v>13338</v>
      </c>
      <c r="W5275" t="s">
        <v>18556</v>
      </c>
      <c r="X5275">
        <v>16</v>
      </c>
      <c r="Y5275" t="s">
        <v>25052</v>
      </c>
      <c r="Z5275" t="s">
        <v>31690</v>
      </c>
      <c r="AA5275">
        <v>0.70545226148396956</v>
      </c>
      <c r="AB5275" t="str">
        <f>HYPERLINK("Melting_Curves/meltCurve_Q99614_TTC1.pdf", "Melting_Curves/meltCurve_Q99614_TTC1.pdf")</f>
        <v>Melting_Curves/meltCurve_Q99614_TTC1.pdf</v>
      </c>
    </row>
    <row r="5276" spans="1:28" x14ac:dyDescent="0.25">
      <c r="A5276" t="s">
        <v>5280</v>
      </c>
      <c r="B5276">
        <v>0.99193492352474899</v>
      </c>
      <c r="C5276">
        <v>0.77452941730081704</v>
      </c>
      <c r="D5276">
        <v>0.87012163288037403</v>
      </c>
      <c r="E5276">
        <v>0.30106351340538801</v>
      </c>
      <c r="F5276">
        <v>0.14361508461016601</v>
      </c>
      <c r="G5276">
        <v>6.9820120296269203E-2</v>
      </c>
      <c r="H5276">
        <v>4.5410675848585803E-2</v>
      </c>
      <c r="I5276">
        <v>5.6302334928021898E-2</v>
      </c>
      <c r="J5276">
        <v>7.0238629759439605E-2</v>
      </c>
      <c r="K5276">
        <v>6.7879229259340298E-2</v>
      </c>
      <c r="L5276">
        <v>1319.5837922227099</v>
      </c>
      <c r="M5276">
        <v>27.4433877563885</v>
      </c>
      <c r="N5276">
        <v>48.304164782984799</v>
      </c>
      <c r="O5276">
        <v>47.830713271594199</v>
      </c>
      <c r="P5276">
        <v>-0.13500349402235801</v>
      </c>
      <c r="Q5276">
        <v>5.8825641132971299E-2</v>
      </c>
      <c r="R5276">
        <v>0.96495156620561795</v>
      </c>
      <c r="S5276" t="s">
        <v>11946</v>
      </c>
      <c r="T5276" t="s">
        <v>13338</v>
      </c>
      <c r="U5276" t="s">
        <v>13338</v>
      </c>
      <c r="V5276" t="s">
        <v>13338</v>
      </c>
      <c r="W5276" t="s">
        <v>18557</v>
      </c>
      <c r="X5276">
        <v>35</v>
      </c>
      <c r="Y5276" t="s">
        <v>25053</v>
      </c>
      <c r="Z5276" t="s">
        <v>31691</v>
      </c>
      <c r="AA5276">
        <v>0.31926743874972208</v>
      </c>
      <c r="AB5276" t="str">
        <f>HYPERLINK("Melting_Curves/meltCurve_Q99615_DNAJC7.pdf", "Melting_Curves/meltCurve_Q99615_DNAJC7.pdf")</f>
        <v>Melting_Curves/meltCurve_Q99615_DNAJC7.pdf</v>
      </c>
    </row>
    <row r="5277" spans="1:28" x14ac:dyDescent="0.25">
      <c r="A5277" t="s">
        <v>5281</v>
      </c>
      <c r="B5277">
        <v>0.99193492352474899</v>
      </c>
      <c r="C5277">
        <v>0.89368637259642303</v>
      </c>
      <c r="D5277">
        <v>0.96036941989444902</v>
      </c>
      <c r="E5277">
        <v>0.77741156883637097</v>
      </c>
      <c r="F5277">
        <v>0.66363118911289298</v>
      </c>
      <c r="G5277">
        <v>0.44039555012131698</v>
      </c>
      <c r="H5277">
        <v>0.415312973465084</v>
      </c>
      <c r="I5277">
        <v>0.476247898421789</v>
      </c>
      <c r="J5277">
        <v>0.58866504877882997</v>
      </c>
      <c r="K5277">
        <v>0.82190622953922898</v>
      </c>
      <c r="L5277">
        <v>1422.9728196272099</v>
      </c>
      <c r="M5277">
        <v>28.659222322888201</v>
      </c>
      <c r="O5277">
        <v>49.411621246465899</v>
      </c>
      <c r="P5277">
        <v>-6.4561002133430606E-2</v>
      </c>
      <c r="Q5277">
        <v>0.55476267849923</v>
      </c>
      <c r="R5277">
        <v>0.698370354888873</v>
      </c>
      <c r="S5277" t="s">
        <v>11947</v>
      </c>
      <c r="T5277" t="s">
        <v>13338</v>
      </c>
      <c r="U5277" t="s">
        <v>13338</v>
      </c>
      <c r="V5277" t="s">
        <v>13338</v>
      </c>
      <c r="W5277" t="s">
        <v>18558</v>
      </c>
      <c r="X5277">
        <v>8</v>
      </c>
      <c r="Y5277" t="s">
        <v>25054</v>
      </c>
      <c r="Z5277" t="s">
        <v>31692</v>
      </c>
      <c r="AA5277">
        <v>0.70100785709546021</v>
      </c>
      <c r="AB5277" t="str">
        <f>HYPERLINK("Melting_Curves/meltCurve_Q99618_CDCA3.pdf", "Melting_Curves/meltCurve_Q99618_CDCA3.pdf")</f>
        <v>Melting_Curves/meltCurve_Q99618_CDCA3.pdf</v>
      </c>
    </row>
    <row r="5278" spans="1:28" x14ac:dyDescent="0.25">
      <c r="A5278" t="s">
        <v>5282</v>
      </c>
      <c r="B5278">
        <v>0.99193492352474899</v>
      </c>
      <c r="C5278">
        <v>0.81016933130329405</v>
      </c>
      <c r="D5278">
        <v>0.48013868009294802</v>
      </c>
      <c r="E5278">
        <v>0.22853219427345001</v>
      </c>
      <c r="F5278">
        <v>0.156197478278394</v>
      </c>
      <c r="G5278">
        <v>9.8692143429806797E-2</v>
      </c>
      <c r="H5278">
        <v>7.6377303276507394E-2</v>
      </c>
      <c r="I5278">
        <v>9.5147420066080304E-2</v>
      </c>
      <c r="J5278">
        <v>0.122212699459383</v>
      </c>
      <c r="K5278">
        <v>0.13256380540931301</v>
      </c>
      <c r="L5278">
        <v>1048.45719871856</v>
      </c>
      <c r="M5278">
        <v>23.0917350442197</v>
      </c>
      <c r="N5278">
        <v>45.883781700710898</v>
      </c>
      <c r="O5278">
        <v>45.067604309670102</v>
      </c>
      <c r="P5278">
        <v>-0.114357823644404</v>
      </c>
      <c r="Q5278">
        <v>0.107258407143474</v>
      </c>
      <c r="R5278">
        <v>0.99605873190765004</v>
      </c>
      <c r="S5278" t="s">
        <v>11948</v>
      </c>
      <c r="T5278" t="s">
        <v>13338</v>
      </c>
      <c r="U5278" t="s">
        <v>13338</v>
      </c>
      <c r="V5278" t="s">
        <v>13338</v>
      </c>
      <c r="W5278" t="s">
        <v>18559</v>
      </c>
      <c r="X5278">
        <v>6</v>
      </c>
      <c r="Y5278" t="s">
        <v>25055</v>
      </c>
      <c r="Z5278" t="s">
        <v>31693</v>
      </c>
      <c r="AA5278">
        <v>0.27841529203816678</v>
      </c>
      <c r="AB5278" t="str">
        <f>HYPERLINK("Melting_Curves/meltCurve_Q99622_C12orf57.pdf", "Melting_Curves/meltCurve_Q99622_C12orf57.pdf")</f>
        <v>Melting_Curves/meltCurve_Q99622_C12orf57.pdf</v>
      </c>
    </row>
    <row r="5279" spans="1:28" x14ac:dyDescent="0.25">
      <c r="A5279" t="s">
        <v>5283</v>
      </c>
      <c r="B5279">
        <v>0.99193492352474899</v>
      </c>
      <c r="C5279">
        <v>0.83878122871850203</v>
      </c>
      <c r="D5279">
        <v>1.1208504422602701</v>
      </c>
      <c r="E5279">
        <v>0.866142137104701</v>
      </c>
      <c r="F5279">
        <v>1.0128030413871001</v>
      </c>
      <c r="G5279">
        <v>0.88831676494137501</v>
      </c>
      <c r="H5279">
        <v>0.67871455159907701</v>
      </c>
      <c r="I5279">
        <v>0.68143050063874999</v>
      </c>
      <c r="J5279">
        <v>0.44865167768080699</v>
      </c>
      <c r="K5279">
        <v>0.193443733219167</v>
      </c>
      <c r="L5279">
        <v>981.51612176989897</v>
      </c>
      <c r="M5279">
        <v>14.9894993765812</v>
      </c>
      <c r="N5279">
        <v>65.480247049716198</v>
      </c>
      <c r="O5279">
        <v>64.347949060359397</v>
      </c>
      <c r="P5279">
        <v>-5.8242000167859E-2</v>
      </c>
      <c r="Q5279">
        <v>0</v>
      </c>
      <c r="R5279">
        <v>0.883323001031039</v>
      </c>
      <c r="S5279" t="s">
        <v>11949</v>
      </c>
      <c r="T5279" t="s">
        <v>13338</v>
      </c>
      <c r="U5279" t="s">
        <v>13338</v>
      </c>
      <c r="V5279" t="s">
        <v>13338</v>
      </c>
      <c r="W5279" t="s">
        <v>18560</v>
      </c>
      <c r="X5279">
        <v>15</v>
      </c>
      <c r="Y5279" t="s">
        <v>25056</v>
      </c>
      <c r="Z5279" t="s">
        <v>31694</v>
      </c>
      <c r="AA5279">
        <v>0.81902151366551523</v>
      </c>
      <c r="AB5279" t="str">
        <f>HYPERLINK("Melting_Curves/meltCurve_Q99623_PHB2.pdf", "Melting_Curves/meltCurve_Q99623_PHB2.pdf")</f>
        <v>Melting_Curves/meltCurve_Q99623_PHB2.pdf</v>
      </c>
    </row>
    <row r="5280" spans="1:28" x14ac:dyDescent="0.25">
      <c r="A5280" t="s">
        <v>5284</v>
      </c>
      <c r="B5280">
        <v>0.99193492352474899</v>
      </c>
      <c r="C5280">
        <v>0.91538708868963403</v>
      </c>
      <c r="D5280">
        <v>0.711349794731995</v>
      </c>
      <c r="E5280">
        <v>0.38715009317749199</v>
      </c>
      <c r="F5280">
        <v>0.21210649691366301</v>
      </c>
      <c r="G5280">
        <v>0.154915938197659</v>
      </c>
      <c r="H5280">
        <v>0.16184678749158199</v>
      </c>
      <c r="I5280">
        <v>0.20596787168973399</v>
      </c>
      <c r="J5280">
        <v>0.24045690011353199</v>
      </c>
      <c r="K5280">
        <v>0.23115466689802899</v>
      </c>
      <c r="L5280">
        <v>1171.9953674348201</v>
      </c>
      <c r="M5280">
        <v>24.903806875739299</v>
      </c>
      <c r="N5280">
        <v>48.005622377494298</v>
      </c>
      <c r="O5280">
        <v>46.760614561546298</v>
      </c>
      <c r="P5280">
        <v>-0.10735432389692701</v>
      </c>
      <c r="Q5280">
        <v>0.19371629838761101</v>
      </c>
      <c r="R5280">
        <v>0.99096037527638403</v>
      </c>
      <c r="S5280" t="s">
        <v>11950</v>
      </c>
      <c r="T5280" t="s">
        <v>13338</v>
      </c>
      <c r="U5280" t="s">
        <v>13338</v>
      </c>
      <c r="V5280" t="s">
        <v>13338</v>
      </c>
      <c r="W5280" t="s">
        <v>18561</v>
      </c>
      <c r="X5280">
        <v>10</v>
      </c>
      <c r="Y5280" t="s">
        <v>25057</v>
      </c>
      <c r="Z5280" t="s">
        <v>31695</v>
      </c>
      <c r="AA5280">
        <v>0.39073740675824598</v>
      </c>
      <c r="AB5280" t="str">
        <f>HYPERLINK("Melting_Curves/meltCurve_Q99633_PRPF18.pdf", "Melting_Curves/meltCurve_Q99633_PRPF18.pdf")</f>
        <v>Melting_Curves/meltCurve_Q99633_PRPF18.pdf</v>
      </c>
    </row>
    <row r="5281" spans="1:28" x14ac:dyDescent="0.25">
      <c r="A5281" t="s">
        <v>5285</v>
      </c>
      <c r="B5281">
        <v>0.99193492352474899</v>
      </c>
      <c r="C5281">
        <v>0.92862014719894304</v>
      </c>
      <c r="D5281">
        <v>1.07793058580676</v>
      </c>
      <c r="E5281">
        <v>0.82477856776346603</v>
      </c>
      <c r="F5281">
        <v>0.66893704809941901</v>
      </c>
      <c r="G5281">
        <v>0.44269681736745198</v>
      </c>
      <c r="H5281">
        <v>0.17741674099749299</v>
      </c>
      <c r="I5281">
        <v>0.120024600399937</v>
      </c>
      <c r="J5281">
        <v>0.13442860971353399</v>
      </c>
      <c r="K5281">
        <v>0.10293731186999</v>
      </c>
      <c r="L5281">
        <v>981.31426579480296</v>
      </c>
      <c r="M5281">
        <v>17.865864964327098</v>
      </c>
      <c r="N5281">
        <v>55.4293376315945</v>
      </c>
      <c r="O5281">
        <v>54.252476594314501</v>
      </c>
      <c r="P5281">
        <v>-7.6175378065222496E-2</v>
      </c>
      <c r="Q5281">
        <v>7.4773426407548596E-2</v>
      </c>
      <c r="R5281">
        <v>0.98389987672561996</v>
      </c>
      <c r="S5281" t="s">
        <v>11951</v>
      </c>
      <c r="T5281" t="s">
        <v>13338</v>
      </c>
      <c r="U5281" t="s">
        <v>13338</v>
      </c>
      <c r="V5281" t="s">
        <v>13338</v>
      </c>
      <c r="W5281" t="s">
        <v>18562</v>
      </c>
      <c r="X5281">
        <v>3</v>
      </c>
      <c r="Y5281" t="s">
        <v>25058</v>
      </c>
      <c r="Z5281" t="s">
        <v>31696</v>
      </c>
      <c r="AA5281">
        <v>0.54962952773378904</v>
      </c>
      <c r="AB5281" t="str">
        <f>HYPERLINK("Melting_Curves/meltCurve_Q99638_RAD9A.pdf", "Melting_Curves/meltCurve_Q99638_RAD9A.pdf")</f>
        <v>Melting_Curves/meltCurve_Q99638_RAD9A.pdf</v>
      </c>
    </row>
    <row r="5282" spans="1:28" x14ac:dyDescent="0.25">
      <c r="A5282" t="s">
        <v>5286</v>
      </c>
      <c r="B5282">
        <v>0.99193492352474899</v>
      </c>
      <c r="C5282">
        <v>1.0337995850474</v>
      </c>
      <c r="D5282">
        <v>1.0209764630798399</v>
      </c>
      <c r="E5282">
        <v>0.67677100117379896</v>
      </c>
      <c r="F5282">
        <v>0.45355367219180798</v>
      </c>
      <c r="G5282">
        <v>0.302053982100984</v>
      </c>
      <c r="H5282">
        <v>0.141991481189048</v>
      </c>
      <c r="I5282">
        <v>0.351884586285648</v>
      </c>
      <c r="J5282">
        <v>0.50547855581958101</v>
      </c>
      <c r="K5282">
        <v>0.24231545813656899</v>
      </c>
      <c r="L5282">
        <v>1628.1189233656401</v>
      </c>
      <c r="M5282">
        <v>32.5134643918446</v>
      </c>
      <c r="N5282">
        <v>51.632650799319698</v>
      </c>
      <c r="O5282">
        <v>49.886928600510103</v>
      </c>
      <c r="P5282">
        <v>-0.112022098863096</v>
      </c>
      <c r="Q5282">
        <v>0.31248024805049202</v>
      </c>
      <c r="R5282">
        <v>0.92025020380731304</v>
      </c>
      <c r="S5282" t="s">
        <v>11952</v>
      </c>
      <c r="T5282" t="s">
        <v>13338</v>
      </c>
      <c r="U5282" t="s">
        <v>13338</v>
      </c>
      <c r="V5282" t="s">
        <v>13338</v>
      </c>
      <c r="W5282" t="s">
        <v>18563</v>
      </c>
      <c r="X5282">
        <v>1</v>
      </c>
      <c r="Y5282" t="s">
        <v>25059</v>
      </c>
      <c r="Z5282" t="s">
        <v>31697</v>
      </c>
      <c r="AA5282">
        <v>0.54699562048496653</v>
      </c>
      <c r="AB5282" t="str">
        <f>HYPERLINK("Melting_Curves/meltCurve_Q99643_5_SDHC.pdf", "Melting_Curves/meltCurve_Q99643_5_SDHC.pdf")</f>
        <v>Melting_Curves/meltCurve_Q99643_5_SDHC.pdf</v>
      </c>
    </row>
    <row r="5283" spans="1:28" x14ac:dyDescent="0.25">
      <c r="A5283" t="s">
        <v>5287</v>
      </c>
      <c r="B5283">
        <v>0.99193492352474899</v>
      </c>
      <c r="C5283">
        <v>0.87151231057034295</v>
      </c>
      <c r="D5283">
        <v>0.85364287272287198</v>
      </c>
      <c r="E5283">
        <v>0.61657750569436398</v>
      </c>
      <c r="F5283">
        <v>0.28992072298767502</v>
      </c>
      <c r="G5283">
        <v>0.143984537588248</v>
      </c>
      <c r="H5283">
        <v>8.7085844060838899E-2</v>
      </c>
      <c r="I5283">
        <v>0.114430680393342</v>
      </c>
      <c r="J5283">
        <v>0.133313173980879</v>
      </c>
      <c r="K5283">
        <v>0.11258810186377199</v>
      </c>
      <c r="L5283">
        <v>967.30671850029</v>
      </c>
      <c r="M5283">
        <v>19.3641440359578</v>
      </c>
      <c r="N5283">
        <v>50.491073251080103</v>
      </c>
      <c r="O5283">
        <v>49.429915544526096</v>
      </c>
      <c r="P5283">
        <v>-8.8817624155362304E-2</v>
      </c>
      <c r="Q5283">
        <v>9.31519464339612E-2</v>
      </c>
      <c r="R5283">
        <v>0.98881483096512102</v>
      </c>
      <c r="S5283" t="s">
        <v>11953</v>
      </c>
      <c r="T5283" t="s">
        <v>13338</v>
      </c>
      <c r="U5283" t="s">
        <v>13338</v>
      </c>
      <c r="V5283" t="s">
        <v>13338</v>
      </c>
      <c r="W5283" t="s">
        <v>18564</v>
      </c>
      <c r="X5283">
        <v>11</v>
      </c>
      <c r="Y5283" t="s">
        <v>25060</v>
      </c>
      <c r="Z5283" t="s">
        <v>31698</v>
      </c>
      <c r="AA5283">
        <v>0.40747581997351823</v>
      </c>
      <c r="AB5283" t="str">
        <f>HYPERLINK("Melting_Curves/meltCurve_Q99653_CHP1.pdf", "Melting_Curves/meltCurve_Q99653_CHP1.pdf")</f>
        <v>Melting_Curves/meltCurve_Q99653_CHP1.pdf</v>
      </c>
    </row>
    <row r="5284" spans="1:28" x14ac:dyDescent="0.25">
      <c r="A5284" t="s">
        <v>5288</v>
      </c>
      <c r="B5284">
        <v>0.99193492352474899</v>
      </c>
      <c r="C5284">
        <v>0.75044987727198798</v>
      </c>
      <c r="D5284">
        <v>0.639657480637005</v>
      </c>
      <c r="E5284">
        <v>0.31453825680602998</v>
      </c>
      <c r="F5284">
        <v>0.13636672717401099</v>
      </c>
      <c r="G5284">
        <v>8.6299486322361896E-2</v>
      </c>
      <c r="H5284">
        <v>5.1960387839517799E-2</v>
      </c>
      <c r="I5284">
        <v>6.3019946508190205E-2</v>
      </c>
      <c r="J5284">
        <v>6.4544179565140899E-2</v>
      </c>
      <c r="K5284">
        <v>8.2483102926820304E-2</v>
      </c>
      <c r="L5284">
        <v>780.55577762404096</v>
      </c>
      <c r="M5284">
        <v>16.6926146314695</v>
      </c>
      <c r="N5284">
        <v>47.057965927693502</v>
      </c>
      <c r="O5284">
        <v>46.104919927136798</v>
      </c>
      <c r="P5284">
        <v>-8.5988164891051502E-2</v>
      </c>
      <c r="Q5284">
        <v>5.0067586820233899E-2</v>
      </c>
      <c r="R5284">
        <v>0.98865948218646005</v>
      </c>
      <c r="S5284" t="s">
        <v>11954</v>
      </c>
      <c r="T5284" t="s">
        <v>13338</v>
      </c>
      <c r="U5284" t="s">
        <v>13338</v>
      </c>
      <c r="V5284" t="s">
        <v>13338</v>
      </c>
      <c r="W5284" t="s">
        <v>18565</v>
      </c>
      <c r="X5284">
        <v>15</v>
      </c>
      <c r="Y5284" t="s">
        <v>25061</v>
      </c>
      <c r="Z5284" t="s">
        <v>31699</v>
      </c>
      <c r="AA5284">
        <v>0.2850441227472974</v>
      </c>
      <c r="AB5284" t="str">
        <f>HYPERLINK("Melting_Curves/meltCurve_Q99661_KIF2C.pdf", "Melting_Curves/meltCurve_Q99661_KIF2C.pdf")</f>
        <v>Melting_Curves/meltCurve_Q99661_KIF2C.pdf</v>
      </c>
    </row>
    <row r="5285" spans="1:28" x14ac:dyDescent="0.25">
      <c r="A5285" t="s">
        <v>5289</v>
      </c>
      <c r="B5285">
        <v>0.99193492352474899</v>
      </c>
      <c r="C5285">
        <v>0.565370322315216</v>
      </c>
      <c r="D5285">
        <v>0.44730916960364803</v>
      </c>
      <c r="E5285">
        <v>0.121971247450283</v>
      </c>
      <c r="F5285">
        <v>8.1999856571938298E-2</v>
      </c>
      <c r="G5285">
        <v>6.0022925070970103E-2</v>
      </c>
      <c r="H5285">
        <v>4.2950592909774203E-2</v>
      </c>
      <c r="I5285">
        <v>4.6269549579623898E-2</v>
      </c>
      <c r="J5285">
        <v>6.25059423729563E-2</v>
      </c>
      <c r="K5285">
        <v>4.2052594406140099E-2</v>
      </c>
      <c r="L5285">
        <v>844.93176633725102</v>
      </c>
      <c r="M5285">
        <v>19.046688610910401</v>
      </c>
      <c r="N5285">
        <v>44.580763818833901</v>
      </c>
      <c r="O5285">
        <v>43.880764018469399</v>
      </c>
      <c r="P5285">
        <v>-0.10365762619055199</v>
      </c>
      <c r="Q5285">
        <v>4.4790244042056102E-2</v>
      </c>
      <c r="R5285">
        <v>0.96865532142862099</v>
      </c>
      <c r="S5285" t="s">
        <v>11955</v>
      </c>
      <c r="T5285" t="s">
        <v>13338</v>
      </c>
      <c r="U5285" t="s">
        <v>13338</v>
      </c>
      <c r="V5285" t="s">
        <v>13338</v>
      </c>
      <c r="W5285" t="s">
        <v>18566</v>
      </c>
      <c r="X5285">
        <v>3</v>
      </c>
      <c r="Y5285" t="s">
        <v>25062</v>
      </c>
      <c r="Z5285" t="s">
        <v>31700</v>
      </c>
      <c r="AA5285">
        <v>0.2032951783767315</v>
      </c>
      <c r="AB5285" t="str">
        <f>HYPERLINK("Melting_Curves/meltCurve_Q99704_DOK1.pdf", "Melting_Curves/meltCurve_Q99704_DOK1.pdf")</f>
        <v>Melting_Curves/meltCurve_Q99704_DOK1.pdf</v>
      </c>
    </row>
    <row r="5286" spans="1:28" x14ac:dyDescent="0.25">
      <c r="A5286" t="s">
        <v>5290</v>
      </c>
      <c r="B5286">
        <v>0.99193492352474899</v>
      </c>
      <c r="C5286">
        <v>0.83876462758791703</v>
      </c>
      <c r="D5286">
        <v>0.520569702866439</v>
      </c>
      <c r="E5286">
        <v>0.35409301054893599</v>
      </c>
      <c r="F5286">
        <v>0.24709360175883399</v>
      </c>
      <c r="G5286">
        <v>0.18535177419292401</v>
      </c>
      <c r="H5286">
        <v>7.4025474260107901E-2</v>
      </c>
      <c r="I5286">
        <v>6.8994525428880904E-2</v>
      </c>
      <c r="J5286">
        <v>8.7801765693414399E-2</v>
      </c>
      <c r="K5286">
        <v>6.9372117356019294E-2</v>
      </c>
      <c r="L5286">
        <v>704.64047665618295</v>
      </c>
      <c r="M5286">
        <v>15.091909137494399</v>
      </c>
      <c r="N5286">
        <v>47.220169539658002</v>
      </c>
      <c r="O5286">
        <v>45.893217189077497</v>
      </c>
      <c r="P5286">
        <v>-7.5812157286708801E-2</v>
      </c>
      <c r="Q5286">
        <v>7.79378207217028E-2</v>
      </c>
      <c r="R5286">
        <v>0.98468959775182097</v>
      </c>
      <c r="S5286" t="s">
        <v>11956</v>
      </c>
      <c r="T5286" t="s">
        <v>13338</v>
      </c>
      <c r="U5286" t="s">
        <v>13338</v>
      </c>
      <c r="V5286" t="s">
        <v>13338</v>
      </c>
      <c r="W5286" t="s">
        <v>18567</v>
      </c>
      <c r="X5286">
        <v>3</v>
      </c>
      <c r="Y5286" t="s">
        <v>25063</v>
      </c>
      <c r="Z5286" t="s">
        <v>31701</v>
      </c>
      <c r="AA5286">
        <v>0.3087975936931493</v>
      </c>
      <c r="AB5286" t="str">
        <f>HYPERLINK("Melting_Curves/meltCurve_Q99707_MTR.pdf", "Melting_Curves/meltCurve_Q99707_MTR.pdf")</f>
        <v>Melting_Curves/meltCurve_Q99707_MTR.pdf</v>
      </c>
    </row>
    <row r="5287" spans="1:28" x14ac:dyDescent="0.25">
      <c r="A5287" t="s">
        <v>5291</v>
      </c>
      <c r="B5287">
        <v>0.99193492352474899</v>
      </c>
      <c r="C5287">
        <v>1.12132999194544</v>
      </c>
      <c r="D5287">
        <v>1.0555799719899901</v>
      </c>
      <c r="E5287">
        <v>0.96519611896759505</v>
      </c>
      <c r="F5287">
        <v>0.84523319985323297</v>
      </c>
      <c r="G5287">
        <v>0.40843958766025901</v>
      </c>
      <c r="H5287">
        <v>0.122239317281523</v>
      </c>
      <c r="I5287">
        <v>9.1927184233196693E-2</v>
      </c>
      <c r="J5287">
        <v>8.71099701256422E-2</v>
      </c>
      <c r="K5287">
        <v>8.0085143124165606E-2</v>
      </c>
      <c r="L5287">
        <v>1851.0913855025101</v>
      </c>
      <c r="M5287">
        <v>33.190501271566703</v>
      </c>
      <c r="N5287">
        <v>56.057514563188199</v>
      </c>
      <c r="O5287">
        <v>55.570407816445297</v>
      </c>
      <c r="P5287">
        <v>-0.137694822660127</v>
      </c>
      <c r="Q5287">
        <v>7.7841352634211894E-2</v>
      </c>
      <c r="R5287">
        <v>0.99011246569131095</v>
      </c>
      <c r="S5287" t="s">
        <v>11957</v>
      </c>
      <c r="T5287" t="s">
        <v>13338</v>
      </c>
      <c r="U5287" t="s">
        <v>13338</v>
      </c>
      <c r="V5287" t="s">
        <v>13338</v>
      </c>
      <c r="W5287" t="s">
        <v>18568</v>
      </c>
      <c r="X5287">
        <v>11</v>
      </c>
      <c r="Y5287" t="s">
        <v>25064</v>
      </c>
      <c r="Z5287" t="s">
        <v>31702</v>
      </c>
      <c r="AA5287">
        <v>0.56772450231887872</v>
      </c>
      <c r="AB5287" t="str">
        <f>HYPERLINK("Melting_Curves/meltCurve_Q99714_HSD17B10.pdf", "Melting_Curves/meltCurve_Q99714_HSD17B10.pdf")</f>
        <v>Melting_Curves/meltCurve_Q99714_HSD17B10.pdf</v>
      </c>
    </row>
    <row r="5288" spans="1:28" x14ac:dyDescent="0.25">
      <c r="A5288" t="s">
        <v>5292</v>
      </c>
      <c r="B5288">
        <v>0.99193492352474899</v>
      </c>
      <c r="C5288">
        <v>1.04904704440611</v>
      </c>
      <c r="D5288">
        <v>1.03852512039267</v>
      </c>
      <c r="E5288">
        <v>0.85527518388552803</v>
      </c>
      <c r="F5288">
        <v>0.77947743718479001</v>
      </c>
      <c r="G5288">
        <v>0.29226340286735297</v>
      </c>
      <c r="H5288">
        <v>0.11210138453542</v>
      </c>
      <c r="I5288">
        <v>0.12037517836072401</v>
      </c>
      <c r="J5288">
        <v>0.124259282143501</v>
      </c>
      <c r="K5288">
        <v>0.13119529510792499</v>
      </c>
      <c r="L5288">
        <v>1843.6566578158499</v>
      </c>
      <c r="M5288">
        <v>33.7335552996799</v>
      </c>
      <c r="N5288">
        <v>55.066228903435501</v>
      </c>
      <c r="O5288">
        <v>54.462499900591297</v>
      </c>
      <c r="P5288">
        <v>-0.137550805655066</v>
      </c>
      <c r="Q5288">
        <v>0.111705823641205</v>
      </c>
      <c r="R5288">
        <v>0.98754712434758196</v>
      </c>
      <c r="S5288" t="s">
        <v>11958</v>
      </c>
      <c r="T5288" t="s">
        <v>13338</v>
      </c>
      <c r="U5288" t="s">
        <v>13338</v>
      </c>
      <c r="V5288" t="s">
        <v>13338</v>
      </c>
      <c r="W5288" t="s">
        <v>18569</v>
      </c>
      <c r="X5288">
        <v>15</v>
      </c>
      <c r="Y5288" t="s">
        <v>25065</v>
      </c>
      <c r="Z5288" t="s">
        <v>31703</v>
      </c>
      <c r="AA5288">
        <v>0.55027753618633379</v>
      </c>
      <c r="AB5288" t="str">
        <f>HYPERLINK("Melting_Curves/meltCurve_Q99719_SEPT5.pdf", "Melting_Curves/meltCurve_Q99719_SEPT5.pdf")</f>
        <v>Melting_Curves/meltCurve_Q99719_SEPT5.pdf</v>
      </c>
    </row>
    <row r="5289" spans="1:28" x14ac:dyDescent="0.25">
      <c r="A5289" t="s">
        <v>5293</v>
      </c>
      <c r="B5289">
        <v>0.99193492352474899</v>
      </c>
      <c r="C5289">
        <v>0.81278220219157304</v>
      </c>
      <c r="D5289">
        <v>0.76923854416452897</v>
      </c>
      <c r="E5289">
        <v>0.55757236029300905</v>
      </c>
      <c r="F5289">
        <v>0.43851813969836501</v>
      </c>
      <c r="G5289">
        <v>0.27327139838571901</v>
      </c>
      <c r="H5289">
        <v>0.22819376710966899</v>
      </c>
      <c r="I5289">
        <v>0.31841870334504402</v>
      </c>
      <c r="J5289">
        <v>0.36107084756357599</v>
      </c>
      <c r="K5289">
        <v>0.44213141814422102</v>
      </c>
      <c r="L5289">
        <v>770.17416864966401</v>
      </c>
      <c r="M5289">
        <v>16.294214515941999</v>
      </c>
      <c r="N5289">
        <v>50.399952785458098</v>
      </c>
      <c r="O5289">
        <v>46.571970857036199</v>
      </c>
      <c r="P5289">
        <v>-5.9619841925375401E-2</v>
      </c>
      <c r="Q5289">
        <v>0.31842996082141101</v>
      </c>
      <c r="R5289">
        <v>0.92587967077348099</v>
      </c>
      <c r="S5289" t="s">
        <v>11959</v>
      </c>
      <c r="T5289" t="s">
        <v>13338</v>
      </c>
      <c r="U5289" t="s">
        <v>13338</v>
      </c>
      <c r="V5289" t="s">
        <v>13338</v>
      </c>
      <c r="W5289" t="s">
        <v>18570</v>
      </c>
      <c r="X5289">
        <v>1</v>
      </c>
      <c r="Y5289" t="s">
        <v>25066</v>
      </c>
      <c r="Z5289" t="s">
        <v>31704</v>
      </c>
      <c r="AA5289">
        <v>0.498876022059135</v>
      </c>
      <c r="AB5289" t="str">
        <f>HYPERLINK("Melting_Curves/meltCurve_Q99720_4_SIGMAR1.pdf", "Melting_Curves/meltCurve_Q99720_4_SIGMAR1.pdf")</f>
        <v>Melting_Curves/meltCurve_Q99720_4_SIGMAR1.pdf</v>
      </c>
    </row>
    <row r="5290" spans="1:28" x14ac:dyDescent="0.25">
      <c r="A5290" t="s">
        <v>5294</v>
      </c>
      <c r="B5290">
        <v>0.99193492352474899</v>
      </c>
      <c r="C5290">
        <v>1.1899575882801099</v>
      </c>
      <c r="D5290">
        <v>0.86711068296651705</v>
      </c>
      <c r="E5290">
        <v>0.87364703897199802</v>
      </c>
      <c r="F5290">
        <v>0.49220932402277201</v>
      </c>
      <c r="G5290">
        <v>0.20040228649276001</v>
      </c>
      <c r="H5290">
        <v>9.6754435269812894E-2</v>
      </c>
      <c r="I5290">
        <v>0.122953136180584</v>
      </c>
      <c r="J5290">
        <v>0.123801563054332</v>
      </c>
      <c r="K5290">
        <v>0.127900219168496</v>
      </c>
      <c r="L5290">
        <v>1475.84599781421</v>
      </c>
      <c r="M5290">
        <v>28.0572883125724</v>
      </c>
      <c r="N5290">
        <v>53.070638957877399</v>
      </c>
      <c r="O5290">
        <v>52.336134267999597</v>
      </c>
      <c r="P5290">
        <v>-0.119296917038062</v>
      </c>
      <c r="Q5290">
        <v>0.109894675734398</v>
      </c>
      <c r="R5290">
        <v>0.96859665752576396</v>
      </c>
      <c r="S5290" t="s">
        <v>11960</v>
      </c>
      <c r="T5290" t="s">
        <v>13338</v>
      </c>
      <c r="U5290" t="s">
        <v>13338</v>
      </c>
      <c r="V5290" t="s">
        <v>13338</v>
      </c>
      <c r="W5290" t="s">
        <v>18571</v>
      </c>
      <c r="X5290">
        <v>17</v>
      </c>
      <c r="Y5290" t="s">
        <v>25067</v>
      </c>
      <c r="Z5290" t="s">
        <v>31705</v>
      </c>
      <c r="AA5290">
        <v>0.49031709244513172</v>
      </c>
      <c r="AB5290" t="str">
        <f>HYPERLINK("Melting_Curves/meltCurve_Q99733_NAP1L4.pdf", "Melting_Curves/meltCurve_Q99733_NAP1L4.pdf")</f>
        <v>Melting_Curves/meltCurve_Q99733_NAP1L4.pdf</v>
      </c>
    </row>
    <row r="5291" spans="1:28" x14ac:dyDescent="0.25">
      <c r="A5291" t="s">
        <v>5295</v>
      </c>
      <c r="B5291">
        <v>0.99193492352474899</v>
      </c>
      <c r="C5291">
        <v>0.80478714077951496</v>
      </c>
      <c r="D5291">
        <v>0.80215449311281195</v>
      </c>
      <c r="E5291">
        <v>0.25096116945542102</v>
      </c>
      <c r="F5291">
        <v>0.14152946708559599</v>
      </c>
      <c r="G5291">
        <v>8.6877470260139103E-2</v>
      </c>
      <c r="H5291">
        <v>7.0471774539930407E-2</v>
      </c>
      <c r="I5291">
        <v>7.9032654220228094E-2</v>
      </c>
      <c r="J5291">
        <v>8.3619182465674305E-2</v>
      </c>
      <c r="K5291">
        <v>0.12093812591599901</v>
      </c>
      <c r="L5291">
        <v>1323.7359509845301</v>
      </c>
      <c r="M5291">
        <v>27.891844063508302</v>
      </c>
      <c r="N5291">
        <v>47.775469886645602</v>
      </c>
      <c r="O5291">
        <v>47.217655134452997</v>
      </c>
      <c r="P5291">
        <v>-0.13524372304515</v>
      </c>
      <c r="Q5291">
        <v>8.4200260793611606E-2</v>
      </c>
      <c r="R5291">
        <v>0.97433936171051705</v>
      </c>
      <c r="S5291" t="s">
        <v>11961</v>
      </c>
      <c r="T5291" t="s">
        <v>13338</v>
      </c>
      <c r="U5291" t="s">
        <v>13338</v>
      </c>
      <c r="V5291" t="s">
        <v>13338</v>
      </c>
      <c r="W5291" t="s">
        <v>18572</v>
      </c>
      <c r="X5291">
        <v>18</v>
      </c>
      <c r="Y5291" t="s">
        <v>25068</v>
      </c>
      <c r="Z5291" t="s">
        <v>31706</v>
      </c>
      <c r="AA5291">
        <v>0.31833276946678318</v>
      </c>
      <c r="AB5291" t="str">
        <f>HYPERLINK("Melting_Curves/meltCurve_Q99747_NAPG.pdf", "Melting_Curves/meltCurve_Q99747_NAPG.pdf")</f>
        <v>Melting_Curves/meltCurve_Q99747_NAPG.pdf</v>
      </c>
    </row>
    <row r="5292" spans="1:28" x14ac:dyDescent="0.25">
      <c r="A5292" t="s">
        <v>5296</v>
      </c>
      <c r="B5292">
        <v>0.99193492352474899</v>
      </c>
      <c r="C5292">
        <v>1.9319725550454701</v>
      </c>
      <c r="D5292">
        <v>0.97490087232274003</v>
      </c>
      <c r="E5292">
        <v>1.2905063988027901</v>
      </c>
      <c r="F5292">
        <v>0.78323339248909296</v>
      </c>
      <c r="G5292">
        <v>0.66694397726408505</v>
      </c>
      <c r="H5292">
        <v>0.58418666251788598</v>
      </c>
      <c r="I5292">
        <v>0.73696563813445504</v>
      </c>
      <c r="J5292">
        <v>0.46983644374357503</v>
      </c>
      <c r="K5292">
        <v>0.40081591420555102</v>
      </c>
      <c r="L5292">
        <v>7488.4207944581503</v>
      </c>
      <c r="M5292">
        <v>140.78352333011199</v>
      </c>
      <c r="O5292">
        <v>53.180299623301302</v>
      </c>
      <c r="P5292">
        <v>-0.283438988146403</v>
      </c>
      <c r="Q5292">
        <v>0.57172913753882004</v>
      </c>
      <c r="R5292">
        <v>0.44551277139351297</v>
      </c>
      <c r="S5292" t="s">
        <v>11962</v>
      </c>
      <c r="T5292" t="s">
        <v>13338</v>
      </c>
      <c r="U5292" t="s">
        <v>13338</v>
      </c>
      <c r="V5292" t="s">
        <v>13338</v>
      </c>
      <c r="W5292" t="s">
        <v>18573</v>
      </c>
      <c r="X5292">
        <v>5</v>
      </c>
      <c r="Y5292" t="s">
        <v>25069</v>
      </c>
      <c r="Z5292" t="s">
        <v>31707</v>
      </c>
      <c r="AA5292">
        <v>0.76016641106128802</v>
      </c>
      <c r="AB5292" t="str">
        <f>HYPERLINK("Melting_Curves/meltCurve_Q99757_TXN2.pdf", "Melting_Curves/meltCurve_Q99757_TXN2.pdf")</f>
        <v>Melting_Curves/meltCurve_Q99757_TXN2.pdf</v>
      </c>
    </row>
    <row r="5293" spans="1:28" x14ac:dyDescent="0.25">
      <c r="A5293" t="s">
        <v>5297</v>
      </c>
      <c r="B5293">
        <v>0.99193492352474899</v>
      </c>
      <c r="C5293">
        <v>0.87137878736179397</v>
      </c>
      <c r="D5293">
        <v>0.99379224088322904</v>
      </c>
      <c r="E5293">
        <v>0.79695431196141397</v>
      </c>
      <c r="F5293">
        <v>0.32862540467540902</v>
      </c>
      <c r="G5293">
        <v>0.15168774656717299</v>
      </c>
      <c r="H5293">
        <v>7.8420392041725503E-2</v>
      </c>
      <c r="I5293">
        <v>9.1009315754704001E-2</v>
      </c>
      <c r="J5293">
        <v>9.9056153779745498E-2</v>
      </c>
      <c r="K5293">
        <v>0.11349820399602301</v>
      </c>
      <c r="L5293">
        <v>1658.7727946841201</v>
      </c>
      <c r="M5293">
        <v>32.215437341709901</v>
      </c>
      <c r="N5293">
        <v>51.832549827884499</v>
      </c>
      <c r="O5293">
        <v>51.2928226714874</v>
      </c>
      <c r="P5293">
        <v>-0.14196255105867001</v>
      </c>
      <c r="Q5293">
        <v>9.5884055819554795E-2</v>
      </c>
      <c r="R5293">
        <v>0.98826872501562901</v>
      </c>
      <c r="S5293" t="s">
        <v>11963</v>
      </c>
      <c r="T5293" t="s">
        <v>13338</v>
      </c>
      <c r="U5293" t="s">
        <v>13338</v>
      </c>
      <c r="V5293" t="s">
        <v>13338</v>
      </c>
      <c r="W5293" t="s">
        <v>18574</v>
      </c>
      <c r="X5293">
        <v>4</v>
      </c>
      <c r="Y5293" t="s">
        <v>25070</v>
      </c>
      <c r="Z5293" t="s">
        <v>31708</v>
      </c>
      <c r="AA5293">
        <v>0.44713011346275261</v>
      </c>
      <c r="AB5293" t="str">
        <f>HYPERLINK("Melting_Curves/meltCurve_Q99766_ATP5S.pdf", "Melting_Curves/meltCurve_Q99766_ATP5S.pdf")</f>
        <v>Melting_Curves/meltCurve_Q99766_ATP5S.pdf</v>
      </c>
    </row>
    <row r="5294" spans="1:28" x14ac:dyDescent="0.25">
      <c r="A5294" t="s">
        <v>5298</v>
      </c>
      <c r="B5294">
        <v>0.99193492352474899</v>
      </c>
      <c r="C5294">
        <v>0.76478836140582895</v>
      </c>
      <c r="D5294">
        <v>0.94331699113425405</v>
      </c>
      <c r="E5294">
        <v>0.66512060034914799</v>
      </c>
      <c r="F5294">
        <v>0.55014778380231699</v>
      </c>
      <c r="G5294">
        <v>0.40922318809102398</v>
      </c>
      <c r="H5294">
        <v>0.32636373518865103</v>
      </c>
      <c r="I5294">
        <v>0.37876818397697998</v>
      </c>
      <c r="J5294">
        <v>0.45385415267574603</v>
      </c>
      <c r="K5294">
        <v>0.54222204432062804</v>
      </c>
      <c r="L5294">
        <v>818.17972697455195</v>
      </c>
      <c r="M5294">
        <v>16.756720081286801</v>
      </c>
      <c r="N5294">
        <v>54.401435500305197</v>
      </c>
      <c r="O5294">
        <v>48.147465770753897</v>
      </c>
      <c r="P5294">
        <v>-5.1320088063519197E-2</v>
      </c>
      <c r="Q5294">
        <v>0.410201856512383</v>
      </c>
      <c r="R5294">
        <v>0.84338035958229496</v>
      </c>
      <c r="S5294" t="s">
        <v>11964</v>
      </c>
      <c r="T5294" t="s">
        <v>13338</v>
      </c>
      <c r="U5294" t="s">
        <v>13338</v>
      </c>
      <c r="V5294" t="s">
        <v>13338</v>
      </c>
      <c r="W5294" t="s">
        <v>18575</v>
      </c>
      <c r="X5294">
        <v>5</v>
      </c>
      <c r="Y5294" t="s">
        <v>25071</v>
      </c>
      <c r="Z5294" t="s">
        <v>31709</v>
      </c>
      <c r="AA5294">
        <v>0.59556133504022712</v>
      </c>
      <c r="AB5294" t="str">
        <f>HYPERLINK("Melting_Curves/meltCurve_Q99795_GPA33.pdf", "Melting_Curves/meltCurve_Q99795_GPA33.pdf")</f>
        <v>Melting_Curves/meltCurve_Q99795_GPA33.pdf</v>
      </c>
    </row>
    <row r="5295" spans="1:28" x14ac:dyDescent="0.25">
      <c r="A5295" t="s">
        <v>5299</v>
      </c>
      <c r="B5295">
        <v>0.99193492352474899</v>
      </c>
      <c r="C5295">
        <v>1.1870966260845</v>
      </c>
      <c r="D5295">
        <v>1.12479077864133</v>
      </c>
      <c r="E5295">
        <v>0.85426316309180905</v>
      </c>
      <c r="F5295">
        <v>0.234600566195864</v>
      </c>
      <c r="G5295">
        <v>0.13834955073435301</v>
      </c>
      <c r="H5295">
        <v>7.7248242384710605E-2</v>
      </c>
      <c r="I5295">
        <v>8.6986313312111999E-2</v>
      </c>
      <c r="J5295">
        <v>9.79112491717892E-2</v>
      </c>
      <c r="K5295">
        <v>0.10654507659488401</v>
      </c>
      <c r="L5295">
        <v>2517.5151414809502</v>
      </c>
      <c r="M5295">
        <v>49.062620281210499</v>
      </c>
      <c r="N5295">
        <v>51.545939298889699</v>
      </c>
      <c r="O5295">
        <v>51.227253394842002</v>
      </c>
      <c r="P5295">
        <v>-0.215563676541949</v>
      </c>
      <c r="Q5295">
        <v>9.9703612745761797E-2</v>
      </c>
      <c r="R5295">
        <v>0.97463042918460097</v>
      </c>
      <c r="S5295" t="s">
        <v>11965</v>
      </c>
      <c r="T5295" t="s">
        <v>13338</v>
      </c>
      <c r="U5295" t="s">
        <v>13338</v>
      </c>
      <c r="V5295" t="s">
        <v>13338</v>
      </c>
      <c r="W5295" t="s">
        <v>18576</v>
      </c>
      <c r="X5295">
        <v>12</v>
      </c>
      <c r="Y5295" t="s">
        <v>25072</v>
      </c>
      <c r="Z5295" t="s">
        <v>31710</v>
      </c>
      <c r="AA5295">
        <v>0.44130061312758118</v>
      </c>
      <c r="AB5295" t="str">
        <f>HYPERLINK("Melting_Curves/meltCurve_Q99797_MIPEP.pdf", "Melting_Curves/meltCurve_Q99797_MIPEP.pdf")</f>
        <v>Melting_Curves/meltCurve_Q99797_MIPEP.pdf</v>
      </c>
    </row>
    <row r="5296" spans="1:28" x14ac:dyDescent="0.25">
      <c r="A5296" t="s">
        <v>5300</v>
      </c>
      <c r="B5296">
        <v>0.99193492352474899</v>
      </c>
      <c r="C5296">
        <v>0.79217013051392604</v>
      </c>
      <c r="D5296">
        <v>0.942678549410219</v>
      </c>
      <c r="E5296">
        <v>0.69098583765590804</v>
      </c>
      <c r="F5296">
        <v>0.50305698430906798</v>
      </c>
      <c r="G5296">
        <v>0.158942878666823</v>
      </c>
      <c r="H5296">
        <v>9.1547541986385095E-2</v>
      </c>
      <c r="I5296">
        <v>8.6596612214149798E-2</v>
      </c>
      <c r="J5296">
        <v>8.6560298438570896E-2</v>
      </c>
      <c r="K5296">
        <v>0.106935183534454</v>
      </c>
      <c r="L5296">
        <v>882.11958853846397</v>
      </c>
      <c r="M5296">
        <v>16.9896297541537</v>
      </c>
      <c r="N5296">
        <v>52.264116169981797</v>
      </c>
      <c r="O5296">
        <v>51.217740111969299</v>
      </c>
      <c r="P5296">
        <v>-7.8557810663593505E-2</v>
      </c>
      <c r="Q5296">
        <v>5.2762339373176703E-2</v>
      </c>
      <c r="R5296">
        <v>0.96301723778790105</v>
      </c>
      <c r="S5296" t="s">
        <v>11966</v>
      </c>
      <c r="T5296" t="s">
        <v>13338</v>
      </c>
      <c r="U5296" t="s">
        <v>13338</v>
      </c>
      <c r="V5296" t="s">
        <v>13338</v>
      </c>
      <c r="W5296" t="s">
        <v>18577</v>
      </c>
      <c r="X5296">
        <v>13</v>
      </c>
      <c r="Y5296" t="s">
        <v>25073</v>
      </c>
      <c r="Z5296" t="s">
        <v>31711</v>
      </c>
      <c r="AA5296">
        <v>0.44656092207716419</v>
      </c>
      <c r="AB5296" t="str">
        <f>HYPERLINK("Melting_Curves/meltCurve_Q99805_TM9SF2.pdf", "Melting_Curves/meltCurve_Q99805_TM9SF2.pdf")</f>
        <v>Melting_Curves/meltCurve_Q99805_TM9SF2.pdf</v>
      </c>
    </row>
    <row r="5297" spans="1:28" x14ac:dyDescent="0.25">
      <c r="A5297" t="s">
        <v>5301</v>
      </c>
      <c r="B5297">
        <v>0.99193492352474899</v>
      </c>
      <c r="C5297">
        <v>0.95890462071426097</v>
      </c>
      <c r="D5297">
        <v>0.80689694026483605</v>
      </c>
      <c r="E5297">
        <v>0.68226969719834696</v>
      </c>
      <c r="F5297">
        <v>0.53782025154292501</v>
      </c>
      <c r="G5297">
        <v>0.346805342231014</v>
      </c>
      <c r="H5297">
        <v>0.27275927013190898</v>
      </c>
      <c r="I5297">
        <v>0.353901251171515</v>
      </c>
      <c r="J5297">
        <v>0.52251745169965602</v>
      </c>
      <c r="K5297">
        <v>0.55245264596755295</v>
      </c>
      <c r="L5297">
        <v>962.13629830582101</v>
      </c>
      <c r="M5297">
        <v>19.848134411750902</v>
      </c>
      <c r="N5297">
        <v>53.096612197009897</v>
      </c>
      <c r="O5297">
        <v>47.990871442888803</v>
      </c>
      <c r="P5297">
        <v>-6.0886468562855102E-2</v>
      </c>
      <c r="Q5297">
        <v>0.41114933779412999</v>
      </c>
      <c r="R5297">
        <v>0.87561898098787705</v>
      </c>
      <c r="S5297" t="s">
        <v>11967</v>
      </c>
      <c r="T5297" t="s">
        <v>13338</v>
      </c>
      <c r="U5297" t="s">
        <v>13338</v>
      </c>
      <c r="V5297" t="s">
        <v>13338</v>
      </c>
      <c r="W5297" t="s">
        <v>18578</v>
      </c>
      <c r="X5297">
        <v>6</v>
      </c>
      <c r="Y5297" t="s">
        <v>25074</v>
      </c>
      <c r="Z5297" t="s">
        <v>31712</v>
      </c>
      <c r="AA5297">
        <v>0.58592956450807376</v>
      </c>
      <c r="AB5297" t="str">
        <f>HYPERLINK("Melting_Curves/meltCurve_Q99808_SLC29A1.pdf", "Melting_Curves/meltCurve_Q99808_SLC29A1.pdf")</f>
        <v>Melting_Curves/meltCurve_Q99808_SLC29A1.pdf</v>
      </c>
    </row>
    <row r="5298" spans="1:28" x14ac:dyDescent="0.25">
      <c r="A5298" t="s">
        <v>5302</v>
      </c>
      <c r="B5298">
        <v>0.99193492352474899</v>
      </c>
      <c r="C5298">
        <v>0.96573883703531604</v>
      </c>
      <c r="D5298">
        <v>0.92707924046850598</v>
      </c>
      <c r="E5298">
        <v>0.52851334018510099</v>
      </c>
      <c r="F5298">
        <v>0.21889367759637901</v>
      </c>
      <c r="G5298">
        <v>9.4341792699070906E-2</v>
      </c>
      <c r="H5298">
        <v>6.0226308243940999E-2</v>
      </c>
      <c r="I5298">
        <v>7.5841302904595995E-2</v>
      </c>
      <c r="J5298">
        <v>8.1035722486837797E-2</v>
      </c>
      <c r="K5298">
        <v>6.4563134924784493E-2</v>
      </c>
      <c r="L5298">
        <v>1351.1317544241399</v>
      </c>
      <c r="M5298">
        <v>27.203080303872099</v>
      </c>
      <c r="N5298">
        <v>49.942921227294498</v>
      </c>
      <c r="O5298">
        <v>49.402256141332799</v>
      </c>
      <c r="P5298">
        <v>-0.12810090692051401</v>
      </c>
      <c r="Q5298">
        <v>6.9456419128937505E-2</v>
      </c>
      <c r="R5298">
        <v>0.998688768051883</v>
      </c>
      <c r="S5298" t="s">
        <v>11968</v>
      </c>
      <c r="T5298" t="s">
        <v>13338</v>
      </c>
      <c r="U5298" t="s">
        <v>13338</v>
      </c>
      <c r="V5298" t="s">
        <v>13338</v>
      </c>
      <c r="W5298" t="s">
        <v>18579</v>
      </c>
      <c r="X5298">
        <v>10</v>
      </c>
      <c r="Y5298" t="s">
        <v>25075</v>
      </c>
      <c r="Z5298" t="s">
        <v>31713</v>
      </c>
      <c r="AA5298">
        <v>0.37633453272074979</v>
      </c>
      <c r="AB5298" t="str">
        <f>HYPERLINK("Melting_Curves/meltCurve_Q99816_TSG101.pdf", "Melting_Curves/meltCurve_Q99816_TSG101.pdf")</f>
        <v>Melting_Curves/meltCurve_Q99816_TSG101.pdf</v>
      </c>
    </row>
    <row r="5299" spans="1:28" x14ac:dyDescent="0.25">
      <c r="A5299" t="s">
        <v>5303</v>
      </c>
      <c r="B5299">
        <v>0.99193492352474899</v>
      </c>
      <c r="C5299">
        <v>0.91955085989142304</v>
      </c>
      <c r="D5299">
        <v>0.887332458007417</v>
      </c>
      <c r="E5299">
        <v>0.59118051396942195</v>
      </c>
      <c r="F5299">
        <v>0.23199002454578899</v>
      </c>
      <c r="G5299">
        <v>0.10160371845111001</v>
      </c>
      <c r="H5299">
        <v>6.0420915907717802E-2</v>
      </c>
      <c r="I5299">
        <v>7.8414882391457399E-2</v>
      </c>
      <c r="J5299">
        <v>8.3015250520449793E-2</v>
      </c>
      <c r="K5299">
        <v>8.8077270707685507E-2</v>
      </c>
      <c r="L5299">
        <v>1196.97869765682</v>
      </c>
      <c r="M5299">
        <v>23.965261424987499</v>
      </c>
      <c r="N5299">
        <v>50.253406162943897</v>
      </c>
      <c r="O5299">
        <v>49.602541319377202</v>
      </c>
      <c r="P5299">
        <v>-0.112563234818591</v>
      </c>
      <c r="Q5299">
        <v>6.8095620809964605E-2</v>
      </c>
      <c r="R5299">
        <v>0.99603198206822396</v>
      </c>
      <c r="S5299" t="s">
        <v>11969</v>
      </c>
      <c r="T5299" t="s">
        <v>13338</v>
      </c>
      <c r="U5299" t="s">
        <v>13338</v>
      </c>
      <c r="V5299" t="s">
        <v>13338</v>
      </c>
      <c r="W5299" t="s">
        <v>18580</v>
      </c>
      <c r="X5299">
        <v>12</v>
      </c>
      <c r="Y5299" t="s">
        <v>25076</v>
      </c>
      <c r="Z5299" t="s">
        <v>31714</v>
      </c>
      <c r="AA5299">
        <v>0.38612851898861078</v>
      </c>
      <c r="AB5299" t="str">
        <f>HYPERLINK("Melting_Curves/meltCurve_Q99829_CPNE1.pdf", "Melting_Curves/meltCurve_Q99829_CPNE1.pdf")</f>
        <v>Melting_Curves/meltCurve_Q99829_CPNE1.pdf</v>
      </c>
    </row>
    <row r="5300" spans="1:28" x14ac:dyDescent="0.25">
      <c r="A5300" t="s">
        <v>5304</v>
      </c>
      <c r="B5300">
        <v>0.99193492352474899</v>
      </c>
      <c r="C5300">
        <v>0.88511045235349795</v>
      </c>
      <c r="D5300">
        <v>0.86939596137499497</v>
      </c>
      <c r="E5300">
        <v>0.74399524556037899</v>
      </c>
      <c r="F5300">
        <v>0.71147920896238404</v>
      </c>
      <c r="G5300">
        <v>0.57295411156374498</v>
      </c>
      <c r="H5300">
        <v>0.40870092476654402</v>
      </c>
      <c r="I5300">
        <v>0.24601019301223501</v>
      </c>
      <c r="J5300">
        <v>0.132259440862219</v>
      </c>
      <c r="K5300">
        <v>9.3096589690308998E-2</v>
      </c>
      <c r="L5300">
        <v>543.61479282213099</v>
      </c>
      <c r="M5300">
        <v>9.5199956914055299</v>
      </c>
      <c r="N5300">
        <v>57.102421177432703</v>
      </c>
      <c r="O5300">
        <v>54.7531401253094</v>
      </c>
      <c r="P5300">
        <v>-4.3493295121899103E-2</v>
      </c>
      <c r="Q5300">
        <v>0</v>
      </c>
      <c r="R5300">
        <v>0.97266972625221904</v>
      </c>
      <c r="S5300" t="s">
        <v>11970</v>
      </c>
      <c r="T5300" t="s">
        <v>13338</v>
      </c>
      <c r="U5300" t="s">
        <v>13338</v>
      </c>
      <c r="V5300" t="s">
        <v>13338</v>
      </c>
      <c r="W5300" t="s">
        <v>18581</v>
      </c>
      <c r="X5300">
        <v>44</v>
      </c>
      <c r="Y5300" t="s">
        <v>25077</v>
      </c>
      <c r="Z5300" t="s">
        <v>31715</v>
      </c>
      <c r="AA5300">
        <v>0.58465907878021972</v>
      </c>
      <c r="AB5300" t="str">
        <f>HYPERLINK("Melting_Curves/meltCurve_Q99832_CCT7.pdf", "Melting_Curves/meltCurve_Q99832_CCT7.pdf")</f>
        <v>Melting_Curves/meltCurve_Q99832_CCT7.pdf</v>
      </c>
    </row>
    <row r="5301" spans="1:28" x14ac:dyDescent="0.25">
      <c r="A5301" t="s">
        <v>5305</v>
      </c>
      <c r="B5301">
        <v>0.99193492352474899</v>
      </c>
      <c r="C5301">
        <v>1.0124420514321799</v>
      </c>
      <c r="D5301">
        <v>0.41361664308466001</v>
      </c>
      <c r="E5301">
        <v>0.37564580600265901</v>
      </c>
      <c r="F5301">
        <v>0.12883144010365699</v>
      </c>
      <c r="G5301">
        <v>0.114526583244267</v>
      </c>
      <c r="H5301">
        <v>5.6089512542877799E-2</v>
      </c>
      <c r="I5301">
        <v>0.110574023075849</v>
      </c>
      <c r="J5301">
        <v>7.66841847597E-2</v>
      </c>
      <c r="K5301">
        <v>0.10851110376024201</v>
      </c>
      <c r="L5301">
        <v>1178.9223270917901</v>
      </c>
      <c r="M5301">
        <v>25.654135983209301</v>
      </c>
      <c r="N5301">
        <v>46.389923388160703</v>
      </c>
      <c r="O5301">
        <v>45.677969376087098</v>
      </c>
      <c r="P5301">
        <v>-0.125384974381029</v>
      </c>
      <c r="Q5301">
        <v>0.107003796036723</v>
      </c>
      <c r="R5301">
        <v>0.948816771373726</v>
      </c>
      <c r="S5301" t="s">
        <v>11971</v>
      </c>
      <c r="T5301" t="s">
        <v>13338</v>
      </c>
      <c r="U5301" t="s">
        <v>13338</v>
      </c>
      <c r="V5301" t="s">
        <v>13338</v>
      </c>
      <c r="W5301" t="s">
        <v>18582</v>
      </c>
      <c r="X5301">
        <v>3</v>
      </c>
      <c r="Y5301" t="s">
        <v>25078</v>
      </c>
      <c r="Z5301" t="s">
        <v>31716</v>
      </c>
      <c r="AA5301">
        <v>0.29203842311596578</v>
      </c>
      <c r="AB5301" t="str">
        <f>HYPERLINK("Melting_Curves/meltCurve_Q99856_ARID3A.pdf", "Melting_Curves/meltCurve_Q99856_ARID3A.pdf")</f>
        <v>Melting_Curves/meltCurve_Q99856_ARID3A.pdf</v>
      </c>
    </row>
    <row r="5302" spans="1:28" x14ac:dyDescent="0.25">
      <c r="A5302" t="s">
        <v>5306</v>
      </c>
      <c r="B5302">
        <v>0.99193492352474899</v>
      </c>
      <c r="C5302">
        <v>0.81747224955471398</v>
      </c>
      <c r="D5302">
        <v>0.70116737244022398</v>
      </c>
      <c r="E5302">
        <v>0.47849582178705802</v>
      </c>
      <c r="F5302">
        <v>0.43720301480753498</v>
      </c>
      <c r="G5302">
        <v>0.273864598770303</v>
      </c>
      <c r="H5302">
        <v>0.358942181234017</v>
      </c>
      <c r="I5302">
        <v>0.27175590597227101</v>
      </c>
      <c r="J5302">
        <v>0.60135907314343695</v>
      </c>
      <c r="K5302">
        <v>0.50309375046374205</v>
      </c>
      <c r="L5302">
        <v>965.236928724157</v>
      </c>
      <c r="M5302">
        <v>21.259411066970902</v>
      </c>
      <c r="N5302">
        <v>49.186570010289003</v>
      </c>
      <c r="O5302">
        <v>45.006824629517197</v>
      </c>
      <c r="P5302">
        <v>-7.0552948145878799E-2</v>
      </c>
      <c r="Q5302">
        <v>0.40256449858889998</v>
      </c>
      <c r="R5302">
        <v>0.815954152940358</v>
      </c>
      <c r="S5302" t="s">
        <v>11972</v>
      </c>
      <c r="T5302" t="s">
        <v>13338</v>
      </c>
      <c r="U5302" t="s">
        <v>13338</v>
      </c>
      <c r="V5302" t="s">
        <v>13338</v>
      </c>
      <c r="W5302" t="s">
        <v>18583</v>
      </c>
      <c r="X5302">
        <v>10</v>
      </c>
      <c r="Y5302" t="s">
        <v>25079</v>
      </c>
      <c r="Z5302" t="s">
        <v>31717</v>
      </c>
      <c r="AA5302">
        <v>0.51857063524080105</v>
      </c>
      <c r="AB5302" t="str">
        <f>HYPERLINK("Melting_Curves/meltCurve_Q99879_HIST1H2BM.pdf", "Melting_Curves/meltCurve_Q99879_HIST1H2BM.pdf")</f>
        <v>Melting_Curves/meltCurve_Q99879_HIST1H2BM.pdf</v>
      </c>
    </row>
    <row r="5303" spans="1:28" x14ac:dyDescent="0.25">
      <c r="A5303" t="s">
        <v>5307</v>
      </c>
      <c r="B5303">
        <v>0.99193492352474899</v>
      </c>
      <c r="C5303">
        <v>1.0359155336685699</v>
      </c>
      <c r="D5303">
        <v>0.95006177099409705</v>
      </c>
      <c r="E5303">
        <v>0.91052054828383</v>
      </c>
      <c r="F5303">
        <v>0.739849836771031</v>
      </c>
      <c r="G5303">
        <v>0.675930531861898</v>
      </c>
      <c r="H5303">
        <v>0.61375198479541504</v>
      </c>
      <c r="I5303">
        <v>0.84438297197206702</v>
      </c>
      <c r="J5303">
        <v>1.09829298440777</v>
      </c>
      <c r="K5303">
        <v>1.3741053965961401</v>
      </c>
      <c r="L5303">
        <v>15000</v>
      </c>
      <c r="M5303">
        <v>222.51473496218</v>
      </c>
      <c r="O5303">
        <v>67.405820659156205</v>
      </c>
      <c r="P5303">
        <v>0.30882444097023898</v>
      </c>
      <c r="Q5303">
        <v>1.3742055984244901</v>
      </c>
      <c r="R5303">
        <v>0.202787199711395</v>
      </c>
      <c r="S5303" t="s">
        <v>11973</v>
      </c>
      <c r="T5303" t="s">
        <v>13338</v>
      </c>
      <c r="U5303" t="s">
        <v>13338</v>
      </c>
      <c r="V5303" t="s">
        <v>13338</v>
      </c>
      <c r="W5303" t="s">
        <v>18584</v>
      </c>
      <c r="X5303">
        <v>4</v>
      </c>
      <c r="Y5303" t="s">
        <v>25080</v>
      </c>
      <c r="Z5303" t="s">
        <v>31718</v>
      </c>
      <c r="AA5303">
        <v>1.0322358356576331</v>
      </c>
      <c r="AB5303" t="str">
        <f>HYPERLINK("Melting_Curves/meltCurve_Q99952_2_PTPN18.pdf", "Melting_Curves/meltCurve_Q99952_2_PTPN18.pdf")</f>
        <v>Melting_Curves/meltCurve_Q99952_2_PTPN18.pdf</v>
      </c>
    </row>
    <row r="5304" spans="1:28" x14ac:dyDescent="0.25">
      <c r="A5304" t="s">
        <v>5308</v>
      </c>
      <c r="B5304">
        <v>0.99193492352474899</v>
      </c>
      <c r="C5304">
        <v>0.85676617965851198</v>
      </c>
      <c r="D5304">
        <v>0.81772040519959599</v>
      </c>
      <c r="E5304">
        <v>0.23415212427580501</v>
      </c>
      <c r="F5304">
        <v>0.15664381326073601</v>
      </c>
      <c r="G5304">
        <v>8.5834288734549694E-2</v>
      </c>
      <c r="H5304">
        <v>5.8407826094644101E-2</v>
      </c>
      <c r="I5304">
        <v>7.8786369153515598E-2</v>
      </c>
      <c r="J5304">
        <v>9.86879515943304E-2</v>
      </c>
      <c r="K5304">
        <v>0.14476427078015799</v>
      </c>
      <c r="L5304">
        <v>1693.7107662041701</v>
      </c>
      <c r="M5304">
        <v>35.652917575361798</v>
      </c>
      <c r="N5304">
        <v>47.795024220794197</v>
      </c>
      <c r="O5304">
        <v>47.356815936634597</v>
      </c>
      <c r="P5304">
        <v>-0.16993702389574999</v>
      </c>
      <c r="Q5304">
        <v>9.7111696974436001E-2</v>
      </c>
      <c r="R5304">
        <v>0.98182616070983897</v>
      </c>
      <c r="S5304" t="s">
        <v>11974</v>
      </c>
      <c r="T5304" t="s">
        <v>13338</v>
      </c>
      <c r="U5304" t="s">
        <v>13338</v>
      </c>
      <c r="V5304" t="s">
        <v>13338</v>
      </c>
      <c r="W5304" t="s">
        <v>18585</v>
      </c>
      <c r="X5304">
        <v>18</v>
      </c>
      <c r="Y5304" t="s">
        <v>25081</v>
      </c>
      <c r="Z5304" t="s">
        <v>31719</v>
      </c>
      <c r="AA5304">
        <v>0.32677461484457537</v>
      </c>
      <c r="AB5304" t="str">
        <f>HYPERLINK("Melting_Curves/meltCurve_Q99961_SH3GL1.pdf", "Melting_Curves/meltCurve_Q99961_SH3GL1.pdf")</f>
        <v>Melting_Curves/meltCurve_Q99961_SH3GL1.pdf</v>
      </c>
    </row>
    <row r="5305" spans="1:28" x14ac:dyDescent="0.25">
      <c r="A5305" t="s">
        <v>5309</v>
      </c>
      <c r="B5305">
        <v>0.99193492352474899</v>
      </c>
      <c r="C5305">
        <v>0.76452523456759103</v>
      </c>
      <c r="D5305">
        <v>0.675993530104403</v>
      </c>
      <c r="E5305">
        <v>0.21624737970996899</v>
      </c>
      <c r="F5305">
        <v>0.159962150628841</v>
      </c>
      <c r="G5305">
        <v>6.1518744813376498E-2</v>
      </c>
      <c r="H5305">
        <v>5.1974220727987797E-2</v>
      </c>
      <c r="I5305">
        <v>6.5271032748899699E-2</v>
      </c>
      <c r="J5305">
        <v>7.61133719243893E-2</v>
      </c>
      <c r="K5305">
        <v>6.3963700143121693E-2</v>
      </c>
      <c r="L5305">
        <v>907.01135912694394</v>
      </c>
      <c r="M5305">
        <v>19.446131330324398</v>
      </c>
      <c r="N5305">
        <v>46.920339613486</v>
      </c>
      <c r="O5305">
        <v>46.157406689245597</v>
      </c>
      <c r="P5305">
        <v>-9.9595880799261197E-2</v>
      </c>
      <c r="Q5305">
        <v>5.4429839979139E-2</v>
      </c>
      <c r="R5305">
        <v>0.98088640520046799</v>
      </c>
      <c r="S5305" t="s">
        <v>11975</v>
      </c>
      <c r="T5305" t="s">
        <v>13338</v>
      </c>
      <c r="U5305" t="s">
        <v>13338</v>
      </c>
      <c r="V5305" t="s">
        <v>13338</v>
      </c>
      <c r="W5305" t="s">
        <v>18586</v>
      </c>
      <c r="X5305">
        <v>1</v>
      </c>
      <c r="Y5305" t="s">
        <v>25082</v>
      </c>
      <c r="Z5305" t="s">
        <v>31720</v>
      </c>
      <c r="AA5305">
        <v>0.27876612880646551</v>
      </c>
      <c r="AB5305" t="str">
        <f>HYPERLINK("Melting_Curves/meltCurve_Q99963_4_SH3GL3.pdf", "Melting_Curves/meltCurve_Q99963_4_SH3GL3.pdf")</f>
        <v>Melting_Curves/meltCurve_Q99963_4_SH3GL3.pdf</v>
      </c>
    </row>
    <row r="5306" spans="1:28" x14ac:dyDescent="0.25">
      <c r="A5306" t="s">
        <v>5310</v>
      </c>
      <c r="B5306">
        <v>0.99193492352474899</v>
      </c>
      <c r="C5306">
        <v>0.66618899651433305</v>
      </c>
      <c r="D5306">
        <v>1.0725002337007301</v>
      </c>
      <c r="E5306">
        <v>0.448413874960367</v>
      </c>
      <c r="F5306">
        <v>0.17413279727528699</v>
      </c>
      <c r="G5306">
        <v>9.3169892453189601E-2</v>
      </c>
      <c r="H5306">
        <v>5.90482493484034E-2</v>
      </c>
      <c r="I5306">
        <v>7.3152349647797807E-2</v>
      </c>
      <c r="J5306">
        <v>8.0671768952714606E-2</v>
      </c>
      <c r="K5306">
        <v>8.3691296373601107E-2</v>
      </c>
      <c r="L5306">
        <v>4410.5993568986296</v>
      </c>
      <c r="M5306">
        <v>89.360186095997804</v>
      </c>
      <c r="N5306">
        <v>49.472350617937799</v>
      </c>
      <c r="O5306">
        <v>49.332859491586703</v>
      </c>
      <c r="P5306">
        <v>-0.41044001600404201</v>
      </c>
      <c r="Q5306">
        <v>9.3637955770727893E-2</v>
      </c>
      <c r="R5306">
        <v>0.91310736935054804</v>
      </c>
      <c r="S5306" t="s">
        <v>11976</v>
      </c>
      <c r="T5306" t="s">
        <v>13338</v>
      </c>
      <c r="U5306" t="s">
        <v>13338</v>
      </c>
      <c r="V5306" t="s">
        <v>13338</v>
      </c>
      <c r="W5306" t="s">
        <v>18587</v>
      </c>
      <c r="X5306">
        <v>20</v>
      </c>
      <c r="Y5306" t="s">
        <v>25083</v>
      </c>
      <c r="Z5306" t="s">
        <v>31721</v>
      </c>
      <c r="AA5306">
        <v>0.37696415548695639</v>
      </c>
      <c r="AB5306" t="str">
        <f>HYPERLINK("Melting_Curves/meltCurve_Q99986_VRK1.pdf", "Melting_Curves/meltCurve_Q99986_VRK1.pdf")</f>
        <v>Melting_Curves/meltCurve_Q99986_VRK1.pdf</v>
      </c>
    </row>
    <row r="5307" spans="1:28" x14ac:dyDescent="0.25">
      <c r="A5307" t="s">
        <v>5311</v>
      </c>
      <c r="B5307">
        <v>0.99193492352474899</v>
      </c>
      <c r="C5307">
        <v>1.4586213317513199</v>
      </c>
      <c r="D5307">
        <v>0.98069295265731304</v>
      </c>
      <c r="E5307">
        <v>1.5702109796141901</v>
      </c>
      <c r="F5307">
        <v>0.29579211057899901</v>
      </c>
      <c r="G5307">
        <v>1.41362873076021</v>
      </c>
      <c r="H5307">
        <v>0.39771947611417202</v>
      </c>
      <c r="I5307">
        <v>0.91422777223380902</v>
      </c>
      <c r="J5307">
        <v>1.1345022846341899</v>
      </c>
      <c r="K5307">
        <v>2.70741740996597</v>
      </c>
      <c r="L5307">
        <v>15000</v>
      </c>
      <c r="M5307">
        <v>222.56293432409799</v>
      </c>
      <c r="O5307">
        <v>67.391202813633399</v>
      </c>
      <c r="P5307">
        <v>0.41281882965142203</v>
      </c>
      <c r="Q5307">
        <v>1.5</v>
      </c>
      <c r="R5307">
        <v>0.27111473244590401</v>
      </c>
      <c r="S5307" t="s">
        <v>11977</v>
      </c>
      <c r="T5307" t="s">
        <v>13338</v>
      </c>
      <c r="U5307" t="s">
        <v>13338</v>
      </c>
      <c r="V5307" t="s">
        <v>13338</v>
      </c>
      <c r="W5307" t="s">
        <v>18588</v>
      </c>
      <c r="X5307">
        <v>1</v>
      </c>
      <c r="Y5307" t="s">
        <v>25084</v>
      </c>
      <c r="Z5307" t="s">
        <v>31722</v>
      </c>
      <c r="AA5307">
        <v>1.043315653856467</v>
      </c>
      <c r="AB5307" t="str">
        <f>HYPERLINK("Melting_Curves/meltCurve_Q9BPU6_DPYSL5.pdf", "Melting_Curves/meltCurve_Q9BPU6_DPYSL5.pdf")</f>
        <v>Melting_Curves/meltCurve_Q9BPU6_DPYSL5.pdf</v>
      </c>
    </row>
    <row r="5308" spans="1:28" x14ac:dyDescent="0.25">
      <c r="A5308" t="s">
        <v>5312</v>
      </c>
      <c r="B5308">
        <v>0.99193492352474899</v>
      </c>
      <c r="C5308">
        <v>1.0579868232469201</v>
      </c>
      <c r="D5308">
        <v>0.94341931672518398</v>
      </c>
      <c r="E5308">
        <v>0.93159799630023798</v>
      </c>
      <c r="F5308">
        <v>0.68509322723504495</v>
      </c>
      <c r="G5308">
        <v>0.55381913644720704</v>
      </c>
      <c r="H5308">
        <v>0.179843544137018</v>
      </c>
      <c r="I5308">
        <v>0.111289685544731</v>
      </c>
      <c r="J5308">
        <v>0.10805715252041199</v>
      </c>
      <c r="K5308">
        <v>0.108579889325191</v>
      </c>
      <c r="L5308">
        <v>1013.15013932034</v>
      </c>
      <c r="M5308">
        <v>18.072261470026799</v>
      </c>
      <c r="N5308">
        <v>56.397220941620198</v>
      </c>
      <c r="O5308">
        <v>55.388165543586503</v>
      </c>
      <c r="P5308">
        <v>-7.7409658644580395E-2</v>
      </c>
      <c r="Q5308">
        <v>5.1060489979748401E-2</v>
      </c>
      <c r="R5308">
        <v>0.98591230757180903</v>
      </c>
      <c r="S5308" t="s">
        <v>11978</v>
      </c>
      <c r="T5308" t="s">
        <v>13338</v>
      </c>
      <c r="U5308" t="s">
        <v>13338</v>
      </c>
      <c r="V5308" t="s">
        <v>13338</v>
      </c>
      <c r="W5308" t="s">
        <v>18589</v>
      </c>
      <c r="X5308">
        <v>12</v>
      </c>
      <c r="Y5308" t="s">
        <v>25085</v>
      </c>
      <c r="Z5308" t="s">
        <v>31723</v>
      </c>
      <c r="AA5308">
        <v>0.5729560278909791</v>
      </c>
      <c r="AB5308" t="str">
        <f>HYPERLINK("Melting_Curves/meltCurve_Q9BPW8_NIPSNAP1.pdf", "Melting_Curves/meltCurve_Q9BPW8_NIPSNAP1.pdf")</f>
        <v>Melting_Curves/meltCurve_Q9BPW8_NIPSNAP1.pdf</v>
      </c>
    </row>
    <row r="5309" spans="1:28" x14ac:dyDescent="0.25">
      <c r="A5309" t="s">
        <v>5313</v>
      </c>
      <c r="B5309">
        <v>0.99193492352474899</v>
      </c>
      <c r="C5309">
        <v>0.73769884276911701</v>
      </c>
      <c r="D5309">
        <v>0.71658291591383505</v>
      </c>
      <c r="E5309">
        <v>0.179484232618143</v>
      </c>
      <c r="F5309">
        <v>0.128348507875719</v>
      </c>
      <c r="G5309">
        <v>7.5957339336551799E-2</v>
      </c>
      <c r="H5309">
        <v>5.58851911029489E-2</v>
      </c>
      <c r="I5309">
        <v>5.71467348570356E-2</v>
      </c>
      <c r="J5309">
        <v>6.6692282916371207E-2</v>
      </c>
      <c r="K5309">
        <v>5.45453934880454E-2</v>
      </c>
      <c r="L5309">
        <v>958.11927249870701</v>
      </c>
      <c r="M5309">
        <v>20.5294250750107</v>
      </c>
      <c r="N5309">
        <v>46.9073713199396</v>
      </c>
      <c r="O5309">
        <v>46.234472763516898</v>
      </c>
      <c r="P5309">
        <v>-0.105545239157963</v>
      </c>
      <c r="Q5309">
        <v>4.9230996308944397E-2</v>
      </c>
      <c r="R5309">
        <v>0.96615206259572395</v>
      </c>
      <c r="S5309" t="s">
        <v>11979</v>
      </c>
      <c r="T5309" t="s">
        <v>13338</v>
      </c>
      <c r="U5309" t="s">
        <v>13338</v>
      </c>
      <c r="V5309" t="s">
        <v>13338</v>
      </c>
      <c r="W5309" t="s">
        <v>18590</v>
      </c>
      <c r="X5309">
        <v>19</v>
      </c>
      <c r="Y5309" t="s">
        <v>25086</v>
      </c>
      <c r="Z5309" t="s">
        <v>31724</v>
      </c>
      <c r="AA5309">
        <v>0.27395650673013072</v>
      </c>
      <c r="AB5309" t="str">
        <f>HYPERLINK("Melting_Curves/meltCurve_Q9BPX3_NCAPG.pdf", "Melting_Curves/meltCurve_Q9BPX3_NCAPG.pdf")</f>
        <v>Melting_Curves/meltCurve_Q9BPX3_NCAPG.pdf</v>
      </c>
    </row>
    <row r="5310" spans="1:28" x14ac:dyDescent="0.25">
      <c r="A5310" t="s">
        <v>5314</v>
      </c>
      <c r="B5310">
        <v>0.99193492352474899</v>
      </c>
      <c r="C5310">
        <v>0.79917815358198496</v>
      </c>
      <c r="D5310">
        <v>0.89432192836820201</v>
      </c>
      <c r="E5310">
        <v>0.76079804590897504</v>
      </c>
      <c r="F5310">
        <v>0.66466120099893</v>
      </c>
      <c r="G5310">
        <v>0.51504164624524496</v>
      </c>
      <c r="H5310">
        <v>0.32469400533857301</v>
      </c>
      <c r="I5310">
        <v>0.23337046568101599</v>
      </c>
      <c r="J5310">
        <v>0.288365742899023</v>
      </c>
      <c r="K5310">
        <v>0.30174919228652602</v>
      </c>
      <c r="L5310">
        <v>494.072599041155</v>
      </c>
      <c r="M5310">
        <v>9.0703587356998305</v>
      </c>
      <c r="N5310">
        <v>56.487271416869199</v>
      </c>
      <c r="O5310">
        <v>52.019131685115298</v>
      </c>
      <c r="P5310">
        <v>-3.7590058786734201E-2</v>
      </c>
      <c r="Q5310">
        <v>0.138281178189367</v>
      </c>
      <c r="R5310">
        <v>0.94912957044891</v>
      </c>
      <c r="S5310" t="s">
        <v>11980</v>
      </c>
      <c r="T5310" t="s">
        <v>13338</v>
      </c>
      <c r="U5310" t="s">
        <v>13338</v>
      </c>
      <c r="V5310" t="s">
        <v>13338</v>
      </c>
      <c r="W5310" t="s">
        <v>18591</v>
      </c>
      <c r="X5310">
        <v>5</v>
      </c>
      <c r="Y5310" t="s">
        <v>25087</v>
      </c>
      <c r="Z5310" t="s">
        <v>31725</v>
      </c>
      <c r="AA5310">
        <v>0.5794415432690353</v>
      </c>
      <c r="AB5310" t="str">
        <f>HYPERLINK("Melting_Curves/meltCurve_Q9BPX5_ARPC5L.pdf", "Melting_Curves/meltCurve_Q9BPX5_ARPC5L.pdf")</f>
        <v>Melting_Curves/meltCurve_Q9BPX5_ARPC5L.pdf</v>
      </c>
    </row>
    <row r="5311" spans="1:28" x14ac:dyDescent="0.25">
      <c r="A5311" t="s">
        <v>5315</v>
      </c>
      <c r="B5311">
        <v>0.99193492352474899</v>
      </c>
      <c r="C5311">
        <v>0.93414120865752803</v>
      </c>
      <c r="D5311">
        <v>0.70976485897458497</v>
      </c>
      <c r="E5311">
        <v>0.41009058789203601</v>
      </c>
      <c r="F5311">
        <v>0.206731705707596</v>
      </c>
      <c r="G5311">
        <v>0.129272964673045</v>
      </c>
      <c r="H5311">
        <v>6.3336123838439701E-2</v>
      </c>
      <c r="I5311">
        <v>8.3743939505481702E-2</v>
      </c>
      <c r="J5311">
        <v>0.11289752262920801</v>
      </c>
      <c r="K5311">
        <v>0.113458223886322</v>
      </c>
      <c r="L5311">
        <v>951.983509006384</v>
      </c>
      <c r="M5311">
        <v>19.849791648492001</v>
      </c>
      <c r="N5311">
        <v>48.438693663392002</v>
      </c>
      <c r="O5311">
        <v>47.480571508410499</v>
      </c>
      <c r="P5311">
        <v>-9.5199050679169298E-2</v>
      </c>
      <c r="Q5311">
        <v>8.9168526371833007E-2</v>
      </c>
      <c r="R5311">
        <v>0.99728423845994696</v>
      </c>
      <c r="S5311" t="s">
        <v>11981</v>
      </c>
      <c r="T5311" t="s">
        <v>13338</v>
      </c>
      <c r="U5311" t="s">
        <v>13338</v>
      </c>
      <c r="V5311" t="s">
        <v>13338</v>
      </c>
      <c r="W5311" t="s">
        <v>18592</v>
      </c>
      <c r="X5311">
        <v>7</v>
      </c>
      <c r="Y5311" t="s">
        <v>25088</v>
      </c>
      <c r="Z5311" t="s">
        <v>31726</v>
      </c>
      <c r="AA5311">
        <v>0.3439876056582889</v>
      </c>
      <c r="AB5311" t="str">
        <f>HYPERLINK("Melting_Curves/meltCurve_Q9BPX7_C7orf25.pdf", "Melting_Curves/meltCurve_Q9BPX7_C7orf25.pdf")</f>
        <v>Melting_Curves/meltCurve_Q9BPX7_C7orf25.pdf</v>
      </c>
    </row>
    <row r="5312" spans="1:28" x14ac:dyDescent="0.25">
      <c r="A5312" t="s">
        <v>5316</v>
      </c>
      <c r="B5312">
        <v>0.99193492352474899</v>
      </c>
      <c r="C5312">
        <v>2.0404730237681701</v>
      </c>
      <c r="D5312">
        <v>0.932797426296057</v>
      </c>
      <c r="E5312">
        <v>0.69064945852031301</v>
      </c>
      <c r="F5312">
        <v>0.28396430310771398</v>
      </c>
      <c r="G5312">
        <v>0.20355671681250001</v>
      </c>
      <c r="H5312">
        <v>0.216771671954961</v>
      </c>
      <c r="I5312">
        <v>0.393359483409495</v>
      </c>
      <c r="J5312">
        <v>0.30404685350008598</v>
      </c>
      <c r="K5312">
        <v>0.52899402608733803</v>
      </c>
      <c r="L5312">
        <v>12408.7277054776</v>
      </c>
      <c r="M5312">
        <v>250</v>
      </c>
      <c r="N5312">
        <v>49.840572602223098</v>
      </c>
      <c r="O5312">
        <v>49.631734511479102</v>
      </c>
      <c r="P5312">
        <v>-0.854062723996593</v>
      </c>
      <c r="Q5312">
        <v>0.32178217074492599</v>
      </c>
      <c r="R5312">
        <v>0.59263027720320505</v>
      </c>
      <c r="S5312" t="s">
        <v>11982</v>
      </c>
      <c r="T5312" t="s">
        <v>13338</v>
      </c>
      <c r="U5312" t="s">
        <v>13338</v>
      </c>
      <c r="V5312" t="s">
        <v>13338</v>
      </c>
      <c r="W5312" t="s">
        <v>18593</v>
      </c>
      <c r="X5312">
        <v>4</v>
      </c>
      <c r="Y5312" t="s">
        <v>25089</v>
      </c>
      <c r="Z5312" t="s">
        <v>31727</v>
      </c>
      <c r="AA5312">
        <v>0.53966019270340171</v>
      </c>
      <c r="AB5312" t="str">
        <f>HYPERLINK("Melting_Curves/meltCurve_Q9BPZ3_PAIP2.pdf", "Melting_Curves/meltCurve_Q9BPZ3_PAIP2.pdf")</f>
        <v>Melting_Curves/meltCurve_Q9BPZ3_PAIP2.pdf</v>
      </c>
    </row>
    <row r="5313" spans="1:28" x14ac:dyDescent="0.25">
      <c r="A5313" t="s">
        <v>5317</v>
      </c>
      <c r="B5313">
        <v>0.99193492352474899</v>
      </c>
      <c r="C5313">
        <v>0.54384740829189104</v>
      </c>
      <c r="D5313">
        <v>0.41907168502423298</v>
      </c>
      <c r="E5313">
        <v>0.19142134328535501</v>
      </c>
      <c r="F5313">
        <v>0.16476366407035201</v>
      </c>
      <c r="G5313">
        <v>0.100188073913795</v>
      </c>
      <c r="H5313">
        <v>0.101567451548278</v>
      </c>
      <c r="I5313">
        <v>9.1277916020348404E-2</v>
      </c>
      <c r="J5313">
        <v>0.14771835503310499</v>
      </c>
      <c r="K5313">
        <v>0.22554735076448901</v>
      </c>
      <c r="L5313">
        <v>944.91234872693701</v>
      </c>
      <c r="M5313">
        <v>21.683522653484101</v>
      </c>
      <c r="N5313">
        <v>44.236560125713702</v>
      </c>
      <c r="O5313">
        <v>43.211876556130399</v>
      </c>
      <c r="P5313">
        <v>-0.108133979841375</v>
      </c>
      <c r="Q5313">
        <v>0.138043808663109</v>
      </c>
      <c r="R5313">
        <v>0.94768572417066299</v>
      </c>
      <c r="S5313" t="s">
        <v>11983</v>
      </c>
      <c r="T5313" t="s">
        <v>13338</v>
      </c>
      <c r="U5313" t="s">
        <v>13338</v>
      </c>
      <c r="V5313" t="s">
        <v>13338</v>
      </c>
      <c r="W5313" t="s">
        <v>18594</v>
      </c>
      <c r="X5313">
        <v>15</v>
      </c>
      <c r="Y5313" t="s">
        <v>25090</v>
      </c>
      <c r="Z5313" t="s">
        <v>31728</v>
      </c>
      <c r="AA5313">
        <v>0.25584651939389852</v>
      </c>
      <c r="AB5313" t="str">
        <f>HYPERLINK("Melting_Curves/meltCurve_Q9BQ04_RBM4B.pdf", "Melting_Curves/meltCurve_Q9BQ04_RBM4B.pdf")</f>
        <v>Melting_Curves/meltCurve_Q9BQ04_RBM4B.pdf</v>
      </c>
    </row>
    <row r="5314" spans="1:28" x14ac:dyDescent="0.25">
      <c r="A5314" t="s">
        <v>5318</v>
      </c>
      <c r="B5314">
        <v>0.99193492352474899</v>
      </c>
      <c r="C5314">
        <v>0.34474275876094401</v>
      </c>
      <c r="D5314">
        <v>0.50954419889589297</v>
      </c>
      <c r="E5314">
        <v>0.132224950538052</v>
      </c>
      <c r="F5314">
        <v>0.113823166351725</v>
      </c>
      <c r="G5314">
        <v>4.3008102220853897E-2</v>
      </c>
      <c r="H5314">
        <v>2.4637153999673998E-2</v>
      </c>
      <c r="I5314">
        <v>3.6394650712823003E-2</v>
      </c>
      <c r="J5314">
        <v>4.1080016305970801E-2</v>
      </c>
      <c r="K5314">
        <v>5.341539930026E-2</v>
      </c>
      <c r="L5314">
        <v>684.62585928201099</v>
      </c>
      <c r="M5314">
        <v>15.662905644809699</v>
      </c>
      <c r="N5314">
        <v>43.925075094147203</v>
      </c>
      <c r="O5314">
        <v>43.016114470966897</v>
      </c>
      <c r="P5314">
        <v>-8.7676903987474103E-2</v>
      </c>
      <c r="Q5314">
        <v>3.6909709420892799E-2</v>
      </c>
      <c r="R5314">
        <v>0.86094090725389305</v>
      </c>
      <c r="S5314" t="s">
        <v>11984</v>
      </c>
      <c r="T5314" t="s">
        <v>13338</v>
      </c>
      <c r="U5314" t="s">
        <v>13338</v>
      </c>
      <c r="V5314" t="s">
        <v>13338</v>
      </c>
      <c r="W5314" t="s">
        <v>18595</v>
      </c>
      <c r="X5314">
        <v>10</v>
      </c>
      <c r="Y5314" t="s">
        <v>25091</v>
      </c>
      <c r="Z5314" t="s">
        <v>31729</v>
      </c>
      <c r="AA5314">
        <v>0.18934262974903779</v>
      </c>
      <c r="AB5314" t="str">
        <f>HYPERLINK("Melting_Curves/meltCurve_Q9BQ39_DDX50.pdf", "Melting_Curves/meltCurve_Q9BQ39_DDX50.pdf")</f>
        <v>Melting_Curves/meltCurve_Q9BQ39_DDX50.pdf</v>
      </c>
    </row>
    <row r="5315" spans="1:28" x14ac:dyDescent="0.25">
      <c r="A5315" t="s">
        <v>5319</v>
      </c>
      <c r="B5315">
        <v>0.99193492352474899</v>
      </c>
      <c r="C5315">
        <v>1.0284114553554899</v>
      </c>
      <c r="D5315">
        <v>1.03280296643138</v>
      </c>
      <c r="E5315">
        <v>0.94596289910695797</v>
      </c>
      <c r="F5315">
        <v>0.84229106048039004</v>
      </c>
      <c r="G5315">
        <v>0.62586562620900599</v>
      </c>
      <c r="H5315">
        <v>0.40307798367942499</v>
      </c>
      <c r="I5315">
        <v>0.246214409908113</v>
      </c>
      <c r="J5315">
        <v>0.16000105391929501</v>
      </c>
      <c r="K5315">
        <v>9.7839892880699303E-2</v>
      </c>
      <c r="L5315">
        <v>912.27500806077501</v>
      </c>
      <c r="M5315">
        <v>15.529452965313601</v>
      </c>
      <c r="N5315">
        <v>59.002542686250102</v>
      </c>
      <c r="O5315">
        <v>57.796576415481802</v>
      </c>
      <c r="P5315">
        <v>-6.4975974607124107E-2</v>
      </c>
      <c r="Q5315">
        <v>3.2790731535025999E-2</v>
      </c>
      <c r="R5315">
        <v>0.99720843340862197</v>
      </c>
      <c r="S5315" t="s">
        <v>11985</v>
      </c>
      <c r="T5315" t="s">
        <v>13338</v>
      </c>
      <c r="U5315" t="s">
        <v>13338</v>
      </c>
      <c r="V5315" t="s">
        <v>13338</v>
      </c>
      <c r="W5315" t="s">
        <v>18596</v>
      </c>
      <c r="X5315">
        <v>30</v>
      </c>
      <c r="Y5315" t="s">
        <v>25092</v>
      </c>
      <c r="Z5315" t="s">
        <v>31730</v>
      </c>
      <c r="AA5315">
        <v>0.6481251665514518</v>
      </c>
      <c r="AB5315" t="str">
        <f>HYPERLINK("Melting_Curves/meltCurve_Q9BQ52_ELAC2.pdf", "Melting_Curves/meltCurve_Q9BQ52_ELAC2.pdf")</f>
        <v>Melting_Curves/meltCurve_Q9BQ52_ELAC2.pdf</v>
      </c>
    </row>
    <row r="5316" spans="1:28" x14ac:dyDescent="0.25">
      <c r="A5316" t="s">
        <v>5320</v>
      </c>
      <c r="B5316">
        <v>0.99193492352474899</v>
      </c>
      <c r="C5316">
        <v>0.85325376873538405</v>
      </c>
      <c r="D5316">
        <v>0.96459160664014998</v>
      </c>
      <c r="E5316">
        <v>0.82034052851044703</v>
      </c>
      <c r="F5316">
        <v>0.76424886727566999</v>
      </c>
      <c r="G5316">
        <v>0.54549556911625696</v>
      </c>
      <c r="H5316">
        <v>0.50416120828379096</v>
      </c>
      <c r="I5316">
        <v>0.68152784683982803</v>
      </c>
      <c r="J5316">
        <v>0.73170263021576698</v>
      </c>
      <c r="K5316">
        <v>1.16469689231392</v>
      </c>
      <c r="L5316">
        <v>1312.19379448211</v>
      </c>
      <c r="M5316">
        <v>27.337812704472</v>
      </c>
      <c r="O5316">
        <v>47.744606863001799</v>
      </c>
      <c r="P5316">
        <v>-3.86308510580258E-2</v>
      </c>
      <c r="Q5316">
        <v>0.73013250072955505</v>
      </c>
      <c r="R5316">
        <v>0.19962544391300899</v>
      </c>
      <c r="S5316" t="s">
        <v>11986</v>
      </c>
      <c r="T5316" t="s">
        <v>13338</v>
      </c>
      <c r="U5316" t="s">
        <v>13338</v>
      </c>
      <c r="V5316" t="s">
        <v>13338</v>
      </c>
      <c r="W5316" t="s">
        <v>18597</v>
      </c>
      <c r="X5316">
        <v>9</v>
      </c>
      <c r="Y5316" t="s">
        <v>25093</v>
      </c>
      <c r="Z5316" t="s">
        <v>31731</v>
      </c>
      <c r="AA5316">
        <v>0.80406423178943043</v>
      </c>
      <c r="AB5316" t="str">
        <f>HYPERLINK("Melting_Curves/meltCurve_Q9BQ61_C19orf43.pdf", "Melting_Curves/meltCurve_Q9BQ61_C19orf43.pdf")</f>
        <v>Melting_Curves/meltCurve_Q9BQ61_C19orf43.pdf</v>
      </c>
    </row>
    <row r="5317" spans="1:28" x14ac:dyDescent="0.25">
      <c r="A5317" t="s">
        <v>5321</v>
      </c>
      <c r="B5317">
        <v>0.99193492352474899</v>
      </c>
      <c r="C5317">
        <v>0.57528420711994499</v>
      </c>
      <c r="D5317">
        <v>0.78801753644043004</v>
      </c>
      <c r="E5317">
        <v>0.52255960980835303</v>
      </c>
      <c r="F5317">
        <v>0.39455820529817798</v>
      </c>
      <c r="G5317">
        <v>0.122605312364505</v>
      </c>
      <c r="H5317">
        <v>8.4680917036970504E-2</v>
      </c>
      <c r="I5317">
        <v>7.7037197484718406E-2</v>
      </c>
      <c r="J5317">
        <v>0.101791795323644</v>
      </c>
      <c r="K5317">
        <v>9.9764006721418594E-2</v>
      </c>
      <c r="L5317">
        <v>473.77393531639001</v>
      </c>
      <c r="M5317">
        <v>9.6047247811687697</v>
      </c>
      <c r="N5317">
        <v>49.327174521443702</v>
      </c>
      <c r="O5317">
        <v>47.331091026545003</v>
      </c>
      <c r="P5317">
        <v>-5.0760363947524097E-2</v>
      </c>
      <c r="Q5317">
        <v>0</v>
      </c>
      <c r="R5317">
        <v>0.90218660547005003</v>
      </c>
      <c r="S5317" t="s">
        <v>11987</v>
      </c>
      <c r="T5317" t="s">
        <v>13338</v>
      </c>
      <c r="U5317" t="s">
        <v>13338</v>
      </c>
      <c r="V5317" t="s">
        <v>13338</v>
      </c>
      <c r="W5317" t="s">
        <v>18598</v>
      </c>
      <c r="X5317">
        <v>7</v>
      </c>
      <c r="Y5317" t="s">
        <v>25094</v>
      </c>
      <c r="Z5317" t="s">
        <v>31732</v>
      </c>
      <c r="AA5317">
        <v>0.36140738610052558</v>
      </c>
      <c r="AB5317" t="str">
        <f>HYPERLINK("Melting_Curves/meltCurve_Q9BQ67_GRWD1.pdf", "Melting_Curves/meltCurve_Q9BQ67_GRWD1.pdf")</f>
        <v>Melting_Curves/meltCurve_Q9BQ67_GRWD1.pdf</v>
      </c>
    </row>
    <row r="5318" spans="1:28" x14ac:dyDescent="0.25">
      <c r="A5318" t="s">
        <v>5322</v>
      </c>
      <c r="B5318">
        <v>0.99193492352474899</v>
      </c>
      <c r="C5318">
        <v>0.89267422219937897</v>
      </c>
      <c r="D5318">
        <v>0.77902177508077197</v>
      </c>
      <c r="E5318">
        <v>0.40338962549350499</v>
      </c>
      <c r="F5318">
        <v>0.20402285678069701</v>
      </c>
      <c r="G5318">
        <v>0.13921062327522399</v>
      </c>
      <c r="H5318">
        <v>0.10222589448873901</v>
      </c>
      <c r="I5318">
        <v>0.12904980608678199</v>
      </c>
      <c r="J5318">
        <v>0.12631592120252599</v>
      </c>
      <c r="K5318">
        <v>0.197495781552842</v>
      </c>
      <c r="L5318">
        <v>1097.5929479751501</v>
      </c>
      <c r="M5318">
        <v>22.913478049368301</v>
      </c>
      <c r="N5318">
        <v>48.546630390357997</v>
      </c>
      <c r="O5318">
        <v>47.541251644803303</v>
      </c>
      <c r="P5318">
        <v>-0.104682137667881</v>
      </c>
      <c r="Q5318">
        <v>0.13123179747987401</v>
      </c>
      <c r="R5318">
        <v>0.99194597463565004</v>
      </c>
      <c r="S5318" t="s">
        <v>11988</v>
      </c>
      <c r="T5318" t="s">
        <v>13338</v>
      </c>
      <c r="U5318" t="s">
        <v>13338</v>
      </c>
      <c r="V5318" t="s">
        <v>13338</v>
      </c>
      <c r="W5318" t="s">
        <v>18599</v>
      </c>
      <c r="X5318">
        <v>15</v>
      </c>
      <c r="Y5318" t="s">
        <v>25095</v>
      </c>
      <c r="Z5318" t="s">
        <v>31733</v>
      </c>
      <c r="AA5318">
        <v>0.36930691089270851</v>
      </c>
      <c r="AB5318" t="str">
        <f>HYPERLINK("Melting_Curves/meltCurve_Q9BQ69_MACROD1.pdf", "Melting_Curves/meltCurve_Q9BQ69_MACROD1.pdf")</f>
        <v>Melting_Curves/meltCurve_Q9BQ69_MACROD1.pdf</v>
      </c>
    </row>
    <row r="5319" spans="1:28" x14ac:dyDescent="0.25">
      <c r="A5319" t="s">
        <v>5323</v>
      </c>
      <c r="B5319">
        <v>0.99193492352474899</v>
      </c>
      <c r="C5319">
        <v>0.68742367612067701</v>
      </c>
      <c r="D5319">
        <v>1.2384836056145601</v>
      </c>
      <c r="E5319">
        <v>0.32691326830997802</v>
      </c>
      <c r="F5319">
        <v>0.20887594307004501</v>
      </c>
      <c r="G5319">
        <v>0.13164968406755101</v>
      </c>
      <c r="H5319">
        <v>0.13708831100287799</v>
      </c>
      <c r="I5319">
        <v>0.107046675811124</v>
      </c>
      <c r="J5319">
        <v>0.210192712598742</v>
      </c>
      <c r="K5319">
        <v>0.25321334811534801</v>
      </c>
      <c r="L5319">
        <v>12326.272311730399</v>
      </c>
      <c r="M5319">
        <v>250</v>
      </c>
      <c r="N5319">
        <v>49.390012939176401</v>
      </c>
      <c r="O5319">
        <v>49.301926304940203</v>
      </c>
      <c r="P5319">
        <v>-1.04625995292225</v>
      </c>
      <c r="Q5319">
        <v>0.174677773507808</v>
      </c>
      <c r="R5319">
        <v>0.88232826605624803</v>
      </c>
      <c r="S5319" t="s">
        <v>11989</v>
      </c>
      <c r="T5319" t="s">
        <v>13338</v>
      </c>
      <c r="U5319" t="s">
        <v>13338</v>
      </c>
      <c r="V5319" t="s">
        <v>13338</v>
      </c>
      <c r="W5319" t="s">
        <v>18600</v>
      </c>
      <c r="X5319">
        <v>1</v>
      </c>
      <c r="Y5319" t="s">
        <v>25096</v>
      </c>
      <c r="Z5319" t="s">
        <v>31734</v>
      </c>
      <c r="AA5319">
        <v>0.43073908752891099</v>
      </c>
      <c r="AB5319" t="str">
        <f>HYPERLINK("Melting_Curves/meltCurve_Q9BQ70_TCF25.pdf", "Melting_Curves/meltCurve_Q9BQ70_TCF25.pdf")</f>
        <v>Melting_Curves/meltCurve_Q9BQ70_TCF25.pdf</v>
      </c>
    </row>
    <row r="5320" spans="1:28" x14ac:dyDescent="0.25">
      <c r="A5320" t="s">
        <v>5324</v>
      </c>
      <c r="B5320">
        <v>0.99193492352474899</v>
      </c>
      <c r="C5320">
        <v>0.96037571615658901</v>
      </c>
      <c r="D5320">
        <v>0.95962780598896602</v>
      </c>
      <c r="E5320">
        <v>0.71042592741528399</v>
      </c>
      <c r="F5320">
        <v>0.57875819609192902</v>
      </c>
      <c r="G5320">
        <v>0.34633722040050002</v>
      </c>
      <c r="H5320">
        <v>0.17120578156951899</v>
      </c>
      <c r="I5320">
        <v>0.13037924476259299</v>
      </c>
      <c r="J5320">
        <v>0.135740048485396</v>
      </c>
      <c r="K5320">
        <v>0.10912867817350499</v>
      </c>
      <c r="L5320">
        <v>783.356494884021</v>
      </c>
      <c r="M5320">
        <v>14.7082543845516</v>
      </c>
      <c r="N5320">
        <v>53.842947672041397</v>
      </c>
      <c r="O5320">
        <v>52.304188214419199</v>
      </c>
      <c r="P5320">
        <v>-6.5131170976933606E-2</v>
      </c>
      <c r="Q5320">
        <v>7.3646334093168897E-2</v>
      </c>
      <c r="R5320">
        <v>0.99347218494901302</v>
      </c>
      <c r="S5320" t="s">
        <v>11990</v>
      </c>
      <c r="T5320" t="s">
        <v>13338</v>
      </c>
      <c r="U5320" t="s">
        <v>13338</v>
      </c>
      <c r="V5320" t="s">
        <v>13338</v>
      </c>
      <c r="W5320" t="s">
        <v>18601</v>
      </c>
      <c r="X5320">
        <v>12</v>
      </c>
      <c r="Y5320" t="s">
        <v>25097</v>
      </c>
      <c r="Z5320" t="s">
        <v>31735</v>
      </c>
      <c r="AA5320">
        <v>0.50332055408796295</v>
      </c>
      <c r="AB5320" t="str">
        <f>HYPERLINK("Melting_Curves/meltCurve_Q9BQ95_ECSIT.pdf", "Melting_Curves/meltCurve_Q9BQ95_ECSIT.pdf")</f>
        <v>Melting_Curves/meltCurve_Q9BQ95_ECSIT.pdf</v>
      </c>
    </row>
    <row r="5321" spans="1:28" x14ac:dyDescent="0.25">
      <c r="A5321" t="s">
        <v>5325</v>
      </c>
      <c r="B5321">
        <v>0.99193492352474899</v>
      </c>
      <c r="C5321">
        <v>1.0081729250717999</v>
      </c>
      <c r="D5321">
        <v>1.0843821279467001</v>
      </c>
      <c r="E5321">
        <v>0.93749289694706694</v>
      </c>
      <c r="F5321">
        <v>1.0065021346318399</v>
      </c>
      <c r="G5321">
        <v>0.42282820706265001</v>
      </c>
      <c r="H5321">
        <v>0.16586567813623601</v>
      </c>
      <c r="I5321">
        <v>0.15358981181452599</v>
      </c>
      <c r="J5321">
        <v>0.19037961550919599</v>
      </c>
      <c r="K5321">
        <v>0.17950903505639099</v>
      </c>
      <c r="L5321">
        <v>14152.588344592999</v>
      </c>
      <c r="M5321">
        <v>250</v>
      </c>
      <c r="N5321">
        <v>56.706227358720298</v>
      </c>
      <c r="O5321">
        <v>56.606730696605403</v>
      </c>
      <c r="P5321">
        <v>-0.91383122955380702</v>
      </c>
      <c r="Q5321">
        <v>0.17233602803252501</v>
      </c>
      <c r="R5321">
        <v>0.99249766055689903</v>
      </c>
      <c r="S5321" t="s">
        <v>11991</v>
      </c>
      <c r="T5321" t="s">
        <v>13338</v>
      </c>
      <c r="U5321" t="s">
        <v>13338</v>
      </c>
      <c r="V5321" t="s">
        <v>13338</v>
      </c>
      <c r="W5321" t="s">
        <v>18602</v>
      </c>
      <c r="X5321">
        <v>4</v>
      </c>
      <c r="Y5321" t="s">
        <v>25098</v>
      </c>
      <c r="Z5321" t="s">
        <v>31736</v>
      </c>
      <c r="AA5321">
        <v>0.63067795845166363</v>
      </c>
      <c r="AB5321" t="str">
        <f>HYPERLINK("Melting_Curves/meltCurve_Q9BQA1_WDR77.pdf", "Melting_Curves/meltCurve_Q9BQA1_WDR77.pdf")</f>
        <v>Melting_Curves/meltCurve_Q9BQA1_WDR77.pdf</v>
      </c>
    </row>
    <row r="5322" spans="1:28" x14ac:dyDescent="0.25">
      <c r="A5322" t="s">
        <v>5326</v>
      </c>
      <c r="B5322">
        <v>0.99193492352474899</v>
      </c>
      <c r="C5322">
        <v>1.0065610625050301</v>
      </c>
      <c r="D5322">
        <v>0.90528982204004405</v>
      </c>
      <c r="E5322">
        <v>0.83814103114859595</v>
      </c>
      <c r="F5322">
        <v>0.51305806148285604</v>
      </c>
      <c r="G5322">
        <v>0.44477100433620398</v>
      </c>
      <c r="H5322">
        <v>0.20780401439773599</v>
      </c>
      <c r="I5322">
        <v>0.19492492266813199</v>
      </c>
      <c r="J5322">
        <v>0.154390870124515</v>
      </c>
      <c r="K5322">
        <v>0.158421779202572</v>
      </c>
      <c r="L5322">
        <v>818.62896848451601</v>
      </c>
      <c r="M5322">
        <v>15.3196247495628</v>
      </c>
      <c r="N5322">
        <v>54.466801207085702</v>
      </c>
      <c r="O5322">
        <v>52.550932540104199</v>
      </c>
      <c r="P5322">
        <v>-6.3719281307701506E-2</v>
      </c>
      <c r="Q5322">
        <v>0.125776196488049</v>
      </c>
      <c r="R5322">
        <v>0.98851661221468001</v>
      </c>
      <c r="S5322" t="s">
        <v>11992</v>
      </c>
      <c r="T5322" t="s">
        <v>13338</v>
      </c>
      <c r="U5322" t="s">
        <v>13338</v>
      </c>
      <c r="V5322" t="s">
        <v>13338</v>
      </c>
      <c r="W5322" t="s">
        <v>18603</v>
      </c>
      <c r="X5322">
        <v>2</v>
      </c>
      <c r="Y5322" t="s">
        <v>25099</v>
      </c>
      <c r="Z5322" t="s">
        <v>31737</v>
      </c>
      <c r="AA5322">
        <v>0.53526669822117801</v>
      </c>
      <c r="AB5322" t="str">
        <f>HYPERLINK("Melting_Curves/meltCurve_Q9BQA9_2_C17orf62.pdf", "Melting_Curves/meltCurve_Q9BQA9_2_C17orf62.pdf")</f>
        <v>Melting_Curves/meltCurve_Q9BQA9_2_C17orf62.pdf</v>
      </c>
    </row>
    <row r="5323" spans="1:28" x14ac:dyDescent="0.25">
      <c r="A5323" t="s">
        <v>5327</v>
      </c>
      <c r="B5323">
        <v>0.99193492352474899</v>
      </c>
      <c r="C5323">
        <v>1.1108776392422399</v>
      </c>
      <c r="D5323">
        <v>0.95964679331155001</v>
      </c>
      <c r="E5323">
        <v>0.81616286647182301</v>
      </c>
      <c r="F5323">
        <v>0.576992626231562</v>
      </c>
      <c r="G5323">
        <v>0.40802814747256699</v>
      </c>
      <c r="H5323">
        <v>0.27153365527800299</v>
      </c>
      <c r="I5323">
        <v>0.23756788911387</v>
      </c>
      <c r="J5323">
        <v>0.20855340058876301</v>
      </c>
      <c r="K5323">
        <v>0.22557067024466901</v>
      </c>
      <c r="L5323">
        <v>998.77040262113303</v>
      </c>
      <c r="M5323">
        <v>18.850994274069699</v>
      </c>
      <c r="N5323">
        <v>54.555257248164402</v>
      </c>
      <c r="O5323">
        <v>52.396950477002001</v>
      </c>
      <c r="P5323">
        <v>-7.1090238955919496E-2</v>
      </c>
      <c r="Q5323">
        <v>0.20964207915133901</v>
      </c>
      <c r="R5323">
        <v>0.98639787797690803</v>
      </c>
      <c r="S5323" t="s">
        <v>11993</v>
      </c>
      <c r="T5323" t="s">
        <v>13338</v>
      </c>
      <c r="U5323" t="s">
        <v>13338</v>
      </c>
      <c r="V5323" t="s">
        <v>13338</v>
      </c>
      <c r="W5323" t="s">
        <v>18604</v>
      </c>
      <c r="X5323">
        <v>8</v>
      </c>
      <c r="Y5323" t="s">
        <v>25100</v>
      </c>
      <c r="Z5323" t="s">
        <v>31738</v>
      </c>
      <c r="AA5323">
        <v>0.56367435921882936</v>
      </c>
      <c r="AB5323" t="str">
        <f>HYPERLINK("Melting_Curves/meltCurve_Q9BQC3_DPH2.pdf", "Melting_Curves/meltCurve_Q9BQC3_DPH2.pdf")</f>
        <v>Melting_Curves/meltCurve_Q9BQC3_DPH2.pdf</v>
      </c>
    </row>
    <row r="5324" spans="1:28" x14ac:dyDescent="0.25">
      <c r="A5324" t="s">
        <v>5328</v>
      </c>
      <c r="B5324">
        <v>0.99193492352474899</v>
      </c>
      <c r="C5324">
        <v>0.56437938092015005</v>
      </c>
      <c r="D5324">
        <v>0.54046497507388702</v>
      </c>
      <c r="E5324">
        <v>0.140764557543758</v>
      </c>
      <c r="F5324">
        <v>8.5879341220109304E-2</v>
      </c>
      <c r="G5324">
        <v>4.8833622940556203E-2</v>
      </c>
      <c r="H5324">
        <v>5.3029108438435599E-2</v>
      </c>
      <c r="I5324">
        <v>5.1471151336709799E-2</v>
      </c>
      <c r="J5324">
        <v>8.6065736696745596E-2</v>
      </c>
      <c r="K5324">
        <v>5.9971705490181201E-2</v>
      </c>
      <c r="L5324">
        <v>782.78564545162396</v>
      </c>
      <c r="M5324">
        <v>17.464348231389899</v>
      </c>
      <c r="N5324">
        <v>45.076521627250202</v>
      </c>
      <c r="O5324">
        <v>44.246633070439501</v>
      </c>
      <c r="P5324">
        <v>-9.4047314541877605E-2</v>
      </c>
      <c r="Q5324">
        <v>4.6962257833588102E-2</v>
      </c>
      <c r="R5324">
        <v>0.94968811014270704</v>
      </c>
      <c r="S5324" t="s">
        <v>11994</v>
      </c>
      <c r="T5324" t="s">
        <v>13338</v>
      </c>
      <c r="U5324" t="s">
        <v>13338</v>
      </c>
      <c r="V5324" t="s">
        <v>13338</v>
      </c>
      <c r="W5324" t="s">
        <v>18605</v>
      </c>
      <c r="X5324">
        <v>3</v>
      </c>
      <c r="Y5324" t="s">
        <v>25101</v>
      </c>
      <c r="Z5324" t="s">
        <v>31739</v>
      </c>
      <c r="AA5324">
        <v>0.22260215989609791</v>
      </c>
      <c r="AB5324" t="str">
        <f>HYPERLINK("Melting_Curves/meltCurve_Q9BQF6_5_SENP7.pdf", "Melting_Curves/meltCurve_Q9BQF6_5_SENP7.pdf")</f>
        <v>Melting_Curves/meltCurve_Q9BQF6_5_SENP7.pdf</v>
      </c>
    </row>
    <row r="5325" spans="1:28" x14ac:dyDescent="0.25">
      <c r="A5325" t="s">
        <v>5329</v>
      </c>
      <c r="B5325">
        <v>0.99193492352474899</v>
      </c>
      <c r="C5325">
        <v>0.70601144636107405</v>
      </c>
      <c r="D5325">
        <v>0.91090536043075399</v>
      </c>
      <c r="E5325">
        <v>0.62386035226379599</v>
      </c>
      <c r="F5325">
        <v>0.511122357482651</v>
      </c>
      <c r="G5325">
        <v>0.276332948925822</v>
      </c>
      <c r="H5325">
        <v>0.20119996258011</v>
      </c>
      <c r="I5325">
        <v>0.194772123695553</v>
      </c>
      <c r="J5325">
        <v>0.19333993504043501</v>
      </c>
      <c r="K5325">
        <v>0.23383144616088999</v>
      </c>
      <c r="L5325">
        <v>569.55103349379397</v>
      </c>
      <c r="M5325">
        <v>11.215721356188199</v>
      </c>
      <c r="N5325">
        <v>52.231887644675503</v>
      </c>
      <c r="O5325">
        <v>49.247413867331403</v>
      </c>
      <c r="P5325">
        <v>-4.9332764862068598E-2</v>
      </c>
      <c r="Q5325">
        <v>0.133805282078958</v>
      </c>
      <c r="R5325">
        <v>0.92342641973976303</v>
      </c>
      <c r="S5325" t="s">
        <v>11995</v>
      </c>
      <c r="T5325" t="s">
        <v>13338</v>
      </c>
      <c r="U5325" t="s">
        <v>13338</v>
      </c>
      <c r="V5325" t="s">
        <v>13338</v>
      </c>
      <c r="W5325" t="s">
        <v>18606</v>
      </c>
      <c r="X5325">
        <v>10</v>
      </c>
      <c r="Y5325" t="s">
        <v>25102</v>
      </c>
      <c r="Z5325" t="s">
        <v>31740</v>
      </c>
      <c r="AA5325">
        <v>0.47662198442503251</v>
      </c>
      <c r="AB5325" t="str">
        <f>HYPERLINK("Melting_Curves/meltCurve_Q9BQI0_AIF1L.pdf", "Melting_Curves/meltCurve_Q9BQI0_AIF1L.pdf")</f>
        <v>Melting_Curves/meltCurve_Q9BQI0_AIF1L.pdf</v>
      </c>
    </row>
    <row r="5326" spans="1:28" x14ac:dyDescent="0.25">
      <c r="A5326" t="s">
        <v>5330</v>
      </c>
      <c r="B5326">
        <v>0.99193492352474899</v>
      </c>
      <c r="C5326">
        <v>1.23013045340607</v>
      </c>
      <c r="D5326">
        <v>0.93601392938169403</v>
      </c>
      <c r="E5326">
        <v>0.92690390464427597</v>
      </c>
      <c r="F5326">
        <v>0.58066658898694401</v>
      </c>
      <c r="G5326">
        <v>0.23081763621437401</v>
      </c>
      <c r="H5326">
        <v>7.4494908157143394E-2</v>
      </c>
      <c r="I5326">
        <v>7.6009960813140098E-2</v>
      </c>
      <c r="J5326">
        <v>6.5477892511806801E-2</v>
      </c>
      <c r="K5326">
        <v>7.9914944974970106E-2</v>
      </c>
      <c r="L5326">
        <v>1549.53423728241</v>
      </c>
      <c r="M5326">
        <v>28.897963767036799</v>
      </c>
      <c r="N5326">
        <v>53.882043484716597</v>
      </c>
      <c r="O5326">
        <v>53.366078165749499</v>
      </c>
      <c r="P5326">
        <v>-0.126530198771314</v>
      </c>
      <c r="Q5326">
        <v>6.5350228995980905E-2</v>
      </c>
      <c r="R5326">
        <v>0.970574085797417</v>
      </c>
      <c r="S5326" t="s">
        <v>11996</v>
      </c>
      <c r="T5326" t="s">
        <v>13338</v>
      </c>
      <c r="U5326" t="s">
        <v>13338</v>
      </c>
      <c r="V5326" t="s">
        <v>13338</v>
      </c>
      <c r="W5326" t="s">
        <v>18607</v>
      </c>
      <c r="X5326">
        <v>2</v>
      </c>
      <c r="Y5326" t="s">
        <v>25103</v>
      </c>
      <c r="Z5326" t="s">
        <v>31741</v>
      </c>
      <c r="AA5326">
        <v>0.49627877891287853</v>
      </c>
      <c r="AB5326" t="str">
        <f>HYPERLINK("Melting_Curves/meltCurve_Q9BQI3_2_EIF2AK1.pdf", "Melting_Curves/meltCurve_Q9BQI3_2_EIF2AK1.pdf")</f>
        <v>Melting_Curves/meltCurve_Q9BQI3_2_EIF2AK1.pdf</v>
      </c>
    </row>
    <row r="5327" spans="1:28" x14ac:dyDescent="0.25">
      <c r="A5327" t="s">
        <v>5331</v>
      </c>
      <c r="B5327">
        <v>0.99193492352474899</v>
      </c>
      <c r="C5327">
        <v>0.53283906186470698</v>
      </c>
      <c r="D5327">
        <v>0.650555260181648</v>
      </c>
      <c r="E5327">
        <v>0.30430256814038398</v>
      </c>
      <c r="F5327">
        <v>0.198021841144255</v>
      </c>
      <c r="G5327">
        <v>0.18458945232900101</v>
      </c>
      <c r="H5327">
        <v>0.14423461129561499</v>
      </c>
      <c r="I5327">
        <v>8.1866407348588202E-2</v>
      </c>
      <c r="J5327">
        <v>0.14456396530857099</v>
      </c>
      <c r="K5327">
        <v>4.3192560237135399E-2</v>
      </c>
      <c r="L5327">
        <v>555.62480942494096</v>
      </c>
      <c r="M5327">
        <v>12.1321460546684</v>
      </c>
      <c r="N5327">
        <v>46.448335750766901</v>
      </c>
      <c r="O5327">
        <v>44.606739659669799</v>
      </c>
      <c r="P5327">
        <v>-6.2696398741435094E-2</v>
      </c>
      <c r="Q5327">
        <v>7.8140045909343397E-2</v>
      </c>
      <c r="R5327">
        <v>0.91125667485629602</v>
      </c>
      <c r="S5327" t="s">
        <v>11997</v>
      </c>
      <c r="T5327" t="s">
        <v>13338</v>
      </c>
      <c r="U5327" t="s">
        <v>13338</v>
      </c>
      <c r="V5327" t="s">
        <v>13338</v>
      </c>
      <c r="W5327" t="s">
        <v>18608</v>
      </c>
      <c r="X5327">
        <v>1</v>
      </c>
      <c r="Y5327" t="s">
        <v>25104</v>
      </c>
      <c r="Z5327" t="s">
        <v>31742</v>
      </c>
      <c r="AA5327">
        <v>0.29813097875513678</v>
      </c>
      <c r="AB5327" t="str">
        <f>HYPERLINK("Melting_Curves/meltCurve_Q9BQI6_ANKRD32.pdf", "Melting_Curves/meltCurve_Q9BQI6_ANKRD32.pdf")</f>
        <v>Melting_Curves/meltCurve_Q9BQI6_ANKRD32.pdf</v>
      </c>
    </row>
    <row r="5328" spans="1:28" x14ac:dyDescent="0.25">
      <c r="A5328" t="s">
        <v>5332</v>
      </c>
      <c r="B5328">
        <v>0.99193492352474899</v>
      </c>
      <c r="C5328">
        <v>0.97447083354495501</v>
      </c>
      <c r="D5328">
        <v>0.90405718872399199</v>
      </c>
      <c r="E5328">
        <v>0.80187377943587401</v>
      </c>
      <c r="F5328">
        <v>0.40431080158329602</v>
      </c>
      <c r="G5328">
        <v>0.10405184164546501</v>
      </c>
      <c r="H5328">
        <v>2.90527113060483E-2</v>
      </c>
      <c r="I5328">
        <v>3.58818082604049E-2</v>
      </c>
      <c r="J5328">
        <v>3.0360308960239099E-2</v>
      </c>
      <c r="K5328">
        <v>4.3679617932869501E-2</v>
      </c>
      <c r="L5328">
        <v>1321.26028580804</v>
      </c>
      <c r="M5328">
        <v>25.3362628480835</v>
      </c>
      <c r="N5328">
        <v>52.238349333523402</v>
      </c>
      <c r="O5328">
        <v>51.827363918414903</v>
      </c>
      <c r="P5328">
        <v>-0.119623527057441</v>
      </c>
      <c r="Q5328">
        <v>2.1214313275147001E-2</v>
      </c>
      <c r="R5328">
        <v>0.99622717052091303</v>
      </c>
      <c r="S5328" t="s">
        <v>11998</v>
      </c>
      <c r="T5328" t="s">
        <v>13338</v>
      </c>
      <c r="U5328" t="s">
        <v>13338</v>
      </c>
      <c r="V5328" t="s">
        <v>13338</v>
      </c>
      <c r="W5328" t="s">
        <v>18609</v>
      </c>
      <c r="X5328">
        <v>4</v>
      </c>
      <c r="Y5328" t="s">
        <v>25105</v>
      </c>
      <c r="Z5328" t="s">
        <v>31743</v>
      </c>
      <c r="AA5328">
        <v>0.42631064873679392</v>
      </c>
      <c r="AB5328" t="str">
        <f>HYPERLINK("Melting_Curves/meltCurve_Q9BQP7_MGME1.pdf", "Melting_Curves/meltCurve_Q9BQP7_MGME1.pdf")</f>
        <v>Melting_Curves/meltCurve_Q9BQP7_MGME1.pdf</v>
      </c>
    </row>
    <row r="5329" spans="1:28" x14ac:dyDescent="0.25">
      <c r="A5329" t="s">
        <v>5333</v>
      </c>
      <c r="B5329">
        <v>0.99193492352474899</v>
      </c>
      <c r="C5329">
        <v>0.78833186252716803</v>
      </c>
      <c r="D5329">
        <v>0.88163834103803895</v>
      </c>
      <c r="E5329">
        <v>0.37208004607866602</v>
      </c>
      <c r="F5329">
        <v>0.30704088206878599</v>
      </c>
      <c r="G5329">
        <v>0.18212707402947401</v>
      </c>
      <c r="H5329">
        <v>0.133774017601239</v>
      </c>
      <c r="I5329">
        <v>0.16836252316719399</v>
      </c>
      <c r="J5329">
        <v>0.127456620011588</v>
      </c>
      <c r="K5329">
        <v>0.11523061248698099</v>
      </c>
      <c r="L5329">
        <v>896.63468764440995</v>
      </c>
      <c r="M5329">
        <v>18.561835335295399</v>
      </c>
      <c r="N5329">
        <v>49.097568885794203</v>
      </c>
      <c r="O5329">
        <v>47.7550908285492</v>
      </c>
      <c r="P5329">
        <v>-8.4599956028894405E-2</v>
      </c>
      <c r="Q5329">
        <v>0.129417555336035</v>
      </c>
      <c r="R5329">
        <v>0.95695379668330505</v>
      </c>
      <c r="S5329" t="s">
        <v>11999</v>
      </c>
      <c r="T5329" t="s">
        <v>13338</v>
      </c>
      <c r="U5329" t="s">
        <v>13338</v>
      </c>
      <c r="V5329" t="s">
        <v>13338</v>
      </c>
      <c r="W5329" t="s">
        <v>18610</v>
      </c>
      <c r="X5329">
        <v>2</v>
      </c>
      <c r="Y5329" t="s">
        <v>25106</v>
      </c>
      <c r="Z5329" t="s">
        <v>31744</v>
      </c>
      <c r="AA5329">
        <v>0.38480378328596632</v>
      </c>
      <c r="AB5329" t="str">
        <f>HYPERLINK("Melting_Curves/meltCurve_Q9BQS8_FYCO1.pdf", "Melting_Curves/meltCurve_Q9BQS8_FYCO1.pdf")</f>
        <v>Melting_Curves/meltCurve_Q9BQS8_FYCO1.pdf</v>
      </c>
    </row>
    <row r="5330" spans="1:28" x14ac:dyDescent="0.25">
      <c r="A5330" t="s">
        <v>5334</v>
      </c>
      <c r="B5330">
        <v>0.99193492352474899</v>
      </c>
      <c r="C5330">
        <v>0.83176718777845404</v>
      </c>
      <c r="D5330">
        <v>0.59441267000383302</v>
      </c>
      <c r="E5330">
        <v>0.35610228166192198</v>
      </c>
      <c r="F5330">
        <v>0.242679438355132</v>
      </c>
      <c r="G5330">
        <v>0.178260549041069</v>
      </c>
      <c r="H5330">
        <v>0.12187268368549301</v>
      </c>
      <c r="I5330">
        <v>0.12561028766742199</v>
      </c>
      <c r="J5330">
        <v>0.13466323943756101</v>
      </c>
      <c r="K5330">
        <v>0.167291708834611</v>
      </c>
      <c r="L5330">
        <v>816.40613737746503</v>
      </c>
      <c r="M5330">
        <v>17.562606117289501</v>
      </c>
      <c r="N5330">
        <v>47.3468745538242</v>
      </c>
      <c r="O5330">
        <v>45.895362074751503</v>
      </c>
      <c r="P5330">
        <v>-8.2588470074797402E-2</v>
      </c>
      <c r="Q5330">
        <v>0.13675200873113799</v>
      </c>
      <c r="R5330">
        <v>0.99537249373224101</v>
      </c>
      <c r="S5330" t="s">
        <v>12000</v>
      </c>
      <c r="T5330" t="s">
        <v>13338</v>
      </c>
      <c r="U5330" t="s">
        <v>13338</v>
      </c>
      <c r="V5330" t="s">
        <v>13338</v>
      </c>
      <c r="W5330" t="s">
        <v>18611</v>
      </c>
      <c r="X5330">
        <v>7</v>
      </c>
      <c r="Y5330" t="s">
        <v>25107</v>
      </c>
      <c r="Z5330" t="s">
        <v>31745</v>
      </c>
      <c r="AA5330">
        <v>0.3406733988461596</v>
      </c>
      <c r="AB5330" t="str">
        <f>HYPERLINK("Melting_Curves/meltCurve_Q9BR61_ACBD6.pdf", "Melting_Curves/meltCurve_Q9BR61_ACBD6.pdf")</f>
        <v>Melting_Curves/meltCurve_Q9BR61_ACBD6.pdf</v>
      </c>
    </row>
    <row r="5331" spans="1:28" x14ac:dyDescent="0.25">
      <c r="A5331" t="s">
        <v>5335</v>
      </c>
      <c r="B5331">
        <v>0.99193492352474899</v>
      </c>
      <c r="C5331">
        <v>0.791648231372582</v>
      </c>
      <c r="D5331">
        <v>0.86280560361026204</v>
      </c>
      <c r="E5331">
        <v>0.564358238621263</v>
      </c>
      <c r="F5331">
        <v>0.22310528375691399</v>
      </c>
      <c r="G5331">
        <v>8.9787499314787397E-2</v>
      </c>
      <c r="H5331">
        <v>7.5701052336006797E-2</v>
      </c>
      <c r="I5331">
        <v>5.9135534157043597E-2</v>
      </c>
      <c r="J5331">
        <v>7.3333279000256199E-2</v>
      </c>
      <c r="K5331">
        <v>4.3778584440791302E-2</v>
      </c>
      <c r="L5331">
        <v>905.47528880664504</v>
      </c>
      <c r="M5331">
        <v>18.228002987941199</v>
      </c>
      <c r="N5331">
        <v>49.885939381693802</v>
      </c>
      <c r="O5331">
        <v>49.088661808130702</v>
      </c>
      <c r="P5331">
        <v>-8.9392426381833603E-2</v>
      </c>
      <c r="Q5331">
        <v>3.7097246794609497E-2</v>
      </c>
      <c r="R5331">
        <v>0.97606339783507101</v>
      </c>
      <c r="S5331" t="s">
        <v>12001</v>
      </c>
      <c r="T5331" t="s">
        <v>13338</v>
      </c>
      <c r="U5331" t="s">
        <v>13338</v>
      </c>
      <c r="V5331" t="s">
        <v>13338</v>
      </c>
      <c r="W5331" t="s">
        <v>18612</v>
      </c>
      <c r="X5331">
        <v>6</v>
      </c>
      <c r="Y5331" t="s">
        <v>25108</v>
      </c>
      <c r="Z5331" t="s">
        <v>31746</v>
      </c>
      <c r="AA5331">
        <v>0.36372978413798179</v>
      </c>
      <c r="AB5331" t="str">
        <f>HYPERLINK("Melting_Curves/meltCurve_Q9BR76_CORO1B.pdf", "Melting_Curves/meltCurve_Q9BR76_CORO1B.pdf")</f>
        <v>Melting_Curves/meltCurve_Q9BR76_CORO1B.pdf</v>
      </c>
    </row>
    <row r="5332" spans="1:28" x14ac:dyDescent="0.25">
      <c r="A5332" t="s">
        <v>5336</v>
      </c>
      <c r="B5332">
        <v>0.99193492352474899</v>
      </c>
      <c r="C5332">
        <v>1.08523835171687</v>
      </c>
      <c r="D5332">
        <v>1.0503631524311301</v>
      </c>
      <c r="E5332">
        <v>1.00800561414501</v>
      </c>
      <c r="F5332">
        <v>0.39826890128036502</v>
      </c>
      <c r="G5332">
        <v>0.13032162393702201</v>
      </c>
      <c r="H5332">
        <v>7.7553840566137094E-2</v>
      </c>
      <c r="I5332">
        <v>9.0840702877813706E-2</v>
      </c>
      <c r="J5332">
        <v>0.123250063971076</v>
      </c>
      <c r="K5332">
        <v>0.10985583910341</v>
      </c>
      <c r="L5332">
        <v>4788.3936067821996</v>
      </c>
      <c r="M5332">
        <v>90.728060801427404</v>
      </c>
      <c r="N5332">
        <v>52.916434972058497</v>
      </c>
      <c r="O5332">
        <v>52.751801957897797</v>
      </c>
      <c r="P5332">
        <v>-0.384385245897159</v>
      </c>
      <c r="Q5332">
        <v>0.10603125877212601</v>
      </c>
      <c r="R5332">
        <v>0.99386349211161396</v>
      </c>
      <c r="S5332" t="s">
        <v>12002</v>
      </c>
      <c r="T5332" t="s">
        <v>13338</v>
      </c>
      <c r="U5332" t="s">
        <v>13338</v>
      </c>
      <c r="V5332" t="s">
        <v>13338</v>
      </c>
      <c r="W5332" t="s">
        <v>18613</v>
      </c>
      <c r="X5332">
        <v>2</v>
      </c>
      <c r="Y5332" t="s">
        <v>25109</v>
      </c>
      <c r="Z5332" t="s">
        <v>31747</v>
      </c>
      <c r="AA5332">
        <v>0.48741488604690181</v>
      </c>
      <c r="AB5332" t="str">
        <f>HYPERLINK("Melting_Curves/meltCurve_Q9BRA0_2_LSMD1.pdf", "Melting_Curves/meltCurve_Q9BRA0_2_LSMD1.pdf")</f>
        <v>Melting_Curves/meltCurve_Q9BRA0_2_LSMD1.pdf</v>
      </c>
    </row>
    <row r="5333" spans="1:28" x14ac:dyDescent="0.25">
      <c r="A5333" t="s">
        <v>5337</v>
      </c>
      <c r="B5333">
        <v>0.99193492352474899</v>
      </c>
      <c r="C5333">
        <v>1.3002278097609401</v>
      </c>
      <c r="D5333">
        <v>0.80763675247927302</v>
      </c>
      <c r="E5333">
        <v>0.77362378746710903</v>
      </c>
      <c r="F5333">
        <v>0.26123484791142998</v>
      </c>
      <c r="G5333">
        <v>0.167195767056559</v>
      </c>
      <c r="H5333">
        <v>8.7921136197957397E-2</v>
      </c>
      <c r="I5333">
        <v>0.117205777716182</v>
      </c>
      <c r="J5333">
        <v>0.121269160684191</v>
      </c>
      <c r="K5333">
        <v>0.18233864071893899</v>
      </c>
      <c r="L5333">
        <v>1682.2468214655501</v>
      </c>
      <c r="M5333">
        <v>33.085867806580403</v>
      </c>
      <c r="N5333">
        <v>51.293650498595397</v>
      </c>
      <c r="O5333">
        <v>50.660212966182002</v>
      </c>
      <c r="P5333">
        <v>-0.14275535297381101</v>
      </c>
      <c r="Q5333">
        <v>0.12567091844012199</v>
      </c>
      <c r="R5333">
        <v>0.92872802954995803</v>
      </c>
      <c r="S5333" t="s">
        <v>12003</v>
      </c>
      <c r="T5333" t="s">
        <v>13338</v>
      </c>
      <c r="U5333" t="s">
        <v>13338</v>
      </c>
      <c r="V5333" t="s">
        <v>13338</v>
      </c>
      <c r="W5333" t="s">
        <v>18614</v>
      </c>
      <c r="X5333">
        <v>7</v>
      </c>
      <c r="Y5333" t="s">
        <v>25110</v>
      </c>
      <c r="Z5333" t="s">
        <v>31748</v>
      </c>
      <c r="AA5333">
        <v>0.44624106777872807</v>
      </c>
      <c r="AB5333" t="str">
        <f>HYPERLINK("Melting_Curves/meltCurve_Q9BRA2_TXNDC17.pdf", "Melting_Curves/meltCurve_Q9BRA2_TXNDC17.pdf")</f>
        <v>Melting_Curves/meltCurve_Q9BRA2_TXNDC17.pdf</v>
      </c>
    </row>
    <row r="5334" spans="1:28" x14ac:dyDescent="0.25">
      <c r="A5334" t="s">
        <v>5338</v>
      </c>
      <c r="B5334">
        <v>0.99193492352474899</v>
      </c>
      <c r="C5334">
        <v>0.51095141541470701</v>
      </c>
      <c r="D5334">
        <v>0.75512255912461101</v>
      </c>
      <c r="E5334">
        <v>0.39928765230159802</v>
      </c>
      <c r="F5334">
        <v>0.45483443038989602</v>
      </c>
      <c r="G5334">
        <v>0.292375760043662</v>
      </c>
      <c r="H5334">
        <v>0.36490356102039301</v>
      </c>
      <c r="I5334">
        <v>0.46506772241477401</v>
      </c>
      <c r="J5334">
        <v>0.68889073095419295</v>
      </c>
      <c r="K5334">
        <v>0.82741864549674504</v>
      </c>
      <c r="L5334">
        <v>10162.0124019834</v>
      </c>
      <c r="M5334">
        <v>250</v>
      </c>
      <c r="O5334">
        <v>40.645433820567199</v>
      </c>
      <c r="P5334">
        <v>-0.72461789802182996</v>
      </c>
      <c r="Q5334">
        <v>0.528761289435841</v>
      </c>
      <c r="R5334">
        <v>0.41213089774947498</v>
      </c>
      <c r="S5334" t="s">
        <v>12004</v>
      </c>
      <c r="T5334" t="s">
        <v>13338</v>
      </c>
      <c r="U5334" t="s">
        <v>13338</v>
      </c>
      <c r="V5334" t="s">
        <v>13338</v>
      </c>
      <c r="W5334" t="s">
        <v>18615</v>
      </c>
      <c r="X5334">
        <v>8</v>
      </c>
      <c r="Y5334" t="s">
        <v>25111</v>
      </c>
      <c r="Z5334" t="s">
        <v>31749</v>
      </c>
      <c r="AA5334">
        <v>0.53901681262935952</v>
      </c>
      <c r="AB5334" t="str">
        <f>HYPERLINK("Melting_Curves/meltCurve_Q9BRD0_BUD13.pdf", "Melting_Curves/meltCurve_Q9BRD0_BUD13.pdf")</f>
        <v>Melting_Curves/meltCurve_Q9BRD0_BUD13.pdf</v>
      </c>
    </row>
    <row r="5335" spans="1:28" x14ac:dyDescent="0.25">
      <c r="A5335" t="s">
        <v>5339</v>
      </c>
      <c r="B5335">
        <v>0.99193492352474899</v>
      </c>
      <c r="C5335">
        <v>0.847702056527743</v>
      </c>
      <c r="D5335">
        <v>0.92683590308178498</v>
      </c>
      <c r="E5335">
        <v>0.76850846345642698</v>
      </c>
      <c r="F5335">
        <v>0.73462514735766804</v>
      </c>
      <c r="G5335">
        <v>0.457580823299018</v>
      </c>
      <c r="H5335">
        <v>0.41292072098525801</v>
      </c>
      <c r="I5335">
        <v>0.47741106692976298</v>
      </c>
      <c r="J5335">
        <v>0.613998615552933</v>
      </c>
      <c r="K5335">
        <v>0.69095456906089503</v>
      </c>
      <c r="L5335">
        <v>882.22155542118196</v>
      </c>
      <c r="M5335">
        <v>17.808675270239402</v>
      </c>
      <c r="O5335">
        <v>48.926884963794002</v>
      </c>
      <c r="P5335">
        <v>-4.24769903882843E-2</v>
      </c>
      <c r="Q5335">
        <v>0.53322526684622795</v>
      </c>
      <c r="R5335">
        <v>0.745795960469258</v>
      </c>
      <c r="S5335" t="s">
        <v>12005</v>
      </c>
      <c r="T5335" t="s">
        <v>13338</v>
      </c>
      <c r="U5335" t="s">
        <v>13338</v>
      </c>
      <c r="V5335" t="s">
        <v>13338</v>
      </c>
      <c r="W5335" t="s">
        <v>18616</v>
      </c>
      <c r="X5335">
        <v>11</v>
      </c>
      <c r="Y5335" t="s">
        <v>25112</v>
      </c>
      <c r="Z5335" t="s">
        <v>31750</v>
      </c>
      <c r="AA5335">
        <v>0.68982156337300538</v>
      </c>
      <c r="AB5335" t="str">
        <f>HYPERLINK("Melting_Curves/meltCurve_Q9BRF8_CPPED1.pdf", "Melting_Curves/meltCurve_Q9BRF8_CPPED1.pdf")</f>
        <v>Melting_Curves/meltCurve_Q9BRF8_CPPED1.pdf</v>
      </c>
    </row>
    <row r="5336" spans="1:28" x14ac:dyDescent="0.25">
      <c r="A5336" t="s">
        <v>5340</v>
      </c>
      <c r="B5336">
        <v>0.99193492352474899</v>
      </c>
      <c r="C5336">
        <v>0.846099792454719</v>
      </c>
      <c r="D5336">
        <v>0.94320134418704105</v>
      </c>
      <c r="E5336">
        <v>0.65007328570719403</v>
      </c>
      <c r="F5336">
        <v>0.38234141457791598</v>
      </c>
      <c r="G5336">
        <v>0.138467335254264</v>
      </c>
      <c r="H5336">
        <v>5.9002267725500199E-2</v>
      </c>
      <c r="I5336">
        <v>7.0528725223608299E-2</v>
      </c>
      <c r="J5336">
        <v>9.38237462635928E-2</v>
      </c>
      <c r="K5336">
        <v>6.9219640480863098E-2</v>
      </c>
      <c r="L5336">
        <v>992.26881135962799</v>
      </c>
      <c r="M5336">
        <v>19.417726664773799</v>
      </c>
      <c r="N5336">
        <v>51.3934954335664</v>
      </c>
      <c r="O5336">
        <v>50.568459162592397</v>
      </c>
      <c r="P5336">
        <v>-9.0981777128547506E-2</v>
      </c>
      <c r="Q5336">
        <v>5.2280411560570103E-2</v>
      </c>
      <c r="R5336">
        <v>0.98327210654131603</v>
      </c>
      <c r="S5336" t="s">
        <v>12006</v>
      </c>
      <c r="T5336" t="s">
        <v>13338</v>
      </c>
      <c r="U5336" t="s">
        <v>13338</v>
      </c>
      <c r="V5336" t="s">
        <v>13338</v>
      </c>
      <c r="W5336" t="s">
        <v>18617</v>
      </c>
      <c r="X5336">
        <v>6</v>
      </c>
      <c r="Y5336" t="s">
        <v>25113</v>
      </c>
      <c r="Z5336" t="s">
        <v>31751</v>
      </c>
      <c r="AA5336">
        <v>0.41686749725411898</v>
      </c>
      <c r="AB5336" t="str">
        <f>HYPERLINK("Melting_Curves/meltCurve_Q9BRG1_VPS25.pdf", "Melting_Curves/meltCurve_Q9BRG1_VPS25.pdf")</f>
        <v>Melting_Curves/meltCurve_Q9BRG1_VPS25.pdf</v>
      </c>
    </row>
    <row r="5337" spans="1:28" x14ac:dyDescent="0.25">
      <c r="A5337" t="s">
        <v>5341</v>
      </c>
      <c r="B5337">
        <v>0.99193492352474899</v>
      </c>
      <c r="C5337">
        <v>0.51167124978928602</v>
      </c>
      <c r="D5337">
        <v>0.48875703107213903</v>
      </c>
      <c r="E5337">
        <v>0.29657639606138603</v>
      </c>
      <c r="F5337">
        <v>0.13039467581570999</v>
      </c>
      <c r="G5337">
        <v>8.0320858115670302E-2</v>
      </c>
      <c r="H5337">
        <v>5.3053612528530997E-2</v>
      </c>
      <c r="I5337">
        <v>7.1197702771105306E-2</v>
      </c>
      <c r="J5337">
        <v>8.2656924554978306E-2</v>
      </c>
      <c r="K5337">
        <v>0.103897368237824</v>
      </c>
      <c r="L5337">
        <v>652.26885396915304</v>
      </c>
      <c r="M5337">
        <v>14.610334107719799</v>
      </c>
      <c r="N5337">
        <v>45.091010744217897</v>
      </c>
      <c r="O5337">
        <v>43.832993291100898</v>
      </c>
      <c r="P5337">
        <v>-7.7724292780814497E-2</v>
      </c>
      <c r="Q5337">
        <v>6.7370567732207107E-2</v>
      </c>
      <c r="R5337">
        <v>0.93729348611670904</v>
      </c>
      <c r="S5337" t="s">
        <v>12007</v>
      </c>
      <c r="T5337" t="s">
        <v>13338</v>
      </c>
      <c r="U5337" t="s">
        <v>13338</v>
      </c>
      <c r="V5337" t="s">
        <v>13338</v>
      </c>
      <c r="W5337" t="s">
        <v>18618</v>
      </c>
      <c r="X5337">
        <v>6</v>
      </c>
      <c r="Y5337" t="s">
        <v>25114</v>
      </c>
      <c r="Z5337" t="s">
        <v>31752</v>
      </c>
      <c r="AA5337">
        <v>0.2446826377536529</v>
      </c>
      <c r="AB5337" t="str">
        <f>HYPERLINK("Melting_Curves/meltCurve_Q9BRJ2_MRPL45.pdf", "Melting_Curves/meltCurve_Q9BRJ2_MRPL45.pdf")</f>
        <v>Melting_Curves/meltCurve_Q9BRJ2_MRPL45.pdf</v>
      </c>
    </row>
    <row r="5338" spans="1:28" x14ac:dyDescent="0.25">
      <c r="A5338" t="s">
        <v>5342</v>
      </c>
      <c r="B5338">
        <v>0.99193492352474899</v>
      </c>
      <c r="C5338">
        <v>0.87501287075939505</v>
      </c>
      <c r="D5338">
        <v>0.65198542631594802</v>
      </c>
      <c r="E5338">
        <v>0.498949825546256</v>
      </c>
      <c r="F5338">
        <v>0.28565076894993002</v>
      </c>
      <c r="G5338">
        <v>0.17612569660307401</v>
      </c>
      <c r="H5338">
        <v>0.14032339916565201</v>
      </c>
      <c r="I5338">
        <v>0.20442280485136599</v>
      </c>
      <c r="J5338">
        <v>0.24802611381461401</v>
      </c>
      <c r="K5338">
        <v>0.31649325635390602</v>
      </c>
      <c r="L5338">
        <v>851.68190766424505</v>
      </c>
      <c r="M5338">
        <v>18.101622809717501</v>
      </c>
      <c r="N5338">
        <v>48.5157523872886</v>
      </c>
      <c r="O5338">
        <v>46.487088306376599</v>
      </c>
      <c r="P5338">
        <v>-7.6847808647834998E-2</v>
      </c>
      <c r="Q5338">
        <v>0.210621386664543</v>
      </c>
      <c r="R5338">
        <v>0.96424542620290099</v>
      </c>
      <c r="S5338" t="s">
        <v>12008</v>
      </c>
      <c r="T5338" t="s">
        <v>13338</v>
      </c>
      <c r="U5338" t="s">
        <v>13338</v>
      </c>
      <c r="V5338" t="s">
        <v>13338</v>
      </c>
      <c r="W5338" t="s">
        <v>18619</v>
      </c>
      <c r="X5338">
        <v>6</v>
      </c>
      <c r="Y5338" t="s">
        <v>25115</v>
      </c>
      <c r="Z5338" t="s">
        <v>31753</v>
      </c>
      <c r="AA5338">
        <v>0.41047776347296527</v>
      </c>
      <c r="AB5338" t="str">
        <f>HYPERLINK("Melting_Curves/meltCurve_Q9BRK5_SDF4.pdf", "Melting_Curves/meltCurve_Q9BRK5_SDF4.pdf")</f>
        <v>Melting_Curves/meltCurve_Q9BRK5_SDF4.pdf</v>
      </c>
    </row>
    <row r="5339" spans="1:28" x14ac:dyDescent="0.25">
      <c r="A5339" t="s">
        <v>5343</v>
      </c>
      <c r="B5339">
        <v>0.99193492352474899</v>
      </c>
      <c r="C5339">
        <v>0.79165112978208296</v>
      </c>
      <c r="D5339">
        <v>0.61221870895021802</v>
      </c>
      <c r="E5339">
        <v>0.52318795879000501</v>
      </c>
      <c r="F5339">
        <v>0.38548915162429798</v>
      </c>
      <c r="G5339">
        <v>0.21039237274126099</v>
      </c>
      <c r="H5339">
        <v>0.18754771993251099</v>
      </c>
      <c r="I5339">
        <v>0.52056116899925398</v>
      </c>
      <c r="J5339">
        <v>0.628033099515381</v>
      </c>
      <c r="K5339">
        <v>0.930259561040229</v>
      </c>
      <c r="L5339">
        <v>1234.3395675321201</v>
      </c>
      <c r="M5339">
        <v>28.195415713585199</v>
      </c>
      <c r="N5339">
        <v>49.662786193801303</v>
      </c>
      <c r="O5339">
        <v>43.559581011063301</v>
      </c>
      <c r="P5339">
        <v>-8.3775544514816405E-2</v>
      </c>
      <c r="Q5339">
        <v>0.48229921868430398</v>
      </c>
      <c r="R5339">
        <v>0.41242455152982099</v>
      </c>
      <c r="S5339" t="s">
        <v>12009</v>
      </c>
      <c r="T5339" t="s">
        <v>13338</v>
      </c>
      <c r="U5339" t="s">
        <v>13338</v>
      </c>
      <c r="V5339" t="s">
        <v>13338</v>
      </c>
      <c r="W5339" t="s">
        <v>18620</v>
      </c>
      <c r="X5339">
        <v>5</v>
      </c>
      <c r="Y5339" t="s">
        <v>25116</v>
      </c>
      <c r="Z5339" t="s">
        <v>31754</v>
      </c>
      <c r="AA5339">
        <v>0.55209349977293387</v>
      </c>
      <c r="AB5339" t="str">
        <f>HYPERLINK("Melting_Curves/meltCurve_Q9BRL6_2_SRSF8.pdf", "Melting_Curves/meltCurve_Q9BRL6_2_SRSF8.pdf")</f>
        <v>Melting_Curves/meltCurve_Q9BRL6_2_SRSF8.pdf</v>
      </c>
    </row>
    <row r="5340" spans="1:28" x14ac:dyDescent="0.25">
      <c r="A5340" t="s">
        <v>5344</v>
      </c>
      <c r="B5340">
        <v>0.99193492352474899</v>
      </c>
      <c r="C5340">
        <v>0.93121909571181305</v>
      </c>
      <c r="D5340">
        <v>0.84314048764636995</v>
      </c>
      <c r="E5340">
        <v>0.48104272672274301</v>
      </c>
      <c r="F5340">
        <v>0.12118520913052699</v>
      </c>
      <c r="G5340">
        <v>7.5829877440123303E-2</v>
      </c>
      <c r="H5340">
        <v>3.5803250656944202E-2</v>
      </c>
      <c r="I5340">
        <v>5.6271034323481302E-2</v>
      </c>
      <c r="J5340">
        <v>4.4017277725584898E-2</v>
      </c>
      <c r="K5340">
        <v>5.1196479211209199E-2</v>
      </c>
      <c r="L5340">
        <v>1242.2954709701701</v>
      </c>
      <c r="M5340">
        <v>25.312824835496102</v>
      </c>
      <c r="N5340">
        <v>49.240440725975702</v>
      </c>
      <c r="O5340">
        <v>48.774489128490202</v>
      </c>
      <c r="P5340">
        <v>-0.124539773189715</v>
      </c>
      <c r="Q5340">
        <v>4.0125355995796301E-2</v>
      </c>
      <c r="R5340">
        <v>0.99699507881399396</v>
      </c>
      <c r="S5340" t="s">
        <v>12010</v>
      </c>
      <c r="T5340" t="s">
        <v>13338</v>
      </c>
      <c r="U5340" t="s">
        <v>13338</v>
      </c>
      <c r="V5340" t="s">
        <v>13338</v>
      </c>
      <c r="W5340" t="s">
        <v>18621</v>
      </c>
      <c r="X5340">
        <v>5</v>
      </c>
      <c r="Y5340" t="s">
        <v>25117</v>
      </c>
      <c r="Z5340" t="s">
        <v>31755</v>
      </c>
      <c r="AA5340">
        <v>0.3388695054336906</v>
      </c>
      <c r="AB5340" t="str">
        <f>HYPERLINK("Melting_Curves/meltCurve_Q9BRP1_PDCD2L.pdf", "Melting_Curves/meltCurve_Q9BRP1_PDCD2L.pdf")</f>
        <v>Melting_Curves/meltCurve_Q9BRP1_PDCD2L.pdf</v>
      </c>
    </row>
    <row r="5341" spans="1:28" x14ac:dyDescent="0.25">
      <c r="A5341" t="s">
        <v>5345</v>
      </c>
      <c r="B5341">
        <v>0.99193492352474899</v>
      </c>
      <c r="C5341">
        <v>1.00555441822279</v>
      </c>
      <c r="D5341">
        <v>1.0085409594458401</v>
      </c>
      <c r="E5341">
        <v>0.79116367117240904</v>
      </c>
      <c r="F5341">
        <v>0.77512891754436397</v>
      </c>
      <c r="G5341">
        <v>0.58703711375867995</v>
      </c>
      <c r="H5341">
        <v>0.216407341359271</v>
      </c>
      <c r="I5341">
        <v>0.117954486110667</v>
      </c>
      <c r="J5341">
        <v>0.13148840243473001</v>
      </c>
      <c r="K5341">
        <v>0.10454206129943799</v>
      </c>
      <c r="L5341">
        <v>893.71499649148404</v>
      </c>
      <c r="M5341">
        <v>15.741624762403299</v>
      </c>
      <c r="N5341">
        <v>56.966189911142997</v>
      </c>
      <c r="O5341">
        <v>55.881468459721198</v>
      </c>
      <c r="P5341">
        <v>-6.8608645581477196E-2</v>
      </c>
      <c r="Q5341">
        <v>2.5861441527548702E-2</v>
      </c>
      <c r="R5341">
        <v>0.97862054442558799</v>
      </c>
      <c r="S5341" t="s">
        <v>12011</v>
      </c>
      <c r="T5341" t="s">
        <v>13338</v>
      </c>
      <c r="U5341" t="s">
        <v>13338</v>
      </c>
      <c r="V5341" t="s">
        <v>13338</v>
      </c>
      <c r="W5341" t="s">
        <v>18622</v>
      </c>
      <c r="X5341">
        <v>7</v>
      </c>
      <c r="Y5341" t="s">
        <v>25118</v>
      </c>
      <c r="Z5341" t="s">
        <v>31756</v>
      </c>
      <c r="AA5341">
        <v>0.58588162436167601</v>
      </c>
      <c r="AB5341" t="str">
        <f>HYPERLINK("Melting_Curves/meltCurve_Q9BRP4_PAAF1.pdf", "Melting_Curves/meltCurve_Q9BRP4_PAAF1.pdf")</f>
        <v>Melting_Curves/meltCurve_Q9BRP4_PAAF1.pdf</v>
      </c>
    </row>
    <row r="5342" spans="1:28" x14ac:dyDescent="0.25">
      <c r="A5342" t="s">
        <v>5346</v>
      </c>
      <c r="B5342">
        <v>0.99193492352474899</v>
      </c>
      <c r="C5342">
        <v>0.56131414818275405</v>
      </c>
      <c r="D5342">
        <v>0.89357723026698899</v>
      </c>
      <c r="E5342">
        <v>0.67620278067646999</v>
      </c>
      <c r="F5342">
        <v>0.585365811212333</v>
      </c>
      <c r="G5342">
        <v>0.38790295013336001</v>
      </c>
      <c r="H5342">
        <v>0.60506757631503305</v>
      </c>
      <c r="I5342">
        <v>0.59926932639040598</v>
      </c>
      <c r="J5342">
        <v>0.85506664548536404</v>
      </c>
      <c r="K5342">
        <v>1.2146390009724799</v>
      </c>
      <c r="L5342">
        <v>10142.314847013</v>
      </c>
      <c r="M5342">
        <v>250</v>
      </c>
      <c r="O5342">
        <v>40.566663232350102</v>
      </c>
      <c r="P5342">
        <v>-0.44878025870281002</v>
      </c>
      <c r="Q5342">
        <v>0.70871171847552095</v>
      </c>
      <c r="R5342">
        <v>0.13188807631382499</v>
      </c>
      <c r="S5342" t="s">
        <v>12012</v>
      </c>
      <c r="T5342" t="s">
        <v>13338</v>
      </c>
      <c r="U5342" t="s">
        <v>13338</v>
      </c>
      <c r="V5342" t="s">
        <v>13338</v>
      </c>
      <c r="W5342" t="s">
        <v>18623</v>
      </c>
      <c r="X5342">
        <v>12</v>
      </c>
      <c r="Y5342" t="s">
        <v>25119</v>
      </c>
      <c r="Z5342" t="s">
        <v>31757</v>
      </c>
      <c r="AA5342">
        <v>0.71430244932376241</v>
      </c>
      <c r="AB5342" t="str">
        <f>HYPERLINK("Melting_Curves/meltCurve_Q9BRP8_2_WIBG.pdf", "Melting_Curves/meltCurve_Q9BRP8_2_WIBG.pdf")</f>
        <v>Melting_Curves/meltCurve_Q9BRP8_2_WIBG.pdf</v>
      </c>
    </row>
    <row r="5343" spans="1:28" x14ac:dyDescent="0.25">
      <c r="A5343" t="s">
        <v>5347</v>
      </c>
      <c r="B5343">
        <v>0.99193492352474899</v>
      </c>
      <c r="C5343">
        <v>0.97275965183543101</v>
      </c>
      <c r="D5343">
        <v>0.920220943028495</v>
      </c>
      <c r="E5343">
        <v>0.79460333005511397</v>
      </c>
      <c r="F5343">
        <v>0.63521497602951504</v>
      </c>
      <c r="G5343">
        <v>0.396169715637612</v>
      </c>
      <c r="H5343">
        <v>0.20967633169362501</v>
      </c>
      <c r="I5343">
        <v>0.14576633870610101</v>
      </c>
      <c r="J5343">
        <v>0.158437071362691</v>
      </c>
      <c r="K5343">
        <v>0.24507756510843301</v>
      </c>
      <c r="L5343">
        <v>891.69551632895502</v>
      </c>
      <c r="M5343">
        <v>16.654819873183602</v>
      </c>
      <c r="N5343">
        <v>54.677651466702599</v>
      </c>
      <c r="O5343">
        <v>52.7857740307686</v>
      </c>
      <c r="P5343">
        <v>-6.7331667854362703E-2</v>
      </c>
      <c r="Q5343">
        <v>0.146453419583259</v>
      </c>
      <c r="R5343">
        <v>0.98692077535674505</v>
      </c>
      <c r="S5343" t="s">
        <v>12013</v>
      </c>
      <c r="T5343" t="s">
        <v>13338</v>
      </c>
      <c r="U5343" t="s">
        <v>13338</v>
      </c>
      <c r="V5343" t="s">
        <v>13338</v>
      </c>
      <c r="W5343" t="s">
        <v>18624</v>
      </c>
      <c r="X5343">
        <v>8</v>
      </c>
      <c r="Y5343" t="s">
        <v>25120</v>
      </c>
      <c r="Z5343" t="s">
        <v>31758</v>
      </c>
      <c r="AA5343">
        <v>0.54719840989092683</v>
      </c>
      <c r="AB5343" t="str">
        <f>HYPERLINK("Melting_Curves/meltCurve_Q9BRR6_2_ADPGK.pdf", "Melting_Curves/meltCurve_Q9BRR6_2_ADPGK.pdf")</f>
        <v>Melting_Curves/meltCurve_Q9BRR6_2_ADPGK.pdf</v>
      </c>
    </row>
    <row r="5344" spans="1:28" x14ac:dyDescent="0.25">
      <c r="A5344" t="s">
        <v>5348</v>
      </c>
      <c r="B5344">
        <v>0.99193492352474899</v>
      </c>
      <c r="C5344">
        <v>0.75640373272163197</v>
      </c>
      <c r="D5344">
        <v>0.73398368520841095</v>
      </c>
      <c r="E5344">
        <v>0.43092284089904598</v>
      </c>
      <c r="F5344">
        <v>0.42637394534871698</v>
      </c>
      <c r="G5344">
        <v>0.23338445609398001</v>
      </c>
      <c r="H5344">
        <v>0.47451774782730399</v>
      </c>
      <c r="I5344">
        <v>0.71771307759087799</v>
      </c>
      <c r="J5344">
        <v>1.08407541422165</v>
      </c>
      <c r="K5344">
        <v>1.6966866479016001</v>
      </c>
      <c r="L5344">
        <v>3264.9641047446198</v>
      </c>
      <c r="M5344">
        <v>78.141121357593903</v>
      </c>
      <c r="O5344">
        <v>41.755572612824203</v>
      </c>
      <c r="P5344">
        <v>-0.12881285587025301</v>
      </c>
      <c r="Q5344">
        <v>0.72466971383497403</v>
      </c>
      <c r="R5344">
        <v>3.9264309421257602E-2</v>
      </c>
      <c r="S5344" t="s">
        <v>12014</v>
      </c>
      <c r="T5344" t="s">
        <v>13338</v>
      </c>
      <c r="U5344" t="s">
        <v>13338</v>
      </c>
      <c r="V5344" t="s">
        <v>13338</v>
      </c>
      <c r="W5344" t="s">
        <v>18625</v>
      </c>
      <c r="X5344">
        <v>6</v>
      </c>
      <c r="Y5344" t="s">
        <v>25121</v>
      </c>
      <c r="Z5344" t="s">
        <v>31759</v>
      </c>
      <c r="AA5344">
        <v>0.7413726668010181</v>
      </c>
      <c r="AB5344" t="str">
        <f>HYPERLINK("Melting_Curves/meltCurve_Q9BRR8_GPATCH1.pdf", "Melting_Curves/meltCurve_Q9BRR8_GPATCH1.pdf")</f>
        <v>Melting_Curves/meltCurve_Q9BRR8_GPATCH1.pdf</v>
      </c>
    </row>
    <row r="5345" spans="1:28" x14ac:dyDescent="0.25">
      <c r="A5345" t="s">
        <v>5349</v>
      </c>
      <c r="B5345">
        <v>0.99193492352474899</v>
      </c>
      <c r="C5345">
        <v>0.90185284156851797</v>
      </c>
      <c r="D5345">
        <v>0.97345247315733696</v>
      </c>
      <c r="E5345">
        <v>0.75311845023935897</v>
      </c>
      <c r="F5345">
        <v>0.82480929053763696</v>
      </c>
      <c r="G5345">
        <v>0.54093415591991301</v>
      </c>
      <c r="H5345">
        <v>0.48875573181256798</v>
      </c>
      <c r="I5345">
        <v>0.35936011170501497</v>
      </c>
      <c r="J5345">
        <v>0.22931384088092499</v>
      </c>
      <c r="K5345">
        <v>0.14647299135050901</v>
      </c>
      <c r="L5345">
        <v>539.90990045552905</v>
      </c>
      <c r="M5345">
        <v>9.1315367262232208</v>
      </c>
      <c r="N5345">
        <v>59.125852282304898</v>
      </c>
      <c r="O5345">
        <v>56.497314140971802</v>
      </c>
      <c r="P5345">
        <v>-4.0434727146951399E-2</v>
      </c>
      <c r="Q5345">
        <v>0</v>
      </c>
      <c r="R5345">
        <v>0.96180057137826103</v>
      </c>
      <c r="S5345" t="s">
        <v>12015</v>
      </c>
      <c r="T5345" t="s">
        <v>13338</v>
      </c>
      <c r="U5345" t="s">
        <v>13338</v>
      </c>
      <c r="V5345" t="s">
        <v>13338</v>
      </c>
      <c r="W5345" t="s">
        <v>18626</v>
      </c>
      <c r="X5345">
        <v>16</v>
      </c>
      <c r="Y5345" t="s">
        <v>25122</v>
      </c>
      <c r="Z5345" t="s">
        <v>31760</v>
      </c>
      <c r="AA5345">
        <v>0.63670849948629638</v>
      </c>
      <c r="AB5345" t="str">
        <f>HYPERLINK("Melting_Curves/meltCurve_Q9BRS2_RIOK1.pdf", "Melting_Curves/meltCurve_Q9BRS2_RIOK1.pdf")</f>
        <v>Melting_Curves/meltCurve_Q9BRS2_RIOK1.pdf</v>
      </c>
    </row>
    <row r="5346" spans="1:28" x14ac:dyDescent="0.25">
      <c r="A5346" t="s">
        <v>5350</v>
      </c>
      <c r="B5346">
        <v>0.99193492352474899</v>
      </c>
      <c r="C5346">
        <v>1.3155247434398301</v>
      </c>
      <c r="D5346">
        <v>1.0473666751198101</v>
      </c>
      <c r="E5346">
        <v>1.3376808013232699</v>
      </c>
      <c r="F5346">
        <v>0.71708073555472496</v>
      </c>
      <c r="G5346">
        <v>0.46140069529642802</v>
      </c>
      <c r="H5346">
        <v>0.21961278325451999</v>
      </c>
      <c r="I5346">
        <v>0.23176137221120699</v>
      </c>
      <c r="J5346">
        <v>0.18415698929959001</v>
      </c>
      <c r="K5346">
        <v>0.24985035128500699</v>
      </c>
      <c r="L5346">
        <v>1952.73214322852</v>
      </c>
      <c r="M5346">
        <v>35.567069985382403</v>
      </c>
      <c r="N5346">
        <v>55.8202290685118</v>
      </c>
      <c r="O5346">
        <v>54.730118193199701</v>
      </c>
      <c r="P5346">
        <v>-0.12650883309595201</v>
      </c>
      <c r="Q5346">
        <v>0.221322374370403</v>
      </c>
      <c r="R5346">
        <v>0.87614391643400402</v>
      </c>
      <c r="S5346" t="s">
        <v>12016</v>
      </c>
      <c r="T5346" t="s">
        <v>13338</v>
      </c>
      <c r="U5346" t="s">
        <v>13338</v>
      </c>
      <c r="V5346" t="s">
        <v>13338</v>
      </c>
      <c r="W5346" t="s">
        <v>18627</v>
      </c>
      <c r="X5346">
        <v>5</v>
      </c>
      <c r="Y5346" t="s">
        <v>25123</v>
      </c>
      <c r="Z5346" t="s">
        <v>31761</v>
      </c>
      <c r="AA5346">
        <v>0.61185339529641403</v>
      </c>
      <c r="AB5346" t="str">
        <f>HYPERLINK("Melting_Curves/meltCurve_Q9BRT2_MNF1.pdf", "Melting_Curves/meltCurve_Q9BRT2_MNF1.pdf")</f>
        <v>Melting_Curves/meltCurve_Q9BRT2_MNF1.pdf</v>
      </c>
    </row>
    <row r="5347" spans="1:28" x14ac:dyDescent="0.25">
      <c r="A5347" t="s">
        <v>5351</v>
      </c>
      <c r="B5347">
        <v>0.99193492352474899</v>
      </c>
      <c r="C5347">
        <v>0.57907637222326103</v>
      </c>
      <c r="D5347">
        <v>0.86783851817754298</v>
      </c>
      <c r="E5347">
        <v>0.46605438596618498</v>
      </c>
      <c r="F5347">
        <v>0.44296847869795802</v>
      </c>
      <c r="G5347">
        <v>0.24294002904286499</v>
      </c>
      <c r="H5347">
        <v>0.21247388592979699</v>
      </c>
      <c r="I5347">
        <v>0.20783096074525501</v>
      </c>
      <c r="J5347">
        <v>0.23898024386021699</v>
      </c>
      <c r="K5347">
        <v>0.25476640714884902</v>
      </c>
      <c r="L5347">
        <v>494.68133942816502</v>
      </c>
      <c r="M5347">
        <v>10.3151315565679</v>
      </c>
      <c r="N5347">
        <v>49.996404749787501</v>
      </c>
      <c r="O5347">
        <v>46.2593939311298</v>
      </c>
      <c r="P5347">
        <v>-4.6192406844634798E-2</v>
      </c>
      <c r="Q5347">
        <v>0.17173710259497199</v>
      </c>
      <c r="R5347">
        <v>0.84366235980133097</v>
      </c>
      <c r="S5347" t="s">
        <v>12017</v>
      </c>
      <c r="T5347" t="s">
        <v>13338</v>
      </c>
      <c r="U5347" t="s">
        <v>13338</v>
      </c>
      <c r="V5347" t="s">
        <v>13338</v>
      </c>
      <c r="W5347" t="s">
        <v>18628</v>
      </c>
      <c r="X5347">
        <v>4</v>
      </c>
      <c r="Y5347" t="s">
        <v>25124</v>
      </c>
      <c r="Z5347" t="s">
        <v>31762</v>
      </c>
      <c r="AA5347">
        <v>0.43334137561542302</v>
      </c>
      <c r="AB5347" t="str">
        <f>HYPERLINK("Melting_Curves/meltCurve_Q9BRT3_MIEN1.pdf", "Melting_Curves/meltCurve_Q9BRT3_MIEN1.pdf")</f>
        <v>Melting_Curves/meltCurve_Q9BRT3_MIEN1.pdf</v>
      </c>
    </row>
    <row r="5348" spans="1:28" x14ac:dyDescent="0.25">
      <c r="A5348" t="s">
        <v>5352</v>
      </c>
      <c r="B5348">
        <v>0.99193492352474899</v>
      </c>
      <c r="C5348">
        <v>0.89193891493782496</v>
      </c>
      <c r="D5348">
        <v>0.93604964926956702</v>
      </c>
      <c r="E5348">
        <v>0.85380534764715998</v>
      </c>
      <c r="F5348">
        <v>0.29769995751077799</v>
      </c>
      <c r="G5348">
        <v>0.16121682621531999</v>
      </c>
      <c r="H5348">
        <v>0.115972058007137</v>
      </c>
      <c r="I5348">
        <v>0.14063068029672399</v>
      </c>
      <c r="J5348">
        <v>0.171913914945903</v>
      </c>
      <c r="K5348">
        <v>0.190109993991918</v>
      </c>
      <c r="L5348">
        <v>2268.2502496071702</v>
      </c>
      <c r="M5348">
        <v>44.203380812614597</v>
      </c>
      <c r="N5348">
        <v>51.742383106830196</v>
      </c>
      <c r="O5348">
        <v>51.2092715492671</v>
      </c>
      <c r="P5348">
        <v>-0.18272535317198799</v>
      </c>
      <c r="Q5348">
        <v>0.15325772511182401</v>
      </c>
      <c r="R5348">
        <v>0.98617421587290899</v>
      </c>
      <c r="S5348" t="s">
        <v>12018</v>
      </c>
      <c r="T5348" t="s">
        <v>13338</v>
      </c>
      <c r="U5348" t="s">
        <v>13338</v>
      </c>
      <c r="V5348" t="s">
        <v>13338</v>
      </c>
      <c r="W5348" t="s">
        <v>18629</v>
      </c>
      <c r="X5348">
        <v>9</v>
      </c>
      <c r="Y5348" t="s">
        <v>25125</v>
      </c>
      <c r="Z5348" t="s">
        <v>31763</v>
      </c>
      <c r="AA5348">
        <v>0.47504683173381862</v>
      </c>
      <c r="AB5348" t="str">
        <f>HYPERLINK("Melting_Curves/meltCurve_Q9BRT9_GINS4.pdf", "Melting_Curves/meltCurve_Q9BRT9_GINS4.pdf")</f>
        <v>Melting_Curves/meltCurve_Q9BRT9_GINS4.pdf</v>
      </c>
    </row>
    <row r="5349" spans="1:28" x14ac:dyDescent="0.25">
      <c r="A5349" t="s">
        <v>5353</v>
      </c>
      <c r="B5349">
        <v>0.99193492352474899</v>
      </c>
      <c r="C5349">
        <v>0.62798218583252496</v>
      </c>
      <c r="D5349">
        <v>0.71918737940621102</v>
      </c>
      <c r="E5349">
        <v>0.45597558799563698</v>
      </c>
      <c r="F5349">
        <v>0.39677592646742699</v>
      </c>
      <c r="G5349">
        <v>0.18435307635935999</v>
      </c>
      <c r="H5349">
        <v>0.122928021954348</v>
      </c>
      <c r="I5349">
        <v>0.161918342101454</v>
      </c>
      <c r="J5349">
        <v>0.234475888280677</v>
      </c>
      <c r="K5349">
        <v>0.27974489404904401</v>
      </c>
      <c r="L5349">
        <v>554.70400506534997</v>
      </c>
      <c r="M5349">
        <v>11.8434919041546</v>
      </c>
      <c r="N5349">
        <v>48.527694855574602</v>
      </c>
      <c r="O5349">
        <v>45.560765481825001</v>
      </c>
      <c r="P5349">
        <v>-5.4011004587287699E-2</v>
      </c>
      <c r="Q5349">
        <v>0.169110348581053</v>
      </c>
      <c r="R5349">
        <v>0.89730374416961201</v>
      </c>
      <c r="S5349" t="s">
        <v>12019</v>
      </c>
      <c r="T5349" t="s">
        <v>13338</v>
      </c>
      <c r="U5349" t="s">
        <v>13338</v>
      </c>
      <c r="V5349" t="s">
        <v>13338</v>
      </c>
      <c r="W5349" t="s">
        <v>18630</v>
      </c>
      <c r="X5349">
        <v>4</v>
      </c>
      <c r="Y5349" t="s">
        <v>25126</v>
      </c>
      <c r="Z5349" t="s">
        <v>31764</v>
      </c>
      <c r="AA5349">
        <v>0.39462463424042832</v>
      </c>
      <c r="AB5349" t="str">
        <f>HYPERLINK("Melting_Curves/meltCurve_Q9BRV8_SIKE1.pdf", "Melting_Curves/meltCurve_Q9BRV8_SIKE1.pdf")</f>
        <v>Melting_Curves/meltCurve_Q9BRV8_SIKE1.pdf</v>
      </c>
    </row>
    <row r="5350" spans="1:28" x14ac:dyDescent="0.25">
      <c r="A5350" t="s">
        <v>5354</v>
      </c>
      <c r="B5350">
        <v>0.99193492352474899</v>
      </c>
      <c r="C5350">
        <v>0.71709214745666905</v>
      </c>
      <c r="D5350">
        <v>0.54036966970084999</v>
      </c>
      <c r="E5350">
        <v>0.16905676365876601</v>
      </c>
      <c r="F5350">
        <v>0.122230634540785</v>
      </c>
      <c r="G5350">
        <v>6.2650298098608406E-2</v>
      </c>
      <c r="H5350">
        <v>5.1294779428171497E-2</v>
      </c>
      <c r="I5350">
        <v>6.0600332708788299E-2</v>
      </c>
      <c r="J5350">
        <v>6.9387591024286294E-2</v>
      </c>
      <c r="K5350">
        <v>7.4737692458574201E-2</v>
      </c>
      <c r="L5350">
        <v>895.69961079985205</v>
      </c>
      <c r="M5350">
        <v>19.670450797525799</v>
      </c>
      <c r="N5350">
        <v>45.815363749812597</v>
      </c>
      <c r="O5350">
        <v>45.072501896330103</v>
      </c>
      <c r="P5350">
        <v>-0.10292690307968599</v>
      </c>
      <c r="Q5350">
        <v>5.6653705342135298E-2</v>
      </c>
      <c r="R5350">
        <v>0.98727846230912697</v>
      </c>
      <c r="S5350" t="s">
        <v>12020</v>
      </c>
      <c r="T5350" t="s">
        <v>13338</v>
      </c>
      <c r="U5350" t="s">
        <v>13338</v>
      </c>
      <c r="V5350" t="s">
        <v>13338</v>
      </c>
      <c r="W5350" t="s">
        <v>18631</v>
      </c>
      <c r="X5350">
        <v>11</v>
      </c>
      <c r="Y5350" t="s">
        <v>25127</v>
      </c>
      <c r="Z5350" t="s">
        <v>31765</v>
      </c>
      <c r="AA5350">
        <v>0.24643488187013271</v>
      </c>
      <c r="AB5350" t="str">
        <f>HYPERLINK("Melting_Curves/meltCurve_Q9BRX2_PELO.pdf", "Melting_Curves/meltCurve_Q9BRX2_PELO.pdf")</f>
        <v>Melting_Curves/meltCurve_Q9BRX2_PELO.pdf</v>
      </c>
    </row>
    <row r="5351" spans="1:28" x14ac:dyDescent="0.25">
      <c r="A5351" t="s">
        <v>5355</v>
      </c>
      <c r="B5351">
        <v>0.99193492352474899</v>
      </c>
      <c r="C5351">
        <v>0.93614653860456198</v>
      </c>
      <c r="D5351">
        <v>0.87157967402466696</v>
      </c>
      <c r="E5351">
        <v>0.69893674069479494</v>
      </c>
      <c r="F5351">
        <v>0.26742164166225102</v>
      </c>
      <c r="G5351">
        <v>0.13376517847872499</v>
      </c>
      <c r="H5351">
        <v>0.115807302828815</v>
      </c>
      <c r="I5351">
        <v>0.18726091828355099</v>
      </c>
      <c r="J5351">
        <v>0.24846511363920201</v>
      </c>
      <c r="K5351">
        <v>0.35264069995847003</v>
      </c>
      <c r="L5351">
        <v>1792.62144097691</v>
      </c>
      <c r="M5351">
        <v>35.800219464873599</v>
      </c>
      <c r="N5351">
        <v>50.811977104773703</v>
      </c>
      <c r="O5351">
        <v>49.9174500983274</v>
      </c>
      <c r="P5351">
        <v>-0.14290906566966999</v>
      </c>
      <c r="Q5351">
        <v>0.20295090329723101</v>
      </c>
      <c r="R5351">
        <v>0.95233802095111597</v>
      </c>
      <c r="S5351" t="s">
        <v>12021</v>
      </c>
      <c r="T5351" t="s">
        <v>13338</v>
      </c>
      <c r="U5351" t="s">
        <v>13338</v>
      </c>
      <c r="V5351" t="s">
        <v>13338</v>
      </c>
      <c r="W5351" t="s">
        <v>18632</v>
      </c>
      <c r="X5351">
        <v>9</v>
      </c>
      <c r="Y5351" t="s">
        <v>25128</v>
      </c>
      <c r="Z5351" t="s">
        <v>31766</v>
      </c>
      <c r="AA5351">
        <v>0.47402365177496403</v>
      </c>
      <c r="AB5351" t="str">
        <f>HYPERLINK("Melting_Curves/meltCurve_Q9BRX5_GINS3.pdf", "Melting_Curves/meltCurve_Q9BRX5_GINS3.pdf")</f>
        <v>Melting_Curves/meltCurve_Q9BRX5_GINS3.pdf</v>
      </c>
    </row>
    <row r="5352" spans="1:28" x14ac:dyDescent="0.25">
      <c r="A5352" t="s">
        <v>5356</v>
      </c>
      <c r="B5352">
        <v>0.99193492352474899</v>
      </c>
      <c r="C5352">
        <v>0.96472522468659505</v>
      </c>
      <c r="D5352">
        <v>0.91500748220698402</v>
      </c>
      <c r="E5352">
        <v>0.82461039590769702</v>
      </c>
      <c r="F5352">
        <v>0.621726829804498</v>
      </c>
      <c r="G5352">
        <v>0.36139700990432899</v>
      </c>
      <c r="H5352">
        <v>0.14958717790033599</v>
      </c>
      <c r="I5352">
        <v>0.159890363161456</v>
      </c>
      <c r="J5352">
        <v>0.128785702750249</v>
      </c>
      <c r="K5352">
        <v>0.15126912588769101</v>
      </c>
      <c r="L5352">
        <v>947.27346360925605</v>
      </c>
      <c r="M5352">
        <v>17.622530391787901</v>
      </c>
      <c r="N5352">
        <v>54.472779697769099</v>
      </c>
      <c r="O5352">
        <v>53.075684957122498</v>
      </c>
      <c r="P5352">
        <v>-7.4394526185107099E-2</v>
      </c>
      <c r="Q5352">
        <v>0.103799734395792</v>
      </c>
      <c r="R5352">
        <v>0.99390148773610898</v>
      </c>
      <c r="S5352" t="s">
        <v>12022</v>
      </c>
      <c r="T5352" t="s">
        <v>13338</v>
      </c>
      <c r="U5352" t="s">
        <v>13338</v>
      </c>
      <c r="V5352" t="s">
        <v>13338</v>
      </c>
      <c r="W5352" t="s">
        <v>18633</v>
      </c>
      <c r="X5352">
        <v>9</v>
      </c>
      <c r="Y5352" t="s">
        <v>25129</v>
      </c>
      <c r="Z5352" t="s">
        <v>31767</v>
      </c>
      <c r="AA5352">
        <v>0.52956372318329092</v>
      </c>
      <c r="AB5352" t="str">
        <f>HYPERLINK("Melting_Curves/meltCurve_Q9BRX8_2_FAM213A.pdf", "Melting_Curves/meltCurve_Q9BRX8_2_FAM213A.pdf")</f>
        <v>Melting_Curves/meltCurve_Q9BRX8_2_FAM213A.pdf</v>
      </c>
    </row>
    <row r="5353" spans="1:28" x14ac:dyDescent="0.25">
      <c r="A5353" t="s">
        <v>5357</v>
      </c>
      <c r="B5353">
        <v>0.99193492352474899</v>
      </c>
      <c r="C5353">
        <v>0.89267365849535796</v>
      </c>
      <c r="D5353">
        <v>0.65868606318624601</v>
      </c>
      <c r="E5353">
        <v>0.44492458700930998</v>
      </c>
      <c r="F5353">
        <v>0.28738048206521699</v>
      </c>
      <c r="G5353">
        <v>0.23321298628565401</v>
      </c>
      <c r="H5353">
        <v>0.204183132787147</v>
      </c>
      <c r="I5353">
        <v>0.10827318617797201</v>
      </c>
      <c r="J5353">
        <v>0.12512717327396</v>
      </c>
      <c r="K5353">
        <v>7.4835383110152406E-2</v>
      </c>
      <c r="L5353">
        <v>683.62872468007902</v>
      </c>
      <c r="M5353">
        <v>14.229651255268299</v>
      </c>
      <c r="N5353">
        <v>48.888971796846803</v>
      </c>
      <c r="O5353">
        <v>47.123587607530702</v>
      </c>
      <c r="P5353">
        <v>-6.7257580955286E-2</v>
      </c>
      <c r="Q5353">
        <v>0.109177010393913</v>
      </c>
      <c r="R5353">
        <v>0.98984195831437505</v>
      </c>
      <c r="S5353" t="s">
        <v>12023</v>
      </c>
      <c r="T5353" t="s">
        <v>13338</v>
      </c>
      <c r="U5353" t="s">
        <v>13338</v>
      </c>
      <c r="V5353" t="s">
        <v>13338</v>
      </c>
      <c r="W5353" t="s">
        <v>18634</v>
      </c>
      <c r="X5353">
        <v>2</v>
      </c>
      <c r="Y5353" t="s">
        <v>25130</v>
      </c>
      <c r="Z5353" t="s">
        <v>31768</v>
      </c>
      <c r="AA5353">
        <v>0.37335403446702747</v>
      </c>
      <c r="AB5353" t="str">
        <f>HYPERLINK("Melting_Curves/meltCurve_Q9BRX9_WDR83.pdf", "Melting_Curves/meltCurve_Q9BRX9_WDR83.pdf")</f>
        <v>Melting_Curves/meltCurve_Q9BRX9_WDR83.pdf</v>
      </c>
    </row>
    <row r="5354" spans="1:28" x14ac:dyDescent="0.25">
      <c r="A5354" t="s">
        <v>5358</v>
      </c>
      <c r="B5354">
        <v>0.99193492352474899</v>
      </c>
      <c r="C5354">
        <v>0.524614844695796</v>
      </c>
      <c r="D5354">
        <v>0.80108816330292598</v>
      </c>
      <c r="E5354">
        <v>0.29650009745289801</v>
      </c>
      <c r="F5354">
        <v>0.159825457595374</v>
      </c>
      <c r="G5354">
        <v>5.25703386933183E-2</v>
      </c>
      <c r="H5354">
        <v>3.3437839149552097E-2</v>
      </c>
      <c r="I5354">
        <v>3.2456969233505398E-2</v>
      </c>
      <c r="J5354">
        <v>5.01805702196833E-2</v>
      </c>
      <c r="K5354">
        <v>0</v>
      </c>
      <c r="L5354">
        <v>608.32513995117699</v>
      </c>
      <c r="M5354">
        <v>12.9209490165787</v>
      </c>
      <c r="N5354">
        <v>47.0805354040412</v>
      </c>
      <c r="O5354">
        <v>45.9955953220528</v>
      </c>
      <c r="P5354">
        <v>-7.0241986283656799E-2</v>
      </c>
      <c r="Q5354">
        <v>0</v>
      </c>
      <c r="R5354">
        <v>0.88850918341771901</v>
      </c>
      <c r="S5354" t="s">
        <v>12024</v>
      </c>
      <c r="T5354" t="s">
        <v>13338</v>
      </c>
      <c r="U5354" t="s">
        <v>13338</v>
      </c>
      <c r="V5354" t="s">
        <v>13338</v>
      </c>
      <c r="W5354" t="s">
        <v>18635</v>
      </c>
      <c r="X5354">
        <v>6</v>
      </c>
      <c r="Y5354" t="s">
        <v>25131</v>
      </c>
      <c r="Z5354" t="s">
        <v>31769</v>
      </c>
      <c r="AA5354">
        <v>0.27236421404094752</v>
      </c>
      <c r="AB5354" t="str">
        <f>HYPERLINK("Melting_Curves/meltCurve_Q9BRZ2_TRIM56.pdf", "Melting_Curves/meltCurve_Q9BRZ2_TRIM56.pdf")</f>
        <v>Melting_Curves/meltCurve_Q9BRZ2_TRIM56.pdf</v>
      </c>
    </row>
    <row r="5355" spans="1:28" x14ac:dyDescent="0.25">
      <c r="A5355" t="s">
        <v>5359</v>
      </c>
      <c r="B5355">
        <v>0.99193492352474899</v>
      </c>
      <c r="C5355">
        <v>0.82096257010315599</v>
      </c>
      <c r="D5355">
        <v>0.86445164622922899</v>
      </c>
      <c r="E5355">
        <v>0.79425273250816097</v>
      </c>
      <c r="F5355">
        <v>0.47013063428109297</v>
      </c>
      <c r="G5355">
        <v>0.23553782580208801</v>
      </c>
      <c r="H5355">
        <v>0.142842132295318</v>
      </c>
      <c r="I5355">
        <v>0.14088996047549299</v>
      </c>
      <c r="J5355">
        <v>0.134591734899183</v>
      </c>
      <c r="K5355">
        <v>0.14786566994709799</v>
      </c>
      <c r="L5355">
        <v>871.80791201760098</v>
      </c>
      <c r="M5355">
        <v>16.7717118961117</v>
      </c>
      <c r="N5355">
        <v>52.700545827513899</v>
      </c>
      <c r="O5355">
        <v>51.258731072861799</v>
      </c>
      <c r="P5355">
        <v>-7.3431887662911005E-2</v>
      </c>
      <c r="Q5355">
        <v>0.102350412688113</v>
      </c>
      <c r="R5355">
        <v>0.96952136634085695</v>
      </c>
      <c r="S5355" t="s">
        <v>12025</v>
      </c>
      <c r="T5355" t="s">
        <v>13338</v>
      </c>
      <c r="U5355" t="s">
        <v>13338</v>
      </c>
      <c r="V5355" t="s">
        <v>13338</v>
      </c>
      <c r="W5355" t="s">
        <v>18636</v>
      </c>
      <c r="X5355">
        <v>16</v>
      </c>
      <c r="Y5355" t="s">
        <v>25132</v>
      </c>
      <c r="Z5355" t="s">
        <v>31770</v>
      </c>
      <c r="AA5355">
        <v>0.47765755963117529</v>
      </c>
      <c r="AB5355" t="str">
        <f>HYPERLINK("Melting_Curves/meltCurve_Q9BS26_ERP44.pdf", "Melting_Curves/meltCurve_Q9BS26_ERP44.pdf")</f>
        <v>Melting_Curves/meltCurve_Q9BS26_ERP44.pdf</v>
      </c>
    </row>
    <row r="5356" spans="1:28" x14ac:dyDescent="0.25">
      <c r="A5356" t="s">
        <v>5360</v>
      </c>
      <c r="B5356">
        <v>0.99193492352474899</v>
      </c>
      <c r="C5356">
        <v>0.71831412265484895</v>
      </c>
      <c r="D5356">
        <v>0.68768858472951999</v>
      </c>
      <c r="E5356">
        <v>0.371410405889461</v>
      </c>
      <c r="F5356">
        <v>0.38398685581403902</v>
      </c>
      <c r="G5356">
        <v>0.238491982837226</v>
      </c>
      <c r="H5356">
        <v>0.21150529597921</v>
      </c>
      <c r="I5356">
        <v>0.300931262056648</v>
      </c>
      <c r="J5356">
        <v>0.40046992532620701</v>
      </c>
      <c r="K5356">
        <v>0.32469414554188403</v>
      </c>
      <c r="L5356">
        <v>799.047530753209</v>
      </c>
      <c r="M5356">
        <v>17.626328946019601</v>
      </c>
      <c r="N5356">
        <v>47.733213679888898</v>
      </c>
      <c r="O5356">
        <v>44.761191444393198</v>
      </c>
      <c r="P5356">
        <v>-6.9512549411753E-2</v>
      </c>
      <c r="Q5356">
        <v>0.29394310169587801</v>
      </c>
      <c r="R5356">
        <v>0.91572136207988597</v>
      </c>
      <c r="S5356" t="s">
        <v>12026</v>
      </c>
      <c r="T5356" t="s">
        <v>13338</v>
      </c>
      <c r="U5356" t="s">
        <v>13338</v>
      </c>
      <c r="V5356" t="s">
        <v>13338</v>
      </c>
      <c r="W5356" t="s">
        <v>18637</v>
      </c>
      <c r="X5356">
        <v>4</v>
      </c>
      <c r="Y5356" t="s">
        <v>25133</v>
      </c>
      <c r="Z5356" t="s">
        <v>31771</v>
      </c>
      <c r="AA5356">
        <v>0.43485862383766238</v>
      </c>
      <c r="AB5356" t="str">
        <f>HYPERLINK("Melting_Curves/meltCurve_Q9BSB4_ATG101.pdf", "Melting_Curves/meltCurve_Q9BSB4_ATG101.pdf")</f>
        <v>Melting_Curves/meltCurve_Q9BSB4_ATG101.pdf</v>
      </c>
    </row>
    <row r="5357" spans="1:28" x14ac:dyDescent="0.25">
      <c r="A5357" t="s">
        <v>5361</v>
      </c>
      <c r="B5357">
        <v>0.99193492352474899</v>
      </c>
      <c r="C5357">
        <v>0.80265330114588895</v>
      </c>
      <c r="D5357">
        <v>0.89653058109387895</v>
      </c>
      <c r="E5357">
        <v>0.62008642597151697</v>
      </c>
      <c r="F5357">
        <v>0.371849533731751</v>
      </c>
      <c r="G5357">
        <v>0.119454313701527</v>
      </c>
      <c r="H5357">
        <v>5.7235188223406799E-2</v>
      </c>
      <c r="I5357">
        <v>6.8545118519084902E-2</v>
      </c>
      <c r="J5357">
        <v>8.8299087310832705E-2</v>
      </c>
      <c r="K5357">
        <v>8.9291127329449396E-2</v>
      </c>
      <c r="L5357">
        <v>859.36444965171995</v>
      </c>
      <c r="M5357">
        <v>16.9580117885207</v>
      </c>
      <c r="N5357">
        <v>50.955155438451499</v>
      </c>
      <c r="O5357">
        <v>49.987055136468797</v>
      </c>
      <c r="P5357">
        <v>-8.1055052793874899E-2</v>
      </c>
      <c r="Q5357">
        <v>4.4357177521994702E-2</v>
      </c>
      <c r="R5357">
        <v>0.97398023327360495</v>
      </c>
      <c r="S5357" t="s">
        <v>12027</v>
      </c>
      <c r="T5357" t="s">
        <v>13338</v>
      </c>
      <c r="U5357" t="s">
        <v>13338</v>
      </c>
      <c r="V5357" t="s">
        <v>13338</v>
      </c>
      <c r="W5357" t="s">
        <v>18638</v>
      </c>
      <c r="X5357">
        <v>9</v>
      </c>
      <c r="Y5357" t="s">
        <v>25134</v>
      </c>
      <c r="Z5357" t="s">
        <v>31772</v>
      </c>
      <c r="AA5357">
        <v>0.40244832303222022</v>
      </c>
      <c r="AB5357" t="str">
        <f>HYPERLINK("Melting_Curves/meltCurve_Q9BSD7_NTPCR.pdf", "Melting_Curves/meltCurve_Q9BSD7_NTPCR.pdf")</f>
        <v>Melting_Curves/meltCurve_Q9BSD7_NTPCR.pdf</v>
      </c>
    </row>
    <row r="5358" spans="1:28" x14ac:dyDescent="0.25">
      <c r="A5358" t="s">
        <v>5362</v>
      </c>
      <c r="B5358">
        <v>0.99193492352474899</v>
      </c>
      <c r="C5358">
        <v>0.72029156871987698</v>
      </c>
      <c r="D5358">
        <v>0.94381090655422095</v>
      </c>
      <c r="E5358">
        <v>0.63401475310512201</v>
      </c>
      <c r="F5358">
        <v>0.43662899545963801</v>
      </c>
      <c r="G5358">
        <v>0.15599889370881501</v>
      </c>
      <c r="H5358">
        <v>9.7146924846887403E-2</v>
      </c>
      <c r="I5358">
        <v>4.99868913566925E-2</v>
      </c>
      <c r="J5358">
        <v>8.8021994415915905E-2</v>
      </c>
      <c r="K5358">
        <v>6.9541065416140593E-2</v>
      </c>
      <c r="L5358">
        <v>729.71699589768298</v>
      </c>
      <c r="M5358">
        <v>14.1965427178545</v>
      </c>
      <c r="N5358">
        <v>51.537774280942301</v>
      </c>
      <c r="O5358">
        <v>50.413402770221197</v>
      </c>
      <c r="P5358">
        <v>-6.9108123062849303E-2</v>
      </c>
      <c r="Q5358">
        <v>1.84826832441616E-2</v>
      </c>
      <c r="R5358">
        <v>0.94585614110935701</v>
      </c>
      <c r="S5358" t="s">
        <v>12028</v>
      </c>
      <c r="T5358" t="s">
        <v>13338</v>
      </c>
      <c r="U5358" t="s">
        <v>13338</v>
      </c>
      <c r="V5358" t="s">
        <v>13338</v>
      </c>
      <c r="W5358" t="s">
        <v>18639</v>
      </c>
      <c r="X5358">
        <v>1</v>
      </c>
      <c r="Y5358" t="s">
        <v>25135</v>
      </c>
      <c r="Z5358" t="s">
        <v>31773</v>
      </c>
      <c r="AA5358">
        <v>0.41591311802565589</v>
      </c>
      <c r="AB5358" t="str">
        <f>HYPERLINK("Melting_Curves/meltCurve_Q9BSE4_HERPUD2.pdf", "Melting_Curves/meltCurve_Q9BSE4_HERPUD2.pdf")</f>
        <v>Melting_Curves/meltCurve_Q9BSE4_HERPUD2.pdf</v>
      </c>
    </row>
    <row r="5359" spans="1:28" x14ac:dyDescent="0.25">
      <c r="A5359" t="s">
        <v>5363</v>
      </c>
      <c r="B5359">
        <v>0.99193492352474899</v>
      </c>
      <c r="C5359">
        <v>0.95741037044435995</v>
      </c>
      <c r="D5359">
        <v>0.93148064620812698</v>
      </c>
      <c r="E5359">
        <v>0.794094587701904</v>
      </c>
      <c r="F5359">
        <v>0.57783085495065201</v>
      </c>
      <c r="G5359">
        <v>0.34601384558756498</v>
      </c>
      <c r="H5359">
        <v>0.23628576195315301</v>
      </c>
      <c r="I5359">
        <v>0.30732823907623502</v>
      </c>
      <c r="J5359">
        <v>0.35615880986994097</v>
      </c>
      <c r="K5359">
        <v>0.37807736339883302</v>
      </c>
      <c r="L5359">
        <v>1207.14474736992</v>
      </c>
      <c r="M5359">
        <v>23.417726032903499</v>
      </c>
      <c r="N5359">
        <v>53.775983022046702</v>
      </c>
      <c r="O5359">
        <v>51.1768452082705</v>
      </c>
      <c r="P5359">
        <v>-7.8880712825005098E-2</v>
      </c>
      <c r="Q5359">
        <v>0.31047181408619101</v>
      </c>
      <c r="R5359">
        <v>0.97505118403818303</v>
      </c>
      <c r="S5359" t="s">
        <v>12029</v>
      </c>
      <c r="T5359" t="s">
        <v>13338</v>
      </c>
      <c r="U5359" t="s">
        <v>13338</v>
      </c>
      <c r="V5359" t="s">
        <v>13338</v>
      </c>
      <c r="W5359" t="s">
        <v>18640</v>
      </c>
      <c r="X5359">
        <v>4</v>
      </c>
      <c r="Y5359" t="s">
        <v>25136</v>
      </c>
      <c r="Z5359" t="s">
        <v>31774</v>
      </c>
      <c r="AA5359">
        <v>0.58301117773165467</v>
      </c>
      <c r="AB5359" t="str">
        <f>HYPERLINK("Melting_Curves/meltCurve_Q9BSF4_C19orf52.pdf", "Melting_Curves/meltCurve_Q9BSF4_C19orf52.pdf")</f>
        <v>Melting_Curves/meltCurve_Q9BSF4_C19orf52.pdf</v>
      </c>
    </row>
    <row r="5360" spans="1:28" x14ac:dyDescent="0.25">
      <c r="A5360" t="s">
        <v>5364</v>
      </c>
      <c r="B5360">
        <v>0.99193492352474899</v>
      </c>
      <c r="C5360">
        <v>0.78235774006557401</v>
      </c>
      <c r="D5360">
        <v>0.86497344407648002</v>
      </c>
      <c r="E5360">
        <v>0.285857954444102</v>
      </c>
      <c r="F5360">
        <v>0.180760013499082</v>
      </c>
      <c r="G5360">
        <v>0.122015417149085</v>
      </c>
      <c r="H5360">
        <v>7.8992793531727307E-2</v>
      </c>
      <c r="I5360">
        <v>8.8098898187366007E-2</v>
      </c>
      <c r="J5360">
        <v>0.12383024328683399</v>
      </c>
      <c r="K5360">
        <v>9.32146733584307E-2</v>
      </c>
      <c r="L5360">
        <v>1441.4131947988501</v>
      </c>
      <c r="M5360">
        <v>30.125911665695298</v>
      </c>
      <c r="N5360">
        <v>48.210276906696798</v>
      </c>
      <c r="O5360">
        <v>47.636950167668701</v>
      </c>
      <c r="P5360">
        <v>-0.14202064163875899</v>
      </c>
      <c r="Q5360">
        <v>0.10171850673978899</v>
      </c>
      <c r="R5360">
        <v>0.96145352182721899</v>
      </c>
      <c r="S5360" t="s">
        <v>12030</v>
      </c>
      <c r="T5360" t="s">
        <v>13338</v>
      </c>
      <c r="U5360" t="s">
        <v>13338</v>
      </c>
      <c r="V5360" t="s">
        <v>13338</v>
      </c>
      <c r="W5360" t="s">
        <v>18641</v>
      </c>
      <c r="X5360">
        <v>7</v>
      </c>
      <c r="Y5360" t="s">
        <v>25137</v>
      </c>
      <c r="Z5360" t="s">
        <v>31775</v>
      </c>
      <c r="AA5360">
        <v>0.34201027653336458</v>
      </c>
      <c r="AB5360" t="str">
        <f>HYPERLINK("Melting_Curves/meltCurve_Q9BSH4_TACO1.pdf", "Melting_Curves/meltCurve_Q9BSH4_TACO1.pdf")</f>
        <v>Melting_Curves/meltCurve_Q9BSH4_TACO1.pdf</v>
      </c>
    </row>
    <row r="5361" spans="1:28" x14ac:dyDescent="0.25">
      <c r="A5361" t="s">
        <v>5365</v>
      </c>
      <c r="B5361">
        <v>0.99193492352474899</v>
      </c>
      <c r="C5361">
        <v>1.09293914207233</v>
      </c>
      <c r="D5361">
        <v>1.0360432497743699</v>
      </c>
      <c r="E5361">
        <v>0.87199762896327304</v>
      </c>
      <c r="F5361">
        <v>0.83490809624933005</v>
      </c>
      <c r="G5361">
        <v>0.60407309921083696</v>
      </c>
      <c r="H5361">
        <v>0.27204902945416298</v>
      </c>
      <c r="I5361">
        <v>0.21287082614757299</v>
      </c>
      <c r="J5361">
        <v>0.19363367073978399</v>
      </c>
      <c r="K5361">
        <v>0.223789795437949</v>
      </c>
      <c r="L5361">
        <v>1255.8878967810199</v>
      </c>
      <c r="M5361">
        <v>22.227450234101099</v>
      </c>
      <c r="N5361">
        <v>57.607958362502899</v>
      </c>
      <c r="O5361">
        <v>56.050292784356998</v>
      </c>
      <c r="P5361">
        <v>-8.1919704669509194E-2</v>
      </c>
      <c r="Q5361">
        <v>0.17371988659735299</v>
      </c>
      <c r="R5361">
        <v>0.98070022271903601</v>
      </c>
      <c r="S5361" t="s">
        <v>12031</v>
      </c>
      <c r="T5361" t="s">
        <v>13338</v>
      </c>
      <c r="U5361" t="s">
        <v>13338</v>
      </c>
      <c r="V5361" t="s">
        <v>13338</v>
      </c>
      <c r="W5361" t="s">
        <v>18642</v>
      </c>
      <c r="X5361">
        <v>8</v>
      </c>
      <c r="Y5361" t="s">
        <v>25138</v>
      </c>
      <c r="Z5361" t="s">
        <v>31776</v>
      </c>
      <c r="AA5361">
        <v>0.63722760854722094</v>
      </c>
      <c r="AB5361" t="str">
        <f>HYPERLINK("Melting_Curves/meltCurve_Q9BSH5_HDHD3.pdf", "Melting_Curves/meltCurve_Q9BSH5_HDHD3.pdf")</f>
        <v>Melting_Curves/meltCurve_Q9BSH5_HDHD3.pdf</v>
      </c>
    </row>
    <row r="5362" spans="1:28" x14ac:dyDescent="0.25">
      <c r="A5362" t="s">
        <v>5366</v>
      </c>
      <c r="B5362">
        <v>0.99193492352474899</v>
      </c>
      <c r="C5362">
        <v>0.78857442510947395</v>
      </c>
      <c r="D5362">
        <v>0.85772962644280104</v>
      </c>
      <c r="E5362">
        <v>0.61113778345526504</v>
      </c>
      <c r="F5362">
        <v>0.37686728847067802</v>
      </c>
      <c r="G5362">
        <v>0.26384802511597799</v>
      </c>
      <c r="H5362">
        <v>0.22853553778406399</v>
      </c>
      <c r="I5362">
        <v>0.25905357625384301</v>
      </c>
      <c r="J5362">
        <v>0.31104020385547398</v>
      </c>
      <c r="K5362">
        <v>0.40555601839953698</v>
      </c>
      <c r="L5362">
        <v>871.16154584784999</v>
      </c>
      <c r="M5362">
        <v>17.956066915636399</v>
      </c>
      <c r="N5362">
        <v>50.827240343648498</v>
      </c>
      <c r="O5362">
        <v>47.926534437433403</v>
      </c>
      <c r="P5362">
        <v>-6.7536262474282904E-2</v>
      </c>
      <c r="Q5362">
        <v>0.27899182928233601</v>
      </c>
      <c r="R5362">
        <v>0.92525469368202296</v>
      </c>
      <c r="S5362" t="s">
        <v>12032</v>
      </c>
      <c r="T5362" t="s">
        <v>13338</v>
      </c>
      <c r="U5362" t="s">
        <v>13338</v>
      </c>
      <c r="V5362" t="s">
        <v>13338</v>
      </c>
      <c r="W5362" t="s">
        <v>18643</v>
      </c>
      <c r="X5362">
        <v>6</v>
      </c>
      <c r="Y5362" t="s">
        <v>25139</v>
      </c>
      <c r="Z5362" t="s">
        <v>31777</v>
      </c>
      <c r="AA5362">
        <v>0.49634836482051953</v>
      </c>
      <c r="AB5362" t="str">
        <f>HYPERLINK("Melting_Curves/meltCurve_Q9BSJ5_3_C17orf80.pdf", "Melting_Curves/meltCurve_Q9BSJ5_3_C17orf80.pdf")</f>
        <v>Melting_Curves/meltCurve_Q9BSJ5_3_C17orf80.pdf</v>
      </c>
    </row>
    <row r="5363" spans="1:28" x14ac:dyDescent="0.25">
      <c r="A5363" t="s">
        <v>5367</v>
      </c>
      <c r="B5363">
        <v>0.99193492352474899</v>
      </c>
      <c r="C5363">
        <v>0.99887945993156801</v>
      </c>
      <c r="D5363">
        <v>0.59602750531720505</v>
      </c>
      <c r="E5363">
        <v>0.23812758743279799</v>
      </c>
      <c r="F5363">
        <v>0.13105182946743299</v>
      </c>
      <c r="G5363">
        <v>7.5024565527454207E-2</v>
      </c>
      <c r="H5363">
        <v>4.3482910790479702E-2</v>
      </c>
      <c r="I5363">
        <v>5.7954995142507001E-2</v>
      </c>
      <c r="J5363">
        <v>7.9387029391289901E-2</v>
      </c>
      <c r="K5363">
        <v>5.8172989891152001E-2</v>
      </c>
      <c r="L5363">
        <v>1336.46687851207</v>
      </c>
      <c r="M5363">
        <v>28.6303483549754</v>
      </c>
      <c r="N5363">
        <v>46.927075985870097</v>
      </c>
      <c r="O5363">
        <v>46.454120898332299</v>
      </c>
      <c r="P5363">
        <v>-0.14330289453772499</v>
      </c>
      <c r="Q5363">
        <v>6.9943866312329406E-2</v>
      </c>
      <c r="R5363">
        <v>0.99358792440766497</v>
      </c>
      <c r="S5363" t="s">
        <v>12033</v>
      </c>
      <c r="T5363" t="s">
        <v>13338</v>
      </c>
      <c r="U5363" t="s">
        <v>13338</v>
      </c>
      <c r="V5363" t="s">
        <v>13338</v>
      </c>
      <c r="W5363" t="s">
        <v>18644</v>
      </c>
      <c r="X5363">
        <v>35</v>
      </c>
      <c r="Y5363" t="s">
        <v>25140</v>
      </c>
      <c r="Z5363" t="s">
        <v>31778</v>
      </c>
      <c r="AA5363">
        <v>0.28323252903857582</v>
      </c>
      <c r="AB5363" t="str">
        <f>HYPERLINK("Melting_Curves/meltCurve_Q9BSJ8_ESYT1.pdf", "Melting_Curves/meltCurve_Q9BSJ8_ESYT1.pdf")</f>
        <v>Melting_Curves/meltCurve_Q9BSJ8_ESYT1.pdf</v>
      </c>
    </row>
    <row r="5364" spans="1:28" x14ac:dyDescent="0.25">
      <c r="A5364" t="s">
        <v>5368</v>
      </c>
      <c r="B5364">
        <v>0.99193492352474899</v>
      </c>
      <c r="C5364">
        <v>1.0817615245735299</v>
      </c>
      <c r="D5364">
        <v>1.2864403333582499</v>
      </c>
      <c r="E5364">
        <v>1.1525804690489601</v>
      </c>
      <c r="F5364">
        <v>1.26457281757324</v>
      </c>
      <c r="G5364">
        <v>0.88319901788734601</v>
      </c>
      <c r="H5364">
        <v>0.46999082830753097</v>
      </c>
      <c r="I5364">
        <v>0.27870395808790699</v>
      </c>
      <c r="J5364">
        <v>0.22486892694948701</v>
      </c>
      <c r="K5364">
        <v>0.215822515453896</v>
      </c>
      <c r="L5364">
        <v>2489.99164333824</v>
      </c>
      <c r="M5364">
        <v>41.736264835139401</v>
      </c>
      <c r="N5364">
        <v>60.512894339135599</v>
      </c>
      <c r="O5364">
        <v>59.523662960334001</v>
      </c>
      <c r="P5364">
        <v>-0.13632164364649599</v>
      </c>
      <c r="Q5364">
        <v>0.22232138192421699</v>
      </c>
      <c r="R5364">
        <v>0.89371829416620996</v>
      </c>
      <c r="S5364" t="s">
        <v>12034</v>
      </c>
      <c r="T5364" t="s">
        <v>13338</v>
      </c>
      <c r="U5364" t="s">
        <v>13338</v>
      </c>
      <c r="V5364" t="s">
        <v>13338</v>
      </c>
      <c r="W5364" t="s">
        <v>18645</v>
      </c>
      <c r="X5364">
        <v>2</v>
      </c>
      <c r="Y5364" t="s">
        <v>25141</v>
      </c>
      <c r="Z5364" t="s">
        <v>31779</v>
      </c>
      <c r="AA5364">
        <v>0.73479465919017672</v>
      </c>
      <c r="AB5364" t="str">
        <f>HYPERLINK("Melting_Curves/meltCurve_Q9BSK2_SLC25A33.pdf", "Melting_Curves/meltCurve_Q9BSK2_SLC25A33.pdf")</f>
        <v>Melting_Curves/meltCurve_Q9BSK2_SLC25A33.pdf</v>
      </c>
    </row>
    <row r="5365" spans="1:28" x14ac:dyDescent="0.25">
      <c r="A5365" t="s">
        <v>5369</v>
      </c>
      <c r="B5365">
        <v>0.99193492352474899</v>
      </c>
      <c r="C5365">
        <v>0.85930018156410204</v>
      </c>
      <c r="D5365">
        <v>0.725964374946094</v>
      </c>
      <c r="E5365">
        <v>0.39226490509839002</v>
      </c>
      <c r="F5365">
        <v>0.216483706840016</v>
      </c>
      <c r="G5365">
        <v>0.124046364106789</v>
      </c>
      <c r="H5365">
        <v>7.6561184967484902E-2</v>
      </c>
      <c r="I5365">
        <v>0.10981977173197199</v>
      </c>
      <c r="J5365">
        <v>7.0915513934208502E-2</v>
      </c>
      <c r="K5365">
        <v>0.24201771336610101</v>
      </c>
      <c r="L5365">
        <v>934.58933269703596</v>
      </c>
      <c r="M5365">
        <v>19.6365044140348</v>
      </c>
      <c r="N5365">
        <v>48.235082597811299</v>
      </c>
      <c r="O5365">
        <v>47.1091428227408</v>
      </c>
      <c r="P5365">
        <v>-9.2250110366618399E-2</v>
      </c>
      <c r="Q5365">
        <v>0.114777254802578</v>
      </c>
      <c r="R5365">
        <v>0.97777918015165399</v>
      </c>
      <c r="S5365" t="s">
        <v>12035</v>
      </c>
      <c r="T5365" t="s">
        <v>13338</v>
      </c>
      <c r="U5365" t="s">
        <v>13338</v>
      </c>
      <c r="V5365" t="s">
        <v>13338</v>
      </c>
      <c r="W5365" t="s">
        <v>18646</v>
      </c>
      <c r="X5365">
        <v>2</v>
      </c>
      <c r="Y5365" t="s">
        <v>25142</v>
      </c>
      <c r="Z5365" t="s">
        <v>31780</v>
      </c>
      <c r="AA5365">
        <v>0.3520862643213068</v>
      </c>
      <c r="AB5365" t="str">
        <f>HYPERLINK("Melting_Curves/meltCurve_Q9BSL1_UBAC1.pdf", "Melting_Curves/meltCurve_Q9BSL1_UBAC1.pdf")</f>
        <v>Melting_Curves/meltCurve_Q9BSL1_UBAC1.pdf</v>
      </c>
    </row>
    <row r="5366" spans="1:28" x14ac:dyDescent="0.25">
      <c r="A5366" t="s">
        <v>5370</v>
      </c>
      <c r="B5366">
        <v>0.99193492352474899</v>
      </c>
      <c r="C5366">
        <v>1.08631439897828</v>
      </c>
      <c r="D5366">
        <v>0.78366328648977901</v>
      </c>
      <c r="E5366">
        <v>0.99384625765853996</v>
      </c>
      <c r="F5366">
        <v>0.52168698545958503</v>
      </c>
      <c r="G5366">
        <v>0.58720724611707198</v>
      </c>
      <c r="H5366">
        <v>0.39331284079942302</v>
      </c>
      <c r="I5366">
        <v>0.35423730067624298</v>
      </c>
      <c r="J5366">
        <v>0.25028426707356</v>
      </c>
      <c r="K5366">
        <v>0.120422382619762</v>
      </c>
      <c r="L5366">
        <v>524.74919565105097</v>
      </c>
      <c r="M5366">
        <v>9.0481655220433908</v>
      </c>
      <c r="N5366">
        <v>57.995071668027698</v>
      </c>
      <c r="O5366">
        <v>55.372594457077298</v>
      </c>
      <c r="P5366">
        <v>-4.0880345778152E-2</v>
      </c>
      <c r="Q5366">
        <v>0</v>
      </c>
      <c r="R5366">
        <v>0.90395881781704401</v>
      </c>
      <c r="S5366" t="s">
        <v>12036</v>
      </c>
      <c r="T5366" t="s">
        <v>13338</v>
      </c>
      <c r="U5366" t="s">
        <v>13338</v>
      </c>
      <c r="V5366" t="s">
        <v>13338</v>
      </c>
      <c r="W5366" t="s">
        <v>18647</v>
      </c>
      <c r="X5366">
        <v>3</v>
      </c>
      <c r="Y5366" t="s">
        <v>25143</v>
      </c>
      <c r="Z5366" t="s">
        <v>31781</v>
      </c>
      <c r="AA5366">
        <v>0.60733855072551779</v>
      </c>
      <c r="AB5366" t="str">
        <f>HYPERLINK("Melting_Curves/meltCurve_Q9BSR8_YIPF4.pdf", "Melting_Curves/meltCurve_Q9BSR8_YIPF4.pdf")</f>
        <v>Melting_Curves/meltCurve_Q9BSR8_YIPF4.pdf</v>
      </c>
    </row>
    <row r="5367" spans="1:28" x14ac:dyDescent="0.25">
      <c r="A5367" t="s">
        <v>5371</v>
      </c>
      <c r="B5367">
        <v>0.99193492352474899</v>
      </c>
      <c r="C5367">
        <v>1.28857588020731</v>
      </c>
      <c r="D5367">
        <v>1.0572464201060801</v>
      </c>
      <c r="E5367">
        <v>0.57032192191454001</v>
      </c>
      <c r="F5367">
        <v>0.38239511488470601</v>
      </c>
      <c r="G5367">
        <v>0.112622322496003</v>
      </c>
      <c r="H5367">
        <v>5.5087686464268197E-2</v>
      </c>
      <c r="I5367">
        <v>4.8770991667194501E-2</v>
      </c>
      <c r="J5367">
        <v>6.5995294591881706E-2</v>
      </c>
      <c r="K5367">
        <v>9.6686688387207606E-2</v>
      </c>
      <c r="L5367">
        <v>1311.07513001959</v>
      </c>
      <c r="M5367">
        <v>25.794632626989799</v>
      </c>
      <c r="N5367">
        <v>51.119704103540698</v>
      </c>
      <c r="O5367">
        <v>50.524923557966602</v>
      </c>
      <c r="P5367">
        <v>-0.118884440095264</v>
      </c>
      <c r="Q5367">
        <v>6.8557604175652306E-2</v>
      </c>
      <c r="R5367">
        <v>0.94089102839425398</v>
      </c>
      <c r="S5367" t="s">
        <v>12037</v>
      </c>
      <c r="T5367" t="s">
        <v>13338</v>
      </c>
      <c r="U5367" t="s">
        <v>13338</v>
      </c>
      <c r="V5367" t="s">
        <v>13338</v>
      </c>
      <c r="W5367" t="s">
        <v>18648</v>
      </c>
      <c r="X5367">
        <v>1</v>
      </c>
      <c r="Y5367" t="s">
        <v>25144</v>
      </c>
      <c r="Z5367" t="s">
        <v>31782</v>
      </c>
      <c r="AA5367">
        <v>0.41262333269389118</v>
      </c>
      <c r="AB5367" t="str">
        <f>HYPERLINK("Melting_Curves/meltCurve_Q9BSU1_C16orf70.pdf", "Melting_Curves/meltCurve_Q9BSU1_C16orf70.pdf")</f>
        <v>Melting_Curves/meltCurve_Q9BSU1_C16orf70.pdf</v>
      </c>
    </row>
    <row r="5368" spans="1:28" x14ac:dyDescent="0.25">
      <c r="A5368" t="s">
        <v>5372</v>
      </c>
      <c r="B5368">
        <v>0.99193492352474899</v>
      </c>
      <c r="C5368">
        <v>0.87382194388812295</v>
      </c>
      <c r="D5368">
        <v>0.74661139512602004</v>
      </c>
      <c r="E5368">
        <v>0.52757675592520603</v>
      </c>
      <c r="F5368">
        <v>0.25025939691163801</v>
      </c>
      <c r="G5368">
        <v>0.14128499370393899</v>
      </c>
      <c r="H5368">
        <v>0.101205600274828</v>
      </c>
      <c r="I5368">
        <v>8.6837894375787095E-2</v>
      </c>
      <c r="J5368">
        <v>0.102344447128644</v>
      </c>
      <c r="K5368">
        <v>8.1223401795731495E-2</v>
      </c>
      <c r="L5368">
        <v>774.97553520428403</v>
      </c>
      <c r="M5368">
        <v>15.8229792097054</v>
      </c>
      <c r="N5368">
        <v>49.427152870624901</v>
      </c>
      <c r="O5368">
        <v>48.215571050829901</v>
      </c>
      <c r="P5368">
        <v>-7.6553601605955299E-2</v>
      </c>
      <c r="Q5368">
        <v>6.6983989721993598E-2</v>
      </c>
      <c r="R5368">
        <v>0.99583641567710302</v>
      </c>
      <c r="S5368" t="s">
        <v>12038</v>
      </c>
      <c r="T5368" t="s">
        <v>13338</v>
      </c>
      <c r="U5368" t="s">
        <v>13338</v>
      </c>
      <c r="V5368" t="s">
        <v>13338</v>
      </c>
      <c r="W5368" t="s">
        <v>18649</v>
      </c>
      <c r="X5368">
        <v>5</v>
      </c>
      <c r="Y5368" t="s">
        <v>25145</v>
      </c>
      <c r="Z5368" t="s">
        <v>31783</v>
      </c>
      <c r="AA5368">
        <v>0.36701877267452238</v>
      </c>
      <c r="AB5368" t="str">
        <f>HYPERLINK("Melting_Curves/meltCurve_Q9BSV6_TSEN34.pdf", "Melting_Curves/meltCurve_Q9BSV6_TSEN34.pdf")</f>
        <v>Melting_Curves/meltCurve_Q9BSV6_TSEN34.pdf</v>
      </c>
    </row>
    <row r="5369" spans="1:28" x14ac:dyDescent="0.25">
      <c r="A5369" t="s">
        <v>5373</v>
      </c>
      <c r="B5369">
        <v>0.99193492352474899</v>
      </c>
      <c r="C5369">
        <v>0.89606930261819495</v>
      </c>
      <c r="D5369">
        <v>0.90865219762815697</v>
      </c>
      <c r="E5369">
        <v>0.54237131200007505</v>
      </c>
      <c r="F5369">
        <v>0.273742113177461</v>
      </c>
      <c r="G5369">
        <v>0.13224277147822</v>
      </c>
      <c r="H5369">
        <v>9.0237132528435404E-2</v>
      </c>
      <c r="I5369">
        <v>0.12754048515320801</v>
      </c>
      <c r="J5369">
        <v>0.16713687925904899</v>
      </c>
      <c r="K5369">
        <v>0.163809664946068</v>
      </c>
      <c r="L5369">
        <v>1237.42142685154</v>
      </c>
      <c r="M5369">
        <v>25.0231496647245</v>
      </c>
      <c r="N5369">
        <v>50.052426065186701</v>
      </c>
      <c r="O5369">
        <v>49.138487574739401</v>
      </c>
      <c r="P5369">
        <v>-0.110782862740678</v>
      </c>
      <c r="Q5369">
        <v>0.12982507377590899</v>
      </c>
      <c r="R5369">
        <v>0.98878500307476602</v>
      </c>
      <c r="S5369" t="s">
        <v>12039</v>
      </c>
      <c r="T5369" t="s">
        <v>13338</v>
      </c>
      <c r="U5369" t="s">
        <v>13338</v>
      </c>
      <c r="V5369" t="s">
        <v>13338</v>
      </c>
      <c r="W5369" t="s">
        <v>18650</v>
      </c>
      <c r="X5369">
        <v>11</v>
      </c>
      <c r="Y5369" t="s">
        <v>25146</v>
      </c>
      <c r="Z5369" t="s">
        <v>31784</v>
      </c>
      <c r="AA5369">
        <v>0.41168380837959428</v>
      </c>
      <c r="AB5369" t="str">
        <f>HYPERLINK("Melting_Curves/meltCurve_Q9BSW2_2_EFCAB4B.pdf", "Melting_Curves/meltCurve_Q9BSW2_2_EFCAB4B.pdf")</f>
        <v>Melting_Curves/meltCurve_Q9BSW2_2_EFCAB4B.pdf</v>
      </c>
    </row>
    <row r="5370" spans="1:28" x14ac:dyDescent="0.25">
      <c r="A5370" t="s">
        <v>5374</v>
      </c>
      <c r="B5370">
        <v>0.99193492352474899</v>
      </c>
      <c r="C5370">
        <v>0.89141198054484905</v>
      </c>
      <c r="D5370">
        <v>1.0367801046996901</v>
      </c>
      <c r="E5370">
        <v>0.84808532600668396</v>
      </c>
      <c r="F5370">
        <v>0.74764139584975697</v>
      </c>
      <c r="G5370">
        <v>0.58667370379882999</v>
      </c>
      <c r="H5370">
        <v>0.55492191352392495</v>
      </c>
      <c r="I5370">
        <v>0.72754303616556804</v>
      </c>
      <c r="J5370">
        <v>0.895917797455554</v>
      </c>
      <c r="K5370">
        <v>1.0554910321047899</v>
      </c>
      <c r="L5370">
        <v>12372.192823818999</v>
      </c>
      <c r="M5370">
        <v>250</v>
      </c>
      <c r="O5370">
        <v>49.485612369238602</v>
      </c>
      <c r="P5370">
        <v>-0.30139470741287699</v>
      </c>
      <c r="Q5370">
        <v>0.76136481231212505</v>
      </c>
      <c r="R5370">
        <v>0.31396460000727699</v>
      </c>
      <c r="S5370" t="s">
        <v>12040</v>
      </c>
      <c r="T5370" t="s">
        <v>13338</v>
      </c>
      <c r="U5370" t="s">
        <v>13338</v>
      </c>
      <c r="V5370" t="s">
        <v>13338</v>
      </c>
      <c r="W5370" t="s">
        <v>18651</v>
      </c>
      <c r="X5370">
        <v>14</v>
      </c>
      <c r="Y5370" t="s">
        <v>25147</v>
      </c>
      <c r="Z5370" t="s">
        <v>31785</v>
      </c>
      <c r="AA5370">
        <v>0.83686402889354938</v>
      </c>
      <c r="AB5370" t="str">
        <f>HYPERLINK("Melting_Curves/meltCurve_Q9BT09_CNPY3.pdf", "Melting_Curves/meltCurve_Q9BT09_CNPY3.pdf")</f>
        <v>Melting_Curves/meltCurve_Q9BT09_CNPY3.pdf</v>
      </c>
    </row>
    <row r="5371" spans="1:28" x14ac:dyDescent="0.25">
      <c r="A5371" t="s">
        <v>5375</v>
      </c>
      <c r="B5371">
        <v>0.99193492352474899</v>
      </c>
      <c r="C5371">
        <v>0.96171610294906096</v>
      </c>
      <c r="D5371">
        <v>0.91857850561047905</v>
      </c>
      <c r="E5371">
        <v>0.83922566358433204</v>
      </c>
      <c r="F5371">
        <v>0.41425708931981903</v>
      </c>
      <c r="G5371">
        <v>0.17785820177239001</v>
      </c>
      <c r="H5371">
        <v>9.7622012958470505E-2</v>
      </c>
      <c r="I5371">
        <v>0.108577076943445</v>
      </c>
      <c r="J5371">
        <v>8.98738551193205E-2</v>
      </c>
      <c r="K5371">
        <v>5.98168502162622E-2</v>
      </c>
      <c r="L5371">
        <v>1382.7684314713099</v>
      </c>
      <c r="M5371">
        <v>26.503028614364499</v>
      </c>
      <c r="N5371">
        <v>52.522674737031203</v>
      </c>
      <c r="O5371">
        <v>51.879648920197198</v>
      </c>
      <c r="P5371">
        <v>-0.117412557351319</v>
      </c>
      <c r="Q5371">
        <v>8.0669921406355802E-2</v>
      </c>
      <c r="R5371">
        <v>0.99595378413762303</v>
      </c>
      <c r="S5371" t="s">
        <v>12041</v>
      </c>
      <c r="T5371" t="s">
        <v>13338</v>
      </c>
      <c r="U5371" t="s">
        <v>13338</v>
      </c>
      <c r="V5371" t="s">
        <v>13338</v>
      </c>
      <c r="W5371" t="s">
        <v>18652</v>
      </c>
      <c r="X5371">
        <v>3</v>
      </c>
      <c r="Y5371" t="s">
        <v>25148</v>
      </c>
      <c r="Z5371" t="s">
        <v>31786</v>
      </c>
      <c r="AA5371">
        <v>0.46124428641926252</v>
      </c>
      <c r="AB5371" t="str">
        <f>HYPERLINK("Melting_Curves/meltCurve_Q9BT22_ALG1.pdf", "Melting_Curves/meltCurve_Q9BT22_ALG1.pdf")</f>
        <v>Melting_Curves/meltCurve_Q9BT22_ALG1.pdf</v>
      </c>
    </row>
    <row r="5372" spans="1:28" x14ac:dyDescent="0.25">
      <c r="A5372" t="s">
        <v>5376</v>
      </c>
      <c r="B5372">
        <v>0.99193492352474899</v>
      </c>
      <c r="C5372">
        <v>1.14720358232583</v>
      </c>
      <c r="D5372">
        <v>0.92790331924797798</v>
      </c>
      <c r="E5372">
        <v>0.90440487993510499</v>
      </c>
      <c r="F5372">
        <v>0.64254921736103099</v>
      </c>
      <c r="G5372">
        <v>0.46559774108629098</v>
      </c>
      <c r="H5372">
        <v>0.41936716150259601</v>
      </c>
      <c r="I5372">
        <v>0.75062969478498398</v>
      </c>
      <c r="J5372">
        <v>0.77187996365415501</v>
      </c>
      <c r="K5372">
        <v>0.97023133472453704</v>
      </c>
      <c r="L5372">
        <v>12444.478627312499</v>
      </c>
      <c r="M5372">
        <v>250</v>
      </c>
      <c r="O5372">
        <v>49.774729038004203</v>
      </c>
      <c r="P5372">
        <v>-0.41431351372522801</v>
      </c>
      <c r="Q5372">
        <v>0.67004251416876304</v>
      </c>
      <c r="R5372">
        <v>0.51980738759298495</v>
      </c>
      <c r="S5372" t="s">
        <v>12042</v>
      </c>
      <c r="T5372" t="s">
        <v>13338</v>
      </c>
      <c r="U5372" t="s">
        <v>13338</v>
      </c>
      <c r="V5372" t="s">
        <v>13338</v>
      </c>
      <c r="W5372" t="s">
        <v>18653</v>
      </c>
      <c r="X5372">
        <v>8</v>
      </c>
      <c r="Y5372" t="s">
        <v>25149</v>
      </c>
      <c r="Z5372" t="s">
        <v>31787</v>
      </c>
      <c r="AA5372">
        <v>0.77761454201644331</v>
      </c>
      <c r="AB5372" t="str">
        <f>HYPERLINK("Melting_Curves/meltCurve_Q9BT23_LIMD2.pdf", "Melting_Curves/meltCurve_Q9BT23_LIMD2.pdf")</f>
        <v>Melting_Curves/meltCurve_Q9BT23_LIMD2.pdf</v>
      </c>
    </row>
    <row r="5373" spans="1:28" x14ac:dyDescent="0.25">
      <c r="A5373" t="s">
        <v>5377</v>
      </c>
      <c r="B5373">
        <v>0.99193492352474899</v>
      </c>
      <c r="C5373">
        <v>0.62169479975807396</v>
      </c>
      <c r="D5373">
        <v>0.459538692725659</v>
      </c>
      <c r="E5373">
        <v>0.18978663026033701</v>
      </c>
      <c r="F5373">
        <v>0.151639521018617</v>
      </c>
      <c r="G5373">
        <v>7.6549756487403905E-2</v>
      </c>
      <c r="H5373">
        <v>4.9555870771790397E-2</v>
      </c>
      <c r="I5373">
        <v>0.11522904635624701</v>
      </c>
      <c r="J5373">
        <v>0.167037934066603</v>
      </c>
      <c r="K5373">
        <v>0.16264910224484899</v>
      </c>
      <c r="L5373">
        <v>899.51818620320103</v>
      </c>
      <c r="M5373">
        <v>20.287033996398598</v>
      </c>
      <c r="N5373">
        <v>44.910946553443303</v>
      </c>
      <c r="O5373">
        <v>43.915487416894003</v>
      </c>
      <c r="P5373">
        <v>-0.102356503236396</v>
      </c>
      <c r="Q5373">
        <v>0.113740072942626</v>
      </c>
      <c r="R5373">
        <v>0.96539459782217296</v>
      </c>
      <c r="S5373" t="s">
        <v>12043</v>
      </c>
      <c r="T5373" t="s">
        <v>13338</v>
      </c>
      <c r="U5373" t="s">
        <v>13338</v>
      </c>
      <c r="V5373" t="s">
        <v>13338</v>
      </c>
      <c r="W5373" t="s">
        <v>18654</v>
      </c>
      <c r="X5373">
        <v>1</v>
      </c>
      <c r="Y5373" t="s">
        <v>25150</v>
      </c>
      <c r="Z5373" t="s">
        <v>31788</v>
      </c>
      <c r="AA5373">
        <v>0.25774958400466819</v>
      </c>
      <c r="AB5373" t="str">
        <f>HYPERLINK("Melting_Curves/meltCurve_Q9BT25_2_HAUS8.pdf", "Melting_Curves/meltCurve_Q9BT25_2_HAUS8.pdf")</f>
        <v>Melting_Curves/meltCurve_Q9BT25_2_HAUS8.pdf</v>
      </c>
    </row>
    <row r="5374" spans="1:28" x14ac:dyDescent="0.25">
      <c r="A5374" t="s">
        <v>5378</v>
      </c>
      <c r="B5374">
        <v>0.99193492352474899</v>
      </c>
      <c r="C5374">
        <v>0.72466140518188304</v>
      </c>
      <c r="D5374">
        <v>0.755517640393363</v>
      </c>
      <c r="E5374">
        <v>0.34089777645075597</v>
      </c>
      <c r="F5374">
        <v>0.20586337805473001</v>
      </c>
      <c r="G5374">
        <v>0.12952362592324501</v>
      </c>
      <c r="H5374">
        <v>0.101163209031088</v>
      </c>
      <c r="I5374">
        <v>0.14778750223377499</v>
      </c>
      <c r="J5374">
        <v>0.20822952654427601</v>
      </c>
      <c r="K5374">
        <v>0.30098982931326002</v>
      </c>
      <c r="L5374">
        <v>887.15180601119403</v>
      </c>
      <c r="M5374">
        <v>19.010500859326299</v>
      </c>
      <c r="N5374">
        <v>47.666033173294501</v>
      </c>
      <c r="O5374">
        <v>46.1592210792057</v>
      </c>
      <c r="P5374">
        <v>-8.6038542451385494E-2</v>
      </c>
      <c r="Q5374">
        <v>0.16439551239980399</v>
      </c>
      <c r="R5374">
        <v>0.92623056770739198</v>
      </c>
      <c r="S5374" t="s">
        <v>12044</v>
      </c>
      <c r="T5374" t="s">
        <v>13338</v>
      </c>
      <c r="U5374" t="s">
        <v>13338</v>
      </c>
      <c r="V5374" t="s">
        <v>13338</v>
      </c>
      <c r="W5374" t="s">
        <v>18655</v>
      </c>
      <c r="X5374">
        <v>2</v>
      </c>
      <c r="Y5374" t="s">
        <v>25151</v>
      </c>
      <c r="Z5374" t="s">
        <v>31789</v>
      </c>
      <c r="AA5374">
        <v>0.36398335256309738</v>
      </c>
      <c r="AB5374" t="str">
        <f>HYPERLINK("Melting_Curves/meltCurve_Q9BT30_ALKBH7.pdf", "Melting_Curves/meltCurve_Q9BT30_ALKBH7.pdf")</f>
        <v>Melting_Curves/meltCurve_Q9BT30_ALKBH7.pdf</v>
      </c>
    </row>
    <row r="5375" spans="1:28" x14ac:dyDescent="0.25">
      <c r="A5375" t="s">
        <v>5379</v>
      </c>
      <c r="B5375">
        <v>0.99193492352474899</v>
      </c>
      <c r="C5375">
        <v>0.91741855329248101</v>
      </c>
      <c r="D5375">
        <v>0.91175462592317202</v>
      </c>
      <c r="E5375">
        <v>0.78608925338197699</v>
      </c>
      <c r="F5375">
        <v>0.72111497494417098</v>
      </c>
      <c r="G5375">
        <v>0.50562300794674597</v>
      </c>
      <c r="H5375">
        <v>0.39559300729198998</v>
      </c>
      <c r="I5375">
        <v>0.35333228876630401</v>
      </c>
      <c r="J5375">
        <v>0.38202892677625899</v>
      </c>
      <c r="K5375">
        <v>0.25506378643497701</v>
      </c>
      <c r="L5375">
        <v>562.38687747008305</v>
      </c>
      <c r="M5375">
        <v>10.2574260605255</v>
      </c>
      <c r="N5375">
        <v>57.951557816471698</v>
      </c>
      <c r="O5375">
        <v>52.866032012017698</v>
      </c>
      <c r="P5375">
        <v>-3.8221330590105601E-2</v>
      </c>
      <c r="Q5375">
        <v>0.212387806494552</v>
      </c>
      <c r="R5375">
        <v>0.98224512913834905</v>
      </c>
      <c r="S5375" t="s">
        <v>12045</v>
      </c>
      <c r="T5375" t="s">
        <v>13338</v>
      </c>
      <c r="U5375" t="s">
        <v>13338</v>
      </c>
      <c r="V5375" t="s">
        <v>13338</v>
      </c>
      <c r="W5375" t="s">
        <v>18656</v>
      </c>
      <c r="X5375">
        <v>5</v>
      </c>
      <c r="Y5375" t="s">
        <v>25152</v>
      </c>
      <c r="Z5375" t="s">
        <v>31790</v>
      </c>
      <c r="AA5375">
        <v>0.62240217207886728</v>
      </c>
      <c r="AB5375" t="str">
        <f>HYPERLINK("Melting_Curves/meltCurve_Q9BT73_PSMG3.pdf", "Melting_Curves/meltCurve_Q9BT73_PSMG3.pdf")</f>
        <v>Melting_Curves/meltCurve_Q9BT73_PSMG3.pdf</v>
      </c>
    </row>
    <row r="5376" spans="1:28" x14ac:dyDescent="0.25">
      <c r="A5376" t="s">
        <v>5380</v>
      </c>
      <c r="B5376">
        <v>0.99193492352474899</v>
      </c>
      <c r="C5376">
        <v>0.76763086502868905</v>
      </c>
      <c r="D5376">
        <v>0.91184265333762504</v>
      </c>
      <c r="E5376">
        <v>0.650925267499602</v>
      </c>
      <c r="F5376">
        <v>0.353294722059741</v>
      </c>
      <c r="G5376">
        <v>0.11447138642068599</v>
      </c>
      <c r="H5376">
        <v>6.2883466964347504E-2</v>
      </c>
      <c r="I5376">
        <v>6.0441085643182402E-2</v>
      </c>
      <c r="J5376">
        <v>6.6263442118455099E-2</v>
      </c>
      <c r="K5376">
        <v>5.2385092924889402E-2</v>
      </c>
      <c r="L5376">
        <v>870.34107241025504</v>
      </c>
      <c r="M5376">
        <v>17.086794584690502</v>
      </c>
      <c r="N5376">
        <v>51.093033923747001</v>
      </c>
      <c r="O5376">
        <v>50.254153464502799</v>
      </c>
      <c r="P5376">
        <v>-8.2838945312833298E-2</v>
      </c>
      <c r="Q5376">
        <v>2.55052217180919E-2</v>
      </c>
      <c r="R5376">
        <v>0.96679978879012196</v>
      </c>
      <c r="S5376" t="s">
        <v>12046</v>
      </c>
      <c r="T5376" t="s">
        <v>13338</v>
      </c>
      <c r="U5376" t="s">
        <v>13338</v>
      </c>
      <c r="V5376" t="s">
        <v>13338</v>
      </c>
      <c r="W5376" t="s">
        <v>18657</v>
      </c>
      <c r="X5376">
        <v>23</v>
      </c>
      <c r="Y5376" t="s">
        <v>25153</v>
      </c>
      <c r="Z5376" t="s">
        <v>31791</v>
      </c>
      <c r="AA5376">
        <v>0.39879398461634591</v>
      </c>
      <c r="AB5376" t="str">
        <f>HYPERLINK("Melting_Curves/meltCurve_Q9BT78_COPS4.pdf", "Melting_Curves/meltCurve_Q9BT78_COPS4.pdf")</f>
        <v>Melting_Curves/meltCurve_Q9BT78_COPS4.pdf</v>
      </c>
    </row>
    <row r="5377" spans="1:28" x14ac:dyDescent="0.25">
      <c r="A5377" t="s">
        <v>5381</v>
      </c>
      <c r="B5377">
        <v>0.99193492352474899</v>
      </c>
      <c r="C5377">
        <v>0.92189058837691995</v>
      </c>
      <c r="D5377">
        <v>0.65496048202945101</v>
      </c>
      <c r="E5377">
        <v>0.42504618913131098</v>
      </c>
      <c r="F5377">
        <v>0.219913137290835</v>
      </c>
      <c r="G5377">
        <v>0.204788568723171</v>
      </c>
      <c r="H5377">
        <v>0.22479720094792799</v>
      </c>
      <c r="I5377">
        <v>0.32680937276982802</v>
      </c>
      <c r="J5377">
        <v>0.63488532346147097</v>
      </c>
      <c r="K5377">
        <v>0.70015107100475604</v>
      </c>
      <c r="L5377">
        <v>1654.09832456198</v>
      </c>
      <c r="M5377">
        <v>36.2795123694777</v>
      </c>
      <c r="N5377">
        <v>47.537159232263598</v>
      </c>
      <c r="O5377">
        <v>45.4553178088061</v>
      </c>
      <c r="P5377">
        <v>-0.122396208448143</v>
      </c>
      <c r="Q5377">
        <v>0.38659136590808002</v>
      </c>
      <c r="R5377">
        <v>0.67200354648271599</v>
      </c>
      <c r="S5377" t="s">
        <v>12047</v>
      </c>
      <c r="T5377" t="s">
        <v>13338</v>
      </c>
      <c r="U5377" t="s">
        <v>13338</v>
      </c>
      <c r="V5377" t="s">
        <v>13338</v>
      </c>
      <c r="W5377" t="s">
        <v>18658</v>
      </c>
      <c r="X5377">
        <v>1</v>
      </c>
      <c r="Y5377" t="s">
        <v>25154</v>
      </c>
      <c r="Z5377" t="s">
        <v>31792</v>
      </c>
      <c r="AA5377">
        <v>0.5034277795780715</v>
      </c>
      <c r="AB5377" t="str">
        <f>HYPERLINK("Melting_Curves/meltCurve_Q9BT92_TCHP.pdf", "Melting_Curves/meltCurve_Q9BT92_TCHP.pdf")</f>
        <v>Melting_Curves/meltCurve_Q9BT92_TCHP.pdf</v>
      </c>
    </row>
    <row r="5378" spans="1:28" x14ac:dyDescent="0.25">
      <c r="A5378" t="s">
        <v>5382</v>
      </c>
      <c r="B5378">
        <v>0.99193492352474899</v>
      </c>
      <c r="C5378">
        <v>0.68612453421342401</v>
      </c>
      <c r="D5378">
        <v>0.51902709696925198</v>
      </c>
      <c r="E5378">
        <v>0.21088135014144599</v>
      </c>
      <c r="F5378">
        <v>0.15276762419019499</v>
      </c>
      <c r="G5378">
        <v>0.109380039664543</v>
      </c>
      <c r="H5378">
        <v>7.7801969161706799E-2</v>
      </c>
      <c r="I5378">
        <v>0.110088060981908</v>
      </c>
      <c r="J5378">
        <v>0.121491122175615</v>
      </c>
      <c r="K5378">
        <v>0.144150510052037</v>
      </c>
      <c r="L5378">
        <v>871.54367221958205</v>
      </c>
      <c r="M5378">
        <v>19.340907821027201</v>
      </c>
      <c r="N5378">
        <v>45.628194551701498</v>
      </c>
      <c r="O5378">
        <v>44.588748998808903</v>
      </c>
      <c r="P5378">
        <v>-9.6878715797787604E-2</v>
      </c>
      <c r="Q5378">
        <v>0.10665203807889299</v>
      </c>
      <c r="R5378">
        <v>0.98286778850224499</v>
      </c>
      <c r="S5378" t="s">
        <v>12048</v>
      </c>
      <c r="T5378" t="s">
        <v>13338</v>
      </c>
      <c r="U5378" t="s">
        <v>13338</v>
      </c>
      <c r="V5378" t="s">
        <v>13338</v>
      </c>
      <c r="W5378" t="s">
        <v>18659</v>
      </c>
      <c r="X5378">
        <v>6</v>
      </c>
      <c r="Y5378" t="s">
        <v>25155</v>
      </c>
      <c r="Z5378" t="s">
        <v>31793</v>
      </c>
      <c r="AA5378">
        <v>0.27362877807849267</v>
      </c>
      <c r="AB5378" t="str">
        <f>HYPERLINK("Melting_Curves/meltCurve_Q9BTA9_5_WAC.pdf", "Melting_Curves/meltCurve_Q9BTA9_5_WAC.pdf")</f>
        <v>Melting_Curves/meltCurve_Q9BTA9_5_WAC.pdf</v>
      </c>
    </row>
    <row r="5379" spans="1:28" x14ac:dyDescent="0.25">
      <c r="A5379" t="s">
        <v>5383</v>
      </c>
      <c r="B5379">
        <v>0.99193492352474899</v>
      </c>
      <c r="C5379">
        <v>0.34094098377512799</v>
      </c>
      <c r="D5379">
        <v>0.634489445958345</v>
      </c>
      <c r="E5379">
        <v>0.23591000990570599</v>
      </c>
      <c r="F5379">
        <v>0.18641036826306501</v>
      </c>
      <c r="G5379">
        <v>0.12261985885385</v>
      </c>
      <c r="H5379">
        <v>0.11656459426724999</v>
      </c>
      <c r="I5379">
        <v>0.165890901361229</v>
      </c>
      <c r="J5379">
        <v>0.19792453699555401</v>
      </c>
      <c r="K5379">
        <v>0.24229056954247299</v>
      </c>
      <c r="L5379">
        <v>680.22288498796001</v>
      </c>
      <c r="M5379">
        <v>15.6910740904707</v>
      </c>
      <c r="N5379">
        <v>44.494320832318202</v>
      </c>
      <c r="O5379">
        <v>42.665145646118901</v>
      </c>
      <c r="P5379">
        <v>-7.6694733900814396E-2</v>
      </c>
      <c r="Q5379">
        <v>0.165916877023745</v>
      </c>
      <c r="R5379">
        <v>0.75440418850531799</v>
      </c>
      <c r="S5379" t="s">
        <v>12049</v>
      </c>
      <c r="T5379" t="s">
        <v>13338</v>
      </c>
      <c r="U5379" t="s">
        <v>13338</v>
      </c>
      <c r="V5379" t="s">
        <v>13338</v>
      </c>
      <c r="W5379" t="s">
        <v>18660</v>
      </c>
      <c r="X5379">
        <v>27</v>
      </c>
      <c r="Y5379" t="s">
        <v>25156</v>
      </c>
      <c r="Z5379" t="s">
        <v>31794</v>
      </c>
      <c r="AA5379">
        <v>0.28947846893265061</v>
      </c>
      <c r="AB5379" t="str">
        <f>HYPERLINK("Melting_Curves/meltCurve_Q9BTC0_DIDO1.pdf", "Melting_Curves/meltCurve_Q9BTC0_DIDO1.pdf")</f>
        <v>Melting_Curves/meltCurve_Q9BTC0_DIDO1.pdf</v>
      </c>
    </row>
    <row r="5380" spans="1:28" x14ac:dyDescent="0.25">
      <c r="A5380" t="s">
        <v>5384</v>
      </c>
      <c r="B5380">
        <v>0.99193492352474899</v>
      </c>
      <c r="C5380">
        <v>0.62277570813780203</v>
      </c>
      <c r="D5380">
        <v>0.851633695370837</v>
      </c>
      <c r="E5380">
        <v>0.61851021270900897</v>
      </c>
      <c r="F5380">
        <v>0.69605975136931597</v>
      </c>
      <c r="G5380">
        <v>0.37806947483715397</v>
      </c>
      <c r="H5380">
        <v>0.30900563090188798</v>
      </c>
      <c r="I5380">
        <v>0.25926904926639799</v>
      </c>
      <c r="J5380">
        <v>0.17473640990241299</v>
      </c>
      <c r="K5380">
        <v>0.110679228939773</v>
      </c>
      <c r="L5380">
        <v>378.60870714249899</v>
      </c>
      <c r="M5380">
        <v>6.9970211303807197</v>
      </c>
      <c r="N5380">
        <v>54.109984737184497</v>
      </c>
      <c r="O5380">
        <v>50.210139090692103</v>
      </c>
      <c r="P5380">
        <v>-3.4903378317231698E-2</v>
      </c>
      <c r="Q5380">
        <v>0</v>
      </c>
      <c r="R5380">
        <v>0.87144065337934895</v>
      </c>
      <c r="S5380" t="s">
        <v>12050</v>
      </c>
      <c r="T5380" t="s">
        <v>13338</v>
      </c>
      <c r="U5380" t="s">
        <v>13338</v>
      </c>
      <c r="V5380" t="s">
        <v>13338</v>
      </c>
      <c r="W5380" t="s">
        <v>18661</v>
      </c>
      <c r="X5380">
        <v>6</v>
      </c>
      <c r="Y5380" t="s">
        <v>25157</v>
      </c>
      <c r="Z5380" t="s">
        <v>31795</v>
      </c>
      <c r="AA5380">
        <v>0.50513809543576904</v>
      </c>
      <c r="AB5380" t="str">
        <f>HYPERLINK("Melting_Curves/meltCurve_Q9BTE1_DCTN5.pdf", "Melting_Curves/meltCurve_Q9BTE1_DCTN5.pdf")</f>
        <v>Melting_Curves/meltCurve_Q9BTE1_DCTN5.pdf</v>
      </c>
    </row>
    <row r="5381" spans="1:28" x14ac:dyDescent="0.25">
      <c r="A5381" t="s">
        <v>5385</v>
      </c>
      <c r="B5381">
        <v>0.99193492352474899</v>
      </c>
      <c r="C5381">
        <v>0.81570763551043401</v>
      </c>
      <c r="D5381">
        <v>0.81603107424850796</v>
      </c>
      <c r="E5381">
        <v>0.49054269431373199</v>
      </c>
      <c r="F5381">
        <v>0.22216284584148999</v>
      </c>
      <c r="G5381">
        <v>0.125183083055878</v>
      </c>
      <c r="H5381">
        <v>7.8492973446414399E-2</v>
      </c>
      <c r="I5381">
        <v>9.8012606043052702E-2</v>
      </c>
      <c r="J5381">
        <v>0.107626104020364</v>
      </c>
      <c r="K5381">
        <v>0.112241072854576</v>
      </c>
      <c r="L5381">
        <v>875.87528415851204</v>
      </c>
      <c r="M5381">
        <v>17.9577503025982</v>
      </c>
      <c r="N5381">
        <v>49.252420049572002</v>
      </c>
      <c r="O5381">
        <v>48.181447257602898</v>
      </c>
      <c r="P5381">
        <v>-8.5727732222638603E-2</v>
      </c>
      <c r="Q5381">
        <v>8.0000404094488706E-2</v>
      </c>
      <c r="R5381">
        <v>0.98420697797954604</v>
      </c>
      <c r="S5381" t="s">
        <v>12051</v>
      </c>
      <c r="T5381" t="s">
        <v>13338</v>
      </c>
      <c r="U5381" t="s">
        <v>13338</v>
      </c>
      <c r="V5381" t="s">
        <v>13338</v>
      </c>
      <c r="W5381" t="s">
        <v>18662</v>
      </c>
      <c r="X5381">
        <v>19</v>
      </c>
      <c r="Y5381" t="s">
        <v>25158</v>
      </c>
      <c r="Z5381" t="s">
        <v>31796</v>
      </c>
      <c r="AA5381">
        <v>0.36515907784482649</v>
      </c>
      <c r="AB5381" t="str">
        <f>HYPERLINK("Melting_Curves/meltCurve_Q9BTE3_2_MCMBP.pdf", "Melting_Curves/meltCurve_Q9BTE3_2_MCMBP.pdf")</f>
        <v>Melting_Curves/meltCurve_Q9BTE3_2_MCMBP.pdf</v>
      </c>
    </row>
    <row r="5382" spans="1:28" x14ac:dyDescent="0.25">
      <c r="A5382" t="s">
        <v>5386</v>
      </c>
      <c r="B5382">
        <v>0.99193492352474899</v>
      </c>
      <c r="C5382">
        <v>0.93254588343253797</v>
      </c>
      <c r="D5382">
        <v>0.84694473967899297</v>
      </c>
      <c r="E5382">
        <v>0.49801576042763102</v>
      </c>
      <c r="F5382">
        <v>0.20361111518215</v>
      </c>
      <c r="G5382">
        <v>0.12141729889068199</v>
      </c>
      <c r="H5382">
        <v>7.1952603010987298E-2</v>
      </c>
      <c r="I5382">
        <v>9.9171132771106493E-2</v>
      </c>
      <c r="J5382">
        <v>9.8931197693664097E-2</v>
      </c>
      <c r="K5382">
        <v>0.101925978045156</v>
      </c>
      <c r="L5382">
        <v>1147.89003648373</v>
      </c>
      <c r="M5382">
        <v>23.385068918787901</v>
      </c>
      <c r="N5382">
        <v>49.491160108850899</v>
      </c>
      <c r="O5382">
        <v>48.731704129934798</v>
      </c>
      <c r="P5382">
        <v>-0.10952971426375301</v>
      </c>
      <c r="Q5382">
        <v>8.7027965175839897E-2</v>
      </c>
      <c r="R5382">
        <v>0.99801863926498802</v>
      </c>
      <c r="S5382" t="s">
        <v>12052</v>
      </c>
      <c r="T5382" t="s">
        <v>13338</v>
      </c>
      <c r="U5382" t="s">
        <v>13338</v>
      </c>
      <c r="V5382" t="s">
        <v>13338</v>
      </c>
      <c r="W5382" t="s">
        <v>18663</v>
      </c>
      <c r="X5382">
        <v>17</v>
      </c>
      <c r="Y5382" t="s">
        <v>25159</v>
      </c>
      <c r="Z5382" t="s">
        <v>31797</v>
      </c>
      <c r="AA5382">
        <v>0.37283596659379231</v>
      </c>
      <c r="AB5382" t="str">
        <f>HYPERLINK("Melting_Curves/meltCurve_Q9BTE6_AARSD1.pdf", "Melting_Curves/meltCurve_Q9BTE6_AARSD1.pdf")</f>
        <v>Melting_Curves/meltCurve_Q9BTE6_AARSD1.pdf</v>
      </c>
    </row>
    <row r="5383" spans="1:28" x14ac:dyDescent="0.25">
      <c r="A5383" t="s">
        <v>5387</v>
      </c>
      <c r="B5383">
        <v>0.99193492352474899</v>
      </c>
      <c r="C5383">
        <v>0.60702870266071596</v>
      </c>
      <c r="D5383">
        <v>0.47262535729011601</v>
      </c>
      <c r="E5383">
        <v>0.25641639569008801</v>
      </c>
      <c r="F5383">
        <v>0.18166952521705501</v>
      </c>
      <c r="G5383">
        <v>0.113502862307177</v>
      </c>
      <c r="H5383">
        <v>7.7022588827022301E-2</v>
      </c>
      <c r="I5383">
        <v>7.0060177219446601E-2</v>
      </c>
      <c r="J5383">
        <v>7.4544254693280895E-2</v>
      </c>
      <c r="K5383">
        <v>7.7117365906546304E-2</v>
      </c>
      <c r="L5383">
        <v>704.58710020346598</v>
      </c>
      <c r="M5383">
        <v>15.689311879512299</v>
      </c>
      <c r="N5383">
        <v>45.385330391472799</v>
      </c>
      <c r="O5383">
        <v>44.198156463052399</v>
      </c>
      <c r="P5383">
        <v>-8.2011013988739306E-2</v>
      </c>
      <c r="Q5383">
        <v>7.5950089423134595E-2</v>
      </c>
      <c r="R5383">
        <v>0.97348868223005702</v>
      </c>
      <c r="S5383" t="s">
        <v>12053</v>
      </c>
      <c r="T5383" t="s">
        <v>13338</v>
      </c>
      <c r="U5383" t="s">
        <v>13338</v>
      </c>
      <c r="V5383" t="s">
        <v>13338</v>
      </c>
      <c r="W5383" t="s">
        <v>18664</v>
      </c>
      <c r="X5383">
        <v>5</v>
      </c>
      <c r="Y5383" t="s">
        <v>25160</v>
      </c>
      <c r="Z5383" t="s">
        <v>31798</v>
      </c>
      <c r="AA5383">
        <v>0.25440431787906292</v>
      </c>
      <c r="AB5383" t="str">
        <f>HYPERLINK("Melting_Curves/meltCurve_Q9BTE7_DCUN1D5.pdf", "Melting_Curves/meltCurve_Q9BTE7_DCUN1D5.pdf")</f>
        <v>Melting_Curves/meltCurve_Q9BTE7_DCUN1D5.pdf</v>
      </c>
    </row>
    <row r="5384" spans="1:28" x14ac:dyDescent="0.25">
      <c r="A5384" t="s">
        <v>5388</v>
      </c>
      <c r="B5384">
        <v>0.99193492352474899</v>
      </c>
      <c r="C5384">
        <v>0.68819251850437602</v>
      </c>
      <c r="D5384">
        <v>0.88434638700116996</v>
      </c>
      <c r="E5384">
        <v>0.69836754321299299</v>
      </c>
      <c r="F5384">
        <v>0.65677297607753204</v>
      </c>
      <c r="G5384">
        <v>0.46036736012242502</v>
      </c>
      <c r="H5384">
        <v>0.46502802195827603</v>
      </c>
      <c r="I5384">
        <v>0.49455277586467999</v>
      </c>
      <c r="J5384">
        <v>0.69072980610622703</v>
      </c>
      <c r="K5384">
        <v>0.87623697205733597</v>
      </c>
      <c r="L5384">
        <v>628.04453927613702</v>
      </c>
      <c r="M5384">
        <v>14.2267834203766</v>
      </c>
      <c r="O5384">
        <v>43.300482540228401</v>
      </c>
      <c r="P5384">
        <v>-3.2283368822795901E-2</v>
      </c>
      <c r="Q5384">
        <v>0.60701960444742398</v>
      </c>
      <c r="R5384">
        <v>0.38591758629742801</v>
      </c>
      <c r="S5384" t="s">
        <v>12054</v>
      </c>
      <c r="T5384" t="s">
        <v>13338</v>
      </c>
      <c r="U5384" t="s">
        <v>13338</v>
      </c>
      <c r="V5384" t="s">
        <v>13338</v>
      </c>
      <c r="W5384" t="s">
        <v>18665</v>
      </c>
      <c r="X5384">
        <v>4</v>
      </c>
      <c r="Y5384" t="s">
        <v>25161</v>
      </c>
      <c r="Z5384" t="s">
        <v>31799</v>
      </c>
      <c r="AA5384">
        <v>0.67687764283438012</v>
      </c>
      <c r="AB5384" t="str">
        <f>HYPERLINK("Melting_Curves/meltCurve_Q9BTL3_FAM103A1.pdf", "Melting_Curves/meltCurve_Q9BTL3_FAM103A1.pdf")</f>
        <v>Melting_Curves/meltCurve_Q9BTL3_FAM103A1.pdf</v>
      </c>
    </row>
    <row r="5385" spans="1:28" x14ac:dyDescent="0.25">
      <c r="A5385" t="s">
        <v>5389</v>
      </c>
      <c r="B5385">
        <v>0.99193492352474899</v>
      </c>
      <c r="C5385">
        <v>0.66626193042886594</v>
      </c>
      <c r="D5385">
        <v>0.80743664120201997</v>
      </c>
      <c r="E5385">
        <v>0.56534562890452</v>
      </c>
      <c r="F5385">
        <v>0.31925836864030399</v>
      </c>
      <c r="G5385">
        <v>0.24196694568357299</v>
      </c>
      <c r="H5385">
        <v>0.15763550651965</v>
      </c>
      <c r="I5385">
        <v>0.18658908344853301</v>
      </c>
      <c r="J5385">
        <v>0.43909513482159701</v>
      </c>
      <c r="K5385">
        <v>0.449307563914009</v>
      </c>
      <c r="L5385">
        <v>697.01135552903997</v>
      </c>
      <c r="M5385">
        <v>14.8893919425243</v>
      </c>
      <c r="N5385">
        <v>49.535236930894101</v>
      </c>
      <c r="O5385">
        <v>45.992533012728799</v>
      </c>
      <c r="P5385">
        <v>-5.8324891811194601E-2</v>
      </c>
      <c r="Q5385">
        <v>0.27942513909662398</v>
      </c>
      <c r="R5385">
        <v>0.78193942709459796</v>
      </c>
      <c r="S5385" t="s">
        <v>12055</v>
      </c>
      <c r="T5385" t="s">
        <v>13338</v>
      </c>
      <c r="U5385" t="s">
        <v>13338</v>
      </c>
      <c r="V5385" t="s">
        <v>13338</v>
      </c>
      <c r="W5385" t="s">
        <v>18666</v>
      </c>
      <c r="X5385">
        <v>1</v>
      </c>
      <c r="Y5385" t="s">
        <v>25162</v>
      </c>
      <c r="Z5385" t="s">
        <v>31800</v>
      </c>
      <c r="AA5385">
        <v>0.46317798361855339</v>
      </c>
      <c r="AB5385" t="str">
        <f>HYPERLINK("Melting_Curves/meltCurve_Q9BTM9_URM1.pdf", "Melting_Curves/meltCurve_Q9BTM9_URM1.pdf")</f>
        <v>Melting_Curves/meltCurve_Q9BTM9_URM1.pdf</v>
      </c>
    </row>
    <row r="5386" spans="1:28" x14ac:dyDescent="0.25">
      <c r="A5386" t="s">
        <v>5390</v>
      </c>
      <c r="B5386">
        <v>0.99193492352474899</v>
      </c>
      <c r="C5386">
        <v>0.67192076686133195</v>
      </c>
      <c r="D5386">
        <v>0.50083536057199995</v>
      </c>
      <c r="E5386">
        <v>0.18417561196249799</v>
      </c>
      <c r="F5386">
        <v>0.143717124283579</v>
      </c>
      <c r="G5386">
        <v>7.9268982839275998E-2</v>
      </c>
      <c r="H5386">
        <v>6.1095178129962603E-2</v>
      </c>
      <c r="I5386">
        <v>5.7664898260517301E-2</v>
      </c>
      <c r="J5386">
        <v>5.9919909999062201E-2</v>
      </c>
      <c r="K5386">
        <v>5.3028650726644401E-2</v>
      </c>
      <c r="L5386">
        <v>815.50924268317306</v>
      </c>
      <c r="M5386">
        <v>18.0354143412128</v>
      </c>
      <c r="N5386">
        <v>45.519939195905998</v>
      </c>
      <c r="O5386">
        <v>44.672194258473297</v>
      </c>
      <c r="P5386">
        <v>-9.52305538242669E-2</v>
      </c>
      <c r="Q5386">
        <v>5.6534118072648201E-2</v>
      </c>
      <c r="R5386">
        <v>0.98551052108044701</v>
      </c>
      <c r="S5386" t="s">
        <v>12056</v>
      </c>
      <c r="T5386" t="s">
        <v>13338</v>
      </c>
      <c r="U5386" t="s">
        <v>13338</v>
      </c>
      <c r="V5386" t="s">
        <v>13338</v>
      </c>
      <c r="W5386" t="s">
        <v>18667</v>
      </c>
      <c r="X5386">
        <v>7</v>
      </c>
      <c r="Y5386" t="s">
        <v>25163</v>
      </c>
      <c r="Z5386" t="s">
        <v>31801</v>
      </c>
      <c r="AA5386">
        <v>0.24039238454230019</v>
      </c>
      <c r="AB5386" t="str">
        <f>HYPERLINK("Melting_Curves/meltCurve_Q9BTT0_ANP32E.pdf", "Melting_Curves/meltCurve_Q9BTT0_ANP32E.pdf")</f>
        <v>Melting_Curves/meltCurve_Q9BTT0_ANP32E.pdf</v>
      </c>
    </row>
    <row r="5387" spans="1:28" x14ac:dyDescent="0.25">
      <c r="A5387" t="s">
        <v>5391</v>
      </c>
      <c r="B5387">
        <v>0.99193492352474899</v>
      </c>
      <c r="C5387">
        <v>0.82276886060874099</v>
      </c>
      <c r="D5387">
        <v>0.82003535126854299</v>
      </c>
      <c r="E5387">
        <v>0.60720331613577005</v>
      </c>
      <c r="F5387">
        <v>0.43809043018094801</v>
      </c>
      <c r="G5387">
        <v>0.28248878073906197</v>
      </c>
      <c r="H5387">
        <v>0.22477977151770201</v>
      </c>
      <c r="I5387">
        <v>0.23044827021952399</v>
      </c>
      <c r="J5387">
        <v>0.26396521479124302</v>
      </c>
      <c r="K5387">
        <v>0.31175475822135601</v>
      </c>
      <c r="L5387">
        <v>706.26689171816804</v>
      </c>
      <c r="M5387">
        <v>14.3958886009473</v>
      </c>
      <c r="N5387">
        <v>51.267725945943702</v>
      </c>
      <c r="O5387">
        <v>48.142774488608403</v>
      </c>
      <c r="P5387">
        <v>-5.74956331501629E-2</v>
      </c>
      <c r="Q5387">
        <v>0.23098297440239199</v>
      </c>
      <c r="R5387">
        <v>0.971986602612391</v>
      </c>
      <c r="S5387" t="s">
        <v>12057</v>
      </c>
      <c r="T5387" t="s">
        <v>13338</v>
      </c>
      <c r="U5387" t="s">
        <v>13338</v>
      </c>
      <c r="V5387" t="s">
        <v>13338</v>
      </c>
      <c r="W5387" t="s">
        <v>18668</v>
      </c>
      <c r="X5387">
        <v>3</v>
      </c>
      <c r="Y5387" t="s">
        <v>25164</v>
      </c>
      <c r="Z5387" t="s">
        <v>31802</v>
      </c>
      <c r="AA5387">
        <v>0.48367487821257099</v>
      </c>
      <c r="AB5387" t="str">
        <f>HYPERLINK("Melting_Curves/meltCurve_Q9BTT4_MED10.pdf", "Melting_Curves/meltCurve_Q9BTT4_MED10.pdf")</f>
        <v>Melting_Curves/meltCurve_Q9BTT4_MED10.pdf</v>
      </c>
    </row>
    <row r="5388" spans="1:28" x14ac:dyDescent="0.25">
      <c r="A5388" t="s">
        <v>5392</v>
      </c>
      <c r="B5388">
        <v>0.99193492352474899</v>
      </c>
      <c r="C5388">
        <v>1.3276563266532599</v>
      </c>
      <c r="D5388">
        <v>0.79761350287751298</v>
      </c>
      <c r="E5388">
        <v>0.78101725049396498</v>
      </c>
      <c r="F5388">
        <v>0.240905979281483</v>
      </c>
      <c r="G5388">
        <v>0.26621720974184598</v>
      </c>
      <c r="H5388">
        <v>8.7766096960739795E-2</v>
      </c>
      <c r="I5388">
        <v>6.0289904852680702E-2</v>
      </c>
      <c r="J5388">
        <v>4.3607319945200902E-2</v>
      </c>
      <c r="K5388">
        <v>5.41493243376788E-2</v>
      </c>
      <c r="L5388">
        <v>1252.64112504728</v>
      </c>
      <c r="M5388">
        <v>24.466612524348101</v>
      </c>
      <c r="N5388">
        <v>51.5112206742441</v>
      </c>
      <c r="O5388">
        <v>50.859631808709899</v>
      </c>
      <c r="P5388">
        <v>-0.111953849981833</v>
      </c>
      <c r="Q5388">
        <v>6.9123578738519195E-2</v>
      </c>
      <c r="R5388">
        <v>0.91682990589309699</v>
      </c>
      <c r="S5388" t="s">
        <v>12058</v>
      </c>
      <c r="T5388" t="s">
        <v>13338</v>
      </c>
      <c r="U5388" t="s">
        <v>13338</v>
      </c>
      <c r="V5388" t="s">
        <v>13338</v>
      </c>
      <c r="W5388" t="s">
        <v>18669</v>
      </c>
      <c r="X5388">
        <v>4</v>
      </c>
      <c r="Y5388" t="s">
        <v>25165</v>
      </c>
      <c r="Z5388" t="s">
        <v>31803</v>
      </c>
      <c r="AA5388">
        <v>0.42537873719133162</v>
      </c>
      <c r="AB5388" t="str">
        <f>HYPERLINK("Melting_Curves/meltCurve_Q9BTT6_LRRC1.pdf", "Melting_Curves/meltCurve_Q9BTT6_LRRC1.pdf")</f>
        <v>Melting_Curves/meltCurve_Q9BTT6_LRRC1.pdf</v>
      </c>
    </row>
    <row r="5389" spans="1:28" x14ac:dyDescent="0.25">
      <c r="A5389" t="s">
        <v>5393</v>
      </c>
      <c r="B5389">
        <v>0.99193492352474899</v>
      </c>
      <c r="C5389">
        <v>0.95076832296813196</v>
      </c>
      <c r="D5389">
        <v>1.0122647182915001</v>
      </c>
      <c r="E5389">
        <v>0.84052971044983804</v>
      </c>
      <c r="F5389">
        <v>0.59168108531296204</v>
      </c>
      <c r="G5389">
        <v>0.22258163084871699</v>
      </c>
      <c r="H5389">
        <v>7.5073667790633694E-2</v>
      </c>
      <c r="I5389">
        <v>8.5951603242559793E-2</v>
      </c>
      <c r="J5389">
        <v>9.5986895568988803E-2</v>
      </c>
      <c r="K5389">
        <v>0.117183752278126</v>
      </c>
      <c r="L5389">
        <v>1384.6760579667</v>
      </c>
      <c r="M5389">
        <v>25.9489867961321</v>
      </c>
      <c r="N5389">
        <v>53.7203913134</v>
      </c>
      <c r="O5389">
        <v>53.047581649039003</v>
      </c>
      <c r="P5389">
        <v>-0.11255948819862301</v>
      </c>
      <c r="Q5389">
        <v>7.9588056580125993E-2</v>
      </c>
      <c r="R5389">
        <v>0.99379501920930502</v>
      </c>
      <c r="S5389" t="s">
        <v>12059</v>
      </c>
      <c r="T5389" t="s">
        <v>13338</v>
      </c>
      <c r="U5389" t="s">
        <v>13338</v>
      </c>
      <c r="V5389" t="s">
        <v>13338</v>
      </c>
      <c r="W5389" t="s">
        <v>18670</v>
      </c>
      <c r="X5389">
        <v>8</v>
      </c>
      <c r="Y5389" t="s">
        <v>25166</v>
      </c>
      <c r="Z5389" t="s">
        <v>31804</v>
      </c>
      <c r="AA5389">
        <v>0.49744561479009419</v>
      </c>
      <c r="AB5389" t="str">
        <f>HYPERLINK("Melting_Curves/meltCurve_Q9BTU6_PI4K2A.pdf", "Melting_Curves/meltCurve_Q9BTU6_PI4K2A.pdf")</f>
        <v>Melting_Curves/meltCurve_Q9BTU6_PI4K2A.pdf</v>
      </c>
    </row>
    <row r="5390" spans="1:28" x14ac:dyDescent="0.25">
      <c r="A5390" t="s">
        <v>5394</v>
      </c>
      <c r="B5390">
        <v>0.99193492352474899</v>
      </c>
      <c r="C5390">
        <v>1.06529374885762</v>
      </c>
      <c r="D5390">
        <v>0.954101753337671</v>
      </c>
      <c r="E5390">
        <v>0.60365619478490495</v>
      </c>
      <c r="F5390">
        <v>0.35290385212352898</v>
      </c>
      <c r="G5390">
        <v>0.14181049346076299</v>
      </c>
      <c r="H5390">
        <v>8.1016099964255794E-2</v>
      </c>
      <c r="I5390">
        <v>7.9046566441319299E-2</v>
      </c>
      <c r="J5390">
        <v>9.3009644993090695E-2</v>
      </c>
      <c r="K5390">
        <v>0.104715615895016</v>
      </c>
      <c r="L5390">
        <v>1182.3970116038499</v>
      </c>
      <c r="M5390">
        <v>23.358855468985301</v>
      </c>
      <c r="N5390">
        <v>51.026091273548701</v>
      </c>
      <c r="O5390">
        <v>50.252180690368597</v>
      </c>
      <c r="P5390">
        <v>-0.10632629912059301</v>
      </c>
      <c r="Q5390">
        <v>8.5052032905753694E-2</v>
      </c>
      <c r="R5390">
        <v>0.99192988815606398</v>
      </c>
      <c r="S5390" t="s">
        <v>12060</v>
      </c>
      <c r="T5390" t="s">
        <v>13338</v>
      </c>
      <c r="U5390" t="s">
        <v>13338</v>
      </c>
      <c r="V5390" t="s">
        <v>13338</v>
      </c>
      <c r="W5390" t="s">
        <v>18671</v>
      </c>
      <c r="X5390">
        <v>8</v>
      </c>
      <c r="Y5390" t="s">
        <v>25167</v>
      </c>
      <c r="Z5390" t="s">
        <v>31805</v>
      </c>
      <c r="AA5390">
        <v>0.41831923521811498</v>
      </c>
      <c r="AB5390" t="str">
        <f>HYPERLINK("Melting_Curves/meltCurve_Q9BTV4_TMEM43.pdf", "Melting_Curves/meltCurve_Q9BTV4_TMEM43.pdf")</f>
        <v>Melting_Curves/meltCurve_Q9BTV4_TMEM43.pdf</v>
      </c>
    </row>
    <row r="5391" spans="1:28" x14ac:dyDescent="0.25">
      <c r="A5391" t="s">
        <v>5395</v>
      </c>
      <c r="B5391">
        <v>0.99193492352474899</v>
      </c>
      <c r="C5391">
        <v>0.82339527049939298</v>
      </c>
      <c r="D5391">
        <v>0.88435760428360699</v>
      </c>
      <c r="E5391">
        <v>0.38441474227220501</v>
      </c>
      <c r="F5391">
        <v>0.205297213254439</v>
      </c>
      <c r="G5391">
        <v>0.12533553456741101</v>
      </c>
      <c r="H5391">
        <v>7.6243038350268702E-2</v>
      </c>
      <c r="I5391">
        <v>7.3043323683119707E-2</v>
      </c>
      <c r="J5391">
        <v>7.03071397983311E-2</v>
      </c>
      <c r="K5391">
        <v>7.3402972514829301E-2</v>
      </c>
      <c r="L5391">
        <v>1112.9860375794699</v>
      </c>
      <c r="M5391">
        <v>22.9060885411645</v>
      </c>
      <c r="N5391">
        <v>48.931585083753099</v>
      </c>
      <c r="O5391">
        <v>48.223309527347098</v>
      </c>
      <c r="P5391">
        <v>-0.109956541991858</v>
      </c>
      <c r="Q5391">
        <v>7.4068478038313207E-2</v>
      </c>
      <c r="R5391">
        <v>0.97830538907197195</v>
      </c>
      <c r="S5391" t="s">
        <v>12061</v>
      </c>
      <c r="T5391" t="s">
        <v>13338</v>
      </c>
      <c r="U5391" t="s">
        <v>13338</v>
      </c>
      <c r="V5391" t="s">
        <v>13338</v>
      </c>
      <c r="W5391" t="s">
        <v>18672</v>
      </c>
      <c r="X5391">
        <v>8</v>
      </c>
      <c r="Y5391" t="s">
        <v>25168</v>
      </c>
      <c r="Z5391" t="s">
        <v>31806</v>
      </c>
      <c r="AA5391">
        <v>0.34899244217977188</v>
      </c>
      <c r="AB5391" t="str">
        <f>HYPERLINK("Melting_Curves/meltCurve_Q9BTV5_FSD1.pdf", "Melting_Curves/meltCurve_Q9BTV5_FSD1.pdf")</f>
        <v>Melting_Curves/meltCurve_Q9BTV5_FSD1.pdf</v>
      </c>
    </row>
    <row r="5392" spans="1:28" x14ac:dyDescent="0.25">
      <c r="A5392" t="s">
        <v>5396</v>
      </c>
      <c r="B5392">
        <v>0.99193492352474899</v>
      </c>
      <c r="C5392">
        <v>1.00338056497401</v>
      </c>
      <c r="D5392">
        <v>0.84756415039377297</v>
      </c>
      <c r="E5392">
        <v>0.76220438140197999</v>
      </c>
      <c r="F5392">
        <v>0.63335729629809401</v>
      </c>
      <c r="G5392">
        <v>0.449178651907715</v>
      </c>
      <c r="H5392">
        <v>0.23582688596184101</v>
      </c>
      <c r="I5392">
        <v>0.178753277374506</v>
      </c>
      <c r="J5392">
        <v>0.17227733592727501</v>
      </c>
      <c r="K5392">
        <v>0.116483969304297</v>
      </c>
      <c r="L5392">
        <v>611.33557204626698</v>
      </c>
      <c r="M5392">
        <v>11.1306696612635</v>
      </c>
      <c r="N5392">
        <v>55.248504265289498</v>
      </c>
      <c r="O5392">
        <v>53.240119804836297</v>
      </c>
      <c r="P5392">
        <v>-5.06264732899607E-2</v>
      </c>
      <c r="Q5392">
        <v>3.1687778778375197E-2</v>
      </c>
      <c r="R5392">
        <v>0.99176469451680305</v>
      </c>
      <c r="S5392" t="s">
        <v>12062</v>
      </c>
      <c r="T5392" t="s">
        <v>13338</v>
      </c>
      <c r="U5392" t="s">
        <v>13338</v>
      </c>
      <c r="V5392" t="s">
        <v>13338</v>
      </c>
      <c r="W5392" t="s">
        <v>18673</v>
      </c>
      <c r="X5392">
        <v>4</v>
      </c>
      <c r="Y5392" t="s">
        <v>25169</v>
      </c>
      <c r="Z5392" t="s">
        <v>31807</v>
      </c>
      <c r="AA5392">
        <v>0.53743777162232331</v>
      </c>
      <c r="AB5392" t="str">
        <f>HYPERLINK("Melting_Curves/meltCurve_Q9BTV6_WDR85.pdf", "Melting_Curves/meltCurve_Q9BTV6_WDR85.pdf")</f>
        <v>Melting_Curves/meltCurve_Q9BTV6_WDR85.pdf</v>
      </c>
    </row>
    <row r="5393" spans="1:28" x14ac:dyDescent="0.25">
      <c r="A5393" t="s">
        <v>5397</v>
      </c>
      <c r="B5393">
        <v>0.99193492352474899</v>
      </c>
      <c r="C5393">
        <v>0.80622504587607902</v>
      </c>
      <c r="D5393">
        <v>0.84041943725054302</v>
      </c>
      <c r="E5393">
        <v>0.59524904850393201</v>
      </c>
      <c r="F5393">
        <v>0.42777492841255399</v>
      </c>
      <c r="G5393">
        <v>0.116167427943353</v>
      </c>
      <c r="H5393">
        <v>5.4061760943817802E-2</v>
      </c>
      <c r="I5393">
        <v>8.1561509504651505E-2</v>
      </c>
      <c r="J5393">
        <v>8.6486019975083206E-2</v>
      </c>
      <c r="K5393">
        <v>3.3246246869870801E-2</v>
      </c>
      <c r="L5393">
        <v>680.98089984501496</v>
      </c>
      <c r="M5393">
        <v>13.382667624944901</v>
      </c>
      <c r="N5393">
        <v>50.904609756695002</v>
      </c>
      <c r="O5393">
        <v>49.789344758403097</v>
      </c>
      <c r="P5393">
        <v>-6.7036699630014795E-2</v>
      </c>
      <c r="Q5393">
        <v>2.5342533196631698E-3</v>
      </c>
      <c r="R5393">
        <v>0.97498498030112402</v>
      </c>
      <c r="S5393" t="s">
        <v>12063</v>
      </c>
      <c r="T5393" t="s">
        <v>13338</v>
      </c>
      <c r="U5393" t="s">
        <v>13338</v>
      </c>
      <c r="V5393" t="s">
        <v>13338</v>
      </c>
      <c r="W5393" t="s">
        <v>18674</v>
      </c>
      <c r="X5393">
        <v>1</v>
      </c>
      <c r="Y5393" t="s">
        <v>25170</v>
      </c>
      <c r="Z5393" t="s">
        <v>31808</v>
      </c>
      <c r="AA5393">
        <v>0.3922638017522273</v>
      </c>
      <c r="AB5393" t="str">
        <f>HYPERLINK("Melting_Curves/meltCurve_Q9BTV7_CABLES2.pdf", "Melting_Curves/meltCurve_Q9BTV7_CABLES2.pdf")</f>
        <v>Melting_Curves/meltCurve_Q9BTV7_CABLES2.pdf</v>
      </c>
    </row>
    <row r="5394" spans="1:28" x14ac:dyDescent="0.25">
      <c r="A5394" t="s">
        <v>5398</v>
      </c>
      <c r="B5394">
        <v>0.99193492352474899</v>
      </c>
      <c r="C5394">
        <v>0.83443084338918405</v>
      </c>
      <c r="D5394">
        <v>0.89253442970054797</v>
      </c>
      <c r="E5394">
        <v>0.64981544996844698</v>
      </c>
      <c r="F5394">
        <v>0.36895419068448998</v>
      </c>
      <c r="G5394">
        <v>9.0665091058824795E-2</v>
      </c>
      <c r="H5394">
        <v>4.8526921068417203E-2</v>
      </c>
      <c r="I5394">
        <v>6.3277461211278502E-2</v>
      </c>
      <c r="J5394">
        <v>7.6303879863220694E-2</v>
      </c>
      <c r="K5394">
        <v>8.6166289171039703E-2</v>
      </c>
      <c r="L5394">
        <v>957.22521573401798</v>
      </c>
      <c r="M5394">
        <v>18.819541267931399</v>
      </c>
      <c r="N5394">
        <v>51.098263515839598</v>
      </c>
      <c r="O5394">
        <v>50.299520784840901</v>
      </c>
      <c r="P5394">
        <v>-8.9665097086343598E-2</v>
      </c>
      <c r="Q5394">
        <v>4.14381748522838E-2</v>
      </c>
      <c r="R5394">
        <v>0.979318304734067</v>
      </c>
      <c r="S5394" t="s">
        <v>12064</v>
      </c>
      <c r="T5394" t="s">
        <v>13338</v>
      </c>
      <c r="U5394" t="s">
        <v>13338</v>
      </c>
      <c r="V5394" t="s">
        <v>13338</v>
      </c>
      <c r="W5394" t="s">
        <v>18675</v>
      </c>
      <c r="X5394">
        <v>3</v>
      </c>
      <c r="Y5394" t="s">
        <v>25171</v>
      </c>
      <c r="Z5394" t="s">
        <v>31809</v>
      </c>
      <c r="AA5394">
        <v>0.40345501611815032</v>
      </c>
      <c r="AB5394" t="str">
        <f>HYPERLINK("Melting_Curves/meltCurve_Q9BTX1_4_TMEM48.pdf", "Melting_Curves/meltCurve_Q9BTX1_4_TMEM48.pdf")</f>
        <v>Melting_Curves/meltCurve_Q9BTX1_4_TMEM48.pdf</v>
      </c>
    </row>
    <row r="5395" spans="1:28" x14ac:dyDescent="0.25">
      <c r="A5395" t="s">
        <v>5399</v>
      </c>
      <c r="B5395">
        <v>0.99193492352474899</v>
      </c>
      <c r="C5395">
        <v>1.0075688931754501</v>
      </c>
      <c r="D5395">
        <v>0.912534860599716</v>
      </c>
      <c r="E5395">
        <v>0.85534425978259998</v>
      </c>
      <c r="F5395">
        <v>0.60509770432949905</v>
      </c>
      <c r="G5395">
        <v>0.31123768979545702</v>
      </c>
      <c r="H5395">
        <v>0.14724112034216499</v>
      </c>
      <c r="I5395">
        <v>9.9444978298659795E-2</v>
      </c>
      <c r="J5395">
        <v>0.10649088388347</v>
      </c>
      <c r="K5395">
        <v>9.5187415012422005E-2</v>
      </c>
      <c r="L5395">
        <v>1053.8221082790999</v>
      </c>
      <c r="M5395">
        <v>19.5831544237566</v>
      </c>
      <c r="N5395">
        <v>54.254793069093502</v>
      </c>
      <c r="O5395">
        <v>53.260970579044503</v>
      </c>
      <c r="P5395">
        <v>-8.5145029912461798E-2</v>
      </c>
      <c r="Q5395">
        <v>7.3745443623694104E-2</v>
      </c>
      <c r="R5395">
        <v>0.99699245251234703</v>
      </c>
      <c r="S5395" t="s">
        <v>12065</v>
      </c>
      <c r="T5395" t="s">
        <v>13338</v>
      </c>
      <c r="U5395" t="s">
        <v>13338</v>
      </c>
      <c r="V5395" t="s">
        <v>13338</v>
      </c>
      <c r="W5395" t="s">
        <v>18676</v>
      </c>
      <c r="X5395">
        <v>3</v>
      </c>
      <c r="Y5395" t="s">
        <v>25172</v>
      </c>
      <c r="Z5395" t="s">
        <v>31810</v>
      </c>
      <c r="AA5395">
        <v>0.51327602129211325</v>
      </c>
      <c r="AB5395" t="str">
        <f>HYPERLINK("Melting_Curves/meltCurve_Q9BTX7_TTPAL.pdf", "Melting_Curves/meltCurve_Q9BTX7_TTPAL.pdf")</f>
        <v>Melting_Curves/meltCurve_Q9BTX7_TTPAL.pdf</v>
      </c>
    </row>
    <row r="5396" spans="1:28" x14ac:dyDescent="0.25">
      <c r="A5396" t="s">
        <v>5400</v>
      </c>
      <c r="B5396">
        <v>0.99193492352474899</v>
      </c>
      <c r="C5396">
        <v>0.99632092779774895</v>
      </c>
      <c r="D5396">
        <v>0.55568198804970204</v>
      </c>
      <c r="E5396">
        <v>0.27226391323507998</v>
      </c>
      <c r="F5396">
        <v>0.17740638581114501</v>
      </c>
      <c r="G5396">
        <v>9.8876203044112404E-2</v>
      </c>
      <c r="H5396">
        <v>7.3202863012269401E-2</v>
      </c>
      <c r="I5396">
        <v>0.10353173512906701</v>
      </c>
      <c r="J5396">
        <v>0.106468781804509</v>
      </c>
      <c r="K5396">
        <v>0.130435576871959</v>
      </c>
      <c r="L5396">
        <v>1336.64333254441</v>
      </c>
      <c r="M5396">
        <v>28.845159908673999</v>
      </c>
      <c r="N5396">
        <v>46.758513365335403</v>
      </c>
      <c r="O5396">
        <v>46.117569120695201</v>
      </c>
      <c r="P5396">
        <v>-0.13852497954041601</v>
      </c>
      <c r="Q5396">
        <v>0.114113286627668</v>
      </c>
      <c r="R5396">
        <v>0.98823187844830296</v>
      </c>
      <c r="S5396" t="s">
        <v>12066</v>
      </c>
      <c r="T5396" t="s">
        <v>13338</v>
      </c>
      <c r="U5396" t="s">
        <v>13338</v>
      </c>
      <c r="V5396" t="s">
        <v>13338</v>
      </c>
      <c r="W5396" t="s">
        <v>18677</v>
      </c>
      <c r="X5396">
        <v>10</v>
      </c>
      <c r="Y5396" t="s">
        <v>25173</v>
      </c>
      <c r="Z5396" t="s">
        <v>31811</v>
      </c>
      <c r="AA5396">
        <v>0.30712896313520399</v>
      </c>
      <c r="AB5396" t="str">
        <f>HYPERLINK("Melting_Curves/meltCurve_Q9BTY7_FAM203A.pdf", "Melting_Curves/meltCurve_Q9BTY7_FAM203A.pdf")</f>
        <v>Melting_Curves/meltCurve_Q9BTY7_FAM203A.pdf</v>
      </c>
    </row>
    <row r="5397" spans="1:28" x14ac:dyDescent="0.25">
      <c r="A5397" t="s">
        <v>5401</v>
      </c>
      <c r="B5397">
        <v>0.99193492352474899</v>
      </c>
      <c r="C5397">
        <v>0.93526800901277696</v>
      </c>
      <c r="D5397">
        <v>0.96312959735068404</v>
      </c>
      <c r="E5397">
        <v>0.84378135292643697</v>
      </c>
      <c r="F5397">
        <v>0.67470807761640295</v>
      </c>
      <c r="G5397">
        <v>0.42331540169613002</v>
      </c>
      <c r="H5397">
        <v>0.23951746804916399</v>
      </c>
      <c r="I5397">
        <v>0.191558559858027</v>
      </c>
      <c r="J5397">
        <v>0.166398219103609</v>
      </c>
      <c r="K5397">
        <v>0.16765617851396999</v>
      </c>
      <c r="L5397">
        <v>910.85327656129004</v>
      </c>
      <c r="M5397">
        <v>16.713002924031599</v>
      </c>
      <c r="N5397">
        <v>55.497380564033001</v>
      </c>
      <c r="O5397">
        <v>53.737357338204497</v>
      </c>
      <c r="P5397">
        <v>-6.7668377810132893E-2</v>
      </c>
      <c r="Q5397">
        <v>0.12976032745788299</v>
      </c>
      <c r="R5397">
        <v>0.99598585320678301</v>
      </c>
      <c r="S5397" t="s">
        <v>12067</v>
      </c>
      <c r="T5397" t="s">
        <v>13338</v>
      </c>
      <c r="U5397" t="s">
        <v>13338</v>
      </c>
      <c r="V5397" t="s">
        <v>13338</v>
      </c>
      <c r="W5397" t="s">
        <v>18678</v>
      </c>
      <c r="X5397">
        <v>12</v>
      </c>
      <c r="Y5397" t="s">
        <v>25174</v>
      </c>
      <c r="Z5397" t="s">
        <v>31812</v>
      </c>
      <c r="AA5397">
        <v>0.56554432173077984</v>
      </c>
      <c r="AB5397" t="str">
        <f>HYPERLINK("Melting_Curves/meltCurve_Q9BTZ2_DHRS4.pdf", "Melting_Curves/meltCurve_Q9BTZ2_DHRS4.pdf")</f>
        <v>Melting_Curves/meltCurve_Q9BTZ2_DHRS4.pdf</v>
      </c>
    </row>
    <row r="5398" spans="1:28" x14ac:dyDescent="0.25">
      <c r="A5398" t="s">
        <v>5402</v>
      </c>
      <c r="B5398">
        <v>0.99193492352474899</v>
      </c>
      <c r="C5398">
        <v>0.96795683166276503</v>
      </c>
      <c r="D5398">
        <v>0.735640054501008</v>
      </c>
      <c r="E5398">
        <v>0.52214370266896204</v>
      </c>
      <c r="F5398">
        <v>0.21781603054808499</v>
      </c>
      <c r="G5398">
        <v>0.160235961651992</v>
      </c>
      <c r="H5398">
        <v>8.4794417427472804E-2</v>
      </c>
      <c r="I5398">
        <v>0.13189669178861599</v>
      </c>
      <c r="J5398">
        <v>0.13450584977726701</v>
      </c>
      <c r="K5398">
        <v>0.15075542743148601</v>
      </c>
      <c r="L5398">
        <v>963.669390641787</v>
      </c>
      <c r="M5398">
        <v>19.824277141568398</v>
      </c>
      <c r="N5398">
        <v>49.263715455478298</v>
      </c>
      <c r="O5398">
        <v>48.124036977136399</v>
      </c>
      <c r="P5398">
        <v>-9.1086882768487698E-2</v>
      </c>
      <c r="Q5398">
        <v>0.11556502739192701</v>
      </c>
      <c r="R5398">
        <v>0.99136271289469502</v>
      </c>
      <c r="S5398" t="s">
        <v>12068</v>
      </c>
      <c r="T5398" t="s">
        <v>13338</v>
      </c>
      <c r="U5398" t="s">
        <v>13338</v>
      </c>
      <c r="V5398" t="s">
        <v>13338</v>
      </c>
      <c r="W5398" t="s">
        <v>18679</v>
      </c>
      <c r="X5398">
        <v>8</v>
      </c>
      <c r="Y5398" t="s">
        <v>25175</v>
      </c>
      <c r="Z5398" t="s">
        <v>31813</v>
      </c>
      <c r="AA5398">
        <v>0.38208589540664001</v>
      </c>
      <c r="AB5398" t="str">
        <f>HYPERLINK("Melting_Curves/meltCurve_Q9BU02_THTPA.pdf", "Melting_Curves/meltCurve_Q9BU02_THTPA.pdf")</f>
        <v>Melting_Curves/meltCurve_Q9BU02_THTPA.pdf</v>
      </c>
    </row>
    <row r="5399" spans="1:28" x14ac:dyDescent="0.25">
      <c r="A5399" t="s">
        <v>5403</v>
      </c>
      <c r="B5399">
        <v>0.99193492352474899</v>
      </c>
      <c r="C5399">
        <v>1.15514134038691</v>
      </c>
      <c r="D5399">
        <v>1.19339405940814</v>
      </c>
      <c r="E5399">
        <v>0.771415126439983</v>
      </c>
      <c r="F5399">
        <v>0.28217043778899398</v>
      </c>
      <c r="G5399">
        <v>0.12934298266950101</v>
      </c>
      <c r="H5399">
        <v>7.0063187493161705E-2</v>
      </c>
      <c r="I5399">
        <v>8.3055778274079506E-2</v>
      </c>
      <c r="J5399">
        <v>0.10300270118430201</v>
      </c>
      <c r="K5399">
        <v>0.10315955170055199</v>
      </c>
      <c r="L5399">
        <v>2002.32014661627</v>
      </c>
      <c r="M5399">
        <v>39.097623426728397</v>
      </c>
      <c r="N5399">
        <v>51.491657769664798</v>
      </c>
      <c r="O5399">
        <v>51.0799401921645</v>
      </c>
      <c r="P5399">
        <v>-0.173131392107683</v>
      </c>
      <c r="Q5399">
        <v>9.5237382395644402E-2</v>
      </c>
      <c r="R5399">
        <v>0.96718607425289305</v>
      </c>
      <c r="S5399" t="s">
        <v>12069</v>
      </c>
      <c r="T5399" t="s">
        <v>13338</v>
      </c>
      <c r="U5399" t="s">
        <v>13338</v>
      </c>
      <c r="V5399" t="s">
        <v>13338</v>
      </c>
      <c r="W5399" t="s">
        <v>18680</v>
      </c>
      <c r="X5399">
        <v>4</v>
      </c>
      <c r="Y5399" t="s">
        <v>25176</v>
      </c>
      <c r="Z5399" t="s">
        <v>31814</v>
      </c>
      <c r="AA5399">
        <v>0.43677093101213271</v>
      </c>
      <c r="AB5399" t="str">
        <f>HYPERLINK("Melting_Curves/meltCurve_Q9BU23_2_LMF2.pdf", "Melting_Curves/meltCurve_Q9BU23_2_LMF2.pdf")</f>
        <v>Melting_Curves/meltCurve_Q9BU23_2_LMF2.pdf</v>
      </c>
    </row>
    <row r="5400" spans="1:28" x14ac:dyDescent="0.25">
      <c r="A5400" t="s">
        <v>5404</v>
      </c>
      <c r="B5400">
        <v>0.99193492352474899</v>
      </c>
      <c r="C5400">
        <v>0.866640543458434</v>
      </c>
      <c r="D5400">
        <v>0.94012294128200902</v>
      </c>
      <c r="E5400">
        <v>0.90904818901892803</v>
      </c>
      <c r="F5400">
        <v>0.77463229220539098</v>
      </c>
      <c r="G5400">
        <v>0.29854803202792601</v>
      </c>
      <c r="H5400">
        <v>0.14814064897913201</v>
      </c>
      <c r="I5400">
        <v>0.14470022227263499</v>
      </c>
      <c r="J5400">
        <v>0.161575714539096</v>
      </c>
      <c r="K5400">
        <v>0.19558868086526299</v>
      </c>
      <c r="L5400">
        <v>2063.7518434500198</v>
      </c>
      <c r="M5400">
        <v>37.876617618209103</v>
      </c>
      <c r="N5400">
        <v>55.0332999437274</v>
      </c>
      <c r="O5400">
        <v>54.334958852331397</v>
      </c>
      <c r="P5400">
        <v>-0.14693180118619201</v>
      </c>
      <c r="Q5400">
        <v>0.156892776822942</v>
      </c>
      <c r="R5400">
        <v>0.97751816166425298</v>
      </c>
      <c r="S5400" t="s">
        <v>12070</v>
      </c>
      <c r="T5400" t="s">
        <v>13338</v>
      </c>
      <c r="U5400" t="s">
        <v>13338</v>
      </c>
      <c r="V5400" t="s">
        <v>13338</v>
      </c>
      <c r="W5400" t="s">
        <v>18681</v>
      </c>
      <c r="X5400">
        <v>4</v>
      </c>
      <c r="Y5400" t="s">
        <v>25177</v>
      </c>
      <c r="Z5400" t="s">
        <v>31815</v>
      </c>
      <c r="AA5400">
        <v>0.56753574948471452</v>
      </c>
      <c r="AB5400" t="str">
        <f>HYPERLINK("Melting_Curves/meltCurve_Q9BU61_NDUFAF3.pdf", "Melting_Curves/meltCurve_Q9BU61_NDUFAF3.pdf")</f>
        <v>Melting_Curves/meltCurve_Q9BU61_NDUFAF3.pdf</v>
      </c>
    </row>
    <row r="5401" spans="1:28" x14ac:dyDescent="0.25">
      <c r="A5401" t="s">
        <v>5405</v>
      </c>
      <c r="B5401">
        <v>0.99193492352474899</v>
      </c>
      <c r="C5401">
        <v>0.64292466595020803</v>
      </c>
      <c r="D5401">
        <v>0.774035166120975</v>
      </c>
      <c r="E5401">
        <v>0.50274243470362501</v>
      </c>
      <c r="F5401">
        <v>0.51158897602257103</v>
      </c>
      <c r="G5401">
        <v>0.347771128165271</v>
      </c>
      <c r="H5401">
        <v>0.114026873000315</v>
      </c>
      <c r="I5401">
        <v>0.175788893563468</v>
      </c>
      <c r="J5401">
        <v>0.161773592739893</v>
      </c>
      <c r="K5401">
        <v>0.18609197089103</v>
      </c>
      <c r="L5401">
        <v>398.32299332174898</v>
      </c>
      <c r="M5401">
        <v>7.8951708177067896</v>
      </c>
      <c r="N5401">
        <v>50.949725000903904</v>
      </c>
      <c r="O5401">
        <v>47.5225034555381</v>
      </c>
      <c r="P5401">
        <v>-4.0038236683388503E-2</v>
      </c>
      <c r="Q5401">
        <v>3.7153482690793799E-2</v>
      </c>
      <c r="R5401">
        <v>0.90791689957842503</v>
      </c>
      <c r="S5401" t="s">
        <v>12071</v>
      </c>
      <c r="T5401" t="s">
        <v>13338</v>
      </c>
      <c r="U5401" t="s">
        <v>13338</v>
      </c>
      <c r="V5401" t="s">
        <v>13338</v>
      </c>
      <c r="W5401" t="s">
        <v>18682</v>
      </c>
      <c r="X5401">
        <v>1</v>
      </c>
      <c r="Y5401" t="s">
        <v>25178</v>
      </c>
      <c r="Z5401" t="s">
        <v>31816</v>
      </c>
      <c r="AA5401">
        <v>0.42806282466726958</v>
      </c>
      <c r="AB5401" t="str">
        <f>HYPERLINK("Melting_Curves/meltCurve_Q9BU64_CENPO.pdf", "Melting_Curves/meltCurve_Q9BU64_CENPO.pdf")</f>
        <v>Melting_Curves/meltCurve_Q9BU64_CENPO.pdf</v>
      </c>
    </row>
    <row r="5402" spans="1:28" x14ac:dyDescent="0.25">
      <c r="A5402" t="s">
        <v>5406</v>
      </c>
      <c r="B5402">
        <v>0.99193492352474899</v>
      </c>
      <c r="C5402">
        <v>0.62593586515682997</v>
      </c>
      <c r="D5402">
        <v>0.89949912508873697</v>
      </c>
      <c r="E5402">
        <v>0.56908391474545394</v>
      </c>
      <c r="F5402">
        <v>0.59915731273642303</v>
      </c>
      <c r="G5402">
        <v>0.46935418078373897</v>
      </c>
      <c r="H5402">
        <v>0.66869921808743704</v>
      </c>
      <c r="I5402">
        <v>0.91242622671780804</v>
      </c>
      <c r="J5402">
        <v>1.49194615873831</v>
      </c>
      <c r="K5402">
        <v>1.6933883792136899</v>
      </c>
      <c r="L5402">
        <v>15000</v>
      </c>
      <c r="M5402">
        <v>227.30561877696601</v>
      </c>
      <c r="O5402">
        <v>65.985341949893396</v>
      </c>
      <c r="P5402">
        <v>0.43059870186948501</v>
      </c>
      <c r="Q5402">
        <v>1.5</v>
      </c>
      <c r="R5402">
        <v>0.37883227421642002</v>
      </c>
      <c r="S5402" t="s">
        <v>12072</v>
      </c>
      <c r="T5402" t="s">
        <v>13338</v>
      </c>
      <c r="U5402" t="s">
        <v>13338</v>
      </c>
      <c r="V5402" t="s">
        <v>13338</v>
      </c>
      <c r="W5402" t="s">
        <v>18683</v>
      </c>
      <c r="X5402">
        <v>7</v>
      </c>
      <c r="Y5402" t="s">
        <v>25179</v>
      </c>
      <c r="Z5402" t="s">
        <v>31817</v>
      </c>
      <c r="AA5402">
        <v>1.066755801327482</v>
      </c>
      <c r="AB5402" t="str">
        <f>HYPERLINK("Melting_Curves/meltCurve_Q9BU76_3_MMTAG2.pdf", "Melting_Curves/meltCurve_Q9BU76_3_MMTAG2.pdf")</f>
        <v>Melting_Curves/meltCurve_Q9BU76_3_MMTAG2.pdf</v>
      </c>
    </row>
    <row r="5403" spans="1:28" x14ac:dyDescent="0.25">
      <c r="A5403" t="s">
        <v>5407</v>
      </c>
      <c r="B5403">
        <v>0.99193492352474899</v>
      </c>
      <c r="C5403">
        <v>0.74009827002775097</v>
      </c>
      <c r="D5403">
        <v>0.522913732780935</v>
      </c>
      <c r="E5403">
        <v>0.37932803210944699</v>
      </c>
      <c r="F5403">
        <v>0.24518734606668799</v>
      </c>
      <c r="G5403">
        <v>0.15297308819043801</v>
      </c>
      <c r="H5403">
        <v>9.7103365966892799E-2</v>
      </c>
      <c r="I5403">
        <v>0.107657634381517</v>
      </c>
      <c r="J5403">
        <v>0.125851288801649</v>
      </c>
      <c r="K5403">
        <v>0.156085610886148</v>
      </c>
      <c r="L5403">
        <v>685.19796155828305</v>
      </c>
      <c r="M5403">
        <v>14.8959702410435</v>
      </c>
      <c r="N5403">
        <v>46.823214398926901</v>
      </c>
      <c r="O5403">
        <v>45.1937588444559</v>
      </c>
      <c r="P5403">
        <v>-7.2904142354736398E-2</v>
      </c>
      <c r="Q5403">
        <v>0.11533951409821799</v>
      </c>
      <c r="R5403">
        <v>0.983365577008247</v>
      </c>
      <c r="S5403" t="s">
        <v>12073</v>
      </c>
      <c r="T5403" t="s">
        <v>13338</v>
      </c>
      <c r="U5403" t="s">
        <v>13338</v>
      </c>
      <c r="V5403" t="s">
        <v>13338</v>
      </c>
      <c r="W5403" t="s">
        <v>18684</v>
      </c>
      <c r="X5403">
        <v>9</v>
      </c>
      <c r="Y5403" t="s">
        <v>25180</v>
      </c>
      <c r="Z5403" t="s">
        <v>31818</v>
      </c>
      <c r="AA5403">
        <v>0.31845823220812181</v>
      </c>
      <c r="AB5403" t="str">
        <f>HYPERLINK("Melting_Curves/meltCurve_Q9BU89_DOHH.pdf", "Melting_Curves/meltCurve_Q9BU89_DOHH.pdf")</f>
        <v>Melting_Curves/meltCurve_Q9BU89_DOHH.pdf</v>
      </c>
    </row>
    <row r="5404" spans="1:28" x14ac:dyDescent="0.25">
      <c r="A5404" t="s">
        <v>5408</v>
      </c>
      <c r="B5404">
        <v>0.99193492352474899</v>
      </c>
      <c r="C5404">
        <v>1.01406618444571</v>
      </c>
      <c r="D5404">
        <v>0.80080028620701604</v>
      </c>
      <c r="E5404">
        <v>0.58255674057634199</v>
      </c>
      <c r="F5404">
        <v>0.34054184213472899</v>
      </c>
      <c r="G5404">
        <v>0.20971349033992301</v>
      </c>
      <c r="H5404">
        <v>0.17194482771178199</v>
      </c>
      <c r="I5404">
        <v>0.20189301014899</v>
      </c>
      <c r="J5404">
        <v>0.23180566599132901</v>
      </c>
      <c r="K5404">
        <v>0.30439530349685401</v>
      </c>
      <c r="L5404">
        <v>1080.7519250221901</v>
      </c>
      <c r="M5404">
        <v>22.070496588204499</v>
      </c>
      <c r="N5404">
        <v>50.264378657271401</v>
      </c>
      <c r="O5404">
        <v>48.571487571142001</v>
      </c>
      <c r="P5404">
        <v>-8.8949607000923706E-2</v>
      </c>
      <c r="Q5404">
        <v>0.21699656722721899</v>
      </c>
      <c r="R5404">
        <v>0.98202839646360995</v>
      </c>
      <c r="S5404" t="s">
        <v>12074</v>
      </c>
      <c r="T5404" t="s">
        <v>13338</v>
      </c>
      <c r="U5404" t="s">
        <v>13338</v>
      </c>
      <c r="V5404" t="s">
        <v>13338</v>
      </c>
      <c r="W5404" t="s">
        <v>18685</v>
      </c>
      <c r="X5404">
        <v>5</v>
      </c>
      <c r="Y5404" t="s">
        <v>25181</v>
      </c>
      <c r="Z5404" t="s">
        <v>31819</v>
      </c>
      <c r="AA5404">
        <v>0.46003502927313838</v>
      </c>
      <c r="AB5404" t="str">
        <f>HYPERLINK("Melting_Curves/meltCurve_Q9BUA3_C11orf84.pdf", "Melting_Curves/meltCurve_Q9BUA3_C11orf84.pdf")</f>
        <v>Melting_Curves/meltCurve_Q9BUA3_C11orf84.pdf</v>
      </c>
    </row>
    <row r="5405" spans="1:28" x14ac:dyDescent="0.25">
      <c r="A5405" t="s">
        <v>5409</v>
      </c>
      <c r="B5405">
        <v>0.99193492352474899</v>
      </c>
      <c r="C5405">
        <v>0.78423154641966697</v>
      </c>
      <c r="D5405">
        <v>0.79020580667132601</v>
      </c>
      <c r="E5405">
        <v>0.47042169813975498</v>
      </c>
      <c r="F5405">
        <v>0.25297795609094598</v>
      </c>
      <c r="G5405">
        <v>0.165293907722742</v>
      </c>
      <c r="H5405">
        <v>0.11811656342186901</v>
      </c>
      <c r="I5405">
        <v>0.14251872646617</v>
      </c>
      <c r="J5405">
        <v>0.19461430947452399</v>
      </c>
      <c r="K5405">
        <v>0.139615356617938</v>
      </c>
      <c r="L5405">
        <v>793.36054709288999</v>
      </c>
      <c r="M5405">
        <v>16.480541254196499</v>
      </c>
      <c r="N5405">
        <v>49.0137645875364</v>
      </c>
      <c r="O5405">
        <v>47.4472015771548</v>
      </c>
      <c r="P5405">
        <v>-7.5780259956164497E-2</v>
      </c>
      <c r="Q5405">
        <v>0.12738054358152401</v>
      </c>
      <c r="R5405">
        <v>0.97562530012567905</v>
      </c>
      <c r="S5405" t="s">
        <v>12075</v>
      </c>
      <c r="T5405" t="s">
        <v>13338</v>
      </c>
      <c r="U5405" t="s">
        <v>13338</v>
      </c>
      <c r="V5405" t="s">
        <v>13338</v>
      </c>
      <c r="W5405" t="s">
        <v>18686</v>
      </c>
      <c r="X5405">
        <v>4</v>
      </c>
      <c r="Y5405" t="s">
        <v>25182</v>
      </c>
      <c r="Z5405" t="s">
        <v>31820</v>
      </c>
      <c r="AA5405">
        <v>0.38261126009849827</v>
      </c>
      <c r="AB5405" t="str">
        <f>HYPERLINK("Melting_Curves/meltCurve_Q9BUB5_2_MKNK1.pdf", "Melting_Curves/meltCurve_Q9BUB5_2_MKNK1.pdf")</f>
        <v>Melting_Curves/meltCurve_Q9BUB5_2_MKNK1.pdf</v>
      </c>
    </row>
    <row r="5406" spans="1:28" x14ac:dyDescent="0.25">
      <c r="A5406" t="s">
        <v>5410</v>
      </c>
      <c r="B5406">
        <v>0.99193492352474899</v>
      </c>
      <c r="C5406">
        <v>0.92733899661955099</v>
      </c>
      <c r="D5406">
        <v>0.60387459980844305</v>
      </c>
      <c r="E5406">
        <v>0.58068974459383305</v>
      </c>
      <c r="F5406">
        <v>0.39055735376669998</v>
      </c>
      <c r="G5406">
        <v>0.28910711027351799</v>
      </c>
      <c r="H5406">
        <v>0.140390742464063</v>
      </c>
      <c r="I5406">
        <v>0.15617598814081199</v>
      </c>
      <c r="J5406">
        <v>0.16018674714653799</v>
      </c>
      <c r="K5406">
        <v>0.14500088254561899</v>
      </c>
      <c r="L5406">
        <v>572.07606662487206</v>
      </c>
      <c r="M5406">
        <v>11.6218552101019</v>
      </c>
      <c r="N5406">
        <v>50.270789294812403</v>
      </c>
      <c r="O5406">
        <v>47.834492013074701</v>
      </c>
      <c r="P5406">
        <v>-5.4227727265410898E-2</v>
      </c>
      <c r="Q5406">
        <v>0.10745812489058899</v>
      </c>
      <c r="R5406">
        <v>0.97051580882313004</v>
      </c>
      <c r="S5406" t="s">
        <v>12076</v>
      </c>
      <c r="T5406" t="s">
        <v>13338</v>
      </c>
      <c r="U5406" t="s">
        <v>13338</v>
      </c>
      <c r="V5406" t="s">
        <v>13338</v>
      </c>
      <c r="W5406" t="s">
        <v>18687</v>
      </c>
      <c r="X5406">
        <v>3</v>
      </c>
      <c r="Y5406" t="s">
        <v>25183</v>
      </c>
      <c r="Z5406" t="s">
        <v>31821</v>
      </c>
      <c r="AA5406">
        <v>0.41597644584665</v>
      </c>
      <c r="AB5406" t="str">
        <f>HYPERLINK("Melting_Curves/meltCurve_Q9BUE0_MED18.pdf", "Melting_Curves/meltCurve_Q9BUE0_MED18.pdf")</f>
        <v>Melting_Curves/meltCurve_Q9BUE0_MED18.pdf</v>
      </c>
    </row>
    <row r="5407" spans="1:28" x14ac:dyDescent="0.25">
      <c r="A5407" t="s">
        <v>5411</v>
      </c>
      <c r="B5407">
        <v>0.99193492352474899</v>
      </c>
      <c r="C5407">
        <v>0.97016347244380496</v>
      </c>
      <c r="D5407">
        <v>0.99586842058876901</v>
      </c>
      <c r="E5407">
        <v>0.82975152571405097</v>
      </c>
      <c r="F5407">
        <v>0.944160272059827</v>
      </c>
      <c r="G5407">
        <v>0.523229409669421</v>
      </c>
      <c r="H5407">
        <v>0.23239951179271001</v>
      </c>
      <c r="I5407">
        <v>0.14030558139784599</v>
      </c>
      <c r="J5407">
        <v>0.144644157989469</v>
      </c>
      <c r="K5407">
        <v>0.128526030340821</v>
      </c>
      <c r="L5407">
        <v>1794.2065092642099</v>
      </c>
      <c r="M5407">
        <v>31.707582278944599</v>
      </c>
      <c r="N5407">
        <v>57.132504329213504</v>
      </c>
      <c r="O5407">
        <v>56.362387238445002</v>
      </c>
      <c r="P5407">
        <v>-0.12224556160745</v>
      </c>
      <c r="Q5407">
        <v>0.13080530847875499</v>
      </c>
      <c r="R5407">
        <v>0.97890983588326497</v>
      </c>
      <c r="S5407" t="s">
        <v>12077</v>
      </c>
      <c r="T5407" t="s">
        <v>13338</v>
      </c>
      <c r="U5407" t="s">
        <v>13338</v>
      </c>
      <c r="V5407" t="s">
        <v>13338</v>
      </c>
      <c r="W5407" t="s">
        <v>18688</v>
      </c>
      <c r="X5407">
        <v>14</v>
      </c>
      <c r="Y5407" t="s">
        <v>25184</v>
      </c>
      <c r="Z5407" t="s">
        <v>31822</v>
      </c>
      <c r="AA5407">
        <v>0.61659856854864437</v>
      </c>
      <c r="AB5407" t="str">
        <f>HYPERLINK("Melting_Curves/meltCurve_Q9BUF5_TUBB6.pdf", "Melting_Curves/meltCurve_Q9BUF5_TUBB6.pdf")</f>
        <v>Melting_Curves/meltCurve_Q9BUF5_TUBB6.pdf</v>
      </c>
    </row>
    <row r="5408" spans="1:28" x14ac:dyDescent="0.25">
      <c r="A5408" t="s">
        <v>5412</v>
      </c>
      <c r="B5408">
        <v>0.99193492352474899</v>
      </c>
      <c r="C5408">
        <v>0.80742452560499101</v>
      </c>
      <c r="D5408">
        <v>0.88422532829092304</v>
      </c>
      <c r="E5408">
        <v>0.70409917513924303</v>
      </c>
      <c r="F5408">
        <v>0.62026205216642805</v>
      </c>
      <c r="G5408">
        <v>0.434039076241093</v>
      </c>
      <c r="H5408">
        <v>0.34607178638468</v>
      </c>
      <c r="I5408">
        <v>0.299314402031361</v>
      </c>
      <c r="J5408">
        <v>0.28176035757553503</v>
      </c>
      <c r="K5408">
        <v>0.27407430794400001</v>
      </c>
      <c r="L5408">
        <v>479.28211486507598</v>
      </c>
      <c r="M5408">
        <v>9.0427793783554407</v>
      </c>
      <c r="N5408">
        <v>55.523679812228401</v>
      </c>
      <c r="O5408">
        <v>50.602305584008803</v>
      </c>
      <c r="P5408">
        <v>-3.7177803681484302E-2</v>
      </c>
      <c r="Q5408">
        <v>0.16842310676480099</v>
      </c>
      <c r="R5408">
        <v>0.97218707640423696</v>
      </c>
      <c r="S5408" t="s">
        <v>12078</v>
      </c>
      <c r="T5408" t="s">
        <v>13338</v>
      </c>
      <c r="U5408" t="s">
        <v>13338</v>
      </c>
      <c r="V5408" t="s">
        <v>13338</v>
      </c>
      <c r="W5408" t="s">
        <v>18689</v>
      </c>
      <c r="X5408">
        <v>10</v>
      </c>
      <c r="Y5408" t="s">
        <v>25185</v>
      </c>
      <c r="Z5408" t="s">
        <v>31823</v>
      </c>
      <c r="AA5408">
        <v>0.55978322840663697</v>
      </c>
      <c r="AB5408" t="str">
        <f>HYPERLINK("Melting_Curves/meltCurve_Q9BUH6_C9orf142.pdf", "Melting_Curves/meltCurve_Q9BUH6_C9orf142.pdf")</f>
        <v>Melting_Curves/meltCurve_Q9BUH6_C9orf142.pdf</v>
      </c>
    </row>
    <row r="5409" spans="1:28" x14ac:dyDescent="0.25">
      <c r="A5409" t="s">
        <v>5413</v>
      </c>
      <c r="B5409">
        <v>0.99193492352474899</v>
      </c>
      <c r="C5409">
        <v>0.70909724045589495</v>
      </c>
      <c r="D5409">
        <v>0.76911441207431896</v>
      </c>
      <c r="E5409">
        <v>0.431732062790882</v>
      </c>
      <c r="F5409">
        <v>0.33295938014229798</v>
      </c>
      <c r="G5409">
        <v>0.13064674732752701</v>
      </c>
      <c r="H5409">
        <v>6.3647274504823506E-2</v>
      </c>
      <c r="I5409">
        <v>6.4750427438424907E-2</v>
      </c>
      <c r="J5409">
        <v>7.1161043381036307E-2</v>
      </c>
      <c r="K5409">
        <v>7.2050814526248397E-2</v>
      </c>
      <c r="L5409">
        <v>577.60821214046996</v>
      </c>
      <c r="M5409">
        <v>11.829391553460001</v>
      </c>
      <c r="N5409">
        <v>48.9553445391293</v>
      </c>
      <c r="O5409">
        <v>47.4955290193151</v>
      </c>
      <c r="P5409">
        <v>-6.1339618877595599E-2</v>
      </c>
      <c r="Q5409">
        <v>1.51258533220643E-2</v>
      </c>
      <c r="R5409">
        <v>0.96664076293383705</v>
      </c>
      <c r="S5409" t="s">
        <v>12079</v>
      </c>
      <c r="T5409" t="s">
        <v>13338</v>
      </c>
      <c r="U5409" t="s">
        <v>13338</v>
      </c>
      <c r="V5409" t="s">
        <v>13338</v>
      </c>
      <c r="W5409" t="s">
        <v>18690</v>
      </c>
      <c r="X5409">
        <v>10</v>
      </c>
      <c r="Y5409" t="s">
        <v>25186</v>
      </c>
      <c r="Z5409" t="s">
        <v>31824</v>
      </c>
      <c r="AA5409">
        <v>0.34240482370654218</v>
      </c>
      <c r="AB5409" t="str">
        <f>HYPERLINK("Melting_Curves/meltCurve_Q9BUI4_POLR3C.pdf", "Melting_Curves/meltCurve_Q9BUI4_POLR3C.pdf")</f>
        <v>Melting_Curves/meltCurve_Q9BUI4_POLR3C.pdf</v>
      </c>
    </row>
    <row r="5410" spans="1:28" x14ac:dyDescent="0.25">
      <c r="A5410" t="s">
        <v>5414</v>
      </c>
      <c r="B5410">
        <v>0.99193492352474899</v>
      </c>
      <c r="C5410">
        <v>0.71297665676951605</v>
      </c>
      <c r="D5410">
        <v>0.72941983851779102</v>
      </c>
      <c r="E5410">
        <v>0.26982538188114802</v>
      </c>
      <c r="F5410">
        <v>0.15797504706238</v>
      </c>
      <c r="G5410">
        <v>8.6661923538274399E-2</v>
      </c>
      <c r="H5410">
        <v>6.17036254899751E-2</v>
      </c>
      <c r="I5410">
        <v>6.8132069945271101E-2</v>
      </c>
      <c r="J5410">
        <v>8.3194203717814705E-2</v>
      </c>
      <c r="K5410">
        <v>9.2599828164116396E-2</v>
      </c>
      <c r="L5410">
        <v>812.60575646984103</v>
      </c>
      <c r="M5410">
        <v>17.322694250305801</v>
      </c>
      <c r="N5410">
        <v>47.255395719568497</v>
      </c>
      <c r="O5410">
        <v>46.298114315141802</v>
      </c>
      <c r="P5410">
        <v>-8.7980541862131903E-2</v>
      </c>
      <c r="Q5410">
        <v>5.9476310589413897E-2</v>
      </c>
      <c r="R5410">
        <v>0.96546967397455896</v>
      </c>
      <c r="S5410" t="s">
        <v>12080</v>
      </c>
      <c r="T5410" t="s">
        <v>13338</v>
      </c>
      <c r="U5410" t="s">
        <v>13338</v>
      </c>
      <c r="V5410" t="s">
        <v>13338</v>
      </c>
      <c r="W5410" t="s">
        <v>18691</v>
      </c>
      <c r="X5410">
        <v>25</v>
      </c>
      <c r="Y5410" t="s">
        <v>25187</v>
      </c>
      <c r="Z5410" t="s">
        <v>31825</v>
      </c>
      <c r="AA5410">
        <v>0.29505360549900278</v>
      </c>
      <c r="AB5410" t="str">
        <f>HYPERLINK("Melting_Curves/meltCurve_Q9BUJ2_2_HNRNPUL1.pdf", "Melting_Curves/meltCurve_Q9BUJ2_2_HNRNPUL1.pdf")</f>
        <v>Melting_Curves/meltCurve_Q9BUJ2_2_HNRNPUL1.pdf</v>
      </c>
    </row>
    <row r="5411" spans="1:28" x14ac:dyDescent="0.25">
      <c r="A5411" t="s">
        <v>5415</v>
      </c>
      <c r="B5411">
        <v>0.99193492352474899</v>
      </c>
      <c r="C5411">
        <v>0.67702934945140802</v>
      </c>
      <c r="D5411">
        <v>0.91561967536420097</v>
      </c>
      <c r="E5411">
        <v>0.59662607495342201</v>
      </c>
      <c r="F5411">
        <v>1.08182727501325</v>
      </c>
      <c r="G5411">
        <v>0.401114792879119</v>
      </c>
      <c r="H5411">
        <v>0.29515462844436602</v>
      </c>
      <c r="I5411">
        <v>0.271545069932211</v>
      </c>
      <c r="J5411">
        <v>0.38451008415773702</v>
      </c>
      <c r="K5411">
        <v>0.51872705321621904</v>
      </c>
      <c r="L5411">
        <v>404.49773238885598</v>
      </c>
      <c r="M5411">
        <v>7.4980479159100302</v>
      </c>
      <c r="N5411">
        <v>58.799470229808499</v>
      </c>
      <c r="O5411">
        <v>50.509689920469903</v>
      </c>
      <c r="P5411">
        <v>-2.8591390485338999E-2</v>
      </c>
      <c r="Q5411">
        <v>0.23069744035828901</v>
      </c>
      <c r="R5411">
        <v>0.52034504071340004</v>
      </c>
      <c r="S5411" t="s">
        <v>12081</v>
      </c>
      <c r="T5411" t="s">
        <v>13338</v>
      </c>
      <c r="U5411" t="s">
        <v>13338</v>
      </c>
      <c r="V5411" t="s">
        <v>13338</v>
      </c>
      <c r="W5411" t="s">
        <v>18692</v>
      </c>
      <c r="X5411">
        <v>1</v>
      </c>
      <c r="Y5411" t="s">
        <v>25188</v>
      </c>
      <c r="Z5411" t="s">
        <v>31826</v>
      </c>
      <c r="AA5411">
        <v>0.6155554941190241</v>
      </c>
      <c r="AB5411" t="str">
        <f>HYPERLINK("Melting_Curves/meltCurve_Q9BUL9_RPP25.pdf", "Melting_Curves/meltCurve_Q9BUL9_RPP25.pdf")</f>
        <v>Melting_Curves/meltCurve_Q9BUL9_RPP25.pdf</v>
      </c>
    </row>
    <row r="5412" spans="1:28" x14ac:dyDescent="0.25">
      <c r="A5412" t="s">
        <v>5416</v>
      </c>
      <c r="B5412">
        <v>0.99193492352474899</v>
      </c>
      <c r="C5412">
        <v>0.43642106966168598</v>
      </c>
      <c r="D5412">
        <v>0.271066003322186</v>
      </c>
      <c r="E5412">
        <v>0.117261935322371</v>
      </c>
      <c r="F5412">
        <v>0.20167963312287501</v>
      </c>
      <c r="G5412">
        <v>0.10081026473954</v>
      </c>
      <c r="H5412">
        <v>4.5305666984394997E-2</v>
      </c>
      <c r="I5412">
        <v>3.2812594200293699E-2</v>
      </c>
      <c r="J5412">
        <v>4.6552736382331802E-2</v>
      </c>
      <c r="K5412">
        <v>5.3714357677176701E-2</v>
      </c>
      <c r="L5412">
        <v>1397.39817497282</v>
      </c>
      <c r="M5412">
        <v>32.774613006629899</v>
      </c>
      <c r="N5412">
        <v>42.907320878636</v>
      </c>
      <c r="O5412">
        <v>42.478800268162701</v>
      </c>
      <c r="P5412">
        <v>-0.17487234146497899</v>
      </c>
      <c r="Q5412">
        <v>9.3403750858318105E-2</v>
      </c>
      <c r="R5412">
        <v>0.94524120196648798</v>
      </c>
      <c r="S5412" t="s">
        <v>12082</v>
      </c>
      <c r="T5412" t="s">
        <v>13338</v>
      </c>
      <c r="U5412" t="s">
        <v>13338</v>
      </c>
      <c r="V5412" t="s">
        <v>13338</v>
      </c>
      <c r="W5412" t="s">
        <v>18693</v>
      </c>
      <c r="X5412">
        <v>3</v>
      </c>
      <c r="Y5412" t="s">
        <v>25189</v>
      </c>
      <c r="Z5412" t="s">
        <v>31827</v>
      </c>
      <c r="AA5412">
        <v>0.18065041728606421</v>
      </c>
      <c r="AB5412" t="str">
        <f>HYPERLINK("Melting_Curves/meltCurve_Q9BUP0_EFHD1.pdf", "Melting_Curves/meltCurve_Q9BUP0_EFHD1.pdf")</f>
        <v>Melting_Curves/meltCurve_Q9BUP0_EFHD1.pdf</v>
      </c>
    </row>
    <row r="5413" spans="1:28" x14ac:dyDescent="0.25">
      <c r="A5413" t="s">
        <v>5417</v>
      </c>
      <c r="B5413">
        <v>0.99193492352474899</v>
      </c>
      <c r="C5413">
        <v>0.40035516845861002</v>
      </c>
      <c r="D5413">
        <v>0.67422589560726198</v>
      </c>
      <c r="E5413">
        <v>0.467890409696326</v>
      </c>
      <c r="F5413">
        <v>0.25394267736795401</v>
      </c>
      <c r="G5413">
        <v>9.3163708079561203E-2</v>
      </c>
      <c r="H5413">
        <v>6.6409092731959093E-2</v>
      </c>
      <c r="I5413">
        <v>7.4478326945300793E-2</v>
      </c>
      <c r="J5413">
        <v>9.8539983238797299E-2</v>
      </c>
      <c r="K5413">
        <v>9.3030026196481402E-2</v>
      </c>
      <c r="L5413">
        <v>423.27736604069702</v>
      </c>
      <c r="M5413">
        <v>9.0323467136857403</v>
      </c>
      <c r="N5413">
        <v>46.904117002076298</v>
      </c>
      <c r="O5413">
        <v>44.736417379328103</v>
      </c>
      <c r="P5413">
        <v>-5.0309386160943402E-2</v>
      </c>
      <c r="Q5413">
        <v>4.0013334201921599E-3</v>
      </c>
      <c r="R5413">
        <v>0.82731589840171704</v>
      </c>
      <c r="S5413" t="s">
        <v>12083</v>
      </c>
      <c r="T5413" t="s">
        <v>13338</v>
      </c>
      <c r="U5413" t="s">
        <v>13338</v>
      </c>
      <c r="V5413" t="s">
        <v>13338</v>
      </c>
      <c r="W5413" t="s">
        <v>18694</v>
      </c>
      <c r="X5413">
        <v>25</v>
      </c>
      <c r="Y5413" t="s">
        <v>25190</v>
      </c>
      <c r="Z5413" t="s">
        <v>31828</v>
      </c>
      <c r="AA5413">
        <v>0.29957392953148382</v>
      </c>
      <c r="AB5413" t="str">
        <f>HYPERLINK("Melting_Curves/meltCurve_Q9BUQ8_DDX23.pdf", "Melting_Curves/meltCurve_Q9BUQ8_DDX23.pdf")</f>
        <v>Melting_Curves/meltCurve_Q9BUQ8_DDX23.pdf</v>
      </c>
    </row>
    <row r="5414" spans="1:28" x14ac:dyDescent="0.25">
      <c r="A5414" t="s">
        <v>5418</v>
      </c>
      <c r="B5414">
        <v>0.99193492352474899</v>
      </c>
      <c r="C5414">
        <v>0.97041408700281095</v>
      </c>
      <c r="D5414">
        <v>0.91939990831931695</v>
      </c>
      <c r="E5414">
        <v>0.81122336436268905</v>
      </c>
      <c r="F5414">
        <v>0.59153165357001403</v>
      </c>
      <c r="G5414">
        <v>0.34507202340436599</v>
      </c>
      <c r="H5414">
        <v>0.14560293626186699</v>
      </c>
      <c r="I5414">
        <v>0.144429938611286</v>
      </c>
      <c r="J5414">
        <v>0.12236148119453601</v>
      </c>
      <c r="K5414">
        <v>0.18041651279160101</v>
      </c>
      <c r="L5414">
        <v>968.22212926546899</v>
      </c>
      <c r="M5414">
        <v>18.152902480836701</v>
      </c>
      <c r="N5414">
        <v>54.105976369701203</v>
      </c>
      <c r="O5414">
        <v>52.702411857890702</v>
      </c>
      <c r="P5414">
        <v>-7.6323682517067296E-2</v>
      </c>
      <c r="Q5414">
        <v>0.11369549302036901</v>
      </c>
      <c r="R5414">
        <v>0.99317688337334697</v>
      </c>
      <c r="S5414" t="s">
        <v>12084</v>
      </c>
      <c r="T5414" t="s">
        <v>13338</v>
      </c>
      <c r="U5414" t="s">
        <v>13338</v>
      </c>
      <c r="V5414" t="s">
        <v>13338</v>
      </c>
      <c r="W5414" t="s">
        <v>18695</v>
      </c>
      <c r="X5414">
        <v>9</v>
      </c>
      <c r="Y5414" t="s">
        <v>25191</v>
      </c>
      <c r="Z5414" t="s">
        <v>31829</v>
      </c>
      <c r="AA5414">
        <v>0.52194153354630746</v>
      </c>
      <c r="AB5414" t="str">
        <f>HYPERLINK("Melting_Curves/meltCurve_Q9BUR4_WRAP53.pdf", "Melting_Curves/meltCurve_Q9BUR4_WRAP53.pdf")</f>
        <v>Melting_Curves/meltCurve_Q9BUR4_WRAP53.pdf</v>
      </c>
    </row>
    <row r="5415" spans="1:28" x14ac:dyDescent="0.25">
      <c r="A5415" t="s">
        <v>5419</v>
      </c>
      <c r="B5415">
        <v>0.99193492352474899</v>
      </c>
      <c r="C5415">
        <v>0.86608161100782399</v>
      </c>
      <c r="D5415">
        <v>0.94991457120963696</v>
      </c>
      <c r="E5415">
        <v>0.69290130912175596</v>
      </c>
      <c r="F5415">
        <v>0.36728494920146598</v>
      </c>
      <c r="G5415">
        <v>7.7546573221840401E-2</v>
      </c>
      <c r="H5415">
        <v>4.6037681156482602E-2</v>
      </c>
      <c r="I5415">
        <v>4.3873618768193998E-2</v>
      </c>
      <c r="J5415">
        <v>4.62399080666328E-2</v>
      </c>
      <c r="K5415">
        <v>4.4558220411883502E-2</v>
      </c>
      <c r="L5415">
        <v>1155.01581917984</v>
      </c>
      <c r="M5415">
        <v>22.4772415236556</v>
      </c>
      <c r="N5415">
        <v>51.510926379441997</v>
      </c>
      <c r="O5415">
        <v>50.984481170748801</v>
      </c>
      <c r="P5415">
        <v>-0.10729495991959601</v>
      </c>
      <c r="Q5415">
        <v>2.65239644222383E-2</v>
      </c>
      <c r="R5415">
        <v>0.98746189132991102</v>
      </c>
      <c r="S5415" t="s">
        <v>12085</v>
      </c>
      <c r="T5415" t="s">
        <v>13338</v>
      </c>
      <c r="U5415" t="s">
        <v>13338</v>
      </c>
      <c r="V5415" t="s">
        <v>13338</v>
      </c>
      <c r="W5415" t="s">
        <v>18696</v>
      </c>
      <c r="X5415">
        <v>13</v>
      </c>
      <c r="Y5415" t="s">
        <v>25192</v>
      </c>
      <c r="Z5415" t="s">
        <v>31830</v>
      </c>
      <c r="AA5415">
        <v>0.40683517786928741</v>
      </c>
      <c r="AB5415" t="str">
        <f>HYPERLINK("Melting_Curves/meltCurve_Q9BUT1_BDH2.pdf", "Melting_Curves/meltCurve_Q9BUT1_BDH2.pdf")</f>
        <v>Melting_Curves/meltCurve_Q9BUT1_BDH2.pdf</v>
      </c>
    </row>
    <row r="5416" spans="1:28" x14ac:dyDescent="0.25">
      <c r="A5416" t="s">
        <v>5420</v>
      </c>
      <c r="B5416">
        <v>0.99193492352474899</v>
      </c>
      <c r="C5416">
        <v>1.1275628677777001</v>
      </c>
      <c r="D5416">
        <v>0.84608024436867801</v>
      </c>
      <c r="E5416">
        <v>0.83418405200749601</v>
      </c>
      <c r="F5416">
        <v>0.29633382653471102</v>
      </c>
      <c r="G5416">
        <v>0.15779614664789099</v>
      </c>
      <c r="H5416">
        <v>8.1682598516119601E-2</v>
      </c>
      <c r="I5416">
        <v>4.0381708074601202E-2</v>
      </c>
      <c r="J5416">
        <v>8.6191627186158304E-2</v>
      </c>
      <c r="K5416">
        <v>4.6471766352860502E-2</v>
      </c>
      <c r="L5416">
        <v>1599.898336838</v>
      </c>
      <c r="M5416">
        <v>31.006356874289299</v>
      </c>
      <c r="N5416">
        <v>51.8354629241975</v>
      </c>
      <c r="O5416">
        <v>51.385843999681903</v>
      </c>
      <c r="P5416">
        <v>-0.14090450838391999</v>
      </c>
      <c r="Q5416">
        <v>6.5939342037241597E-2</v>
      </c>
      <c r="R5416">
        <v>0.97701187576529303</v>
      </c>
      <c r="S5416" t="s">
        <v>12086</v>
      </c>
      <c r="T5416" t="s">
        <v>13338</v>
      </c>
      <c r="U5416" t="s">
        <v>13338</v>
      </c>
      <c r="V5416" t="s">
        <v>13338</v>
      </c>
      <c r="W5416" t="s">
        <v>18697</v>
      </c>
      <c r="X5416">
        <v>2</v>
      </c>
      <c r="Y5416" t="s">
        <v>25193</v>
      </c>
      <c r="Z5416" t="s">
        <v>31831</v>
      </c>
      <c r="AA5416">
        <v>0.43263238954689609</v>
      </c>
      <c r="AB5416" t="str">
        <f>HYPERLINK("Melting_Curves/meltCurve_Q9BUT9_FAM195A.pdf", "Melting_Curves/meltCurve_Q9BUT9_FAM195A.pdf")</f>
        <v>Melting_Curves/meltCurve_Q9BUT9_FAM195A.pdf</v>
      </c>
    </row>
    <row r="5417" spans="1:28" x14ac:dyDescent="0.25">
      <c r="A5417" t="s">
        <v>5421</v>
      </c>
      <c r="B5417">
        <v>0.99193492352474899</v>
      </c>
      <c r="C5417">
        <v>0.86136866326774397</v>
      </c>
      <c r="D5417">
        <v>0.95449407580332302</v>
      </c>
      <c r="E5417">
        <v>0.67876424202889396</v>
      </c>
      <c r="F5417">
        <v>0.57005342459802899</v>
      </c>
      <c r="G5417">
        <v>0.16851249354059</v>
      </c>
      <c r="H5417">
        <v>0.109345832335769</v>
      </c>
      <c r="I5417">
        <v>0.101137353124582</v>
      </c>
      <c r="J5417">
        <v>0.12610506988078901</v>
      </c>
      <c r="K5417">
        <v>0.156656649810688</v>
      </c>
      <c r="L5417">
        <v>939.26342700557302</v>
      </c>
      <c r="M5417">
        <v>18.041839921771501</v>
      </c>
      <c r="N5417">
        <v>52.634948896040399</v>
      </c>
      <c r="O5417">
        <v>51.433350312194001</v>
      </c>
      <c r="P5417">
        <v>-7.9859634961801595E-2</v>
      </c>
      <c r="Q5417">
        <v>8.9394938145555103E-2</v>
      </c>
      <c r="R5417">
        <v>0.96524223805008802</v>
      </c>
      <c r="S5417" t="s">
        <v>12087</v>
      </c>
      <c r="T5417" t="s">
        <v>13338</v>
      </c>
      <c r="U5417" t="s">
        <v>13338</v>
      </c>
      <c r="V5417" t="s">
        <v>13338</v>
      </c>
      <c r="W5417" t="s">
        <v>18698</v>
      </c>
      <c r="X5417">
        <v>2</v>
      </c>
      <c r="Y5417" t="s">
        <v>25194</v>
      </c>
      <c r="Z5417" t="s">
        <v>31832</v>
      </c>
      <c r="AA5417">
        <v>0.47054789654395002</v>
      </c>
      <c r="AB5417" t="str">
        <f>HYPERLINK("Melting_Curves/meltCurve_Q9BUW7_C9orf16.pdf", "Melting_Curves/meltCurve_Q9BUW7_C9orf16.pdf")</f>
        <v>Melting_Curves/meltCurve_Q9BUW7_C9orf16.pdf</v>
      </c>
    </row>
    <row r="5418" spans="1:28" x14ac:dyDescent="0.25">
      <c r="A5418" t="s">
        <v>5422</v>
      </c>
      <c r="B5418">
        <v>0.99193492352474899</v>
      </c>
      <c r="C5418">
        <v>1.59398672461706</v>
      </c>
      <c r="D5418">
        <v>1.46020940138775</v>
      </c>
      <c r="E5418">
        <v>1.4512436201272101</v>
      </c>
      <c r="F5418">
        <v>1.29854799366278</v>
      </c>
      <c r="G5418">
        <v>1.1299136459216099</v>
      </c>
      <c r="H5418">
        <v>0.66266147453149804</v>
      </c>
      <c r="I5418">
        <v>7.5177870049117607E-2</v>
      </c>
      <c r="J5418">
        <v>8.3272274507126598E-2</v>
      </c>
      <c r="K5418">
        <v>0</v>
      </c>
      <c r="L5418">
        <v>5305.7859865914697</v>
      </c>
      <c r="M5418">
        <v>86.654498421895099</v>
      </c>
      <c r="N5418">
        <v>61.296146741833702</v>
      </c>
      <c r="O5418">
        <v>61.196616962148397</v>
      </c>
      <c r="P5418">
        <v>-0.33801809843049702</v>
      </c>
      <c r="Q5418">
        <v>4.5147685992343999E-2</v>
      </c>
      <c r="R5418">
        <v>0.75101263585534495</v>
      </c>
      <c r="S5418" t="s">
        <v>12088</v>
      </c>
      <c r="T5418" t="s">
        <v>13338</v>
      </c>
      <c r="U5418" t="s">
        <v>13338</v>
      </c>
      <c r="V5418" t="s">
        <v>13338</v>
      </c>
      <c r="W5418" t="s">
        <v>18699</v>
      </c>
      <c r="X5418">
        <v>1</v>
      </c>
      <c r="Y5418" t="s">
        <v>25195</v>
      </c>
      <c r="Z5418" t="s">
        <v>31833</v>
      </c>
      <c r="AA5418">
        <v>0.72169433702036778</v>
      </c>
      <c r="AB5418" t="str">
        <f>HYPERLINK("Melting_Curves/meltCurve_Q9BV10_ALG12.pdf", "Melting_Curves/meltCurve_Q9BV10_ALG12.pdf")</f>
        <v>Melting_Curves/meltCurve_Q9BV10_ALG12.pdf</v>
      </c>
    </row>
    <row r="5419" spans="1:28" x14ac:dyDescent="0.25">
      <c r="A5419" t="s">
        <v>5423</v>
      </c>
      <c r="B5419">
        <v>0.99193492352474899</v>
      </c>
      <c r="C5419">
        <v>1.0441351544469499</v>
      </c>
      <c r="D5419">
        <v>0.89135800932097398</v>
      </c>
      <c r="E5419">
        <v>1.02059674900625</v>
      </c>
      <c r="F5419">
        <v>0.97604941437648796</v>
      </c>
      <c r="G5419">
        <v>0.74332281222186702</v>
      </c>
      <c r="H5419">
        <v>0.31149365101223397</v>
      </c>
      <c r="I5419">
        <v>0.202273958313168</v>
      </c>
      <c r="J5419">
        <v>0.19418797478505401</v>
      </c>
      <c r="K5419">
        <v>0.24295212253531501</v>
      </c>
      <c r="L5419">
        <v>2357.1791697844201</v>
      </c>
      <c r="M5419">
        <v>40.758781424796602</v>
      </c>
      <c r="N5419">
        <v>58.610909969257499</v>
      </c>
      <c r="O5419">
        <v>57.693744529155801</v>
      </c>
      <c r="P5419">
        <v>-0.139700139451956</v>
      </c>
      <c r="Q5419">
        <v>0.20902374332641499</v>
      </c>
      <c r="R5419">
        <v>0.98721552300083004</v>
      </c>
      <c r="S5419" t="s">
        <v>12089</v>
      </c>
      <c r="T5419" t="s">
        <v>13338</v>
      </c>
      <c r="U5419" t="s">
        <v>13338</v>
      </c>
      <c r="V5419" t="s">
        <v>13338</v>
      </c>
      <c r="W5419" t="s">
        <v>18700</v>
      </c>
      <c r="X5419">
        <v>4</v>
      </c>
      <c r="Y5419" t="s">
        <v>25196</v>
      </c>
      <c r="Z5419" t="s">
        <v>31834</v>
      </c>
      <c r="AA5419">
        <v>0.68218754232080747</v>
      </c>
      <c r="AB5419" t="str">
        <f>HYPERLINK("Melting_Curves/meltCurve_Q9BV19_C1orf50.pdf", "Melting_Curves/meltCurve_Q9BV19_C1orf50.pdf")</f>
        <v>Melting_Curves/meltCurve_Q9BV19_C1orf50.pdf</v>
      </c>
    </row>
    <row r="5420" spans="1:28" x14ac:dyDescent="0.25">
      <c r="A5420" t="s">
        <v>5424</v>
      </c>
      <c r="B5420">
        <v>0.99193492352474899</v>
      </c>
      <c r="C5420">
        <v>0.692804135182714</v>
      </c>
      <c r="D5420">
        <v>0.93699092227881398</v>
      </c>
      <c r="E5420">
        <v>0.57845275738355695</v>
      </c>
      <c r="F5420">
        <v>0.426819605783477</v>
      </c>
      <c r="G5420">
        <v>0.13813526787828501</v>
      </c>
      <c r="H5420">
        <v>5.6681419261896397E-2</v>
      </c>
      <c r="I5420">
        <v>7.6019997000437906E-2</v>
      </c>
      <c r="J5420">
        <v>7.6227919794720295E-2</v>
      </c>
      <c r="K5420">
        <v>0.101336310874868</v>
      </c>
      <c r="L5420">
        <v>695.75966961516997</v>
      </c>
      <c r="M5420">
        <v>13.6951889586432</v>
      </c>
      <c r="N5420">
        <v>50.981750012767499</v>
      </c>
      <c r="O5420">
        <v>49.756772930131802</v>
      </c>
      <c r="P5420">
        <v>-6.7209390571059804E-2</v>
      </c>
      <c r="Q5420">
        <v>2.3412131826489099E-2</v>
      </c>
      <c r="R5420">
        <v>0.92984340207011495</v>
      </c>
      <c r="S5420" t="s">
        <v>12090</v>
      </c>
      <c r="T5420" t="s">
        <v>13338</v>
      </c>
      <c r="U5420" t="s">
        <v>13338</v>
      </c>
      <c r="V5420" t="s">
        <v>13338</v>
      </c>
      <c r="W5420" t="s">
        <v>18701</v>
      </c>
      <c r="X5420">
        <v>10</v>
      </c>
      <c r="Y5420" t="s">
        <v>25197</v>
      </c>
      <c r="Z5420" t="s">
        <v>31835</v>
      </c>
      <c r="AA5420">
        <v>0.40143591075255841</v>
      </c>
      <c r="AB5420" t="str">
        <f>HYPERLINK("Melting_Curves/meltCurve_Q9BV20_MRI1.pdf", "Melting_Curves/meltCurve_Q9BV20_MRI1.pdf")</f>
        <v>Melting_Curves/meltCurve_Q9BV20_MRI1.pdf</v>
      </c>
    </row>
    <row r="5421" spans="1:28" x14ac:dyDescent="0.25">
      <c r="A5421" t="s">
        <v>5425</v>
      </c>
      <c r="B5421">
        <v>0.99193492352474899</v>
      </c>
      <c r="C5421">
        <v>0.896083989012187</v>
      </c>
      <c r="D5421">
        <v>0.79083479653765099</v>
      </c>
      <c r="E5421">
        <v>0.43087632417748101</v>
      </c>
      <c r="F5421">
        <v>0.337422384434233</v>
      </c>
      <c r="G5421">
        <v>0.15845652055902101</v>
      </c>
      <c r="H5421">
        <v>6.6296456580236404E-2</v>
      </c>
      <c r="I5421">
        <v>6.4972903883369598E-2</v>
      </c>
      <c r="J5421">
        <v>0.102098775448631</v>
      </c>
      <c r="K5421">
        <v>6.2558975449945195E-2</v>
      </c>
      <c r="L5421">
        <v>763.29646588103003</v>
      </c>
      <c r="M5421">
        <v>15.540823343562501</v>
      </c>
      <c r="N5421">
        <v>49.4969130521186</v>
      </c>
      <c r="O5421">
        <v>48.323886213392001</v>
      </c>
      <c r="P5421">
        <v>-7.5869787273971201E-2</v>
      </c>
      <c r="Q5421">
        <v>5.6420471230829702E-2</v>
      </c>
      <c r="R5421">
        <v>0.99043685495952405</v>
      </c>
      <c r="S5421" t="s">
        <v>12091</v>
      </c>
      <c r="T5421" t="s">
        <v>13338</v>
      </c>
      <c r="U5421" t="s">
        <v>13338</v>
      </c>
      <c r="V5421" t="s">
        <v>13338</v>
      </c>
      <c r="W5421" t="s">
        <v>18702</v>
      </c>
      <c r="X5421">
        <v>2</v>
      </c>
      <c r="Y5421" t="s">
        <v>25198</v>
      </c>
      <c r="Z5421" t="s">
        <v>31836</v>
      </c>
      <c r="AA5421">
        <v>0.36482295453051639</v>
      </c>
      <c r="AB5421" t="str">
        <f>HYPERLINK("Melting_Curves/meltCurve_Q9BV23_ABHD6.pdf", "Melting_Curves/meltCurve_Q9BV23_ABHD6.pdf")</f>
        <v>Melting_Curves/meltCurve_Q9BV23_ABHD6.pdf</v>
      </c>
    </row>
    <row r="5422" spans="1:28" x14ac:dyDescent="0.25">
      <c r="A5422" t="s">
        <v>5426</v>
      </c>
      <c r="B5422">
        <v>0.99193492352474899</v>
      </c>
      <c r="C5422">
        <v>0.71297549967180296</v>
      </c>
      <c r="D5422">
        <v>0.69802270831049196</v>
      </c>
      <c r="E5422">
        <v>0.54154383312365095</v>
      </c>
      <c r="F5422">
        <v>0.38468388755112298</v>
      </c>
      <c r="G5422">
        <v>9.3548000826549293E-2</v>
      </c>
      <c r="H5422">
        <v>4.6292043146290499E-2</v>
      </c>
      <c r="I5422">
        <v>4.4252931864090003E-2</v>
      </c>
      <c r="J5422">
        <v>4.9847389669839197E-2</v>
      </c>
      <c r="K5422">
        <v>4.5897011524600802E-2</v>
      </c>
      <c r="L5422">
        <v>559.09876937668605</v>
      </c>
      <c r="M5422">
        <v>11.3433503229772</v>
      </c>
      <c r="N5422">
        <v>49.288700181640998</v>
      </c>
      <c r="O5422">
        <v>47.831381846686298</v>
      </c>
      <c r="P5422">
        <v>-5.9305990277990397E-2</v>
      </c>
      <c r="Q5422">
        <v>0</v>
      </c>
      <c r="R5422">
        <v>0.96216191662105699</v>
      </c>
      <c r="S5422" t="s">
        <v>12092</v>
      </c>
      <c r="T5422" t="s">
        <v>13338</v>
      </c>
      <c r="U5422" t="s">
        <v>13338</v>
      </c>
      <c r="V5422" t="s">
        <v>13338</v>
      </c>
      <c r="W5422" t="s">
        <v>18703</v>
      </c>
      <c r="X5422">
        <v>8</v>
      </c>
      <c r="Y5422" t="s">
        <v>25199</v>
      </c>
      <c r="Z5422" t="s">
        <v>31837</v>
      </c>
      <c r="AA5422">
        <v>0.349159131937819</v>
      </c>
      <c r="AB5422" t="str">
        <f>HYPERLINK("Melting_Curves/meltCurve_Q9BV38_WDR18.pdf", "Melting_Curves/meltCurve_Q9BV38_WDR18.pdf")</f>
        <v>Melting_Curves/meltCurve_Q9BV38_WDR18.pdf</v>
      </c>
    </row>
    <row r="5423" spans="1:28" x14ac:dyDescent="0.25">
      <c r="A5423" t="s">
        <v>5427</v>
      </c>
      <c r="B5423">
        <v>0.99193492352474899</v>
      </c>
      <c r="C5423">
        <v>0.96124717301183304</v>
      </c>
      <c r="D5423">
        <v>1.0037517158011</v>
      </c>
      <c r="E5423">
        <v>0.892405478248808</v>
      </c>
      <c r="F5423">
        <v>0.457066413433797</v>
      </c>
      <c r="G5423">
        <v>0.119625947152144</v>
      </c>
      <c r="H5423">
        <v>5.71347669378343E-2</v>
      </c>
      <c r="I5423">
        <v>6.3776078483481102E-2</v>
      </c>
      <c r="J5423">
        <v>6.8457104082399897E-2</v>
      </c>
      <c r="K5423">
        <v>6.0852010948624802E-2</v>
      </c>
      <c r="L5423">
        <v>1817.3389115928901</v>
      </c>
      <c r="M5423">
        <v>34.495971855729302</v>
      </c>
      <c r="N5423">
        <v>52.871547063728201</v>
      </c>
      <c r="O5423">
        <v>52.5065384165433</v>
      </c>
      <c r="P5423">
        <v>-0.15472376330358101</v>
      </c>
      <c r="Q5423">
        <v>5.79794186722144E-2</v>
      </c>
      <c r="R5423">
        <v>0.998824455549854</v>
      </c>
      <c r="S5423" t="s">
        <v>12093</v>
      </c>
      <c r="T5423" t="s">
        <v>13338</v>
      </c>
      <c r="U5423" t="s">
        <v>13338</v>
      </c>
      <c r="V5423" t="s">
        <v>13338</v>
      </c>
      <c r="W5423" t="s">
        <v>18704</v>
      </c>
      <c r="X5423">
        <v>10</v>
      </c>
      <c r="Y5423" t="s">
        <v>25200</v>
      </c>
      <c r="Z5423" t="s">
        <v>31838</v>
      </c>
      <c r="AA5423">
        <v>0.46083348657590922</v>
      </c>
      <c r="AB5423" t="str">
        <f>HYPERLINK("Melting_Curves/meltCurve_Q9BV44_THUMPD3.pdf", "Melting_Curves/meltCurve_Q9BV44_THUMPD3.pdf")</f>
        <v>Melting_Curves/meltCurve_Q9BV44_THUMPD3.pdf</v>
      </c>
    </row>
    <row r="5424" spans="1:28" x14ac:dyDescent="0.25">
      <c r="A5424" t="s">
        <v>5428</v>
      </c>
      <c r="B5424">
        <v>0.99193492352474899</v>
      </c>
      <c r="C5424">
        <v>0.85387805613747503</v>
      </c>
      <c r="D5424">
        <v>0.68946326979887895</v>
      </c>
      <c r="E5424">
        <v>0.33732397310208201</v>
      </c>
      <c r="F5424">
        <v>0.15095998413780801</v>
      </c>
      <c r="G5424">
        <v>9.3326674822912695E-2</v>
      </c>
      <c r="H5424">
        <v>5.9250837550741599E-2</v>
      </c>
      <c r="I5424">
        <v>8.3653071838864598E-2</v>
      </c>
      <c r="J5424">
        <v>9.3381322401749706E-2</v>
      </c>
      <c r="K5424">
        <v>0.14009729188720099</v>
      </c>
      <c r="L5424">
        <v>974.83876538962295</v>
      </c>
      <c r="M5424">
        <v>20.636147678655401</v>
      </c>
      <c r="N5424">
        <v>47.663327957137597</v>
      </c>
      <c r="O5424">
        <v>46.8024828643169</v>
      </c>
      <c r="P5424">
        <v>-0.100990567891048</v>
      </c>
      <c r="Q5424">
        <v>8.3845790478937504E-2</v>
      </c>
      <c r="R5424">
        <v>0.99341969325828094</v>
      </c>
      <c r="S5424" t="s">
        <v>12094</v>
      </c>
      <c r="T5424" t="s">
        <v>13338</v>
      </c>
      <c r="U5424" t="s">
        <v>13338</v>
      </c>
      <c r="V5424" t="s">
        <v>13338</v>
      </c>
      <c r="W5424" t="s">
        <v>18705</v>
      </c>
      <c r="X5424">
        <v>11</v>
      </c>
      <c r="Y5424" t="s">
        <v>25201</v>
      </c>
      <c r="Z5424" t="s">
        <v>31839</v>
      </c>
      <c r="AA5424">
        <v>0.31733598356175002</v>
      </c>
      <c r="AB5424" t="str">
        <f>HYPERLINK("Melting_Curves/meltCurve_Q9BV57_ADI1.pdf", "Melting_Curves/meltCurve_Q9BV57_ADI1.pdf")</f>
        <v>Melting_Curves/meltCurve_Q9BV57_ADI1.pdf</v>
      </c>
    </row>
    <row r="5425" spans="1:28" x14ac:dyDescent="0.25">
      <c r="A5425" t="s">
        <v>5429</v>
      </c>
      <c r="B5425">
        <v>0.99193492352474899</v>
      </c>
      <c r="C5425">
        <v>0.90342063660814098</v>
      </c>
      <c r="D5425">
        <v>0.91502535940421303</v>
      </c>
      <c r="E5425">
        <v>0.71264599119558902</v>
      </c>
      <c r="F5425">
        <v>0.57586663596363497</v>
      </c>
      <c r="G5425">
        <v>0.39683961042798299</v>
      </c>
      <c r="H5425">
        <v>0.37397431978169898</v>
      </c>
      <c r="I5425">
        <v>0.54735587585372103</v>
      </c>
      <c r="J5425">
        <v>0.75844023376540504</v>
      </c>
      <c r="K5425">
        <v>1.01357904333892</v>
      </c>
      <c r="L5425">
        <v>1597.4706613169001</v>
      </c>
      <c r="M5425">
        <v>33.549373446320502</v>
      </c>
      <c r="O5425">
        <v>47.447296769194899</v>
      </c>
      <c r="P5425">
        <v>-6.8621221108654901E-2</v>
      </c>
      <c r="Q5425">
        <v>0.61181061350728605</v>
      </c>
      <c r="R5425">
        <v>0.40752381744938099</v>
      </c>
      <c r="S5425" t="s">
        <v>12095</v>
      </c>
      <c r="T5425" t="s">
        <v>13338</v>
      </c>
      <c r="U5425" t="s">
        <v>13338</v>
      </c>
      <c r="V5425" t="s">
        <v>13338</v>
      </c>
      <c r="W5425" t="s">
        <v>18706</v>
      </c>
      <c r="X5425">
        <v>6</v>
      </c>
      <c r="Y5425" t="s">
        <v>25202</v>
      </c>
      <c r="Z5425" t="s">
        <v>31840</v>
      </c>
      <c r="AA5425">
        <v>0.71219610096940145</v>
      </c>
      <c r="AB5425" t="str">
        <f>HYPERLINK("Melting_Curves/meltCurve_Q9BV68_2_RNF126.pdf", "Melting_Curves/meltCurve_Q9BV68_2_RNF126.pdf")</f>
        <v>Melting_Curves/meltCurve_Q9BV68_2_RNF126.pdf</v>
      </c>
    </row>
    <row r="5426" spans="1:28" x14ac:dyDescent="0.25">
      <c r="A5426" t="s">
        <v>5430</v>
      </c>
      <c r="B5426">
        <v>0.99193492352474899</v>
      </c>
      <c r="C5426">
        <v>0.76756069868593102</v>
      </c>
      <c r="D5426">
        <v>0.60625163928294201</v>
      </c>
      <c r="E5426">
        <v>0.313142779744428</v>
      </c>
      <c r="F5426">
        <v>0.23892947800845499</v>
      </c>
      <c r="G5426">
        <v>0.125556380767921</v>
      </c>
      <c r="H5426">
        <v>0.107175087343324</v>
      </c>
      <c r="I5426">
        <v>0.236375428883521</v>
      </c>
      <c r="J5426">
        <v>0.23999905335220101</v>
      </c>
      <c r="K5426">
        <v>0.34294291434794499</v>
      </c>
      <c r="L5426">
        <v>955.723494625738</v>
      </c>
      <c r="M5426">
        <v>21.006624965754899</v>
      </c>
      <c r="N5426">
        <v>46.684841508575303</v>
      </c>
      <c r="O5426">
        <v>45.090016341973701</v>
      </c>
      <c r="P5426">
        <v>-9.2350939553896297E-2</v>
      </c>
      <c r="Q5426">
        <v>0.20710859513117999</v>
      </c>
      <c r="R5426">
        <v>0.93996208296719097</v>
      </c>
      <c r="S5426" t="s">
        <v>12096</v>
      </c>
      <c r="T5426" t="s">
        <v>13338</v>
      </c>
      <c r="U5426" t="s">
        <v>13338</v>
      </c>
      <c r="V5426" t="s">
        <v>13338</v>
      </c>
      <c r="W5426" t="s">
        <v>18707</v>
      </c>
      <c r="X5426">
        <v>3</v>
      </c>
      <c r="Y5426" t="s">
        <v>25203</v>
      </c>
      <c r="Z5426" t="s">
        <v>31841</v>
      </c>
      <c r="AA5426">
        <v>0.36375868392008143</v>
      </c>
      <c r="AB5426" t="str">
        <f>HYPERLINK("Melting_Curves/meltCurve_Q9BV73_2_CEP250.pdf", "Melting_Curves/meltCurve_Q9BV73_2_CEP250.pdf")</f>
        <v>Melting_Curves/meltCurve_Q9BV73_2_CEP250.pdf</v>
      </c>
    </row>
    <row r="5427" spans="1:28" x14ac:dyDescent="0.25">
      <c r="A5427" t="s">
        <v>5431</v>
      </c>
      <c r="B5427">
        <v>0.99193492352474899</v>
      </c>
      <c r="C5427">
        <v>1.0273236830439001</v>
      </c>
      <c r="D5427">
        <v>0.78085353935906299</v>
      </c>
      <c r="E5427">
        <v>0.77241117306661999</v>
      </c>
      <c r="F5427">
        <v>0.36779186403990899</v>
      </c>
      <c r="G5427">
        <v>0.155602700900244</v>
      </c>
      <c r="H5427">
        <v>6.8859822805707904E-2</v>
      </c>
      <c r="I5427">
        <v>9.1913649942889503E-2</v>
      </c>
      <c r="J5427">
        <v>0.10146371595602401</v>
      </c>
      <c r="K5427">
        <v>0.107301149487029</v>
      </c>
      <c r="L5427">
        <v>1050.35578962149</v>
      </c>
      <c r="M5427">
        <v>20.4547025522795</v>
      </c>
      <c r="N5427">
        <v>51.741665905145801</v>
      </c>
      <c r="O5427">
        <v>50.867084585007099</v>
      </c>
      <c r="P5427">
        <v>-9.3328589084491001E-2</v>
      </c>
      <c r="Q5427">
        <v>7.1663422779909502E-2</v>
      </c>
      <c r="R5427">
        <v>0.97818667143461402</v>
      </c>
      <c r="S5427" t="s">
        <v>12097</v>
      </c>
      <c r="T5427" t="s">
        <v>13338</v>
      </c>
      <c r="U5427" t="s">
        <v>13338</v>
      </c>
      <c r="V5427" t="s">
        <v>13338</v>
      </c>
      <c r="W5427" t="s">
        <v>18708</v>
      </c>
      <c r="X5427">
        <v>6</v>
      </c>
      <c r="Y5427" t="s">
        <v>25204</v>
      </c>
      <c r="Z5427" t="s">
        <v>31842</v>
      </c>
      <c r="AA5427">
        <v>0.43524471020375982</v>
      </c>
      <c r="AB5427" t="str">
        <f>HYPERLINK("Melting_Curves/meltCurve_Q9BV79_MECR.pdf", "Melting_Curves/meltCurve_Q9BV79_MECR.pdf")</f>
        <v>Melting_Curves/meltCurve_Q9BV79_MECR.pdf</v>
      </c>
    </row>
    <row r="5428" spans="1:28" x14ac:dyDescent="0.25">
      <c r="A5428" t="s">
        <v>5432</v>
      </c>
      <c r="B5428">
        <v>0.99193492352474899</v>
      </c>
      <c r="C5428">
        <v>1.8657653886756</v>
      </c>
      <c r="D5428">
        <v>1.38698186238489</v>
      </c>
      <c r="E5428">
        <v>1.73972826882214</v>
      </c>
      <c r="F5428">
        <v>1.03982673271772</v>
      </c>
      <c r="G5428">
        <v>0.69406404418884304</v>
      </c>
      <c r="H5428">
        <v>0.47263153099903699</v>
      </c>
      <c r="I5428">
        <v>0.61552946367178696</v>
      </c>
      <c r="J5428">
        <v>0.493989415202649</v>
      </c>
      <c r="K5428">
        <v>0.41344081902531699</v>
      </c>
      <c r="L5428">
        <v>14174.467037186099</v>
      </c>
      <c r="M5428">
        <v>250</v>
      </c>
      <c r="N5428">
        <v>58.120021367856999</v>
      </c>
      <c r="O5428">
        <v>56.694216529510904</v>
      </c>
      <c r="P5428">
        <v>-0.55241744948913096</v>
      </c>
      <c r="Q5428">
        <v>0.49889780110184501</v>
      </c>
      <c r="R5428">
        <v>0.42577957200022898</v>
      </c>
      <c r="S5428" t="s">
        <v>12098</v>
      </c>
      <c r="T5428" t="s">
        <v>13338</v>
      </c>
      <c r="U5428" t="s">
        <v>13338</v>
      </c>
      <c r="V5428" t="s">
        <v>13338</v>
      </c>
      <c r="W5428" t="s">
        <v>18709</v>
      </c>
      <c r="X5428">
        <v>2</v>
      </c>
      <c r="Y5428" t="s">
        <v>25205</v>
      </c>
      <c r="Z5428" t="s">
        <v>31843</v>
      </c>
      <c r="AA5428">
        <v>0.77785894425457769</v>
      </c>
      <c r="AB5428" t="str">
        <f>HYPERLINK("Melting_Curves/meltCurve_Q9BV81_EMC6.pdf", "Melting_Curves/meltCurve_Q9BV81_EMC6.pdf")</f>
        <v>Melting_Curves/meltCurve_Q9BV81_EMC6.pdf</v>
      </c>
    </row>
    <row r="5429" spans="1:28" x14ac:dyDescent="0.25">
      <c r="A5429" t="s">
        <v>5433</v>
      </c>
      <c r="B5429">
        <v>0.99193492352474899</v>
      </c>
      <c r="C5429">
        <v>0.92579830567631105</v>
      </c>
      <c r="D5429">
        <v>0.84226205924700803</v>
      </c>
      <c r="E5429">
        <v>0.683659415941825</v>
      </c>
      <c r="F5429">
        <v>0.23169808262184699</v>
      </c>
      <c r="G5429">
        <v>0.12104672619922401</v>
      </c>
      <c r="H5429">
        <v>7.9886115717179199E-2</v>
      </c>
      <c r="I5429">
        <v>9.0658346404833307E-2</v>
      </c>
      <c r="J5429">
        <v>8.9467078413302398E-2</v>
      </c>
      <c r="K5429">
        <v>7.9151667750113106E-2</v>
      </c>
      <c r="L5429">
        <v>1184.5584719404601</v>
      </c>
      <c r="M5429">
        <v>23.517825933793102</v>
      </c>
      <c r="N5429">
        <v>50.700747357871997</v>
      </c>
      <c r="O5429">
        <v>50.008597054012</v>
      </c>
      <c r="P5429">
        <v>-0.109175673603956</v>
      </c>
      <c r="Q5429">
        <v>7.1405905539720704E-2</v>
      </c>
      <c r="R5429">
        <v>0.98930872492649302</v>
      </c>
      <c r="S5429" t="s">
        <v>12099</v>
      </c>
      <c r="T5429" t="s">
        <v>13338</v>
      </c>
      <c r="U5429" t="s">
        <v>13338</v>
      </c>
      <c r="V5429" t="s">
        <v>13338</v>
      </c>
      <c r="W5429" t="s">
        <v>18710</v>
      </c>
      <c r="X5429">
        <v>8</v>
      </c>
      <c r="Y5429" t="s">
        <v>25206</v>
      </c>
      <c r="Z5429" t="s">
        <v>31844</v>
      </c>
      <c r="AA5429">
        <v>0.40175239666741791</v>
      </c>
      <c r="AB5429" t="str">
        <f>HYPERLINK("Melting_Curves/meltCurve_Q9BV86_NTMT1.pdf", "Melting_Curves/meltCurve_Q9BV86_NTMT1.pdf")</f>
        <v>Melting_Curves/meltCurve_Q9BV86_NTMT1.pdf</v>
      </c>
    </row>
    <row r="5430" spans="1:28" x14ac:dyDescent="0.25">
      <c r="A5430" t="s">
        <v>5434</v>
      </c>
      <c r="B5430">
        <v>0.99193492352474899</v>
      </c>
      <c r="C5430">
        <v>0.76774951113621104</v>
      </c>
      <c r="D5430">
        <v>0.89195549442038002</v>
      </c>
      <c r="E5430">
        <v>0.469912835442581</v>
      </c>
      <c r="F5430">
        <v>0.245178431038823</v>
      </c>
      <c r="G5430">
        <v>0.12047832370762</v>
      </c>
      <c r="H5430">
        <v>8.5551116053332502E-2</v>
      </c>
      <c r="I5430">
        <v>7.9834910698663997E-2</v>
      </c>
      <c r="J5430">
        <v>9.8662328203940497E-2</v>
      </c>
      <c r="K5430">
        <v>0.115044842048836</v>
      </c>
      <c r="L5430">
        <v>928.54158885309903</v>
      </c>
      <c r="M5430">
        <v>18.941529665703101</v>
      </c>
      <c r="N5430">
        <v>49.468116748168399</v>
      </c>
      <c r="O5430">
        <v>48.4848782021703</v>
      </c>
      <c r="P5430">
        <v>-8.9994283468844499E-2</v>
      </c>
      <c r="Q5430">
        <v>7.8599063329787805E-2</v>
      </c>
      <c r="R5430">
        <v>0.96471066508566095</v>
      </c>
      <c r="S5430" t="s">
        <v>12100</v>
      </c>
      <c r="T5430" t="s">
        <v>13338</v>
      </c>
      <c r="U5430" t="s">
        <v>13338</v>
      </c>
      <c r="V5430" t="s">
        <v>13338</v>
      </c>
      <c r="W5430" t="s">
        <v>18711</v>
      </c>
      <c r="X5430">
        <v>13</v>
      </c>
      <c r="Y5430" t="s">
        <v>25207</v>
      </c>
      <c r="Z5430" t="s">
        <v>31845</v>
      </c>
      <c r="AA5430">
        <v>0.3700829869732486</v>
      </c>
      <c r="AB5430" t="str">
        <f>HYPERLINK("Melting_Curves/meltCurve_Q9BVA0_KATNB1.pdf", "Melting_Curves/meltCurve_Q9BVA0_KATNB1.pdf")</f>
        <v>Melting_Curves/meltCurve_Q9BVA0_KATNB1.pdf</v>
      </c>
    </row>
    <row r="5431" spans="1:28" x14ac:dyDescent="0.25">
      <c r="A5431" t="s">
        <v>5435</v>
      </c>
      <c r="B5431">
        <v>0.99193492352474899</v>
      </c>
      <c r="C5431">
        <v>0.68660102063449202</v>
      </c>
      <c r="D5431">
        <v>0.59424001448317298</v>
      </c>
      <c r="E5431">
        <v>0.28142166318427497</v>
      </c>
      <c r="F5431">
        <v>0.18651471765688901</v>
      </c>
      <c r="G5431">
        <v>0.10234963589349801</v>
      </c>
      <c r="H5431">
        <v>6.7020946014530805E-2</v>
      </c>
      <c r="I5431">
        <v>6.7820795897517605E-2</v>
      </c>
      <c r="J5431">
        <v>6.2367438838504999E-2</v>
      </c>
      <c r="K5431">
        <v>6.9640092276995705E-2</v>
      </c>
      <c r="L5431">
        <v>691.01892306263505</v>
      </c>
      <c r="M5431">
        <v>14.953994821849101</v>
      </c>
      <c r="N5431">
        <v>46.563798846836498</v>
      </c>
      <c r="O5431">
        <v>45.406912090490202</v>
      </c>
      <c r="P5431">
        <v>-7.7915615323299103E-2</v>
      </c>
      <c r="Q5431">
        <v>5.3752312149184002E-2</v>
      </c>
      <c r="R5431">
        <v>0.98268702743812297</v>
      </c>
      <c r="S5431" t="s">
        <v>12101</v>
      </c>
      <c r="T5431" t="s">
        <v>13338</v>
      </c>
      <c r="U5431" t="s">
        <v>13338</v>
      </c>
      <c r="V5431" t="s">
        <v>13338</v>
      </c>
      <c r="W5431" t="s">
        <v>18712</v>
      </c>
      <c r="X5431">
        <v>7</v>
      </c>
      <c r="Y5431" t="s">
        <v>25208</v>
      </c>
      <c r="Z5431" t="s">
        <v>31846</v>
      </c>
      <c r="AA5431">
        <v>0.27696258488888209</v>
      </c>
      <c r="AB5431" t="str">
        <f>HYPERLINK("Melting_Curves/meltCurve_Q9BVC3_DSCC1.pdf", "Melting_Curves/meltCurve_Q9BVC3_DSCC1.pdf")</f>
        <v>Melting_Curves/meltCurve_Q9BVC3_DSCC1.pdf</v>
      </c>
    </row>
    <row r="5432" spans="1:28" x14ac:dyDescent="0.25">
      <c r="A5432" t="s">
        <v>5436</v>
      </c>
      <c r="B5432">
        <v>0.99193492352474899</v>
      </c>
      <c r="C5432">
        <v>0.99397880634446401</v>
      </c>
      <c r="D5432">
        <v>0.91407362391633196</v>
      </c>
      <c r="E5432">
        <v>0.53385414826991495</v>
      </c>
      <c r="F5432">
        <v>0.21789792929217799</v>
      </c>
      <c r="G5432">
        <v>0.22298015368169199</v>
      </c>
      <c r="H5432">
        <v>0.114756464584182</v>
      </c>
      <c r="I5432">
        <v>0.465108834893107</v>
      </c>
      <c r="J5432">
        <v>0.347055743467512</v>
      </c>
      <c r="K5432">
        <v>0.35587534510924801</v>
      </c>
      <c r="L5432">
        <v>2074.5655747912601</v>
      </c>
      <c r="M5432">
        <v>42.595733546570401</v>
      </c>
      <c r="N5432">
        <v>49.695263524507901</v>
      </c>
      <c r="O5432">
        <v>48.596623978638199</v>
      </c>
      <c r="P5432">
        <v>-0.15639470121513799</v>
      </c>
      <c r="Q5432">
        <v>0.28629078774428102</v>
      </c>
      <c r="R5432">
        <v>0.917121429940285</v>
      </c>
      <c r="S5432" t="s">
        <v>12102</v>
      </c>
      <c r="T5432" t="s">
        <v>13338</v>
      </c>
      <c r="U5432" t="s">
        <v>13338</v>
      </c>
      <c r="V5432" t="s">
        <v>13338</v>
      </c>
      <c r="W5432" t="s">
        <v>18713</v>
      </c>
      <c r="X5432">
        <v>2</v>
      </c>
      <c r="Y5432" t="s">
        <v>25209</v>
      </c>
      <c r="Z5432" t="s">
        <v>31847</v>
      </c>
      <c r="AA5432">
        <v>0.49547082725105229</v>
      </c>
      <c r="AB5432" t="str">
        <f>HYPERLINK("Melting_Curves/meltCurve_Q9BVC4_MLST8.pdf", "Melting_Curves/meltCurve_Q9BVC4_MLST8.pdf")</f>
        <v>Melting_Curves/meltCurve_Q9BVC4_MLST8.pdf</v>
      </c>
    </row>
    <row r="5433" spans="1:28" x14ac:dyDescent="0.25">
      <c r="A5433" t="s">
        <v>5437</v>
      </c>
      <c r="B5433">
        <v>0.99193492352474899</v>
      </c>
      <c r="C5433">
        <v>0.68656937284601505</v>
      </c>
      <c r="D5433">
        <v>0.80101040943544899</v>
      </c>
      <c r="E5433">
        <v>0.60308424583331599</v>
      </c>
      <c r="F5433">
        <v>0.38638960382645299</v>
      </c>
      <c r="G5433">
        <v>0.30466350876059201</v>
      </c>
      <c r="H5433">
        <v>0.25466507719425502</v>
      </c>
      <c r="I5433">
        <v>0.24239070670110699</v>
      </c>
      <c r="J5433">
        <v>0.25239895888644998</v>
      </c>
      <c r="K5433">
        <v>0.17565729984759901</v>
      </c>
      <c r="L5433">
        <v>487.01814831883502</v>
      </c>
      <c r="M5433">
        <v>9.8987459645516704</v>
      </c>
      <c r="N5433">
        <v>51.098638973843698</v>
      </c>
      <c r="O5433">
        <v>47.318284162723103</v>
      </c>
      <c r="P5433">
        <v>-4.4273716735402202E-2</v>
      </c>
      <c r="Q5433">
        <v>0.153873634014662</v>
      </c>
      <c r="R5433">
        <v>0.94096759034835697</v>
      </c>
      <c r="S5433" t="s">
        <v>12103</v>
      </c>
      <c r="T5433" t="s">
        <v>13338</v>
      </c>
      <c r="U5433" t="s">
        <v>13338</v>
      </c>
      <c r="V5433" t="s">
        <v>13338</v>
      </c>
      <c r="W5433" t="s">
        <v>18714</v>
      </c>
      <c r="X5433">
        <v>2</v>
      </c>
      <c r="Y5433" t="s">
        <v>25210</v>
      </c>
      <c r="Z5433" t="s">
        <v>31848</v>
      </c>
      <c r="AA5433">
        <v>0.45472345045273049</v>
      </c>
      <c r="AB5433" t="str">
        <f>HYPERLINK("Melting_Curves/meltCurve_Q9BVC5_C2orf49.pdf", "Melting_Curves/meltCurve_Q9BVC5_C2orf49.pdf")</f>
        <v>Melting_Curves/meltCurve_Q9BVC5_C2orf49.pdf</v>
      </c>
    </row>
    <row r="5434" spans="1:28" x14ac:dyDescent="0.25">
      <c r="A5434" t="s">
        <v>5438</v>
      </c>
      <c r="B5434">
        <v>0.99193492352474899</v>
      </c>
      <c r="C5434">
        <v>0.96481006706602501</v>
      </c>
      <c r="D5434">
        <v>1.0537199960425201</v>
      </c>
      <c r="E5434">
        <v>0.81522810273909996</v>
      </c>
      <c r="F5434">
        <v>0.81285193096976205</v>
      </c>
      <c r="G5434">
        <v>0.68699635875426901</v>
      </c>
      <c r="H5434">
        <v>0.55226655021210003</v>
      </c>
      <c r="I5434">
        <v>0.614003855141392</v>
      </c>
      <c r="J5434">
        <v>0.79467939817182298</v>
      </c>
      <c r="K5434">
        <v>1.1522874169101101</v>
      </c>
      <c r="L5434">
        <v>12331.440780634901</v>
      </c>
      <c r="M5434">
        <v>250</v>
      </c>
      <c r="O5434">
        <v>49.3225859782412</v>
      </c>
      <c r="P5434">
        <v>-0.29290881010609998</v>
      </c>
      <c r="Q5434">
        <v>0.76884758346618798</v>
      </c>
      <c r="R5434">
        <v>0.324156280014054</v>
      </c>
      <c r="S5434" t="s">
        <v>12104</v>
      </c>
      <c r="T5434" t="s">
        <v>13338</v>
      </c>
      <c r="U5434" t="s">
        <v>13338</v>
      </c>
      <c r="V5434" t="s">
        <v>13338</v>
      </c>
      <c r="W5434" t="s">
        <v>18715</v>
      </c>
      <c r="X5434">
        <v>7</v>
      </c>
      <c r="Y5434" t="s">
        <v>25211</v>
      </c>
      <c r="Z5434" t="s">
        <v>31849</v>
      </c>
      <c r="AA5434">
        <v>0.84072334945383242</v>
      </c>
      <c r="AB5434" t="str">
        <f>HYPERLINK("Melting_Curves/meltCurve_Q9BVC6_TMEM109.pdf", "Melting_Curves/meltCurve_Q9BVC6_TMEM109.pdf")</f>
        <v>Melting_Curves/meltCurve_Q9BVC6_TMEM109.pdf</v>
      </c>
    </row>
    <row r="5435" spans="1:28" x14ac:dyDescent="0.25">
      <c r="A5435" t="s">
        <v>5439</v>
      </c>
      <c r="B5435">
        <v>0.99193492352474899</v>
      </c>
      <c r="C5435">
        <v>0.79079168571871705</v>
      </c>
      <c r="D5435">
        <v>0.65935227030645205</v>
      </c>
      <c r="E5435">
        <v>0.41835622294763902</v>
      </c>
      <c r="F5435">
        <v>0.37740903245680602</v>
      </c>
      <c r="G5435">
        <v>0.27373675518069401</v>
      </c>
      <c r="H5435">
        <v>0.18333430241395099</v>
      </c>
      <c r="I5435">
        <v>0.21005600631896401</v>
      </c>
      <c r="J5435">
        <v>0.214883941340969</v>
      </c>
      <c r="K5435">
        <v>0.182532077085379</v>
      </c>
      <c r="L5435">
        <v>637.436289578382</v>
      </c>
      <c r="M5435">
        <v>13.5651864132635</v>
      </c>
      <c r="N5435">
        <v>48.667479414857802</v>
      </c>
      <c r="O5435">
        <v>46.004679174515999</v>
      </c>
      <c r="P5435">
        <v>-5.9963589851733903E-2</v>
      </c>
      <c r="Q5435">
        <v>0.18668492627484801</v>
      </c>
      <c r="R5435">
        <v>0.98497704319764701</v>
      </c>
      <c r="S5435" t="s">
        <v>12105</v>
      </c>
      <c r="T5435" t="s">
        <v>13338</v>
      </c>
      <c r="U5435" t="s">
        <v>13338</v>
      </c>
      <c r="V5435" t="s">
        <v>13338</v>
      </c>
      <c r="W5435" t="s">
        <v>18716</v>
      </c>
      <c r="X5435">
        <v>3</v>
      </c>
      <c r="Y5435" t="s">
        <v>25212</v>
      </c>
      <c r="Z5435" t="s">
        <v>31850</v>
      </c>
      <c r="AA5435">
        <v>0.40327414752649737</v>
      </c>
      <c r="AB5435" t="str">
        <f>HYPERLINK("Melting_Curves/meltCurve_Q9BVI4_NOC4L.pdf", "Melting_Curves/meltCurve_Q9BVI4_NOC4L.pdf")</f>
        <v>Melting_Curves/meltCurve_Q9BVI4_NOC4L.pdf</v>
      </c>
    </row>
    <row r="5436" spans="1:28" x14ac:dyDescent="0.25">
      <c r="A5436" t="s">
        <v>5440</v>
      </c>
      <c r="B5436">
        <v>0.99193492352474899</v>
      </c>
      <c r="C5436">
        <v>0.44684794112937798</v>
      </c>
      <c r="D5436">
        <v>0.59413785689860399</v>
      </c>
      <c r="E5436">
        <v>0.31883960882501799</v>
      </c>
      <c r="F5436">
        <v>0.29498324285523703</v>
      </c>
      <c r="G5436">
        <v>0.20774480101784601</v>
      </c>
      <c r="H5436">
        <v>0.32469142507851401</v>
      </c>
      <c r="I5436">
        <v>0.48910382083173298</v>
      </c>
      <c r="J5436">
        <v>0.73859862114139196</v>
      </c>
      <c r="K5436">
        <v>1.0664194010622801</v>
      </c>
      <c r="L5436">
        <v>10164.5679509644</v>
      </c>
      <c r="M5436">
        <v>250</v>
      </c>
      <c r="N5436">
        <v>41.570635985314297</v>
      </c>
      <c r="O5436">
        <v>40.655669963824899</v>
      </c>
      <c r="P5436">
        <v>-0.77183339485712099</v>
      </c>
      <c r="Q5436">
        <v>0.49792954053764599</v>
      </c>
      <c r="R5436">
        <v>0.27449075189390798</v>
      </c>
      <c r="S5436" t="s">
        <v>12106</v>
      </c>
      <c r="T5436" t="s">
        <v>13338</v>
      </c>
      <c r="U5436" t="s">
        <v>13338</v>
      </c>
      <c r="V5436" t="s">
        <v>13338</v>
      </c>
      <c r="W5436" t="s">
        <v>18717</v>
      </c>
      <c r="X5436">
        <v>17</v>
      </c>
      <c r="Y5436" t="s">
        <v>25213</v>
      </c>
      <c r="Z5436" t="s">
        <v>31851</v>
      </c>
      <c r="AA5436">
        <v>0.50902435465307161</v>
      </c>
      <c r="AB5436" t="str">
        <f>HYPERLINK("Melting_Curves/meltCurve_Q9BVJ6_UTP14A.pdf", "Melting_Curves/meltCurve_Q9BVJ6_UTP14A.pdf")</f>
        <v>Melting_Curves/meltCurve_Q9BVJ6_UTP14A.pdf</v>
      </c>
    </row>
    <row r="5437" spans="1:28" x14ac:dyDescent="0.25">
      <c r="A5437" t="s">
        <v>5441</v>
      </c>
      <c r="B5437">
        <v>0.99193492352474899</v>
      </c>
      <c r="C5437">
        <v>0.97760596473174299</v>
      </c>
      <c r="D5437">
        <v>1.0222999791315599</v>
      </c>
      <c r="E5437">
        <v>0.86224956936165498</v>
      </c>
      <c r="F5437">
        <v>0.61232776596004101</v>
      </c>
      <c r="G5437">
        <v>0.25590777837734702</v>
      </c>
      <c r="H5437">
        <v>0.119256092774227</v>
      </c>
      <c r="I5437">
        <v>0.10098915663571</v>
      </c>
      <c r="J5437">
        <v>0.11227774940157299</v>
      </c>
      <c r="K5437">
        <v>8.77734878796812E-2</v>
      </c>
      <c r="L5437">
        <v>1350.9053891564299</v>
      </c>
      <c r="M5437">
        <v>25.184986413568598</v>
      </c>
      <c r="N5437">
        <v>54.051373536349701</v>
      </c>
      <c r="O5437">
        <v>53.304556461339899</v>
      </c>
      <c r="P5437">
        <v>-0.107802654453528</v>
      </c>
      <c r="Q5437">
        <v>8.7345471350886897E-2</v>
      </c>
      <c r="R5437">
        <v>0.99741165711979296</v>
      </c>
      <c r="S5437" t="s">
        <v>12107</v>
      </c>
      <c r="T5437" t="s">
        <v>13338</v>
      </c>
      <c r="U5437" t="s">
        <v>13338</v>
      </c>
      <c r="V5437" t="s">
        <v>13338</v>
      </c>
      <c r="W5437" t="s">
        <v>18718</v>
      </c>
      <c r="X5437">
        <v>13</v>
      </c>
      <c r="Y5437" t="s">
        <v>25214</v>
      </c>
      <c r="Z5437" t="s">
        <v>31852</v>
      </c>
      <c r="AA5437">
        <v>0.51059859505760918</v>
      </c>
      <c r="AB5437" t="str">
        <f>HYPERLINK("Melting_Curves/meltCurve_Q9BVK6_TMED9.pdf", "Melting_Curves/meltCurve_Q9BVK6_TMED9.pdf")</f>
        <v>Melting_Curves/meltCurve_Q9BVK6_TMED9.pdf</v>
      </c>
    </row>
    <row r="5438" spans="1:28" x14ac:dyDescent="0.25">
      <c r="A5438" t="s">
        <v>5442</v>
      </c>
      <c r="B5438">
        <v>0.99193492352474899</v>
      </c>
      <c r="C5438">
        <v>0.91326024376486503</v>
      </c>
      <c r="D5438">
        <v>0.87606374233373097</v>
      </c>
      <c r="E5438">
        <v>0.63929650088337597</v>
      </c>
      <c r="F5438">
        <v>0.37150738700236902</v>
      </c>
      <c r="G5438">
        <v>0.189909624325173</v>
      </c>
      <c r="H5438">
        <v>0.140445573182334</v>
      </c>
      <c r="I5438">
        <v>0.19640990335080599</v>
      </c>
      <c r="J5438">
        <v>0.23812067045768001</v>
      </c>
      <c r="K5438">
        <v>0.294640547532728</v>
      </c>
      <c r="L5438">
        <v>1123.8173918810701</v>
      </c>
      <c r="M5438">
        <v>22.574938849179301</v>
      </c>
      <c r="N5438">
        <v>50.9590328856589</v>
      </c>
      <c r="O5438">
        <v>49.3959424950488</v>
      </c>
      <c r="P5438">
        <v>-9.1038912639445899E-2</v>
      </c>
      <c r="Q5438">
        <v>0.20321161878151101</v>
      </c>
      <c r="R5438">
        <v>0.97636415131459897</v>
      </c>
      <c r="S5438" t="s">
        <v>12108</v>
      </c>
      <c r="T5438" t="s">
        <v>13338</v>
      </c>
      <c r="U5438" t="s">
        <v>13338</v>
      </c>
      <c r="V5438" t="s">
        <v>13338</v>
      </c>
      <c r="W5438" t="s">
        <v>18719</v>
      </c>
      <c r="X5438">
        <v>10</v>
      </c>
      <c r="Y5438" t="s">
        <v>25215</v>
      </c>
      <c r="Z5438" t="s">
        <v>31853</v>
      </c>
      <c r="AA5438">
        <v>0.47173504213437661</v>
      </c>
      <c r="AB5438" t="str">
        <f>HYPERLINK("Melting_Curves/meltCurve_Q9BVL2_3_NUPL1.pdf", "Melting_Curves/meltCurve_Q9BVL2_3_NUPL1.pdf")</f>
        <v>Melting_Curves/meltCurve_Q9BVL2_3_NUPL1.pdf</v>
      </c>
    </row>
    <row r="5439" spans="1:28" x14ac:dyDescent="0.25">
      <c r="A5439" t="s">
        <v>5443</v>
      </c>
      <c r="B5439">
        <v>0.99193492352474899</v>
      </c>
      <c r="C5439">
        <v>0.734855448471749</v>
      </c>
      <c r="D5439">
        <v>0.43995909152349799</v>
      </c>
      <c r="E5439">
        <v>0.222753724223338</v>
      </c>
      <c r="F5439">
        <v>0.140296172948775</v>
      </c>
      <c r="G5439">
        <v>0.12775953682159699</v>
      </c>
      <c r="H5439">
        <v>6.4204492391848E-2</v>
      </c>
      <c r="I5439">
        <v>9.9548507095009897E-2</v>
      </c>
      <c r="J5439">
        <v>0.10918483009105</v>
      </c>
      <c r="K5439">
        <v>0.152137687936686</v>
      </c>
      <c r="L5439">
        <v>982.34979017698697</v>
      </c>
      <c r="M5439">
        <v>21.8984730353564</v>
      </c>
      <c r="N5439">
        <v>45.376308443174601</v>
      </c>
      <c r="O5439">
        <v>44.490225060507598</v>
      </c>
      <c r="P5439">
        <v>-0.109468380576434</v>
      </c>
      <c r="Q5439">
        <v>0.110410758068825</v>
      </c>
      <c r="R5439">
        <v>0.99140903358064503</v>
      </c>
      <c r="S5439" t="s">
        <v>12109</v>
      </c>
      <c r="T5439" t="s">
        <v>13338</v>
      </c>
      <c r="U5439" t="s">
        <v>13338</v>
      </c>
      <c r="V5439" t="s">
        <v>13338</v>
      </c>
      <c r="W5439" t="s">
        <v>18720</v>
      </c>
      <c r="X5439">
        <v>1</v>
      </c>
      <c r="Y5439" t="s">
        <v>25216</v>
      </c>
      <c r="Z5439" t="s">
        <v>31854</v>
      </c>
      <c r="AA5439">
        <v>0.26686686448064151</v>
      </c>
      <c r="AB5439" t="str">
        <f>HYPERLINK("Melting_Curves/meltCurve_Q9BVL4_SELO.pdf", "Melting_Curves/meltCurve_Q9BVL4_SELO.pdf")</f>
        <v>Melting_Curves/meltCurve_Q9BVL4_SELO.pdf</v>
      </c>
    </row>
    <row r="5440" spans="1:28" x14ac:dyDescent="0.25">
      <c r="A5440" t="s">
        <v>5444</v>
      </c>
      <c r="B5440">
        <v>0.99193492352474899</v>
      </c>
      <c r="C5440">
        <v>0.64568986647300997</v>
      </c>
      <c r="D5440">
        <v>0.62398779583022201</v>
      </c>
      <c r="E5440">
        <v>0.21703629654349499</v>
      </c>
      <c r="F5440">
        <v>0.11247793834139901</v>
      </c>
      <c r="G5440">
        <v>6.6983834959276095E-2</v>
      </c>
      <c r="H5440">
        <v>4.4363008963173099E-2</v>
      </c>
      <c r="I5440">
        <v>3.3733579667593203E-2</v>
      </c>
      <c r="J5440">
        <v>6.5540796566234502E-2</v>
      </c>
      <c r="K5440">
        <v>4.4973057713954399E-2</v>
      </c>
      <c r="L5440">
        <v>741.24853790404302</v>
      </c>
      <c r="M5440">
        <v>16.1113897664547</v>
      </c>
      <c r="N5440">
        <v>46.1908780076486</v>
      </c>
      <c r="O5440">
        <v>45.316455159848502</v>
      </c>
      <c r="P5440">
        <v>-8.6139078191938195E-2</v>
      </c>
      <c r="Q5440">
        <v>3.0941509174470801E-2</v>
      </c>
      <c r="R5440">
        <v>0.96638451379123302</v>
      </c>
      <c r="S5440" t="s">
        <v>12110</v>
      </c>
      <c r="T5440" t="s">
        <v>13338</v>
      </c>
      <c r="U5440" t="s">
        <v>13338</v>
      </c>
      <c r="V5440" t="s">
        <v>13338</v>
      </c>
      <c r="W5440" t="s">
        <v>18721</v>
      </c>
      <c r="X5440">
        <v>1</v>
      </c>
      <c r="Y5440" t="s">
        <v>25217</v>
      </c>
      <c r="Z5440" t="s">
        <v>31855</v>
      </c>
      <c r="AA5440">
        <v>0.249283380260967</v>
      </c>
      <c r="AB5440" t="str">
        <f>HYPERLINK("Melting_Curves/meltCurve_Q9BVM2_DPCD.pdf", "Melting_Curves/meltCurve_Q9BVM2_DPCD.pdf")</f>
        <v>Melting_Curves/meltCurve_Q9BVM2_DPCD.pdf</v>
      </c>
    </row>
    <row r="5441" spans="1:28" x14ac:dyDescent="0.25">
      <c r="A5441" t="s">
        <v>5445</v>
      </c>
      <c r="B5441">
        <v>0.99193492352474899</v>
      </c>
      <c r="C5441">
        <v>0.94754086414832295</v>
      </c>
      <c r="D5441">
        <v>0.93759017676070899</v>
      </c>
      <c r="E5441">
        <v>0.71670967405439301</v>
      </c>
      <c r="F5441">
        <v>0.38162971508594401</v>
      </c>
      <c r="G5441">
        <v>0.20336204501858701</v>
      </c>
      <c r="H5441">
        <v>0.10890140396266799</v>
      </c>
      <c r="I5441">
        <v>0.11052091310121299</v>
      </c>
      <c r="J5441">
        <v>0.131902015709744</v>
      </c>
      <c r="K5441">
        <v>0.103334789331611</v>
      </c>
      <c r="L5441">
        <v>1129.5242647729301</v>
      </c>
      <c r="M5441">
        <v>22.019610428943199</v>
      </c>
      <c r="N5441">
        <v>51.840832063648698</v>
      </c>
      <c r="O5441">
        <v>50.878838936441198</v>
      </c>
      <c r="P5441">
        <v>-9.7027384985071796E-2</v>
      </c>
      <c r="Q5441">
        <v>0.10324837027761601</v>
      </c>
      <c r="R5441">
        <v>0.99794103254413202</v>
      </c>
      <c r="S5441" t="s">
        <v>12111</v>
      </c>
      <c r="T5441" t="s">
        <v>13338</v>
      </c>
      <c r="U5441" t="s">
        <v>13338</v>
      </c>
      <c r="V5441" t="s">
        <v>13338</v>
      </c>
      <c r="W5441" t="s">
        <v>18722</v>
      </c>
      <c r="X5441">
        <v>1</v>
      </c>
      <c r="Y5441" t="s">
        <v>25218</v>
      </c>
      <c r="Z5441" t="s">
        <v>31856</v>
      </c>
      <c r="AA5441">
        <v>0.45129816864018241</v>
      </c>
      <c r="AB5441" t="str">
        <f>HYPERLINK("Melting_Curves/meltCurve_Q9BVM4_GGACT.pdf", "Melting_Curves/meltCurve_Q9BVM4_GGACT.pdf")</f>
        <v>Melting_Curves/meltCurve_Q9BVM4_GGACT.pdf</v>
      </c>
    </row>
    <row r="5442" spans="1:28" x14ac:dyDescent="0.25">
      <c r="A5442" t="s">
        <v>5446</v>
      </c>
      <c r="B5442">
        <v>0.99193492352474899</v>
      </c>
      <c r="C5442">
        <v>0.463670279649541</v>
      </c>
      <c r="D5442">
        <v>0.235853695478908</v>
      </c>
      <c r="E5442">
        <v>9.1977029780234504E-2</v>
      </c>
      <c r="F5442">
        <v>3.10952182885267E-2</v>
      </c>
      <c r="G5442">
        <v>1.32574611320331E-2</v>
      </c>
      <c r="H5442">
        <v>1.6835942008323002E-2</v>
      </c>
      <c r="I5442">
        <v>1.14541195325707E-2</v>
      </c>
      <c r="J5442">
        <v>5.2411568037235602E-2</v>
      </c>
      <c r="K5442">
        <v>0</v>
      </c>
      <c r="L5442">
        <v>1206.0798203865199</v>
      </c>
      <c r="M5442">
        <v>28.028559813713802</v>
      </c>
      <c r="N5442">
        <v>43.1307088722454</v>
      </c>
      <c r="O5442">
        <v>42.813144159249603</v>
      </c>
      <c r="P5442">
        <v>-0.15850458197687201</v>
      </c>
      <c r="Q5442">
        <v>3.1556375628795298E-2</v>
      </c>
      <c r="R5442">
        <v>0.97466897384637996</v>
      </c>
      <c r="S5442" t="s">
        <v>12112</v>
      </c>
      <c r="T5442" t="s">
        <v>13338</v>
      </c>
      <c r="U5442" t="s">
        <v>13338</v>
      </c>
      <c r="V5442" t="s">
        <v>13338</v>
      </c>
      <c r="W5442" t="s">
        <v>18723</v>
      </c>
      <c r="X5442">
        <v>1</v>
      </c>
      <c r="Y5442" t="s">
        <v>25219</v>
      </c>
      <c r="Z5442" t="s">
        <v>31857</v>
      </c>
      <c r="AA5442">
        <v>0.13984057292336641</v>
      </c>
      <c r="AB5442" t="str">
        <f>HYPERLINK("Melting_Curves/meltCurve_Q9BVP2_2_GNL3.pdf", "Melting_Curves/meltCurve_Q9BVP2_2_GNL3.pdf")</f>
        <v>Melting_Curves/meltCurve_Q9BVP2_2_GNL3.pdf</v>
      </c>
    </row>
    <row r="5443" spans="1:28" x14ac:dyDescent="0.25">
      <c r="A5443" t="s">
        <v>5447</v>
      </c>
      <c r="B5443">
        <v>0.99193492352474899</v>
      </c>
      <c r="C5443">
        <v>0.74151184674065895</v>
      </c>
      <c r="D5443">
        <v>1.01584937159513</v>
      </c>
      <c r="E5443">
        <v>0.88521283050661204</v>
      </c>
      <c r="F5443">
        <v>1.3675687609967699</v>
      </c>
      <c r="G5443">
        <v>0.878052322333572</v>
      </c>
      <c r="H5443">
        <v>0.197149396092614</v>
      </c>
      <c r="I5443">
        <v>0.18018332387784899</v>
      </c>
      <c r="J5443">
        <v>0.18214160970307</v>
      </c>
      <c r="K5443">
        <v>0.18889257232860901</v>
      </c>
      <c r="L5443">
        <v>7243.1091511770601</v>
      </c>
      <c r="M5443">
        <v>125.78286939812</v>
      </c>
      <c r="N5443">
        <v>57.799201028361502</v>
      </c>
      <c r="O5443">
        <v>57.569678375752403</v>
      </c>
      <c r="P5443">
        <v>-0.44417420800697199</v>
      </c>
      <c r="Q5443">
        <v>0.18682206519167099</v>
      </c>
      <c r="R5443">
        <v>0.87588621080412099</v>
      </c>
      <c r="S5443" t="s">
        <v>12113</v>
      </c>
      <c r="T5443" t="s">
        <v>13338</v>
      </c>
      <c r="U5443" t="s">
        <v>13338</v>
      </c>
      <c r="V5443" t="s">
        <v>13338</v>
      </c>
      <c r="W5443" t="s">
        <v>18724</v>
      </c>
      <c r="X5443">
        <v>10</v>
      </c>
      <c r="Y5443" t="s">
        <v>25220</v>
      </c>
      <c r="Z5443" t="s">
        <v>31858</v>
      </c>
      <c r="AA5443">
        <v>0.66378372906434402</v>
      </c>
      <c r="AB5443" t="str">
        <f>HYPERLINK("Melting_Curves/meltCurve_Q9BVQ7_SPATA5L1.pdf", "Melting_Curves/meltCurve_Q9BVQ7_SPATA5L1.pdf")</f>
        <v>Melting_Curves/meltCurve_Q9BVQ7_SPATA5L1.pdf</v>
      </c>
    </row>
    <row r="5444" spans="1:28" x14ac:dyDescent="0.25">
      <c r="A5444" t="s">
        <v>5448</v>
      </c>
      <c r="B5444">
        <v>0.99193492352474899</v>
      </c>
      <c r="C5444">
        <v>0.66402191976065505</v>
      </c>
      <c r="D5444">
        <v>0.98565069215265499</v>
      </c>
      <c r="E5444">
        <v>0.62044847161865202</v>
      </c>
      <c r="F5444">
        <v>0.447168042632486</v>
      </c>
      <c r="G5444">
        <v>0.193694229650995</v>
      </c>
      <c r="H5444">
        <v>7.3357708248327103E-2</v>
      </c>
      <c r="I5444">
        <v>7.2336213186946399E-2</v>
      </c>
      <c r="J5444">
        <v>8.2449420751167096E-2</v>
      </c>
      <c r="K5444">
        <v>7.0725757399439801E-2</v>
      </c>
      <c r="L5444">
        <v>681.13299394719502</v>
      </c>
      <c r="M5444">
        <v>13.198618363439399</v>
      </c>
      <c r="N5444">
        <v>51.670487358218303</v>
      </c>
      <c r="O5444">
        <v>50.4648566829378</v>
      </c>
      <c r="P5444">
        <v>-6.4865049715134904E-2</v>
      </c>
      <c r="Q5444">
        <v>8.1203025993776008E-3</v>
      </c>
      <c r="R5444">
        <v>0.91726837034399</v>
      </c>
      <c r="S5444" t="s">
        <v>12114</v>
      </c>
      <c r="T5444" t="s">
        <v>13338</v>
      </c>
      <c r="U5444" t="s">
        <v>13338</v>
      </c>
      <c r="V5444" t="s">
        <v>13338</v>
      </c>
      <c r="W5444" t="s">
        <v>18725</v>
      </c>
      <c r="X5444">
        <v>8</v>
      </c>
      <c r="Y5444" t="s">
        <v>25221</v>
      </c>
      <c r="Z5444" t="s">
        <v>31859</v>
      </c>
      <c r="AA5444">
        <v>0.41913237137462789</v>
      </c>
      <c r="AB5444" t="str">
        <f>HYPERLINK("Melting_Curves/meltCurve_Q9BVS4_RIOK2.pdf", "Melting_Curves/meltCurve_Q9BVS4_RIOK2.pdf")</f>
        <v>Melting_Curves/meltCurve_Q9BVS4_RIOK2.pdf</v>
      </c>
    </row>
    <row r="5445" spans="1:28" x14ac:dyDescent="0.25">
      <c r="A5445" t="s">
        <v>5449</v>
      </c>
      <c r="B5445">
        <v>0.99193492352474899</v>
      </c>
      <c r="C5445">
        <v>0.71553192640559704</v>
      </c>
      <c r="D5445">
        <v>0.90998772925169702</v>
      </c>
      <c r="E5445">
        <v>0.69030885563050504</v>
      </c>
      <c r="F5445">
        <v>0.82016733668577102</v>
      </c>
      <c r="G5445">
        <v>0.57115135605126899</v>
      </c>
      <c r="H5445">
        <v>0.48843270622776203</v>
      </c>
      <c r="I5445">
        <v>0.240171600797535</v>
      </c>
      <c r="J5445">
        <v>0.29690415792381902</v>
      </c>
      <c r="K5445">
        <v>0.244712797568127</v>
      </c>
      <c r="L5445">
        <v>392.99966860158901</v>
      </c>
      <c r="M5445">
        <v>6.7087907855202698</v>
      </c>
      <c r="N5445">
        <v>58.579818713705698</v>
      </c>
      <c r="O5445">
        <v>54.033404382949598</v>
      </c>
      <c r="P5445">
        <v>-3.1107239800195099E-2</v>
      </c>
      <c r="Q5445">
        <v>0</v>
      </c>
      <c r="R5445">
        <v>0.86148243714068695</v>
      </c>
      <c r="S5445" t="s">
        <v>12115</v>
      </c>
      <c r="T5445" t="s">
        <v>13338</v>
      </c>
      <c r="U5445" t="s">
        <v>13338</v>
      </c>
      <c r="V5445" t="s">
        <v>13338</v>
      </c>
      <c r="W5445" t="s">
        <v>18726</v>
      </c>
      <c r="X5445">
        <v>6</v>
      </c>
      <c r="Y5445" t="s">
        <v>25222</v>
      </c>
      <c r="Z5445" t="s">
        <v>31860</v>
      </c>
      <c r="AA5445">
        <v>0.60956213119627312</v>
      </c>
      <c r="AB5445" t="str">
        <f>HYPERLINK("Melting_Curves/meltCurve_Q9BVS5_TRMT61B.pdf", "Melting_Curves/meltCurve_Q9BVS5_TRMT61B.pdf")</f>
        <v>Melting_Curves/meltCurve_Q9BVS5_TRMT61B.pdf</v>
      </c>
    </row>
    <row r="5446" spans="1:28" x14ac:dyDescent="0.25">
      <c r="A5446" t="s">
        <v>5450</v>
      </c>
      <c r="B5446">
        <v>0.99193492352474899</v>
      </c>
      <c r="C5446">
        <v>0.76318096701468896</v>
      </c>
      <c r="D5446">
        <v>0.97493545772013701</v>
      </c>
      <c r="E5446">
        <v>0.56856847455887405</v>
      </c>
      <c r="F5446">
        <v>0.27977194700112201</v>
      </c>
      <c r="G5446">
        <v>0.13131669185799999</v>
      </c>
      <c r="H5446">
        <v>6.3002006990790102E-2</v>
      </c>
      <c r="I5446">
        <v>7.1773091323182894E-2</v>
      </c>
      <c r="J5446">
        <v>7.9157657011777099E-2</v>
      </c>
      <c r="K5446">
        <v>0.10216010509358101</v>
      </c>
      <c r="L5446">
        <v>1105.02055469683</v>
      </c>
      <c r="M5446">
        <v>22.0505835018356</v>
      </c>
      <c r="N5446">
        <v>50.4625551286044</v>
      </c>
      <c r="O5446">
        <v>49.706290254624903</v>
      </c>
      <c r="P5446">
        <v>-0.103051492903943</v>
      </c>
      <c r="Q5446">
        <v>7.0828374507829903E-2</v>
      </c>
      <c r="R5446">
        <v>0.95823979585108299</v>
      </c>
      <c r="S5446" t="s">
        <v>12116</v>
      </c>
      <c r="T5446" t="s">
        <v>13338</v>
      </c>
      <c r="U5446" t="s">
        <v>13338</v>
      </c>
      <c r="V5446" t="s">
        <v>13338</v>
      </c>
      <c r="W5446" t="s">
        <v>18727</v>
      </c>
      <c r="X5446">
        <v>4</v>
      </c>
      <c r="Y5446" t="s">
        <v>25223</v>
      </c>
      <c r="Z5446" t="s">
        <v>31861</v>
      </c>
      <c r="AA5446">
        <v>0.39472956585678992</v>
      </c>
      <c r="AB5446" t="str">
        <f>HYPERLINK("Melting_Curves/meltCurve_Q9BVV7_TIMM21.pdf", "Melting_Curves/meltCurve_Q9BVV7_TIMM21.pdf")</f>
        <v>Melting_Curves/meltCurve_Q9BVV7_TIMM21.pdf</v>
      </c>
    </row>
    <row r="5447" spans="1:28" x14ac:dyDescent="0.25">
      <c r="A5447" t="s">
        <v>5451</v>
      </c>
      <c r="B5447">
        <v>0.99193492352474899</v>
      </c>
      <c r="C5447">
        <v>1.18488359138329</v>
      </c>
      <c r="D5447">
        <v>0.56334998292585103</v>
      </c>
      <c r="E5447">
        <v>0.55822296839655206</v>
      </c>
      <c r="F5447">
        <v>0.312850990058751</v>
      </c>
      <c r="G5447">
        <v>0.24103077817524801</v>
      </c>
      <c r="H5447">
        <v>0.17967918423548099</v>
      </c>
      <c r="I5447">
        <v>0.32071574737249697</v>
      </c>
      <c r="J5447">
        <v>0.25689809798983398</v>
      </c>
      <c r="K5447">
        <v>0.41720090846865399</v>
      </c>
      <c r="L5447">
        <v>1238.57507048143</v>
      </c>
      <c r="M5447">
        <v>26.452875210855002</v>
      </c>
      <c r="N5447">
        <v>48.441937943004703</v>
      </c>
      <c r="O5447">
        <v>46.556819534058299</v>
      </c>
      <c r="P5447">
        <v>-0.10034709003106999</v>
      </c>
      <c r="Q5447">
        <v>0.29356773063702901</v>
      </c>
      <c r="R5447">
        <v>0.86446279141197502</v>
      </c>
      <c r="S5447" t="s">
        <v>12117</v>
      </c>
      <c r="T5447" t="s">
        <v>13338</v>
      </c>
      <c r="U5447" t="s">
        <v>13338</v>
      </c>
      <c r="V5447" t="s">
        <v>13338</v>
      </c>
      <c r="W5447" t="s">
        <v>18728</v>
      </c>
      <c r="X5447">
        <v>4</v>
      </c>
      <c r="Y5447" t="s">
        <v>25224</v>
      </c>
      <c r="Z5447" t="s">
        <v>31862</v>
      </c>
      <c r="AA5447">
        <v>0.45979600905425388</v>
      </c>
      <c r="AB5447" t="str">
        <f>HYPERLINK("Melting_Curves/meltCurve_Q9BVW5_TIPIN.pdf", "Melting_Curves/meltCurve_Q9BVW5_TIPIN.pdf")</f>
        <v>Melting_Curves/meltCurve_Q9BVW5_TIPIN.pdf</v>
      </c>
    </row>
    <row r="5448" spans="1:28" x14ac:dyDescent="0.25">
      <c r="A5448" t="s">
        <v>5452</v>
      </c>
      <c r="B5448">
        <v>0.99193492352474899</v>
      </c>
      <c r="C5448">
        <v>0.44272778567390803</v>
      </c>
      <c r="D5448">
        <v>0.74629661064319197</v>
      </c>
      <c r="E5448">
        <v>0.209759674678624</v>
      </c>
      <c r="F5448">
        <v>0.15838375673815999</v>
      </c>
      <c r="G5448">
        <v>7.9687279605162295E-2</v>
      </c>
      <c r="H5448">
        <v>5.5427328277551403E-2</v>
      </c>
      <c r="I5448">
        <v>6.4071972362687801E-2</v>
      </c>
      <c r="J5448">
        <v>7.7456475508817194E-2</v>
      </c>
      <c r="K5448">
        <v>9.2185851228390001E-2</v>
      </c>
      <c r="L5448">
        <v>588.28360745170903</v>
      </c>
      <c r="M5448">
        <v>12.882562279943601</v>
      </c>
      <c r="N5448">
        <v>45.968996818508302</v>
      </c>
      <c r="O5448">
        <v>44.606754853139101</v>
      </c>
      <c r="P5448">
        <v>-6.9266286299356494E-2</v>
      </c>
      <c r="Q5448">
        <v>4.08187042504796E-2</v>
      </c>
      <c r="R5448">
        <v>0.83792065184565101</v>
      </c>
      <c r="S5448" t="s">
        <v>12118</v>
      </c>
      <c r="T5448" t="s">
        <v>13338</v>
      </c>
      <c r="U5448" t="s">
        <v>13338</v>
      </c>
      <c r="V5448" t="s">
        <v>13338</v>
      </c>
      <c r="W5448" t="s">
        <v>18729</v>
      </c>
      <c r="X5448">
        <v>22</v>
      </c>
      <c r="Y5448" t="s">
        <v>25225</v>
      </c>
      <c r="Z5448" t="s">
        <v>31863</v>
      </c>
      <c r="AA5448">
        <v>0.26122546583485312</v>
      </c>
      <c r="AB5448" t="str">
        <f>HYPERLINK("Melting_Curves/meltCurve_Q9BW19_KIFC1.pdf", "Melting_Curves/meltCurve_Q9BW19_KIFC1.pdf")</f>
        <v>Melting_Curves/meltCurve_Q9BW19_KIFC1.pdf</v>
      </c>
    </row>
    <row r="5449" spans="1:28" x14ac:dyDescent="0.25">
      <c r="A5449" t="s">
        <v>5453</v>
      </c>
      <c r="B5449">
        <v>0.99193492352474899</v>
      </c>
      <c r="C5449">
        <v>0.88087004264601798</v>
      </c>
      <c r="D5449">
        <v>1.01457234946087</v>
      </c>
      <c r="E5449">
        <v>0.77684323377361197</v>
      </c>
      <c r="F5449">
        <v>0.57441084262508901</v>
      </c>
      <c r="G5449">
        <v>0.231027311632449</v>
      </c>
      <c r="H5449">
        <v>0.120324702881969</v>
      </c>
      <c r="I5449">
        <v>0.118011996312747</v>
      </c>
      <c r="J5449">
        <v>0.13693777967600901</v>
      </c>
      <c r="K5449">
        <v>0.16716004071427601</v>
      </c>
      <c r="L5449">
        <v>1187.5880290543701</v>
      </c>
      <c r="M5449">
        <v>22.506984160669699</v>
      </c>
      <c r="N5449">
        <v>53.3964637320096</v>
      </c>
      <c r="O5449">
        <v>52.3540604309785</v>
      </c>
      <c r="P5449">
        <v>-9.4924528405598702E-2</v>
      </c>
      <c r="Q5449">
        <v>0.11679270503243699</v>
      </c>
      <c r="R5449">
        <v>0.98016132553593205</v>
      </c>
      <c r="S5449" t="s">
        <v>12119</v>
      </c>
      <c r="T5449" t="s">
        <v>13338</v>
      </c>
      <c r="U5449" t="s">
        <v>13338</v>
      </c>
      <c r="V5449" t="s">
        <v>13338</v>
      </c>
      <c r="W5449" t="s">
        <v>18730</v>
      </c>
      <c r="X5449">
        <v>9</v>
      </c>
      <c r="Y5449" t="s">
        <v>25226</v>
      </c>
      <c r="Z5449" t="s">
        <v>31864</v>
      </c>
      <c r="AA5449">
        <v>0.50247319812651758</v>
      </c>
      <c r="AB5449" t="str">
        <f>HYPERLINK("Melting_Curves/meltCurve_Q9BW27_NUP85.pdf", "Melting_Curves/meltCurve_Q9BW27_NUP85.pdf")</f>
        <v>Melting_Curves/meltCurve_Q9BW27_NUP85.pdf</v>
      </c>
    </row>
    <row r="5450" spans="1:28" x14ac:dyDescent="0.25">
      <c r="A5450" t="s">
        <v>5454</v>
      </c>
      <c r="B5450">
        <v>0.99193492352474899</v>
      </c>
      <c r="C5450">
        <v>1.1078223360263699</v>
      </c>
      <c r="D5450">
        <v>0.95682115485211705</v>
      </c>
      <c r="E5450">
        <v>0.433526260252111</v>
      </c>
      <c r="F5450">
        <v>0.271933696284689</v>
      </c>
      <c r="G5450">
        <v>0.20120011252056599</v>
      </c>
      <c r="H5450">
        <v>0.102280820484407</v>
      </c>
      <c r="I5450">
        <v>0.13412284656715701</v>
      </c>
      <c r="J5450">
        <v>0.22527064738326999</v>
      </c>
      <c r="K5450">
        <v>0.282338116815607</v>
      </c>
      <c r="L5450">
        <v>2220.7506279622498</v>
      </c>
      <c r="M5450">
        <v>45.601404585800601</v>
      </c>
      <c r="N5450">
        <v>49.246453493435403</v>
      </c>
      <c r="O5450">
        <v>48.605804307854299</v>
      </c>
      <c r="P5450">
        <v>-0.187922257659805</v>
      </c>
      <c r="Q5450">
        <v>0.19878787075357701</v>
      </c>
      <c r="R5450">
        <v>0.97332390430850901</v>
      </c>
      <c r="S5450" t="s">
        <v>12120</v>
      </c>
      <c r="T5450" t="s">
        <v>13338</v>
      </c>
      <c r="U5450" t="s">
        <v>13338</v>
      </c>
      <c r="V5450" t="s">
        <v>13338</v>
      </c>
      <c r="W5450" t="s">
        <v>18731</v>
      </c>
      <c r="X5450">
        <v>1</v>
      </c>
      <c r="Y5450" t="s">
        <v>25227</v>
      </c>
      <c r="Z5450" t="s">
        <v>31865</v>
      </c>
      <c r="AA5450">
        <v>0.43318964735512883</v>
      </c>
      <c r="AB5450" t="str">
        <f>HYPERLINK("Melting_Curves/meltCurve_Q9BW60_ELOVL1.pdf", "Melting_Curves/meltCurve_Q9BW60_ELOVL1.pdf")</f>
        <v>Melting_Curves/meltCurve_Q9BW60_ELOVL1.pdf</v>
      </c>
    </row>
    <row r="5451" spans="1:28" x14ac:dyDescent="0.25">
      <c r="A5451" t="s">
        <v>5455</v>
      </c>
      <c r="B5451">
        <v>0.99193492352474899</v>
      </c>
      <c r="C5451">
        <v>0.80451983723591003</v>
      </c>
      <c r="D5451">
        <v>0.65896153072392105</v>
      </c>
      <c r="E5451">
        <v>0.59616270630424395</v>
      </c>
      <c r="F5451">
        <v>0.41722918763856798</v>
      </c>
      <c r="G5451">
        <v>0.20068800489958999</v>
      </c>
      <c r="H5451">
        <v>0.12809508022812899</v>
      </c>
      <c r="I5451">
        <v>0.16570340174114101</v>
      </c>
      <c r="J5451">
        <v>0.166012072992514</v>
      </c>
      <c r="K5451">
        <v>0.26012200516202899</v>
      </c>
      <c r="L5451">
        <v>580.08256694535896</v>
      </c>
      <c r="M5451">
        <v>11.9286082615316</v>
      </c>
      <c r="N5451">
        <v>49.987613216785398</v>
      </c>
      <c r="O5451">
        <v>47.323268322015799</v>
      </c>
      <c r="P5451">
        <v>-5.4308222214920703E-2</v>
      </c>
      <c r="Q5451">
        <v>0.138404538314784</v>
      </c>
      <c r="R5451">
        <v>0.95461125245633704</v>
      </c>
      <c r="S5451" t="s">
        <v>12121</v>
      </c>
      <c r="T5451" t="s">
        <v>13338</v>
      </c>
      <c r="U5451" t="s">
        <v>13338</v>
      </c>
      <c r="V5451" t="s">
        <v>13338</v>
      </c>
      <c r="W5451" t="s">
        <v>18732</v>
      </c>
      <c r="X5451">
        <v>8</v>
      </c>
      <c r="Y5451" t="s">
        <v>25228</v>
      </c>
      <c r="Z5451" t="s">
        <v>31866</v>
      </c>
      <c r="AA5451">
        <v>0.41895723020951292</v>
      </c>
      <c r="AB5451" t="str">
        <f>HYPERLINK("Melting_Curves/meltCurve_Q9BW61_DDA1.pdf", "Melting_Curves/meltCurve_Q9BW61_DDA1.pdf")</f>
        <v>Melting_Curves/meltCurve_Q9BW61_DDA1.pdf</v>
      </c>
    </row>
    <row r="5452" spans="1:28" x14ac:dyDescent="0.25">
      <c r="A5452" t="s">
        <v>5456</v>
      </c>
      <c r="B5452">
        <v>0.99193492352474899</v>
      </c>
      <c r="C5452">
        <v>0.87163422810394697</v>
      </c>
      <c r="D5452">
        <v>0.86254441932845904</v>
      </c>
      <c r="E5452">
        <v>0.48600785074464498</v>
      </c>
      <c r="F5452">
        <v>0.184256403260459</v>
      </c>
      <c r="G5452">
        <v>0.14693421950799401</v>
      </c>
      <c r="H5452">
        <v>9.6740347067565E-2</v>
      </c>
      <c r="I5452">
        <v>7.7366631974021105E-2</v>
      </c>
      <c r="J5452">
        <v>0.10064693920942799</v>
      </c>
      <c r="K5452">
        <v>0.13600744193016501</v>
      </c>
      <c r="L5452">
        <v>1154.77070887986</v>
      </c>
      <c r="M5452">
        <v>23.605998195699701</v>
      </c>
      <c r="N5452">
        <v>49.3747490870104</v>
      </c>
      <c r="O5452">
        <v>48.571527826936297</v>
      </c>
      <c r="P5452">
        <v>-0.109597837859502</v>
      </c>
      <c r="Q5452">
        <v>9.7984446692760796E-2</v>
      </c>
      <c r="R5452">
        <v>0.98929077459901205</v>
      </c>
      <c r="S5452" t="s">
        <v>12122</v>
      </c>
      <c r="T5452" t="s">
        <v>13338</v>
      </c>
      <c r="U5452" t="s">
        <v>13338</v>
      </c>
      <c r="V5452" t="s">
        <v>13338</v>
      </c>
      <c r="W5452" t="s">
        <v>18733</v>
      </c>
      <c r="X5452">
        <v>5</v>
      </c>
      <c r="Y5452" t="s">
        <v>25229</v>
      </c>
      <c r="Z5452" t="s">
        <v>31867</v>
      </c>
      <c r="AA5452">
        <v>0.3751335675739409</v>
      </c>
      <c r="AB5452" t="str">
        <f>HYPERLINK("Melting_Curves/meltCurve_Q9BW62_KATNAL1.pdf", "Melting_Curves/meltCurve_Q9BW62_KATNAL1.pdf")</f>
        <v>Melting_Curves/meltCurve_Q9BW62_KATNAL1.pdf</v>
      </c>
    </row>
    <row r="5453" spans="1:28" x14ac:dyDescent="0.25">
      <c r="A5453" t="s">
        <v>5457</v>
      </c>
      <c r="B5453">
        <v>0.99193492352474899</v>
      </c>
      <c r="C5453">
        <v>0.89761144199795995</v>
      </c>
      <c r="D5453">
        <v>0.90194930674845997</v>
      </c>
      <c r="E5453">
        <v>0.67483325633532298</v>
      </c>
      <c r="F5453">
        <v>0.41043133579376201</v>
      </c>
      <c r="G5453">
        <v>0.26371371516970599</v>
      </c>
      <c r="H5453">
        <v>0.17884364401265199</v>
      </c>
      <c r="I5453">
        <v>0.24746061985331</v>
      </c>
      <c r="J5453">
        <v>0.28784441523426302</v>
      </c>
      <c r="K5453">
        <v>0.38840094805709602</v>
      </c>
      <c r="L5453">
        <v>1187.8241236787901</v>
      </c>
      <c r="M5453">
        <v>23.820468789263099</v>
      </c>
      <c r="N5453">
        <v>51.505832221180498</v>
      </c>
      <c r="O5453">
        <v>49.518237317235901</v>
      </c>
      <c r="P5453">
        <v>-8.8294274623971894E-2</v>
      </c>
      <c r="Q5453">
        <v>0.26582375975370098</v>
      </c>
      <c r="R5453">
        <v>0.96000675985267403</v>
      </c>
      <c r="S5453" t="s">
        <v>12123</v>
      </c>
      <c r="T5453" t="s">
        <v>13338</v>
      </c>
      <c r="U5453" t="s">
        <v>13338</v>
      </c>
      <c r="V5453" t="s">
        <v>13338</v>
      </c>
      <c r="W5453" t="s">
        <v>18734</v>
      </c>
      <c r="X5453">
        <v>18</v>
      </c>
      <c r="Y5453" t="s">
        <v>25230</v>
      </c>
      <c r="Z5453" t="s">
        <v>31868</v>
      </c>
      <c r="AA5453">
        <v>0.51448518768005491</v>
      </c>
      <c r="AB5453" t="str">
        <f>HYPERLINK("Melting_Curves/meltCurve_Q9BW71_HIRIP3.pdf", "Melting_Curves/meltCurve_Q9BW71_HIRIP3.pdf")</f>
        <v>Melting_Curves/meltCurve_Q9BW71_HIRIP3.pdf</v>
      </c>
    </row>
    <row r="5454" spans="1:28" x14ac:dyDescent="0.25">
      <c r="A5454" t="s">
        <v>5458</v>
      </c>
      <c r="B5454">
        <v>0.99193492352474899</v>
      </c>
      <c r="C5454">
        <v>1.0324658926639301</v>
      </c>
      <c r="D5454">
        <v>0.82981564162316102</v>
      </c>
      <c r="E5454">
        <v>0.59581985848598595</v>
      </c>
      <c r="F5454">
        <v>0.27707370354619199</v>
      </c>
      <c r="G5454">
        <v>0.22666413511495401</v>
      </c>
      <c r="H5454">
        <v>0.174372921911538</v>
      </c>
      <c r="I5454">
        <v>0.179835797690414</v>
      </c>
      <c r="J5454">
        <v>0.168192796045045</v>
      </c>
      <c r="K5454">
        <v>0.24496398989625001</v>
      </c>
      <c r="L5454">
        <v>1185.2352424038399</v>
      </c>
      <c r="M5454">
        <v>24.045997055035599</v>
      </c>
      <c r="N5454">
        <v>50.269968421232598</v>
      </c>
      <c r="O5454">
        <v>48.953229772069399</v>
      </c>
      <c r="P5454">
        <v>-9.98310917459721E-2</v>
      </c>
      <c r="Q5454">
        <v>0.18706176368529101</v>
      </c>
      <c r="R5454">
        <v>0.99006852852379201</v>
      </c>
      <c r="S5454" t="s">
        <v>12124</v>
      </c>
      <c r="T5454" t="s">
        <v>13338</v>
      </c>
      <c r="U5454" t="s">
        <v>13338</v>
      </c>
      <c r="V5454" t="s">
        <v>13338</v>
      </c>
      <c r="W5454" t="s">
        <v>18735</v>
      </c>
      <c r="X5454">
        <v>11</v>
      </c>
      <c r="Y5454" t="s">
        <v>25230</v>
      </c>
      <c r="Z5454" t="s">
        <v>31869</v>
      </c>
      <c r="AA5454">
        <v>0.44662707865828871</v>
      </c>
      <c r="AB5454" t="str">
        <f>HYPERLINK("Melting_Curves/meltCurve_Q9BW71_3_HIRIP3.pdf", "Melting_Curves/meltCurve_Q9BW71_3_HIRIP3.pdf")</f>
        <v>Melting_Curves/meltCurve_Q9BW71_3_HIRIP3.pdf</v>
      </c>
    </row>
    <row r="5455" spans="1:28" x14ac:dyDescent="0.25">
      <c r="A5455" t="s">
        <v>5459</v>
      </c>
      <c r="B5455">
        <v>0.99193492352474899</v>
      </c>
      <c r="C5455">
        <v>0.90701194427755605</v>
      </c>
      <c r="D5455">
        <v>0.89714056937987396</v>
      </c>
      <c r="E5455">
        <v>0.86303024572275999</v>
      </c>
      <c r="F5455">
        <v>0.66239811036589302</v>
      </c>
      <c r="G5455">
        <v>0.33368725207732203</v>
      </c>
      <c r="H5455">
        <v>0.135943142386377</v>
      </c>
      <c r="I5455">
        <v>8.7248388761733298E-2</v>
      </c>
      <c r="J5455">
        <v>8.8061752984937597E-2</v>
      </c>
      <c r="K5455">
        <v>9.7725698685904402E-2</v>
      </c>
      <c r="L5455">
        <v>1036.5089558474599</v>
      </c>
      <c r="M5455">
        <v>19.064483566902101</v>
      </c>
      <c r="N5455">
        <v>54.697902007363702</v>
      </c>
      <c r="O5455">
        <v>53.780977352081003</v>
      </c>
      <c r="P5455">
        <v>-8.3819299409389994E-2</v>
      </c>
      <c r="Q5455">
        <v>5.4219000475507297E-2</v>
      </c>
      <c r="R5455">
        <v>0.987778045763966</v>
      </c>
      <c r="S5455" t="s">
        <v>12125</v>
      </c>
      <c r="T5455" t="s">
        <v>13338</v>
      </c>
      <c r="U5455" t="s">
        <v>13338</v>
      </c>
      <c r="V5455" t="s">
        <v>13338</v>
      </c>
      <c r="W5455" t="s">
        <v>18736</v>
      </c>
      <c r="X5455">
        <v>8</v>
      </c>
      <c r="Y5455" t="s">
        <v>25231</v>
      </c>
      <c r="Z5455" t="s">
        <v>31870</v>
      </c>
      <c r="AA5455">
        <v>0.52095490682015921</v>
      </c>
      <c r="AB5455" t="str">
        <f>HYPERLINK("Melting_Curves/meltCurve_Q9BW83_IFT27.pdf", "Melting_Curves/meltCurve_Q9BW83_IFT27.pdf")</f>
        <v>Melting_Curves/meltCurve_Q9BW83_IFT27.pdf</v>
      </c>
    </row>
    <row r="5456" spans="1:28" x14ac:dyDescent="0.25">
      <c r="A5456" t="s">
        <v>5460</v>
      </c>
      <c r="B5456">
        <v>0.99193492352474899</v>
      </c>
      <c r="C5456">
        <v>0.80252459335354398</v>
      </c>
      <c r="D5456">
        <v>0.91115039326787395</v>
      </c>
      <c r="E5456">
        <v>0.62056461551634201</v>
      </c>
      <c r="F5456">
        <v>0.40223185777513398</v>
      </c>
      <c r="G5456">
        <v>0.24279511868995701</v>
      </c>
      <c r="H5456">
        <v>0.141636950922719</v>
      </c>
      <c r="I5456">
        <v>0.165920104643133</v>
      </c>
      <c r="J5456">
        <v>0.22140431011199199</v>
      </c>
      <c r="K5456">
        <v>0.22160636158948399</v>
      </c>
      <c r="L5456">
        <v>860.73405289915297</v>
      </c>
      <c r="M5456">
        <v>17.195808938881701</v>
      </c>
      <c r="N5456">
        <v>51.281381058950601</v>
      </c>
      <c r="O5456">
        <v>49.392636309944798</v>
      </c>
      <c r="P5456">
        <v>-7.2366602303356703E-2</v>
      </c>
      <c r="Q5456">
        <v>0.16859590554975601</v>
      </c>
      <c r="R5456">
        <v>0.96289429723297204</v>
      </c>
      <c r="S5456" t="s">
        <v>12126</v>
      </c>
      <c r="T5456" t="s">
        <v>13338</v>
      </c>
      <c r="U5456" t="s">
        <v>13338</v>
      </c>
      <c r="V5456" t="s">
        <v>13338</v>
      </c>
      <c r="W5456" t="s">
        <v>18737</v>
      </c>
      <c r="X5456">
        <v>16</v>
      </c>
      <c r="Y5456" t="s">
        <v>25232</v>
      </c>
      <c r="Z5456" t="s">
        <v>31871</v>
      </c>
      <c r="AA5456">
        <v>0.4626908846433026</v>
      </c>
      <c r="AB5456" t="str">
        <f>HYPERLINK("Melting_Curves/meltCurve_Q9BW85_CCDC94.pdf", "Melting_Curves/meltCurve_Q9BW85_CCDC94.pdf")</f>
        <v>Melting_Curves/meltCurve_Q9BW85_CCDC94.pdf</v>
      </c>
    </row>
    <row r="5457" spans="1:28" x14ac:dyDescent="0.25">
      <c r="A5457" t="s">
        <v>5461</v>
      </c>
      <c r="B5457">
        <v>0.99193492352474899</v>
      </c>
      <c r="C5457">
        <v>0.99518086938526196</v>
      </c>
      <c r="D5457">
        <v>0.78421815701443798</v>
      </c>
      <c r="E5457">
        <v>0.593396747665766</v>
      </c>
      <c r="F5457">
        <v>0.21638510175095099</v>
      </c>
      <c r="G5457">
        <v>0.139548591924712</v>
      </c>
      <c r="H5457">
        <v>6.9297530784189598E-2</v>
      </c>
      <c r="I5457">
        <v>9.2722728506771795E-2</v>
      </c>
      <c r="J5457">
        <v>8.25541596311994E-2</v>
      </c>
      <c r="K5457">
        <v>9.1635025193910494E-2</v>
      </c>
      <c r="L5457">
        <v>1016.08884846437</v>
      </c>
      <c r="M5457">
        <v>20.482128597281999</v>
      </c>
      <c r="N5457">
        <v>49.988397779778602</v>
      </c>
      <c r="O5457">
        <v>49.142918599240502</v>
      </c>
      <c r="P5457">
        <v>-9.6690739082833904E-2</v>
      </c>
      <c r="Q5457">
        <v>7.2064069434926104E-2</v>
      </c>
      <c r="R5457">
        <v>0.99233313056115002</v>
      </c>
      <c r="S5457" t="s">
        <v>12127</v>
      </c>
      <c r="T5457" t="s">
        <v>13338</v>
      </c>
      <c r="U5457" t="s">
        <v>13338</v>
      </c>
      <c r="V5457" t="s">
        <v>13338</v>
      </c>
      <c r="W5457" t="s">
        <v>18738</v>
      </c>
      <c r="X5457">
        <v>6</v>
      </c>
      <c r="Y5457" t="s">
        <v>25233</v>
      </c>
      <c r="Z5457" t="s">
        <v>31872</v>
      </c>
      <c r="AA5457">
        <v>0.38161142463780229</v>
      </c>
      <c r="AB5457" t="str">
        <f>HYPERLINK("Melting_Curves/meltCurve_Q9BW91_2_NUDT9.pdf", "Melting_Curves/meltCurve_Q9BW91_2_NUDT9.pdf")</f>
        <v>Melting_Curves/meltCurve_Q9BW91_2_NUDT9.pdf</v>
      </c>
    </row>
    <row r="5458" spans="1:28" x14ac:dyDescent="0.25">
      <c r="A5458" t="s">
        <v>5462</v>
      </c>
      <c r="B5458">
        <v>0.99193492352474899</v>
      </c>
      <c r="C5458">
        <v>0.85644498039619499</v>
      </c>
      <c r="D5458">
        <v>0.81947213727775903</v>
      </c>
      <c r="E5458">
        <v>0.53845172747313097</v>
      </c>
      <c r="F5458">
        <v>0.27767310382940202</v>
      </c>
      <c r="G5458">
        <v>0.14458069424887901</v>
      </c>
      <c r="H5458">
        <v>0.102970430717442</v>
      </c>
      <c r="I5458">
        <v>0.12812276653899901</v>
      </c>
      <c r="J5458">
        <v>0.12914396090234501</v>
      </c>
      <c r="K5458">
        <v>0.121905212372744</v>
      </c>
      <c r="L5458">
        <v>870.073384633552</v>
      </c>
      <c r="M5458">
        <v>17.690106830978401</v>
      </c>
      <c r="N5458">
        <v>49.812455663559597</v>
      </c>
      <c r="O5458">
        <v>48.5685797483996</v>
      </c>
      <c r="P5458">
        <v>-8.1956734424400907E-2</v>
      </c>
      <c r="Q5458">
        <v>9.9991451820204399E-2</v>
      </c>
      <c r="R5458">
        <v>0.99092129505027204</v>
      </c>
      <c r="S5458" t="s">
        <v>12128</v>
      </c>
      <c r="T5458" t="s">
        <v>13338</v>
      </c>
      <c r="U5458" t="s">
        <v>13338</v>
      </c>
      <c r="V5458" t="s">
        <v>13338</v>
      </c>
      <c r="W5458" t="s">
        <v>18739</v>
      </c>
      <c r="X5458">
        <v>8</v>
      </c>
      <c r="Y5458" t="s">
        <v>25234</v>
      </c>
      <c r="Z5458" t="s">
        <v>31873</v>
      </c>
      <c r="AA5458">
        <v>0.39159773200520148</v>
      </c>
      <c r="AB5458" t="str">
        <f>HYPERLINK("Melting_Curves/meltCurve_Q9BW92_TARS2.pdf", "Melting_Curves/meltCurve_Q9BW92_TARS2.pdf")</f>
        <v>Melting_Curves/meltCurve_Q9BW92_TARS2.pdf</v>
      </c>
    </row>
    <row r="5459" spans="1:28" x14ac:dyDescent="0.25">
      <c r="A5459" t="s">
        <v>5463</v>
      </c>
      <c r="B5459">
        <v>0.99193492352474899</v>
      </c>
      <c r="C5459">
        <v>1.13313547862544</v>
      </c>
      <c r="D5459">
        <v>0.85673900610263298</v>
      </c>
      <c r="E5459">
        <v>0.977972072893875</v>
      </c>
      <c r="F5459">
        <v>0.81224025095533603</v>
      </c>
      <c r="G5459">
        <v>0.71934698005183795</v>
      </c>
      <c r="H5459">
        <v>0.43982818817250902</v>
      </c>
      <c r="I5459">
        <v>0.13723907818051601</v>
      </c>
      <c r="J5459">
        <v>0.118913561034704</v>
      </c>
      <c r="K5459">
        <v>0.10075748276775599</v>
      </c>
      <c r="L5459">
        <v>1009.6309353932299</v>
      </c>
      <c r="M5459">
        <v>17.032610946176899</v>
      </c>
      <c r="N5459">
        <v>59.276346115170597</v>
      </c>
      <c r="O5459">
        <v>58.477348082526603</v>
      </c>
      <c r="P5459">
        <v>-7.2821597348497594E-2</v>
      </c>
      <c r="Q5459">
        <v>0</v>
      </c>
      <c r="R5459">
        <v>0.962854656668651</v>
      </c>
      <c r="S5459" t="s">
        <v>12129</v>
      </c>
      <c r="T5459" t="s">
        <v>13338</v>
      </c>
      <c r="U5459" t="s">
        <v>13338</v>
      </c>
      <c r="V5459" t="s">
        <v>13338</v>
      </c>
      <c r="W5459" t="s">
        <v>18740</v>
      </c>
      <c r="X5459">
        <v>23</v>
      </c>
      <c r="Y5459" t="s">
        <v>25235</v>
      </c>
      <c r="Z5459" t="s">
        <v>31874</v>
      </c>
      <c r="AA5459">
        <v>0.65257531726708617</v>
      </c>
      <c r="AB5459" t="str">
        <f>HYPERLINK("Melting_Curves/meltCurve_Q9BWD1_ACAT2.pdf", "Melting_Curves/meltCurve_Q9BWD1_ACAT2.pdf")</f>
        <v>Melting_Curves/meltCurve_Q9BWD1_ACAT2.pdf</v>
      </c>
    </row>
    <row r="5460" spans="1:28" x14ac:dyDescent="0.25">
      <c r="A5460" t="s">
        <v>5464</v>
      </c>
      <c r="B5460">
        <v>0.99193492352474899</v>
      </c>
      <c r="C5460">
        <v>0.50483932966752798</v>
      </c>
      <c r="D5460">
        <v>0.43162437313715202</v>
      </c>
      <c r="E5460">
        <v>0.18613450010403201</v>
      </c>
      <c r="F5460">
        <v>0.113447012199308</v>
      </c>
      <c r="G5460">
        <v>6.6660489197865005E-2</v>
      </c>
      <c r="H5460">
        <v>5.4086533437796402E-2</v>
      </c>
      <c r="I5460">
        <v>6.9069054368933402E-2</v>
      </c>
      <c r="J5460">
        <v>9.04856279497777E-2</v>
      </c>
      <c r="K5460">
        <v>0.11047354741281799</v>
      </c>
      <c r="L5460">
        <v>814.04713588260404</v>
      </c>
      <c r="M5460">
        <v>18.5488070024142</v>
      </c>
      <c r="N5460">
        <v>44.298205485945097</v>
      </c>
      <c r="O5460">
        <v>43.386211152465997</v>
      </c>
      <c r="P5460">
        <v>-9.8428823547345196E-2</v>
      </c>
      <c r="Q5460">
        <v>7.91285808747694E-2</v>
      </c>
      <c r="R5460">
        <v>0.94987882405965296</v>
      </c>
      <c r="S5460" t="s">
        <v>12130</v>
      </c>
      <c r="T5460" t="s">
        <v>13338</v>
      </c>
      <c r="U5460" t="s">
        <v>13338</v>
      </c>
      <c r="V5460" t="s">
        <v>13338</v>
      </c>
      <c r="W5460" t="s">
        <v>18741</v>
      </c>
      <c r="X5460">
        <v>16</v>
      </c>
      <c r="Y5460" t="s">
        <v>25236</v>
      </c>
      <c r="Z5460" t="s">
        <v>31875</v>
      </c>
      <c r="AA5460">
        <v>0.2200524487344393</v>
      </c>
      <c r="AB5460" t="str">
        <f>HYPERLINK("Melting_Curves/meltCurve_Q9BWF3_RBM4.pdf", "Melting_Curves/meltCurve_Q9BWF3_RBM4.pdf")</f>
        <v>Melting_Curves/meltCurve_Q9BWF3_RBM4.pdf</v>
      </c>
    </row>
    <row r="5461" spans="1:28" x14ac:dyDescent="0.25">
      <c r="A5461" t="s">
        <v>5465</v>
      </c>
      <c r="B5461">
        <v>0.99193492352474899</v>
      </c>
      <c r="C5461">
        <v>0.820632467788455</v>
      </c>
      <c r="D5461">
        <v>1.0401510927151001</v>
      </c>
      <c r="E5461">
        <v>1.2133580843732099</v>
      </c>
      <c r="F5461">
        <v>0.99738737293590296</v>
      </c>
      <c r="G5461">
        <v>0.70157482693453799</v>
      </c>
      <c r="H5461">
        <v>0.84211401589582102</v>
      </c>
      <c r="I5461">
        <v>1.35456511050624</v>
      </c>
      <c r="J5461">
        <v>1.87079447561626</v>
      </c>
      <c r="K5461">
        <v>3.0551363408243799</v>
      </c>
      <c r="L5461">
        <v>15000</v>
      </c>
      <c r="M5461">
        <v>235.26622585772</v>
      </c>
      <c r="O5461">
        <v>63.752956549083898</v>
      </c>
      <c r="P5461">
        <v>0.46128497438977101</v>
      </c>
      <c r="Q5461">
        <v>1.5</v>
      </c>
      <c r="R5461">
        <v>0.38454300961451898</v>
      </c>
      <c r="S5461" t="s">
        <v>12131</v>
      </c>
      <c r="T5461" t="s">
        <v>13338</v>
      </c>
      <c r="U5461" t="s">
        <v>13338</v>
      </c>
      <c r="V5461" t="s">
        <v>13338</v>
      </c>
      <c r="W5461" t="s">
        <v>18742</v>
      </c>
      <c r="X5461">
        <v>2</v>
      </c>
      <c r="Y5461" t="s">
        <v>25237</v>
      </c>
      <c r="Z5461" t="s">
        <v>31876</v>
      </c>
      <c r="AA5461">
        <v>1.103977527447989</v>
      </c>
      <c r="AB5461" t="str">
        <f>HYPERLINK("Melting_Curves/meltCurve_Q9BWG6_SCNM1.pdf", "Melting_Curves/meltCurve_Q9BWG6_SCNM1.pdf")</f>
        <v>Melting_Curves/meltCurve_Q9BWG6_SCNM1.pdf</v>
      </c>
    </row>
    <row r="5462" spans="1:28" x14ac:dyDescent="0.25">
      <c r="A5462" t="s">
        <v>5466</v>
      </c>
      <c r="B5462">
        <v>0.99193492352474899</v>
      </c>
      <c r="C5462">
        <v>0.88188317629197499</v>
      </c>
      <c r="D5462">
        <v>0.87726863630652696</v>
      </c>
      <c r="E5462">
        <v>0.70237563657369695</v>
      </c>
      <c r="F5462">
        <v>0.577178796609782</v>
      </c>
      <c r="G5462">
        <v>0.52651708680918696</v>
      </c>
      <c r="H5462">
        <v>0.343521798403434</v>
      </c>
      <c r="I5462">
        <v>0.51040081649681401</v>
      </c>
      <c r="J5462">
        <v>0.570553055324442</v>
      </c>
      <c r="K5462">
        <v>0.88007365272563098</v>
      </c>
      <c r="L5462">
        <v>1044.03466831847</v>
      </c>
      <c r="M5462">
        <v>22.0605877939173</v>
      </c>
      <c r="O5462">
        <v>46.942055451854102</v>
      </c>
      <c r="P5462">
        <v>-5.1297829675868302E-2</v>
      </c>
      <c r="Q5462">
        <v>0.56338925950482099</v>
      </c>
      <c r="R5462">
        <v>0.598000291821842</v>
      </c>
      <c r="S5462" t="s">
        <v>12132</v>
      </c>
      <c r="T5462" t="s">
        <v>13338</v>
      </c>
      <c r="U5462" t="s">
        <v>13338</v>
      </c>
      <c r="V5462" t="s">
        <v>13338</v>
      </c>
      <c r="W5462" t="s">
        <v>18743</v>
      </c>
      <c r="X5462">
        <v>5</v>
      </c>
      <c r="Y5462" t="s">
        <v>25238</v>
      </c>
      <c r="Z5462" t="s">
        <v>31877</v>
      </c>
      <c r="AA5462">
        <v>0.67510336816592698</v>
      </c>
      <c r="AB5462" t="str">
        <f>HYPERLINK("Melting_Curves/meltCurve_Q9BWH2_FUNDC2.pdf", "Melting_Curves/meltCurve_Q9BWH2_FUNDC2.pdf")</f>
        <v>Melting_Curves/meltCurve_Q9BWH2_FUNDC2.pdf</v>
      </c>
    </row>
    <row r="5463" spans="1:28" x14ac:dyDescent="0.25">
      <c r="A5463" t="s">
        <v>5467</v>
      </c>
      <c r="B5463">
        <v>0.99193492352474899</v>
      </c>
      <c r="C5463">
        <v>0.90866663812806403</v>
      </c>
      <c r="D5463">
        <v>0.91624809434603105</v>
      </c>
      <c r="E5463">
        <v>0.57687857354435601</v>
      </c>
      <c r="F5463">
        <v>0.31031257065270001</v>
      </c>
      <c r="G5463">
        <v>0.16744062802805501</v>
      </c>
      <c r="H5463">
        <v>9.3508506894596194E-2</v>
      </c>
      <c r="I5463">
        <v>0.105022603462412</v>
      </c>
      <c r="J5463">
        <v>0.10587047825479</v>
      </c>
      <c r="K5463">
        <v>9.5468901647065202E-2</v>
      </c>
      <c r="L5463">
        <v>1038.8095017267799</v>
      </c>
      <c r="M5463">
        <v>20.730892245347</v>
      </c>
      <c r="N5463">
        <v>50.602434737999999</v>
      </c>
      <c r="O5463">
        <v>49.649977438810701</v>
      </c>
      <c r="P5463">
        <v>-9.4839584929162904E-2</v>
      </c>
      <c r="Q5463">
        <v>9.1471758708796896E-2</v>
      </c>
      <c r="R5463">
        <v>0.99497651909636098</v>
      </c>
      <c r="S5463" t="s">
        <v>12133</v>
      </c>
      <c r="T5463" t="s">
        <v>13338</v>
      </c>
      <c r="U5463" t="s">
        <v>13338</v>
      </c>
      <c r="V5463" t="s">
        <v>13338</v>
      </c>
      <c r="W5463" t="s">
        <v>18744</v>
      </c>
      <c r="X5463">
        <v>7</v>
      </c>
      <c r="Y5463" t="s">
        <v>25239</v>
      </c>
      <c r="Z5463" t="s">
        <v>31878</v>
      </c>
      <c r="AA5463">
        <v>0.40941156731660988</v>
      </c>
      <c r="AB5463" t="str">
        <f>HYPERLINK("Melting_Curves/meltCurve_Q9BWH6_RPAP1.pdf", "Melting_Curves/meltCurve_Q9BWH6_RPAP1.pdf")</f>
        <v>Melting_Curves/meltCurve_Q9BWH6_RPAP1.pdf</v>
      </c>
    </row>
    <row r="5464" spans="1:28" x14ac:dyDescent="0.25">
      <c r="A5464" t="s">
        <v>5468</v>
      </c>
      <c r="B5464">
        <v>0.99193492352474899</v>
      </c>
      <c r="C5464">
        <v>0.85496101689028703</v>
      </c>
      <c r="D5464">
        <v>0.62874851404944498</v>
      </c>
      <c r="E5464">
        <v>0.65696170876020399</v>
      </c>
      <c r="F5464">
        <v>0.426688434240442</v>
      </c>
      <c r="G5464">
        <v>0.17184632081905099</v>
      </c>
      <c r="H5464">
        <v>0.13296581520054701</v>
      </c>
      <c r="I5464">
        <v>0.20679346548702801</v>
      </c>
      <c r="J5464">
        <v>0.223721832709595</v>
      </c>
      <c r="K5464">
        <v>0.40862570822083699</v>
      </c>
      <c r="L5464">
        <v>664.65859070687304</v>
      </c>
      <c r="M5464">
        <v>13.8250190629487</v>
      </c>
      <c r="N5464">
        <v>50.102492086247601</v>
      </c>
      <c r="O5464">
        <v>47.104098291754902</v>
      </c>
      <c r="P5464">
        <v>-5.7671724442350698E-2</v>
      </c>
      <c r="Q5464">
        <v>0.21412126158940101</v>
      </c>
      <c r="R5464">
        <v>0.88159470908417004</v>
      </c>
      <c r="S5464" t="s">
        <v>12134</v>
      </c>
      <c r="T5464" t="s">
        <v>13338</v>
      </c>
      <c r="U5464" t="s">
        <v>13338</v>
      </c>
      <c r="V5464" t="s">
        <v>13338</v>
      </c>
      <c r="W5464" t="s">
        <v>18745</v>
      </c>
      <c r="X5464">
        <v>4</v>
      </c>
      <c r="Y5464" t="s">
        <v>25240</v>
      </c>
      <c r="Z5464" t="s">
        <v>31879</v>
      </c>
      <c r="AA5464">
        <v>0.44929652858525881</v>
      </c>
      <c r="AB5464" t="str">
        <f>HYPERLINK("Melting_Curves/meltCurve_Q9BWJ5_SF3B5.pdf", "Melting_Curves/meltCurve_Q9BWJ5_SF3B5.pdf")</f>
        <v>Melting_Curves/meltCurve_Q9BWJ5_SF3B5.pdf</v>
      </c>
    </row>
    <row r="5465" spans="1:28" x14ac:dyDescent="0.25">
      <c r="A5465" t="s">
        <v>5469</v>
      </c>
      <c r="B5465">
        <v>0.99193492352474899</v>
      </c>
      <c r="C5465">
        <v>1.29335875529957</v>
      </c>
      <c r="D5465">
        <v>1.2621399730277501</v>
      </c>
      <c r="E5465">
        <v>1.1158987501183999</v>
      </c>
      <c r="F5465">
        <v>0.65961991085412797</v>
      </c>
      <c r="G5465">
        <v>0.245337907914493</v>
      </c>
      <c r="H5465">
        <v>0.149423523055739</v>
      </c>
      <c r="I5465">
        <v>0.184535377410768</v>
      </c>
      <c r="J5465">
        <v>0.171958205700282</v>
      </c>
      <c r="K5465">
        <v>0.27208418158032399</v>
      </c>
      <c r="L5465">
        <v>4331.8733452952802</v>
      </c>
      <c r="M5465">
        <v>81.122286049369706</v>
      </c>
      <c r="N5465">
        <v>53.744938574897802</v>
      </c>
      <c r="O5465">
        <v>53.366880399482497</v>
      </c>
      <c r="P5465">
        <v>-0.30278387126461398</v>
      </c>
      <c r="Q5465">
        <v>0.203245957724838</v>
      </c>
      <c r="R5465">
        <v>0.91571355332946103</v>
      </c>
      <c r="S5465" t="s">
        <v>12135</v>
      </c>
      <c r="T5465" t="s">
        <v>13338</v>
      </c>
      <c r="U5465" t="s">
        <v>13338</v>
      </c>
      <c r="V5465" t="s">
        <v>13338</v>
      </c>
      <c r="W5465" t="s">
        <v>18746</v>
      </c>
      <c r="X5465">
        <v>8</v>
      </c>
      <c r="Y5465" t="s">
        <v>25241</v>
      </c>
      <c r="Z5465" t="s">
        <v>31880</v>
      </c>
      <c r="AA5465">
        <v>0.55982133737445805</v>
      </c>
      <c r="AB5465" t="str">
        <f>HYPERLINK("Melting_Curves/meltCurve_Q9BWM7_SFXN3.pdf", "Melting_Curves/meltCurve_Q9BWM7_SFXN3.pdf")</f>
        <v>Melting_Curves/meltCurve_Q9BWM7_SFXN3.pdf</v>
      </c>
    </row>
    <row r="5466" spans="1:28" x14ac:dyDescent="0.25">
      <c r="A5466" t="s">
        <v>5470</v>
      </c>
      <c r="B5466">
        <v>0.99193492352474899</v>
      </c>
      <c r="C5466">
        <v>0.71570311300511502</v>
      </c>
      <c r="D5466">
        <v>0.620092901698994</v>
      </c>
      <c r="E5466">
        <v>0.220961535520934</v>
      </c>
      <c r="F5466">
        <v>0.174254920590137</v>
      </c>
      <c r="G5466">
        <v>0.10992598454246499</v>
      </c>
      <c r="H5466">
        <v>8.25341463033155E-2</v>
      </c>
      <c r="I5466">
        <v>9.2090599904033801E-2</v>
      </c>
      <c r="J5466">
        <v>0.125967089226386</v>
      </c>
      <c r="K5466">
        <v>0.126009446829595</v>
      </c>
      <c r="L5466">
        <v>846.36981837040605</v>
      </c>
      <c r="M5466">
        <v>18.451892127313499</v>
      </c>
      <c r="N5466">
        <v>46.411921922899701</v>
      </c>
      <c r="O5466">
        <v>45.340431618163002</v>
      </c>
      <c r="P5466">
        <v>-9.1868743133015796E-2</v>
      </c>
      <c r="Q5466">
        <v>9.7072092856014106E-2</v>
      </c>
      <c r="R5466">
        <v>0.976449495361561</v>
      </c>
      <c r="S5466" t="s">
        <v>12136</v>
      </c>
      <c r="T5466" t="s">
        <v>13338</v>
      </c>
      <c r="U5466" t="s">
        <v>13338</v>
      </c>
      <c r="V5466" t="s">
        <v>13338</v>
      </c>
      <c r="W5466" t="s">
        <v>18747</v>
      </c>
      <c r="X5466">
        <v>11</v>
      </c>
      <c r="Y5466" t="s">
        <v>25242</v>
      </c>
      <c r="Z5466" t="s">
        <v>31881</v>
      </c>
      <c r="AA5466">
        <v>0.29065106181658978</v>
      </c>
      <c r="AB5466" t="str">
        <f>HYPERLINK("Melting_Curves/meltCurve_Q9BWT3_PAPOLG.pdf", "Melting_Curves/meltCurve_Q9BWT3_PAPOLG.pdf")</f>
        <v>Melting_Curves/meltCurve_Q9BWT3_PAPOLG.pdf</v>
      </c>
    </row>
    <row r="5467" spans="1:28" x14ac:dyDescent="0.25">
      <c r="A5467" t="s">
        <v>5471</v>
      </c>
      <c r="B5467">
        <v>0.99193492352474899</v>
      </c>
      <c r="C5467">
        <v>0.63647444149422405</v>
      </c>
      <c r="D5467">
        <v>0.64092144853944499</v>
      </c>
      <c r="E5467">
        <v>0.32310521721254398</v>
      </c>
      <c r="F5467">
        <v>0.21295642620132699</v>
      </c>
      <c r="G5467">
        <v>0.143282180235485</v>
      </c>
      <c r="H5467">
        <v>0.146753519872653</v>
      </c>
      <c r="I5467">
        <v>0.24959173072026</v>
      </c>
      <c r="J5467">
        <v>0.23424841899048099</v>
      </c>
      <c r="K5467">
        <v>0.50101300299070395</v>
      </c>
      <c r="L5467">
        <v>841.02841836294897</v>
      </c>
      <c r="M5467">
        <v>18.8389638724585</v>
      </c>
      <c r="N5467">
        <v>46.285448097478302</v>
      </c>
      <c r="O5467">
        <v>44.149128405679001</v>
      </c>
      <c r="P5467">
        <v>-8.0677570249469005E-2</v>
      </c>
      <c r="Q5467">
        <v>0.24375934896628901</v>
      </c>
      <c r="R5467">
        <v>0.81493897426824602</v>
      </c>
      <c r="S5467" t="s">
        <v>12137</v>
      </c>
      <c r="T5467" t="s">
        <v>13338</v>
      </c>
      <c r="U5467" t="s">
        <v>13338</v>
      </c>
      <c r="V5467" t="s">
        <v>13338</v>
      </c>
      <c r="W5467" t="s">
        <v>18748</v>
      </c>
      <c r="X5467">
        <v>9</v>
      </c>
      <c r="Y5467" t="s">
        <v>25243</v>
      </c>
      <c r="Z5467" t="s">
        <v>31882</v>
      </c>
      <c r="AA5467">
        <v>0.37615123805080197</v>
      </c>
      <c r="AB5467" t="str">
        <f>HYPERLINK("Melting_Curves/meltCurve_Q9BWT6_MND1.pdf", "Melting_Curves/meltCurve_Q9BWT6_MND1.pdf")</f>
        <v>Melting_Curves/meltCurve_Q9BWT6_MND1.pdf</v>
      </c>
    </row>
    <row r="5468" spans="1:28" x14ac:dyDescent="0.25">
      <c r="A5468" t="s">
        <v>5472</v>
      </c>
      <c r="B5468">
        <v>0.99193492352474899</v>
      </c>
      <c r="C5468">
        <v>0.83366414319252802</v>
      </c>
      <c r="D5468">
        <v>0.76163164436777298</v>
      </c>
      <c r="E5468">
        <v>0.46130223102921802</v>
      </c>
      <c r="F5468">
        <v>0.193151021695604</v>
      </c>
      <c r="G5468">
        <v>0.10288464352238801</v>
      </c>
      <c r="H5468">
        <v>6.8558518774920002E-2</v>
      </c>
      <c r="I5468">
        <v>8.8565464720825798E-2</v>
      </c>
      <c r="J5468">
        <v>8.4003131817388998E-2</v>
      </c>
      <c r="K5468">
        <v>8.8478377438179698E-2</v>
      </c>
      <c r="L5468">
        <v>848.14684360266199</v>
      </c>
      <c r="M5468">
        <v>17.5179388492223</v>
      </c>
      <c r="N5468">
        <v>48.786281793292297</v>
      </c>
      <c r="O5468">
        <v>47.798202833073702</v>
      </c>
      <c r="P5468">
        <v>-8.5924221729791597E-2</v>
      </c>
      <c r="Q5468">
        <v>6.2264596508298499E-2</v>
      </c>
      <c r="R5468">
        <v>0.99123361338831895</v>
      </c>
      <c r="S5468" t="s">
        <v>12138</v>
      </c>
      <c r="T5468" t="s">
        <v>13338</v>
      </c>
      <c r="U5468" t="s">
        <v>13338</v>
      </c>
      <c r="V5468" t="s">
        <v>13338</v>
      </c>
      <c r="W5468" t="s">
        <v>18749</v>
      </c>
      <c r="X5468">
        <v>18</v>
      </c>
      <c r="Y5468" t="s">
        <v>25244</v>
      </c>
      <c r="Z5468" t="s">
        <v>31883</v>
      </c>
      <c r="AA5468">
        <v>0.34271477866353062</v>
      </c>
      <c r="AB5468" t="str">
        <f>HYPERLINK("Melting_Curves/meltCurve_Q9BWU0_SLC4A1AP.pdf", "Melting_Curves/meltCurve_Q9BWU0_SLC4A1AP.pdf")</f>
        <v>Melting_Curves/meltCurve_Q9BWU0_SLC4A1AP.pdf</v>
      </c>
    </row>
    <row r="5469" spans="1:28" x14ac:dyDescent="0.25">
      <c r="A5469" t="s">
        <v>5473</v>
      </c>
      <c r="B5469">
        <v>0.99193492352474899</v>
      </c>
      <c r="C5469">
        <v>0</v>
      </c>
      <c r="D5469">
        <v>4.4952975996833597</v>
      </c>
      <c r="E5469">
        <v>1.3742454108782101</v>
      </c>
      <c r="F5469">
        <v>0</v>
      </c>
      <c r="G5469">
        <v>3.0304861754133099</v>
      </c>
      <c r="H5469">
        <v>0</v>
      </c>
      <c r="I5469">
        <v>0</v>
      </c>
      <c r="J5469">
        <v>0</v>
      </c>
      <c r="K5469">
        <v>0</v>
      </c>
      <c r="L5469">
        <v>14867.0046393301</v>
      </c>
      <c r="M5469">
        <v>250</v>
      </c>
      <c r="N5469">
        <v>59.468012206730997</v>
      </c>
      <c r="O5469">
        <v>59.464214541789403</v>
      </c>
      <c r="P5469">
        <v>-1.05105233754809</v>
      </c>
      <c r="Q5469">
        <v>0</v>
      </c>
      <c r="R5469">
        <v>0.177890228147527</v>
      </c>
      <c r="S5469" t="s">
        <v>12139</v>
      </c>
      <c r="T5469" t="s">
        <v>13338</v>
      </c>
      <c r="U5469" t="s">
        <v>13338</v>
      </c>
      <c r="V5469" t="s">
        <v>13338</v>
      </c>
      <c r="W5469" t="s">
        <v>18750</v>
      </c>
      <c r="X5469">
        <v>2</v>
      </c>
      <c r="Y5469" t="s">
        <v>25245</v>
      </c>
      <c r="Z5469" t="s">
        <v>31884</v>
      </c>
      <c r="AA5469">
        <v>0.64903831735772133</v>
      </c>
      <c r="AB5469" t="str">
        <f>HYPERLINK("Melting_Curves/meltCurve_Q9BWW4_2_SSBP3.pdf", "Melting_Curves/meltCurve_Q9BWW4_2_SSBP3.pdf")</f>
        <v>Melting_Curves/meltCurve_Q9BWW4_2_SSBP3.pdf</v>
      </c>
    </row>
    <row r="5470" spans="1:28" x14ac:dyDescent="0.25">
      <c r="A5470" t="s">
        <v>5474</v>
      </c>
      <c r="B5470">
        <v>0.99193492352474899</v>
      </c>
      <c r="C5470">
        <v>0.57158086763276705</v>
      </c>
      <c r="D5470">
        <v>0.66597584896317497</v>
      </c>
      <c r="E5470">
        <v>0.18843782928633401</v>
      </c>
      <c r="F5470">
        <v>0.10131951600057</v>
      </c>
      <c r="G5470">
        <v>4.6361031658487803E-2</v>
      </c>
      <c r="H5470">
        <v>4.0885815130475803E-2</v>
      </c>
      <c r="I5470">
        <v>4.4075448416728599E-2</v>
      </c>
      <c r="J5470">
        <v>7.1481591511768999E-2</v>
      </c>
      <c r="K5470">
        <v>0.117750088284232</v>
      </c>
      <c r="L5470">
        <v>730.97312956458097</v>
      </c>
      <c r="M5470">
        <v>16.006181814203501</v>
      </c>
      <c r="N5470">
        <v>45.9298517328168</v>
      </c>
      <c r="O5470">
        <v>44.973165284692001</v>
      </c>
      <c r="P5470">
        <v>-8.5105458685386604E-2</v>
      </c>
      <c r="Q5470">
        <v>4.35787478494283E-2</v>
      </c>
      <c r="R5470">
        <v>0.92123622342287903</v>
      </c>
      <c r="S5470" t="s">
        <v>12140</v>
      </c>
      <c r="T5470" t="s">
        <v>13338</v>
      </c>
      <c r="U5470" t="s">
        <v>13338</v>
      </c>
      <c r="V5470" t="s">
        <v>13338</v>
      </c>
      <c r="W5470" t="s">
        <v>18751</v>
      </c>
      <c r="X5470">
        <v>4</v>
      </c>
      <c r="Y5470" t="s">
        <v>25246</v>
      </c>
      <c r="Z5470" t="s">
        <v>31885</v>
      </c>
      <c r="AA5470">
        <v>0.24930643969978331</v>
      </c>
      <c r="AB5470" t="str">
        <f>HYPERLINK("Melting_Curves/meltCurve_Q9BX40_LSM14B.pdf", "Melting_Curves/meltCurve_Q9BX40_LSM14B.pdf")</f>
        <v>Melting_Curves/meltCurve_Q9BX40_LSM14B.pdf</v>
      </c>
    </row>
    <row r="5471" spans="1:28" x14ac:dyDescent="0.25">
      <c r="A5471" t="s">
        <v>5475</v>
      </c>
      <c r="B5471">
        <v>0.99193492352474899</v>
      </c>
      <c r="C5471">
        <v>0.79264177028411598</v>
      </c>
      <c r="D5471">
        <v>1.16684797237917</v>
      </c>
      <c r="E5471">
        <v>0.64915048403518405</v>
      </c>
      <c r="F5471">
        <v>0.45469703200676997</v>
      </c>
      <c r="G5471">
        <v>0.23464158960994499</v>
      </c>
      <c r="H5471">
        <v>0.105649721017275</v>
      </c>
      <c r="I5471">
        <v>8.9564849961869905E-2</v>
      </c>
      <c r="J5471">
        <v>0.135777116639717</v>
      </c>
      <c r="K5471">
        <v>3.2526592579262902E-2</v>
      </c>
      <c r="L5471">
        <v>1077.4425627215201</v>
      </c>
      <c r="M5471">
        <v>20.742808911020699</v>
      </c>
      <c r="N5471">
        <v>52.370336974476899</v>
      </c>
      <c r="O5471">
        <v>51.467401342834002</v>
      </c>
      <c r="P5471">
        <v>-9.2914327732192797E-2</v>
      </c>
      <c r="Q5471">
        <v>7.7863700291753393E-2</v>
      </c>
      <c r="R5471">
        <v>0.93089523105605398</v>
      </c>
      <c r="S5471" t="s">
        <v>12141</v>
      </c>
      <c r="T5471" t="s">
        <v>13338</v>
      </c>
      <c r="U5471" t="s">
        <v>13338</v>
      </c>
      <c r="V5471" t="s">
        <v>13338</v>
      </c>
      <c r="W5471" t="s">
        <v>18752</v>
      </c>
      <c r="X5471">
        <v>1</v>
      </c>
      <c r="Y5471" t="s">
        <v>25247</v>
      </c>
      <c r="Z5471" t="s">
        <v>31886</v>
      </c>
      <c r="AA5471">
        <v>0.45691333967211412</v>
      </c>
      <c r="AB5471" t="str">
        <f>HYPERLINK("Melting_Curves/meltCurve_Q9BX59_TAPBPL.pdf", "Melting_Curves/meltCurve_Q9BX59_TAPBPL.pdf")</f>
        <v>Melting_Curves/meltCurve_Q9BX59_TAPBPL.pdf</v>
      </c>
    </row>
    <row r="5472" spans="1:28" x14ac:dyDescent="0.25">
      <c r="A5472" t="s">
        <v>5476</v>
      </c>
      <c r="B5472">
        <v>0.99193492352474899</v>
      </c>
      <c r="C5472">
        <v>0.87055105243946795</v>
      </c>
      <c r="D5472">
        <v>0.88806612093561998</v>
      </c>
      <c r="E5472">
        <v>0.60413185003160796</v>
      </c>
      <c r="F5472">
        <v>0.39245306060289997</v>
      </c>
      <c r="G5472">
        <v>0.205332403903767</v>
      </c>
      <c r="H5472">
        <v>0.13595990650259501</v>
      </c>
      <c r="I5472">
        <v>0.14515064065042799</v>
      </c>
      <c r="J5472">
        <v>0.21932553345071801</v>
      </c>
      <c r="K5472">
        <v>0.17862056279371799</v>
      </c>
      <c r="L5472">
        <v>913.06714336836103</v>
      </c>
      <c r="M5472">
        <v>18.2573617955087</v>
      </c>
      <c r="N5472">
        <v>51.028947453306301</v>
      </c>
      <c r="O5472">
        <v>49.422500560221501</v>
      </c>
      <c r="P5472">
        <v>-7.8260651894940803E-2</v>
      </c>
      <c r="Q5472">
        <v>0.152636237108629</v>
      </c>
      <c r="R5472">
        <v>0.98332111272065603</v>
      </c>
      <c r="S5472" t="s">
        <v>12142</v>
      </c>
      <c r="T5472" t="s">
        <v>13338</v>
      </c>
      <c r="U5472" t="s">
        <v>13338</v>
      </c>
      <c r="V5472" t="s">
        <v>13338</v>
      </c>
      <c r="W5472" t="s">
        <v>18753</v>
      </c>
      <c r="X5472">
        <v>7</v>
      </c>
      <c r="Y5472" t="s">
        <v>25248</v>
      </c>
      <c r="Z5472" t="s">
        <v>31887</v>
      </c>
      <c r="AA5472">
        <v>0.44946239932798132</v>
      </c>
      <c r="AB5472" t="str">
        <f>HYPERLINK("Melting_Curves/meltCurve_Q9BX63_BRIP1.pdf", "Melting_Curves/meltCurve_Q9BX63_BRIP1.pdf")</f>
        <v>Melting_Curves/meltCurve_Q9BX63_BRIP1.pdf</v>
      </c>
    </row>
    <row r="5473" spans="1:28" x14ac:dyDescent="0.25">
      <c r="A5473" t="s">
        <v>5477</v>
      </c>
      <c r="B5473">
        <v>0.99193492352474899</v>
      </c>
      <c r="C5473">
        <v>0.76706196595757004</v>
      </c>
      <c r="D5473">
        <v>0.92501571829269902</v>
      </c>
      <c r="E5473">
        <v>0.62224012952226704</v>
      </c>
      <c r="F5473">
        <v>0.35123112939449902</v>
      </c>
      <c r="G5473">
        <v>0.17241088045227099</v>
      </c>
      <c r="H5473">
        <v>0.11140351599111301</v>
      </c>
      <c r="I5473">
        <v>0.14321658621977801</v>
      </c>
      <c r="J5473">
        <v>0.17032822656242</v>
      </c>
      <c r="K5473">
        <v>0.217590529193851</v>
      </c>
      <c r="L5473">
        <v>993.30959369159996</v>
      </c>
      <c r="M5473">
        <v>19.8573634330521</v>
      </c>
      <c r="N5473">
        <v>50.886894860474101</v>
      </c>
      <c r="O5473">
        <v>49.523210800382699</v>
      </c>
      <c r="P5473">
        <v>-8.5891712596310496E-2</v>
      </c>
      <c r="Q5473">
        <v>0.14319119514925399</v>
      </c>
      <c r="R5473">
        <v>0.94904456037598295</v>
      </c>
      <c r="S5473" t="s">
        <v>12143</v>
      </c>
      <c r="T5473" t="s">
        <v>13338</v>
      </c>
      <c r="U5473" t="s">
        <v>13338</v>
      </c>
      <c r="V5473" t="s">
        <v>13338</v>
      </c>
      <c r="W5473" t="s">
        <v>18754</v>
      </c>
      <c r="X5473">
        <v>2</v>
      </c>
      <c r="Y5473" t="s">
        <v>25249</v>
      </c>
      <c r="Z5473" t="s">
        <v>31888</v>
      </c>
      <c r="AA5473">
        <v>0.44152331778562209</v>
      </c>
      <c r="AB5473" t="str">
        <f>HYPERLINK("Melting_Curves/meltCurve_Q9BX66_9_SORBS1.pdf", "Melting_Curves/meltCurve_Q9BX66_9_SORBS1.pdf")</f>
        <v>Melting_Curves/meltCurve_Q9BX66_9_SORBS1.pdf</v>
      </c>
    </row>
    <row r="5474" spans="1:28" x14ac:dyDescent="0.25">
      <c r="A5474" t="s">
        <v>5478</v>
      </c>
      <c r="B5474">
        <v>0.99193492352474899</v>
      </c>
      <c r="C5474">
        <v>0.87171657034272199</v>
      </c>
      <c r="D5474">
        <v>0.88342993617447796</v>
      </c>
      <c r="E5474">
        <v>0.75193025053818596</v>
      </c>
      <c r="F5474">
        <v>0.651001844428994</v>
      </c>
      <c r="G5474">
        <v>0.48379626488974198</v>
      </c>
      <c r="H5474">
        <v>0.40034613488864002</v>
      </c>
      <c r="I5474">
        <v>0.37810622663957999</v>
      </c>
      <c r="J5474">
        <v>0.29723827032330602</v>
      </c>
      <c r="K5474">
        <v>0.42606517698739199</v>
      </c>
      <c r="L5474">
        <v>577.35781804268197</v>
      </c>
      <c r="M5474">
        <v>11.092457945801399</v>
      </c>
      <c r="N5474">
        <v>56.938189957883097</v>
      </c>
      <c r="O5474">
        <v>50.443838574562598</v>
      </c>
      <c r="P5474">
        <v>-3.8104771358408798E-2</v>
      </c>
      <c r="Q5474">
        <v>0.30708871066661098</v>
      </c>
      <c r="R5474">
        <v>0.96725267062174203</v>
      </c>
      <c r="S5474" t="s">
        <v>12144</v>
      </c>
      <c r="T5474" t="s">
        <v>13338</v>
      </c>
      <c r="U5474" t="s">
        <v>13338</v>
      </c>
      <c r="V5474" t="s">
        <v>13338</v>
      </c>
      <c r="W5474" t="s">
        <v>18755</v>
      </c>
      <c r="X5474">
        <v>9</v>
      </c>
      <c r="Y5474" t="s">
        <v>25250</v>
      </c>
      <c r="Z5474" t="s">
        <v>31889</v>
      </c>
      <c r="AA5474">
        <v>0.60868304932900164</v>
      </c>
      <c r="AB5474" t="str">
        <f>HYPERLINK("Melting_Curves/meltCurve_Q9BX67_JAM3.pdf", "Melting_Curves/meltCurve_Q9BX67_JAM3.pdf")</f>
        <v>Melting_Curves/meltCurve_Q9BX67_JAM3.pdf</v>
      </c>
    </row>
    <row r="5475" spans="1:28" x14ac:dyDescent="0.25">
      <c r="A5475" t="s">
        <v>5479</v>
      </c>
      <c r="B5475">
        <v>0.99193492352474899</v>
      </c>
      <c r="C5475">
        <v>1.34173104884068</v>
      </c>
      <c r="D5475">
        <v>0.74715615319168704</v>
      </c>
      <c r="E5475">
        <v>0.98091753218974098</v>
      </c>
      <c r="F5475">
        <v>0.472475941651127</v>
      </c>
      <c r="G5475">
        <v>0.31265819425980401</v>
      </c>
      <c r="H5475">
        <v>0.14485371775236899</v>
      </c>
      <c r="I5475">
        <v>8.9321771720280399E-2</v>
      </c>
      <c r="J5475">
        <v>7.7458346753365201E-2</v>
      </c>
      <c r="K5475">
        <v>8.0934464710046797E-2</v>
      </c>
      <c r="L5475">
        <v>1238.1270336099999</v>
      </c>
      <c r="M5475">
        <v>23.233137650857898</v>
      </c>
      <c r="N5475">
        <v>53.710713661840401</v>
      </c>
      <c r="O5475">
        <v>52.901331937024999</v>
      </c>
      <c r="P5475">
        <v>-0.100690448128986</v>
      </c>
      <c r="Q5475">
        <v>8.2937124017244096E-2</v>
      </c>
      <c r="R5475">
        <v>0.89812089335927303</v>
      </c>
      <c r="S5475" t="s">
        <v>12145</v>
      </c>
      <c r="T5475" t="s">
        <v>13338</v>
      </c>
      <c r="U5475" t="s">
        <v>13338</v>
      </c>
      <c r="V5475" t="s">
        <v>13338</v>
      </c>
      <c r="W5475" t="s">
        <v>18756</v>
      </c>
      <c r="X5475">
        <v>7</v>
      </c>
      <c r="Y5475" t="s">
        <v>25251</v>
      </c>
      <c r="Z5475" t="s">
        <v>31890</v>
      </c>
      <c r="AA5475">
        <v>0.49891880384970377</v>
      </c>
      <c r="AB5475" t="str">
        <f>HYPERLINK("Melting_Curves/meltCurve_Q9BX68_HINT2.pdf", "Melting_Curves/meltCurve_Q9BX68_HINT2.pdf")</f>
        <v>Melting_Curves/meltCurve_Q9BX68_HINT2.pdf</v>
      </c>
    </row>
    <row r="5476" spans="1:28" x14ac:dyDescent="0.25">
      <c r="A5476" t="s">
        <v>5480</v>
      </c>
      <c r="B5476">
        <v>0.99193492352474899</v>
      </c>
      <c r="C5476">
        <v>0.61091469889057604</v>
      </c>
      <c r="D5476">
        <v>0.59751772353246202</v>
      </c>
      <c r="E5476">
        <v>0.32478626916790698</v>
      </c>
      <c r="F5476">
        <v>0.31204876412058402</v>
      </c>
      <c r="G5476">
        <v>0.111123512243837</v>
      </c>
      <c r="H5476">
        <v>6.4506742789273597E-2</v>
      </c>
      <c r="I5476">
        <v>5.7950841925403798E-2</v>
      </c>
      <c r="J5476">
        <v>7.7137822942921402E-2</v>
      </c>
      <c r="K5476">
        <v>0.40974453482064799</v>
      </c>
      <c r="L5476">
        <v>663.57291952373498</v>
      </c>
      <c r="M5476">
        <v>14.6305865949472</v>
      </c>
      <c r="N5476">
        <v>46.4255197335875</v>
      </c>
      <c r="O5476">
        <v>44.5331203394258</v>
      </c>
      <c r="P5476">
        <v>-7.0383203316267406E-2</v>
      </c>
      <c r="Q5476">
        <v>0.14315546041177499</v>
      </c>
      <c r="R5476">
        <v>0.83840427693973696</v>
      </c>
      <c r="S5476" t="s">
        <v>12146</v>
      </c>
      <c r="T5476" t="s">
        <v>13338</v>
      </c>
      <c r="U5476" t="s">
        <v>13338</v>
      </c>
      <c r="V5476" t="s">
        <v>13338</v>
      </c>
      <c r="W5476" t="s">
        <v>18757</v>
      </c>
      <c r="X5476">
        <v>2</v>
      </c>
      <c r="Y5476" t="s">
        <v>25252</v>
      </c>
      <c r="Z5476" t="s">
        <v>31891</v>
      </c>
      <c r="AA5476">
        <v>0.32406231955864179</v>
      </c>
      <c r="AB5476" t="str">
        <f>HYPERLINK("Melting_Curves/meltCurve_Q9BX70_BTBD2.pdf", "Melting_Curves/meltCurve_Q9BX70_BTBD2.pdf")</f>
        <v>Melting_Curves/meltCurve_Q9BX70_BTBD2.pdf</v>
      </c>
    </row>
    <row r="5477" spans="1:28" x14ac:dyDescent="0.25">
      <c r="A5477" t="s">
        <v>5481</v>
      </c>
      <c r="B5477">
        <v>0.99193492352474899</v>
      </c>
      <c r="C5477">
        <v>0.80347077404810596</v>
      </c>
      <c r="D5477">
        <v>0.97406681289903796</v>
      </c>
      <c r="E5477">
        <v>0.6327089736732</v>
      </c>
      <c r="F5477">
        <v>0.628979697774534</v>
      </c>
      <c r="G5477">
        <v>0.23772410295698401</v>
      </c>
      <c r="H5477">
        <v>0.114294468854082</v>
      </c>
      <c r="I5477">
        <v>6.7691537619398903E-2</v>
      </c>
      <c r="J5477">
        <v>6.6114450662518198E-2</v>
      </c>
      <c r="K5477">
        <v>6.4566721942434499E-2</v>
      </c>
      <c r="L5477">
        <v>716.27659064561396</v>
      </c>
      <c r="M5477">
        <v>13.481652963364301</v>
      </c>
      <c r="N5477">
        <v>53.129735939635403</v>
      </c>
      <c r="O5477">
        <v>52.001623917535603</v>
      </c>
      <c r="P5477">
        <v>-6.4823552681456995E-2</v>
      </c>
      <c r="Q5477">
        <v>0</v>
      </c>
      <c r="R5477">
        <v>0.95264950716677999</v>
      </c>
      <c r="S5477" t="s">
        <v>12147</v>
      </c>
      <c r="T5477" t="s">
        <v>13338</v>
      </c>
      <c r="U5477" t="s">
        <v>13338</v>
      </c>
      <c r="V5477" t="s">
        <v>13338</v>
      </c>
      <c r="W5477" t="s">
        <v>18758</v>
      </c>
      <c r="X5477">
        <v>7</v>
      </c>
      <c r="Y5477" t="s">
        <v>25253</v>
      </c>
      <c r="Z5477" t="s">
        <v>31892</v>
      </c>
      <c r="AA5477">
        <v>0.46225949530885452</v>
      </c>
      <c r="AB5477" t="str">
        <f>HYPERLINK("Melting_Curves/meltCurve_Q9BX95_SGPP1.pdf", "Melting_Curves/meltCurve_Q9BX95_SGPP1.pdf")</f>
        <v>Melting_Curves/meltCurve_Q9BX95_SGPP1.pdf</v>
      </c>
    </row>
    <row r="5478" spans="1:28" x14ac:dyDescent="0.25">
      <c r="A5478" t="s">
        <v>5482</v>
      </c>
      <c r="B5478">
        <v>0.99193492352474899</v>
      </c>
      <c r="C5478">
        <v>0.97760115190489205</v>
      </c>
      <c r="D5478">
        <v>0.52696789743654804</v>
      </c>
      <c r="E5478">
        <v>0.25654462327152</v>
      </c>
      <c r="F5478">
        <v>0.178205860300515</v>
      </c>
      <c r="G5478">
        <v>0.11889483273207201</v>
      </c>
      <c r="H5478">
        <v>9.1986540932492603E-2</v>
      </c>
      <c r="I5478">
        <v>0.1073700725588</v>
      </c>
      <c r="J5478">
        <v>0.120577554662325</v>
      </c>
      <c r="K5478">
        <v>0.13689180608600501</v>
      </c>
      <c r="L5478">
        <v>1453.51887589129</v>
      </c>
      <c r="M5478">
        <v>31.5967650580873</v>
      </c>
      <c r="N5478">
        <v>46.4376074208107</v>
      </c>
      <c r="O5478">
        <v>45.819052797161397</v>
      </c>
      <c r="P5478">
        <v>-0.150296164584661</v>
      </c>
      <c r="Q5478">
        <v>0.12821565847601801</v>
      </c>
      <c r="R5478">
        <v>0.99079279379927199</v>
      </c>
      <c r="S5478" t="s">
        <v>12148</v>
      </c>
      <c r="T5478" t="s">
        <v>13338</v>
      </c>
      <c r="U5478" t="s">
        <v>13338</v>
      </c>
      <c r="V5478" t="s">
        <v>13338</v>
      </c>
      <c r="W5478" t="s">
        <v>18759</v>
      </c>
      <c r="X5478">
        <v>5</v>
      </c>
      <c r="Y5478" t="s">
        <v>25254</v>
      </c>
      <c r="Z5478" t="s">
        <v>31893</v>
      </c>
      <c r="AA5478">
        <v>0.30736454182758011</v>
      </c>
      <c r="AB5478" t="str">
        <f>HYPERLINK("Melting_Curves/meltCurve_Q9BXB4_OSBPL11.pdf", "Melting_Curves/meltCurve_Q9BXB4_OSBPL11.pdf")</f>
        <v>Melting_Curves/meltCurve_Q9BXB4_OSBPL11.pdf</v>
      </c>
    </row>
    <row r="5479" spans="1:28" x14ac:dyDescent="0.25">
      <c r="A5479" t="s">
        <v>5483</v>
      </c>
      <c r="B5479">
        <v>0.99193492352474899</v>
      </c>
      <c r="C5479">
        <v>0.83800632598632396</v>
      </c>
      <c r="D5479">
        <v>0.71010542488817596</v>
      </c>
      <c r="E5479">
        <v>0.32987713378983502</v>
      </c>
      <c r="F5479">
        <v>0.13997859615800801</v>
      </c>
      <c r="G5479">
        <v>8.93706202520477E-2</v>
      </c>
      <c r="H5479">
        <v>7.1317761915271199E-2</v>
      </c>
      <c r="I5479">
        <v>9.4994648789215597E-2</v>
      </c>
      <c r="J5479">
        <v>9.9982780839724006E-2</v>
      </c>
      <c r="K5479">
        <v>0.121270751996527</v>
      </c>
      <c r="L5479">
        <v>996.06439834237301</v>
      </c>
      <c r="M5479">
        <v>21.073556792747699</v>
      </c>
      <c r="N5479">
        <v>47.683158784692601</v>
      </c>
      <c r="O5479">
        <v>46.846631715884101</v>
      </c>
      <c r="P5479">
        <v>-0.102997452635941</v>
      </c>
      <c r="Q5479">
        <v>8.4168644981792898E-2</v>
      </c>
      <c r="R5479">
        <v>0.99217542653222601</v>
      </c>
      <c r="S5479" t="s">
        <v>12149</v>
      </c>
      <c r="T5479" t="s">
        <v>13338</v>
      </c>
      <c r="U5479" t="s">
        <v>13338</v>
      </c>
      <c r="V5479" t="s">
        <v>13338</v>
      </c>
      <c r="W5479" t="s">
        <v>18760</v>
      </c>
      <c r="X5479">
        <v>4</v>
      </c>
      <c r="Y5479" t="s">
        <v>25255</v>
      </c>
      <c r="Z5479" t="s">
        <v>31894</v>
      </c>
      <c r="AA5479">
        <v>0.31782399095342251</v>
      </c>
      <c r="AB5479" t="str">
        <f>HYPERLINK("Melting_Curves/meltCurve_Q9BXF6_RAB11FIP5.pdf", "Melting_Curves/meltCurve_Q9BXF6_RAB11FIP5.pdf")</f>
        <v>Melting_Curves/meltCurve_Q9BXF6_RAB11FIP5.pdf</v>
      </c>
    </row>
    <row r="5480" spans="1:28" x14ac:dyDescent="0.25">
      <c r="A5480" t="s">
        <v>5484</v>
      </c>
      <c r="B5480">
        <v>0.99193492352474899</v>
      </c>
      <c r="C5480">
        <v>0.74912881148735699</v>
      </c>
      <c r="D5480">
        <v>0.77260854058109696</v>
      </c>
      <c r="E5480">
        <v>0.21094898425818201</v>
      </c>
      <c r="F5480">
        <v>0.14177968727910201</v>
      </c>
      <c r="G5480">
        <v>6.9058625459772996E-2</v>
      </c>
      <c r="H5480">
        <v>4.7255783725811198E-2</v>
      </c>
      <c r="I5480">
        <v>4.8489067288545101E-2</v>
      </c>
      <c r="J5480">
        <v>4.3127001562874301E-2</v>
      </c>
      <c r="K5480">
        <v>4.6501279193639999E-2</v>
      </c>
      <c r="L5480">
        <v>986.86830911905099</v>
      </c>
      <c r="M5480">
        <v>20.905800748883301</v>
      </c>
      <c r="N5480">
        <v>47.391050132620997</v>
      </c>
      <c r="O5480">
        <v>46.779919202647797</v>
      </c>
      <c r="P5480">
        <v>-0.107336545430151</v>
      </c>
      <c r="Q5480">
        <v>3.9298650347091402E-2</v>
      </c>
      <c r="R5480">
        <v>0.96416290066447596</v>
      </c>
      <c r="S5480" t="s">
        <v>12150</v>
      </c>
      <c r="T5480" t="s">
        <v>13338</v>
      </c>
      <c r="U5480" t="s">
        <v>13338</v>
      </c>
      <c r="V5480" t="s">
        <v>13338</v>
      </c>
      <c r="W5480" t="s">
        <v>18761</v>
      </c>
      <c r="X5480">
        <v>6</v>
      </c>
      <c r="Y5480" t="s">
        <v>25256</v>
      </c>
      <c r="Z5480" t="s">
        <v>31895</v>
      </c>
      <c r="AA5480">
        <v>0.28270421283753111</v>
      </c>
      <c r="AB5480" t="str">
        <f>HYPERLINK("Melting_Curves/meltCurve_Q9BXI6_TBC1D10A.pdf", "Melting_Curves/meltCurve_Q9BXI6_TBC1D10A.pdf")</f>
        <v>Melting_Curves/meltCurve_Q9BXI6_TBC1D10A.pdf</v>
      </c>
    </row>
    <row r="5481" spans="1:28" x14ac:dyDescent="0.25">
      <c r="A5481" t="s">
        <v>5485</v>
      </c>
      <c r="B5481">
        <v>0.99193492352474899</v>
      </c>
      <c r="C5481">
        <v>2.1234166731503401</v>
      </c>
      <c r="D5481">
        <v>1.21679791048553</v>
      </c>
      <c r="E5481">
        <v>1.10193871594415</v>
      </c>
      <c r="F5481">
        <v>1.6968768067791</v>
      </c>
      <c r="G5481">
        <v>0.53817032090641004</v>
      </c>
      <c r="H5481">
        <v>0.29734228251051398</v>
      </c>
      <c r="I5481">
        <v>0.38389591648271199</v>
      </c>
      <c r="J5481">
        <v>0.222032538812968</v>
      </c>
      <c r="K5481">
        <v>0.334816386325827</v>
      </c>
      <c r="L5481">
        <v>14160.0691548778</v>
      </c>
      <c r="M5481">
        <v>250</v>
      </c>
      <c r="N5481">
        <v>56.859772549735702</v>
      </c>
      <c r="O5481">
        <v>56.636652690277003</v>
      </c>
      <c r="P5481">
        <v>-0.76196049425582302</v>
      </c>
      <c r="Q5481">
        <v>0.30952173897994301</v>
      </c>
      <c r="R5481">
        <v>0.52379247396263295</v>
      </c>
      <c r="S5481" t="s">
        <v>12151</v>
      </c>
      <c r="T5481" t="s">
        <v>13338</v>
      </c>
      <c r="U5481" t="s">
        <v>13338</v>
      </c>
      <c r="V5481" t="s">
        <v>13338</v>
      </c>
      <c r="W5481" t="s">
        <v>18762</v>
      </c>
      <c r="X5481">
        <v>2</v>
      </c>
      <c r="Y5481" t="s">
        <v>25257</v>
      </c>
      <c r="Z5481" t="s">
        <v>31896</v>
      </c>
      <c r="AA5481">
        <v>0.69258201655958151</v>
      </c>
      <c r="AB5481" t="str">
        <f>HYPERLINK("Melting_Curves/meltCurve_Q9BXJ8_2_TMEM120A.pdf", "Melting_Curves/meltCurve_Q9BXJ8_2_TMEM120A.pdf")</f>
        <v>Melting_Curves/meltCurve_Q9BXJ8_2_TMEM120A.pdf</v>
      </c>
    </row>
    <row r="5482" spans="1:28" x14ac:dyDescent="0.25">
      <c r="A5482" t="s">
        <v>5486</v>
      </c>
      <c r="B5482">
        <v>0.99193492352474899</v>
      </c>
      <c r="C5482">
        <v>0.94449415164266504</v>
      </c>
      <c r="D5482">
        <v>1.1290645902513301</v>
      </c>
      <c r="E5482">
        <v>0.92819742479839695</v>
      </c>
      <c r="F5482">
        <v>0.68427522176755495</v>
      </c>
      <c r="G5482">
        <v>0.143630469239619</v>
      </c>
      <c r="H5482">
        <v>8.0954153909402901E-2</v>
      </c>
      <c r="I5482">
        <v>9.2198351660089897E-2</v>
      </c>
      <c r="J5482">
        <v>0.10853350329806399</v>
      </c>
      <c r="K5482">
        <v>0.11330798608561</v>
      </c>
      <c r="L5482">
        <v>2714.5092082895198</v>
      </c>
      <c r="M5482">
        <v>50.4346211650358</v>
      </c>
      <c r="N5482">
        <v>54.049751499949998</v>
      </c>
      <c r="O5482">
        <v>53.737914757014302</v>
      </c>
      <c r="P5482">
        <v>-0.212201724109813</v>
      </c>
      <c r="Q5482">
        <v>9.5599821850547495E-2</v>
      </c>
      <c r="R5482">
        <v>0.986597085261534</v>
      </c>
      <c r="S5482" t="s">
        <v>12152</v>
      </c>
      <c r="T5482" t="s">
        <v>13338</v>
      </c>
      <c r="U5482" t="s">
        <v>13338</v>
      </c>
      <c r="V5482" t="s">
        <v>13338</v>
      </c>
      <c r="W5482" t="s">
        <v>18763</v>
      </c>
      <c r="X5482">
        <v>45</v>
      </c>
      <c r="Y5482" t="s">
        <v>25258</v>
      </c>
      <c r="Z5482" t="s">
        <v>31897</v>
      </c>
      <c r="AA5482">
        <v>0.51440692136083799</v>
      </c>
      <c r="AB5482" t="str">
        <f>HYPERLINK("Melting_Curves/meltCurve_Q9BXJ9_NAA15.pdf", "Melting_Curves/meltCurve_Q9BXJ9_NAA15.pdf")</f>
        <v>Melting_Curves/meltCurve_Q9BXJ9_NAA15.pdf</v>
      </c>
    </row>
    <row r="5483" spans="1:28" x14ac:dyDescent="0.25">
      <c r="A5483" t="s">
        <v>5487</v>
      </c>
      <c r="B5483">
        <v>0.99193492352474899</v>
      </c>
      <c r="C5483">
        <v>0.59943752339867196</v>
      </c>
      <c r="D5483">
        <v>0.59177266675640405</v>
      </c>
      <c r="E5483">
        <v>0.30026851651966402</v>
      </c>
      <c r="F5483">
        <v>0.286053430183487</v>
      </c>
      <c r="G5483">
        <v>0.17630298504550301</v>
      </c>
      <c r="H5483">
        <v>0.16128400817128399</v>
      </c>
      <c r="I5483">
        <v>0.27358145661919397</v>
      </c>
      <c r="J5483">
        <v>0.33167403327981498</v>
      </c>
      <c r="K5483">
        <v>0.45139302838411599</v>
      </c>
      <c r="L5483">
        <v>876.41497870360195</v>
      </c>
      <c r="M5483">
        <v>20.0021359697737</v>
      </c>
      <c r="N5483">
        <v>45.654792379607102</v>
      </c>
      <c r="O5483">
        <v>43.385164604620698</v>
      </c>
      <c r="P5483">
        <v>-8.3382908104224093E-2</v>
      </c>
      <c r="Q5483">
        <v>0.27658456193511699</v>
      </c>
      <c r="R5483">
        <v>0.83719387944108303</v>
      </c>
      <c r="S5483" t="s">
        <v>12153</v>
      </c>
      <c r="T5483" t="s">
        <v>13338</v>
      </c>
      <c r="U5483" t="s">
        <v>13338</v>
      </c>
      <c r="V5483" t="s">
        <v>13338</v>
      </c>
      <c r="W5483" t="s">
        <v>18764</v>
      </c>
      <c r="X5483">
        <v>3</v>
      </c>
      <c r="Y5483" t="s">
        <v>25259</v>
      </c>
      <c r="Z5483" t="s">
        <v>31898</v>
      </c>
      <c r="AA5483">
        <v>0.38311001076274309</v>
      </c>
      <c r="AB5483" t="str">
        <f>HYPERLINK("Melting_Curves/meltCurve_Q9BXK1_KLF16.pdf", "Melting_Curves/meltCurve_Q9BXK1_KLF16.pdf")</f>
        <v>Melting_Curves/meltCurve_Q9BXK1_KLF16.pdf</v>
      </c>
    </row>
    <row r="5484" spans="1:28" x14ac:dyDescent="0.25">
      <c r="A5484" t="s">
        <v>5488</v>
      </c>
      <c r="B5484">
        <v>0.99193492352474899</v>
      </c>
      <c r="C5484">
        <v>0.63958400671052895</v>
      </c>
      <c r="D5484">
        <v>0.91309396735085402</v>
      </c>
      <c r="E5484">
        <v>0.49831235257339201</v>
      </c>
      <c r="F5484">
        <v>0.23747206895119199</v>
      </c>
      <c r="G5484">
        <v>0.117579931051462</v>
      </c>
      <c r="H5484">
        <v>7.2711779198625801E-2</v>
      </c>
      <c r="I5484">
        <v>9.5184394508904105E-2</v>
      </c>
      <c r="J5484">
        <v>0.113699111556857</v>
      </c>
      <c r="K5484">
        <v>0.11873556988145</v>
      </c>
      <c r="L5484">
        <v>751.50937767556798</v>
      </c>
      <c r="M5484">
        <v>15.3489510191385</v>
      </c>
      <c r="N5484">
        <v>49.4089764366746</v>
      </c>
      <c r="O5484">
        <v>48.153103457829502</v>
      </c>
      <c r="P5484">
        <v>-7.4525407469241994E-2</v>
      </c>
      <c r="Q5484">
        <v>6.4874822817828595E-2</v>
      </c>
      <c r="R5484">
        <v>0.90664261275251301</v>
      </c>
      <c r="S5484" t="s">
        <v>12154</v>
      </c>
      <c r="T5484" t="s">
        <v>13338</v>
      </c>
      <c r="U5484" t="s">
        <v>13338</v>
      </c>
      <c r="V5484" t="s">
        <v>13338</v>
      </c>
      <c r="W5484" t="s">
        <v>18765</v>
      </c>
      <c r="X5484">
        <v>3</v>
      </c>
      <c r="Y5484" t="s">
        <v>25260</v>
      </c>
      <c r="Z5484" t="s">
        <v>31899</v>
      </c>
      <c r="AA5484">
        <v>0.3663433635812946</v>
      </c>
      <c r="AB5484" t="str">
        <f>HYPERLINK("Melting_Curves/meltCurve_Q9BXK5_BCL2L13.pdf", "Melting_Curves/meltCurve_Q9BXK5_BCL2L13.pdf")</f>
        <v>Melting_Curves/meltCurve_Q9BXK5_BCL2L13.pdf</v>
      </c>
    </row>
    <row r="5485" spans="1:28" x14ac:dyDescent="0.25">
      <c r="A5485" t="s">
        <v>5489</v>
      </c>
      <c r="B5485">
        <v>0.99193492352474899</v>
      </c>
      <c r="C5485">
        <v>0.873472110039336</v>
      </c>
      <c r="D5485">
        <v>1.39102033941362</v>
      </c>
      <c r="E5485">
        <v>0.87443311588785899</v>
      </c>
      <c r="F5485">
        <v>1.1403387322224701</v>
      </c>
      <c r="G5485">
        <v>0.46487489480141098</v>
      </c>
      <c r="H5485">
        <v>0.77313349128576103</v>
      </c>
      <c r="I5485">
        <v>0.60322750371483402</v>
      </c>
      <c r="J5485">
        <v>1.18330948827577</v>
      </c>
      <c r="K5485">
        <v>1.64833339072712</v>
      </c>
      <c r="L5485">
        <v>15000</v>
      </c>
      <c r="M5485">
        <v>223.00092936941201</v>
      </c>
      <c r="O5485">
        <v>67.258885008134399</v>
      </c>
      <c r="P5485">
        <v>0.41444511993529798</v>
      </c>
      <c r="Q5485">
        <v>1.5</v>
      </c>
      <c r="R5485">
        <v>0.37422057639101602</v>
      </c>
      <c r="S5485" t="s">
        <v>12155</v>
      </c>
      <c r="T5485" t="s">
        <v>13338</v>
      </c>
      <c r="U5485" t="s">
        <v>13338</v>
      </c>
      <c r="V5485" t="s">
        <v>13338</v>
      </c>
      <c r="W5485" t="s">
        <v>18766</v>
      </c>
      <c r="X5485">
        <v>2</v>
      </c>
      <c r="Y5485" t="s">
        <v>25261</v>
      </c>
      <c r="Z5485" t="s">
        <v>31900</v>
      </c>
      <c r="AA5485">
        <v>1.0455218217572251</v>
      </c>
      <c r="AB5485" t="str">
        <f>HYPERLINK("Melting_Curves/meltCurve_Q9BXL5_HEMGN.pdf", "Melting_Curves/meltCurve_Q9BXL5_HEMGN.pdf")</f>
        <v>Melting_Curves/meltCurve_Q9BXL5_HEMGN.pdf</v>
      </c>
    </row>
    <row r="5486" spans="1:28" x14ac:dyDescent="0.25">
      <c r="A5486" t="s">
        <v>5490</v>
      </c>
      <c r="B5486">
        <v>0.99193492352474899</v>
      </c>
      <c r="C5486">
        <v>0.85720056810254497</v>
      </c>
      <c r="D5486">
        <v>0.95250326844170097</v>
      </c>
      <c r="E5486">
        <v>0.68110940480112803</v>
      </c>
      <c r="F5486">
        <v>0.52024374100394699</v>
      </c>
      <c r="G5486">
        <v>0.81763624475556995</v>
      </c>
      <c r="H5486">
        <v>0.39758981879492</v>
      </c>
      <c r="I5486">
        <v>0.44301970378463301</v>
      </c>
      <c r="J5486">
        <v>0.35066505173908802</v>
      </c>
      <c r="K5486">
        <v>0.30858845369960503</v>
      </c>
      <c r="L5486">
        <v>333.44549861123397</v>
      </c>
      <c r="M5486">
        <v>5.5376930040899897</v>
      </c>
      <c r="N5486">
        <v>60.213799936303197</v>
      </c>
      <c r="O5486">
        <v>53.729181869854102</v>
      </c>
      <c r="P5486">
        <v>-2.5877507413939699E-2</v>
      </c>
      <c r="Q5486">
        <v>0</v>
      </c>
      <c r="R5486">
        <v>0.81743229959547903</v>
      </c>
      <c r="S5486" t="s">
        <v>12156</v>
      </c>
      <c r="T5486" t="s">
        <v>13338</v>
      </c>
      <c r="U5486" t="s">
        <v>13338</v>
      </c>
      <c r="V5486" t="s">
        <v>13338</v>
      </c>
      <c r="W5486" t="s">
        <v>18767</v>
      </c>
      <c r="X5486">
        <v>4</v>
      </c>
      <c r="Y5486" t="s">
        <v>25262</v>
      </c>
      <c r="Z5486" t="s">
        <v>31901</v>
      </c>
      <c r="AA5486">
        <v>0.63099628369591265</v>
      </c>
      <c r="AB5486" t="str">
        <f>HYPERLINK("Melting_Curves/meltCurve_Q9BXL7_CARD11.pdf", "Melting_Curves/meltCurve_Q9BXL7_CARD11.pdf")</f>
        <v>Melting_Curves/meltCurve_Q9BXL7_CARD11.pdf</v>
      </c>
    </row>
    <row r="5487" spans="1:28" x14ac:dyDescent="0.25">
      <c r="A5487" t="s">
        <v>5491</v>
      </c>
      <c r="B5487">
        <v>0.99193492352474899</v>
      </c>
      <c r="C5487">
        <v>0.87899973122465702</v>
      </c>
      <c r="D5487">
        <v>0.88937612717028403</v>
      </c>
      <c r="E5487">
        <v>0.65688839796425003</v>
      </c>
      <c r="F5487">
        <v>0.61584430612444396</v>
      </c>
      <c r="G5487">
        <v>0.269100072483138</v>
      </c>
      <c r="H5487">
        <v>0.12224502087236901</v>
      </c>
      <c r="I5487">
        <v>0.21179496375358101</v>
      </c>
      <c r="J5487">
        <v>0.20446787270553299</v>
      </c>
      <c r="K5487">
        <v>0.17994580456927101</v>
      </c>
      <c r="L5487">
        <v>723.25395238365502</v>
      </c>
      <c r="M5487">
        <v>13.932094705017199</v>
      </c>
      <c r="N5487">
        <v>53.0511317201628</v>
      </c>
      <c r="O5487">
        <v>50.878344003372199</v>
      </c>
      <c r="P5487">
        <v>-5.96211817519917E-2</v>
      </c>
      <c r="Q5487">
        <v>0.129199732690712</v>
      </c>
      <c r="R5487">
        <v>0.96003494855184901</v>
      </c>
      <c r="S5487" t="s">
        <v>12157</v>
      </c>
      <c r="T5487" t="s">
        <v>13338</v>
      </c>
      <c r="U5487" t="s">
        <v>13338</v>
      </c>
      <c r="V5487" t="s">
        <v>13338</v>
      </c>
      <c r="W5487" t="s">
        <v>18768</v>
      </c>
      <c r="X5487">
        <v>3</v>
      </c>
      <c r="Y5487" t="s">
        <v>25263</v>
      </c>
      <c r="Z5487" t="s">
        <v>31902</v>
      </c>
      <c r="AA5487">
        <v>0.49680418927242492</v>
      </c>
      <c r="AB5487" t="str">
        <f>HYPERLINK("Melting_Curves/meltCurve_Q9BXP2_SLC12A9.pdf", "Melting_Curves/meltCurve_Q9BXP2_SLC12A9.pdf")</f>
        <v>Melting_Curves/meltCurve_Q9BXP2_SLC12A9.pdf</v>
      </c>
    </row>
    <row r="5488" spans="1:28" x14ac:dyDescent="0.25">
      <c r="A5488" t="s">
        <v>5492</v>
      </c>
      <c r="B5488">
        <v>0.99193492352474899</v>
      </c>
      <c r="C5488">
        <v>0.73447311731701703</v>
      </c>
      <c r="D5488">
        <v>0.74207538223520397</v>
      </c>
      <c r="E5488">
        <v>0.191712684712778</v>
      </c>
      <c r="F5488">
        <v>0.131378520200643</v>
      </c>
      <c r="G5488">
        <v>7.2038179045152195E-2</v>
      </c>
      <c r="H5488">
        <v>5.2409703089138698E-2</v>
      </c>
      <c r="I5488">
        <v>7.0735923004748402E-2</v>
      </c>
      <c r="J5488">
        <v>8.1322702177068801E-2</v>
      </c>
      <c r="K5488">
        <v>9.2115939009586603E-2</v>
      </c>
      <c r="L5488">
        <v>997.39348126904599</v>
      </c>
      <c r="M5488">
        <v>21.3213384567491</v>
      </c>
      <c r="N5488">
        <v>47.0687588010056</v>
      </c>
      <c r="O5488">
        <v>46.373449767932598</v>
      </c>
      <c r="P5488">
        <v>-0.10787975696492701</v>
      </c>
      <c r="Q5488">
        <v>6.14791639544046E-2</v>
      </c>
      <c r="R5488">
        <v>0.95955624415490404</v>
      </c>
      <c r="S5488" t="s">
        <v>12158</v>
      </c>
      <c r="T5488" t="s">
        <v>13338</v>
      </c>
      <c r="U5488" t="s">
        <v>13338</v>
      </c>
      <c r="V5488" t="s">
        <v>13338</v>
      </c>
      <c r="W5488" t="s">
        <v>18769</v>
      </c>
      <c r="X5488">
        <v>41</v>
      </c>
      <c r="Y5488" t="s">
        <v>25264</v>
      </c>
      <c r="Z5488" t="s">
        <v>31903</v>
      </c>
      <c r="AA5488">
        <v>0.28557988996749739</v>
      </c>
      <c r="AB5488" t="str">
        <f>HYPERLINK("Melting_Curves/meltCurve_Q9BXP5_4_SRRT.pdf", "Melting_Curves/meltCurve_Q9BXP5_4_SRRT.pdf")</f>
        <v>Melting_Curves/meltCurve_Q9BXP5_4_SRRT.pdf</v>
      </c>
    </row>
    <row r="5489" spans="1:28" x14ac:dyDescent="0.25">
      <c r="A5489" t="s">
        <v>5493</v>
      </c>
      <c r="B5489">
        <v>0.99193492352474899</v>
      </c>
      <c r="C5489">
        <v>0.87374201718751998</v>
      </c>
      <c r="D5489">
        <v>0.95031381979705998</v>
      </c>
      <c r="E5489">
        <v>0.81437786987966698</v>
      </c>
      <c r="F5489">
        <v>0.69108566271037997</v>
      </c>
      <c r="G5489">
        <v>0.30061968023157898</v>
      </c>
      <c r="H5489">
        <v>8.0406446303443999E-2</v>
      </c>
      <c r="I5489">
        <v>6.1589170010455899E-2</v>
      </c>
      <c r="J5489">
        <v>7.0606349828667897E-2</v>
      </c>
      <c r="K5489">
        <v>6.2492471864343598E-2</v>
      </c>
      <c r="L5489">
        <v>1093.4655869686701</v>
      </c>
      <c r="M5489">
        <v>20.0968352139862</v>
      </c>
      <c r="N5489">
        <v>54.552253359498799</v>
      </c>
      <c r="O5489">
        <v>53.879702446708997</v>
      </c>
      <c r="P5489">
        <v>-9.0868481245499594E-2</v>
      </c>
      <c r="Q5489">
        <v>2.5555969160537501E-2</v>
      </c>
      <c r="R5489">
        <v>0.98097801974520804</v>
      </c>
      <c r="S5489" t="s">
        <v>12159</v>
      </c>
      <c r="T5489" t="s">
        <v>13338</v>
      </c>
      <c r="U5489" t="s">
        <v>13338</v>
      </c>
      <c r="V5489" t="s">
        <v>13338</v>
      </c>
      <c r="W5489" t="s">
        <v>18770</v>
      </c>
      <c r="X5489">
        <v>11</v>
      </c>
      <c r="Y5489" t="s">
        <v>25265</v>
      </c>
      <c r="Z5489" t="s">
        <v>31904</v>
      </c>
      <c r="AA5489">
        <v>0.50665859227876597</v>
      </c>
      <c r="AB5489" t="str">
        <f>HYPERLINK("Melting_Curves/meltCurve_Q9BXR0_QTRT1.pdf", "Melting_Curves/meltCurve_Q9BXR0_QTRT1.pdf")</f>
        <v>Melting_Curves/meltCurve_Q9BXR0_QTRT1.pdf</v>
      </c>
    </row>
    <row r="5490" spans="1:28" x14ac:dyDescent="0.25">
      <c r="A5490" t="s">
        <v>5494</v>
      </c>
      <c r="B5490">
        <v>0.99193492352474899</v>
      </c>
      <c r="C5490">
        <v>1.0291103827841299</v>
      </c>
      <c r="D5490">
        <v>1.1254216136540101</v>
      </c>
      <c r="E5490">
        <v>0.64670546682474195</v>
      </c>
      <c r="F5490">
        <v>0.54569085853007904</v>
      </c>
      <c r="G5490">
        <v>0.288303129815282</v>
      </c>
      <c r="H5490">
        <v>0.14320442285604501</v>
      </c>
      <c r="I5490">
        <v>0.170216668586189</v>
      </c>
      <c r="J5490">
        <v>0.16839440959051999</v>
      </c>
      <c r="K5490">
        <v>0.28715004435567398</v>
      </c>
      <c r="L5490">
        <v>1167.9400256491699</v>
      </c>
      <c r="M5490">
        <v>22.605797329651001</v>
      </c>
      <c r="N5490">
        <v>52.781246669885597</v>
      </c>
      <c r="O5490">
        <v>51.266297943892397</v>
      </c>
      <c r="P5490">
        <v>-8.9299640367939401E-2</v>
      </c>
      <c r="Q5490">
        <v>0.189947587295794</v>
      </c>
      <c r="R5490">
        <v>0.94904408091402404</v>
      </c>
      <c r="S5490" t="s">
        <v>12160</v>
      </c>
      <c r="T5490" t="s">
        <v>13338</v>
      </c>
      <c r="U5490" t="s">
        <v>13338</v>
      </c>
      <c r="V5490" t="s">
        <v>13338</v>
      </c>
      <c r="W5490" t="s">
        <v>18771</v>
      </c>
      <c r="X5490">
        <v>14</v>
      </c>
      <c r="Y5490" t="s">
        <v>25266</v>
      </c>
      <c r="Z5490" t="s">
        <v>31905</v>
      </c>
      <c r="AA5490">
        <v>0.51387627019980309</v>
      </c>
      <c r="AB5490" t="str">
        <f>HYPERLINK("Melting_Curves/meltCurve_Q9BXS5_AP1M1.pdf", "Melting_Curves/meltCurve_Q9BXS5_AP1M1.pdf")</f>
        <v>Melting_Curves/meltCurve_Q9BXS5_AP1M1.pdf</v>
      </c>
    </row>
    <row r="5491" spans="1:28" x14ac:dyDescent="0.25">
      <c r="A5491" t="s">
        <v>5495</v>
      </c>
      <c r="B5491">
        <v>0.99193492352474899</v>
      </c>
      <c r="C5491">
        <v>0.51836064170276197</v>
      </c>
      <c r="D5491">
        <v>0.78584848124656104</v>
      </c>
      <c r="E5491">
        <v>0.45527989283142201</v>
      </c>
      <c r="F5491">
        <v>0.34069165107592497</v>
      </c>
      <c r="G5491">
        <v>0.19919740664126001</v>
      </c>
      <c r="H5491">
        <v>0.29789824217170602</v>
      </c>
      <c r="I5491">
        <v>0.35588674443659502</v>
      </c>
      <c r="J5491">
        <v>0.46996589107783598</v>
      </c>
      <c r="K5491">
        <v>0.72849130680323604</v>
      </c>
      <c r="L5491">
        <v>745.58521448840304</v>
      </c>
      <c r="M5491">
        <v>17.215265727087498</v>
      </c>
      <c r="N5491">
        <v>47.961003695156698</v>
      </c>
      <c r="O5491">
        <v>42.737799230222599</v>
      </c>
      <c r="P5491">
        <v>-5.98370960885551E-2</v>
      </c>
      <c r="Q5491">
        <v>0.40583983853231997</v>
      </c>
      <c r="R5491">
        <v>0.492284189915696</v>
      </c>
      <c r="S5491" t="s">
        <v>12161</v>
      </c>
      <c r="T5491" t="s">
        <v>13338</v>
      </c>
      <c r="U5491" t="s">
        <v>13338</v>
      </c>
      <c r="V5491" t="s">
        <v>13338</v>
      </c>
      <c r="W5491" t="s">
        <v>18772</v>
      </c>
      <c r="X5491">
        <v>6</v>
      </c>
      <c r="Y5491" t="s">
        <v>25267</v>
      </c>
      <c r="Z5491" t="s">
        <v>31906</v>
      </c>
      <c r="AA5491">
        <v>0.48944686162619222</v>
      </c>
      <c r="AB5491" t="str">
        <f>HYPERLINK("Melting_Curves/meltCurve_Q9BXS6_2_NUSAP1.pdf", "Melting_Curves/meltCurve_Q9BXS6_2_NUSAP1.pdf")</f>
        <v>Melting_Curves/meltCurve_Q9BXS6_2_NUSAP1.pdf</v>
      </c>
    </row>
    <row r="5492" spans="1:28" x14ac:dyDescent="0.25">
      <c r="A5492" t="s">
        <v>5496</v>
      </c>
      <c r="B5492">
        <v>0.99193492352474899</v>
      </c>
      <c r="C5492">
        <v>0.88907278990447303</v>
      </c>
      <c r="D5492">
        <v>0.87214108261347001</v>
      </c>
      <c r="E5492">
        <v>0.62720653067179599</v>
      </c>
      <c r="F5492">
        <v>0.55483903742042096</v>
      </c>
      <c r="G5492">
        <v>0.41174695148485502</v>
      </c>
      <c r="H5492">
        <v>0.30900386701735499</v>
      </c>
      <c r="I5492">
        <v>0.369231284743266</v>
      </c>
      <c r="J5492">
        <v>0.466488871405079</v>
      </c>
      <c r="K5492">
        <v>0.54253103266083103</v>
      </c>
      <c r="L5492">
        <v>912.22157892829</v>
      </c>
      <c r="M5492">
        <v>18.8546521866893</v>
      </c>
      <c r="N5492">
        <v>53.460343725274399</v>
      </c>
      <c r="O5492">
        <v>47.847389835630999</v>
      </c>
      <c r="P5492">
        <v>-5.7474268976059201E-2</v>
      </c>
      <c r="Q5492">
        <v>0.41661493915986803</v>
      </c>
      <c r="R5492">
        <v>0.91380160276683797</v>
      </c>
      <c r="S5492" t="s">
        <v>12162</v>
      </c>
      <c r="T5492" t="s">
        <v>13338</v>
      </c>
      <c r="U5492" t="s">
        <v>13338</v>
      </c>
      <c r="V5492" t="s">
        <v>13338</v>
      </c>
      <c r="W5492" t="s">
        <v>18773</v>
      </c>
      <c r="X5492">
        <v>2</v>
      </c>
      <c r="Y5492" t="s">
        <v>25268</v>
      </c>
      <c r="Z5492" t="s">
        <v>31907</v>
      </c>
      <c r="AA5492">
        <v>0.5889161768800556</v>
      </c>
      <c r="AB5492" t="str">
        <f>HYPERLINK("Melting_Curves/meltCurve_Q9BXV9_C14orf142.pdf", "Melting_Curves/meltCurve_Q9BXV9_C14orf142.pdf")</f>
        <v>Melting_Curves/meltCurve_Q9BXV9_C14orf142.pdf</v>
      </c>
    </row>
    <row r="5493" spans="1:28" x14ac:dyDescent="0.25">
      <c r="A5493" t="s">
        <v>5497</v>
      </c>
      <c r="B5493">
        <v>0.99193492352474899</v>
      </c>
      <c r="C5493">
        <v>1.18508424413475</v>
      </c>
      <c r="D5493">
        <v>0.870469606909687</v>
      </c>
      <c r="E5493">
        <v>0.44723053111663902</v>
      </c>
      <c r="F5493">
        <v>0.27775474630654001</v>
      </c>
      <c r="G5493">
        <v>0.202174102028501</v>
      </c>
      <c r="H5493">
        <v>9.3306439422521398E-2</v>
      </c>
      <c r="I5493">
        <v>0.13538600540745699</v>
      </c>
      <c r="J5493">
        <v>0.127127817072162</v>
      </c>
      <c r="K5493">
        <v>0.16687598758282501</v>
      </c>
      <c r="L5493">
        <v>1480.44588932857</v>
      </c>
      <c r="M5493">
        <v>30.338272526230099</v>
      </c>
      <c r="N5493">
        <v>49.381607384694597</v>
      </c>
      <c r="O5493">
        <v>48.587420001315799</v>
      </c>
      <c r="P5493">
        <v>-0.132583600101632</v>
      </c>
      <c r="Q5493">
        <v>0.150662999457121</v>
      </c>
      <c r="R5493">
        <v>0.96673190761875205</v>
      </c>
      <c r="S5493" t="s">
        <v>12163</v>
      </c>
      <c r="T5493" t="s">
        <v>13338</v>
      </c>
      <c r="U5493" t="s">
        <v>13338</v>
      </c>
      <c r="V5493" t="s">
        <v>13338</v>
      </c>
      <c r="W5493" t="s">
        <v>18774</v>
      </c>
      <c r="X5493">
        <v>2</v>
      </c>
      <c r="Y5493" t="s">
        <v>25269</v>
      </c>
      <c r="Z5493" t="s">
        <v>31908</v>
      </c>
      <c r="AA5493">
        <v>0.40478516082457477</v>
      </c>
      <c r="AB5493" t="str">
        <f>HYPERLINK("Melting_Curves/meltCurve_Q9BXW6_OSBPL1A.pdf", "Melting_Curves/meltCurve_Q9BXW6_OSBPL1A.pdf")</f>
        <v>Melting_Curves/meltCurve_Q9BXW6_OSBPL1A.pdf</v>
      </c>
    </row>
    <row r="5494" spans="1:28" x14ac:dyDescent="0.25">
      <c r="A5494" t="s">
        <v>5498</v>
      </c>
      <c r="B5494">
        <v>0.99193492352474899</v>
      </c>
      <c r="C5494">
        <v>1.18334961513694</v>
      </c>
      <c r="D5494">
        <v>1.0570513466670699</v>
      </c>
      <c r="E5494">
        <v>0.75155963980044105</v>
      </c>
      <c r="F5494">
        <v>0.19981028197710601</v>
      </c>
      <c r="G5494">
        <v>0.121497049684244</v>
      </c>
      <c r="H5494">
        <v>7.1892189280306995E-2</v>
      </c>
      <c r="I5494">
        <v>8.3840116160663503E-2</v>
      </c>
      <c r="J5494">
        <v>0.101977402559239</v>
      </c>
      <c r="K5494">
        <v>9.2902474848654701E-2</v>
      </c>
      <c r="L5494">
        <v>2273.2443356415201</v>
      </c>
      <c r="M5494">
        <v>44.816009994979098</v>
      </c>
      <c r="N5494">
        <v>50.959612168518802</v>
      </c>
      <c r="O5494">
        <v>50.623243989217897</v>
      </c>
      <c r="P5494">
        <v>-0.20060572017872</v>
      </c>
      <c r="Q5494">
        <v>9.3600718311173295E-2</v>
      </c>
      <c r="R5494">
        <v>0.98019290134918902</v>
      </c>
      <c r="S5494" t="s">
        <v>12164</v>
      </c>
      <c r="T5494" t="s">
        <v>13338</v>
      </c>
      <c r="U5494" t="s">
        <v>13338</v>
      </c>
      <c r="V5494" t="s">
        <v>13338</v>
      </c>
      <c r="W5494" t="s">
        <v>18775</v>
      </c>
      <c r="X5494">
        <v>15</v>
      </c>
      <c r="Y5494" t="s">
        <v>25270</v>
      </c>
      <c r="Z5494" t="s">
        <v>31909</v>
      </c>
      <c r="AA5494">
        <v>0.420133909206378</v>
      </c>
      <c r="AB5494" t="str">
        <f>HYPERLINK("Melting_Curves/meltCurve_Q9BXW7_2_CECR5.pdf", "Melting_Curves/meltCurve_Q9BXW7_2_CECR5.pdf")</f>
        <v>Melting_Curves/meltCurve_Q9BXW7_2_CECR5.pdf</v>
      </c>
    </row>
    <row r="5495" spans="1:28" x14ac:dyDescent="0.25">
      <c r="A5495" t="s">
        <v>5499</v>
      </c>
      <c r="B5495">
        <v>0.99193492352474899</v>
      </c>
      <c r="C5495">
        <v>0.86124223220198903</v>
      </c>
      <c r="D5495">
        <v>0.531403549323336</v>
      </c>
      <c r="E5495">
        <v>0.22559461985710599</v>
      </c>
      <c r="F5495">
        <v>0.14769115700981</v>
      </c>
      <c r="G5495">
        <v>0.114529414974153</v>
      </c>
      <c r="H5495">
        <v>6.9525600259168693E-2</v>
      </c>
      <c r="I5495">
        <v>8.3137639827580295E-2</v>
      </c>
      <c r="J5495">
        <v>8.08426575454603E-2</v>
      </c>
      <c r="K5495">
        <v>6.6809921952618007E-2</v>
      </c>
      <c r="L5495">
        <v>1064.25644741885</v>
      </c>
      <c r="M5495">
        <v>23.139090771151199</v>
      </c>
      <c r="N5495">
        <v>46.360541501171198</v>
      </c>
      <c r="O5495">
        <v>45.654477538631298</v>
      </c>
      <c r="P5495">
        <v>-0.11611425230273301</v>
      </c>
      <c r="Q5495">
        <v>8.3621881215324295E-2</v>
      </c>
      <c r="R5495">
        <v>0.99802039503655005</v>
      </c>
      <c r="S5495" t="s">
        <v>12165</v>
      </c>
      <c r="T5495" t="s">
        <v>13338</v>
      </c>
      <c r="U5495" t="s">
        <v>13338</v>
      </c>
      <c r="V5495" t="s">
        <v>13338</v>
      </c>
      <c r="W5495" t="s">
        <v>18776</v>
      </c>
      <c r="X5495">
        <v>14</v>
      </c>
      <c r="Y5495" t="s">
        <v>25271</v>
      </c>
      <c r="Z5495" t="s">
        <v>31910</v>
      </c>
      <c r="AA5495">
        <v>0.27683623394408768</v>
      </c>
      <c r="AB5495" t="str">
        <f>HYPERLINK("Melting_Curves/meltCurve_Q9BXW9_2_FANCD2.pdf", "Melting_Curves/meltCurve_Q9BXW9_2_FANCD2.pdf")</f>
        <v>Melting_Curves/meltCurve_Q9BXW9_2_FANCD2.pdf</v>
      </c>
    </row>
    <row r="5496" spans="1:28" x14ac:dyDescent="0.25">
      <c r="A5496" t="s">
        <v>5500</v>
      </c>
      <c r="B5496">
        <v>0.99193492352474899</v>
      </c>
      <c r="C5496">
        <v>0.59137277144042</v>
      </c>
      <c r="D5496">
        <v>0.74517549183346199</v>
      </c>
      <c r="E5496">
        <v>0.54801772911345503</v>
      </c>
      <c r="F5496">
        <v>0.27680894164084102</v>
      </c>
      <c r="G5496">
        <v>0.19350435168709601</v>
      </c>
      <c r="H5496">
        <v>6.5466505221260199E-2</v>
      </c>
      <c r="I5496">
        <v>8.8005202049644904E-2</v>
      </c>
      <c r="J5496">
        <v>0.105527581770942</v>
      </c>
      <c r="K5496">
        <v>0.13475642077198299</v>
      </c>
      <c r="L5496">
        <v>489.47576805907897</v>
      </c>
      <c r="M5496">
        <v>10.063293804065401</v>
      </c>
      <c r="N5496">
        <v>48.908998705473302</v>
      </c>
      <c r="O5496">
        <v>46.836102371276603</v>
      </c>
      <c r="P5496">
        <v>-5.2292660721814897E-2</v>
      </c>
      <c r="Q5496">
        <v>2.6949485145304E-2</v>
      </c>
      <c r="R5496">
        <v>0.91552721511080604</v>
      </c>
      <c r="S5496" t="s">
        <v>12166</v>
      </c>
      <c r="T5496" t="s">
        <v>13338</v>
      </c>
      <c r="U5496" t="s">
        <v>13338</v>
      </c>
      <c r="V5496" t="s">
        <v>13338</v>
      </c>
      <c r="W5496" t="s">
        <v>18777</v>
      </c>
      <c r="X5496">
        <v>4</v>
      </c>
      <c r="Y5496" t="s">
        <v>25272</v>
      </c>
      <c r="Z5496" t="s">
        <v>31911</v>
      </c>
      <c r="AA5496">
        <v>0.35571299250695471</v>
      </c>
      <c r="AB5496" t="str">
        <f>HYPERLINK("Melting_Curves/meltCurve_Q9BXY0_MAK16.pdf", "Melting_Curves/meltCurve_Q9BXY0_MAK16.pdf")</f>
        <v>Melting_Curves/meltCurve_Q9BXY0_MAK16.pdf</v>
      </c>
    </row>
    <row r="5497" spans="1:28" x14ac:dyDescent="0.25">
      <c r="A5497" t="s">
        <v>5501</v>
      </c>
      <c r="B5497">
        <v>0.99193492352474899</v>
      </c>
      <c r="C5497">
        <v>0.75266841800837303</v>
      </c>
      <c r="D5497">
        <v>0.73956725294464798</v>
      </c>
      <c r="E5497">
        <v>0.51737383966851402</v>
      </c>
      <c r="F5497">
        <v>0.31956362418446999</v>
      </c>
      <c r="G5497">
        <v>0.16022273936178799</v>
      </c>
      <c r="H5497">
        <v>9.1909179777364805E-2</v>
      </c>
      <c r="I5497">
        <v>0.129307370616247</v>
      </c>
      <c r="J5497">
        <v>0.14688094145979</v>
      </c>
      <c r="K5497">
        <v>0.17237054932319201</v>
      </c>
      <c r="L5497">
        <v>637.89489269409898</v>
      </c>
      <c r="M5497">
        <v>13.173575809887099</v>
      </c>
      <c r="N5497">
        <v>49.246466388841398</v>
      </c>
      <c r="O5497">
        <v>47.347264538469297</v>
      </c>
      <c r="P5497">
        <v>-6.2687543164559503E-2</v>
      </c>
      <c r="Q5497">
        <v>9.89274924200296E-2</v>
      </c>
      <c r="R5497">
        <v>0.97098709769605795</v>
      </c>
      <c r="S5497" t="s">
        <v>12167</v>
      </c>
      <c r="T5497" t="s">
        <v>13338</v>
      </c>
      <c r="U5497" t="s">
        <v>13338</v>
      </c>
      <c r="V5497" t="s">
        <v>13338</v>
      </c>
      <c r="W5497" t="s">
        <v>18778</v>
      </c>
      <c r="X5497">
        <v>4</v>
      </c>
      <c r="Y5497" t="s">
        <v>25273</v>
      </c>
      <c r="Z5497" t="s">
        <v>31912</v>
      </c>
      <c r="AA5497">
        <v>0.38096112105354107</v>
      </c>
      <c r="AB5497" t="str">
        <f>HYPERLINK("Melting_Curves/meltCurve_Q9BY27_DGCR6L.pdf", "Melting_Curves/meltCurve_Q9BY27_DGCR6L.pdf")</f>
        <v>Melting_Curves/meltCurve_Q9BY27_DGCR6L.pdf</v>
      </c>
    </row>
    <row r="5498" spans="1:28" x14ac:dyDescent="0.25">
      <c r="A5498" t="s">
        <v>5502</v>
      </c>
      <c r="B5498">
        <v>0.99193492352474899</v>
      </c>
      <c r="C5498">
        <v>0.82690062540503295</v>
      </c>
      <c r="D5498">
        <v>0.99966892291282405</v>
      </c>
      <c r="E5498">
        <v>0.84982826400127598</v>
      </c>
      <c r="F5498">
        <v>0.89174256964073695</v>
      </c>
      <c r="G5498">
        <v>0.61702898567515796</v>
      </c>
      <c r="H5498">
        <v>0.52035937396253296</v>
      </c>
      <c r="I5498">
        <v>0.53799593494811804</v>
      </c>
      <c r="J5498">
        <v>0.468476109314444</v>
      </c>
      <c r="K5498">
        <v>0.27193610237268401</v>
      </c>
      <c r="L5498">
        <v>442.03272834889299</v>
      </c>
      <c r="M5498">
        <v>6.9797617380819803</v>
      </c>
      <c r="N5498">
        <v>63.330632741277903</v>
      </c>
      <c r="O5498">
        <v>58.746252665409003</v>
      </c>
      <c r="P5498">
        <v>-2.9758662449560099E-2</v>
      </c>
      <c r="Q5498">
        <v>0</v>
      </c>
      <c r="R5498">
        <v>0.90128109317744398</v>
      </c>
      <c r="S5498" t="s">
        <v>12168</v>
      </c>
      <c r="T5498" t="s">
        <v>13338</v>
      </c>
      <c r="U5498" t="s">
        <v>13338</v>
      </c>
      <c r="V5498" t="s">
        <v>13338</v>
      </c>
      <c r="W5498" t="s">
        <v>18779</v>
      </c>
      <c r="X5498">
        <v>5</v>
      </c>
      <c r="Y5498" t="s">
        <v>25274</v>
      </c>
      <c r="Z5498" t="s">
        <v>31913</v>
      </c>
      <c r="AA5498">
        <v>0.71191170607177667</v>
      </c>
      <c r="AB5498" t="str">
        <f>HYPERLINK("Melting_Curves/meltCurve_Q9BY32_ITPA.pdf", "Melting_Curves/meltCurve_Q9BY32_ITPA.pdf")</f>
        <v>Melting_Curves/meltCurve_Q9BY32_ITPA.pdf</v>
      </c>
    </row>
    <row r="5499" spans="1:28" x14ac:dyDescent="0.25">
      <c r="A5499" t="s">
        <v>5503</v>
      </c>
      <c r="B5499">
        <v>0.99193492352474899</v>
      </c>
      <c r="C5499">
        <v>0.84957436792325502</v>
      </c>
      <c r="D5499">
        <v>0.92644500949126896</v>
      </c>
      <c r="E5499">
        <v>0.45783646887863799</v>
      </c>
      <c r="F5499">
        <v>0.18122082958986499</v>
      </c>
      <c r="G5499">
        <v>9.5020708967226905E-2</v>
      </c>
      <c r="H5499">
        <v>6.7929239640660499E-2</v>
      </c>
      <c r="I5499">
        <v>7.2247769656825403E-2</v>
      </c>
      <c r="J5499">
        <v>8.8531028614496396E-2</v>
      </c>
      <c r="K5499">
        <v>9.8789688270953496E-2</v>
      </c>
      <c r="L5499">
        <v>1414.58119956106</v>
      </c>
      <c r="M5499">
        <v>28.819855886700601</v>
      </c>
      <c r="N5499">
        <v>49.386108763795797</v>
      </c>
      <c r="O5499">
        <v>48.849084019846501</v>
      </c>
      <c r="P5499">
        <v>-0.135559956705044</v>
      </c>
      <c r="Q5499">
        <v>8.0921696749094302E-2</v>
      </c>
      <c r="R5499">
        <v>0.98437847883829799</v>
      </c>
      <c r="S5499" t="s">
        <v>12169</v>
      </c>
      <c r="T5499" t="s">
        <v>13338</v>
      </c>
      <c r="U5499" t="s">
        <v>13338</v>
      </c>
      <c r="V5499" t="s">
        <v>13338</v>
      </c>
      <c r="W5499" t="s">
        <v>18780</v>
      </c>
      <c r="X5499">
        <v>9</v>
      </c>
      <c r="Y5499" t="s">
        <v>25275</v>
      </c>
      <c r="Z5499" t="s">
        <v>31914</v>
      </c>
      <c r="AA5499">
        <v>0.36529000563942732</v>
      </c>
      <c r="AB5499" t="str">
        <f>HYPERLINK("Melting_Curves/meltCurve_Q9BY42_RTFDC1.pdf", "Melting_Curves/meltCurve_Q9BY42_RTFDC1.pdf")</f>
        <v>Melting_Curves/meltCurve_Q9BY42_RTFDC1.pdf</v>
      </c>
    </row>
    <row r="5500" spans="1:28" x14ac:dyDescent="0.25">
      <c r="A5500" t="s">
        <v>5504</v>
      </c>
      <c r="B5500">
        <v>0.99193492352474899</v>
      </c>
      <c r="C5500">
        <v>0.49901521917428698</v>
      </c>
      <c r="D5500">
        <v>1.0206682351784799</v>
      </c>
      <c r="E5500">
        <v>0.50565610711584297</v>
      </c>
      <c r="F5500">
        <v>0.93823367681476699</v>
      </c>
      <c r="G5500">
        <v>0.34628889154994702</v>
      </c>
      <c r="H5500">
        <v>0.42400113803023898</v>
      </c>
      <c r="I5500">
        <v>0.345787897117453</v>
      </c>
      <c r="J5500">
        <v>0.81741319655602396</v>
      </c>
      <c r="K5500">
        <v>0.96626010218644498</v>
      </c>
      <c r="L5500">
        <v>598.36080968619501</v>
      </c>
      <c r="M5500">
        <v>14.2875969670926</v>
      </c>
      <c r="O5500">
        <v>41.084918927789701</v>
      </c>
      <c r="P5500">
        <v>-3.2286708933528301E-2</v>
      </c>
      <c r="Q5500">
        <v>0.62867501180174101</v>
      </c>
      <c r="R5500">
        <v>9.8343327821068097E-2</v>
      </c>
      <c r="S5500" t="s">
        <v>12170</v>
      </c>
      <c r="T5500" t="s">
        <v>13338</v>
      </c>
      <c r="U5500" t="s">
        <v>13338</v>
      </c>
      <c r="V5500" t="s">
        <v>13338</v>
      </c>
      <c r="W5500" t="s">
        <v>18781</v>
      </c>
      <c r="X5500">
        <v>12</v>
      </c>
      <c r="Y5500" t="s">
        <v>25276</v>
      </c>
      <c r="Z5500" t="s">
        <v>31915</v>
      </c>
      <c r="AA5500">
        <v>0.67250854940081484</v>
      </c>
      <c r="AB5500" t="str">
        <f>HYPERLINK("Melting_Curves/meltCurve_Q9BY43_CHMP4A.pdf", "Melting_Curves/meltCurve_Q9BY43_CHMP4A.pdf")</f>
        <v>Melting_Curves/meltCurve_Q9BY43_CHMP4A.pdf</v>
      </c>
    </row>
    <row r="5501" spans="1:28" x14ac:dyDescent="0.25">
      <c r="A5501" t="s">
        <v>5505</v>
      </c>
      <c r="B5501">
        <v>0.99193492352474899</v>
      </c>
      <c r="C5501">
        <v>0.45886808307343702</v>
      </c>
      <c r="D5501">
        <v>0.90111152687784801</v>
      </c>
      <c r="E5501">
        <v>0.57750839555785105</v>
      </c>
      <c r="F5501">
        <v>0.281701409756063</v>
      </c>
      <c r="G5501">
        <v>8.5687113986129299E-2</v>
      </c>
      <c r="H5501">
        <v>4.9938297054285201E-2</v>
      </c>
      <c r="I5501">
        <v>5.5516727065227499E-2</v>
      </c>
      <c r="J5501">
        <v>6.5335410874058503E-2</v>
      </c>
      <c r="K5501">
        <v>7.5955658058329295E-2</v>
      </c>
      <c r="L5501">
        <v>532.99799589803001</v>
      </c>
      <c r="M5501">
        <v>10.8403909816405</v>
      </c>
      <c r="N5501">
        <v>49.167785038326798</v>
      </c>
      <c r="O5501">
        <v>47.583330920752999</v>
      </c>
      <c r="P5501">
        <v>-5.6975099692171599E-2</v>
      </c>
      <c r="Q5501">
        <v>0</v>
      </c>
      <c r="R5501">
        <v>0.81534188513039896</v>
      </c>
      <c r="S5501" t="s">
        <v>12171</v>
      </c>
      <c r="T5501" t="s">
        <v>13338</v>
      </c>
      <c r="U5501" t="s">
        <v>13338</v>
      </c>
      <c r="V5501" t="s">
        <v>13338</v>
      </c>
      <c r="W5501" t="s">
        <v>18782</v>
      </c>
      <c r="X5501">
        <v>21</v>
      </c>
      <c r="Y5501" t="s">
        <v>25277</v>
      </c>
      <c r="Z5501" t="s">
        <v>31916</v>
      </c>
      <c r="AA5501">
        <v>0.34838902759682261</v>
      </c>
      <c r="AB5501" t="str">
        <f>HYPERLINK("Melting_Curves/meltCurve_Q9BY44_EIF2A.pdf", "Melting_Curves/meltCurve_Q9BY44_EIF2A.pdf")</f>
        <v>Melting_Curves/meltCurve_Q9BY44_EIF2A.pdf</v>
      </c>
    </row>
    <row r="5502" spans="1:28" x14ac:dyDescent="0.25">
      <c r="A5502" t="s">
        <v>5506</v>
      </c>
      <c r="B5502">
        <v>0.99193492352474899</v>
      </c>
      <c r="C5502">
        <v>1.0257484447607801</v>
      </c>
      <c r="D5502">
        <v>0.94850746005138697</v>
      </c>
      <c r="E5502">
        <v>0.74094752793565399</v>
      </c>
      <c r="F5502">
        <v>0.24166475123013201</v>
      </c>
      <c r="G5502">
        <v>0.112529329714687</v>
      </c>
      <c r="H5502">
        <v>6.5203146567160503E-2</v>
      </c>
      <c r="I5502">
        <v>7.9626171491521194E-2</v>
      </c>
      <c r="J5502">
        <v>9.5342909420435898E-2</v>
      </c>
      <c r="K5502">
        <v>8.4009199223776296E-2</v>
      </c>
      <c r="L5502">
        <v>1763.0799132903601</v>
      </c>
      <c r="M5502">
        <v>34.647330843226797</v>
      </c>
      <c r="N5502">
        <v>51.147002767025</v>
      </c>
      <c r="O5502">
        <v>50.7178398855824</v>
      </c>
      <c r="P5502">
        <v>-0.15696994160063901</v>
      </c>
      <c r="Q5502">
        <v>8.0893579343105995E-2</v>
      </c>
      <c r="R5502">
        <v>0.99858416869709599</v>
      </c>
      <c r="S5502" t="s">
        <v>12172</v>
      </c>
      <c r="T5502" t="s">
        <v>13338</v>
      </c>
      <c r="U5502" t="s">
        <v>13338</v>
      </c>
      <c r="V5502" t="s">
        <v>13338</v>
      </c>
      <c r="W5502" t="s">
        <v>18783</v>
      </c>
      <c r="X5502">
        <v>6</v>
      </c>
      <c r="Y5502" t="s">
        <v>25278</v>
      </c>
      <c r="Z5502" t="s">
        <v>31917</v>
      </c>
      <c r="AA5502">
        <v>0.41873862961028679</v>
      </c>
      <c r="AB5502" t="str">
        <f>HYPERLINK("Melting_Curves/meltCurve_Q9BY49_PECR.pdf", "Melting_Curves/meltCurve_Q9BY49_PECR.pdf")</f>
        <v>Melting_Curves/meltCurve_Q9BY49_PECR.pdf</v>
      </c>
    </row>
    <row r="5503" spans="1:28" x14ac:dyDescent="0.25">
      <c r="A5503" t="s">
        <v>5507</v>
      </c>
      <c r="B5503">
        <v>0.99193492352474899</v>
      </c>
      <c r="C5503">
        <v>0.88755714251610796</v>
      </c>
      <c r="D5503">
        <v>0.85974083032999205</v>
      </c>
      <c r="E5503">
        <v>0.72030097704847096</v>
      </c>
      <c r="F5503">
        <v>0.68812616986974495</v>
      </c>
      <c r="G5503">
        <v>0.48620739118385697</v>
      </c>
      <c r="H5503">
        <v>0.387746661700059</v>
      </c>
      <c r="I5503">
        <v>0.48569958793655399</v>
      </c>
      <c r="J5503">
        <v>0.52949579225316501</v>
      </c>
      <c r="K5503">
        <v>0.728454441564235</v>
      </c>
      <c r="L5503">
        <v>777.97030382388198</v>
      </c>
      <c r="M5503">
        <v>16.1320819137113</v>
      </c>
      <c r="O5503">
        <v>47.502256720315103</v>
      </c>
      <c r="P5503">
        <v>-4.0361441473981602E-2</v>
      </c>
      <c r="Q5503">
        <v>0.52464560840360996</v>
      </c>
      <c r="R5503">
        <v>0.77419957958371299</v>
      </c>
      <c r="S5503" t="s">
        <v>12173</v>
      </c>
      <c r="T5503" t="s">
        <v>13338</v>
      </c>
      <c r="U5503" t="s">
        <v>13338</v>
      </c>
      <c r="V5503" t="s">
        <v>13338</v>
      </c>
      <c r="W5503" t="s">
        <v>18784</v>
      </c>
      <c r="X5503">
        <v>2</v>
      </c>
      <c r="Y5503" t="s">
        <v>25279</v>
      </c>
      <c r="Z5503" t="s">
        <v>31918</v>
      </c>
      <c r="AA5503">
        <v>0.66545158476451149</v>
      </c>
      <c r="AB5503" t="str">
        <f>HYPERLINK("Melting_Curves/meltCurve_Q9BY67_2_CADM1.pdf", "Melting_Curves/meltCurve_Q9BY67_2_CADM1.pdf")</f>
        <v>Melting_Curves/meltCurve_Q9BY67_2_CADM1.pdf</v>
      </c>
    </row>
    <row r="5504" spans="1:28" x14ac:dyDescent="0.25">
      <c r="A5504" t="s">
        <v>5508</v>
      </c>
      <c r="B5504">
        <v>0.99193492352474899</v>
      </c>
      <c r="C5504">
        <v>0.350349510284581</v>
      </c>
      <c r="D5504">
        <v>0.78086665367894403</v>
      </c>
      <c r="E5504">
        <v>0.447161134909981</v>
      </c>
      <c r="F5504">
        <v>0.184652167477449</v>
      </c>
      <c r="G5504">
        <v>7.0678063980605194E-2</v>
      </c>
      <c r="H5504">
        <v>4.6905892155543402E-2</v>
      </c>
      <c r="I5504">
        <v>7.9338516914960397E-2</v>
      </c>
      <c r="J5504">
        <v>0.100950565443355</v>
      </c>
      <c r="K5504">
        <v>0.118411323221693</v>
      </c>
      <c r="L5504">
        <v>455.64486881286501</v>
      </c>
      <c r="M5504">
        <v>9.7591452902759492</v>
      </c>
      <c r="N5504">
        <v>46.832668382682897</v>
      </c>
      <c r="O5504">
        <v>44.855176815910397</v>
      </c>
      <c r="P5504">
        <v>-5.3619065924944698E-2</v>
      </c>
      <c r="Q5504">
        <v>1.47454432099019E-2</v>
      </c>
      <c r="R5504">
        <v>0.76102556237754304</v>
      </c>
      <c r="S5504" t="s">
        <v>12174</v>
      </c>
      <c r="T5504" t="s">
        <v>13338</v>
      </c>
      <c r="U5504" t="s">
        <v>13338</v>
      </c>
      <c r="V5504" t="s">
        <v>13338</v>
      </c>
      <c r="W5504" t="s">
        <v>18785</v>
      </c>
      <c r="X5504">
        <v>10</v>
      </c>
      <c r="Y5504" t="s">
        <v>25280</v>
      </c>
      <c r="Z5504" t="s">
        <v>31919</v>
      </c>
      <c r="AA5504">
        <v>0.29483012453831492</v>
      </c>
      <c r="AB5504" t="str">
        <f>HYPERLINK("Melting_Curves/meltCurve_Q9BY77_POLDIP3.pdf", "Melting_Curves/meltCurve_Q9BY77_POLDIP3.pdf")</f>
        <v>Melting_Curves/meltCurve_Q9BY77_POLDIP3.pdf</v>
      </c>
    </row>
    <row r="5505" spans="1:28" x14ac:dyDescent="0.25">
      <c r="A5505" t="s">
        <v>5509</v>
      </c>
      <c r="B5505">
        <v>0.99193492352474899</v>
      </c>
      <c r="C5505">
        <v>1.1327054049058101</v>
      </c>
      <c r="D5505">
        <v>1.0969103647057801</v>
      </c>
      <c r="E5505">
        <v>0.99838021896788598</v>
      </c>
      <c r="F5505">
        <v>0.864941354189387</v>
      </c>
      <c r="G5505">
        <v>0.541511231462658</v>
      </c>
      <c r="H5505">
        <v>0.26306696763601201</v>
      </c>
      <c r="I5505">
        <v>0.138573397711406</v>
      </c>
      <c r="J5505">
        <v>0.104791033225554</v>
      </c>
      <c r="K5505">
        <v>8.3064248506381999E-2</v>
      </c>
      <c r="L5505">
        <v>1406.0339465007</v>
      </c>
      <c r="M5505">
        <v>24.687788273748598</v>
      </c>
      <c r="N5505">
        <v>57.376761686449697</v>
      </c>
      <c r="O5505">
        <v>56.582872220579397</v>
      </c>
      <c r="P5505">
        <v>-9.9981352424984196E-2</v>
      </c>
      <c r="Q5505">
        <v>8.3408839666429299E-2</v>
      </c>
      <c r="R5505">
        <v>0.98351384570149303</v>
      </c>
      <c r="S5505" t="s">
        <v>12175</v>
      </c>
      <c r="T5505" t="s">
        <v>13338</v>
      </c>
      <c r="U5505" t="s">
        <v>13338</v>
      </c>
      <c r="V5505" t="s">
        <v>13338</v>
      </c>
      <c r="W5505" t="s">
        <v>18786</v>
      </c>
      <c r="X5505">
        <v>5</v>
      </c>
      <c r="Y5505" t="s">
        <v>25281</v>
      </c>
      <c r="Z5505" t="s">
        <v>31920</v>
      </c>
      <c r="AA5505">
        <v>0.60979146676267371</v>
      </c>
      <c r="AB5505" t="str">
        <f>HYPERLINK("Melting_Curves/meltCurve_Q9BYB4_GNB1L.pdf", "Melting_Curves/meltCurve_Q9BYB4_GNB1L.pdf")</f>
        <v>Melting_Curves/meltCurve_Q9BYB4_GNB1L.pdf</v>
      </c>
    </row>
    <row r="5506" spans="1:28" x14ac:dyDescent="0.25">
      <c r="A5506" t="s">
        <v>5510</v>
      </c>
      <c r="B5506">
        <v>0.99193492352474899</v>
      </c>
      <c r="C5506">
        <v>0.85992575787372005</v>
      </c>
      <c r="D5506">
        <v>0.89352480132864498</v>
      </c>
      <c r="E5506">
        <v>0.47127873286364902</v>
      </c>
      <c r="F5506">
        <v>0.21518673750275399</v>
      </c>
      <c r="G5506">
        <v>0.140954213877237</v>
      </c>
      <c r="H5506">
        <v>9.1648374059708299E-2</v>
      </c>
      <c r="I5506">
        <v>0.119775020570318</v>
      </c>
      <c r="J5506">
        <v>0.14317825978867099</v>
      </c>
      <c r="K5506">
        <v>0.14434659523533899</v>
      </c>
      <c r="L5506">
        <v>1265.0107971304999</v>
      </c>
      <c r="M5506">
        <v>25.8798287958301</v>
      </c>
      <c r="N5506">
        <v>49.409825052787198</v>
      </c>
      <c r="O5506">
        <v>48.591132833007798</v>
      </c>
      <c r="P5506">
        <v>-0.11702373761283701</v>
      </c>
      <c r="Q5506">
        <v>0.121130302332474</v>
      </c>
      <c r="R5506">
        <v>0.98564184347714701</v>
      </c>
      <c r="S5506" t="s">
        <v>12176</v>
      </c>
      <c r="T5506" t="s">
        <v>13338</v>
      </c>
      <c r="U5506" t="s">
        <v>13338</v>
      </c>
      <c r="V5506" t="s">
        <v>13338</v>
      </c>
      <c r="W5506" t="s">
        <v>18787</v>
      </c>
      <c r="X5506">
        <v>10</v>
      </c>
      <c r="Y5506" t="s">
        <v>25282</v>
      </c>
      <c r="Z5506" t="s">
        <v>31921</v>
      </c>
      <c r="AA5506">
        <v>0.38852660573534192</v>
      </c>
      <c r="AB5506" t="str">
        <f>HYPERLINK("Melting_Curves/meltCurve_Q9BYC5_FUT8.pdf", "Melting_Curves/meltCurve_Q9BYC5_FUT8.pdf")</f>
        <v>Melting_Curves/meltCurve_Q9BYC5_FUT8.pdf</v>
      </c>
    </row>
    <row r="5507" spans="1:28" x14ac:dyDescent="0.25">
      <c r="A5507" t="s">
        <v>5511</v>
      </c>
      <c r="B5507">
        <v>0.99193492352474899</v>
      </c>
      <c r="C5507">
        <v>0.56733671984634004</v>
      </c>
      <c r="D5507">
        <v>0.71208220903076502</v>
      </c>
      <c r="E5507">
        <v>0.52182094472818397</v>
      </c>
      <c r="F5507">
        <v>0.498666423600785</v>
      </c>
      <c r="G5507">
        <v>0.28591375670684199</v>
      </c>
      <c r="H5507">
        <v>0.32296349643567401</v>
      </c>
      <c r="I5507">
        <v>0.335739961581693</v>
      </c>
      <c r="J5507">
        <v>0.352389716146988</v>
      </c>
      <c r="K5507">
        <v>0.62805190988679405</v>
      </c>
      <c r="L5507">
        <v>619.37891242692501</v>
      </c>
      <c r="M5507">
        <v>14.1019262191564</v>
      </c>
      <c r="N5507">
        <v>49.3767158251813</v>
      </c>
      <c r="O5507">
        <v>43.066651899752799</v>
      </c>
      <c r="P5507">
        <v>-4.9555320577109797E-2</v>
      </c>
      <c r="Q5507">
        <v>0.39471892806188003</v>
      </c>
      <c r="R5507">
        <v>0.66238448280491502</v>
      </c>
      <c r="S5507" t="s">
        <v>12177</v>
      </c>
      <c r="T5507" t="s">
        <v>13338</v>
      </c>
      <c r="U5507" t="s">
        <v>13338</v>
      </c>
      <c r="V5507" t="s">
        <v>13338</v>
      </c>
      <c r="W5507" t="s">
        <v>18788</v>
      </c>
      <c r="X5507">
        <v>3</v>
      </c>
      <c r="Y5507" t="s">
        <v>25283</v>
      </c>
      <c r="Z5507" t="s">
        <v>31922</v>
      </c>
      <c r="AA5507">
        <v>0.49893691874061402</v>
      </c>
      <c r="AB5507" t="str">
        <f>HYPERLINK("Melting_Curves/meltCurve_Q9BYC8_MRPL32.pdf", "Melting_Curves/meltCurve_Q9BYC8_MRPL32.pdf")</f>
        <v>Melting_Curves/meltCurve_Q9BYC8_MRPL32.pdf</v>
      </c>
    </row>
    <row r="5508" spans="1:28" x14ac:dyDescent="0.25">
      <c r="A5508" t="s">
        <v>5512</v>
      </c>
      <c r="B5508">
        <v>0.99193492352474899</v>
      </c>
      <c r="C5508">
        <v>0.645476432869587</v>
      </c>
      <c r="D5508">
        <v>0.52511315874008802</v>
      </c>
      <c r="E5508">
        <v>0.200747096658693</v>
      </c>
      <c r="F5508">
        <v>0.108142882491915</v>
      </c>
      <c r="G5508">
        <v>6.2788887364258097E-2</v>
      </c>
      <c r="H5508">
        <v>4.3593207039336598E-2</v>
      </c>
      <c r="I5508">
        <v>4.9321722772992599E-2</v>
      </c>
      <c r="J5508">
        <v>4.8078217983866099E-2</v>
      </c>
      <c r="K5508">
        <v>5.4690865405696301E-2</v>
      </c>
      <c r="L5508">
        <v>773.80968418541397</v>
      </c>
      <c r="M5508">
        <v>17.059286068997402</v>
      </c>
      <c r="N5508">
        <v>45.583086067626397</v>
      </c>
      <c r="O5508">
        <v>44.750478880229601</v>
      </c>
      <c r="P5508">
        <v>-9.1491469724356803E-2</v>
      </c>
      <c r="Q5508">
        <v>4.0044817878345802E-2</v>
      </c>
      <c r="R5508">
        <v>0.98038662915601704</v>
      </c>
      <c r="S5508" t="s">
        <v>12178</v>
      </c>
      <c r="T5508" t="s">
        <v>13338</v>
      </c>
      <c r="U5508" t="s">
        <v>13338</v>
      </c>
      <c r="V5508" t="s">
        <v>13338</v>
      </c>
      <c r="W5508" t="s">
        <v>18789</v>
      </c>
      <c r="X5508">
        <v>12</v>
      </c>
      <c r="Y5508" t="s">
        <v>25284</v>
      </c>
      <c r="Z5508" t="s">
        <v>31923</v>
      </c>
      <c r="AA5508">
        <v>0.23403831467302419</v>
      </c>
      <c r="AB5508" t="str">
        <f>HYPERLINK("Melting_Curves/meltCurve_Q9BYD6_MRPL1.pdf", "Melting_Curves/meltCurve_Q9BYD6_MRPL1.pdf")</f>
        <v>Melting_Curves/meltCurve_Q9BYD6_MRPL1.pdf</v>
      </c>
    </row>
    <row r="5509" spans="1:28" x14ac:dyDescent="0.25">
      <c r="A5509" t="s">
        <v>5513</v>
      </c>
      <c r="B5509">
        <v>0.99193492352474899</v>
      </c>
      <c r="C5509">
        <v>0.50577815007549698</v>
      </c>
      <c r="D5509">
        <v>0.64627057796211196</v>
      </c>
      <c r="E5509">
        <v>0.212135143266622</v>
      </c>
      <c r="F5509">
        <v>0.16008108968051599</v>
      </c>
      <c r="G5509">
        <v>7.4529476321165605E-2</v>
      </c>
      <c r="H5509">
        <v>4.0809919459134203E-2</v>
      </c>
      <c r="I5509">
        <v>3.3977732092080597E-2</v>
      </c>
      <c r="J5509">
        <v>0.116684275396155</v>
      </c>
      <c r="K5509">
        <v>0.139606936477467</v>
      </c>
      <c r="L5509">
        <v>654.27286437974794</v>
      </c>
      <c r="M5509">
        <v>14.465643460160701</v>
      </c>
      <c r="N5509">
        <v>45.656924180909797</v>
      </c>
      <c r="O5509">
        <v>44.391433174529404</v>
      </c>
      <c r="P5509">
        <v>-7.6315583535551595E-2</v>
      </c>
      <c r="Q5509">
        <v>6.3335670293208302E-2</v>
      </c>
      <c r="R5509">
        <v>0.89294148145997498</v>
      </c>
      <c r="S5509" t="s">
        <v>12179</v>
      </c>
      <c r="T5509" t="s">
        <v>13338</v>
      </c>
      <c r="U5509" t="s">
        <v>13338</v>
      </c>
      <c r="V5509" t="s">
        <v>13338</v>
      </c>
      <c r="W5509" t="s">
        <v>18790</v>
      </c>
      <c r="X5509">
        <v>2</v>
      </c>
      <c r="Y5509" t="s">
        <v>25285</v>
      </c>
      <c r="Z5509" t="s">
        <v>31924</v>
      </c>
      <c r="AA5509">
        <v>0.25829186708612301</v>
      </c>
      <c r="AB5509" t="str">
        <f>HYPERLINK("Melting_Curves/meltCurve_Q9BYG3_MKI67IP.pdf", "Melting_Curves/meltCurve_Q9BYG3_MKI67IP.pdf")</f>
        <v>Melting_Curves/meltCurve_Q9BYG3_MKI67IP.pdf</v>
      </c>
    </row>
    <row r="5510" spans="1:28" x14ac:dyDescent="0.25">
      <c r="A5510" t="s">
        <v>5514</v>
      </c>
      <c r="B5510">
        <v>0.99193492352474899</v>
      </c>
      <c r="C5510">
        <v>0.82166074972537695</v>
      </c>
      <c r="D5510">
        <v>0.67975823130755897</v>
      </c>
      <c r="E5510">
        <v>0.38653315171120101</v>
      </c>
      <c r="F5510">
        <v>0.20679606485598301</v>
      </c>
      <c r="G5510">
        <v>0.130559787038034</v>
      </c>
      <c r="H5510">
        <v>8.9114205689922205E-2</v>
      </c>
      <c r="I5510">
        <v>8.7084645870155394E-2</v>
      </c>
      <c r="J5510">
        <v>5.8563602938588998E-2</v>
      </c>
      <c r="K5510">
        <v>7.7109774191598604E-2</v>
      </c>
      <c r="L5510">
        <v>754.75441552225402</v>
      </c>
      <c r="M5510">
        <v>15.8440554284167</v>
      </c>
      <c r="N5510">
        <v>48.039241262905499</v>
      </c>
      <c r="O5510">
        <v>46.896961216363501</v>
      </c>
      <c r="P5510">
        <v>-7.9214833136337703E-2</v>
      </c>
      <c r="Q5510">
        <v>6.2201723818236597E-2</v>
      </c>
      <c r="R5510">
        <v>0.99678097050987502</v>
      </c>
      <c r="S5510" t="s">
        <v>12180</v>
      </c>
      <c r="T5510" t="s">
        <v>13338</v>
      </c>
      <c r="U5510" t="s">
        <v>13338</v>
      </c>
      <c r="V5510" t="s">
        <v>13338</v>
      </c>
      <c r="W5510" t="s">
        <v>18791</v>
      </c>
      <c r="X5510">
        <v>3</v>
      </c>
      <c r="Y5510" t="s">
        <v>25286</v>
      </c>
      <c r="Z5510" t="s">
        <v>31925</v>
      </c>
      <c r="AA5510">
        <v>0.32290174818749962</v>
      </c>
      <c r="AB5510" t="str">
        <f>HYPERLINK("Melting_Curves/meltCurve_Q9BYG5_PARD6B.pdf", "Melting_Curves/meltCurve_Q9BYG5_PARD6B.pdf")</f>
        <v>Melting_Curves/meltCurve_Q9BYG5_PARD6B.pdf</v>
      </c>
    </row>
    <row r="5511" spans="1:28" x14ac:dyDescent="0.25">
      <c r="A5511" t="s">
        <v>5515</v>
      </c>
      <c r="B5511">
        <v>0.99193492352474899</v>
      </c>
      <c r="C5511">
        <v>1.0555314885288301</v>
      </c>
      <c r="D5511">
        <v>0.75393817964154697</v>
      </c>
      <c r="E5511">
        <v>0.41492644307808002</v>
      </c>
      <c r="F5511">
        <v>0.260406391159062</v>
      </c>
      <c r="G5511">
        <v>0.17125362098006</v>
      </c>
      <c r="H5511">
        <v>6.5416288509198103E-2</v>
      </c>
      <c r="I5511">
        <v>8.0286608752516905E-2</v>
      </c>
      <c r="J5511">
        <v>7.8150981186502599E-2</v>
      </c>
      <c r="K5511">
        <v>6.3007719183950095E-2</v>
      </c>
      <c r="L5511">
        <v>1006.0303699211501</v>
      </c>
      <c r="M5511">
        <v>20.689411636702602</v>
      </c>
      <c r="N5511">
        <v>49.045166535024599</v>
      </c>
      <c r="O5511">
        <v>48.1779472152053</v>
      </c>
      <c r="P5511">
        <v>-9.8650329325714006E-2</v>
      </c>
      <c r="Q5511">
        <v>8.1146581248867894E-2</v>
      </c>
      <c r="R5511">
        <v>0.98593239430267299</v>
      </c>
      <c r="S5511" t="s">
        <v>12181</v>
      </c>
      <c r="T5511" t="s">
        <v>13338</v>
      </c>
      <c r="U5511" t="s">
        <v>13338</v>
      </c>
      <c r="V5511" t="s">
        <v>13338</v>
      </c>
      <c r="W5511" t="s">
        <v>18792</v>
      </c>
      <c r="X5511">
        <v>6</v>
      </c>
      <c r="Y5511" t="s">
        <v>25287</v>
      </c>
      <c r="Z5511" t="s">
        <v>31926</v>
      </c>
      <c r="AA5511">
        <v>0.35737742158060232</v>
      </c>
      <c r="AB5511" t="str">
        <f>HYPERLINK("Melting_Curves/meltCurve_Q9BYM8_RBCK1.pdf", "Melting_Curves/meltCurve_Q9BYM8_RBCK1.pdf")</f>
        <v>Melting_Curves/meltCurve_Q9BYM8_RBCK1.pdf</v>
      </c>
    </row>
    <row r="5512" spans="1:28" x14ac:dyDescent="0.25">
      <c r="A5512" t="s">
        <v>5516</v>
      </c>
      <c r="B5512">
        <v>0.99193492352474899</v>
      </c>
      <c r="C5512">
        <v>0.81272075236782604</v>
      </c>
      <c r="D5512">
        <v>1.0424096488361001</v>
      </c>
      <c r="E5512">
        <v>0.58628515756408195</v>
      </c>
      <c r="F5512">
        <v>0.21458708200656401</v>
      </c>
      <c r="G5512">
        <v>0.115057007600712</v>
      </c>
      <c r="H5512">
        <v>9.0175608718370895E-2</v>
      </c>
      <c r="I5512">
        <v>0.120927566418691</v>
      </c>
      <c r="J5512">
        <v>0.16726024048946</v>
      </c>
      <c r="K5512">
        <v>0.168940360995078</v>
      </c>
      <c r="L5512">
        <v>2260.8316708777902</v>
      </c>
      <c r="M5512">
        <v>45.446424838941603</v>
      </c>
      <c r="N5512">
        <v>50.101785691405297</v>
      </c>
      <c r="O5512">
        <v>49.651149213789999</v>
      </c>
      <c r="P5512">
        <v>-0.19735928427798899</v>
      </c>
      <c r="Q5512">
        <v>0.13752484634006201</v>
      </c>
      <c r="R5512">
        <v>0.96660881232542495</v>
      </c>
      <c r="S5512" t="s">
        <v>12182</v>
      </c>
      <c r="T5512" t="s">
        <v>13338</v>
      </c>
      <c r="U5512" t="s">
        <v>13338</v>
      </c>
      <c r="V5512" t="s">
        <v>13338</v>
      </c>
      <c r="W5512" t="s">
        <v>18793</v>
      </c>
      <c r="X5512">
        <v>2</v>
      </c>
      <c r="Y5512" t="s">
        <v>25288</v>
      </c>
      <c r="Z5512" t="s">
        <v>31927</v>
      </c>
      <c r="AA5512">
        <v>0.42004207462687893</v>
      </c>
      <c r="AB5512" t="str">
        <f>HYPERLINK("Melting_Curves/meltCurve_Q9BYN8_MRPS26.pdf", "Melting_Curves/meltCurve_Q9BYN8_MRPS26.pdf")</f>
        <v>Melting_Curves/meltCurve_Q9BYN8_MRPS26.pdf</v>
      </c>
    </row>
    <row r="5513" spans="1:28" x14ac:dyDescent="0.25">
      <c r="A5513" t="s">
        <v>5517</v>
      </c>
      <c r="B5513">
        <v>0.99193492352474899</v>
      </c>
      <c r="C5513">
        <v>0.83624441084609102</v>
      </c>
      <c r="D5513">
        <v>0.97896374939027198</v>
      </c>
      <c r="E5513">
        <v>0.47644240771785601</v>
      </c>
      <c r="F5513">
        <v>0.222431348370011</v>
      </c>
      <c r="G5513">
        <v>7.3152577377866498E-2</v>
      </c>
      <c r="H5513">
        <v>6.81757700014365E-2</v>
      </c>
      <c r="I5513">
        <v>7.6469122497475006E-2</v>
      </c>
      <c r="J5513">
        <v>0.103365500539484</v>
      </c>
      <c r="K5513">
        <v>0.11407533202984201</v>
      </c>
      <c r="L5513">
        <v>1555.0646648355901</v>
      </c>
      <c r="M5513">
        <v>31.522179987366901</v>
      </c>
      <c r="N5513">
        <v>49.645464843295798</v>
      </c>
      <c r="O5513">
        <v>49.135140160121701</v>
      </c>
      <c r="P5513">
        <v>-0.14592869329373601</v>
      </c>
      <c r="Q5513">
        <v>9.0140779210355904E-2</v>
      </c>
      <c r="R5513">
        <v>0.97572364593630201</v>
      </c>
      <c r="S5513" t="s">
        <v>12183</v>
      </c>
      <c r="T5513" t="s">
        <v>13338</v>
      </c>
      <c r="U5513" t="s">
        <v>13338</v>
      </c>
      <c r="V5513" t="s">
        <v>13338</v>
      </c>
      <c r="W5513" t="s">
        <v>18794</v>
      </c>
      <c r="X5513">
        <v>3</v>
      </c>
      <c r="Y5513" t="s">
        <v>25289</v>
      </c>
      <c r="Z5513" t="s">
        <v>31928</v>
      </c>
      <c r="AA5513">
        <v>0.37821398045830662</v>
      </c>
      <c r="AB5513" t="str">
        <f>HYPERLINK("Melting_Curves/meltCurve_Q9BYT3_STK33.pdf", "Melting_Curves/meltCurve_Q9BYT3_STK33.pdf")</f>
        <v>Melting_Curves/meltCurve_Q9BYT3_STK33.pdf</v>
      </c>
    </row>
    <row r="5514" spans="1:28" x14ac:dyDescent="0.25">
      <c r="A5514" t="s">
        <v>5518</v>
      </c>
      <c r="B5514">
        <v>0.99193492352474899</v>
      </c>
      <c r="C5514">
        <v>1.0859862215293501</v>
      </c>
      <c r="D5514">
        <v>0.99873126762909104</v>
      </c>
      <c r="E5514">
        <v>0.90083699198463896</v>
      </c>
      <c r="F5514">
        <v>0.67659541162814196</v>
      </c>
      <c r="G5514">
        <v>0.36998189595143199</v>
      </c>
      <c r="H5514">
        <v>0.204546831913964</v>
      </c>
      <c r="I5514">
        <v>0.116451686019223</v>
      </c>
      <c r="J5514">
        <v>0.117890369996294</v>
      </c>
      <c r="K5514">
        <v>0.106822324609242</v>
      </c>
      <c r="L5514">
        <v>1178.9579808412</v>
      </c>
      <c r="M5514">
        <v>21.580146774504801</v>
      </c>
      <c r="N5514">
        <v>55.187879728468999</v>
      </c>
      <c r="O5514">
        <v>54.168969975846302</v>
      </c>
      <c r="P5514">
        <v>-8.9863824854851504E-2</v>
      </c>
      <c r="Q5514">
        <v>9.7742273318374595E-2</v>
      </c>
      <c r="R5514">
        <v>0.99433205991028994</v>
      </c>
      <c r="S5514" t="s">
        <v>12184</v>
      </c>
      <c r="T5514" t="s">
        <v>13338</v>
      </c>
      <c r="U5514" t="s">
        <v>13338</v>
      </c>
      <c r="V5514" t="s">
        <v>13338</v>
      </c>
      <c r="W5514" t="s">
        <v>18795</v>
      </c>
      <c r="X5514">
        <v>19</v>
      </c>
      <c r="Y5514" t="s">
        <v>25290</v>
      </c>
      <c r="Z5514" t="s">
        <v>31929</v>
      </c>
      <c r="AA5514">
        <v>0.54853298471611933</v>
      </c>
      <c r="AB5514" t="str">
        <f>HYPERLINK("Melting_Curves/meltCurve_Q9BYT8_NLN.pdf", "Melting_Curves/meltCurve_Q9BYT8_NLN.pdf")</f>
        <v>Melting_Curves/meltCurve_Q9BYT8_NLN.pdf</v>
      </c>
    </row>
    <row r="5515" spans="1:28" x14ac:dyDescent="0.25">
      <c r="A5515" t="s">
        <v>5519</v>
      </c>
      <c r="B5515">
        <v>0.99193492352474899</v>
      </c>
      <c r="C5515">
        <v>0.668791640414379</v>
      </c>
      <c r="D5515">
        <v>0.72189098922756001</v>
      </c>
      <c r="E5515">
        <v>0.25820832269532801</v>
      </c>
      <c r="F5515">
        <v>0.115620669254242</v>
      </c>
      <c r="G5515">
        <v>7.6010134510680005E-2</v>
      </c>
      <c r="H5515">
        <v>3.4703829042902701E-2</v>
      </c>
      <c r="I5515">
        <v>4.1480538047438197E-2</v>
      </c>
      <c r="J5515">
        <v>0.103883391231455</v>
      </c>
      <c r="K5515">
        <v>3.8225837291556097E-2</v>
      </c>
      <c r="L5515">
        <v>768.91325415919903</v>
      </c>
      <c r="M5515">
        <v>16.441477583192199</v>
      </c>
      <c r="N5515">
        <v>46.969244654206101</v>
      </c>
      <c r="O5515">
        <v>46.0912597342517</v>
      </c>
      <c r="P5515">
        <v>-8.6132720726606896E-2</v>
      </c>
      <c r="Q5515">
        <v>3.4226540900536798E-2</v>
      </c>
      <c r="R5515">
        <v>0.95291722404791901</v>
      </c>
      <c r="S5515" t="s">
        <v>12185</v>
      </c>
      <c r="T5515" t="s">
        <v>13338</v>
      </c>
      <c r="U5515" t="s">
        <v>13338</v>
      </c>
      <c r="V5515" t="s">
        <v>13338</v>
      </c>
      <c r="W5515" t="s">
        <v>18796</v>
      </c>
      <c r="X5515">
        <v>3</v>
      </c>
      <c r="Y5515" t="s">
        <v>25291</v>
      </c>
      <c r="Z5515" t="s">
        <v>31930</v>
      </c>
      <c r="AA5515">
        <v>0.27401414685912989</v>
      </c>
      <c r="AB5515" t="str">
        <f>HYPERLINK("Melting_Curves/meltCurve_Q9BYV8_CEP41.pdf", "Melting_Curves/meltCurve_Q9BYV8_CEP41.pdf")</f>
        <v>Melting_Curves/meltCurve_Q9BYV8_CEP41.pdf</v>
      </c>
    </row>
    <row r="5516" spans="1:28" x14ac:dyDescent="0.25">
      <c r="A5516" t="s">
        <v>5520</v>
      </c>
      <c r="B5516">
        <v>0.99193492352474899</v>
      </c>
      <c r="C5516">
        <v>0.88321226172867795</v>
      </c>
      <c r="D5516">
        <v>0.47037235108489001</v>
      </c>
      <c r="E5516">
        <v>0.38832116920415899</v>
      </c>
      <c r="F5516">
        <v>0.24551588944906</v>
      </c>
      <c r="G5516">
        <v>0.22123737278289399</v>
      </c>
      <c r="H5516">
        <v>0.23071045617279701</v>
      </c>
      <c r="I5516">
        <v>0.34450430000334797</v>
      </c>
      <c r="J5516">
        <v>0.39450183043376902</v>
      </c>
      <c r="K5516">
        <v>0.58166774314521297</v>
      </c>
      <c r="L5516">
        <v>1840.3942609502601</v>
      </c>
      <c r="M5516">
        <v>41.386325630740799</v>
      </c>
      <c r="N5516">
        <v>45.741248667751002</v>
      </c>
      <c r="O5516">
        <v>44.365213256515901</v>
      </c>
      <c r="P5516">
        <v>-0.15347604192138101</v>
      </c>
      <c r="Q5516">
        <v>0.34190974062663598</v>
      </c>
      <c r="R5516">
        <v>0.84982761955604502</v>
      </c>
      <c r="S5516" t="s">
        <v>12186</v>
      </c>
      <c r="T5516" t="s">
        <v>13338</v>
      </c>
      <c r="U5516" t="s">
        <v>13338</v>
      </c>
      <c r="V5516" t="s">
        <v>13338</v>
      </c>
      <c r="W5516" t="s">
        <v>18797</v>
      </c>
      <c r="X5516">
        <v>8</v>
      </c>
      <c r="Y5516" t="s">
        <v>25292</v>
      </c>
      <c r="Z5516" t="s">
        <v>31931</v>
      </c>
      <c r="AA5516">
        <v>0.44200340258621779</v>
      </c>
      <c r="AB5516" t="str">
        <f>HYPERLINK("Melting_Curves/meltCurve_Q9BYW2_SETD2.pdf", "Melting_Curves/meltCurve_Q9BYW2_SETD2.pdf")</f>
        <v>Melting_Curves/meltCurve_Q9BYW2_SETD2.pdf</v>
      </c>
    </row>
    <row r="5517" spans="1:28" x14ac:dyDescent="0.25">
      <c r="A5517" t="s">
        <v>5521</v>
      </c>
      <c r="B5517">
        <v>0.99193492352474899</v>
      </c>
      <c r="C5517">
        <v>0.96518870153102398</v>
      </c>
      <c r="D5517">
        <v>0.79931469840181302</v>
      </c>
      <c r="E5517">
        <v>0.82119159240860895</v>
      </c>
      <c r="F5517">
        <v>0.609218792386513</v>
      </c>
      <c r="G5517">
        <v>0.36480691758338901</v>
      </c>
      <c r="H5517">
        <v>0.108839170986183</v>
      </c>
      <c r="I5517">
        <v>0.10529733231302101</v>
      </c>
      <c r="J5517">
        <v>0.10420316035987801</v>
      </c>
      <c r="K5517">
        <v>0.12572654097428199</v>
      </c>
      <c r="L5517">
        <v>772.08824050910403</v>
      </c>
      <c r="M5517">
        <v>14.3212218724601</v>
      </c>
      <c r="N5517">
        <v>54.200750647004902</v>
      </c>
      <c r="O5517">
        <v>52.893679307391899</v>
      </c>
      <c r="P5517">
        <v>-6.5211993154280307E-2</v>
      </c>
      <c r="Q5517">
        <v>3.67066449190585E-2</v>
      </c>
      <c r="R5517">
        <v>0.97630609507385502</v>
      </c>
      <c r="S5517" t="s">
        <v>12187</v>
      </c>
      <c r="T5517" t="s">
        <v>13338</v>
      </c>
      <c r="U5517" t="s">
        <v>13338</v>
      </c>
      <c r="V5517" t="s">
        <v>13338</v>
      </c>
      <c r="W5517" t="s">
        <v>18798</v>
      </c>
      <c r="X5517">
        <v>10</v>
      </c>
      <c r="Y5517" t="s">
        <v>25293</v>
      </c>
      <c r="Z5517" t="s">
        <v>31932</v>
      </c>
      <c r="AA5517">
        <v>0.5044364150128724</v>
      </c>
      <c r="AB5517" t="str">
        <f>HYPERLINK("Melting_Curves/meltCurve_Q9BZ23_3_PANK2.pdf", "Melting_Curves/meltCurve_Q9BZ23_3_PANK2.pdf")</f>
        <v>Melting_Curves/meltCurve_Q9BZ23_3_PANK2.pdf</v>
      </c>
    </row>
    <row r="5518" spans="1:28" x14ac:dyDescent="0.25">
      <c r="A5518" t="s">
        <v>5522</v>
      </c>
      <c r="B5518">
        <v>0.99193492352474899</v>
      </c>
      <c r="C5518">
        <v>1.42052282555306</v>
      </c>
      <c r="D5518">
        <v>0.939977273469911</v>
      </c>
      <c r="E5518">
        <v>0.80965960017309702</v>
      </c>
      <c r="F5518">
        <v>0.29116249696822399</v>
      </c>
      <c r="G5518">
        <v>0.42123374196918101</v>
      </c>
      <c r="H5518">
        <v>0</v>
      </c>
      <c r="I5518">
        <v>0</v>
      </c>
      <c r="J5518">
        <v>0.772908584560141</v>
      </c>
      <c r="K5518">
        <v>0</v>
      </c>
      <c r="L5518">
        <v>2292.58006048886</v>
      </c>
      <c r="M5518">
        <v>45.174078505824902</v>
      </c>
      <c r="N5518">
        <v>51.463908519391303</v>
      </c>
      <c r="O5518">
        <v>50.650751948891198</v>
      </c>
      <c r="P5518">
        <v>-0.17105344230992001</v>
      </c>
      <c r="Q5518">
        <v>0.232836668821088</v>
      </c>
      <c r="R5518">
        <v>0.69772115768057397</v>
      </c>
      <c r="S5518" t="s">
        <v>12188</v>
      </c>
      <c r="T5518" t="s">
        <v>13338</v>
      </c>
      <c r="U5518" t="s">
        <v>13338</v>
      </c>
      <c r="V5518" t="s">
        <v>13338</v>
      </c>
      <c r="W5518" t="s">
        <v>18799</v>
      </c>
      <c r="X5518">
        <v>2</v>
      </c>
      <c r="Y5518" t="s">
        <v>25294</v>
      </c>
      <c r="Z5518" t="s">
        <v>31933</v>
      </c>
      <c r="AA5518">
        <v>0.50984079742927835</v>
      </c>
      <c r="AB5518" t="str">
        <f>HYPERLINK("Melting_Curves/meltCurve_Q9BZ67_2_FRMD8.pdf", "Melting_Curves/meltCurve_Q9BZ67_2_FRMD8.pdf")</f>
        <v>Melting_Curves/meltCurve_Q9BZ67_2_FRMD8.pdf</v>
      </c>
    </row>
    <row r="5519" spans="1:28" x14ac:dyDescent="0.25">
      <c r="A5519" t="s">
        <v>5523</v>
      </c>
      <c r="B5519">
        <v>0.99193492352474899</v>
      </c>
      <c r="C5519">
        <v>0.40035669212174602</v>
      </c>
      <c r="D5519">
        <v>0.54833628700539605</v>
      </c>
      <c r="E5519">
        <v>0.134643730560636</v>
      </c>
      <c r="F5519">
        <v>0.18441278546859</v>
      </c>
      <c r="G5519">
        <v>4.1180459892908798E-2</v>
      </c>
      <c r="H5519">
        <v>8.1068928955527805E-3</v>
      </c>
      <c r="I5519">
        <v>3.8695996118392501E-2</v>
      </c>
      <c r="J5519">
        <v>4.9308688351645903E-2</v>
      </c>
      <c r="K5519">
        <v>0.118878388859882</v>
      </c>
      <c r="L5519">
        <v>664.54295109872896</v>
      </c>
      <c r="M5519">
        <v>15.0593005266758</v>
      </c>
      <c r="N5519">
        <v>44.434351266041801</v>
      </c>
      <c r="O5519">
        <v>43.372201612718001</v>
      </c>
      <c r="P5519">
        <v>-8.2536196150782407E-2</v>
      </c>
      <c r="Q5519">
        <v>4.9246555068199097E-2</v>
      </c>
      <c r="R5519">
        <v>0.86277009448495201</v>
      </c>
      <c r="S5519" t="s">
        <v>12189</v>
      </c>
      <c r="T5519" t="s">
        <v>13338</v>
      </c>
      <c r="U5519" t="s">
        <v>13338</v>
      </c>
      <c r="V5519" t="s">
        <v>13338</v>
      </c>
      <c r="W5519" t="s">
        <v>18800</v>
      </c>
      <c r="X5519">
        <v>2</v>
      </c>
      <c r="Y5519" t="s">
        <v>25295</v>
      </c>
      <c r="Z5519" t="s">
        <v>31934</v>
      </c>
      <c r="AA5519">
        <v>0.2137118383974026</v>
      </c>
      <c r="AB5519" t="str">
        <f>HYPERLINK("Melting_Curves/meltCurve_Q9BZ95_3_WHSC1L1.pdf", "Melting_Curves/meltCurve_Q9BZ95_3_WHSC1L1.pdf")</f>
        <v>Melting_Curves/meltCurve_Q9BZ95_3_WHSC1L1.pdf</v>
      </c>
    </row>
    <row r="5520" spans="1:28" x14ac:dyDescent="0.25">
      <c r="A5520" t="s">
        <v>5524</v>
      </c>
      <c r="B5520">
        <v>0.99193492352474899</v>
      </c>
      <c r="C5520">
        <v>0.78475833053358202</v>
      </c>
      <c r="D5520">
        <v>0.83928767493459799</v>
      </c>
      <c r="E5520">
        <v>0.807879126860926</v>
      </c>
      <c r="F5520">
        <v>0.51604752211219496</v>
      </c>
      <c r="G5520">
        <v>0.33089994073599199</v>
      </c>
      <c r="H5520">
        <v>0.311314694192244</v>
      </c>
      <c r="I5520">
        <v>0.52327802187393202</v>
      </c>
      <c r="J5520">
        <v>0.731989316690142</v>
      </c>
      <c r="K5520">
        <v>0.92083432383836605</v>
      </c>
      <c r="L5520">
        <v>805.28572025922199</v>
      </c>
      <c r="M5520">
        <v>17.458124732980199</v>
      </c>
      <c r="O5520">
        <v>45.534254014895197</v>
      </c>
      <c r="P5520">
        <v>-4.1580226688614302E-2</v>
      </c>
      <c r="Q5520">
        <v>0.56622621265200002</v>
      </c>
      <c r="R5520">
        <v>0.36168862968618598</v>
      </c>
      <c r="S5520" t="s">
        <v>12190</v>
      </c>
      <c r="T5520" t="s">
        <v>13338</v>
      </c>
      <c r="U5520" t="s">
        <v>13338</v>
      </c>
      <c r="V5520" t="s">
        <v>13338</v>
      </c>
      <c r="W5520" t="s">
        <v>18801</v>
      </c>
      <c r="X5520">
        <v>3</v>
      </c>
      <c r="Y5520" t="s">
        <v>25296</v>
      </c>
      <c r="Z5520" t="s">
        <v>31935</v>
      </c>
      <c r="AA5520">
        <v>0.66384309367783989</v>
      </c>
      <c r="AB5520" t="str">
        <f>HYPERLINK("Melting_Curves/meltCurve_Q9BZA5_TXLNG2P.pdf", "Melting_Curves/meltCurve_Q9BZA5_TXLNG2P.pdf")</f>
        <v>Melting_Curves/meltCurve_Q9BZA5_TXLNG2P.pdf</v>
      </c>
    </row>
    <row r="5521" spans="1:28" x14ac:dyDescent="0.25">
      <c r="A5521" t="s">
        <v>5525</v>
      </c>
      <c r="B5521">
        <v>0.99193492352474899</v>
      </c>
      <c r="C5521">
        <v>0.75372055593564402</v>
      </c>
      <c r="D5521">
        <v>0.44470413784187102</v>
      </c>
      <c r="E5521">
        <v>0.180354409872164</v>
      </c>
      <c r="F5521">
        <v>0.144167978820298</v>
      </c>
      <c r="G5521">
        <v>9.9597224170776696E-2</v>
      </c>
      <c r="H5521">
        <v>6.0307145941989597E-2</v>
      </c>
      <c r="I5521">
        <v>9.6346579134807098E-2</v>
      </c>
      <c r="J5521">
        <v>0.112059171492722</v>
      </c>
      <c r="K5521">
        <v>0.108934114792962</v>
      </c>
      <c r="L5521">
        <v>1041.6037332062899</v>
      </c>
      <c r="M5521">
        <v>23.164927164970202</v>
      </c>
      <c r="N5521">
        <v>45.386247020549199</v>
      </c>
      <c r="O5521">
        <v>44.633622618123802</v>
      </c>
      <c r="P5521">
        <v>-0.11719345456681</v>
      </c>
      <c r="Q5521">
        <v>9.6794401279630696E-2</v>
      </c>
      <c r="R5521">
        <v>0.99499703534521999</v>
      </c>
      <c r="S5521" t="s">
        <v>12191</v>
      </c>
      <c r="T5521" t="s">
        <v>13338</v>
      </c>
      <c r="U5521" t="s">
        <v>13338</v>
      </c>
      <c r="V5521" t="s">
        <v>13338</v>
      </c>
      <c r="W5521" t="s">
        <v>18802</v>
      </c>
      <c r="X5521">
        <v>6</v>
      </c>
      <c r="Y5521" t="s">
        <v>25297</v>
      </c>
      <c r="Z5521" t="s">
        <v>31936</v>
      </c>
      <c r="AA5521">
        <v>0.25711098459654369</v>
      </c>
      <c r="AB5521" t="str">
        <f>HYPERLINK("Melting_Curves/meltCurve_Q9BZD4_NUF2.pdf", "Melting_Curves/meltCurve_Q9BZD4_NUF2.pdf")</f>
        <v>Melting_Curves/meltCurve_Q9BZD4_NUF2.pdf</v>
      </c>
    </row>
    <row r="5522" spans="1:28" x14ac:dyDescent="0.25">
      <c r="A5522" t="s">
        <v>5526</v>
      </c>
      <c r="B5522">
        <v>0.99193492352474899</v>
      </c>
      <c r="C5522">
        <v>0.62123238731236996</v>
      </c>
      <c r="D5522">
        <v>0.782778108764285</v>
      </c>
      <c r="E5522">
        <v>0.46890654351950201</v>
      </c>
      <c r="F5522">
        <v>0.22692245735708699</v>
      </c>
      <c r="G5522">
        <v>0.12160761368772301</v>
      </c>
      <c r="H5522">
        <v>7.61171576283316E-2</v>
      </c>
      <c r="I5522">
        <v>7.3046243818483195E-2</v>
      </c>
      <c r="J5522">
        <v>9.7373252597683299E-2</v>
      </c>
      <c r="K5522">
        <v>8.2839735554459101E-2</v>
      </c>
      <c r="L5522">
        <v>576.43915219836401</v>
      </c>
      <c r="M5522">
        <v>11.952857895451</v>
      </c>
      <c r="N5522">
        <v>48.469036622736098</v>
      </c>
      <c r="O5522">
        <v>46.935650513295897</v>
      </c>
      <c r="P5522">
        <v>-6.1829866324679399E-2</v>
      </c>
      <c r="Q5522">
        <v>2.9080750165596501E-2</v>
      </c>
      <c r="R5522">
        <v>0.93307875139617702</v>
      </c>
      <c r="S5522" t="s">
        <v>12192</v>
      </c>
      <c r="T5522" t="s">
        <v>13338</v>
      </c>
      <c r="U5522" t="s">
        <v>13338</v>
      </c>
      <c r="V5522" t="s">
        <v>13338</v>
      </c>
      <c r="W5522" t="s">
        <v>18803</v>
      </c>
      <c r="X5522">
        <v>6</v>
      </c>
      <c r="Y5522" t="s">
        <v>25298</v>
      </c>
      <c r="Z5522" t="s">
        <v>31937</v>
      </c>
      <c r="AA5522">
        <v>0.33300359005444502</v>
      </c>
      <c r="AB5522" t="str">
        <f>HYPERLINK("Melting_Curves/meltCurve_Q9BZE1_MRPL37.pdf", "Melting_Curves/meltCurve_Q9BZE1_MRPL37.pdf")</f>
        <v>Melting_Curves/meltCurve_Q9BZE1_MRPL37.pdf</v>
      </c>
    </row>
    <row r="5523" spans="1:28" x14ac:dyDescent="0.25">
      <c r="A5523" t="s">
        <v>5527</v>
      </c>
      <c r="B5523">
        <v>0.99193492352474899</v>
      </c>
      <c r="C5523">
        <v>0.97266354255909004</v>
      </c>
      <c r="D5523">
        <v>0.82832285203917799</v>
      </c>
      <c r="E5523">
        <v>0.67476683456171005</v>
      </c>
      <c r="F5523">
        <v>0.21597015039085199</v>
      </c>
      <c r="G5523">
        <v>0.12354637622511799</v>
      </c>
      <c r="H5523">
        <v>6.6853573065718694E-2</v>
      </c>
      <c r="I5523">
        <v>7.3589352642837197E-2</v>
      </c>
      <c r="J5523">
        <v>8.1012997587958699E-2</v>
      </c>
      <c r="K5523">
        <v>9.4843684751154095E-2</v>
      </c>
      <c r="L5523">
        <v>1204.9270805125</v>
      </c>
      <c r="M5523">
        <v>23.9644591157756</v>
      </c>
      <c r="N5523">
        <v>50.589260353788397</v>
      </c>
      <c r="O5523">
        <v>49.933563523712202</v>
      </c>
      <c r="P5523">
        <v>-0.111802297614774</v>
      </c>
      <c r="Q5523">
        <v>6.8187056842170204E-2</v>
      </c>
      <c r="R5523">
        <v>0.99009870016350998</v>
      </c>
      <c r="S5523" t="s">
        <v>12193</v>
      </c>
      <c r="T5523" t="s">
        <v>13338</v>
      </c>
      <c r="U5523" t="s">
        <v>13338</v>
      </c>
      <c r="V5523" t="s">
        <v>13338</v>
      </c>
      <c r="W5523" t="s">
        <v>18804</v>
      </c>
      <c r="X5523">
        <v>11</v>
      </c>
      <c r="Y5523" t="s">
        <v>25299</v>
      </c>
      <c r="Z5523" t="s">
        <v>31938</v>
      </c>
      <c r="AA5523">
        <v>0.39656832519353458</v>
      </c>
      <c r="AB5523" t="str">
        <f>HYPERLINK("Melting_Curves/meltCurve_Q9BZE2_PUS3.pdf", "Melting_Curves/meltCurve_Q9BZE2_PUS3.pdf")</f>
        <v>Melting_Curves/meltCurve_Q9BZE2_PUS3.pdf</v>
      </c>
    </row>
    <row r="5524" spans="1:28" x14ac:dyDescent="0.25">
      <c r="A5524" t="s">
        <v>5528</v>
      </c>
      <c r="B5524">
        <v>0.99193492352474899</v>
      </c>
      <c r="C5524">
        <v>0.15489077274634</v>
      </c>
      <c r="D5524">
        <v>0.179965446322365</v>
      </c>
      <c r="E5524">
        <v>7.5712989307477802E-2</v>
      </c>
      <c r="F5524">
        <v>4.3167611039293098E-2</v>
      </c>
      <c r="G5524">
        <v>3.0047158626780899E-2</v>
      </c>
      <c r="H5524">
        <v>1.7766703233391801E-2</v>
      </c>
      <c r="I5524">
        <v>2.1035594696880999E-2</v>
      </c>
      <c r="J5524">
        <v>2.9346653089978102E-2</v>
      </c>
      <c r="K5524">
        <v>2.24503060536793E-2</v>
      </c>
      <c r="L5524">
        <v>3876.4667457486798</v>
      </c>
      <c r="M5524">
        <v>92.461845402387496</v>
      </c>
      <c r="N5524">
        <v>41.975208785214598</v>
      </c>
      <c r="O5524">
        <v>41.905441323802101</v>
      </c>
      <c r="P5524">
        <v>-0.52274693063605004</v>
      </c>
      <c r="Q5524">
        <v>5.2325242715005701E-2</v>
      </c>
      <c r="R5524">
        <v>0.97398857538399297</v>
      </c>
      <c r="S5524" t="s">
        <v>12194</v>
      </c>
      <c r="T5524" t="s">
        <v>13338</v>
      </c>
      <c r="U5524" t="s">
        <v>13338</v>
      </c>
      <c r="V5524" t="s">
        <v>13338</v>
      </c>
      <c r="W5524" t="s">
        <v>18805</v>
      </c>
      <c r="X5524">
        <v>2</v>
      </c>
      <c r="Y5524" t="s">
        <v>25300</v>
      </c>
      <c r="Z5524" t="s">
        <v>31939</v>
      </c>
      <c r="AA5524">
        <v>0.1137945388485479</v>
      </c>
      <c r="AB5524" t="str">
        <f>HYPERLINK("Melting_Curves/meltCurve_Q9BZE4_GTPBP4.pdf", "Melting_Curves/meltCurve_Q9BZE4_GTPBP4.pdf")</f>
        <v>Melting_Curves/meltCurve_Q9BZE4_GTPBP4.pdf</v>
      </c>
    </row>
    <row r="5525" spans="1:28" x14ac:dyDescent="0.25">
      <c r="A5525" t="s">
        <v>5529</v>
      </c>
      <c r="B5525">
        <v>0.99193492352474899</v>
      </c>
      <c r="C5525">
        <v>0.86433416284487696</v>
      </c>
      <c r="D5525">
        <v>0.85381206436828505</v>
      </c>
      <c r="E5525">
        <v>0.57591554696839697</v>
      </c>
      <c r="F5525">
        <v>0.21938588133332099</v>
      </c>
      <c r="G5525">
        <v>0.104211285562175</v>
      </c>
      <c r="H5525">
        <v>6.4526424626341394E-2</v>
      </c>
      <c r="I5525">
        <v>6.48918051966383E-2</v>
      </c>
      <c r="J5525">
        <v>7.5427183595768194E-2</v>
      </c>
      <c r="K5525">
        <v>0.10197613520615</v>
      </c>
      <c r="L5525">
        <v>1038.1286790469101</v>
      </c>
      <c r="M5525">
        <v>20.898642581843301</v>
      </c>
      <c r="N5525">
        <v>49.986489975895402</v>
      </c>
      <c r="O5525">
        <v>49.226342373586697</v>
      </c>
      <c r="P5525">
        <v>-9.9647701978931302E-2</v>
      </c>
      <c r="Q5525">
        <v>6.1152973609518997E-2</v>
      </c>
      <c r="R5525">
        <v>0.98872683657976301</v>
      </c>
      <c r="S5525" t="s">
        <v>12195</v>
      </c>
      <c r="T5525" t="s">
        <v>13338</v>
      </c>
      <c r="U5525" t="s">
        <v>13338</v>
      </c>
      <c r="V5525" t="s">
        <v>13338</v>
      </c>
      <c r="W5525" t="s">
        <v>18806</v>
      </c>
      <c r="X5525">
        <v>12</v>
      </c>
      <c r="Y5525" t="s">
        <v>25301</v>
      </c>
      <c r="Z5525" t="s">
        <v>31940</v>
      </c>
      <c r="AA5525">
        <v>0.37590967271519099</v>
      </c>
      <c r="AB5525" t="str">
        <f>HYPERLINK("Melting_Curves/meltCurve_Q9BZE9_ASPSCR1.pdf", "Melting_Curves/meltCurve_Q9BZE9_ASPSCR1.pdf")</f>
        <v>Melting_Curves/meltCurve_Q9BZE9_ASPSCR1.pdf</v>
      </c>
    </row>
    <row r="5526" spans="1:28" x14ac:dyDescent="0.25">
      <c r="A5526" t="s">
        <v>5530</v>
      </c>
      <c r="B5526">
        <v>0.99193492352474899</v>
      </c>
      <c r="C5526">
        <v>0.72599758217578403</v>
      </c>
      <c r="D5526">
        <v>0.41891747364926402</v>
      </c>
      <c r="E5526">
        <v>0.17065177840667001</v>
      </c>
      <c r="F5526">
        <v>0.10616429616976</v>
      </c>
      <c r="G5526">
        <v>5.8155146255725897E-2</v>
      </c>
      <c r="H5526">
        <v>4.0272829919302901E-2</v>
      </c>
      <c r="I5526">
        <v>5.1824460186357502E-2</v>
      </c>
      <c r="J5526">
        <v>6.16578003786016E-2</v>
      </c>
      <c r="K5526">
        <v>6.78429350215244E-2</v>
      </c>
      <c r="L5526">
        <v>977.82918613061702</v>
      </c>
      <c r="M5526">
        <v>21.755286928386798</v>
      </c>
      <c r="N5526">
        <v>45.198669663936499</v>
      </c>
      <c r="O5526">
        <v>44.5721406520722</v>
      </c>
      <c r="P5526">
        <v>-0.115057878551759</v>
      </c>
      <c r="Q5526">
        <v>5.7101637076504903E-2</v>
      </c>
      <c r="R5526">
        <v>0.99561480117624102</v>
      </c>
      <c r="S5526" t="s">
        <v>12196</v>
      </c>
      <c r="T5526" t="s">
        <v>13338</v>
      </c>
      <c r="U5526" t="s">
        <v>13338</v>
      </c>
      <c r="V5526" t="s">
        <v>13338</v>
      </c>
      <c r="W5526" t="s">
        <v>18807</v>
      </c>
      <c r="X5526">
        <v>13</v>
      </c>
      <c r="Y5526" t="s">
        <v>25302</v>
      </c>
      <c r="Z5526" t="s">
        <v>31941</v>
      </c>
      <c r="AA5526">
        <v>0.22575295127548431</v>
      </c>
      <c r="AB5526" t="str">
        <f>HYPERLINK("Melting_Curves/meltCurve_Q9BZF1_3_OSBPL8.pdf", "Melting_Curves/meltCurve_Q9BZF1_3_OSBPL8.pdf")</f>
        <v>Melting_Curves/meltCurve_Q9BZF1_3_OSBPL8.pdf</v>
      </c>
    </row>
    <row r="5527" spans="1:28" x14ac:dyDescent="0.25">
      <c r="A5527" t="s">
        <v>5531</v>
      </c>
      <c r="B5527">
        <v>0.99193492352474899</v>
      </c>
      <c r="C5527">
        <v>0.74493085755176702</v>
      </c>
      <c r="D5527">
        <v>0.81661304044338501</v>
      </c>
      <c r="E5527">
        <v>0.58786934881298003</v>
      </c>
      <c r="F5527">
        <v>0.47862741613593002</v>
      </c>
      <c r="G5527">
        <v>0.16949309841989699</v>
      </c>
      <c r="H5527">
        <v>9.1119942352014496E-2</v>
      </c>
      <c r="I5527">
        <v>8.4616791583510195E-2</v>
      </c>
      <c r="J5527">
        <v>8.5497130480772898E-2</v>
      </c>
      <c r="K5527">
        <v>9.0576060319260202E-2</v>
      </c>
      <c r="L5527">
        <v>558.08849323691197</v>
      </c>
      <c r="M5527">
        <v>10.937257673772701</v>
      </c>
      <c r="N5527">
        <v>51.026364212631997</v>
      </c>
      <c r="O5527">
        <v>49.409517051510903</v>
      </c>
      <c r="P5527">
        <v>-5.5358928838520699E-2</v>
      </c>
      <c r="Q5527">
        <v>0</v>
      </c>
      <c r="R5527">
        <v>0.96109463556664898</v>
      </c>
      <c r="S5527" t="s">
        <v>12197</v>
      </c>
      <c r="T5527" t="s">
        <v>13338</v>
      </c>
      <c r="U5527" t="s">
        <v>13338</v>
      </c>
      <c r="V5527" t="s">
        <v>13338</v>
      </c>
      <c r="W5527" t="s">
        <v>18808</v>
      </c>
      <c r="X5527">
        <v>6</v>
      </c>
      <c r="Y5527" t="s">
        <v>25303</v>
      </c>
      <c r="Z5527" t="s">
        <v>31942</v>
      </c>
      <c r="AA5527">
        <v>0.40454569097174159</v>
      </c>
      <c r="AB5527" t="str">
        <f>HYPERLINK("Melting_Curves/meltCurve_Q9BZH6_WDR11.pdf", "Melting_Curves/meltCurve_Q9BZH6_WDR11.pdf")</f>
        <v>Melting_Curves/meltCurve_Q9BZH6_WDR11.pdf</v>
      </c>
    </row>
    <row r="5528" spans="1:28" x14ac:dyDescent="0.25">
      <c r="A5528" t="s">
        <v>5532</v>
      </c>
      <c r="B5528">
        <v>0.99193492352474899</v>
      </c>
      <c r="C5528">
        <v>0.56226824988281698</v>
      </c>
      <c r="D5528">
        <v>0.77989246814861501</v>
      </c>
      <c r="E5528">
        <v>0.34028143483561502</v>
      </c>
      <c r="F5528">
        <v>0.28828995483175202</v>
      </c>
      <c r="G5528">
        <v>0.13839412085900599</v>
      </c>
      <c r="H5528">
        <v>0.12889824260890601</v>
      </c>
      <c r="I5528">
        <v>0.120665306901449</v>
      </c>
      <c r="J5528">
        <v>0.186464051071148</v>
      </c>
      <c r="K5528">
        <v>0.244344519733975</v>
      </c>
      <c r="L5528">
        <v>610.71504839557304</v>
      </c>
      <c r="M5528">
        <v>13.1881708222966</v>
      </c>
      <c r="N5528">
        <v>47.486104789582299</v>
      </c>
      <c r="O5528">
        <v>45.281898506532698</v>
      </c>
      <c r="P5528">
        <v>-6.2661247684022994E-2</v>
      </c>
      <c r="Q5528">
        <v>0.13954814241778901</v>
      </c>
      <c r="R5528">
        <v>0.86377917860018505</v>
      </c>
      <c r="S5528" t="s">
        <v>12198</v>
      </c>
      <c r="T5528" t="s">
        <v>13338</v>
      </c>
      <c r="U5528" t="s">
        <v>13338</v>
      </c>
      <c r="V5528" t="s">
        <v>13338</v>
      </c>
      <c r="W5528" t="s">
        <v>18809</v>
      </c>
      <c r="X5528">
        <v>13</v>
      </c>
      <c r="Y5528" t="s">
        <v>25304</v>
      </c>
      <c r="Z5528" t="s">
        <v>31943</v>
      </c>
      <c r="AA5528">
        <v>0.3523167660530786</v>
      </c>
      <c r="AB5528" t="str">
        <f>HYPERLINK("Melting_Curves/meltCurve_Q9BZI7_2_UPF3B.pdf", "Melting_Curves/meltCurve_Q9BZI7_2_UPF3B.pdf")</f>
        <v>Melting_Curves/meltCurve_Q9BZI7_2_UPF3B.pdf</v>
      </c>
    </row>
    <row r="5529" spans="1:28" x14ac:dyDescent="0.25">
      <c r="A5529" t="s">
        <v>5533</v>
      </c>
      <c r="B5529">
        <v>0.99193492352474899</v>
      </c>
      <c r="C5529">
        <v>0.884837391036988</v>
      </c>
      <c r="D5529">
        <v>0.91491607696994504</v>
      </c>
      <c r="E5529">
        <v>0.724658984479574</v>
      </c>
      <c r="F5529">
        <v>0.74238631976720004</v>
      </c>
      <c r="G5529">
        <v>0.48494110915373501</v>
      </c>
      <c r="H5529">
        <v>0.36324030274887398</v>
      </c>
      <c r="I5529">
        <v>0.25448608825387697</v>
      </c>
      <c r="J5529">
        <v>0.205912610854838</v>
      </c>
      <c r="K5529">
        <v>0.13955332129237899</v>
      </c>
      <c r="L5529">
        <v>512.68966066773805</v>
      </c>
      <c r="M5529">
        <v>9.0088231075900502</v>
      </c>
      <c r="N5529">
        <v>56.909737584130198</v>
      </c>
      <c r="O5529">
        <v>54.315469686529298</v>
      </c>
      <c r="P5529">
        <v>-4.1495277493303298E-2</v>
      </c>
      <c r="Q5529">
        <v>0</v>
      </c>
      <c r="R5529">
        <v>0.98012734939212698</v>
      </c>
      <c r="S5529" t="s">
        <v>12199</v>
      </c>
      <c r="T5529" t="s">
        <v>13338</v>
      </c>
      <c r="U5529" t="s">
        <v>13338</v>
      </c>
      <c r="V5529" t="s">
        <v>13338</v>
      </c>
      <c r="W5529" t="s">
        <v>18810</v>
      </c>
      <c r="X5529">
        <v>15</v>
      </c>
      <c r="Y5529" t="s">
        <v>25305</v>
      </c>
      <c r="Z5529" t="s">
        <v>31944</v>
      </c>
      <c r="AA5529">
        <v>0.57862835100864396</v>
      </c>
      <c r="AB5529" t="str">
        <f>HYPERLINK("Melting_Curves/meltCurve_Q9BZK7_TBL1XR1.pdf", "Melting_Curves/meltCurve_Q9BZK7_TBL1XR1.pdf")</f>
        <v>Melting_Curves/meltCurve_Q9BZK7_TBL1XR1.pdf</v>
      </c>
    </row>
    <row r="5530" spans="1:28" x14ac:dyDescent="0.25">
      <c r="A5530" t="s">
        <v>5534</v>
      </c>
      <c r="B5530">
        <v>0.99193492352474899</v>
      </c>
      <c r="C5530">
        <v>0.778160961558368</v>
      </c>
      <c r="D5530">
        <v>0.72365168280174197</v>
      </c>
      <c r="E5530">
        <v>0.34140763539130198</v>
      </c>
      <c r="F5530">
        <v>0.147909605719307</v>
      </c>
      <c r="G5530">
        <v>7.5193055620420404E-2</v>
      </c>
      <c r="H5530">
        <v>4.7621324930146397E-2</v>
      </c>
      <c r="I5530">
        <v>6.2117551424598599E-2</v>
      </c>
      <c r="J5530">
        <v>7.1779528362080805E-2</v>
      </c>
      <c r="K5530">
        <v>8.4951634524404795E-2</v>
      </c>
      <c r="L5530">
        <v>848.39081271085502</v>
      </c>
      <c r="M5530">
        <v>17.8776994812021</v>
      </c>
      <c r="N5530">
        <v>47.733478981717901</v>
      </c>
      <c r="O5530">
        <v>46.873424674901401</v>
      </c>
      <c r="P5530">
        <v>-9.0637633133237E-2</v>
      </c>
      <c r="Q5530">
        <v>4.94788928986113E-2</v>
      </c>
      <c r="R5530">
        <v>0.98492419695655598</v>
      </c>
      <c r="S5530" t="s">
        <v>12200</v>
      </c>
      <c r="T5530" t="s">
        <v>13338</v>
      </c>
      <c r="U5530" t="s">
        <v>13338</v>
      </c>
      <c r="V5530" t="s">
        <v>13338</v>
      </c>
      <c r="W5530" t="s">
        <v>18811</v>
      </c>
      <c r="X5530">
        <v>4</v>
      </c>
      <c r="Y5530" t="s">
        <v>25306</v>
      </c>
      <c r="Z5530" t="s">
        <v>31945</v>
      </c>
      <c r="AA5530">
        <v>0.30313079885282279</v>
      </c>
      <c r="AB5530" t="str">
        <f>HYPERLINK("Melting_Curves/meltCurve_Q9BZL1_UBL5.pdf", "Melting_Curves/meltCurve_Q9BZL1_UBL5.pdf")</f>
        <v>Melting_Curves/meltCurve_Q9BZL1_UBL5.pdf</v>
      </c>
    </row>
    <row r="5531" spans="1:28" x14ac:dyDescent="0.25">
      <c r="A5531" t="s">
        <v>5535</v>
      </c>
      <c r="B5531">
        <v>0.99193492352474899</v>
      </c>
      <c r="C5531">
        <v>0.86461726083910195</v>
      </c>
      <c r="D5531">
        <v>0.81075185695751295</v>
      </c>
      <c r="E5531">
        <v>0.78333164274309197</v>
      </c>
      <c r="F5531">
        <v>0.521816820616397</v>
      </c>
      <c r="G5531">
        <v>0.40489796910258502</v>
      </c>
      <c r="H5531">
        <v>0.33587268329166597</v>
      </c>
      <c r="I5531">
        <v>0.39428842651307899</v>
      </c>
      <c r="J5531">
        <v>0.33006264352477299</v>
      </c>
      <c r="K5531">
        <v>0.445096712721191</v>
      </c>
      <c r="L5531">
        <v>687.11426290118197</v>
      </c>
      <c r="M5531">
        <v>13.7712937418989</v>
      </c>
      <c r="N5531">
        <v>54.526634679645902</v>
      </c>
      <c r="O5531">
        <v>48.877873955056003</v>
      </c>
      <c r="P5531">
        <v>-4.6157478600420097E-2</v>
      </c>
      <c r="Q5531">
        <v>0.34479326803222798</v>
      </c>
      <c r="R5531">
        <v>0.94373239276265397</v>
      </c>
      <c r="S5531" t="s">
        <v>12201</v>
      </c>
      <c r="T5531" t="s">
        <v>13338</v>
      </c>
      <c r="U5531" t="s">
        <v>13338</v>
      </c>
      <c r="V5531" t="s">
        <v>13338</v>
      </c>
      <c r="W5531" t="s">
        <v>18812</v>
      </c>
      <c r="X5531">
        <v>2</v>
      </c>
      <c r="Y5531" t="s">
        <v>25307</v>
      </c>
      <c r="Z5531" t="s">
        <v>31946</v>
      </c>
      <c r="AA5531">
        <v>0.57909722666342167</v>
      </c>
      <c r="AB5531" t="str">
        <f>HYPERLINK("Melting_Curves/meltCurve_Q9BZM1_PLA2G12A.pdf", "Melting_Curves/meltCurve_Q9BZM1_PLA2G12A.pdf")</f>
        <v>Melting_Curves/meltCurve_Q9BZM1_PLA2G12A.pdf</v>
      </c>
    </row>
    <row r="5532" spans="1:28" x14ac:dyDescent="0.25">
      <c r="A5532" t="s">
        <v>5536</v>
      </c>
      <c r="B5532">
        <v>0.99193492352474899</v>
      </c>
      <c r="C5532">
        <v>0.84677036161990205</v>
      </c>
      <c r="D5532">
        <v>0.89232427520954305</v>
      </c>
      <c r="E5532">
        <v>0.74806401659279897</v>
      </c>
      <c r="F5532">
        <v>0.64844672543915305</v>
      </c>
      <c r="G5532">
        <v>0.50320694308864</v>
      </c>
      <c r="H5532">
        <v>0.32068429788042302</v>
      </c>
      <c r="I5532">
        <v>0.34622797238995101</v>
      </c>
      <c r="J5532">
        <v>0.36296482030049698</v>
      </c>
      <c r="K5532">
        <v>0.284782273809008</v>
      </c>
      <c r="L5532">
        <v>520.783918809017</v>
      </c>
      <c r="M5532">
        <v>9.7751275846664996</v>
      </c>
      <c r="N5532">
        <v>56.651212444189802</v>
      </c>
      <c r="O5532">
        <v>51.190280713616403</v>
      </c>
      <c r="P5532">
        <v>-3.7222969966088301E-2</v>
      </c>
      <c r="Q5532">
        <v>0.22069807491461599</v>
      </c>
      <c r="R5532">
        <v>0.97009038241843104</v>
      </c>
      <c r="S5532" t="s">
        <v>12202</v>
      </c>
      <c r="T5532" t="s">
        <v>13338</v>
      </c>
      <c r="U5532" t="s">
        <v>13338</v>
      </c>
      <c r="V5532" t="s">
        <v>13338</v>
      </c>
      <c r="W5532" t="s">
        <v>18813</v>
      </c>
      <c r="X5532">
        <v>3</v>
      </c>
      <c r="Y5532" t="s">
        <v>25308</v>
      </c>
      <c r="Z5532" t="s">
        <v>31947</v>
      </c>
      <c r="AA5532">
        <v>0.59188904365104711</v>
      </c>
      <c r="AB5532" t="str">
        <f>HYPERLINK("Melting_Curves/meltCurve_Q9BZM5_ULBP2.pdf", "Melting_Curves/meltCurve_Q9BZM5_ULBP2.pdf")</f>
        <v>Melting_Curves/meltCurve_Q9BZM5_ULBP2.pdf</v>
      </c>
    </row>
    <row r="5533" spans="1:28" x14ac:dyDescent="0.25">
      <c r="A5533" t="s">
        <v>5537</v>
      </c>
      <c r="B5533">
        <v>0.99193492352474899</v>
      </c>
      <c r="C5533">
        <v>1.1479238309548001</v>
      </c>
      <c r="D5533">
        <v>1.05933864969548</v>
      </c>
      <c r="E5533">
        <v>0.89000456058749799</v>
      </c>
      <c r="F5533">
        <v>0.62348972319618501</v>
      </c>
      <c r="G5533">
        <v>0.43783261295131198</v>
      </c>
      <c r="H5533">
        <v>0.26272179269156998</v>
      </c>
      <c r="I5533">
        <v>0.21584621541840701</v>
      </c>
      <c r="J5533">
        <v>0.259906464055422</v>
      </c>
      <c r="K5533">
        <v>0.13869355486865101</v>
      </c>
      <c r="L5533">
        <v>1135.3422833927</v>
      </c>
      <c r="M5533">
        <v>21.019946919427401</v>
      </c>
      <c r="N5533">
        <v>55.288721370311201</v>
      </c>
      <c r="O5533">
        <v>53.530885714045397</v>
      </c>
      <c r="P5533">
        <v>-7.9301602256048806E-2</v>
      </c>
      <c r="Q5533">
        <v>0.19220129536559699</v>
      </c>
      <c r="R5533">
        <v>0.97187385598674003</v>
      </c>
      <c r="S5533" t="s">
        <v>12203</v>
      </c>
      <c r="T5533" t="s">
        <v>13338</v>
      </c>
      <c r="U5533" t="s">
        <v>13338</v>
      </c>
      <c r="V5533" t="s">
        <v>13338</v>
      </c>
      <c r="W5533" t="s">
        <v>18814</v>
      </c>
      <c r="X5533">
        <v>12</v>
      </c>
      <c r="Y5533" t="s">
        <v>25309</v>
      </c>
      <c r="Z5533" t="s">
        <v>31948</v>
      </c>
      <c r="AA5533">
        <v>0.57963253751134114</v>
      </c>
      <c r="AB5533" t="str">
        <f>HYPERLINK("Melting_Curves/meltCurve_Q9BZX2_UCK2.pdf", "Melting_Curves/meltCurve_Q9BZX2_UCK2.pdf")</f>
        <v>Melting_Curves/meltCurve_Q9BZX2_UCK2.pdf</v>
      </c>
    </row>
    <row r="5534" spans="1:28" x14ac:dyDescent="0.25">
      <c r="A5534" t="s">
        <v>5538</v>
      </c>
      <c r="B5534">
        <v>0.99193492352474899</v>
      </c>
      <c r="C5534">
        <v>0.87457697229458298</v>
      </c>
      <c r="D5534">
        <v>0.91539163861968098</v>
      </c>
      <c r="E5534">
        <v>0.77059205085906302</v>
      </c>
      <c r="F5534">
        <v>0.36527230021107998</v>
      </c>
      <c r="G5534">
        <v>8.0815184971121098E-2</v>
      </c>
      <c r="H5534">
        <v>5.5592644079793203E-2</v>
      </c>
      <c r="I5534">
        <v>5.0343600716602599E-2</v>
      </c>
      <c r="J5534">
        <v>8.4325111026770205E-2</v>
      </c>
      <c r="K5534">
        <v>4.39404922079282E-2</v>
      </c>
      <c r="L5534">
        <v>1340.2872615011299</v>
      </c>
      <c r="M5534">
        <v>25.947988536855998</v>
      </c>
      <c r="N5534">
        <v>51.835947394761199</v>
      </c>
      <c r="O5534">
        <v>51.348980173038598</v>
      </c>
      <c r="P5534">
        <v>-0.12080064863399401</v>
      </c>
      <c r="Q5534">
        <v>4.3792099413434697E-2</v>
      </c>
      <c r="R5534">
        <v>0.986477124097205</v>
      </c>
      <c r="S5534" t="s">
        <v>12204</v>
      </c>
      <c r="T5534" t="s">
        <v>13338</v>
      </c>
      <c r="U5534" t="s">
        <v>13338</v>
      </c>
      <c r="V5534" t="s">
        <v>13338</v>
      </c>
      <c r="W5534" t="s">
        <v>18815</v>
      </c>
      <c r="X5534">
        <v>19</v>
      </c>
      <c r="Y5534" t="s">
        <v>25310</v>
      </c>
      <c r="Z5534" t="s">
        <v>31949</v>
      </c>
      <c r="AA5534">
        <v>0.42330080217937011</v>
      </c>
      <c r="AB5534" t="str">
        <f>HYPERLINK("Melting_Curves/meltCurve_Q9BZZ5_API5.pdf", "Melting_Curves/meltCurve_Q9BZZ5_API5.pdf")</f>
        <v>Melting_Curves/meltCurve_Q9BZZ5_API5.pdf</v>
      </c>
    </row>
    <row r="5535" spans="1:28" x14ac:dyDescent="0.25">
      <c r="A5535" t="s">
        <v>5539</v>
      </c>
      <c r="B5535">
        <v>0.99193492352474899</v>
      </c>
      <c r="C5535">
        <v>0.79863214485987399</v>
      </c>
      <c r="D5535">
        <v>0.95762068034039505</v>
      </c>
      <c r="E5535">
        <v>0.77433507069753205</v>
      </c>
      <c r="F5535">
        <v>0.52501658919426097</v>
      </c>
      <c r="G5535">
        <v>0.15398388599090501</v>
      </c>
      <c r="H5535">
        <v>7.8874490903449307E-2</v>
      </c>
      <c r="I5535">
        <v>7.79305961319606E-2</v>
      </c>
      <c r="J5535">
        <v>8.0749762243825199E-2</v>
      </c>
      <c r="K5535">
        <v>8.6614020751888607E-2</v>
      </c>
      <c r="L5535">
        <v>1124.1533333560999</v>
      </c>
      <c r="M5535">
        <v>21.3863147191453</v>
      </c>
      <c r="N5535">
        <v>52.850046690265302</v>
      </c>
      <c r="O5535">
        <v>52.111054041474802</v>
      </c>
      <c r="P5535">
        <v>-9.6997849647336903E-2</v>
      </c>
      <c r="Q5535">
        <v>5.4623144385377E-2</v>
      </c>
      <c r="R5535">
        <v>0.96706696171684603</v>
      </c>
      <c r="S5535" t="s">
        <v>12205</v>
      </c>
      <c r="T5535" t="s">
        <v>13338</v>
      </c>
      <c r="U5535" t="s">
        <v>13338</v>
      </c>
      <c r="V5535" t="s">
        <v>13338</v>
      </c>
      <c r="W5535" t="s">
        <v>18816</v>
      </c>
      <c r="X5535">
        <v>19</v>
      </c>
      <c r="Y5535" t="s">
        <v>25310</v>
      </c>
      <c r="Z5535" t="s">
        <v>31950</v>
      </c>
      <c r="AA5535">
        <v>0.46213504752321177</v>
      </c>
      <c r="AB5535" t="str">
        <f>HYPERLINK("Melting_Curves/meltCurve_Q9BZZ5_2_API5.pdf", "Melting_Curves/meltCurve_Q9BZZ5_2_API5.pdf")</f>
        <v>Melting_Curves/meltCurve_Q9BZZ5_2_API5.pdf</v>
      </c>
    </row>
    <row r="5536" spans="1:28" x14ac:dyDescent="0.25">
      <c r="A5536" t="s">
        <v>5540</v>
      </c>
      <c r="B5536">
        <v>0.99193492352474899</v>
      </c>
      <c r="C5536">
        <v>1.1510499101779801</v>
      </c>
      <c r="D5536">
        <v>0.84934879699121302</v>
      </c>
      <c r="E5536">
        <v>0.84576214286345897</v>
      </c>
      <c r="F5536">
        <v>0.49249165512246101</v>
      </c>
      <c r="G5536">
        <v>0.92660690937321699</v>
      </c>
      <c r="H5536">
        <v>0.838642205697257</v>
      </c>
      <c r="I5536">
        <v>1.3124609302556101</v>
      </c>
      <c r="J5536">
        <v>1.1948034076590599</v>
      </c>
      <c r="K5536">
        <v>1.9466627894419499</v>
      </c>
      <c r="L5536">
        <v>3166.7740859216401</v>
      </c>
      <c r="M5536">
        <v>49.097435980809699</v>
      </c>
      <c r="O5536">
        <v>64.393076250353403</v>
      </c>
      <c r="P5536">
        <v>9.5308188477880598E-2</v>
      </c>
      <c r="Q5536">
        <v>1.5</v>
      </c>
      <c r="R5536">
        <v>0.52537785281885796</v>
      </c>
      <c r="S5536" t="s">
        <v>12206</v>
      </c>
      <c r="T5536" t="s">
        <v>13338</v>
      </c>
      <c r="U5536" t="s">
        <v>13338</v>
      </c>
      <c r="V5536" t="s">
        <v>13338</v>
      </c>
      <c r="W5536" t="s">
        <v>18817</v>
      </c>
      <c r="X5536">
        <v>2</v>
      </c>
      <c r="Y5536" t="s">
        <v>25311</v>
      </c>
      <c r="Z5536" t="s">
        <v>31951</v>
      </c>
      <c r="AA5536">
        <v>1.0907591300440631</v>
      </c>
      <c r="AB5536" t="str">
        <f>HYPERLINK("Melting_Curves/meltCurve_Q9C005_DPY30.pdf", "Melting_Curves/meltCurve_Q9C005_DPY30.pdf")</f>
        <v>Melting_Curves/meltCurve_Q9C005_DPY30.pdf</v>
      </c>
    </row>
    <row r="5537" spans="1:28" x14ac:dyDescent="0.25">
      <c r="A5537" t="s">
        <v>5541</v>
      </c>
      <c r="B5537">
        <v>0.99193492352474899</v>
      </c>
      <c r="C5537">
        <v>1.1273878105102999</v>
      </c>
      <c r="D5537">
        <v>0.96445120513502103</v>
      </c>
      <c r="E5537">
        <v>0.63823286186205497</v>
      </c>
      <c r="F5537">
        <v>0.34151453545053201</v>
      </c>
      <c r="G5537">
        <v>0.15602955795590701</v>
      </c>
      <c r="H5537">
        <v>9.7427765061485205E-2</v>
      </c>
      <c r="I5537">
        <v>0.102161663216938</v>
      </c>
      <c r="J5537">
        <v>0.112168239187488</v>
      </c>
      <c r="K5537">
        <v>0.10643561434328599</v>
      </c>
      <c r="L5537">
        <v>1296.70982696223</v>
      </c>
      <c r="M5537">
        <v>25.582654061145501</v>
      </c>
      <c r="N5537">
        <v>51.149429170980603</v>
      </c>
      <c r="O5537">
        <v>50.380400328164797</v>
      </c>
      <c r="P5537">
        <v>-0.113844212130429</v>
      </c>
      <c r="Q5537">
        <v>0.10322880872307599</v>
      </c>
      <c r="R5537">
        <v>0.98650498881243498</v>
      </c>
      <c r="S5537" t="s">
        <v>12207</v>
      </c>
      <c r="T5537" t="s">
        <v>13338</v>
      </c>
      <c r="U5537" t="s">
        <v>13338</v>
      </c>
      <c r="V5537" t="s">
        <v>13338</v>
      </c>
      <c r="W5537" t="s">
        <v>18818</v>
      </c>
      <c r="X5537">
        <v>7</v>
      </c>
      <c r="Y5537" t="s">
        <v>25312</v>
      </c>
      <c r="Z5537" t="s">
        <v>31952</v>
      </c>
      <c r="AA5537">
        <v>0.43040386879810938</v>
      </c>
      <c r="AB5537" t="str">
        <f>HYPERLINK("Melting_Curves/meltCurve_Q9C037_2_TRIM4.pdf", "Melting_Curves/meltCurve_Q9C037_2_TRIM4.pdf")</f>
        <v>Melting_Curves/meltCurve_Q9C037_2_TRIM4.pdf</v>
      </c>
    </row>
    <row r="5538" spans="1:28" x14ac:dyDescent="0.25">
      <c r="A5538" t="s">
        <v>5542</v>
      </c>
      <c r="B5538">
        <v>0.99193492352474899</v>
      </c>
      <c r="C5538">
        <v>0.80947183791898902</v>
      </c>
      <c r="D5538">
        <v>0.86331524563137596</v>
      </c>
      <c r="E5538">
        <v>0.681724065369673</v>
      </c>
      <c r="F5538">
        <v>0.50408307244005301</v>
      </c>
      <c r="G5538">
        <v>0.29078980321179698</v>
      </c>
      <c r="H5538">
        <v>0.30290282262780499</v>
      </c>
      <c r="I5538">
        <v>0.41523067931865998</v>
      </c>
      <c r="J5538">
        <v>0.53110423313608002</v>
      </c>
      <c r="K5538">
        <v>0.78899498297744297</v>
      </c>
      <c r="L5538">
        <v>972.57902355590602</v>
      </c>
      <c r="M5538">
        <v>20.474064504776699</v>
      </c>
      <c r="N5538">
        <v>54.7716558761594</v>
      </c>
      <c r="O5538">
        <v>47.056748260007701</v>
      </c>
      <c r="P5538">
        <v>-5.79814812771813E-2</v>
      </c>
      <c r="Q5538">
        <v>0.466966551729395</v>
      </c>
      <c r="R5538">
        <v>0.62629671187011504</v>
      </c>
      <c r="S5538" t="s">
        <v>12208</v>
      </c>
      <c r="T5538" t="s">
        <v>13338</v>
      </c>
      <c r="U5538" t="s">
        <v>13338</v>
      </c>
      <c r="V5538" t="s">
        <v>13338</v>
      </c>
      <c r="W5538" t="s">
        <v>18819</v>
      </c>
      <c r="X5538">
        <v>3</v>
      </c>
      <c r="Y5538" t="s">
        <v>25313</v>
      </c>
      <c r="Z5538" t="s">
        <v>31953</v>
      </c>
      <c r="AA5538">
        <v>0.60756709292928179</v>
      </c>
      <c r="AB5538" t="str">
        <f>HYPERLINK("Melting_Curves/meltCurve_Q9C073_FAM117A.pdf", "Melting_Curves/meltCurve_Q9C073_FAM117A.pdf")</f>
        <v>Melting_Curves/meltCurve_Q9C073_FAM117A.pdf</v>
      </c>
    </row>
    <row r="5539" spans="1:28" x14ac:dyDescent="0.25">
      <c r="A5539" t="s">
        <v>5543</v>
      </c>
      <c r="B5539">
        <v>0.99193492352474899</v>
      </c>
      <c r="C5539">
        <v>0.98304964485273305</v>
      </c>
      <c r="D5539">
        <v>0.97000242731359898</v>
      </c>
      <c r="E5539">
        <v>0.57113397480331196</v>
      </c>
      <c r="F5539">
        <v>0.360820569857564</v>
      </c>
      <c r="G5539">
        <v>0.25797525357914403</v>
      </c>
      <c r="H5539">
        <v>0.25772480478616899</v>
      </c>
      <c r="I5539">
        <v>0.49368467902213797</v>
      </c>
      <c r="J5539">
        <v>0.59274139853466201</v>
      </c>
      <c r="K5539">
        <v>0.969445735833522</v>
      </c>
      <c r="L5539">
        <v>3055.31898598302</v>
      </c>
      <c r="M5539">
        <v>63.336938799797203</v>
      </c>
      <c r="N5539">
        <v>51.354140303950999</v>
      </c>
      <c r="O5539">
        <v>48.191112992668202</v>
      </c>
      <c r="P5539">
        <v>-0.16781045343215301</v>
      </c>
      <c r="Q5539">
        <v>0.48927309173474398</v>
      </c>
      <c r="R5539">
        <v>0.57333497199189198</v>
      </c>
      <c r="S5539" t="s">
        <v>12209</v>
      </c>
      <c r="T5539" t="s">
        <v>13338</v>
      </c>
      <c r="U5539" t="s">
        <v>13338</v>
      </c>
      <c r="V5539" t="s">
        <v>13338</v>
      </c>
      <c r="W5539" t="s">
        <v>18820</v>
      </c>
      <c r="X5539">
        <v>5</v>
      </c>
      <c r="Y5539" t="s">
        <v>25314</v>
      </c>
      <c r="Z5539" t="s">
        <v>31954</v>
      </c>
      <c r="AA5539">
        <v>0.63021382854699171</v>
      </c>
      <c r="AB5539" t="str">
        <f>HYPERLINK("Melting_Curves/meltCurve_Q9C0B0_UNK.pdf", "Melting_Curves/meltCurve_Q9C0B0_UNK.pdf")</f>
        <v>Melting_Curves/meltCurve_Q9C0B0_UNK.pdf</v>
      </c>
    </row>
    <row r="5540" spans="1:28" x14ac:dyDescent="0.25">
      <c r="A5540" t="s">
        <v>5544</v>
      </c>
      <c r="B5540">
        <v>0.99193492352474899</v>
      </c>
      <c r="C5540">
        <v>0.91443355103738699</v>
      </c>
      <c r="D5540">
        <v>0.90643498230410702</v>
      </c>
      <c r="E5540">
        <v>0.79399203446421895</v>
      </c>
      <c r="F5540">
        <v>0.60660621932085601</v>
      </c>
      <c r="G5540">
        <v>0.44596455573894001</v>
      </c>
      <c r="H5540">
        <v>0.31084025653936298</v>
      </c>
      <c r="I5540">
        <v>0.27862106199756898</v>
      </c>
      <c r="J5540">
        <v>0.28167822172422002</v>
      </c>
      <c r="K5540">
        <v>0.271562514682399</v>
      </c>
      <c r="L5540">
        <v>722.57374410028694</v>
      </c>
      <c r="M5540">
        <v>13.664768543186799</v>
      </c>
      <c r="N5540">
        <v>55.339358901896603</v>
      </c>
      <c r="O5540">
        <v>51.784689743443302</v>
      </c>
      <c r="P5540">
        <v>-5.0956734462326098E-2</v>
      </c>
      <c r="Q5540">
        <v>0.22767959644387101</v>
      </c>
      <c r="R5540">
        <v>0.99389496176421199</v>
      </c>
      <c r="S5540" t="s">
        <v>12210</v>
      </c>
      <c r="T5540" t="s">
        <v>13338</v>
      </c>
      <c r="U5540" t="s">
        <v>13338</v>
      </c>
      <c r="V5540" t="s">
        <v>13338</v>
      </c>
      <c r="W5540" t="s">
        <v>18821</v>
      </c>
      <c r="X5540">
        <v>22</v>
      </c>
      <c r="Y5540" t="s">
        <v>25315</v>
      </c>
      <c r="Z5540" t="s">
        <v>31955</v>
      </c>
      <c r="AA5540">
        <v>0.5781756585336244</v>
      </c>
      <c r="AB5540" t="str">
        <f>HYPERLINK("Melting_Curves/meltCurve_Q9C0B1_FTO.pdf", "Melting_Curves/meltCurve_Q9C0B1_FTO.pdf")</f>
        <v>Melting_Curves/meltCurve_Q9C0B1_FTO.pdf</v>
      </c>
    </row>
    <row r="5541" spans="1:28" x14ac:dyDescent="0.25">
      <c r="A5541" t="s">
        <v>5545</v>
      </c>
      <c r="B5541">
        <v>0.99193492352474899</v>
      </c>
      <c r="C5541">
        <v>0.98685814833142005</v>
      </c>
      <c r="D5541">
        <v>1.1471847104645401</v>
      </c>
      <c r="E5541">
        <v>0.997195247649175</v>
      </c>
      <c r="F5541">
        <v>0.81407073223040405</v>
      </c>
      <c r="G5541">
        <v>0.59190689907625404</v>
      </c>
      <c r="H5541">
        <v>0.43079638873920301</v>
      </c>
      <c r="I5541">
        <v>0.46737919340881801</v>
      </c>
      <c r="J5541">
        <v>0.51274515880406402</v>
      </c>
      <c r="K5541">
        <v>0.59615359069705798</v>
      </c>
      <c r="L5541">
        <v>2135.7524319354902</v>
      </c>
      <c r="M5541">
        <v>39.552712568532201</v>
      </c>
      <c r="O5541">
        <v>53.8601432435768</v>
      </c>
      <c r="P5541">
        <v>-9.0872061173591603E-2</v>
      </c>
      <c r="Q5541">
        <v>0.50502796803544803</v>
      </c>
      <c r="R5541">
        <v>0.93723046339814697</v>
      </c>
      <c r="S5541" t="s">
        <v>12211</v>
      </c>
      <c r="T5541" t="s">
        <v>13338</v>
      </c>
      <c r="U5541" t="s">
        <v>13338</v>
      </c>
      <c r="V5541" t="s">
        <v>13338</v>
      </c>
      <c r="W5541" t="s">
        <v>18822</v>
      </c>
      <c r="X5541">
        <v>7</v>
      </c>
      <c r="Y5541" t="s">
        <v>25316</v>
      </c>
      <c r="Z5541" t="s">
        <v>31956</v>
      </c>
      <c r="AA5541">
        <v>0.73786130849317633</v>
      </c>
      <c r="AB5541" t="str">
        <f>HYPERLINK("Melting_Curves/meltCurve_Q9C0B5_2_ZDHHC5.pdf", "Melting_Curves/meltCurve_Q9C0B5_2_ZDHHC5.pdf")</f>
        <v>Melting_Curves/meltCurve_Q9C0B5_2_ZDHHC5.pdf</v>
      </c>
    </row>
    <row r="5542" spans="1:28" x14ac:dyDescent="0.25">
      <c r="A5542" t="s">
        <v>5546</v>
      </c>
      <c r="B5542">
        <v>0.99193492352474899</v>
      </c>
      <c r="C5542">
        <v>1.17768359716152</v>
      </c>
      <c r="D5542">
        <v>0.94514987349599899</v>
      </c>
      <c r="E5542">
        <v>0.407653263429472</v>
      </c>
      <c r="F5542">
        <v>0.21368299254168799</v>
      </c>
      <c r="G5542">
        <v>0.21433897658743201</v>
      </c>
      <c r="H5542">
        <v>0.13135528257003301</v>
      </c>
      <c r="I5542">
        <v>0.17810289656703199</v>
      </c>
      <c r="J5542">
        <v>0.160562858418935</v>
      </c>
      <c r="K5542">
        <v>0.20817007341929999</v>
      </c>
      <c r="L5542">
        <v>2339.2746985355002</v>
      </c>
      <c r="M5542">
        <v>48.1173720285001</v>
      </c>
      <c r="N5542">
        <v>49.077105280151997</v>
      </c>
      <c r="O5542">
        <v>48.532238816990102</v>
      </c>
      <c r="P5542">
        <v>-0.20278911154382001</v>
      </c>
      <c r="Q5542">
        <v>0.18185022409825499</v>
      </c>
      <c r="R5542">
        <v>0.97514284086212799</v>
      </c>
      <c r="S5542" t="s">
        <v>12212</v>
      </c>
      <c r="T5542" t="s">
        <v>13338</v>
      </c>
      <c r="U5542" t="s">
        <v>13338</v>
      </c>
      <c r="V5542" t="s">
        <v>13338</v>
      </c>
      <c r="W5542" t="s">
        <v>18823</v>
      </c>
      <c r="X5542">
        <v>2</v>
      </c>
      <c r="Y5542" t="s">
        <v>25317</v>
      </c>
      <c r="Z5542" t="s">
        <v>31957</v>
      </c>
      <c r="AA5542">
        <v>0.41871902183332871</v>
      </c>
      <c r="AB5542" t="str">
        <f>HYPERLINK("Melting_Curves/meltCurve_Q9C0B7_TANGO6.pdf", "Melting_Curves/meltCurve_Q9C0B7_TANGO6.pdf")</f>
        <v>Melting_Curves/meltCurve_Q9C0B7_TANGO6.pdf</v>
      </c>
    </row>
    <row r="5543" spans="1:28" x14ac:dyDescent="0.25">
      <c r="A5543" t="s">
        <v>5547</v>
      </c>
      <c r="B5543">
        <v>0.99193492352474899</v>
      </c>
      <c r="C5543">
        <v>0.88587631373939901</v>
      </c>
      <c r="D5543">
        <v>0.93740520697735297</v>
      </c>
      <c r="E5543">
        <v>0.83344982123806699</v>
      </c>
      <c r="F5543">
        <v>0.90879399751476897</v>
      </c>
      <c r="G5543">
        <v>0.68078128436044705</v>
      </c>
      <c r="H5543">
        <v>0.61191473985258205</v>
      </c>
      <c r="I5543">
        <v>0.72681587258501101</v>
      </c>
      <c r="J5543">
        <v>0.93253410468415598</v>
      </c>
      <c r="K5543">
        <v>1.4390911601674199</v>
      </c>
      <c r="L5543">
        <v>15000</v>
      </c>
      <c r="M5543">
        <v>216.25307079890399</v>
      </c>
      <c r="O5543">
        <v>69.357268392806901</v>
      </c>
      <c r="P5543">
        <v>0.389744920441289</v>
      </c>
      <c r="Q5543">
        <v>1.5</v>
      </c>
      <c r="R5543">
        <v>0.17603397912506399</v>
      </c>
      <c r="S5543" t="s">
        <v>12213</v>
      </c>
      <c r="T5543" t="s">
        <v>13338</v>
      </c>
      <c r="U5543" t="s">
        <v>13338</v>
      </c>
      <c r="V5543" t="s">
        <v>13338</v>
      </c>
      <c r="W5543" t="s">
        <v>18824</v>
      </c>
      <c r="X5543">
        <v>35</v>
      </c>
      <c r="Y5543" t="s">
        <v>25318</v>
      </c>
      <c r="Z5543" t="s">
        <v>31958</v>
      </c>
      <c r="AA5543">
        <v>1.011251884140423</v>
      </c>
      <c r="AB5543" t="str">
        <f>HYPERLINK("Melting_Curves/meltCurve_Q9C0C2_TNKS1BP1.pdf", "Melting_Curves/meltCurve_Q9C0C2_TNKS1BP1.pdf")</f>
        <v>Melting_Curves/meltCurve_Q9C0C2_TNKS1BP1.pdf</v>
      </c>
    </row>
    <row r="5544" spans="1:28" x14ac:dyDescent="0.25">
      <c r="A5544" t="s">
        <v>5548</v>
      </c>
      <c r="B5544">
        <v>0.99193492352474899</v>
      </c>
      <c r="C5544">
        <v>1.0483535519860601</v>
      </c>
      <c r="D5544">
        <v>0.919914860580067</v>
      </c>
      <c r="E5544">
        <v>0.56423160245144099</v>
      </c>
      <c r="F5544">
        <v>0.20449949856553001</v>
      </c>
      <c r="G5544">
        <v>0.12743974522426099</v>
      </c>
      <c r="H5544">
        <v>8.4029905723110199E-2</v>
      </c>
      <c r="I5544">
        <v>8.8878130490975302E-2</v>
      </c>
      <c r="J5544">
        <v>9.3800549886269499E-2</v>
      </c>
      <c r="K5544">
        <v>9.32931643181341E-2</v>
      </c>
      <c r="L5544">
        <v>1492.5130193534101</v>
      </c>
      <c r="M5544">
        <v>30.007546093135801</v>
      </c>
      <c r="N5544">
        <v>50.077004186290601</v>
      </c>
      <c r="O5544">
        <v>49.518598888242501</v>
      </c>
      <c r="P5544">
        <v>-0.137568255616457</v>
      </c>
      <c r="Q5544">
        <v>9.1942686601384799E-2</v>
      </c>
      <c r="R5544">
        <v>0.99769677545034896</v>
      </c>
      <c r="S5544" t="s">
        <v>12214</v>
      </c>
      <c r="T5544" t="s">
        <v>13338</v>
      </c>
      <c r="U5544" t="s">
        <v>13338</v>
      </c>
      <c r="V5544" t="s">
        <v>13338</v>
      </c>
      <c r="W5544" t="s">
        <v>18825</v>
      </c>
      <c r="X5544">
        <v>35</v>
      </c>
      <c r="Y5544" t="s">
        <v>21096</v>
      </c>
      <c r="Z5544" t="s">
        <v>31959</v>
      </c>
      <c r="AA5544">
        <v>0.39228581025542758</v>
      </c>
      <c r="AB5544" t="str">
        <f>HYPERLINK("Melting_Curves/meltCurve_Q9C0C9_UBE2O.pdf", "Melting_Curves/meltCurve_Q9C0C9_UBE2O.pdf")</f>
        <v>Melting_Curves/meltCurve_Q9C0C9_UBE2O.pdf</v>
      </c>
    </row>
    <row r="5545" spans="1:28" x14ac:dyDescent="0.25">
      <c r="A5545" t="s">
        <v>5549</v>
      </c>
      <c r="B5545">
        <v>0.99193492352474899</v>
      </c>
      <c r="C5545">
        <v>0.89258499533658897</v>
      </c>
      <c r="D5545">
        <v>1.05150987060514</v>
      </c>
      <c r="E5545">
        <v>0.722896795006154</v>
      </c>
      <c r="F5545">
        <v>0.396018881132706</v>
      </c>
      <c r="G5545">
        <v>0.172942918609296</v>
      </c>
      <c r="H5545">
        <v>8.6040658463127404E-2</v>
      </c>
      <c r="I5545">
        <v>8.5252639486241705E-2</v>
      </c>
      <c r="J5545">
        <v>9.4385825715067706E-2</v>
      </c>
      <c r="K5545">
        <v>9.1916284160311806E-2</v>
      </c>
      <c r="L5545">
        <v>1293.1247413252599</v>
      </c>
      <c r="M5545">
        <v>25.046860366440399</v>
      </c>
      <c r="N5545">
        <v>52.009212339543097</v>
      </c>
      <c r="O5545">
        <v>51.302489731630203</v>
      </c>
      <c r="P5545">
        <v>-0.111825886237641</v>
      </c>
      <c r="Q5545">
        <v>8.3818174804637505E-2</v>
      </c>
      <c r="R5545">
        <v>0.98626857479809005</v>
      </c>
      <c r="S5545" t="s">
        <v>12215</v>
      </c>
      <c r="T5545" t="s">
        <v>13338</v>
      </c>
      <c r="U5545" t="s">
        <v>13338</v>
      </c>
      <c r="V5545" t="s">
        <v>13338</v>
      </c>
      <c r="W5545" t="s">
        <v>18826</v>
      </c>
      <c r="X5545">
        <v>2</v>
      </c>
      <c r="Y5545" t="s">
        <v>25319</v>
      </c>
      <c r="Z5545" t="s">
        <v>31960</v>
      </c>
      <c r="AA5545">
        <v>0.44723918615798941</v>
      </c>
      <c r="AB5545" t="str">
        <f>HYPERLINK("Melting_Curves/meltCurve_Q9C0D3_ZYG11B.pdf", "Melting_Curves/meltCurve_Q9C0D3_ZYG11B.pdf")</f>
        <v>Melting_Curves/meltCurve_Q9C0D3_ZYG11B.pdf</v>
      </c>
    </row>
    <row r="5546" spans="1:28" x14ac:dyDescent="0.25">
      <c r="A5546" t="s">
        <v>5550</v>
      </c>
      <c r="B5546">
        <v>0.99193492352474899</v>
      </c>
      <c r="C5546">
        <v>1.0759221900734499</v>
      </c>
      <c r="D5546">
        <v>0.78669245628569096</v>
      </c>
      <c r="E5546">
        <v>0.68212350580733805</v>
      </c>
      <c r="F5546">
        <v>0.40594479516441501</v>
      </c>
      <c r="G5546">
        <v>0.389376967532576</v>
      </c>
      <c r="H5546">
        <v>0.18935632533531099</v>
      </c>
      <c r="I5546">
        <v>0.40299407083636202</v>
      </c>
      <c r="J5546">
        <v>0.239563583109071</v>
      </c>
      <c r="K5546">
        <v>0.34575247245096902</v>
      </c>
      <c r="L5546">
        <v>985.94787610748801</v>
      </c>
      <c r="M5546">
        <v>19.940856110688799</v>
      </c>
      <c r="N5546">
        <v>51.763446704814598</v>
      </c>
      <c r="O5546">
        <v>48.954415763419597</v>
      </c>
      <c r="P5546">
        <v>-7.1751931869766805E-2</v>
      </c>
      <c r="Q5546">
        <v>0.295424789025995</v>
      </c>
      <c r="R5546">
        <v>0.93817980528338296</v>
      </c>
      <c r="S5546" t="s">
        <v>12216</v>
      </c>
      <c r="T5546" t="s">
        <v>13338</v>
      </c>
      <c r="U5546" t="s">
        <v>13338</v>
      </c>
      <c r="V5546" t="s">
        <v>13338</v>
      </c>
      <c r="W5546" t="s">
        <v>18827</v>
      </c>
      <c r="X5546">
        <v>1</v>
      </c>
      <c r="Y5546" t="s">
        <v>25320</v>
      </c>
      <c r="Z5546" t="s">
        <v>31961</v>
      </c>
      <c r="AA5546">
        <v>0.52710984974244113</v>
      </c>
      <c r="AB5546" t="str">
        <f>HYPERLINK("Melting_Curves/meltCurve_Q9C0H2_2_TTYH3.pdf", "Melting_Curves/meltCurve_Q9C0H2_2_TTYH3.pdf")</f>
        <v>Melting_Curves/meltCurve_Q9C0H2_2_TTYH3.pdf</v>
      </c>
    </row>
    <row r="5547" spans="1:28" x14ac:dyDescent="0.25">
      <c r="A5547" t="s">
        <v>5551</v>
      </c>
      <c r="B5547">
        <v>0.99193492352474899</v>
      </c>
      <c r="C5547">
        <v>0.87106386591955498</v>
      </c>
      <c r="D5547">
        <v>0.89593029300578297</v>
      </c>
      <c r="E5547">
        <v>0.77066757087567905</v>
      </c>
      <c r="F5547">
        <v>0.61559128921770101</v>
      </c>
      <c r="G5547">
        <v>0.40374758810353101</v>
      </c>
      <c r="H5547">
        <v>0.20102959045195701</v>
      </c>
      <c r="I5547">
        <v>0.118273763218175</v>
      </c>
      <c r="J5547">
        <v>0.119462807492766</v>
      </c>
      <c r="K5547">
        <v>8.8275842453863496E-2</v>
      </c>
      <c r="L5547">
        <v>638.85000808906602</v>
      </c>
      <c r="M5547">
        <v>11.685283020646301</v>
      </c>
      <c r="N5547">
        <v>54.6713337237858</v>
      </c>
      <c r="O5547">
        <v>53.143826099456298</v>
      </c>
      <c r="P5547">
        <v>-5.4984774914828997E-2</v>
      </c>
      <c r="Q5547">
        <v>0</v>
      </c>
      <c r="R5547">
        <v>0.98936750761398196</v>
      </c>
      <c r="S5547" t="s">
        <v>12217</v>
      </c>
      <c r="T5547" t="s">
        <v>13338</v>
      </c>
      <c r="U5547" t="s">
        <v>13338</v>
      </c>
      <c r="V5547" t="s">
        <v>13338</v>
      </c>
      <c r="W5547" t="s">
        <v>18828</v>
      </c>
      <c r="X5547">
        <v>10</v>
      </c>
      <c r="Y5547" t="s">
        <v>25321</v>
      </c>
      <c r="Z5547" t="s">
        <v>31962</v>
      </c>
      <c r="AA5547">
        <v>0.51390356205629173</v>
      </c>
      <c r="AB5547" t="str">
        <f>HYPERLINK("Melting_Curves/meltCurve_Q9C0I1_MTMR12.pdf", "Melting_Curves/meltCurve_Q9C0I1_MTMR12.pdf")</f>
        <v>Melting_Curves/meltCurve_Q9C0I1_MTMR12.pdf</v>
      </c>
    </row>
    <row r="5548" spans="1:28" x14ac:dyDescent="0.25">
      <c r="A5548" t="s">
        <v>5552</v>
      </c>
      <c r="B5548">
        <v>0.99193492352474899</v>
      </c>
      <c r="C5548">
        <v>0.55770373862672395</v>
      </c>
      <c r="D5548">
        <v>0.83012351915903204</v>
      </c>
      <c r="E5548">
        <v>0.37298703931532701</v>
      </c>
      <c r="F5548">
        <v>0.16672460052663701</v>
      </c>
      <c r="G5548">
        <v>9.5459978279007096E-2</v>
      </c>
      <c r="H5548">
        <v>8.4973471903830505E-2</v>
      </c>
      <c r="I5548">
        <v>0.15938291603451701</v>
      </c>
      <c r="J5548">
        <v>0.199622732346104</v>
      </c>
      <c r="K5548">
        <v>0.25288410353956398</v>
      </c>
      <c r="L5548">
        <v>695.63103778087896</v>
      </c>
      <c r="M5548">
        <v>14.943084778003699</v>
      </c>
      <c r="N5548">
        <v>47.535583078490902</v>
      </c>
      <c r="O5548">
        <v>45.742196938484597</v>
      </c>
      <c r="P5548">
        <v>-7.08171451766543E-2</v>
      </c>
      <c r="Q5548">
        <v>0.13297691021572799</v>
      </c>
      <c r="R5548">
        <v>0.830987184949878</v>
      </c>
      <c r="S5548" t="s">
        <v>12218</v>
      </c>
      <c r="T5548" t="s">
        <v>13338</v>
      </c>
      <c r="U5548" t="s">
        <v>13338</v>
      </c>
      <c r="V5548" t="s">
        <v>13338</v>
      </c>
      <c r="W5548" t="s">
        <v>18829</v>
      </c>
      <c r="X5548">
        <v>6</v>
      </c>
      <c r="Y5548" t="s">
        <v>25322</v>
      </c>
      <c r="Z5548" t="s">
        <v>31963</v>
      </c>
      <c r="AA5548">
        <v>0.34679850793336692</v>
      </c>
      <c r="AB5548" t="str">
        <f>HYPERLINK("Melting_Curves/meltCurve_Q9C0J8_WDR33.pdf", "Melting_Curves/meltCurve_Q9C0J8_WDR33.pdf")</f>
        <v>Melting_Curves/meltCurve_Q9C0J8_WDR33.pdf</v>
      </c>
    </row>
    <row r="5549" spans="1:28" x14ac:dyDescent="0.25">
      <c r="A5549" t="s">
        <v>5553</v>
      </c>
      <c r="B5549">
        <v>0.99193492352474899</v>
      </c>
      <c r="C5549">
        <v>0.59562368766141305</v>
      </c>
      <c r="D5549">
        <v>0.60590438761851495</v>
      </c>
      <c r="E5549">
        <v>0.52299751562708696</v>
      </c>
      <c r="F5549">
        <v>0.44692238092821102</v>
      </c>
      <c r="G5549">
        <v>0.287093362318465</v>
      </c>
      <c r="H5549">
        <v>0.54041437224112299</v>
      </c>
      <c r="I5549">
        <v>0.97020351484592204</v>
      </c>
      <c r="J5549">
        <v>1.7778411049943501</v>
      </c>
      <c r="K5549">
        <v>1.99358769932715</v>
      </c>
      <c r="L5549">
        <v>15000</v>
      </c>
      <c r="M5549">
        <v>229.99530739926499</v>
      </c>
      <c r="O5549">
        <v>65.2137908736036</v>
      </c>
      <c r="P5549">
        <v>0.44084867770723601</v>
      </c>
      <c r="Q5549">
        <v>1.5</v>
      </c>
      <c r="R5549">
        <v>0.36945164991449903</v>
      </c>
      <c r="S5549" t="s">
        <v>12219</v>
      </c>
      <c r="T5549" t="s">
        <v>13338</v>
      </c>
      <c r="U5549" t="s">
        <v>13338</v>
      </c>
      <c r="V5549" t="s">
        <v>13338</v>
      </c>
      <c r="W5549" t="s">
        <v>18830</v>
      </c>
      <c r="X5549">
        <v>3</v>
      </c>
      <c r="Y5549" t="s">
        <v>25323</v>
      </c>
      <c r="Z5549" t="s">
        <v>31964</v>
      </c>
      <c r="AA5549">
        <v>1.0796203485652309</v>
      </c>
      <c r="AB5549" t="str">
        <f>HYPERLINK("Melting_Curves/meltCurve_Q9C0K0_2_BCL11B.pdf", "Melting_Curves/meltCurve_Q9C0K0_2_BCL11B.pdf")</f>
        <v>Melting_Curves/meltCurve_Q9C0K0_2_BCL11B.pdf</v>
      </c>
    </row>
    <row r="5550" spans="1:28" x14ac:dyDescent="0.25">
      <c r="A5550" t="s">
        <v>5554</v>
      </c>
      <c r="B5550">
        <v>0.99193492352474899</v>
      </c>
      <c r="C5550">
        <v>0.77760211033341198</v>
      </c>
      <c r="D5550">
        <v>0.97668751470750703</v>
      </c>
      <c r="E5550">
        <v>0.77863590433261398</v>
      </c>
      <c r="F5550">
        <v>0.57734251591101005</v>
      </c>
      <c r="G5550">
        <v>0.32560563423278599</v>
      </c>
      <c r="H5550">
        <v>0.28969041553048103</v>
      </c>
      <c r="I5550">
        <v>0.25552844267741998</v>
      </c>
      <c r="J5550">
        <v>0.20457644815138801</v>
      </c>
      <c r="K5550">
        <v>0.21763158175876701</v>
      </c>
      <c r="L5550">
        <v>807.06582896667805</v>
      </c>
      <c r="M5550">
        <v>15.375827659575901</v>
      </c>
      <c r="N5550">
        <v>54.169575176718297</v>
      </c>
      <c r="O5550">
        <v>51.6254347541567</v>
      </c>
      <c r="P5550">
        <v>-6.0342044774031899E-2</v>
      </c>
      <c r="Q5550">
        <v>0.18966347372053299</v>
      </c>
      <c r="R5550">
        <v>0.94853411259312703</v>
      </c>
      <c r="S5550" t="s">
        <v>12220</v>
      </c>
      <c r="T5550" t="s">
        <v>13338</v>
      </c>
      <c r="U5550" t="s">
        <v>13338</v>
      </c>
      <c r="V5550" t="s">
        <v>13338</v>
      </c>
      <c r="W5550" t="s">
        <v>18831</v>
      </c>
      <c r="X5550">
        <v>1</v>
      </c>
      <c r="Y5550" t="s">
        <v>25324</v>
      </c>
      <c r="Z5550" t="s">
        <v>31965</v>
      </c>
      <c r="AA5550">
        <v>0.54417197533437545</v>
      </c>
      <c r="AB5550" t="str">
        <f>HYPERLINK("Melting_Curves/meltCurve_Q9C0K1_2_SLC39A8.pdf", "Melting_Curves/meltCurve_Q9C0K1_2_SLC39A8.pdf")</f>
        <v>Melting_Curves/meltCurve_Q9C0K1_2_SLC39A8.pdf</v>
      </c>
    </row>
    <row r="5551" spans="1:28" x14ac:dyDescent="0.25">
      <c r="A5551" t="s">
        <v>5555</v>
      </c>
      <c r="B5551">
        <v>0.99193492352474899</v>
      </c>
      <c r="C5551">
        <v>0.85221605766627095</v>
      </c>
      <c r="D5551">
        <v>0.94277891990927398</v>
      </c>
      <c r="E5551">
        <v>0.72156883896250001</v>
      </c>
      <c r="F5551">
        <v>0.56946797862933396</v>
      </c>
      <c r="G5551">
        <v>0.34983454611612802</v>
      </c>
      <c r="H5551">
        <v>0.201900141583779</v>
      </c>
      <c r="I5551">
        <v>0.228446720430516</v>
      </c>
      <c r="J5551">
        <v>0.217416230436726</v>
      </c>
      <c r="K5551">
        <v>0.21359645488631901</v>
      </c>
      <c r="L5551">
        <v>769.75456548762702</v>
      </c>
      <c r="M5551">
        <v>14.747907948130701</v>
      </c>
      <c r="N5551">
        <v>53.716756186312097</v>
      </c>
      <c r="O5551">
        <v>51.262692456661</v>
      </c>
      <c r="P5551">
        <v>-5.9643025231310397E-2</v>
      </c>
      <c r="Q5551">
        <v>0.17082977323142001</v>
      </c>
      <c r="R5551">
        <v>0.97717724532932004</v>
      </c>
      <c r="S5551" t="s">
        <v>12221</v>
      </c>
      <c r="T5551" t="s">
        <v>13338</v>
      </c>
      <c r="U5551" t="s">
        <v>13338</v>
      </c>
      <c r="V5551" t="s">
        <v>13338</v>
      </c>
      <c r="W5551" t="s">
        <v>18832</v>
      </c>
      <c r="X5551">
        <v>15</v>
      </c>
      <c r="Y5551" t="s">
        <v>25325</v>
      </c>
      <c r="Z5551" t="s">
        <v>31966</v>
      </c>
      <c r="AA5551">
        <v>0.52674633976216001</v>
      </c>
      <c r="AB5551" t="str">
        <f>HYPERLINK("Melting_Curves/meltCurve_Q9GZL7_WDR12.pdf", "Melting_Curves/meltCurve_Q9GZL7_WDR12.pdf")</f>
        <v>Melting_Curves/meltCurve_Q9GZL7_WDR12.pdf</v>
      </c>
    </row>
    <row r="5552" spans="1:28" x14ac:dyDescent="0.25">
      <c r="A5552" t="s">
        <v>5556</v>
      </c>
      <c r="B5552">
        <v>0.99193492352474899</v>
      </c>
      <c r="C5552">
        <v>0.74350199988480703</v>
      </c>
      <c r="D5552">
        <v>0.991962184125598</v>
      </c>
      <c r="E5552">
        <v>0.492753947181025</v>
      </c>
      <c r="F5552">
        <v>0.26996987225064001</v>
      </c>
      <c r="G5552">
        <v>0.16434552165549701</v>
      </c>
      <c r="H5552">
        <v>9.0805555335514904E-2</v>
      </c>
      <c r="I5552">
        <v>0.13215676223689399</v>
      </c>
      <c r="J5552">
        <v>0.158736500881731</v>
      </c>
      <c r="K5552">
        <v>0.19731857453361501</v>
      </c>
      <c r="L5552">
        <v>1474.14830638035</v>
      </c>
      <c r="M5552">
        <v>29.945429492207101</v>
      </c>
      <c r="N5552">
        <v>49.817513770338302</v>
      </c>
      <c r="O5552">
        <v>49.009853340284799</v>
      </c>
      <c r="P5552">
        <v>-0.12995783554166501</v>
      </c>
      <c r="Q5552">
        <v>0.14922941240698001</v>
      </c>
      <c r="R5552">
        <v>0.93365009140806399</v>
      </c>
      <c r="S5552" t="s">
        <v>12222</v>
      </c>
      <c r="T5552" t="s">
        <v>13338</v>
      </c>
      <c r="U5552" t="s">
        <v>13338</v>
      </c>
      <c r="V5552" t="s">
        <v>13338</v>
      </c>
      <c r="W5552" t="s">
        <v>18833</v>
      </c>
      <c r="X5552">
        <v>2</v>
      </c>
      <c r="Y5552" t="s">
        <v>25326</v>
      </c>
      <c r="Z5552" t="s">
        <v>31967</v>
      </c>
      <c r="AA5552">
        <v>0.41613975930264341</v>
      </c>
      <c r="AB5552" t="str">
        <f>HYPERLINK("Melting_Curves/meltCurve_Q9GZN1_ACTR6.pdf", "Melting_Curves/meltCurve_Q9GZN1_ACTR6.pdf")</f>
        <v>Melting_Curves/meltCurve_Q9GZN1_ACTR6.pdf</v>
      </c>
    </row>
    <row r="5553" spans="1:28" x14ac:dyDescent="0.25">
      <c r="A5553" t="s">
        <v>5557</v>
      </c>
      <c r="B5553">
        <v>0.99193492352474899</v>
      </c>
      <c r="C5553">
        <v>0.769136862473772</v>
      </c>
      <c r="D5553">
        <v>0.94648774496204002</v>
      </c>
      <c r="E5553">
        <v>0.69850822559957204</v>
      </c>
      <c r="F5553">
        <v>0.563988692467706</v>
      </c>
      <c r="G5553">
        <v>0.21501972210803499</v>
      </c>
      <c r="H5553">
        <v>0.104870406814638</v>
      </c>
      <c r="I5553">
        <v>8.6406689280748905E-2</v>
      </c>
      <c r="J5553">
        <v>9.57232686239404E-2</v>
      </c>
      <c r="K5553">
        <v>8.13600580202095E-2</v>
      </c>
      <c r="L5553">
        <v>757.10862401018096</v>
      </c>
      <c r="M5553">
        <v>14.371047265816101</v>
      </c>
      <c r="N5553">
        <v>52.869705532171302</v>
      </c>
      <c r="O5553">
        <v>51.694312626341798</v>
      </c>
      <c r="P5553">
        <v>-6.7787749814021206E-2</v>
      </c>
      <c r="Q5553">
        <v>2.4755132259058898E-2</v>
      </c>
      <c r="R5553">
        <v>0.95589550044740301</v>
      </c>
      <c r="S5553" t="s">
        <v>12223</v>
      </c>
      <c r="T5553" t="s">
        <v>13338</v>
      </c>
      <c r="U5553" t="s">
        <v>13338</v>
      </c>
      <c r="V5553" t="s">
        <v>13338</v>
      </c>
      <c r="W5553" t="s">
        <v>18834</v>
      </c>
      <c r="X5553">
        <v>6</v>
      </c>
      <c r="Y5553" t="s">
        <v>25327</v>
      </c>
      <c r="Z5553" t="s">
        <v>31968</v>
      </c>
      <c r="AA5553">
        <v>0.45963744332659989</v>
      </c>
      <c r="AB5553" t="str">
        <f>HYPERLINK("Melting_Curves/meltCurve_Q9GZN8_C20orf27.pdf", "Melting_Curves/meltCurve_Q9GZN8_C20orf27.pdf")</f>
        <v>Melting_Curves/meltCurve_Q9GZN8_C20orf27.pdf</v>
      </c>
    </row>
    <row r="5554" spans="1:28" x14ac:dyDescent="0.25">
      <c r="A5554" t="s">
        <v>5558</v>
      </c>
      <c r="B5554">
        <v>0.99193492352474899</v>
      </c>
      <c r="C5554">
        <v>1.1435845561509199</v>
      </c>
      <c r="D5554">
        <v>0.73779984265797005</v>
      </c>
      <c r="E5554">
        <v>0.81796782633311305</v>
      </c>
      <c r="F5554">
        <v>0.62734631422782305</v>
      </c>
      <c r="G5554">
        <v>0.42734263823614599</v>
      </c>
      <c r="H5554">
        <v>0.47271210591813201</v>
      </c>
      <c r="I5554">
        <v>0.50372062858164002</v>
      </c>
      <c r="J5554">
        <v>0.51757452784495295</v>
      </c>
      <c r="K5554">
        <v>0.35316573254753902</v>
      </c>
      <c r="L5554">
        <v>820.27521956503904</v>
      </c>
      <c r="M5554">
        <v>16.294877394713801</v>
      </c>
      <c r="N5554">
        <v>57.503595788429003</v>
      </c>
      <c r="O5554">
        <v>49.599613437013197</v>
      </c>
      <c r="P5554">
        <v>-4.6462247895145303E-2</v>
      </c>
      <c r="Q5554">
        <v>0.43433967830634401</v>
      </c>
      <c r="R5554">
        <v>0.85945405987690204</v>
      </c>
      <c r="S5554" t="s">
        <v>12224</v>
      </c>
      <c r="T5554" t="s">
        <v>13338</v>
      </c>
      <c r="U5554" t="s">
        <v>13338</v>
      </c>
      <c r="V5554" t="s">
        <v>13338</v>
      </c>
      <c r="W5554" t="s">
        <v>18835</v>
      </c>
      <c r="X5554">
        <v>15</v>
      </c>
      <c r="Y5554" t="s">
        <v>25328</v>
      </c>
      <c r="Z5554" t="s">
        <v>31969</v>
      </c>
      <c r="AA5554">
        <v>0.64082207698402605</v>
      </c>
      <c r="AB5554" t="str">
        <f>HYPERLINK("Melting_Curves/meltCurve_Q9GZP4_PITHD1.pdf", "Melting_Curves/meltCurve_Q9GZP4_PITHD1.pdf")</f>
        <v>Melting_Curves/meltCurve_Q9GZP4_PITHD1.pdf</v>
      </c>
    </row>
    <row r="5555" spans="1:28" x14ac:dyDescent="0.25">
      <c r="A5555" t="s">
        <v>5559</v>
      </c>
      <c r="B5555">
        <v>0.99193492352474899</v>
      </c>
      <c r="C5555">
        <v>1.2825858557049401</v>
      </c>
      <c r="D5555">
        <v>1.1804261290895901</v>
      </c>
      <c r="E5555">
        <v>1.2679069522657</v>
      </c>
      <c r="F5555">
        <v>0.873618959223043</v>
      </c>
      <c r="G5555">
        <v>0.54300272985790299</v>
      </c>
      <c r="H5555">
        <v>0.25027420104174902</v>
      </c>
      <c r="I5555">
        <v>9.4108308864027795E-2</v>
      </c>
      <c r="J5555">
        <v>0.11855422616174</v>
      </c>
      <c r="K5555">
        <v>2.43557038691329E-2</v>
      </c>
      <c r="L5555">
        <v>1673.9117137355699</v>
      </c>
      <c r="M5555">
        <v>29.331106973881599</v>
      </c>
      <c r="N5555">
        <v>57.370627992781301</v>
      </c>
      <c r="O5555">
        <v>56.806199085352297</v>
      </c>
      <c r="P5555">
        <v>-0.11987542375493</v>
      </c>
      <c r="Q5555">
        <v>7.1345157940260306E-2</v>
      </c>
      <c r="R5555">
        <v>0.916753574396314</v>
      </c>
      <c r="S5555" t="s">
        <v>12225</v>
      </c>
      <c r="T5555" t="s">
        <v>13338</v>
      </c>
      <c r="U5555" t="s">
        <v>13338</v>
      </c>
      <c r="V5555" t="s">
        <v>13338</v>
      </c>
      <c r="W5555" t="s">
        <v>18836</v>
      </c>
      <c r="X5555">
        <v>2</v>
      </c>
      <c r="Y5555" t="s">
        <v>25329</v>
      </c>
      <c r="Z5555" t="s">
        <v>31970</v>
      </c>
      <c r="AA5555">
        <v>0.60616300315900218</v>
      </c>
      <c r="AB5555" t="str">
        <f>HYPERLINK("Melting_Curves/meltCurve_Q9GZP9_DERL2.pdf", "Melting_Curves/meltCurve_Q9GZP9_DERL2.pdf")</f>
        <v>Melting_Curves/meltCurve_Q9GZP9_DERL2.pdf</v>
      </c>
    </row>
    <row r="5556" spans="1:28" x14ac:dyDescent="0.25">
      <c r="A5556" t="s">
        <v>5560</v>
      </c>
      <c r="B5556">
        <v>0.99193492352474899</v>
      </c>
      <c r="C5556">
        <v>0.88378456036985598</v>
      </c>
      <c r="D5556">
        <v>0.90173694169878704</v>
      </c>
      <c r="E5556">
        <v>0.61264309964177899</v>
      </c>
      <c r="F5556">
        <v>0.32212991829270898</v>
      </c>
      <c r="G5556">
        <v>0.16025680362418401</v>
      </c>
      <c r="H5556">
        <v>9.5195226026240407E-2</v>
      </c>
      <c r="I5556">
        <v>0.106939692274534</v>
      </c>
      <c r="J5556">
        <v>0.103456230184471</v>
      </c>
      <c r="K5556">
        <v>0.110319340727624</v>
      </c>
      <c r="L5556">
        <v>1000.05517561749</v>
      </c>
      <c r="M5556">
        <v>19.880626208840798</v>
      </c>
      <c r="N5556">
        <v>50.805591246294398</v>
      </c>
      <c r="O5556">
        <v>49.802336027419102</v>
      </c>
      <c r="P5556">
        <v>-9.0891971991111195E-2</v>
      </c>
      <c r="Q5556">
        <v>8.9267785497394697E-2</v>
      </c>
      <c r="R5556">
        <v>0.992682917422676</v>
      </c>
      <c r="S5556" t="s">
        <v>12226</v>
      </c>
      <c r="T5556" t="s">
        <v>13338</v>
      </c>
      <c r="U5556" t="s">
        <v>13338</v>
      </c>
      <c r="V5556" t="s">
        <v>13338</v>
      </c>
      <c r="W5556" t="s">
        <v>18837</v>
      </c>
      <c r="X5556">
        <v>8</v>
      </c>
      <c r="Y5556" t="s">
        <v>25330</v>
      </c>
      <c r="Z5556" t="s">
        <v>31971</v>
      </c>
      <c r="AA5556">
        <v>0.41485593981414931</v>
      </c>
      <c r="AB5556" t="str">
        <f>HYPERLINK("Melting_Curves/meltCurve_Q9GZQ3_COMMD5.pdf", "Melting_Curves/meltCurve_Q9GZQ3_COMMD5.pdf")</f>
        <v>Melting_Curves/meltCurve_Q9GZQ3_COMMD5.pdf</v>
      </c>
    </row>
    <row r="5557" spans="1:28" x14ac:dyDescent="0.25">
      <c r="A5557" t="s">
        <v>5561</v>
      </c>
      <c r="B5557">
        <v>0.99193492352474899</v>
      </c>
      <c r="C5557">
        <v>0.27405480364909102</v>
      </c>
      <c r="D5557">
        <v>0.42576249448860698</v>
      </c>
      <c r="E5557">
        <v>0.140813948776422</v>
      </c>
      <c r="F5557">
        <v>0.106697888006135</v>
      </c>
      <c r="G5557">
        <v>7.3451992245453304E-2</v>
      </c>
      <c r="H5557">
        <v>4.7953280450445397E-2</v>
      </c>
      <c r="I5557">
        <v>6.0373347627745502E-2</v>
      </c>
      <c r="J5557">
        <v>7.5682462856979701E-2</v>
      </c>
      <c r="K5557">
        <v>0.102037937039407</v>
      </c>
      <c r="L5557">
        <v>2941.87233676918</v>
      </c>
      <c r="M5557">
        <v>70.112187890764304</v>
      </c>
      <c r="N5557">
        <v>42.1372420110647</v>
      </c>
      <c r="O5557">
        <v>41.925421231878602</v>
      </c>
      <c r="P5557">
        <v>-0.36455870931853601</v>
      </c>
      <c r="Q5557">
        <v>0.128010813293329</v>
      </c>
      <c r="R5557">
        <v>0.86245323565932297</v>
      </c>
      <c r="S5557" t="s">
        <v>12227</v>
      </c>
      <c r="T5557" t="s">
        <v>13338</v>
      </c>
      <c r="U5557" t="s">
        <v>13338</v>
      </c>
      <c r="V5557" t="s">
        <v>13338</v>
      </c>
      <c r="W5557" t="s">
        <v>18838</v>
      </c>
      <c r="X5557">
        <v>7</v>
      </c>
      <c r="Y5557" t="s">
        <v>25331</v>
      </c>
      <c r="Z5557" t="s">
        <v>31972</v>
      </c>
      <c r="AA5557">
        <v>0.18627314009467949</v>
      </c>
      <c r="AB5557" t="str">
        <f>HYPERLINK("Melting_Curves/meltCurve_Q9GZS1_2_POLR1E.pdf", "Melting_Curves/meltCurve_Q9GZS1_2_POLR1E.pdf")</f>
        <v>Melting_Curves/meltCurve_Q9GZS1_2_POLR1E.pdf</v>
      </c>
    </row>
    <row r="5558" spans="1:28" x14ac:dyDescent="0.25">
      <c r="A5558" t="s">
        <v>5562</v>
      </c>
      <c r="B5558">
        <v>0.99193492352474899</v>
      </c>
      <c r="C5558">
        <v>0.76446592415985704</v>
      </c>
      <c r="D5558">
        <v>0.77453053023358198</v>
      </c>
      <c r="E5558">
        <v>0.51080804581101902</v>
      </c>
      <c r="F5558">
        <v>0.35882821149542798</v>
      </c>
      <c r="G5558">
        <v>0.14890346631985499</v>
      </c>
      <c r="H5558">
        <v>7.3377780069743298E-2</v>
      </c>
      <c r="I5558">
        <v>7.3719881943829099E-2</v>
      </c>
      <c r="J5558">
        <v>7.8654214297649502E-2</v>
      </c>
      <c r="K5558">
        <v>7.2809881985241104E-2</v>
      </c>
      <c r="L5558">
        <v>593.367737665493</v>
      </c>
      <c r="M5558">
        <v>11.955382681593401</v>
      </c>
      <c r="N5558">
        <v>49.761601033577001</v>
      </c>
      <c r="O5558">
        <v>48.304371944044902</v>
      </c>
      <c r="P5558">
        <v>-6.0940608266067002E-2</v>
      </c>
      <c r="Q5558">
        <v>1.53463307877778E-2</v>
      </c>
      <c r="R5558">
        <v>0.98050290511305904</v>
      </c>
      <c r="S5558" t="s">
        <v>12228</v>
      </c>
      <c r="T5558" t="s">
        <v>13338</v>
      </c>
      <c r="U5558" t="s">
        <v>13338</v>
      </c>
      <c r="V5558" t="s">
        <v>13338</v>
      </c>
      <c r="W5558" t="s">
        <v>18839</v>
      </c>
      <c r="X5558">
        <v>14</v>
      </c>
      <c r="Y5558" t="s">
        <v>25332</v>
      </c>
      <c r="Z5558" t="s">
        <v>31973</v>
      </c>
      <c r="AA5558">
        <v>0.36652243878967772</v>
      </c>
      <c r="AB5558" t="str">
        <f>HYPERLINK("Melting_Curves/meltCurve_Q9GZS3_WDR61.pdf", "Melting_Curves/meltCurve_Q9GZS3_WDR61.pdf")</f>
        <v>Melting_Curves/meltCurve_Q9GZS3_WDR61.pdf</v>
      </c>
    </row>
    <row r="5559" spans="1:28" x14ac:dyDescent="0.25">
      <c r="A5559" t="s">
        <v>5563</v>
      </c>
      <c r="B5559">
        <v>0.99193492352474899</v>
      </c>
      <c r="C5559">
        <v>0.76332320766973905</v>
      </c>
      <c r="D5559">
        <v>0.497273123057491</v>
      </c>
      <c r="E5559">
        <v>0.30629306293335301</v>
      </c>
      <c r="F5559">
        <v>0.23669097879555501</v>
      </c>
      <c r="G5559">
        <v>0.16911754911882601</v>
      </c>
      <c r="H5559">
        <v>0.15334027995185601</v>
      </c>
      <c r="I5559">
        <v>0.17420768406267501</v>
      </c>
      <c r="J5559">
        <v>0.21738195740920599</v>
      </c>
      <c r="K5559">
        <v>0.27574844793820702</v>
      </c>
      <c r="L5559">
        <v>984.65935734655602</v>
      </c>
      <c r="M5559">
        <v>21.9416979444578</v>
      </c>
      <c r="N5559">
        <v>45.949083963196998</v>
      </c>
      <c r="O5559">
        <v>44.508405007043599</v>
      </c>
      <c r="P5559">
        <v>-9.8542054100392698E-2</v>
      </c>
      <c r="Q5559">
        <v>0.20045380493154699</v>
      </c>
      <c r="R5559">
        <v>0.98163349104725195</v>
      </c>
      <c r="S5559" t="s">
        <v>12229</v>
      </c>
      <c r="T5559" t="s">
        <v>13338</v>
      </c>
      <c r="U5559" t="s">
        <v>13338</v>
      </c>
      <c r="V5559" t="s">
        <v>13338</v>
      </c>
      <c r="W5559" t="s">
        <v>18840</v>
      </c>
      <c r="X5559">
        <v>7</v>
      </c>
      <c r="Y5559" t="s">
        <v>25333</v>
      </c>
      <c r="Z5559" t="s">
        <v>31974</v>
      </c>
      <c r="AA5559">
        <v>0.34144963154531549</v>
      </c>
      <c r="AB5559" t="str">
        <f>HYPERLINK("Melting_Curves/meltCurve_Q9GZT3_2_SLIRP.pdf", "Melting_Curves/meltCurve_Q9GZT3_2_SLIRP.pdf")</f>
        <v>Melting_Curves/meltCurve_Q9GZT3_2_SLIRP.pdf</v>
      </c>
    </row>
    <row r="5560" spans="1:28" x14ac:dyDescent="0.25">
      <c r="A5560" t="s">
        <v>5564</v>
      </c>
      <c r="B5560">
        <v>0.99193492352474899</v>
      </c>
      <c r="C5560">
        <v>0.77185350011662601</v>
      </c>
      <c r="D5560">
        <v>0.856957342841694</v>
      </c>
      <c r="E5560">
        <v>0.67160750667793001</v>
      </c>
      <c r="F5560">
        <v>0.58258577093964503</v>
      </c>
      <c r="G5560">
        <v>0.458536228956549</v>
      </c>
      <c r="H5560">
        <v>0.33005266968271901</v>
      </c>
      <c r="I5560">
        <v>0.22022997880288001</v>
      </c>
      <c r="J5560">
        <v>0.24808355390998199</v>
      </c>
      <c r="K5560">
        <v>0.30594292145214802</v>
      </c>
      <c r="L5560">
        <v>443.723006785564</v>
      </c>
      <c r="M5560">
        <v>8.4346231675107308</v>
      </c>
      <c r="N5560">
        <v>54.761174112664001</v>
      </c>
      <c r="O5560">
        <v>49.8998254641645</v>
      </c>
      <c r="P5560">
        <v>-3.6326100178789199E-2</v>
      </c>
      <c r="Q5560">
        <v>0.14116557392913601</v>
      </c>
      <c r="R5560">
        <v>0.95240552285053703</v>
      </c>
      <c r="S5560" t="s">
        <v>12230</v>
      </c>
      <c r="T5560" t="s">
        <v>13338</v>
      </c>
      <c r="U5560" t="s">
        <v>13338</v>
      </c>
      <c r="V5560" t="s">
        <v>13338</v>
      </c>
      <c r="W5560" t="s">
        <v>18841</v>
      </c>
      <c r="X5560">
        <v>12</v>
      </c>
      <c r="Y5560" t="s">
        <v>25334</v>
      </c>
      <c r="Z5560" t="s">
        <v>31975</v>
      </c>
      <c r="AA5560">
        <v>0.53774328628126622</v>
      </c>
      <c r="AB5560" t="str">
        <f>HYPERLINK("Melting_Curves/meltCurve_Q9GZT6_2_CCDC90B.pdf", "Melting_Curves/meltCurve_Q9GZT6_2_CCDC90B.pdf")</f>
        <v>Melting_Curves/meltCurve_Q9GZT6_2_CCDC90B.pdf</v>
      </c>
    </row>
    <row r="5561" spans="1:28" x14ac:dyDescent="0.25">
      <c r="A5561" t="s">
        <v>5565</v>
      </c>
      <c r="B5561">
        <v>0.99193492352474899</v>
      </c>
      <c r="C5561">
        <v>0.88158326300197298</v>
      </c>
      <c r="D5561">
        <v>0.94213129750218805</v>
      </c>
      <c r="E5561">
        <v>0.80414434393549095</v>
      </c>
      <c r="F5561">
        <v>0.78057885661285398</v>
      </c>
      <c r="G5561">
        <v>0.56334429787954698</v>
      </c>
      <c r="H5561">
        <v>0.46439903745831501</v>
      </c>
      <c r="I5561">
        <v>0.37934248353608402</v>
      </c>
      <c r="J5561">
        <v>0.46109431815731999</v>
      </c>
      <c r="K5561">
        <v>0.34047150877506399</v>
      </c>
      <c r="L5561">
        <v>555.39924954032301</v>
      </c>
      <c r="M5561">
        <v>10.050180877666399</v>
      </c>
      <c r="N5561">
        <v>60.2203937006052</v>
      </c>
      <c r="O5561">
        <v>53.208413029655901</v>
      </c>
      <c r="P5561">
        <v>-3.3948683496383997E-2</v>
      </c>
      <c r="Q5561">
        <v>0.28140833105868501</v>
      </c>
      <c r="R5561">
        <v>0.95873873291285505</v>
      </c>
      <c r="S5561" t="s">
        <v>12231</v>
      </c>
      <c r="T5561" t="s">
        <v>13338</v>
      </c>
      <c r="U5561" t="s">
        <v>13338</v>
      </c>
      <c r="V5561" t="s">
        <v>13338</v>
      </c>
      <c r="W5561" t="s">
        <v>18842</v>
      </c>
      <c r="X5561">
        <v>9</v>
      </c>
      <c r="Y5561" t="s">
        <v>25335</v>
      </c>
      <c r="Z5561" t="s">
        <v>31976</v>
      </c>
      <c r="AA5561">
        <v>0.66469080301991357</v>
      </c>
      <c r="AB5561" t="str">
        <f>HYPERLINK("Melting_Curves/meltCurve_Q9GZT8_2_NIF3L1.pdf", "Melting_Curves/meltCurve_Q9GZT8_2_NIF3L1.pdf")</f>
        <v>Melting_Curves/meltCurve_Q9GZT8_2_NIF3L1.pdf</v>
      </c>
    </row>
    <row r="5562" spans="1:28" x14ac:dyDescent="0.25">
      <c r="A5562" t="s">
        <v>5566</v>
      </c>
      <c r="B5562">
        <v>0.99193492352474899</v>
      </c>
      <c r="C5562">
        <v>0.80917114714854599</v>
      </c>
      <c r="D5562">
        <v>0.82916938240289495</v>
      </c>
      <c r="E5562">
        <v>0.51015221614080497</v>
      </c>
      <c r="F5562">
        <v>0.33804971402082701</v>
      </c>
      <c r="G5562">
        <v>0.23376197549595901</v>
      </c>
      <c r="H5562">
        <v>0.193845662208709</v>
      </c>
      <c r="I5562">
        <v>0.25289386399457597</v>
      </c>
      <c r="J5562">
        <v>0.25245115154310299</v>
      </c>
      <c r="K5562">
        <v>0.30361763888889998</v>
      </c>
      <c r="L5562">
        <v>876.81390345871898</v>
      </c>
      <c r="M5562">
        <v>18.251734525519701</v>
      </c>
      <c r="N5562">
        <v>49.757397030360302</v>
      </c>
      <c r="O5562">
        <v>47.474476359023001</v>
      </c>
      <c r="P5562">
        <v>-7.3655938350321096E-2</v>
      </c>
      <c r="Q5562">
        <v>0.23369173141411101</v>
      </c>
      <c r="R5562">
        <v>0.96555131421459195</v>
      </c>
      <c r="S5562" t="s">
        <v>12232</v>
      </c>
      <c r="T5562" t="s">
        <v>13338</v>
      </c>
      <c r="U5562" t="s">
        <v>13338</v>
      </c>
      <c r="V5562" t="s">
        <v>13338</v>
      </c>
      <c r="W5562" t="s">
        <v>18843</v>
      </c>
      <c r="X5562">
        <v>11</v>
      </c>
      <c r="Y5562" t="s">
        <v>25336</v>
      </c>
      <c r="Z5562" t="s">
        <v>31977</v>
      </c>
      <c r="AA5562">
        <v>0.45225501374565552</v>
      </c>
      <c r="AB5562" t="str">
        <f>HYPERLINK("Melting_Curves/meltCurve_Q9GZT9_EGLN1.pdf", "Melting_Curves/meltCurve_Q9GZT9_EGLN1.pdf")</f>
        <v>Melting_Curves/meltCurve_Q9GZT9_EGLN1.pdf</v>
      </c>
    </row>
    <row r="5563" spans="1:28" x14ac:dyDescent="0.25">
      <c r="A5563" t="s">
        <v>5567</v>
      </c>
      <c r="B5563">
        <v>0.99193492352474899</v>
      </c>
      <c r="C5563">
        <v>1.0459784337414</v>
      </c>
      <c r="D5563">
        <v>0.88464344918896298</v>
      </c>
      <c r="E5563">
        <v>0.80356066093938505</v>
      </c>
      <c r="F5563">
        <v>0.61977307205034804</v>
      </c>
      <c r="G5563">
        <v>0.484575586790775</v>
      </c>
      <c r="H5563">
        <v>0.36581738878887499</v>
      </c>
      <c r="I5563">
        <v>0.49338797585753102</v>
      </c>
      <c r="J5563">
        <v>0.494487882920152</v>
      </c>
      <c r="K5563">
        <v>0.64816392687413704</v>
      </c>
      <c r="L5563">
        <v>1211.6704282470801</v>
      </c>
      <c r="M5563">
        <v>24.146015759242498</v>
      </c>
      <c r="N5563">
        <v>61.621218298252003</v>
      </c>
      <c r="O5563">
        <v>49.840574586325502</v>
      </c>
      <c r="P5563">
        <v>-6.1243470365267103E-2</v>
      </c>
      <c r="Q5563">
        <v>0.494349255222504</v>
      </c>
      <c r="R5563">
        <v>0.89664649434174604</v>
      </c>
      <c r="S5563" t="s">
        <v>12233</v>
      </c>
      <c r="T5563" t="s">
        <v>13338</v>
      </c>
      <c r="U5563" t="s">
        <v>13338</v>
      </c>
      <c r="V5563" t="s">
        <v>13338</v>
      </c>
      <c r="W5563" t="s">
        <v>18844</v>
      </c>
      <c r="X5563">
        <v>20</v>
      </c>
      <c r="Y5563" t="s">
        <v>25337</v>
      </c>
      <c r="Z5563" t="s">
        <v>31978</v>
      </c>
      <c r="AA5563">
        <v>0.67080338263335204</v>
      </c>
      <c r="AB5563" t="str">
        <f>HYPERLINK("Melting_Curves/meltCurve_Q9GZU8_FAM192A.pdf", "Melting_Curves/meltCurve_Q9GZU8_FAM192A.pdf")</f>
        <v>Melting_Curves/meltCurve_Q9GZU8_FAM192A.pdf</v>
      </c>
    </row>
    <row r="5564" spans="1:28" x14ac:dyDescent="0.25">
      <c r="A5564" t="s">
        <v>5568</v>
      </c>
      <c r="B5564">
        <v>0.99193492352474899</v>
      </c>
      <c r="C5564">
        <v>0.93490342280431005</v>
      </c>
      <c r="D5564">
        <v>0.81892676450866297</v>
      </c>
      <c r="E5564">
        <v>0.64150569441997796</v>
      </c>
      <c r="F5564">
        <v>0.41088354146893402</v>
      </c>
      <c r="G5564">
        <v>0.34437568066273899</v>
      </c>
      <c r="H5564">
        <v>0.20291263932416401</v>
      </c>
      <c r="I5564">
        <v>0.32349689174104801</v>
      </c>
      <c r="J5564">
        <v>0.27744155219267502</v>
      </c>
      <c r="K5564">
        <v>0.36744560672619297</v>
      </c>
      <c r="L5564">
        <v>907.73945215354297</v>
      </c>
      <c r="M5564">
        <v>18.499024229529802</v>
      </c>
      <c r="N5564">
        <v>51.429766027765297</v>
      </c>
      <c r="O5564">
        <v>48.506960044191501</v>
      </c>
      <c r="P5564">
        <v>-6.8070804385271605E-2</v>
      </c>
      <c r="Q5564">
        <v>0.28606796646927501</v>
      </c>
      <c r="R5564">
        <v>0.97406347976124497</v>
      </c>
      <c r="S5564" t="s">
        <v>12234</v>
      </c>
      <c r="T5564" t="s">
        <v>13338</v>
      </c>
      <c r="U5564" t="s">
        <v>13338</v>
      </c>
      <c r="V5564" t="s">
        <v>13338</v>
      </c>
      <c r="W5564" t="s">
        <v>18845</v>
      </c>
      <c r="X5564">
        <v>4</v>
      </c>
      <c r="Y5564" t="s">
        <v>25338</v>
      </c>
      <c r="Z5564" t="s">
        <v>31979</v>
      </c>
      <c r="AA5564">
        <v>0.5135982435265587</v>
      </c>
      <c r="AB5564" t="str">
        <f>HYPERLINK("Melting_Curves/meltCurve_Q9GZX9_TWSG1.pdf", "Melting_Curves/meltCurve_Q9GZX9_TWSG1.pdf")</f>
        <v>Melting_Curves/meltCurve_Q9GZX9_TWSG1.pdf</v>
      </c>
    </row>
    <row r="5565" spans="1:28" x14ac:dyDescent="0.25">
      <c r="A5565" t="s">
        <v>5569</v>
      </c>
      <c r="B5565">
        <v>0.99193492352474899</v>
      </c>
      <c r="C5565">
        <v>0.91199083949517401</v>
      </c>
      <c r="D5565">
        <v>0.82406948854684403</v>
      </c>
      <c r="E5565">
        <v>0.52602080830130105</v>
      </c>
      <c r="F5565">
        <v>0.26436436759920801</v>
      </c>
      <c r="G5565">
        <v>0.144870740952769</v>
      </c>
      <c r="H5565">
        <v>9.6820197056590701E-2</v>
      </c>
      <c r="I5565">
        <v>0.144730359412402</v>
      </c>
      <c r="J5565">
        <v>0.17545657698675399</v>
      </c>
      <c r="K5565">
        <v>0.21214476591400899</v>
      </c>
      <c r="L5565">
        <v>1066.71737659879</v>
      </c>
      <c r="M5565">
        <v>21.8271880633305</v>
      </c>
      <c r="N5565">
        <v>49.648817673480202</v>
      </c>
      <c r="O5565">
        <v>48.466390614498302</v>
      </c>
      <c r="P5565">
        <v>-9.62883038305858E-2</v>
      </c>
      <c r="Q5565">
        <v>0.144802764622664</v>
      </c>
      <c r="R5565">
        <v>0.98832680521074501</v>
      </c>
      <c r="S5565" t="s">
        <v>12235</v>
      </c>
      <c r="T5565" t="s">
        <v>13338</v>
      </c>
      <c r="U5565" t="s">
        <v>13338</v>
      </c>
      <c r="V5565" t="s">
        <v>13338</v>
      </c>
      <c r="W5565" t="s">
        <v>18846</v>
      </c>
      <c r="X5565">
        <v>8</v>
      </c>
      <c r="Y5565" t="s">
        <v>25339</v>
      </c>
      <c r="Z5565" t="s">
        <v>31980</v>
      </c>
      <c r="AA5565">
        <v>0.40770924914799161</v>
      </c>
      <c r="AB5565" t="str">
        <f>HYPERLINK("Melting_Curves/meltCurve_Q9GZY8_2_MFF.pdf", "Melting_Curves/meltCurve_Q9GZY8_2_MFF.pdf")</f>
        <v>Melting_Curves/meltCurve_Q9GZY8_2_MFF.pdf</v>
      </c>
    </row>
    <row r="5566" spans="1:28" x14ac:dyDescent="0.25">
      <c r="A5566" t="s">
        <v>5570</v>
      </c>
      <c r="B5566">
        <v>0.99193492352474899</v>
      </c>
      <c r="C5566">
        <v>1.696314275198</v>
      </c>
      <c r="D5566">
        <v>1.2521752289021999</v>
      </c>
      <c r="E5566">
        <v>1.5611914317351101</v>
      </c>
      <c r="F5566">
        <v>0.49821589780931602</v>
      </c>
      <c r="G5566">
        <v>0.35870283909231798</v>
      </c>
      <c r="H5566">
        <v>0.30615387038837499</v>
      </c>
      <c r="I5566">
        <v>0.75203774768644904</v>
      </c>
      <c r="J5566">
        <v>0.75534241424350801</v>
      </c>
      <c r="K5566">
        <v>0.49749562686916898</v>
      </c>
      <c r="L5566">
        <v>12911.2002952111</v>
      </c>
      <c r="M5566">
        <v>250</v>
      </c>
      <c r="O5566">
        <v>51.6414981198634</v>
      </c>
      <c r="P5566">
        <v>-0.57131235531232105</v>
      </c>
      <c r="Q5566">
        <v>0.52794520281681601</v>
      </c>
      <c r="R5566">
        <v>0.52600150320927297</v>
      </c>
      <c r="S5566" t="s">
        <v>12236</v>
      </c>
      <c r="T5566" t="s">
        <v>13338</v>
      </c>
      <c r="U5566" t="s">
        <v>13338</v>
      </c>
      <c r="V5566" t="s">
        <v>13338</v>
      </c>
      <c r="W5566" t="s">
        <v>18847</v>
      </c>
      <c r="X5566">
        <v>8</v>
      </c>
      <c r="Y5566" t="s">
        <v>25339</v>
      </c>
      <c r="Z5566" t="s">
        <v>31981</v>
      </c>
      <c r="AA5566">
        <v>0.71122079654693027</v>
      </c>
      <c r="AB5566" t="str">
        <f>HYPERLINK("Melting_Curves/meltCurve_Q9GZY8_4_MFF.pdf", "Melting_Curves/meltCurve_Q9GZY8_4_MFF.pdf")</f>
        <v>Melting_Curves/meltCurve_Q9GZY8_4_MFF.pdf</v>
      </c>
    </row>
    <row r="5567" spans="1:28" x14ac:dyDescent="0.25">
      <c r="A5567" t="s">
        <v>5571</v>
      </c>
      <c r="B5567">
        <v>0.99193492352474899</v>
      </c>
      <c r="C5567">
        <v>0.97942389866937896</v>
      </c>
      <c r="D5567">
        <v>0.98182514057716397</v>
      </c>
      <c r="E5567">
        <v>0.83337207679236103</v>
      </c>
      <c r="F5567">
        <v>0.68320949411139598</v>
      </c>
      <c r="G5567">
        <v>0.39540657684501301</v>
      </c>
      <c r="H5567">
        <v>0.10237337923019001</v>
      </c>
      <c r="I5567">
        <v>0.107505579391733</v>
      </c>
      <c r="J5567">
        <v>0.116627868077334</v>
      </c>
      <c r="K5567">
        <v>0.166117775168177</v>
      </c>
      <c r="L5567">
        <v>1138.21388254519</v>
      </c>
      <c r="M5567">
        <v>20.912453847594101</v>
      </c>
      <c r="N5567">
        <v>54.973152672649903</v>
      </c>
      <c r="O5567">
        <v>53.9372143773776</v>
      </c>
      <c r="P5567">
        <v>-8.7848742182486506E-2</v>
      </c>
      <c r="Q5567">
        <v>9.3710134169006906E-2</v>
      </c>
      <c r="R5567">
        <v>0.98748788681393795</v>
      </c>
      <c r="S5567" t="s">
        <v>12237</v>
      </c>
      <c r="T5567" t="s">
        <v>13338</v>
      </c>
      <c r="U5567" t="s">
        <v>13338</v>
      </c>
      <c r="V5567" t="s">
        <v>13338</v>
      </c>
      <c r="W5567" t="s">
        <v>18848</v>
      </c>
      <c r="X5567">
        <v>9</v>
      </c>
      <c r="Y5567" t="s">
        <v>25340</v>
      </c>
      <c r="Z5567" t="s">
        <v>31982</v>
      </c>
      <c r="AA5567">
        <v>0.54094960288737448</v>
      </c>
      <c r="AB5567" t="str">
        <f>HYPERLINK("Melting_Curves/meltCurve_Q9GZZ9_UBA5.pdf", "Melting_Curves/meltCurve_Q9GZZ9_UBA5.pdf")</f>
        <v>Melting_Curves/meltCurve_Q9GZZ9_UBA5.pdf</v>
      </c>
    </row>
    <row r="5568" spans="1:28" x14ac:dyDescent="0.25">
      <c r="A5568" t="s">
        <v>5572</v>
      </c>
      <c r="B5568">
        <v>0.99193492352474899</v>
      </c>
      <c r="C5568">
        <v>0.95677828812505705</v>
      </c>
      <c r="D5568">
        <v>0.91563084067901002</v>
      </c>
      <c r="E5568">
        <v>0.86036204720422305</v>
      </c>
      <c r="F5568">
        <v>0.72894603040095396</v>
      </c>
      <c r="G5568">
        <v>0.55280296292775499</v>
      </c>
      <c r="H5568">
        <v>0.28692859023677197</v>
      </c>
      <c r="I5568">
        <v>0.16649636940611001</v>
      </c>
      <c r="J5568">
        <v>0.156173420701609</v>
      </c>
      <c r="K5568">
        <v>0.20484208246741201</v>
      </c>
      <c r="L5568">
        <v>815.98590829431203</v>
      </c>
      <c r="M5568">
        <v>14.5592251203445</v>
      </c>
      <c r="N5568">
        <v>56.879078891336299</v>
      </c>
      <c r="O5568">
        <v>55.020461113431502</v>
      </c>
      <c r="P5568">
        <v>-5.9808079205357099E-2</v>
      </c>
      <c r="Q5568">
        <v>9.6024880763481604E-2</v>
      </c>
      <c r="R5568">
        <v>0.98687716027975303</v>
      </c>
      <c r="S5568" t="s">
        <v>12238</v>
      </c>
      <c r="T5568" t="s">
        <v>13338</v>
      </c>
      <c r="U5568" t="s">
        <v>13338</v>
      </c>
      <c r="V5568" t="s">
        <v>13338</v>
      </c>
      <c r="W5568" t="s">
        <v>18849</v>
      </c>
      <c r="X5568">
        <v>8</v>
      </c>
      <c r="Y5568" t="s">
        <v>25341</v>
      </c>
      <c r="Z5568" t="s">
        <v>31983</v>
      </c>
      <c r="AA5568">
        <v>0.59588600949150894</v>
      </c>
      <c r="AB5568" t="str">
        <f>HYPERLINK("Melting_Curves/meltCurve_Q9H008_LHPP.pdf", "Melting_Curves/meltCurve_Q9H008_LHPP.pdf")</f>
        <v>Melting_Curves/meltCurve_Q9H008_LHPP.pdf</v>
      </c>
    </row>
    <row r="5569" spans="1:28" x14ac:dyDescent="0.25">
      <c r="A5569" t="s">
        <v>5573</v>
      </c>
      <c r="B5569">
        <v>0.99193492352474899</v>
      </c>
      <c r="C5569">
        <v>0.99903790235272705</v>
      </c>
      <c r="D5569">
        <v>0.84333973872935097</v>
      </c>
      <c r="E5569">
        <v>0.48332649981430198</v>
      </c>
      <c r="F5569">
        <v>0.36309462938731202</v>
      </c>
      <c r="G5569">
        <v>0.22826123311441901</v>
      </c>
      <c r="H5569">
        <v>0.13095898452270599</v>
      </c>
      <c r="I5569">
        <v>0.158025812686344</v>
      </c>
      <c r="J5569">
        <v>0.16305174284090601</v>
      </c>
      <c r="K5569">
        <v>0.15446124213392701</v>
      </c>
      <c r="L5569">
        <v>975.90523202419899</v>
      </c>
      <c r="M5569">
        <v>19.8591288263808</v>
      </c>
      <c r="N5569">
        <v>50.068451884241398</v>
      </c>
      <c r="O5569">
        <v>48.651247651165797</v>
      </c>
      <c r="P5569">
        <v>-8.6352175309097098E-2</v>
      </c>
      <c r="Q5569">
        <v>0.153839963299712</v>
      </c>
      <c r="R5569">
        <v>0.99092786410103695</v>
      </c>
      <c r="S5569" t="s">
        <v>12239</v>
      </c>
      <c r="T5569" t="s">
        <v>13338</v>
      </c>
      <c r="U5569" t="s">
        <v>13338</v>
      </c>
      <c r="V5569" t="s">
        <v>13338</v>
      </c>
      <c r="W5569" t="s">
        <v>18850</v>
      </c>
      <c r="X5569">
        <v>2</v>
      </c>
      <c r="Y5569" t="s">
        <v>25342</v>
      </c>
      <c r="Z5569" t="s">
        <v>31984</v>
      </c>
      <c r="AA5569">
        <v>0.42368425780368801</v>
      </c>
      <c r="AB5569" t="str">
        <f>HYPERLINK("Melting_Curves/meltCurve_Q9H019_3_MTFR1L.pdf", "Melting_Curves/meltCurve_Q9H019_3_MTFR1L.pdf")</f>
        <v>Melting_Curves/meltCurve_Q9H019_3_MTFR1L.pdf</v>
      </c>
    </row>
    <row r="5570" spans="1:28" x14ac:dyDescent="0.25">
      <c r="A5570" t="s">
        <v>5574</v>
      </c>
      <c r="B5570">
        <v>0.99193492352474899</v>
      </c>
      <c r="C5570">
        <v>0.96965598719975599</v>
      </c>
      <c r="D5570">
        <v>1.09139839149754</v>
      </c>
      <c r="E5570">
        <v>0.78443668033423697</v>
      </c>
      <c r="F5570">
        <v>0.53366296794609103</v>
      </c>
      <c r="G5570">
        <v>0.37981554875282503</v>
      </c>
      <c r="H5570">
        <v>0.20578044206743501</v>
      </c>
      <c r="I5570">
        <v>0.159148510625397</v>
      </c>
      <c r="J5570">
        <v>0.191956678924602</v>
      </c>
      <c r="K5570">
        <v>0.122950021616663</v>
      </c>
      <c r="L5570">
        <v>1034.58342639646</v>
      </c>
      <c r="M5570">
        <v>19.5056215901852</v>
      </c>
      <c r="N5570">
        <v>54.0018963778559</v>
      </c>
      <c r="O5570">
        <v>52.492216026873002</v>
      </c>
      <c r="P5570">
        <v>-7.9270927771227406E-2</v>
      </c>
      <c r="Q5570">
        <v>0.14671629862781199</v>
      </c>
      <c r="R5570">
        <v>0.98112437156082699</v>
      </c>
      <c r="S5570" t="s">
        <v>12240</v>
      </c>
      <c r="T5570" t="s">
        <v>13338</v>
      </c>
      <c r="U5570" t="s">
        <v>13338</v>
      </c>
      <c r="V5570" t="s">
        <v>13338</v>
      </c>
      <c r="W5570" t="s">
        <v>18851</v>
      </c>
      <c r="X5570">
        <v>5</v>
      </c>
      <c r="Y5570" t="s">
        <v>25343</v>
      </c>
      <c r="Z5570" t="s">
        <v>31985</v>
      </c>
      <c r="AA5570">
        <v>0.52985700428898841</v>
      </c>
      <c r="AB5570" t="str">
        <f>HYPERLINK("Melting_Curves/meltCurve_Q9H061_TMEM126A.pdf", "Melting_Curves/meltCurve_Q9H061_TMEM126A.pdf")</f>
        <v>Melting_Curves/meltCurve_Q9H061_TMEM126A.pdf</v>
      </c>
    </row>
    <row r="5571" spans="1:28" x14ac:dyDescent="0.25">
      <c r="A5571" t="s">
        <v>5575</v>
      </c>
      <c r="B5571">
        <v>0.99193492352474899</v>
      </c>
      <c r="C5571">
        <v>0.70031145294419594</v>
      </c>
      <c r="D5571">
        <v>0.94510754458489099</v>
      </c>
      <c r="E5571">
        <v>0.60571787546480105</v>
      </c>
      <c r="F5571">
        <v>0.30855871240614502</v>
      </c>
      <c r="G5571">
        <v>0.13529481043029401</v>
      </c>
      <c r="H5571">
        <v>8.3490731790817799E-2</v>
      </c>
      <c r="I5571">
        <v>7.6745437566545699E-2</v>
      </c>
      <c r="J5571">
        <v>9.3351197083486895E-2</v>
      </c>
      <c r="K5571">
        <v>9.13681088268814E-2</v>
      </c>
      <c r="L5571">
        <v>869.65641497529305</v>
      </c>
      <c r="M5571">
        <v>17.286897133172399</v>
      </c>
      <c r="N5571">
        <v>50.663276735817497</v>
      </c>
      <c r="O5571">
        <v>49.648552503966798</v>
      </c>
      <c r="P5571">
        <v>-8.2072550195724098E-2</v>
      </c>
      <c r="Q5571">
        <v>5.7194407663595299E-2</v>
      </c>
      <c r="R5571">
        <v>0.93734193544327304</v>
      </c>
      <c r="S5571" t="s">
        <v>12241</v>
      </c>
      <c r="T5571" t="s">
        <v>13338</v>
      </c>
      <c r="U5571" t="s">
        <v>13338</v>
      </c>
      <c r="V5571" t="s">
        <v>13338</v>
      </c>
      <c r="W5571" t="s">
        <v>18852</v>
      </c>
      <c r="X5571">
        <v>8</v>
      </c>
      <c r="Y5571" t="s">
        <v>25344</v>
      </c>
      <c r="Z5571" t="s">
        <v>31986</v>
      </c>
      <c r="AA5571">
        <v>0.39838358238423388</v>
      </c>
      <c r="AB5571" t="str">
        <f>HYPERLINK("Melting_Curves/meltCurve_Q9H074_PAIP1.pdf", "Melting_Curves/meltCurve_Q9H074_PAIP1.pdf")</f>
        <v>Melting_Curves/meltCurve_Q9H074_PAIP1.pdf</v>
      </c>
    </row>
    <row r="5572" spans="1:28" x14ac:dyDescent="0.25">
      <c r="A5572" t="s">
        <v>5576</v>
      </c>
      <c r="B5572">
        <v>0.99193492352474899</v>
      </c>
      <c r="C5572">
        <v>0.88003635473852404</v>
      </c>
      <c r="D5572">
        <v>0.96997758044662596</v>
      </c>
      <c r="E5572">
        <v>0.77394976926438996</v>
      </c>
      <c r="F5572">
        <v>0.40056385638667202</v>
      </c>
      <c r="G5572">
        <v>0.146443990471295</v>
      </c>
      <c r="H5572">
        <v>8.5035823506397198E-2</v>
      </c>
      <c r="I5572">
        <v>9.9187419896689499E-2</v>
      </c>
      <c r="J5572">
        <v>9.8771071039769495E-2</v>
      </c>
      <c r="K5572">
        <v>0.116319142106623</v>
      </c>
      <c r="L5572">
        <v>1362.9324897922399</v>
      </c>
      <c r="M5572">
        <v>26.350646269702199</v>
      </c>
      <c r="N5572">
        <v>52.117004223166902</v>
      </c>
      <c r="O5572">
        <v>51.427778647251401</v>
      </c>
      <c r="P5572">
        <v>-0.116526159955831</v>
      </c>
      <c r="Q5572">
        <v>9.0327013443735796E-2</v>
      </c>
      <c r="R5572">
        <v>0.98926276111074296</v>
      </c>
      <c r="S5572" t="s">
        <v>12242</v>
      </c>
      <c r="T5572" t="s">
        <v>13338</v>
      </c>
      <c r="U5572" t="s">
        <v>13338</v>
      </c>
      <c r="V5572" t="s">
        <v>13338</v>
      </c>
      <c r="W5572" t="s">
        <v>18853</v>
      </c>
      <c r="X5572">
        <v>30</v>
      </c>
      <c r="Y5572" t="s">
        <v>25345</v>
      </c>
      <c r="Z5572" t="s">
        <v>31987</v>
      </c>
      <c r="AA5572">
        <v>0.45326979907053883</v>
      </c>
      <c r="AB5572" t="str">
        <f>HYPERLINK("Melting_Curves/meltCurve_Q9H078_2_CLPB.pdf", "Melting_Curves/meltCurve_Q9H078_2_CLPB.pdf")</f>
        <v>Melting_Curves/meltCurve_Q9H078_2_CLPB.pdf</v>
      </c>
    </row>
    <row r="5573" spans="1:28" x14ac:dyDescent="0.25">
      <c r="A5573" t="s">
        <v>5577</v>
      </c>
      <c r="B5573">
        <v>0.99193492352474899</v>
      </c>
      <c r="C5573">
        <v>0.68740033832497804</v>
      </c>
      <c r="D5573">
        <v>0.95463556194797405</v>
      </c>
      <c r="E5573">
        <v>0.49421687611655202</v>
      </c>
      <c r="F5573">
        <v>0.28058470706092098</v>
      </c>
      <c r="G5573">
        <v>0.165929849128375</v>
      </c>
      <c r="H5573">
        <v>0.112861533708824</v>
      </c>
      <c r="I5573">
        <v>0.13029866414162999</v>
      </c>
      <c r="J5573">
        <v>0.13619215790613501</v>
      </c>
      <c r="K5573">
        <v>0.18565843560936901</v>
      </c>
      <c r="L5573">
        <v>934.89612396882103</v>
      </c>
      <c r="M5573">
        <v>19.039928512066801</v>
      </c>
      <c r="N5573">
        <v>49.855697586486599</v>
      </c>
      <c r="O5573">
        <v>48.569844458898402</v>
      </c>
      <c r="P5573">
        <v>-8.5748371772098805E-2</v>
      </c>
      <c r="Q5573">
        <v>0.12507648250182199</v>
      </c>
      <c r="R5573">
        <v>0.91327773309139504</v>
      </c>
      <c r="S5573" t="s">
        <v>12243</v>
      </c>
      <c r="T5573" t="s">
        <v>13338</v>
      </c>
      <c r="U5573" t="s">
        <v>13338</v>
      </c>
      <c r="V5573" t="s">
        <v>13338</v>
      </c>
      <c r="W5573" t="s">
        <v>18854</v>
      </c>
      <c r="X5573">
        <v>6</v>
      </c>
      <c r="Y5573" t="s">
        <v>25346</v>
      </c>
      <c r="Z5573" t="s">
        <v>31988</v>
      </c>
      <c r="AA5573">
        <v>0.40404593721394638</v>
      </c>
      <c r="AB5573" t="str">
        <f>HYPERLINK("Melting_Curves/meltCurve_Q9H081_MIS12.pdf", "Melting_Curves/meltCurve_Q9H081_MIS12.pdf")</f>
        <v>Melting_Curves/meltCurve_Q9H081_MIS12.pdf</v>
      </c>
    </row>
    <row r="5574" spans="1:28" x14ac:dyDescent="0.25">
      <c r="A5574" t="s">
        <v>5578</v>
      </c>
      <c r="B5574">
        <v>0.99193492352474899</v>
      </c>
      <c r="C5574">
        <v>0.97684805265894104</v>
      </c>
      <c r="D5574">
        <v>0.92112419247362198</v>
      </c>
      <c r="E5574">
        <v>0.73733795043138795</v>
      </c>
      <c r="F5574">
        <v>0.61007694831130299</v>
      </c>
      <c r="G5574">
        <v>0.38850759137790902</v>
      </c>
      <c r="H5574">
        <v>0.204553081667187</v>
      </c>
      <c r="I5574">
        <v>0.130962758803912</v>
      </c>
      <c r="J5574">
        <v>0.144385397156021</v>
      </c>
      <c r="K5574">
        <v>0.106673215047545</v>
      </c>
      <c r="L5574">
        <v>714.46236625501797</v>
      </c>
      <c r="M5574">
        <v>13.225519496296901</v>
      </c>
      <c r="N5574">
        <v>54.483177414538901</v>
      </c>
      <c r="O5574">
        <v>52.8312175204209</v>
      </c>
      <c r="P5574">
        <v>-5.9276114123589602E-2</v>
      </c>
      <c r="Q5574">
        <v>5.3008857744970002E-2</v>
      </c>
      <c r="R5574">
        <v>0.99577815261130098</v>
      </c>
      <c r="S5574" t="s">
        <v>12244</v>
      </c>
      <c r="T5574" t="s">
        <v>13338</v>
      </c>
      <c r="U5574" t="s">
        <v>13338</v>
      </c>
      <c r="V5574" t="s">
        <v>13338</v>
      </c>
      <c r="W5574" t="s">
        <v>18855</v>
      </c>
      <c r="X5574">
        <v>6</v>
      </c>
      <c r="Y5574" t="s">
        <v>25347</v>
      </c>
      <c r="Z5574" t="s">
        <v>31989</v>
      </c>
      <c r="AA5574">
        <v>0.51803843655963322</v>
      </c>
      <c r="AB5574" t="str">
        <f>HYPERLINK("Melting_Curves/meltCurve_Q9H082_RAB33B.pdf", "Melting_Curves/meltCurve_Q9H082_RAB33B.pdf")</f>
        <v>Melting_Curves/meltCurve_Q9H082_RAB33B.pdf</v>
      </c>
    </row>
    <row r="5575" spans="1:28" x14ac:dyDescent="0.25">
      <c r="A5575" t="s">
        <v>5579</v>
      </c>
      <c r="B5575">
        <v>0.99193492352474899</v>
      </c>
      <c r="C5575">
        <v>0.71063961017156396</v>
      </c>
      <c r="D5575">
        <v>0.76908503070624001</v>
      </c>
      <c r="E5575">
        <v>0.237327963112478</v>
      </c>
      <c r="F5575">
        <v>0.16005933767324501</v>
      </c>
      <c r="G5575">
        <v>9.7078216116206498E-2</v>
      </c>
      <c r="H5575">
        <v>4.9722236947812103E-2</v>
      </c>
      <c r="I5575">
        <v>5.7489326266938E-2</v>
      </c>
      <c r="J5575">
        <v>6.5549247135560595E-2</v>
      </c>
      <c r="K5575">
        <v>0.10737263785151201</v>
      </c>
      <c r="L5575">
        <v>867.16205089397204</v>
      </c>
      <c r="M5575">
        <v>18.438182586271999</v>
      </c>
      <c r="N5575">
        <v>47.348720304776201</v>
      </c>
      <c r="O5575">
        <v>46.4880310554517</v>
      </c>
      <c r="P5575">
        <v>-9.3386616094738306E-2</v>
      </c>
      <c r="Q5575">
        <v>5.8222777465426999E-2</v>
      </c>
      <c r="R5575">
        <v>0.95216814094621405</v>
      </c>
      <c r="S5575" t="s">
        <v>12245</v>
      </c>
      <c r="T5575" t="s">
        <v>13338</v>
      </c>
      <c r="U5575" t="s">
        <v>13338</v>
      </c>
      <c r="V5575" t="s">
        <v>13338</v>
      </c>
      <c r="W5575" t="s">
        <v>18856</v>
      </c>
      <c r="X5575">
        <v>9</v>
      </c>
      <c r="Y5575" t="s">
        <v>25348</v>
      </c>
      <c r="Z5575" t="s">
        <v>31990</v>
      </c>
      <c r="AA5575">
        <v>0.29540040828510888</v>
      </c>
      <c r="AB5575" t="str">
        <f>HYPERLINK("Melting_Curves/meltCurve_Q9H089_LSG1.pdf", "Melting_Curves/meltCurve_Q9H089_LSG1.pdf")</f>
        <v>Melting_Curves/meltCurve_Q9H089_LSG1.pdf</v>
      </c>
    </row>
    <row r="5576" spans="1:28" x14ac:dyDescent="0.25">
      <c r="A5576" t="s">
        <v>5580</v>
      </c>
      <c r="B5576">
        <v>0.99193492352474899</v>
      </c>
      <c r="C5576">
        <v>0.40987692738465198</v>
      </c>
      <c r="D5576">
        <v>1.0582185213141699</v>
      </c>
      <c r="E5576">
        <v>0.26497969059468501</v>
      </c>
      <c r="F5576">
        <v>0.17656391034961599</v>
      </c>
      <c r="G5576">
        <v>0.10471947973735</v>
      </c>
      <c r="H5576">
        <v>6.6225611395104106E-2</v>
      </c>
      <c r="I5576">
        <v>7.5453536236818206E-2</v>
      </c>
      <c r="J5576">
        <v>9.1848118783337193E-2</v>
      </c>
      <c r="K5576">
        <v>8.0399481870001302E-2</v>
      </c>
      <c r="L5576">
        <v>620.15034536088001</v>
      </c>
      <c r="M5576">
        <v>12.994891145044299</v>
      </c>
      <c r="N5576">
        <v>47.951758698744797</v>
      </c>
      <c r="O5576">
        <v>46.634901115047199</v>
      </c>
      <c r="P5576">
        <v>-6.7577861506210604E-2</v>
      </c>
      <c r="Q5576">
        <v>3.01021125431572E-2</v>
      </c>
      <c r="R5576">
        <v>0.71062790118596197</v>
      </c>
      <c r="S5576" t="s">
        <v>12246</v>
      </c>
      <c r="T5576" t="s">
        <v>13338</v>
      </c>
      <c r="U5576" t="s">
        <v>13338</v>
      </c>
      <c r="V5576" t="s">
        <v>13338</v>
      </c>
      <c r="W5576" t="s">
        <v>18857</v>
      </c>
      <c r="X5576">
        <v>24</v>
      </c>
      <c r="Y5576" t="s">
        <v>25349</v>
      </c>
      <c r="Z5576" t="s">
        <v>31991</v>
      </c>
      <c r="AA5576">
        <v>0.31319780211561599</v>
      </c>
      <c r="AB5576" t="str">
        <f>HYPERLINK("Melting_Curves/meltCurve_Q9H0A0_NAT10.pdf", "Melting_Curves/meltCurve_Q9H0A0_NAT10.pdf")</f>
        <v>Melting_Curves/meltCurve_Q9H0A0_NAT10.pdf</v>
      </c>
    </row>
    <row r="5577" spans="1:28" x14ac:dyDescent="0.25">
      <c r="A5577" t="s">
        <v>5581</v>
      </c>
      <c r="B5577">
        <v>0.99193492352474899</v>
      </c>
      <c r="C5577">
        <v>0.79584052050486997</v>
      </c>
      <c r="D5577">
        <v>0.97694570237787204</v>
      </c>
      <c r="E5577">
        <v>0.63545624202000295</v>
      </c>
      <c r="F5577">
        <v>0.32557632666530101</v>
      </c>
      <c r="G5577">
        <v>0.121579697787584</v>
      </c>
      <c r="H5577">
        <v>6.7017414555983201E-2</v>
      </c>
      <c r="I5577">
        <v>6.8508329139724697E-2</v>
      </c>
      <c r="J5577">
        <v>7.9413100450205304E-2</v>
      </c>
      <c r="K5577">
        <v>6.7323725550710298E-2</v>
      </c>
      <c r="L5577">
        <v>1107.07937319146</v>
      </c>
      <c r="M5577">
        <v>21.8022866533978</v>
      </c>
      <c r="N5577">
        <v>51.062989506531302</v>
      </c>
      <c r="O5577">
        <v>50.356736546477698</v>
      </c>
      <c r="P5577">
        <v>-0.102043774358388</v>
      </c>
      <c r="Q5577">
        <v>5.7260018307163402E-2</v>
      </c>
      <c r="R5577">
        <v>0.97109894735836499</v>
      </c>
      <c r="S5577" t="s">
        <v>12247</v>
      </c>
      <c r="T5577" t="s">
        <v>13338</v>
      </c>
      <c r="U5577" t="s">
        <v>13338</v>
      </c>
      <c r="V5577" t="s">
        <v>13338</v>
      </c>
      <c r="W5577" t="s">
        <v>18858</v>
      </c>
      <c r="X5577">
        <v>5</v>
      </c>
      <c r="Y5577" t="s">
        <v>25350</v>
      </c>
      <c r="Z5577" t="s">
        <v>31992</v>
      </c>
      <c r="AA5577">
        <v>0.40706278614683522</v>
      </c>
      <c r="AB5577" t="str">
        <f>HYPERLINK("Melting_Curves/meltCurve_Q9H0A8_COMMD4.pdf", "Melting_Curves/meltCurve_Q9H0A8_COMMD4.pdf")</f>
        <v>Melting_Curves/meltCurve_Q9H0A8_COMMD4.pdf</v>
      </c>
    </row>
    <row r="5578" spans="1:28" x14ac:dyDescent="0.25">
      <c r="A5578" t="s">
        <v>5582</v>
      </c>
      <c r="B5578">
        <v>0.99193492352474899</v>
      </c>
      <c r="C5578">
        <v>0.93378813296211105</v>
      </c>
      <c r="D5578">
        <v>0.80575835111598504</v>
      </c>
      <c r="E5578">
        <v>0.44276408921238802</v>
      </c>
      <c r="F5578">
        <v>0.163037271939971</v>
      </c>
      <c r="G5578">
        <v>0.117232763710543</v>
      </c>
      <c r="H5578">
        <v>6.0615145019491501E-2</v>
      </c>
      <c r="I5578">
        <v>7.5702335283317407E-2</v>
      </c>
      <c r="J5578">
        <v>7.3022138868555006E-2</v>
      </c>
      <c r="K5578">
        <v>8.9504161881797897E-2</v>
      </c>
      <c r="L5578">
        <v>1116.454685341</v>
      </c>
      <c r="M5578">
        <v>22.961225099749999</v>
      </c>
      <c r="N5578">
        <v>48.949852514214697</v>
      </c>
      <c r="O5578">
        <v>48.2591735616964</v>
      </c>
      <c r="P5578">
        <v>-0.110507236075855</v>
      </c>
      <c r="Q5578">
        <v>7.0975134155422295E-2</v>
      </c>
      <c r="R5578">
        <v>0.99848062585888697</v>
      </c>
      <c r="S5578" t="s">
        <v>12248</v>
      </c>
      <c r="T5578" t="s">
        <v>13338</v>
      </c>
      <c r="U5578" t="s">
        <v>13338</v>
      </c>
      <c r="V5578" t="s">
        <v>13338</v>
      </c>
      <c r="W5578" t="s">
        <v>18859</v>
      </c>
      <c r="X5578">
        <v>27</v>
      </c>
      <c r="Y5578" t="s">
        <v>25351</v>
      </c>
      <c r="Z5578" t="s">
        <v>31993</v>
      </c>
      <c r="AA5578">
        <v>0.34783252175939788</v>
      </c>
      <c r="AB5578" t="str">
        <f>HYPERLINK("Melting_Curves/meltCurve_Q9H0B6_KLC2.pdf", "Melting_Curves/meltCurve_Q9H0B6_KLC2.pdf")</f>
        <v>Melting_Curves/meltCurve_Q9H0B6_KLC2.pdf</v>
      </c>
    </row>
    <row r="5579" spans="1:28" x14ac:dyDescent="0.25">
      <c r="A5579" t="s">
        <v>5583</v>
      </c>
      <c r="B5579">
        <v>0.99193492352474899</v>
      </c>
      <c r="C5579">
        <v>0.86344826150931997</v>
      </c>
      <c r="D5579">
        <v>0.74594614634673595</v>
      </c>
      <c r="E5579">
        <v>0.38737514612197999</v>
      </c>
      <c r="F5579">
        <v>0.170586073345394</v>
      </c>
      <c r="G5579">
        <v>0.11920626907186201</v>
      </c>
      <c r="H5579">
        <v>6.5286006640599095E-2</v>
      </c>
      <c r="I5579">
        <v>6.1510145661334503E-2</v>
      </c>
      <c r="J5579">
        <v>7.04149254505025E-2</v>
      </c>
      <c r="K5579">
        <v>5.7986860765792701E-2</v>
      </c>
      <c r="L5579">
        <v>905.48779809049802</v>
      </c>
      <c r="M5579">
        <v>18.843954761061401</v>
      </c>
      <c r="N5579">
        <v>48.355077821917703</v>
      </c>
      <c r="O5579">
        <v>47.5205602754951</v>
      </c>
      <c r="P5579">
        <v>-9.3615696060404999E-2</v>
      </c>
      <c r="Q5579">
        <v>5.57211199683448E-2</v>
      </c>
      <c r="R5579">
        <v>0.99675627104072995</v>
      </c>
      <c r="S5579" t="s">
        <v>12249</v>
      </c>
      <c r="T5579" t="s">
        <v>13338</v>
      </c>
      <c r="U5579" t="s">
        <v>13338</v>
      </c>
      <c r="V5579" t="s">
        <v>13338</v>
      </c>
      <c r="W5579" t="s">
        <v>18860</v>
      </c>
      <c r="X5579">
        <v>14</v>
      </c>
      <c r="Y5579" t="s">
        <v>25352</v>
      </c>
      <c r="Z5579" t="s">
        <v>31994</v>
      </c>
      <c r="AA5579">
        <v>0.32436099346709663</v>
      </c>
      <c r="AB5579" t="str">
        <f>HYPERLINK("Melting_Curves/meltCurve_Q9H0C8_ILKAP.pdf", "Melting_Curves/meltCurve_Q9H0C8_ILKAP.pdf")</f>
        <v>Melting_Curves/meltCurve_Q9H0C8_ILKAP.pdf</v>
      </c>
    </row>
    <row r="5580" spans="1:28" x14ac:dyDescent="0.25">
      <c r="A5580" t="s">
        <v>5584</v>
      </c>
      <c r="B5580">
        <v>0.99193492352474899</v>
      </c>
      <c r="C5580">
        <v>0.87263339271963503</v>
      </c>
      <c r="D5580">
        <v>0.88658812256574004</v>
      </c>
      <c r="E5580">
        <v>0.732145607990629</v>
      </c>
      <c r="F5580">
        <v>0.55922476736745996</v>
      </c>
      <c r="G5580">
        <v>0.40342048591184598</v>
      </c>
      <c r="H5580">
        <v>0.27994165708095098</v>
      </c>
      <c r="I5580">
        <v>0.20185696798636599</v>
      </c>
      <c r="J5580">
        <v>0.18683522744074199</v>
      </c>
      <c r="K5580">
        <v>0.17360353563516401</v>
      </c>
      <c r="L5580">
        <v>572.55825549674</v>
      </c>
      <c r="M5580">
        <v>10.7203390214704</v>
      </c>
      <c r="N5580">
        <v>54.429529846477699</v>
      </c>
      <c r="O5580">
        <v>51.650795265503099</v>
      </c>
      <c r="P5580">
        <v>-4.7180184760303202E-2</v>
      </c>
      <c r="Q5580">
        <v>9.1078283978306404E-2</v>
      </c>
      <c r="R5580">
        <v>0.99349932780295103</v>
      </c>
      <c r="S5580" t="s">
        <v>12250</v>
      </c>
      <c r="T5580" t="s">
        <v>13338</v>
      </c>
      <c r="U5580" t="s">
        <v>13338</v>
      </c>
      <c r="V5580" t="s">
        <v>13338</v>
      </c>
      <c r="W5580" t="s">
        <v>18861</v>
      </c>
      <c r="X5580">
        <v>36</v>
      </c>
      <c r="Y5580" t="s">
        <v>25353</v>
      </c>
      <c r="Z5580" t="s">
        <v>31995</v>
      </c>
      <c r="AA5580">
        <v>0.52524941819282678</v>
      </c>
      <c r="AB5580" t="str">
        <f>HYPERLINK("Melting_Curves/meltCurve_Q9H0D6_XRN2.pdf", "Melting_Curves/meltCurve_Q9H0D6_XRN2.pdf")</f>
        <v>Melting_Curves/meltCurve_Q9H0D6_XRN2.pdf</v>
      </c>
    </row>
    <row r="5581" spans="1:28" x14ac:dyDescent="0.25">
      <c r="A5581" t="s">
        <v>5585</v>
      </c>
      <c r="B5581">
        <v>0.99193492352474899</v>
      </c>
      <c r="C5581">
        <v>0.95523950448667505</v>
      </c>
      <c r="D5581">
        <v>0.77971710025208096</v>
      </c>
      <c r="E5581">
        <v>0.57467419259747599</v>
      </c>
      <c r="F5581">
        <v>0.28882158253339302</v>
      </c>
      <c r="G5581">
        <v>0.14265588236403601</v>
      </c>
      <c r="H5581">
        <v>8.5155751757575698E-2</v>
      </c>
      <c r="I5581">
        <v>0.104933046908863</v>
      </c>
      <c r="J5581">
        <v>9.2584770741703806E-2</v>
      </c>
      <c r="K5581">
        <v>0.11217217107966999</v>
      </c>
      <c r="L5581">
        <v>884.88593772842796</v>
      </c>
      <c r="M5581">
        <v>17.839446293641601</v>
      </c>
      <c r="N5581">
        <v>50.090113967810801</v>
      </c>
      <c r="O5581">
        <v>48.992070079900103</v>
      </c>
      <c r="P5581">
        <v>-8.37841231748849E-2</v>
      </c>
      <c r="Q5581">
        <v>7.9669233422355906E-2</v>
      </c>
      <c r="R5581">
        <v>0.99613575552551104</v>
      </c>
      <c r="S5581" t="s">
        <v>12251</v>
      </c>
      <c r="T5581" t="s">
        <v>13338</v>
      </c>
      <c r="U5581" t="s">
        <v>13338</v>
      </c>
      <c r="V5581" t="s">
        <v>13338</v>
      </c>
      <c r="W5581" t="s">
        <v>18862</v>
      </c>
      <c r="X5581">
        <v>6</v>
      </c>
      <c r="Y5581" t="s">
        <v>25354</v>
      </c>
      <c r="Z5581" t="s">
        <v>31996</v>
      </c>
      <c r="AA5581">
        <v>0.3903174993333271</v>
      </c>
      <c r="AB5581" t="str">
        <f>HYPERLINK("Melting_Curves/meltCurve_Q9H0E2_TOLLIP.pdf", "Melting_Curves/meltCurve_Q9H0E2_TOLLIP.pdf")</f>
        <v>Melting_Curves/meltCurve_Q9H0E2_TOLLIP.pdf</v>
      </c>
    </row>
    <row r="5582" spans="1:28" x14ac:dyDescent="0.25">
      <c r="A5582" t="s">
        <v>5586</v>
      </c>
      <c r="B5582">
        <v>0.99193492352474899</v>
      </c>
      <c r="C5582">
        <v>1.2191532354996599</v>
      </c>
      <c r="D5582">
        <v>0.74426814573479805</v>
      </c>
      <c r="E5582">
        <v>0.449447741525133</v>
      </c>
      <c r="F5582">
        <v>0.32692760080293198</v>
      </c>
      <c r="G5582">
        <v>0.21224433181777699</v>
      </c>
      <c r="H5582">
        <v>0.17753015846044501</v>
      </c>
      <c r="I5582">
        <v>0.26373967593424902</v>
      </c>
      <c r="J5582">
        <v>0.270858751715987</v>
      </c>
      <c r="K5582">
        <v>0.50617194553593403</v>
      </c>
      <c r="L5582">
        <v>1694.2241359254199</v>
      </c>
      <c r="M5582">
        <v>35.871324724878598</v>
      </c>
      <c r="N5582">
        <v>48.436548841675901</v>
      </c>
      <c r="O5582">
        <v>47.084548888619601</v>
      </c>
      <c r="P5582">
        <v>-0.134217513022204</v>
      </c>
      <c r="Q5582">
        <v>0.29530912667453901</v>
      </c>
      <c r="R5582">
        <v>0.88649736116845801</v>
      </c>
      <c r="S5582" t="s">
        <v>12252</v>
      </c>
      <c r="T5582" t="s">
        <v>13338</v>
      </c>
      <c r="U5582" t="s">
        <v>13338</v>
      </c>
      <c r="V5582" t="s">
        <v>13338</v>
      </c>
      <c r="W5582" t="s">
        <v>18863</v>
      </c>
      <c r="X5582">
        <v>1</v>
      </c>
      <c r="Y5582" t="s">
        <v>25355</v>
      </c>
      <c r="Z5582" t="s">
        <v>31997</v>
      </c>
      <c r="AA5582">
        <v>0.46805315169195899</v>
      </c>
      <c r="AB5582" t="str">
        <f>HYPERLINK("Melting_Curves/meltCurve_Q9H0F6_2_SHARPIN.pdf", "Melting_Curves/meltCurve_Q9H0F6_2_SHARPIN.pdf")</f>
        <v>Melting_Curves/meltCurve_Q9H0F6_2_SHARPIN.pdf</v>
      </c>
    </row>
    <row r="5583" spans="1:28" x14ac:dyDescent="0.25">
      <c r="A5583" t="s">
        <v>5587</v>
      </c>
      <c r="B5583">
        <v>0.99193492352474899</v>
      </c>
      <c r="C5583">
        <v>0.99377495523230497</v>
      </c>
      <c r="D5583">
        <v>0.91463246706478896</v>
      </c>
      <c r="E5583">
        <v>0.58695173719435101</v>
      </c>
      <c r="F5583">
        <v>0.187718610866348</v>
      </c>
      <c r="G5583">
        <v>9.1551084389364407E-2</v>
      </c>
      <c r="H5583">
        <v>6.2046758047592597E-2</v>
      </c>
      <c r="I5583">
        <v>5.3092213168567597E-2</v>
      </c>
      <c r="J5583">
        <v>6.7593624214962705E-2</v>
      </c>
      <c r="K5583">
        <v>5.4116162022719301E-2</v>
      </c>
      <c r="L5583">
        <v>1433.06090196218</v>
      </c>
      <c r="M5583">
        <v>28.677588774932602</v>
      </c>
      <c r="N5583">
        <v>50.183231737101202</v>
      </c>
      <c r="O5583">
        <v>49.730367693463002</v>
      </c>
      <c r="P5583">
        <v>-0.13595020598978899</v>
      </c>
      <c r="Q5583">
        <v>5.6991874510400699E-2</v>
      </c>
      <c r="R5583">
        <v>0.99966164806970803</v>
      </c>
      <c r="S5583" t="s">
        <v>12253</v>
      </c>
      <c r="T5583" t="s">
        <v>13338</v>
      </c>
      <c r="U5583" t="s">
        <v>13338</v>
      </c>
      <c r="V5583" t="s">
        <v>13338</v>
      </c>
      <c r="W5583" t="s">
        <v>18864</v>
      </c>
      <c r="X5583">
        <v>4</v>
      </c>
      <c r="Y5583" t="s">
        <v>25356</v>
      </c>
      <c r="Z5583" t="s">
        <v>31998</v>
      </c>
      <c r="AA5583">
        <v>0.37681760187859248</v>
      </c>
      <c r="AB5583" t="str">
        <f>HYPERLINK("Melting_Curves/meltCurve_Q9H0F7_ARL6.pdf", "Melting_Curves/meltCurve_Q9H0F7_ARL6.pdf")</f>
        <v>Melting_Curves/meltCurve_Q9H0F7_ARL6.pdf</v>
      </c>
    </row>
    <row r="5584" spans="1:28" x14ac:dyDescent="0.25">
      <c r="A5584" t="s">
        <v>5588</v>
      </c>
      <c r="B5584">
        <v>0.99193492352474899</v>
      </c>
      <c r="C5584">
        <v>0.85317757203674605</v>
      </c>
      <c r="D5584">
        <v>0.91192942864502402</v>
      </c>
      <c r="E5584">
        <v>0.68133561045688795</v>
      </c>
      <c r="F5584">
        <v>0.62264316878737402</v>
      </c>
      <c r="G5584">
        <v>0.44220466074313203</v>
      </c>
      <c r="H5584">
        <v>0.44705188978912203</v>
      </c>
      <c r="I5584">
        <v>0.57531163793965301</v>
      </c>
      <c r="J5584">
        <v>0.70613850168815795</v>
      </c>
      <c r="K5584">
        <v>0.92856709810522298</v>
      </c>
      <c r="L5584">
        <v>1220.0858572897</v>
      </c>
      <c r="M5584">
        <v>26.019211776255801</v>
      </c>
      <c r="O5584">
        <v>46.6173680123648</v>
      </c>
      <c r="P5584">
        <v>-5.3364099370458398E-2</v>
      </c>
      <c r="Q5584">
        <v>0.61756481662006202</v>
      </c>
      <c r="R5584">
        <v>0.48072965156203901</v>
      </c>
      <c r="S5584" t="s">
        <v>12254</v>
      </c>
      <c r="T5584" t="s">
        <v>13338</v>
      </c>
      <c r="U5584" t="s">
        <v>13338</v>
      </c>
      <c r="V5584" t="s">
        <v>13338</v>
      </c>
      <c r="W5584" t="s">
        <v>18865</v>
      </c>
      <c r="X5584">
        <v>18</v>
      </c>
      <c r="Y5584" t="s">
        <v>25357</v>
      </c>
      <c r="Z5584" t="s">
        <v>31999</v>
      </c>
      <c r="AA5584">
        <v>0.7085523279507826</v>
      </c>
      <c r="AB5584" t="str">
        <f>HYPERLINK("Melting_Curves/meltCurve_Q9H0G5_NSRP1.pdf", "Melting_Curves/meltCurve_Q9H0G5_NSRP1.pdf")</f>
        <v>Melting_Curves/meltCurve_Q9H0G5_NSRP1.pdf</v>
      </c>
    </row>
    <row r="5585" spans="1:28" x14ac:dyDescent="0.25">
      <c r="A5585" t="s">
        <v>5589</v>
      </c>
      <c r="B5585">
        <v>0.99193492352474899</v>
      </c>
      <c r="C5585">
        <v>0.34131108297354201</v>
      </c>
      <c r="D5585">
        <v>0.603177197463031</v>
      </c>
      <c r="E5585">
        <v>0.18268849427903699</v>
      </c>
      <c r="F5585">
        <v>0.115243600820465</v>
      </c>
      <c r="G5585">
        <v>6.58023755296296E-2</v>
      </c>
      <c r="H5585">
        <v>4.59165244744024E-2</v>
      </c>
      <c r="I5585">
        <v>6.5369750855825304E-2</v>
      </c>
      <c r="J5585">
        <v>8.09113923715023E-2</v>
      </c>
      <c r="K5585">
        <v>8.3825642637753994E-2</v>
      </c>
      <c r="L5585">
        <v>617.86124380283798</v>
      </c>
      <c r="M5585">
        <v>14.005331853831899</v>
      </c>
      <c r="N5585">
        <v>44.4748052230375</v>
      </c>
      <c r="O5585">
        <v>43.245928057418602</v>
      </c>
      <c r="P5585">
        <v>-7.6650029736466105E-2</v>
      </c>
      <c r="Q5585">
        <v>5.3399443812966303E-2</v>
      </c>
      <c r="R5585">
        <v>0.82215351776531298</v>
      </c>
      <c r="S5585" t="s">
        <v>12255</v>
      </c>
      <c r="T5585" t="s">
        <v>13338</v>
      </c>
      <c r="U5585" t="s">
        <v>13338</v>
      </c>
      <c r="V5585" t="s">
        <v>13338</v>
      </c>
      <c r="W5585" t="s">
        <v>18866</v>
      </c>
      <c r="X5585">
        <v>7</v>
      </c>
      <c r="Y5585" t="s">
        <v>25358</v>
      </c>
      <c r="Z5585" t="s">
        <v>32000</v>
      </c>
      <c r="AA5585">
        <v>0.22207931661724881</v>
      </c>
      <c r="AB5585" t="str">
        <f>HYPERLINK("Melting_Curves/meltCurve_Q9H0H5_RACGAP1.pdf", "Melting_Curves/meltCurve_Q9H0H5_RACGAP1.pdf")</f>
        <v>Melting_Curves/meltCurve_Q9H0H5_RACGAP1.pdf</v>
      </c>
    </row>
    <row r="5586" spans="1:28" x14ac:dyDescent="0.25">
      <c r="A5586" t="s">
        <v>5590</v>
      </c>
      <c r="B5586">
        <v>0.99193492352474899</v>
      </c>
      <c r="C5586">
        <v>0.80574758238124899</v>
      </c>
      <c r="D5586">
        <v>0.80048627393556104</v>
      </c>
      <c r="E5586">
        <v>0.54464411970889004</v>
      </c>
      <c r="F5586">
        <v>0.38750558197982798</v>
      </c>
      <c r="G5586">
        <v>0.26366941092500001</v>
      </c>
      <c r="H5586">
        <v>0.20063971564514099</v>
      </c>
      <c r="I5586">
        <v>0.16833773374698599</v>
      </c>
      <c r="J5586">
        <v>0.15408913617856801</v>
      </c>
      <c r="K5586">
        <v>0.106844447451085</v>
      </c>
      <c r="L5586">
        <v>573.99020907836405</v>
      </c>
      <c r="M5586">
        <v>11.520050575455301</v>
      </c>
      <c r="N5586">
        <v>50.750939487224798</v>
      </c>
      <c r="O5586">
        <v>48.394887758231697</v>
      </c>
      <c r="P5586">
        <v>-5.3887155828851799E-2</v>
      </c>
      <c r="Q5586">
        <v>9.4751641421642302E-2</v>
      </c>
      <c r="R5586">
        <v>0.98863229408150299</v>
      </c>
      <c r="S5586" t="s">
        <v>12256</v>
      </c>
      <c r="T5586" t="s">
        <v>13338</v>
      </c>
      <c r="U5586" t="s">
        <v>13338</v>
      </c>
      <c r="V5586" t="s">
        <v>13338</v>
      </c>
      <c r="W5586" t="s">
        <v>18867</v>
      </c>
      <c r="X5586">
        <v>6</v>
      </c>
      <c r="Y5586" t="s">
        <v>25359</v>
      </c>
      <c r="Z5586" t="s">
        <v>32001</v>
      </c>
      <c r="AA5586">
        <v>0.42497331094782709</v>
      </c>
      <c r="AB5586" t="str">
        <f>HYPERLINK("Melting_Curves/meltCurve_Q9H0K6_PUS7L.pdf", "Melting_Curves/meltCurve_Q9H0K6_PUS7L.pdf")</f>
        <v>Melting_Curves/meltCurve_Q9H0K6_PUS7L.pdf</v>
      </c>
    </row>
    <row r="5587" spans="1:28" x14ac:dyDescent="0.25">
      <c r="A5587" t="s">
        <v>5591</v>
      </c>
      <c r="B5587">
        <v>0.99193492352474899</v>
      </c>
      <c r="C5587">
        <v>0.90593505825534704</v>
      </c>
      <c r="D5587">
        <v>0.67411765973204496</v>
      </c>
      <c r="E5587">
        <v>0.56176552663269197</v>
      </c>
      <c r="F5587">
        <v>0.17126697837475999</v>
      </c>
      <c r="G5587">
        <v>0.13035265268344501</v>
      </c>
      <c r="H5587">
        <v>7.1068294360845705E-2</v>
      </c>
      <c r="I5587">
        <v>0.124454789977575</v>
      </c>
      <c r="J5587">
        <v>0.106344993337869</v>
      </c>
      <c r="K5587">
        <v>9.7567622147141903E-2</v>
      </c>
      <c r="L5587">
        <v>819.46682564851403</v>
      </c>
      <c r="M5587">
        <v>16.888873412805399</v>
      </c>
      <c r="N5587">
        <v>49.004975427973598</v>
      </c>
      <c r="O5587">
        <v>47.856154740663499</v>
      </c>
      <c r="P5587">
        <v>-8.1456763263654697E-2</v>
      </c>
      <c r="Q5587">
        <v>7.6798036130048805E-2</v>
      </c>
      <c r="R5587">
        <v>0.97905248953058399</v>
      </c>
      <c r="S5587" t="s">
        <v>12257</v>
      </c>
      <c r="T5587" t="s">
        <v>13338</v>
      </c>
      <c r="U5587" t="s">
        <v>13338</v>
      </c>
      <c r="V5587" t="s">
        <v>13338</v>
      </c>
      <c r="W5587" t="s">
        <v>18868</v>
      </c>
      <c r="X5587">
        <v>14</v>
      </c>
      <c r="Y5587" t="s">
        <v>25360</v>
      </c>
      <c r="Z5587" t="s">
        <v>32002</v>
      </c>
      <c r="AA5587">
        <v>0.35739834621080269</v>
      </c>
      <c r="AB5587" t="str">
        <f>HYPERLINK("Melting_Curves/meltCurve_Q9H0L4_CSTF2T.pdf", "Melting_Curves/meltCurve_Q9H0L4_CSTF2T.pdf")</f>
        <v>Melting_Curves/meltCurve_Q9H0L4_CSTF2T.pdf</v>
      </c>
    </row>
    <row r="5588" spans="1:28" x14ac:dyDescent="0.25">
      <c r="A5588" t="s">
        <v>5592</v>
      </c>
      <c r="B5588">
        <v>0.99193492352474899</v>
      </c>
      <c r="C5588">
        <v>0.88457753012503004</v>
      </c>
      <c r="D5588">
        <v>0.83543643238398202</v>
      </c>
      <c r="E5588">
        <v>0.52248103386349298</v>
      </c>
      <c r="F5588">
        <v>0.24603336068904499</v>
      </c>
      <c r="G5588">
        <v>0.11420964123392301</v>
      </c>
      <c r="H5588">
        <v>7.9287786280815703E-2</v>
      </c>
      <c r="I5588">
        <v>6.2042350085746101E-2</v>
      </c>
      <c r="J5588">
        <v>7.5497504654139194E-2</v>
      </c>
      <c r="K5588">
        <v>6.9801285898168697E-2</v>
      </c>
      <c r="L5588">
        <v>928.35971417462702</v>
      </c>
      <c r="M5588">
        <v>18.777101243808801</v>
      </c>
      <c r="N5588">
        <v>49.749723781301697</v>
      </c>
      <c r="O5588">
        <v>48.890529175383101</v>
      </c>
      <c r="P5588">
        <v>-9.0740364698609202E-2</v>
      </c>
      <c r="Q5588">
        <v>5.4985297078967099E-2</v>
      </c>
      <c r="R5588">
        <v>0.99591920913556498</v>
      </c>
      <c r="S5588" t="s">
        <v>12258</v>
      </c>
      <c r="T5588" t="s">
        <v>13338</v>
      </c>
      <c r="U5588" t="s">
        <v>13338</v>
      </c>
      <c r="V5588" t="s">
        <v>13338</v>
      </c>
      <c r="W5588" t="s">
        <v>18869</v>
      </c>
      <c r="X5588">
        <v>8</v>
      </c>
      <c r="Y5588" t="s">
        <v>25361</v>
      </c>
      <c r="Z5588" t="s">
        <v>32003</v>
      </c>
      <c r="AA5588">
        <v>0.36733516468345939</v>
      </c>
      <c r="AB5588" t="str">
        <f>HYPERLINK("Melting_Curves/meltCurve_Q9H0P0_NT5C3A.pdf", "Melting_Curves/meltCurve_Q9H0P0_NT5C3A.pdf")</f>
        <v>Melting_Curves/meltCurve_Q9H0P0_NT5C3A.pdf</v>
      </c>
    </row>
    <row r="5589" spans="1:28" x14ac:dyDescent="0.25">
      <c r="A5589" t="s">
        <v>5593</v>
      </c>
      <c r="B5589">
        <v>0.99193492352474899</v>
      </c>
      <c r="C5589">
        <v>1.06691278462907</v>
      </c>
      <c r="D5589">
        <v>0.93267650964701099</v>
      </c>
      <c r="E5589">
        <v>0.89781542961833005</v>
      </c>
      <c r="F5589">
        <v>0.64394584184861303</v>
      </c>
      <c r="G5589">
        <v>0.51247933181060901</v>
      </c>
      <c r="H5589">
        <v>0.41225337240021498</v>
      </c>
      <c r="I5589">
        <v>0.39527010875949897</v>
      </c>
      <c r="J5589">
        <v>0.38261270752764898</v>
      </c>
      <c r="K5589">
        <v>0.34852062671950801</v>
      </c>
      <c r="L5589">
        <v>1061.47061845493</v>
      </c>
      <c r="M5589">
        <v>20.039201085965999</v>
      </c>
      <c r="N5589">
        <v>56.696386394657701</v>
      </c>
      <c r="O5589">
        <v>52.450675486411797</v>
      </c>
      <c r="P5589">
        <v>-6.05528111178152E-2</v>
      </c>
      <c r="Q5589">
        <v>0.36605590646435698</v>
      </c>
      <c r="R5589">
        <v>0.98763667400191901</v>
      </c>
      <c r="S5589" t="s">
        <v>12259</v>
      </c>
      <c r="T5589" t="s">
        <v>13338</v>
      </c>
      <c r="U5589" t="s">
        <v>13338</v>
      </c>
      <c r="V5589" t="s">
        <v>13338</v>
      </c>
      <c r="W5589" t="s">
        <v>18870</v>
      </c>
      <c r="X5589">
        <v>9</v>
      </c>
      <c r="Y5589" t="s">
        <v>25362</v>
      </c>
      <c r="Z5589" t="s">
        <v>32004</v>
      </c>
      <c r="AA5589">
        <v>0.64881712832162242</v>
      </c>
      <c r="AB5589" t="str">
        <f>HYPERLINK("Melting_Curves/meltCurve_Q9H0R4_HDHD2.pdf", "Melting_Curves/meltCurve_Q9H0R4_HDHD2.pdf")</f>
        <v>Melting_Curves/meltCurve_Q9H0R4_HDHD2.pdf</v>
      </c>
    </row>
    <row r="5590" spans="1:28" x14ac:dyDescent="0.25">
      <c r="A5590" t="s">
        <v>5594</v>
      </c>
      <c r="B5590">
        <v>0.99193492352474899</v>
      </c>
      <c r="C5590">
        <v>1.00289805521416</v>
      </c>
      <c r="D5590">
        <v>0.97857053363029201</v>
      </c>
      <c r="E5590">
        <v>0.50514234659573598</v>
      </c>
      <c r="F5590">
        <v>0.17066784593312001</v>
      </c>
      <c r="G5590">
        <v>8.8137700880183398E-2</v>
      </c>
      <c r="H5590">
        <v>4.5627862118231097E-2</v>
      </c>
      <c r="I5590">
        <v>5.0117964015187699E-2</v>
      </c>
      <c r="J5590">
        <v>5.9446423108327498E-2</v>
      </c>
      <c r="K5590">
        <v>6.2553087351391201E-2</v>
      </c>
      <c r="L5590">
        <v>1743.11142011778</v>
      </c>
      <c r="M5590">
        <v>35.177054091918102</v>
      </c>
      <c r="N5590">
        <v>49.742678631249497</v>
      </c>
      <c r="O5590">
        <v>49.393192281432199</v>
      </c>
      <c r="P5590">
        <v>-0.166845793249526</v>
      </c>
      <c r="Q5590">
        <v>6.2909859540640406E-2</v>
      </c>
      <c r="R5590">
        <v>0.997933645901805</v>
      </c>
      <c r="S5590" t="s">
        <v>12260</v>
      </c>
      <c r="T5590" t="s">
        <v>13338</v>
      </c>
      <c r="U5590" t="s">
        <v>13338</v>
      </c>
      <c r="V5590" t="s">
        <v>13338</v>
      </c>
      <c r="W5590" t="s">
        <v>18871</v>
      </c>
      <c r="X5590">
        <v>13</v>
      </c>
      <c r="Y5590" t="s">
        <v>25363</v>
      </c>
      <c r="Z5590" t="s">
        <v>32005</v>
      </c>
      <c r="AA5590">
        <v>0.36546055023962432</v>
      </c>
      <c r="AB5590" t="str">
        <f>HYPERLINK("Melting_Curves/meltCurve_Q9H0R6_QRSL1.pdf", "Melting_Curves/meltCurve_Q9H0R6_QRSL1.pdf")</f>
        <v>Melting_Curves/meltCurve_Q9H0R6_QRSL1.pdf</v>
      </c>
    </row>
    <row r="5591" spans="1:28" x14ac:dyDescent="0.25">
      <c r="A5591" t="s">
        <v>5595</v>
      </c>
      <c r="B5591">
        <v>0.99193492352474899</v>
      </c>
      <c r="C5591">
        <v>0.429609733530181</v>
      </c>
      <c r="D5591">
        <v>0.86616460062413303</v>
      </c>
      <c r="E5591">
        <v>0.394669377849449</v>
      </c>
      <c r="F5591">
        <v>0.24383717501496899</v>
      </c>
      <c r="G5591">
        <v>9.2422110442006794E-2</v>
      </c>
      <c r="H5591">
        <v>5.9729412581359498E-2</v>
      </c>
      <c r="I5591">
        <v>6.2279091516739903E-2</v>
      </c>
      <c r="J5591">
        <v>7.5360338337103899E-2</v>
      </c>
      <c r="K5591">
        <v>6.5394257713641699E-2</v>
      </c>
      <c r="L5591">
        <v>491.47216476367697</v>
      </c>
      <c r="M5591">
        <v>10.2931391955854</v>
      </c>
      <c r="N5591">
        <v>47.747549488485298</v>
      </c>
      <c r="O5591">
        <v>46.050682908026403</v>
      </c>
      <c r="P5591">
        <v>-5.5903742924899101E-2</v>
      </c>
      <c r="Q5591">
        <v>0</v>
      </c>
      <c r="R5591">
        <v>0.81172324620709901</v>
      </c>
      <c r="S5591" t="s">
        <v>12261</v>
      </c>
      <c r="T5591" t="s">
        <v>13338</v>
      </c>
      <c r="U5591" t="s">
        <v>13338</v>
      </c>
      <c r="V5591" t="s">
        <v>13338</v>
      </c>
      <c r="W5591" t="s">
        <v>18872</v>
      </c>
      <c r="X5591">
        <v>13</v>
      </c>
      <c r="Y5591" t="s">
        <v>25364</v>
      </c>
      <c r="Z5591" t="s">
        <v>32006</v>
      </c>
      <c r="AA5591">
        <v>0.30987931023811388</v>
      </c>
      <c r="AB5591" t="str">
        <f>HYPERLINK("Melting_Curves/meltCurve_Q9H0S4_2_DDX47.pdf", "Melting_Curves/meltCurve_Q9H0S4_2_DDX47.pdf")</f>
        <v>Melting_Curves/meltCurve_Q9H0S4_2_DDX47.pdf</v>
      </c>
    </row>
    <row r="5592" spans="1:28" x14ac:dyDescent="0.25">
      <c r="A5592" t="s">
        <v>5596</v>
      </c>
      <c r="B5592">
        <v>0.99193492352474899</v>
      </c>
      <c r="C5592">
        <v>0.84129784807461305</v>
      </c>
      <c r="D5592">
        <v>1.1669199901195499</v>
      </c>
      <c r="E5592">
        <v>0.82619541161868704</v>
      </c>
      <c r="F5592">
        <v>0.52563147094421303</v>
      </c>
      <c r="G5592">
        <v>0.23262456300439599</v>
      </c>
      <c r="H5592">
        <v>0.12236102241117899</v>
      </c>
      <c r="I5592">
        <v>0.132326568097825</v>
      </c>
      <c r="J5592">
        <v>0.171982227152669</v>
      </c>
      <c r="K5592">
        <v>0.146473385023523</v>
      </c>
      <c r="L5592">
        <v>1519.3407778367</v>
      </c>
      <c r="M5592">
        <v>28.846920885993701</v>
      </c>
      <c r="N5592">
        <v>53.267966149345298</v>
      </c>
      <c r="O5592">
        <v>52.417919428377999</v>
      </c>
      <c r="P5592">
        <v>-0.118528421230839</v>
      </c>
      <c r="Q5592">
        <v>0.13849167474730401</v>
      </c>
      <c r="R5592">
        <v>0.95811979782689705</v>
      </c>
      <c r="S5592" t="s">
        <v>12262</v>
      </c>
      <c r="T5592" t="s">
        <v>13338</v>
      </c>
      <c r="U5592" t="s">
        <v>13338</v>
      </c>
      <c r="V5592" t="s">
        <v>13338</v>
      </c>
      <c r="W5592" t="s">
        <v>18873</v>
      </c>
      <c r="X5592">
        <v>6</v>
      </c>
      <c r="Y5592" t="s">
        <v>25365</v>
      </c>
      <c r="Z5592" t="s">
        <v>32007</v>
      </c>
      <c r="AA5592">
        <v>0.50831379569724489</v>
      </c>
      <c r="AB5592" t="str">
        <f>HYPERLINK("Melting_Curves/meltCurve_Q9H0U3_MAGT1.pdf", "Melting_Curves/meltCurve_Q9H0U3_MAGT1.pdf")</f>
        <v>Melting_Curves/meltCurve_Q9H0U3_MAGT1.pdf</v>
      </c>
    </row>
    <row r="5593" spans="1:28" x14ac:dyDescent="0.25">
      <c r="A5593" t="s">
        <v>5597</v>
      </c>
      <c r="B5593">
        <v>0.99193492352474899</v>
      </c>
      <c r="C5593">
        <v>1.01766340077924</v>
      </c>
      <c r="D5593">
        <v>1.09749768265176</v>
      </c>
      <c r="E5593">
        <v>0.94938268322658903</v>
      </c>
      <c r="F5593">
        <v>0.77667083714909202</v>
      </c>
      <c r="G5593">
        <v>0.562145436699374</v>
      </c>
      <c r="H5593">
        <v>0.499193287201322</v>
      </c>
      <c r="I5593">
        <v>0.38892346543809198</v>
      </c>
      <c r="J5593">
        <v>0.297835864677159</v>
      </c>
      <c r="K5593">
        <v>0.114130486884943</v>
      </c>
      <c r="L5593">
        <v>669.68323668390701</v>
      </c>
      <c r="M5593">
        <v>11.199554586793001</v>
      </c>
      <c r="N5593">
        <v>60.0719374537275</v>
      </c>
      <c r="O5593">
        <v>57.984151942908802</v>
      </c>
      <c r="P5593">
        <v>-4.7089270225167602E-2</v>
      </c>
      <c r="Q5593">
        <v>2.5113993493837101E-2</v>
      </c>
      <c r="R5593">
        <v>0.96328360223569798</v>
      </c>
      <c r="S5593" t="s">
        <v>12263</v>
      </c>
      <c r="T5593" t="s">
        <v>13338</v>
      </c>
      <c r="U5593" t="s">
        <v>13338</v>
      </c>
      <c r="V5593" t="s">
        <v>13338</v>
      </c>
      <c r="W5593" t="s">
        <v>18874</v>
      </c>
      <c r="X5593">
        <v>17</v>
      </c>
      <c r="Y5593" t="s">
        <v>25366</v>
      </c>
      <c r="Z5593" t="s">
        <v>32008</v>
      </c>
      <c r="AA5593">
        <v>0.66994411358347228</v>
      </c>
      <c r="AB5593" t="str">
        <f>HYPERLINK("Melting_Curves/meltCurve_Q9H0U4_RAB1B.pdf", "Melting_Curves/meltCurve_Q9H0U4_RAB1B.pdf")</f>
        <v>Melting_Curves/meltCurve_Q9H0U4_RAB1B.pdf</v>
      </c>
    </row>
    <row r="5594" spans="1:28" x14ac:dyDescent="0.25">
      <c r="A5594" t="s">
        <v>5598</v>
      </c>
      <c r="B5594">
        <v>0.99193492352474899</v>
      </c>
      <c r="C5594">
        <v>0.59927668117892197</v>
      </c>
      <c r="D5594">
        <v>0.42917002269793397</v>
      </c>
      <c r="E5594">
        <v>0.51823821202440801</v>
      </c>
      <c r="F5594">
        <v>0.20166677367142</v>
      </c>
      <c r="G5594">
        <v>0.13134928550705399</v>
      </c>
      <c r="H5594">
        <v>7.7841770391452098E-2</v>
      </c>
      <c r="I5594">
        <v>0.20245158978773001</v>
      </c>
      <c r="J5594">
        <v>0.24653154103928099</v>
      </c>
      <c r="K5594">
        <v>0.20797377435820799</v>
      </c>
      <c r="L5594">
        <v>649.14511350897101</v>
      </c>
      <c r="M5594">
        <v>14.5718346125372</v>
      </c>
      <c r="N5594">
        <v>45.881893771045497</v>
      </c>
      <c r="O5594">
        <v>43.734184870221497</v>
      </c>
      <c r="P5594">
        <v>-6.8922126019385702E-2</v>
      </c>
      <c r="Q5594">
        <v>0.172674854245781</v>
      </c>
      <c r="R5594">
        <v>0.86870456109531902</v>
      </c>
      <c r="S5594" t="s">
        <v>12264</v>
      </c>
      <c r="T5594" t="s">
        <v>13338</v>
      </c>
      <c r="U5594" t="s">
        <v>13338</v>
      </c>
      <c r="V5594" t="s">
        <v>13338</v>
      </c>
      <c r="W5594" t="s">
        <v>18875</v>
      </c>
      <c r="X5594">
        <v>2</v>
      </c>
      <c r="Y5594" t="s">
        <v>25367</v>
      </c>
      <c r="Z5594" t="s">
        <v>32009</v>
      </c>
      <c r="AA5594">
        <v>0.32779988948379202</v>
      </c>
      <c r="AB5594" t="str">
        <f>HYPERLINK("Melting_Curves/meltCurve_Q9H0U6_MRPL18.pdf", "Melting_Curves/meltCurve_Q9H0U6_MRPL18.pdf")</f>
        <v>Melting_Curves/meltCurve_Q9H0U6_MRPL18.pdf</v>
      </c>
    </row>
    <row r="5595" spans="1:28" x14ac:dyDescent="0.25">
      <c r="A5595" t="s">
        <v>5599</v>
      </c>
      <c r="B5595">
        <v>0.99193492352474899</v>
      </c>
      <c r="C5595">
        <v>0.88072168444269705</v>
      </c>
      <c r="D5595">
        <v>0.86224655434350705</v>
      </c>
      <c r="E5595">
        <v>0.65727698333744899</v>
      </c>
      <c r="F5595">
        <v>0.38542135445239001</v>
      </c>
      <c r="G5595">
        <v>0.17962126822372601</v>
      </c>
      <c r="H5595">
        <v>8.8999620943318106E-2</v>
      </c>
      <c r="I5595">
        <v>0.112149702089301</v>
      </c>
      <c r="J5595">
        <v>0.12944076200030399</v>
      </c>
      <c r="K5595">
        <v>0.12699960142855601</v>
      </c>
      <c r="L5595">
        <v>874.19233039892902</v>
      </c>
      <c r="M5595">
        <v>17.237138064373699</v>
      </c>
      <c r="N5595">
        <v>51.2933080419512</v>
      </c>
      <c r="O5595">
        <v>50.047800626000303</v>
      </c>
      <c r="P5595">
        <v>-7.8511589190997405E-2</v>
      </c>
      <c r="Q5595">
        <v>8.8223961619582E-2</v>
      </c>
      <c r="R5595">
        <v>0.989549643896806</v>
      </c>
      <c r="S5595" t="s">
        <v>12265</v>
      </c>
      <c r="T5595" t="s">
        <v>13338</v>
      </c>
      <c r="U5595" t="s">
        <v>13338</v>
      </c>
      <c r="V5595" t="s">
        <v>13338</v>
      </c>
      <c r="W5595" t="s">
        <v>18876</v>
      </c>
      <c r="X5595">
        <v>7</v>
      </c>
      <c r="Y5595" t="s">
        <v>25368</v>
      </c>
      <c r="Z5595" t="s">
        <v>32010</v>
      </c>
      <c r="AA5595">
        <v>0.43057397652726059</v>
      </c>
      <c r="AB5595" t="str">
        <f>HYPERLINK("Melting_Curves/meltCurve_Q9H0V9_LMAN2L.pdf", "Melting_Curves/meltCurve_Q9H0V9_LMAN2L.pdf")</f>
        <v>Melting_Curves/meltCurve_Q9H0V9_LMAN2L.pdf</v>
      </c>
    </row>
    <row r="5596" spans="1:28" x14ac:dyDescent="0.25">
      <c r="A5596" t="s">
        <v>5600</v>
      </c>
      <c r="B5596">
        <v>0.99193492352474899</v>
      </c>
      <c r="C5596">
        <v>0.880144267633021</v>
      </c>
      <c r="D5596">
        <v>0.64459285147338496</v>
      </c>
      <c r="E5596">
        <v>0.207398882815374</v>
      </c>
      <c r="F5596">
        <v>0.124953194365716</v>
      </c>
      <c r="G5596">
        <v>8.1634315525420706E-2</v>
      </c>
      <c r="H5596">
        <v>4.3038624999638501E-2</v>
      </c>
      <c r="I5596">
        <v>7.6967845745103597E-2</v>
      </c>
      <c r="J5596">
        <v>6.7423575449744796E-2</v>
      </c>
      <c r="K5596">
        <v>7.9184327625746398E-2</v>
      </c>
      <c r="L5596">
        <v>1204.01008941227</v>
      </c>
      <c r="M5596">
        <v>25.799633173795701</v>
      </c>
      <c r="N5596">
        <v>46.932701976073901</v>
      </c>
      <c r="O5596">
        <v>46.390064542806201</v>
      </c>
      <c r="P5596">
        <v>-0.12961475918850601</v>
      </c>
      <c r="Q5596">
        <v>6.7775263457076698E-2</v>
      </c>
      <c r="R5596">
        <v>0.99699575821807396</v>
      </c>
      <c r="S5596" t="s">
        <v>12266</v>
      </c>
      <c r="T5596" t="s">
        <v>13338</v>
      </c>
      <c r="U5596" t="s">
        <v>13338</v>
      </c>
      <c r="V5596" t="s">
        <v>13338</v>
      </c>
      <c r="W5596" t="s">
        <v>18877</v>
      </c>
      <c r="X5596">
        <v>8</v>
      </c>
      <c r="Y5596" t="s">
        <v>25369</v>
      </c>
      <c r="Z5596" t="s">
        <v>32011</v>
      </c>
      <c r="AA5596">
        <v>0.28278880067799861</v>
      </c>
      <c r="AB5596" t="str">
        <f>HYPERLINK("Melting_Curves/meltCurve_Q9H0W8_SMG9.pdf", "Melting_Curves/meltCurve_Q9H0W8_SMG9.pdf")</f>
        <v>Melting_Curves/meltCurve_Q9H0W8_SMG9.pdf</v>
      </c>
    </row>
    <row r="5597" spans="1:28" x14ac:dyDescent="0.25">
      <c r="A5597" t="s">
        <v>5601</v>
      </c>
      <c r="B5597">
        <v>0.99193492352474899</v>
      </c>
      <c r="C5597">
        <v>1.01426128434095</v>
      </c>
      <c r="D5597">
        <v>0.82528204975741504</v>
      </c>
      <c r="E5597">
        <v>0.82712602008200098</v>
      </c>
      <c r="F5597">
        <v>0.49679066462165899</v>
      </c>
      <c r="G5597">
        <v>0.31546157940175901</v>
      </c>
      <c r="H5597">
        <v>0.14359717287916399</v>
      </c>
      <c r="I5597">
        <v>0.10424023959743001</v>
      </c>
      <c r="J5597">
        <v>9.6469353806878003E-2</v>
      </c>
      <c r="K5597">
        <v>8.8731840093708103E-2</v>
      </c>
      <c r="L5597">
        <v>836.91198018269597</v>
      </c>
      <c r="M5597">
        <v>15.768582574384601</v>
      </c>
      <c r="N5597">
        <v>53.4629547374726</v>
      </c>
      <c r="O5597">
        <v>52.243045129517498</v>
      </c>
      <c r="P5597">
        <v>-7.1380956843863003E-2</v>
      </c>
      <c r="Q5597">
        <v>5.4106771760214702E-2</v>
      </c>
      <c r="R5597">
        <v>0.98805871512141896</v>
      </c>
      <c r="S5597" t="s">
        <v>12267</v>
      </c>
      <c r="T5597" t="s">
        <v>13338</v>
      </c>
      <c r="U5597" t="s">
        <v>13338</v>
      </c>
      <c r="V5597" t="s">
        <v>13338</v>
      </c>
      <c r="W5597" t="s">
        <v>18878</v>
      </c>
      <c r="X5597">
        <v>8</v>
      </c>
      <c r="Y5597" t="s">
        <v>25370</v>
      </c>
      <c r="Z5597" t="s">
        <v>32012</v>
      </c>
      <c r="AA5597">
        <v>0.48525564464054938</v>
      </c>
      <c r="AB5597" t="str">
        <f>HYPERLINK("Melting_Curves/meltCurve_Q9H0W9_C11orf54.pdf", "Melting_Curves/meltCurve_Q9H0W9_C11orf54.pdf")</f>
        <v>Melting_Curves/meltCurve_Q9H0W9_C11orf54.pdf</v>
      </c>
    </row>
    <row r="5598" spans="1:28" x14ac:dyDescent="0.25">
      <c r="A5598" t="s">
        <v>5602</v>
      </c>
      <c r="B5598">
        <v>0.99193492352474899</v>
      </c>
      <c r="C5598">
        <v>1.17434889563322</v>
      </c>
      <c r="D5598">
        <v>1.0697439303582901</v>
      </c>
      <c r="E5598">
        <v>0.774346784141276</v>
      </c>
      <c r="F5598">
        <v>0.55655273569784702</v>
      </c>
      <c r="G5598">
        <v>0.47753277056626597</v>
      </c>
      <c r="H5598">
        <v>0.29515047729175098</v>
      </c>
      <c r="I5598">
        <v>0.38841403748822201</v>
      </c>
      <c r="J5598">
        <v>0.38341693662091603</v>
      </c>
      <c r="K5598">
        <v>0.46317364118422499</v>
      </c>
      <c r="L5598">
        <v>1491.6973767586601</v>
      </c>
      <c r="M5598">
        <v>29.226063497213399</v>
      </c>
      <c r="N5598">
        <v>53.918876490802603</v>
      </c>
      <c r="O5598">
        <v>50.802800589729799</v>
      </c>
      <c r="P5598">
        <v>-8.7015145170176098E-2</v>
      </c>
      <c r="Q5598">
        <v>0.39498097644424901</v>
      </c>
      <c r="R5598">
        <v>0.93371809515870896</v>
      </c>
      <c r="S5598" t="s">
        <v>12268</v>
      </c>
      <c r="T5598" t="s">
        <v>13338</v>
      </c>
      <c r="U5598" t="s">
        <v>13338</v>
      </c>
      <c r="V5598" t="s">
        <v>13338</v>
      </c>
      <c r="W5598" t="s">
        <v>18879</v>
      </c>
      <c r="X5598">
        <v>4</v>
      </c>
      <c r="Y5598" t="s">
        <v>25371</v>
      </c>
      <c r="Z5598" t="s">
        <v>32013</v>
      </c>
      <c r="AA5598">
        <v>0.62163819559061928</v>
      </c>
      <c r="AB5598" t="str">
        <f>HYPERLINK("Melting_Curves/meltCurve_Q9H0X4_ITFG3.pdf", "Melting_Curves/meltCurve_Q9H0X4_ITFG3.pdf")</f>
        <v>Melting_Curves/meltCurve_Q9H0X4_ITFG3.pdf</v>
      </c>
    </row>
    <row r="5599" spans="1:28" x14ac:dyDescent="0.25">
      <c r="A5599" t="s">
        <v>5603</v>
      </c>
      <c r="B5599">
        <v>0.99193492352474899</v>
      </c>
      <c r="C5599">
        <v>0.51820329424483702</v>
      </c>
      <c r="D5599">
        <v>0.34485674483621498</v>
      </c>
      <c r="E5599">
        <v>0.241214624044607</v>
      </c>
      <c r="F5599">
        <v>0.147610382961019</v>
      </c>
      <c r="G5599">
        <v>5.49440368940253E-2</v>
      </c>
      <c r="H5599">
        <v>4.83418223654054E-2</v>
      </c>
      <c r="I5599">
        <v>6.2638634107746505E-2</v>
      </c>
      <c r="J5599">
        <v>0.10088702954805299</v>
      </c>
      <c r="K5599">
        <v>9.1981969342507505E-2</v>
      </c>
      <c r="L5599">
        <v>871.50267055949905</v>
      </c>
      <c r="M5599">
        <v>19.9835972368139</v>
      </c>
      <c r="N5599">
        <v>44.037079795787399</v>
      </c>
      <c r="O5599">
        <v>43.181230321301399</v>
      </c>
      <c r="P5599">
        <v>-0.10552728912635401</v>
      </c>
      <c r="Q5599">
        <v>8.7922097887459402E-2</v>
      </c>
      <c r="R5599">
        <v>0.95397455281181698</v>
      </c>
      <c r="S5599" t="s">
        <v>12269</v>
      </c>
      <c r="T5599" t="s">
        <v>13338</v>
      </c>
      <c r="U5599" t="s">
        <v>13338</v>
      </c>
      <c r="V5599" t="s">
        <v>13338</v>
      </c>
      <c r="W5599" t="s">
        <v>18880</v>
      </c>
      <c r="X5599">
        <v>4</v>
      </c>
      <c r="Y5599" t="s">
        <v>25372</v>
      </c>
      <c r="Z5599" t="s">
        <v>32014</v>
      </c>
      <c r="AA5599">
        <v>0.21671986495323939</v>
      </c>
      <c r="AB5599" t="str">
        <f>HYPERLINK("Melting_Curves/meltCurve_Q9H147_DNTTIP1.pdf", "Melting_Curves/meltCurve_Q9H147_DNTTIP1.pdf")</f>
        <v>Melting_Curves/meltCurve_Q9H147_DNTTIP1.pdf</v>
      </c>
    </row>
    <row r="5600" spans="1:28" x14ac:dyDescent="0.25">
      <c r="A5600" t="s">
        <v>5604</v>
      </c>
      <c r="B5600">
        <v>0.99193492352474899</v>
      </c>
      <c r="C5600">
        <v>0.98917659311988104</v>
      </c>
      <c r="D5600">
        <v>0.77629458602808599</v>
      </c>
      <c r="E5600">
        <v>0.62268551046904896</v>
      </c>
      <c r="F5600">
        <v>0.40177968496677002</v>
      </c>
      <c r="G5600">
        <v>0.21406746633006701</v>
      </c>
      <c r="H5600">
        <v>0.131323505756646</v>
      </c>
      <c r="I5600">
        <v>0.17363940477131401</v>
      </c>
      <c r="J5600">
        <v>0.17057828152888399</v>
      </c>
      <c r="K5600">
        <v>0.29402634200072802</v>
      </c>
      <c r="L5600">
        <v>887.3503252122</v>
      </c>
      <c r="M5600">
        <v>17.878414124156901</v>
      </c>
      <c r="N5600">
        <v>50.879667924048903</v>
      </c>
      <c r="O5600">
        <v>49.024041974090899</v>
      </c>
      <c r="P5600">
        <v>-7.5000487652569101E-2</v>
      </c>
      <c r="Q5600">
        <v>0.177412401641664</v>
      </c>
      <c r="R5600">
        <v>0.97344639640449404</v>
      </c>
      <c r="S5600" t="s">
        <v>12270</v>
      </c>
      <c r="T5600" t="s">
        <v>13338</v>
      </c>
      <c r="U5600" t="s">
        <v>13338</v>
      </c>
      <c r="V5600" t="s">
        <v>13338</v>
      </c>
      <c r="W5600" t="s">
        <v>18881</v>
      </c>
      <c r="X5600">
        <v>2</v>
      </c>
      <c r="Y5600" t="s">
        <v>25373</v>
      </c>
      <c r="Z5600" t="s">
        <v>32015</v>
      </c>
      <c r="AA5600">
        <v>0.45581665707345598</v>
      </c>
      <c r="AB5600" t="str">
        <f>HYPERLINK("Melting_Curves/meltCurve_Q9H173_SIL1.pdf", "Melting_Curves/meltCurve_Q9H173_SIL1.pdf")</f>
        <v>Melting_Curves/meltCurve_Q9H173_SIL1.pdf</v>
      </c>
    </row>
    <row r="5601" spans="1:28" x14ac:dyDescent="0.25">
      <c r="A5601" t="s">
        <v>5605</v>
      </c>
      <c r="B5601">
        <v>0.99193492352474899</v>
      </c>
      <c r="C5601">
        <v>0.80642979855488395</v>
      </c>
      <c r="D5601">
        <v>0.97758743450150298</v>
      </c>
      <c r="E5601">
        <v>0.64844833019453896</v>
      </c>
      <c r="F5601">
        <v>0.51745289250663795</v>
      </c>
      <c r="G5601">
        <v>0.15991037259112001</v>
      </c>
      <c r="H5601">
        <v>9.1891569056812894E-2</v>
      </c>
      <c r="I5601">
        <v>0.136686025870077</v>
      </c>
      <c r="J5601">
        <v>0.112748664428711</v>
      </c>
      <c r="K5601">
        <v>0.10784024084561999</v>
      </c>
      <c r="L5601">
        <v>896.86654754426002</v>
      </c>
      <c r="M5601">
        <v>17.354661045819601</v>
      </c>
      <c r="N5601">
        <v>52.183153415685702</v>
      </c>
      <c r="O5601">
        <v>51.007187738522099</v>
      </c>
      <c r="P5601">
        <v>-7.8495824831692998E-2</v>
      </c>
      <c r="Q5601">
        <v>7.7222387706265994E-2</v>
      </c>
      <c r="R5601">
        <v>0.95757046906574494</v>
      </c>
      <c r="S5601" t="s">
        <v>12271</v>
      </c>
      <c r="T5601" t="s">
        <v>13338</v>
      </c>
      <c r="U5601" t="s">
        <v>13338</v>
      </c>
      <c r="V5601" t="s">
        <v>13338</v>
      </c>
      <c r="W5601" t="s">
        <v>18882</v>
      </c>
      <c r="X5601">
        <v>7</v>
      </c>
      <c r="Y5601" t="s">
        <v>25374</v>
      </c>
      <c r="Z5601" t="s">
        <v>32016</v>
      </c>
      <c r="AA5601">
        <v>0.45287304800313122</v>
      </c>
      <c r="AB5601" t="str">
        <f>HYPERLINK("Melting_Curves/meltCurve_Q9H1A4_ANAPC1.pdf", "Melting_Curves/meltCurve_Q9H1A4_ANAPC1.pdf")</f>
        <v>Melting_Curves/meltCurve_Q9H1A4_ANAPC1.pdf</v>
      </c>
    </row>
    <row r="5602" spans="1:28" x14ac:dyDescent="0.25">
      <c r="A5602" t="s">
        <v>5606</v>
      </c>
      <c r="B5602">
        <v>0.99193492352474899</v>
      </c>
      <c r="C5602">
        <v>0.89142911852164697</v>
      </c>
      <c r="D5602">
        <v>0.59682535929903602</v>
      </c>
      <c r="E5602">
        <v>0.35898545234516499</v>
      </c>
      <c r="F5602">
        <v>0.121091113181723</v>
      </c>
      <c r="G5602">
        <v>7.5712815884704202E-2</v>
      </c>
      <c r="H5602">
        <v>4.9499539624572E-2</v>
      </c>
      <c r="I5602">
        <v>6.7798044160164495E-2</v>
      </c>
      <c r="J5602">
        <v>9.6106709322376097E-2</v>
      </c>
      <c r="K5602">
        <v>0.127893267596388</v>
      </c>
      <c r="L5602">
        <v>949.26627371229904</v>
      </c>
      <c r="M5602">
        <v>20.227026239553801</v>
      </c>
      <c r="N5602">
        <v>47.308256708959597</v>
      </c>
      <c r="O5602">
        <v>46.479098619917202</v>
      </c>
      <c r="P5602">
        <v>-0.100688082167569</v>
      </c>
      <c r="Q5602">
        <v>7.4555880121966997E-2</v>
      </c>
      <c r="R5602">
        <v>0.991230967246159</v>
      </c>
      <c r="S5602" t="s">
        <v>12272</v>
      </c>
      <c r="T5602" t="s">
        <v>13338</v>
      </c>
      <c r="U5602" t="s">
        <v>13338</v>
      </c>
      <c r="V5602" t="s">
        <v>13338</v>
      </c>
      <c r="W5602" t="s">
        <v>18883</v>
      </c>
      <c r="X5602">
        <v>12</v>
      </c>
      <c r="Y5602" t="s">
        <v>25375</v>
      </c>
      <c r="Z5602" t="s">
        <v>32017</v>
      </c>
      <c r="AA5602">
        <v>0.30160247526615003</v>
      </c>
      <c r="AB5602" t="str">
        <f>HYPERLINK("Melting_Curves/meltCurve_Q9H1B7_IRF2BPL.pdf", "Melting_Curves/meltCurve_Q9H1B7_IRF2BPL.pdf")</f>
        <v>Melting_Curves/meltCurve_Q9H1B7_IRF2BPL.pdf</v>
      </c>
    </row>
    <row r="5603" spans="1:28" x14ac:dyDescent="0.25">
      <c r="A5603" t="s">
        <v>5607</v>
      </c>
      <c r="B5603">
        <v>0.99193492352474899</v>
      </c>
      <c r="C5603">
        <v>0.76599841022030302</v>
      </c>
      <c r="D5603">
        <v>0.86678584071773102</v>
      </c>
      <c r="E5603">
        <v>0.61146709056592596</v>
      </c>
      <c r="F5603">
        <v>0.44959191496382001</v>
      </c>
      <c r="G5603">
        <v>0.15413051236863101</v>
      </c>
      <c r="H5603">
        <v>5.6713920419053897E-2</v>
      </c>
      <c r="I5603">
        <v>5.5143155228069299E-2</v>
      </c>
      <c r="J5603">
        <v>6.9815233484432096E-2</v>
      </c>
      <c r="K5603">
        <v>6.5994039892881398E-2</v>
      </c>
      <c r="L5603">
        <v>665.06488932708896</v>
      </c>
      <c r="M5603">
        <v>12.986417388444901</v>
      </c>
      <c r="N5603">
        <v>51.212345172930497</v>
      </c>
      <c r="O5603">
        <v>50.043591261843297</v>
      </c>
      <c r="P5603">
        <v>-6.4887007363240198E-2</v>
      </c>
      <c r="Q5603">
        <v>0</v>
      </c>
      <c r="R5603">
        <v>0.96615579962840903</v>
      </c>
      <c r="S5603" t="s">
        <v>12273</v>
      </c>
      <c r="T5603" t="s">
        <v>13338</v>
      </c>
      <c r="U5603" t="s">
        <v>13338</v>
      </c>
      <c r="V5603" t="s">
        <v>13338</v>
      </c>
      <c r="W5603" t="s">
        <v>18884</v>
      </c>
      <c r="X5603">
        <v>8</v>
      </c>
      <c r="Y5603" t="s">
        <v>25376</v>
      </c>
      <c r="Z5603" t="s">
        <v>32018</v>
      </c>
      <c r="AA5603">
        <v>0.40246926308078979</v>
      </c>
      <c r="AB5603" t="str">
        <f>HYPERLINK("Melting_Curves/meltCurve_Q9H1D9_POLR3F.pdf", "Melting_Curves/meltCurve_Q9H1D9_POLR3F.pdf")</f>
        <v>Melting_Curves/meltCurve_Q9H1D9_POLR3F.pdf</v>
      </c>
    </row>
    <row r="5604" spans="1:28" x14ac:dyDescent="0.25">
      <c r="A5604" t="s">
        <v>5608</v>
      </c>
      <c r="B5604">
        <v>0.99193492352474899</v>
      </c>
      <c r="C5604">
        <v>0.93101177735900098</v>
      </c>
      <c r="D5604">
        <v>0.94517525065236896</v>
      </c>
      <c r="E5604">
        <v>0.86580842114951695</v>
      </c>
      <c r="F5604">
        <v>0.84653940377275705</v>
      </c>
      <c r="G5604">
        <v>0.70745684013733301</v>
      </c>
      <c r="H5604">
        <v>0.63012103781042395</v>
      </c>
      <c r="I5604">
        <v>0.73167324428027503</v>
      </c>
      <c r="J5604">
        <v>0.93119485876166297</v>
      </c>
      <c r="K5604">
        <v>1.16865874126477</v>
      </c>
      <c r="L5604">
        <v>1028.5132487145399</v>
      </c>
      <c r="M5604">
        <v>22.4559603583218</v>
      </c>
      <c r="O5604">
        <v>45.442767422307</v>
      </c>
      <c r="P5604">
        <v>-2.0169613654309498E-2</v>
      </c>
      <c r="Q5604">
        <v>0.83673924387927601</v>
      </c>
      <c r="R5604">
        <v>0.12566411915369599</v>
      </c>
      <c r="S5604" t="s">
        <v>12274</v>
      </c>
      <c r="T5604" t="s">
        <v>13338</v>
      </c>
      <c r="U5604" t="s">
        <v>13338</v>
      </c>
      <c r="V5604" t="s">
        <v>13338</v>
      </c>
      <c r="W5604" t="s">
        <v>18885</v>
      </c>
      <c r="X5604">
        <v>13</v>
      </c>
      <c r="Y5604" t="s">
        <v>25377</v>
      </c>
      <c r="Z5604" t="s">
        <v>32019</v>
      </c>
      <c r="AA5604">
        <v>0.87026851851898646</v>
      </c>
      <c r="AB5604" t="str">
        <f>HYPERLINK("Melting_Curves/meltCurve_Q9H1E3_NUCKS1.pdf", "Melting_Curves/meltCurve_Q9H1E3_NUCKS1.pdf")</f>
        <v>Melting_Curves/meltCurve_Q9H1E3_NUCKS1.pdf</v>
      </c>
    </row>
    <row r="5605" spans="1:28" x14ac:dyDescent="0.25">
      <c r="A5605" t="s">
        <v>5609</v>
      </c>
      <c r="B5605">
        <v>0.99193492352474899</v>
      </c>
      <c r="C5605">
        <v>1.2136905334383199</v>
      </c>
      <c r="D5605">
        <v>0.81107651425052096</v>
      </c>
      <c r="E5605">
        <v>0.72792693716219603</v>
      </c>
      <c r="F5605">
        <v>0.49226992378169898</v>
      </c>
      <c r="G5605">
        <v>0.172848993449945</v>
      </c>
      <c r="H5605">
        <v>7.0175394960490994E-2</v>
      </c>
      <c r="I5605">
        <v>9.3029985278873198E-2</v>
      </c>
      <c r="J5605">
        <v>8.3354404945646304E-2</v>
      </c>
      <c r="K5605">
        <v>7.2147986176712905E-2</v>
      </c>
      <c r="L5605">
        <v>991.13444627819104</v>
      </c>
      <c r="M5605">
        <v>19.020534821029099</v>
      </c>
      <c r="N5605">
        <v>52.408582502420501</v>
      </c>
      <c r="O5605">
        <v>51.542932388029001</v>
      </c>
      <c r="P5605">
        <v>-8.7501773349605197E-2</v>
      </c>
      <c r="Q5605">
        <v>5.1568758676263898E-2</v>
      </c>
      <c r="R5605">
        <v>0.95648210452529803</v>
      </c>
      <c r="S5605" t="s">
        <v>12275</v>
      </c>
      <c r="T5605" t="s">
        <v>13338</v>
      </c>
      <c r="U5605" t="s">
        <v>13338</v>
      </c>
      <c r="V5605" t="s">
        <v>13338</v>
      </c>
      <c r="W5605" t="s">
        <v>18886</v>
      </c>
      <c r="X5605">
        <v>2</v>
      </c>
      <c r="Y5605" t="s">
        <v>25378</v>
      </c>
      <c r="Z5605" t="s">
        <v>32020</v>
      </c>
      <c r="AA5605">
        <v>0.44870964550329762</v>
      </c>
      <c r="AB5605" t="str">
        <f>HYPERLINK("Melting_Curves/meltCurve_Q9H1E5_TMX4.pdf", "Melting_Curves/meltCurve_Q9H1E5_TMX4.pdf")</f>
        <v>Melting_Curves/meltCurve_Q9H1E5_TMX4.pdf</v>
      </c>
    </row>
    <row r="5606" spans="1:28" x14ac:dyDescent="0.25">
      <c r="A5606" t="s">
        <v>5610</v>
      </c>
      <c r="B5606">
        <v>0.99193492352474899</v>
      </c>
      <c r="C5606">
        <v>0.87502927925183804</v>
      </c>
      <c r="D5606">
        <v>0.60341060598268104</v>
      </c>
      <c r="E5606">
        <v>0.55840192330662897</v>
      </c>
      <c r="F5606">
        <v>0.33790967718847797</v>
      </c>
      <c r="G5606">
        <v>0.28375044478528</v>
      </c>
      <c r="H5606">
        <v>0.155149302185766</v>
      </c>
      <c r="I5606">
        <v>0.28062947312236702</v>
      </c>
      <c r="J5606">
        <v>0.227871128485685</v>
      </c>
      <c r="K5606">
        <v>0.31212759840374299</v>
      </c>
      <c r="L5606">
        <v>716.41454499729605</v>
      </c>
      <c r="M5606">
        <v>15.2325219601118</v>
      </c>
      <c r="N5606">
        <v>49.096158775571197</v>
      </c>
      <c r="O5606">
        <v>46.243671462863901</v>
      </c>
      <c r="P5606">
        <v>-6.2881833103545406E-2</v>
      </c>
      <c r="Q5606">
        <v>0.23647313740575199</v>
      </c>
      <c r="R5606">
        <v>0.955497461663257</v>
      </c>
      <c r="S5606" t="s">
        <v>12276</v>
      </c>
      <c r="T5606" t="s">
        <v>13338</v>
      </c>
      <c r="U5606" t="s">
        <v>13338</v>
      </c>
      <c r="V5606" t="s">
        <v>13338</v>
      </c>
      <c r="W5606" t="s">
        <v>18887</v>
      </c>
      <c r="X5606">
        <v>3</v>
      </c>
      <c r="Y5606" t="s">
        <v>25379</v>
      </c>
      <c r="Z5606" t="s">
        <v>32021</v>
      </c>
      <c r="AA5606">
        <v>0.43549868371480371</v>
      </c>
      <c r="AB5606" t="str">
        <f>HYPERLINK("Melting_Curves/meltCurve_Q9H1I8_3_ASCC2.pdf", "Melting_Curves/meltCurve_Q9H1I8_3_ASCC2.pdf")</f>
        <v>Melting_Curves/meltCurve_Q9H1I8_3_ASCC2.pdf</v>
      </c>
    </row>
    <row r="5607" spans="1:28" x14ac:dyDescent="0.25">
      <c r="A5607" t="s">
        <v>5611</v>
      </c>
      <c r="B5607">
        <v>0.99193492352474899</v>
      </c>
      <c r="C5607">
        <v>0.67805352672308405</v>
      </c>
      <c r="D5607">
        <v>0.80273139731853904</v>
      </c>
      <c r="E5607">
        <v>0.595698870598527</v>
      </c>
      <c r="F5607">
        <v>0.49761140697913597</v>
      </c>
      <c r="G5607">
        <v>0.38122528463618399</v>
      </c>
      <c r="H5607">
        <v>0.26848958943048701</v>
      </c>
      <c r="I5607">
        <v>0.29300654740529503</v>
      </c>
      <c r="J5607">
        <v>0.58906003536984997</v>
      </c>
      <c r="K5607">
        <v>0.71269385589666401</v>
      </c>
      <c r="L5607">
        <v>667.88348437518005</v>
      </c>
      <c r="M5607">
        <v>14.7890473045469</v>
      </c>
      <c r="N5607">
        <v>53.440151242657798</v>
      </c>
      <c r="O5607">
        <v>44.359090674754</v>
      </c>
      <c r="P5607">
        <v>-4.58940133901563E-2</v>
      </c>
      <c r="Q5607">
        <v>0.44943067859098601</v>
      </c>
      <c r="R5607">
        <v>0.57870732704622996</v>
      </c>
      <c r="S5607" t="s">
        <v>12277</v>
      </c>
      <c r="T5607" t="s">
        <v>13338</v>
      </c>
      <c r="U5607" t="s">
        <v>13338</v>
      </c>
      <c r="V5607" t="s">
        <v>13338</v>
      </c>
      <c r="W5607" t="s">
        <v>18888</v>
      </c>
      <c r="X5607">
        <v>2</v>
      </c>
      <c r="Y5607" t="s">
        <v>25380</v>
      </c>
      <c r="Z5607" t="s">
        <v>32022</v>
      </c>
      <c r="AA5607">
        <v>0.56205247546170756</v>
      </c>
      <c r="AB5607" t="str">
        <f>HYPERLINK("Melting_Curves/meltCurve_Q9H1J1_2_UPF3A.pdf", "Melting_Curves/meltCurve_Q9H1J1_2_UPF3A.pdf")</f>
        <v>Melting_Curves/meltCurve_Q9H1J1_2_UPF3A.pdf</v>
      </c>
    </row>
    <row r="5608" spans="1:28" x14ac:dyDescent="0.25">
      <c r="A5608" t="s">
        <v>5612</v>
      </c>
      <c r="B5608">
        <v>0.99193492352474899</v>
      </c>
      <c r="C5608">
        <v>0.74421243003910098</v>
      </c>
      <c r="D5608">
        <v>0.94589605778301999</v>
      </c>
      <c r="E5608">
        <v>0.51202099800745404</v>
      </c>
      <c r="F5608">
        <v>0.38559947535339001</v>
      </c>
      <c r="G5608">
        <v>0.17248300861881899</v>
      </c>
      <c r="H5608">
        <v>0.105090288529553</v>
      </c>
      <c r="I5608">
        <v>0.109363017400263</v>
      </c>
      <c r="J5608">
        <v>0.141872228234702</v>
      </c>
      <c r="K5608">
        <v>0.149129843742659</v>
      </c>
      <c r="L5608">
        <v>795.88581689666</v>
      </c>
      <c r="M5608">
        <v>15.980071981314801</v>
      </c>
      <c r="N5608">
        <v>50.5135502828144</v>
      </c>
      <c r="O5608">
        <v>49.044524693750702</v>
      </c>
      <c r="P5608">
        <v>-7.3283152943873303E-2</v>
      </c>
      <c r="Q5608">
        <v>0.10041601671221</v>
      </c>
      <c r="R5608">
        <v>0.94128182826615903</v>
      </c>
      <c r="S5608" t="s">
        <v>12278</v>
      </c>
      <c r="T5608" t="s">
        <v>13338</v>
      </c>
      <c r="U5608" t="s">
        <v>13338</v>
      </c>
      <c r="V5608" t="s">
        <v>13338</v>
      </c>
      <c r="W5608" t="s">
        <v>18889</v>
      </c>
      <c r="X5608">
        <v>2</v>
      </c>
      <c r="Y5608" t="s">
        <v>25381</v>
      </c>
      <c r="Z5608" t="s">
        <v>32023</v>
      </c>
      <c r="AA5608">
        <v>0.41366884610199128</v>
      </c>
      <c r="AB5608" t="str">
        <f>HYPERLINK("Melting_Curves/meltCurve_Q9H1K0_ZFYVE20.pdf", "Melting_Curves/meltCurve_Q9H1K0_ZFYVE20.pdf")</f>
        <v>Melting_Curves/meltCurve_Q9H1K0_ZFYVE20.pdf</v>
      </c>
    </row>
    <row r="5609" spans="1:28" x14ac:dyDescent="0.25">
      <c r="A5609" t="s">
        <v>5613</v>
      </c>
      <c r="B5609">
        <v>0.99193492352474899</v>
      </c>
      <c r="C5609">
        <v>0.90127651100268802</v>
      </c>
      <c r="D5609">
        <v>0.97263224603341003</v>
      </c>
      <c r="E5609">
        <v>0.91460379130677705</v>
      </c>
      <c r="F5609">
        <v>0.59911098036036103</v>
      </c>
      <c r="G5609">
        <v>0.42570387259520798</v>
      </c>
      <c r="H5609">
        <v>0.278509281550819</v>
      </c>
      <c r="I5609">
        <v>0.31310213339732901</v>
      </c>
      <c r="J5609">
        <v>0.35749434043112299</v>
      </c>
      <c r="K5609">
        <v>0.43176645919378098</v>
      </c>
      <c r="L5609">
        <v>1664.68417345992</v>
      </c>
      <c r="M5609">
        <v>31.729891261673298</v>
      </c>
      <c r="N5609">
        <v>54.507064026911699</v>
      </c>
      <c r="O5609">
        <v>52.257139305109099</v>
      </c>
      <c r="P5609">
        <v>-9.9007559137221507E-2</v>
      </c>
      <c r="Q5609">
        <v>0.34776628672620502</v>
      </c>
      <c r="R5609">
        <v>0.96774190505472202</v>
      </c>
      <c r="S5609" t="s">
        <v>12279</v>
      </c>
      <c r="T5609" t="s">
        <v>13338</v>
      </c>
      <c r="U5609" t="s">
        <v>13338</v>
      </c>
      <c r="V5609" t="s">
        <v>13338</v>
      </c>
      <c r="W5609" t="s">
        <v>13499</v>
      </c>
      <c r="X5609">
        <v>11</v>
      </c>
      <c r="Y5609" t="s">
        <v>20100</v>
      </c>
      <c r="Z5609" t="s">
        <v>32024</v>
      </c>
      <c r="AA5609">
        <v>0.62250885807225964</v>
      </c>
      <c r="AB5609" t="str">
        <f>HYPERLINK("Melting_Curves/meltCurve_Q9H1K1_ISCU.pdf", "Melting_Curves/meltCurve_Q9H1K1_ISCU.pdf")</f>
        <v>Melting_Curves/meltCurve_Q9H1K1_ISCU.pdf</v>
      </c>
    </row>
    <row r="5610" spans="1:28" x14ac:dyDescent="0.25">
      <c r="A5610" t="s">
        <v>5614</v>
      </c>
      <c r="B5610">
        <v>0.99193492352474899</v>
      </c>
      <c r="C5610">
        <v>0.97845381669906395</v>
      </c>
      <c r="D5610">
        <v>0.927625181305333</v>
      </c>
      <c r="E5610">
        <v>0.81978835475546796</v>
      </c>
      <c r="F5610">
        <v>0.59703137029061204</v>
      </c>
      <c r="G5610">
        <v>0.298574059554224</v>
      </c>
      <c r="H5610">
        <v>0.19402254073089201</v>
      </c>
      <c r="I5610">
        <v>0.152477772469056</v>
      </c>
      <c r="J5610">
        <v>0.214756064437437</v>
      </c>
      <c r="K5610">
        <v>0.183741980633986</v>
      </c>
      <c r="L5610">
        <v>1105.3834054975</v>
      </c>
      <c r="M5610">
        <v>20.886436585675501</v>
      </c>
      <c r="N5610">
        <v>53.941126728511797</v>
      </c>
      <c r="O5610">
        <v>52.445522422425498</v>
      </c>
      <c r="P5610">
        <v>-8.3352681317161198E-2</v>
      </c>
      <c r="Q5610">
        <v>0.16283368177194399</v>
      </c>
      <c r="R5610">
        <v>0.99361590034548997</v>
      </c>
      <c r="S5610" t="s">
        <v>12280</v>
      </c>
      <c r="T5610" t="s">
        <v>13338</v>
      </c>
      <c r="U5610" t="s">
        <v>13338</v>
      </c>
      <c r="V5610" t="s">
        <v>13338</v>
      </c>
      <c r="W5610" t="s">
        <v>18890</v>
      </c>
      <c r="X5610">
        <v>1</v>
      </c>
      <c r="Y5610" t="s">
        <v>25382</v>
      </c>
      <c r="Z5610" t="s">
        <v>32025</v>
      </c>
      <c r="AA5610">
        <v>0.53415849429316586</v>
      </c>
      <c r="AB5610" t="str">
        <f>HYPERLINK("Melting_Curves/meltCurve_Q9H1K6_MESDC1.pdf", "Melting_Curves/meltCurve_Q9H1K6_MESDC1.pdf")</f>
        <v>Melting_Curves/meltCurve_Q9H1K6_MESDC1.pdf</v>
      </c>
    </row>
    <row r="5611" spans="1:28" x14ac:dyDescent="0.25">
      <c r="A5611" t="s">
        <v>5615</v>
      </c>
      <c r="B5611">
        <v>0.99193492352474899</v>
      </c>
      <c r="C5611">
        <v>0.96189271120304598</v>
      </c>
      <c r="D5611">
        <v>1.1680716259038</v>
      </c>
      <c r="E5611">
        <v>0.70635011700363803</v>
      </c>
      <c r="F5611">
        <v>0.86487549410684805</v>
      </c>
      <c r="G5611">
        <v>0.54596161686241995</v>
      </c>
      <c r="H5611">
        <v>0.32356261575214801</v>
      </c>
      <c r="I5611">
        <v>0.109262716381109</v>
      </c>
      <c r="J5611">
        <v>0.151873950139119</v>
      </c>
      <c r="K5611">
        <v>0</v>
      </c>
      <c r="L5611">
        <v>902.35717321631398</v>
      </c>
      <c r="M5611">
        <v>15.6897569992987</v>
      </c>
      <c r="N5611">
        <v>57.512501700373903</v>
      </c>
      <c r="O5611">
        <v>56.602503243734802</v>
      </c>
      <c r="P5611">
        <v>-6.9303826997875906E-2</v>
      </c>
      <c r="Q5611">
        <v>0</v>
      </c>
      <c r="R5611">
        <v>0.93526290347755503</v>
      </c>
      <c r="S5611" t="s">
        <v>12281</v>
      </c>
      <c r="T5611" t="s">
        <v>13338</v>
      </c>
      <c r="U5611" t="s">
        <v>13338</v>
      </c>
      <c r="V5611" t="s">
        <v>13338</v>
      </c>
      <c r="W5611" t="s">
        <v>18891</v>
      </c>
      <c r="X5611">
        <v>1</v>
      </c>
      <c r="Y5611" t="s">
        <v>25383</v>
      </c>
      <c r="Z5611" t="s">
        <v>32026</v>
      </c>
      <c r="AA5611">
        <v>0.59811607618029583</v>
      </c>
      <c r="AB5611" t="str">
        <f>HYPERLINK("Melting_Curves/meltCurve_Q9H1U9_SLC25A51.pdf", "Melting_Curves/meltCurve_Q9H1U9_SLC25A51.pdf")</f>
        <v>Melting_Curves/meltCurve_Q9H1U9_SLC25A51.pdf</v>
      </c>
    </row>
    <row r="5612" spans="1:28" x14ac:dyDescent="0.25">
      <c r="A5612" t="s">
        <v>5616</v>
      </c>
      <c r="B5612">
        <v>0.99193492352474899</v>
      </c>
      <c r="C5612">
        <v>0.76967081520524105</v>
      </c>
      <c r="D5612">
        <v>0.83897901200470903</v>
      </c>
      <c r="E5612">
        <v>0.19985892945349701</v>
      </c>
      <c r="F5612">
        <v>0.116917187909616</v>
      </c>
      <c r="G5612">
        <v>6.5170514741029306E-2</v>
      </c>
      <c r="H5612">
        <v>0</v>
      </c>
      <c r="I5612">
        <v>0.22893312164568799</v>
      </c>
      <c r="J5612">
        <v>0</v>
      </c>
      <c r="K5612">
        <v>0.199438066864941</v>
      </c>
      <c r="L5612">
        <v>1995.6237136790901</v>
      </c>
      <c r="M5612">
        <v>42.069584600697702</v>
      </c>
      <c r="N5612">
        <v>47.682139565085798</v>
      </c>
      <c r="O5612">
        <v>47.329459234165299</v>
      </c>
      <c r="P5612">
        <v>-0.200548742139283</v>
      </c>
      <c r="Q5612">
        <v>9.7509901618710801E-2</v>
      </c>
      <c r="R5612">
        <v>0.92287993424522097</v>
      </c>
      <c r="S5612" t="s">
        <v>12282</v>
      </c>
      <c r="T5612" t="s">
        <v>13338</v>
      </c>
      <c r="U5612" t="s">
        <v>13338</v>
      </c>
      <c r="V5612" t="s">
        <v>13338</v>
      </c>
      <c r="W5612" t="s">
        <v>18892</v>
      </c>
      <c r="X5612">
        <v>2</v>
      </c>
      <c r="Y5612" t="s">
        <v>25384</v>
      </c>
      <c r="Z5612" t="s">
        <v>32027</v>
      </c>
      <c r="AA5612">
        <v>0.3238978118502816</v>
      </c>
      <c r="AB5612" t="str">
        <f>HYPERLINK("Melting_Curves/meltCurve_Q9H1X3_3_DNAJC25.pdf", "Melting_Curves/meltCurve_Q9H1X3_3_DNAJC25.pdf")</f>
        <v>Melting_Curves/meltCurve_Q9H1X3_3_DNAJC25.pdf</v>
      </c>
    </row>
    <row r="5613" spans="1:28" x14ac:dyDescent="0.25">
      <c r="A5613" t="s">
        <v>5617</v>
      </c>
      <c r="B5613">
        <v>0.99193492352474899</v>
      </c>
      <c r="C5613">
        <v>0.77255228363076001</v>
      </c>
      <c r="D5613">
        <v>0.87032018199339001</v>
      </c>
      <c r="E5613">
        <v>0.53395049341438805</v>
      </c>
      <c r="F5613">
        <v>0.48383816984241401</v>
      </c>
      <c r="G5613">
        <v>0.14400082877169601</v>
      </c>
      <c r="H5613">
        <v>9.6250933919877393E-2</v>
      </c>
      <c r="I5613">
        <v>9.3591265648043695E-2</v>
      </c>
      <c r="J5613">
        <v>0.10988223539433099</v>
      </c>
      <c r="K5613">
        <v>0.110227293056507</v>
      </c>
      <c r="L5613">
        <v>637.26300086158506</v>
      </c>
      <c r="M5613">
        <v>12.6034833145244</v>
      </c>
      <c r="N5613">
        <v>50.9085460936194</v>
      </c>
      <c r="O5613">
        <v>49.340202033255103</v>
      </c>
      <c r="P5613">
        <v>-6.1250379592352501E-2</v>
      </c>
      <c r="Q5613">
        <v>4.1057539942314702E-2</v>
      </c>
      <c r="R5613">
        <v>0.95417870946045302</v>
      </c>
      <c r="S5613" t="s">
        <v>12283</v>
      </c>
      <c r="T5613" t="s">
        <v>13338</v>
      </c>
      <c r="U5613" t="s">
        <v>13338</v>
      </c>
      <c r="V5613" t="s">
        <v>13338</v>
      </c>
      <c r="W5613" t="s">
        <v>18893</v>
      </c>
      <c r="X5613">
        <v>7</v>
      </c>
      <c r="Y5613" t="s">
        <v>25385</v>
      </c>
      <c r="Z5613" t="s">
        <v>32028</v>
      </c>
      <c r="AA5613">
        <v>0.40849243131985719</v>
      </c>
      <c r="AB5613" t="str">
        <f>HYPERLINK("Melting_Curves/meltCurve_Q9H1Y0_ATG5.pdf", "Melting_Curves/meltCurve_Q9H1Y0_ATG5.pdf")</f>
        <v>Melting_Curves/meltCurve_Q9H1Y0_ATG5.pdf</v>
      </c>
    </row>
    <row r="5614" spans="1:28" x14ac:dyDescent="0.25">
      <c r="A5614" t="s">
        <v>5618</v>
      </c>
      <c r="B5614">
        <v>0.99193492352474899</v>
      </c>
      <c r="C5614">
        <v>1.00273285607961</v>
      </c>
      <c r="D5614">
        <v>0.90518536316973996</v>
      </c>
      <c r="E5614">
        <v>0.70112870334869704</v>
      </c>
      <c r="F5614">
        <v>0.600140151585841</v>
      </c>
      <c r="G5614">
        <v>0.46698956141936299</v>
      </c>
      <c r="H5614">
        <v>0.29161046965192899</v>
      </c>
      <c r="I5614">
        <v>0.25954906833195202</v>
      </c>
      <c r="J5614">
        <v>0.175921507948744</v>
      </c>
      <c r="K5614">
        <v>0.163028359158821</v>
      </c>
      <c r="L5614">
        <v>587.995071795282</v>
      </c>
      <c r="M5614">
        <v>10.8350813907677</v>
      </c>
      <c r="N5614">
        <v>55.2958283509453</v>
      </c>
      <c r="O5614">
        <v>52.517287937711501</v>
      </c>
      <c r="P5614">
        <v>-4.6889837850135001E-2</v>
      </c>
      <c r="Q5614">
        <v>9.1230873847160707E-2</v>
      </c>
      <c r="R5614">
        <v>0.99164889392724698</v>
      </c>
      <c r="S5614" t="s">
        <v>12284</v>
      </c>
      <c r="T5614" t="s">
        <v>13338</v>
      </c>
      <c r="U5614" t="s">
        <v>13338</v>
      </c>
      <c r="V5614" t="s">
        <v>13338</v>
      </c>
      <c r="W5614" t="s">
        <v>18894</v>
      </c>
      <c r="X5614">
        <v>5</v>
      </c>
      <c r="Y5614" t="s">
        <v>25386</v>
      </c>
      <c r="Z5614" t="s">
        <v>32029</v>
      </c>
      <c r="AA5614">
        <v>0.54849668477735203</v>
      </c>
      <c r="AB5614" t="str">
        <f>HYPERLINK("Melting_Curves/meltCurve_Q9H1Z4_WDR13.pdf", "Melting_Curves/meltCurve_Q9H1Z4_WDR13.pdf")</f>
        <v>Melting_Curves/meltCurve_Q9H1Z4_WDR13.pdf</v>
      </c>
    </row>
    <row r="5615" spans="1:28" x14ac:dyDescent="0.25">
      <c r="A5615" t="s">
        <v>5619</v>
      </c>
      <c r="B5615">
        <v>0.99193492352474899</v>
      </c>
      <c r="C5615">
        <v>0.484812902414132</v>
      </c>
      <c r="D5615">
        <v>0.81940899865017502</v>
      </c>
      <c r="E5615">
        <v>0.42340006662090401</v>
      </c>
      <c r="F5615">
        <v>0.49161959538843902</v>
      </c>
      <c r="G5615">
        <v>0.25007517557619002</v>
      </c>
      <c r="H5615">
        <v>0.25071001250230202</v>
      </c>
      <c r="I5615">
        <v>0.32354143751442299</v>
      </c>
      <c r="J5615">
        <v>0.53220599974820104</v>
      </c>
      <c r="K5615">
        <v>0.57832259575251199</v>
      </c>
      <c r="L5615">
        <v>639.77206599989597</v>
      </c>
      <c r="M5615">
        <v>14.7010025564004</v>
      </c>
      <c r="N5615">
        <v>48.744208773473801</v>
      </c>
      <c r="O5615">
        <v>42.737475158315902</v>
      </c>
      <c r="P5615">
        <v>-5.18964343388627E-2</v>
      </c>
      <c r="Q5615">
        <v>0.396590763527848</v>
      </c>
      <c r="R5615">
        <v>0.52257783509190003</v>
      </c>
      <c r="S5615" t="s">
        <v>12285</v>
      </c>
      <c r="T5615" t="s">
        <v>13338</v>
      </c>
      <c r="U5615" t="s">
        <v>13338</v>
      </c>
      <c r="V5615" t="s">
        <v>13338</v>
      </c>
      <c r="W5615" t="s">
        <v>18895</v>
      </c>
      <c r="X5615">
        <v>1</v>
      </c>
      <c r="Y5615" t="s">
        <v>25387</v>
      </c>
      <c r="Z5615" t="s">
        <v>32030</v>
      </c>
      <c r="AA5615">
        <v>0.49174675757286379</v>
      </c>
      <c r="AB5615" t="str">
        <f>HYPERLINK("Melting_Curves/meltCurve_Q9H204_MED28.pdf", "Melting_Curves/meltCurve_Q9H204_MED28.pdf")</f>
        <v>Melting_Curves/meltCurve_Q9H204_MED28.pdf</v>
      </c>
    </row>
    <row r="5616" spans="1:28" x14ac:dyDescent="0.25">
      <c r="A5616" t="s">
        <v>5620</v>
      </c>
      <c r="B5616">
        <v>0.99193492352474899</v>
      </c>
      <c r="C5616">
        <v>1.07390376651752</v>
      </c>
      <c r="D5616">
        <v>0.93375074569642402</v>
      </c>
      <c r="E5616">
        <v>0.73766629067767797</v>
      </c>
      <c r="F5616">
        <v>0.20414540337173101</v>
      </c>
      <c r="G5616">
        <v>0.102032544571743</v>
      </c>
      <c r="H5616">
        <v>6.5221973143799003E-2</v>
      </c>
      <c r="I5616">
        <v>6.9985939478201101E-2</v>
      </c>
      <c r="J5616">
        <v>7.5541695872162307E-2</v>
      </c>
      <c r="K5616">
        <v>6.7845255423218898E-2</v>
      </c>
      <c r="L5616">
        <v>1892.0738738293701</v>
      </c>
      <c r="M5616">
        <v>37.263663956266299</v>
      </c>
      <c r="N5616">
        <v>50.983882491577603</v>
      </c>
      <c r="O5616">
        <v>50.629739972764597</v>
      </c>
      <c r="P5616">
        <v>-0.17099188034892801</v>
      </c>
      <c r="Q5616">
        <v>7.0703277799170003E-2</v>
      </c>
      <c r="R5616">
        <v>0.99522962962110995</v>
      </c>
      <c r="S5616" t="s">
        <v>12286</v>
      </c>
      <c r="T5616" t="s">
        <v>13338</v>
      </c>
      <c r="U5616" t="s">
        <v>13338</v>
      </c>
      <c r="V5616" t="s">
        <v>13338</v>
      </c>
      <c r="W5616" t="s">
        <v>18896</v>
      </c>
      <c r="X5616">
        <v>14</v>
      </c>
      <c r="Y5616" t="s">
        <v>25388</v>
      </c>
      <c r="Z5616" t="s">
        <v>32031</v>
      </c>
      <c r="AA5616">
        <v>0.40824746528172412</v>
      </c>
      <c r="AB5616" t="str">
        <f>HYPERLINK("Melting_Curves/meltCurve_Q9H223_EHD4.pdf", "Melting_Curves/meltCurve_Q9H223_EHD4.pdf")</f>
        <v>Melting_Curves/meltCurve_Q9H223_EHD4.pdf</v>
      </c>
    </row>
    <row r="5617" spans="1:28" x14ac:dyDescent="0.25">
      <c r="A5617" t="s">
        <v>5621</v>
      </c>
      <c r="B5617">
        <v>0.99193492352474899</v>
      </c>
      <c r="C5617">
        <v>0.98947635929929401</v>
      </c>
      <c r="D5617">
        <v>0.79800391705293905</v>
      </c>
      <c r="E5617">
        <v>0.59303857270576199</v>
      </c>
      <c r="F5617">
        <v>0.35177261221683598</v>
      </c>
      <c r="G5617">
        <v>0.28217624512469203</v>
      </c>
      <c r="H5617">
        <v>0.20818627037414</v>
      </c>
      <c r="I5617">
        <v>0.323945290045693</v>
      </c>
      <c r="J5617">
        <v>0.29580653981707</v>
      </c>
      <c r="K5617">
        <v>0.34977571733060497</v>
      </c>
      <c r="L5617">
        <v>1094.2913062897601</v>
      </c>
      <c r="M5617">
        <v>22.5683367789598</v>
      </c>
      <c r="N5617">
        <v>50.370180091300398</v>
      </c>
      <c r="O5617">
        <v>48.112036548238301</v>
      </c>
      <c r="P5617">
        <v>-8.3865104434461504E-2</v>
      </c>
      <c r="Q5617">
        <v>0.28486750722035398</v>
      </c>
      <c r="R5617">
        <v>0.97890548709177305</v>
      </c>
      <c r="S5617" t="s">
        <v>12287</v>
      </c>
      <c r="T5617" t="s">
        <v>13338</v>
      </c>
      <c r="U5617" t="s">
        <v>13338</v>
      </c>
      <c r="V5617" t="s">
        <v>13338</v>
      </c>
      <c r="W5617" t="s">
        <v>18897</v>
      </c>
      <c r="X5617">
        <v>4</v>
      </c>
      <c r="Y5617" t="s">
        <v>25389</v>
      </c>
      <c r="Z5617" t="s">
        <v>32032</v>
      </c>
      <c r="AA5617">
        <v>0.49503160255546091</v>
      </c>
      <c r="AB5617" t="str">
        <f>HYPERLINK("Melting_Curves/meltCurve_Q9H246_C1orf21.pdf", "Melting_Curves/meltCurve_Q9H246_C1orf21.pdf")</f>
        <v>Melting_Curves/meltCurve_Q9H246_C1orf21.pdf</v>
      </c>
    </row>
    <row r="5618" spans="1:28" x14ac:dyDescent="0.25">
      <c r="A5618" t="s">
        <v>5622</v>
      </c>
      <c r="B5618">
        <v>0.99193492352474899</v>
      </c>
      <c r="C5618">
        <v>1.9502366068653101</v>
      </c>
      <c r="D5618">
        <v>0.644761849826888</v>
      </c>
      <c r="E5618">
        <v>1.01086972012426</v>
      </c>
      <c r="F5618">
        <v>0.36773624907053998</v>
      </c>
      <c r="G5618">
        <v>0.517567751033569</v>
      </c>
      <c r="H5618">
        <v>0.22627820527422501</v>
      </c>
      <c r="I5618">
        <v>0.43669572759354702</v>
      </c>
      <c r="J5618">
        <v>0.30355419838963799</v>
      </c>
      <c r="K5618">
        <v>0.19294254878868899</v>
      </c>
      <c r="L5618">
        <v>13141.817714597901</v>
      </c>
      <c r="M5618">
        <v>250</v>
      </c>
      <c r="N5618">
        <v>52.801962012084203</v>
      </c>
      <c r="O5618">
        <v>52.563908099981703</v>
      </c>
      <c r="P5618">
        <v>-0.79021943900743397</v>
      </c>
      <c r="Q5618">
        <v>0.335407664390934</v>
      </c>
      <c r="R5618">
        <v>0.57247097884870302</v>
      </c>
      <c r="S5618" t="s">
        <v>12288</v>
      </c>
      <c r="T5618" t="s">
        <v>13338</v>
      </c>
      <c r="U5618" t="s">
        <v>13338</v>
      </c>
      <c r="V5618" t="s">
        <v>13338</v>
      </c>
      <c r="W5618" t="s">
        <v>18898</v>
      </c>
      <c r="X5618">
        <v>5</v>
      </c>
      <c r="Y5618" t="s">
        <v>25390</v>
      </c>
      <c r="Z5618" t="s">
        <v>32033</v>
      </c>
      <c r="AA5618">
        <v>0.61387270591921717</v>
      </c>
      <c r="AB5618" t="str">
        <f>HYPERLINK("Melting_Curves/meltCurve_Q9H254_4_SPTBN4.pdf", "Melting_Curves/meltCurve_Q9H254_4_SPTBN4.pdf")</f>
        <v>Melting_Curves/meltCurve_Q9H254_4_SPTBN4.pdf</v>
      </c>
    </row>
    <row r="5619" spans="1:28" x14ac:dyDescent="0.25">
      <c r="A5619" t="s">
        <v>5623</v>
      </c>
      <c r="B5619">
        <v>0.99193492352474899</v>
      </c>
      <c r="C5619">
        <v>1.08244735438861</v>
      </c>
      <c r="D5619">
        <v>0.86605469300167504</v>
      </c>
      <c r="E5619">
        <v>0.32690002836926801</v>
      </c>
      <c r="F5619">
        <v>0.16590098290039801</v>
      </c>
      <c r="G5619">
        <v>7.4670906620845801E-2</v>
      </c>
      <c r="H5619">
        <v>4.89166357419034E-2</v>
      </c>
      <c r="I5619">
        <v>5.21582742899971E-2</v>
      </c>
      <c r="J5619">
        <v>6.3160186663590995E-2</v>
      </c>
      <c r="K5619">
        <v>5.73544392730913E-2</v>
      </c>
      <c r="L5619">
        <v>1689.1574233062199</v>
      </c>
      <c r="M5619">
        <v>34.9271189581982</v>
      </c>
      <c r="N5619">
        <v>48.564550036430497</v>
      </c>
      <c r="O5619">
        <v>48.204633845185</v>
      </c>
      <c r="P5619">
        <v>-0.16888240616974201</v>
      </c>
      <c r="Q5619">
        <v>6.7671747834842103E-2</v>
      </c>
      <c r="R5619">
        <v>0.99192636626920905</v>
      </c>
      <c r="S5619" t="s">
        <v>12289</v>
      </c>
      <c r="T5619" t="s">
        <v>13338</v>
      </c>
      <c r="U5619" t="s">
        <v>13338</v>
      </c>
      <c r="V5619" t="s">
        <v>13338</v>
      </c>
      <c r="W5619" t="s">
        <v>18899</v>
      </c>
      <c r="X5619">
        <v>13</v>
      </c>
      <c r="Y5619" t="s">
        <v>25391</v>
      </c>
      <c r="Z5619" t="s">
        <v>32034</v>
      </c>
      <c r="AA5619">
        <v>0.33167085143687108</v>
      </c>
      <c r="AB5619" t="str">
        <f>HYPERLINK("Melting_Curves/meltCurve_Q9H267_VPS33B.pdf", "Melting_Curves/meltCurve_Q9H267_VPS33B.pdf")</f>
        <v>Melting_Curves/meltCurve_Q9H267_VPS33B.pdf</v>
      </c>
    </row>
    <row r="5620" spans="1:28" x14ac:dyDescent="0.25">
      <c r="A5620" t="s">
        <v>5624</v>
      </c>
      <c r="B5620">
        <v>0.99193492352474899</v>
      </c>
      <c r="C5620">
        <v>0.895592228326344</v>
      </c>
      <c r="D5620">
        <v>0.71775169880596601</v>
      </c>
      <c r="E5620">
        <v>0.41157114379538001</v>
      </c>
      <c r="F5620">
        <v>0.225016059193094</v>
      </c>
      <c r="G5620">
        <v>0.13822261843782499</v>
      </c>
      <c r="H5620">
        <v>8.4742354846184698E-2</v>
      </c>
      <c r="I5620">
        <v>8.3088104806661303E-2</v>
      </c>
      <c r="J5620">
        <v>8.6683687428663295E-2</v>
      </c>
      <c r="K5620">
        <v>7.2355309946397106E-2</v>
      </c>
      <c r="L5620">
        <v>845.58485013510801</v>
      </c>
      <c r="M5620">
        <v>17.5707679529513</v>
      </c>
      <c r="N5620">
        <v>48.557659525711401</v>
      </c>
      <c r="O5620">
        <v>47.5141498435015</v>
      </c>
      <c r="P5620">
        <v>-8.5749481279569398E-2</v>
      </c>
      <c r="Q5620">
        <v>7.2529411442281394E-2</v>
      </c>
      <c r="R5620">
        <v>0.99943560158294598</v>
      </c>
      <c r="S5620" t="s">
        <v>12290</v>
      </c>
      <c r="T5620" t="s">
        <v>13338</v>
      </c>
      <c r="U5620" t="s">
        <v>13338</v>
      </c>
      <c r="V5620" t="s">
        <v>13338</v>
      </c>
      <c r="W5620" t="s">
        <v>18900</v>
      </c>
      <c r="X5620">
        <v>6</v>
      </c>
      <c r="Y5620" t="s">
        <v>25392</v>
      </c>
      <c r="Z5620" t="s">
        <v>32035</v>
      </c>
      <c r="AA5620">
        <v>0.34094074755932918</v>
      </c>
      <c r="AB5620" t="str">
        <f>HYPERLINK("Melting_Curves/meltCurve_Q9H269_VPS16.pdf", "Melting_Curves/meltCurve_Q9H269_VPS16.pdf")</f>
        <v>Melting_Curves/meltCurve_Q9H269_VPS16.pdf</v>
      </c>
    </row>
    <row r="5621" spans="1:28" x14ac:dyDescent="0.25">
      <c r="A5621" t="s">
        <v>5625</v>
      </c>
      <c r="B5621">
        <v>0.99193492352474899</v>
      </c>
      <c r="C5621">
        <v>0.88462611816499104</v>
      </c>
      <c r="D5621">
        <v>0.74113338246004701</v>
      </c>
      <c r="E5621">
        <v>0.35631946970441403</v>
      </c>
      <c r="F5621">
        <v>0.21211008506884599</v>
      </c>
      <c r="G5621">
        <v>0.13155063287527999</v>
      </c>
      <c r="H5621">
        <v>0.107597532843348</v>
      </c>
      <c r="I5621">
        <v>0.151135983262742</v>
      </c>
      <c r="J5621">
        <v>0.158622778081939</v>
      </c>
      <c r="K5621">
        <v>0.19723917898688301</v>
      </c>
      <c r="L5621">
        <v>1107.2928993784101</v>
      </c>
      <c r="M5621">
        <v>23.3761169742784</v>
      </c>
      <c r="N5621">
        <v>48.072344808306497</v>
      </c>
      <c r="O5621">
        <v>47.0259863163527</v>
      </c>
      <c r="P5621">
        <v>-0.106266159540405</v>
      </c>
      <c r="Q5621">
        <v>0.14490789855458999</v>
      </c>
      <c r="R5621">
        <v>0.99190196589181101</v>
      </c>
      <c r="S5621" t="s">
        <v>12291</v>
      </c>
      <c r="T5621" t="s">
        <v>13338</v>
      </c>
      <c r="U5621" t="s">
        <v>13338</v>
      </c>
      <c r="V5621" t="s">
        <v>13338</v>
      </c>
      <c r="W5621" t="s">
        <v>18901</v>
      </c>
      <c r="X5621">
        <v>12</v>
      </c>
      <c r="Y5621" t="s">
        <v>25393</v>
      </c>
      <c r="Z5621" t="s">
        <v>32036</v>
      </c>
      <c r="AA5621">
        <v>0.36372085409837329</v>
      </c>
      <c r="AB5621" t="str">
        <f>HYPERLINK("Melting_Curves/meltCurve_Q9H270_VPS11.pdf", "Melting_Curves/meltCurve_Q9H270_VPS11.pdf")</f>
        <v>Melting_Curves/meltCurve_Q9H270_VPS11.pdf</v>
      </c>
    </row>
    <row r="5622" spans="1:28" x14ac:dyDescent="0.25">
      <c r="A5622" t="s">
        <v>5626</v>
      </c>
      <c r="B5622">
        <v>0.99193492352474899</v>
      </c>
      <c r="C5622">
        <v>0.919769579016114</v>
      </c>
      <c r="D5622">
        <v>0.81027906382996495</v>
      </c>
      <c r="E5622">
        <v>0.60405033127234598</v>
      </c>
      <c r="F5622">
        <v>0.24766287088340799</v>
      </c>
      <c r="G5622">
        <v>0.16596372341929799</v>
      </c>
      <c r="H5622">
        <v>8.0128399246688201E-2</v>
      </c>
      <c r="I5622">
        <v>0.111992459905533</v>
      </c>
      <c r="J5622">
        <v>9.2741778314693393E-2</v>
      </c>
      <c r="K5622">
        <v>0.103375878274552</v>
      </c>
      <c r="L5622">
        <v>934.01736333180804</v>
      </c>
      <c r="M5622">
        <v>18.781635711912202</v>
      </c>
      <c r="N5622">
        <v>50.204331533296703</v>
      </c>
      <c r="O5622">
        <v>49.176861434492302</v>
      </c>
      <c r="P5622">
        <v>-8.7726618948725396E-2</v>
      </c>
      <c r="Q5622">
        <v>8.1242905652676806E-2</v>
      </c>
      <c r="R5622">
        <v>0.993710218962362</v>
      </c>
      <c r="S5622" t="s">
        <v>12292</v>
      </c>
      <c r="T5622" t="s">
        <v>13338</v>
      </c>
      <c r="U5622" t="s">
        <v>13338</v>
      </c>
      <c r="V5622" t="s">
        <v>13338</v>
      </c>
      <c r="W5622" t="s">
        <v>18902</v>
      </c>
      <c r="X5622">
        <v>9</v>
      </c>
      <c r="Y5622" t="s">
        <v>25394</v>
      </c>
      <c r="Z5622" t="s">
        <v>32037</v>
      </c>
      <c r="AA5622">
        <v>0.39372089455348269</v>
      </c>
      <c r="AB5622" t="str">
        <f>HYPERLINK("Melting_Curves/meltCurve_Q9H2C0_GAN.pdf", "Melting_Curves/meltCurve_Q9H2C0_GAN.pdf")</f>
        <v>Melting_Curves/meltCurve_Q9H2C0_GAN.pdf</v>
      </c>
    </row>
    <row r="5623" spans="1:28" x14ac:dyDescent="0.25">
      <c r="A5623" t="s">
        <v>5627</v>
      </c>
      <c r="B5623">
        <v>0.99193492352474899</v>
      </c>
      <c r="C5623">
        <v>1.00335030076525</v>
      </c>
      <c r="D5623">
        <v>1.06792222373371</v>
      </c>
      <c r="E5623">
        <v>1.0365025794767599</v>
      </c>
      <c r="F5623">
        <v>0.88656508041484605</v>
      </c>
      <c r="G5623">
        <v>0.64604619097759197</v>
      </c>
      <c r="H5623">
        <v>0.362264106329519</v>
      </c>
      <c r="I5623">
        <v>0.19340042870025601</v>
      </c>
      <c r="J5623">
        <v>0.161344320372655</v>
      </c>
      <c r="K5623">
        <v>0.17892353863420801</v>
      </c>
      <c r="L5623">
        <v>1404.55169427328</v>
      </c>
      <c r="M5623">
        <v>24.350186222931502</v>
      </c>
      <c r="N5623">
        <v>58.520731795967102</v>
      </c>
      <c r="O5623">
        <v>57.296545719171199</v>
      </c>
      <c r="P5623">
        <v>-9.0587417422934399E-2</v>
      </c>
      <c r="Q5623">
        <v>0.147395653990293</v>
      </c>
      <c r="R5623">
        <v>0.99287771062279195</v>
      </c>
      <c r="S5623" t="s">
        <v>12293</v>
      </c>
      <c r="T5623" t="s">
        <v>13338</v>
      </c>
      <c r="U5623" t="s">
        <v>13338</v>
      </c>
      <c r="V5623" t="s">
        <v>13338</v>
      </c>
      <c r="W5623" t="s">
        <v>18903</v>
      </c>
      <c r="X5623">
        <v>3</v>
      </c>
      <c r="Y5623" t="s">
        <v>25395</v>
      </c>
      <c r="Z5623" t="s">
        <v>32038</v>
      </c>
      <c r="AA5623">
        <v>0.6577054279689214</v>
      </c>
      <c r="AB5623" t="str">
        <f>HYPERLINK("Melting_Curves/meltCurve_Q9H2D1_SLC25A32.pdf", "Melting_Curves/meltCurve_Q9H2D1_SLC25A32.pdf")</f>
        <v>Melting_Curves/meltCurve_Q9H2D1_SLC25A32.pdf</v>
      </c>
    </row>
    <row r="5624" spans="1:28" x14ac:dyDescent="0.25">
      <c r="A5624" t="s">
        <v>5628</v>
      </c>
      <c r="B5624">
        <v>0.99193492352474899</v>
      </c>
      <c r="C5624">
        <v>0.58892562061846898</v>
      </c>
      <c r="D5624">
        <v>0.413457349883671</v>
      </c>
      <c r="E5624">
        <v>0.170737619790232</v>
      </c>
      <c r="F5624">
        <v>0.118483539985081</v>
      </c>
      <c r="G5624">
        <v>8.3339732886693496E-2</v>
      </c>
      <c r="H5624">
        <v>5.0172761717116703E-2</v>
      </c>
      <c r="I5624">
        <v>8.2194966777320994E-2</v>
      </c>
      <c r="J5624">
        <v>7.6110892281541304E-2</v>
      </c>
      <c r="K5624">
        <v>0.106878223171817</v>
      </c>
      <c r="L5624">
        <v>885.70954564366696</v>
      </c>
      <c r="M5624">
        <v>20.052244048925399</v>
      </c>
      <c r="N5624">
        <v>44.558907415108102</v>
      </c>
      <c r="O5624">
        <v>43.737846805218197</v>
      </c>
      <c r="P5624">
        <v>-0.105420463425508</v>
      </c>
      <c r="Q5624">
        <v>8.0259529868344906E-2</v>
      </c>
      <c r="R5624">
        <v>0.97676881698171103</v>
      </c>
      <c r="S5624" t="s">
        <v>12294</v>
      </c>
      <c r="T5624" t="s">
        <v>13338</v>
      </c>
      <c r="U5624" t="s">
        <v>13338</v>
      </c>
      <c r="V5624" t="s">
        <v>13338</v>
      </c>
      <c r="W5624" t="s">
        <v>18904</v>
      </c>
      <c r="X5624">
        <v>3</v>
      </c>
      <c r="Y5624" t="s">
        <v>25396</v>
      </c>
      <c r="Z5624" t="s">
        <v>32039</v>
      </c>
      <c r="AA5624">
        <v>0.22540106784197991</v>
      </c>
      <c r="AB5624" t="str">
        <f>HYPERLINK("Melting_Curves/meltCurve_Q9H2D6_5_TRIOBP.pdf", "Melting_Curves/meltCurve_Q9H2D6_5_TRIOBP.pdf")</f>
        <v>Melting_Curves/meltCurve_Q9H2D6_5_TRIOBP.pdf</v>
      </c>
    </row>
    <row r="5625" spans="1:28" x14ac:dyDescent="0.25">
      <c r="A5625" t="s">
        <v>5629</v>
      </c>
      <c r="B5625">
        <v>0.99193492352474899</v>
      </c>
      <c r="C5625">
        <v>1.04211129750135</v>
      </c>
      <c r="D5625">
        <v>0.89977892990998098</v>
      </c>
      <c r="E5625">
        <v>0.57798550160539097</v>
      </c>
      <c r="F5625">
        <v>0.14115071377978999</v>
      </c>
      <c r="G5625">
        <v>9.2084489203896294E-2</v>
      </c>
      <c r="H5625">
        <v>5.2173845908391199E-2</v>
      </c>
      <c r="I5625">
        <v>6.8405514937162598E-2</v>
      </c>
      <c r="J5625">
        <v>7.1461427089978505E-2</v>
      </c>
      <c r="K5625">
        <v>8.2556684789738294E-2</v>
      </c>
      <c r="L5625">
        <v>1632.4459966439699</v>
      </c>
      <c r="M5625">
        <v>32.797680666994999</v>
      </c>
      <c r="N5625">
        <v>49.989428711643797</v>
      </c>
      <c r="O5625">
        <v>49.589269294168197</v>
      </c>
      <c r="P5625">
        <v>-0.15441385065982399</v>
      </c>
      <c r="Q5625">
        <v>6.6124813433813004E-2</v>
      </c>
      <c r="R5625">
        <v>0.99659914401192096</v>
      </c>
      <c r="S5625" t="s">
        <v>12295</v>
      </c>
      <c r="T5625" t="s">
        <v>13338</v>
      </c>
      <c r="U5625" t="s">
        <v>13338</v>
      </c>
      <c r="V5625" t="s">
        <v>13338</v>
      </c>
      <c r="W5625" t="s">
        <v>18905</v>
      </c>
      <c r="X5625">
        <v>35</v>
      </c>
      <c r="Y5625" t="s">
        <v>25397</v>
      </c>
      <c r="Z5625" t="s">
        <v>32040</v>
      </c>
      <c r="AA5625">
        <v>0.37516006429682602</v>
      </c>
      <c r="AB5625" t="str">
        <f>HYPERLINK("Melting_Curves/meltCurve_Q9H2G2_2_SLK.pdf", "Melting_Curves/meltCurve_Q9H2G2_2_SLK.pdf")</f>
        <v>Melting_Curves/meltCurve_Q9H2G2_2_SLK.pdf</v>
      </c>
    </row>
    <row r="5626" spans="1:28" x14ac:dyDescent="0.25">
      <c r="A5626" t="s">
        <v>5630</v>
      </c>
      <c r="B5626">
        <v>0.99193492352474899</v>
      </c>
      <c r="C5626">
        <v>1.1193296174271401</v>
      </c>
      <c r="D5626">
        <v>0.76579304969374995</v>
      </c>
      <c r="E5626">
        <v>0.57988455845264397</v>
      </c>
      <c r="F5626">
        <v>0.27129201455997498</v>
      </c>
      <c r="G5626">
        <v>0.18074649892991701</v>
      </c>
      <c r="H5626">
        <v>0.13093209621257701</v>
      </c>
      <c r="I5626">
        <v>0.19716427105486001</v>
      </c>
      <c r="J5626">
        <v>0.18843384884873099</v>
      </c>
      <c r="K5626">
        <v>0.22852519742371999</v>
      </c>
      <c r="L5626">
        <v>1165.8152340128099</v>
      </c>
      <c r="M5626">
        <v>23.7816384543443</v>
      </c>
      <c r="N5626">
        <v>49.940213896918998</v>
      </c>
      <c r="O5626">
        <v>48.678977158677597</v>
      </c>
      <c r="P5626">
        <v>-0.10050039751217101</v>
      </c>
      <c r="Q5626">
        <v>0.17715066804775201</v>
      </c>
      <c r="R5626">
        <v>0.96869241372945902</v>
      </c>
      <c r="S5626" t="s">
        <v>12296</v>
      </c>
      <c r="T5626" t="s">
        <v>13338</v>
      </c>
      <c r="U5626" t="s">
        <v>13338</v>
      </c>
      <c r="V5626" t="s">
        <v>13338</v>
      </c>
      <c r="W5626" t="s">
        <v>18906</v>
      </c>
      <c r="X5626">
        <v>8</v>
      </c>
      <c r="Y5626" t="s">
        <v>25398</v>
      </c>
      <c r="Z5626" t="s">
        <v>32041</v>
      </c>
      <c r="AA5626">
        <v>0.43268217493703831</v>
      </c>
      <c r="AB5626" t="str">
        <f>HYPERLINK("Melting_Curves/meltCurve_Q9H2H8_PPIL3.pdf", "Melting_Curves/meltCurve_Q9H2H8_PPIL3.pdf")</f>
        <v>Melting_Curves/meltCurve_Q9H2H8_PPIL3.pdf</v>
      </c>
    </row>
    <row r="5627" spans="1:28" x14ac:dyDescent="0.25">
      <c r="A5627" t="s">
        <v>5631</v>
      </c>
      <c r="B5627">
        <v>0.99193492352474899</v>
      </c>
      <c r="C5627">
        <v>0.61997468156736801</v>
      </c>
      <c r="D5627">
        <v>1.0204819653914801</v>
      </c>
      <c r="E5627">
        <v>0.65498275431090802</v>
      </c>
      <c r="F5627">
        <v>0.79610653674188003</v>
      </c>
      <c r="G5627">
        <v>0.32847725986104997</v>
      </c>
      <c r="H5627">
        <v>9.32695925546142E-2</v>
      </c>
      <c r="I5627">
        <v>7.6139708851190202E-2</v>
      </c>
      <c r="J5627">
        <v>7.1381756207395702E-2</v>
      </c>
      <c r="K5627">
        <v>7.4139103614732402E-2</v>
      </c>
      <c r="L5627">
        <v>766.32687404721196</v>
      </c>
      <c r="M5627">
        <v>14.049798750263299</v>
      </c>
      <c r="N5627">
        <v>54.543619333128397</v>
      </c>
      <c r="O5627">
        <v>53.474316347511298</v>
      </c>
      <c r="P5627">
        <v>-6.5693397618727598E-2</v>
      </c>
      <c r="Q5627">
        <v>0</v>
      </c>
      <c r="R5627">
        <v>0.84359092820227499</v>
      </c>
      <c r="S5627" t="s">
        <v>12297</v>
      </c>
      <c r="T5627" t="s">
        <v>13338</v>
      </c>
      <c r="U5627" t="s">
        <v>13338</v>
      </c>
      <c r="V5627" t="s">
        <v>13338</v>
      </c>
      <c r="W5627" t="s">
        <v>18907</v>
      </c>
      <c r="X5627">
        <v>12</v>
      </c>
      <c r="Y5627" t="s">
        <v>25399</v>
      </c>
      <c r="Z5627" t="s">
        <v>32042</v>
      </c>
      <c r="AA5627">
        <v>0.50614688480046799</v>
      </c>
      <c r="AB5627" t="str">
        <f>HYPERLINK("Melting_Curves/meltCurve_Q9H2J4_PDCL3.pdf", "Melting_Curves/meltCurve_Q9H2J4_PDCL3.pdf")</f>
        <v>Melting_Curves/meltCurve_Q9H2J4_PDCL3.pdf</v>
      </c>
    </row>
    <row r="5628" spans="1:28" x14ac:dyDescent="0.25">
      <c r="A5628" t="s">
        <v>5632</v>
      </c>
      <c r="B5628">
        <v>0.99193492352474899</v>
      </c>
      <c r="C5628">
        <v>0.49164950598704099</v>
      </c>
      <c r="D5628">
        <v>0.61639120154029603</v>
      </c>
      <c r="E5628">
        <v>0.46384940174828798</v>
      </c>
      <c r="F5628">
        <v>0.21320120643205301</v>
      </c>
      <c r="G5628">
        <v>0.114529289622728</v>
      </c>
      <c r="H5628">
        <v>8.7248056486784895E-2</v>
      </c>
      <c r="I5628">
        <v>8.1433654769470801E-2</v>
      </c>
      <c r="J5628">
        <v>0.10670497438929299</v>
      </c>
      <c r="K5628">
        <v>9.5388098325045995E-2</v>
      </c>
      <c r="L5628">
        <v>475.60025523497399</v>
      </c>
      <c r="M5628">
        <v>10.229988968717199</v>
      </c>
      <c r="N5628">
        <v>46.846150316980697</v>
      </c>
      <c r="O5628">
        <v>44.8193013839469</v>
      </c>
      <c r="P5628">
        <v>-5.49565961303385E-2</v>
      </c>
      <c r="Q5628">
        <v>3.7332338012496698E-2</v>
      </c>
      <c r="R5628">
        <v>0.89322729971605797</v>
      </c>
      <c r="S5628" t="s">
        <v>12298</v>
      </c>
      <c r="T5628" t="s">
        <v>13338</v>
      </c>
      <c r="U5628" t="s">
        <v>13338</v>
      </c>
      <c r="V5628" t="s">
        <v>13338</v>
      </c>
      <c r="W5628" t="s">
        <v>18908</v>
      </c>
      <c r="X5628">
        <v>3</v>
      </c>
      <c r="Y5628" t="s">
        <v>25400</v>
      </c>
      <c r="Z5628" t="s">
        <v>32043</v>
      </c>
      <c r="AA5628">
        <v>0.30122872568775583</v>
      </c>
      <c r="AB5628" t="str">
        <f>HYPERLINK("Melting_Curves/meltCurve_Q9H2K0_MTIF3.pdf", "Melting_Curves/meltCurve_Q9H2K0_MTIF3.pdf")</f>
        <v>Melting_Curves/meltCurve_Q9H2K0_MTIF3.pdf</v>
      </c>
    </row>
    <row r="5629" spans="1:28" x14ac:dyDescent="0.25">
      <c r="A5629" t="s">
        <v>5633</v>
      </c>
      <c r="B5629">
        <v>0.99193492352474899</v>
      </c>
      <c r="C5629">
        <v>1.0682207711032099</v>
      </c>
      <c r="D5629">
        <v>1.21026017400903</v>
      </c>
      <c r="E5629">
        <v>0.97562776175615396</v>
      </c>
      <c r="F5629">
        <v>0.23078380843399099</v>
      </c>
      <c r="G5629">
        <v>0.15027820873365599</v>
      </c>
      <c r="H5629">
        <v>9.3341846382583402E-2</v>
      </c>
      <c r="I5629">
        <v>9.6241536096647803E-2</v>
      </c>
      <c r="J5629">
        <v>9.3585582513697793E-2</v>
      </c>
      <c r="K5629">
        <v>9.9019044833378006E-2</v>
      </c>
      <c r="L5629">
        <v>3915.1454711275001</v>
      </c>
      <c r="M5629">
        <v>75.403906679431898</v>
      </c>
      <c r="N5629">
        <v>52.086997662486198</v>
      </c>
      <c r="O5629">
        <v>51.885834960503701</v>
      </c>
      <c r="P5629">
        <v>-0.324784271216288</v>
      </c>
      <c r="Q5629">
        <v>0.106056983418178</v>
      </c>
      <c r="R5629">
        <v>0.97610260997488396</v>
      </c>
      <c r="S5629" t="s">
        <v>12299</v>
      </c>
      <c r="T5629" t="s">
        <v>13338</v>
      </c>
      <c r="U5629" t="s">
        <v>13338</v>
      </c>
      <c r="V5629" t="s">
        <v>13338</v>
      </c>
      <c r="W5629" t="s">
        <v>18909</v>
      </c>
      <c r="X5629">
        <v>16</v>
      </c>
      <c r="Y5629" t="s">
        <v>25401</v>
      </c>
      <c r="Z5629" t="s">
        <v>32044</v>
      </c>
      <c r="AA5629">
        <v>0.46221676980190712</v>
      </c>
      <c r="AB5629" t="str">
        <f>HYPERLINK("Melting_Curves/meltCurve_Q9H2K8_TAOK3.pdf", "Melting_Curves/meltCurve_Q9H2K8_TAOK3.pdf")</f>
        <v>Melting_Curves/meltCurve_Q9H2K8_TAOK3.pdf</v>
      </c>
    </row>
    <row r="5630" spans="1:28" x14ac:dyDescent="0.25">
      <c r="A5630" t="s">
        <v>5634</v>
      </c>
      <c r="B5630">
        <v>0.99193492352474899</v>
      </c>
      <c r="C5630">
        <v>0.94890361651167399</v>
      </c>
      <c r="D5630">
        <v>0.89503191112321201</v>
      </c>
      <c r="E5630">
        <v>0.308760931811911</v>
      </c>
      <c r="F5630">
        <v>0.22351610310914899</v>
      </c>
      <c r="G5630">
        <v>0.13012682839981701</v>
      </c>
      <c r="H5630">
        <v>9.0075956850554306E-2</v>
      </c>
      <c r="I5630">
        <v>0.10326221750480701</v>
      </c>
      <c r="J5630">
        <v>9.0249299107545297E-2</v>
      </c>
      <c r="K5630">
        <v>9.0375037596239702E-2</v>
      </c>
      <c r="L5630">
        <v>1835.7161818243801</v>
      </c>
      <c r="M5630">
        <v>38.121481750252599</v>
      </c>
      <c r="N5630">
        <v>48.483108255663304</v>
      </c>
      <c r="O5630">
        <v>48.022438650319799</v>
      </c>
      <c r="P5630">
        <v>-0.17585554971793299</v>
      </c>
      <c r="Q5630">
        <v>0.113886372172845</v>
      </c>
      <c r="R5630">
        <v>0.99099282325985905</v>
      </c>
      <c r="S5630" t="s">
        <v>12300</v>
      </c>
      <c r="T5630" t="s">
        <v>13338</v>
      </c>
      <c r="U5630" t="s">
        <v>13338</v>
      </c>
      <c r="V5630" t="s">
        <v>13338</v>
      </c>
      <c r="W5630" t="s">
        <v>18910</v>
      </c>
      <c r="X5630">
        <v>17</v>
      </c>
      <c r="Y5630" t="s">
        <v>25402</v>
      </c>
      <c r="Z5630" t="s">
        <v>32045</v>
      </c>
      <c r="AA5630">
        <v>0.35800420184182069</v>
      </c>
      <c r="AB5630" t="str">
        <f>HYPERLINK("Melting_Curves/meltCurve_Q9H2M9_RAB3GAP2.pdf", "Melting_Curves/meltCurve_Q9H2M9_RAB3GAP2.pdf")</f>
        <v>Melting_Curves/meltCurve_Q9H2M9_RAB3GAP2.pdf</v>
      </c>
    </row>
    <row r="5631" spans="1:28" x14ac:dyDescent="0.25">
      <c r="A5631" t="s">
        <v>5635</v>
      </c>
      <c r="B5631">
        <v>0.99193492352474899</v>
      </c>
      <c r="C5631">
        <v>0.776248045291697</v>
      </c>
      <c r="D5631">
        <v>0.59030568091244096</v>
      </c>
      <c r="E5631">
        <v>0.32876114538335</v>
      </c>
      <c r="F5631">
        <v>0.23612137445568099</v>
      </c>
      <c r="G5631">
        <v>0.131631761789821</v>
      </c>
      <c r="H5631">
        <v>9.6619032051873902E-2</v>
      </c>
      <c r="I5631">
        <v>0.10914664168857</v>
      </c>
      <c r="J5631">
        <v>0.11309124766621</v>
      </c>
      <c r="K5631">
        <v>0.113614042809078</v>
      </c>
      <c r="L5631">
        <v>748.62805623354495</v>
      </c>
      <c r="M5631">
        <v>16.1247822395725</v>
      </c>
      <c r="N5631">
        <v>47.0829817545644</v>
      </c>
      <c r="O5631">
        <v>45.730721430582904</v>
      </c>
      <c r="P5631">
        <v>-7.9290402183151504E-2</v>
      </c>
      <c r="Q5631">
        <v>0.10058159951890901</v>
      </c>
      <c r="R5631">
        <v>0.99335556351596999</v>
      </c>
      <c r="S5631" t="s">
        <v>12301</v>
      </c>
      <c r="T5631" t="s">
        <v>13338</v>
      </c>
      <c r="U5631" t="s">
        <v>13338</v>
      </c>
      <c r="V5631" t="s">
        <v>13338</v>
      </c>
      <c r="W5631" t="s">
        <v>18911</v>
      </c>
      <c r="X5631">
        <v>7</v>
      </c>
      <c r="Y5631" t="s">
        <v>25403</v>
      </c>
      <c r="Z5631" t="s">
        <v>32046</v>
      </c>
      <c r="AA5631">
        <v>0.31506719050386661</v>
      </c>
      <c r="AB5631" t="str">
        <f>HYPERLINK("Melting_Curves/meltCurve_Q9H2P0_ADNP.pdf", "Melting_Curves/meltCurve_Q9H2P0_ADNP.pdf")</f>
        <v>Melting_Curves/meltCurve_Q9H2P0_ADNP.pdf</v>
      </c>
    </row>
    <row r="5632" spans="1:28" x14ac:dyDescent="0.25">
      <c r="A5632" t="s">
        <v>5636</v>
      </c>
      <c r="B5632">
        <v>0.99193492352474899</v>
      </c>
      <c r="C5632">
        <v>0.83744943018946205</v>
      </c>
      <c r="D5632">
        <v>0.89835834043552598</v>
      </c>
      <c r="E5632">
        <v>0.76476064885181605</v>
      </c>
      <c r="F5632">
        <v>0.62557435475131895</v>
      </c>
      <c r="G5632">
        <v>0.359100545659993</v>
      </c>
      <c r="H5632">
        <v>0.12777547029755201</v>
      </c>
      <c r="I5632">
        <v>9.0325190269226502E-2</v>
      </c>
      <c r="J5632">
        <v>0.101685292169875</v>
      </c>
      <c r="K5632">
        <v>9.7898571424865494E-2</v>
      </c>
      <c r="L5632">
        <v>698.180833881544</v>
      </c>
      <c r="M5632">
        <v>12.885766882595901</v>
      </c>
      <c r="N5632">
        <v>54.201851283604498</v>
      </c>
      <c r="O5632">
        <v>52.927151955529702</v>
      </c>
      <c r="P5632">
        <v>-6.0735735813378697E-2</v>
      </c>
      <c r="Q5632">
        <v>2.3154713864965101E-3</v>
      </c>
      <c r="R5632">
        <v>0.97595821999060595</v>
      </c>
      <c r="S5632" t="s">
        <v>12302</v>
      </c>
      <c r="T5632" t="s">
        <v>13338</v>
      </c>
      <c r="U5632" t="s">
        <v>13338</v>
      </c>
      <c r="V5632" t="s">
        <v>13338</v>
      </c>
      <c r="W5632" t="s">
        <v>18912</v>
      </c>
      <c r="X5632">
        <v>5</v>
      </c>
      <c r="Y5632" t="s">
        <v>25404</v>
      </c>
      <c r="Z5632" t="s">
        <v>32047</v>
      </c>
      <c r="AA5632">
        <v>0.49791226802771088</v>
      </c>
      <c r="AB5632" t="str">
        <f>HYPERLINK("Melting_Curves/meltCurve_Q9H2P9_DPH5.pdf", "Melting_Curves/meltCurve_Q9H2P9_DPH5.pdf")</f>
        <v>Melting_Curves/meltCurve_Q9H2P9_DPH5.pdf</v>
      </c>
    </row>
    <row r="5633" spans="1:28" x14ac:dyDescent="0.25">
      <c r="A5633" t="s">
        <v>5637</v>
      </c>
      <c r="B5633">
        <v>0.99193492352474899</v>
      </c>
      <c r="C5633">
        <v>0.72513740610975397</v>
      </c>
      <c r="D5633">
        <v>0.87652154010601002</v>
      </c>
      <c r="E5633">
        <v>0.65417638271974698</v>
      </c>
      <c r="F5633">
        <v>0.71717035291376297</v>
      </c>
      <c r="G5633">
        <v>0.46871749134006802</v>
      </c>
      <c r="H5633">
        <v>0.22596264551470999</v>
      </c>
      <c r="I5633">
        <v>0.13000428084978199</v>
      </c>
      <c r="J5633">
        <v>0.11008261284502199</v>
      </c>
      <c r="K5633">
        <v>0.101062678641361</v>
      </c>
      <c r="L5633">
        <v>516.43373853189996</v>
      </c>
      <c r="M5633">
        <v>9.4497216004093207</v>
      </c>
      <c r="N5633">
        <v>54.650682833411103</v>
      </c>
      <c r="O5633">
        <v>52.371012156509799</v>
      </c>
      <c r="P5633">
        <v>-4.5136730305330303E-2</v>
      </c>
      <c r="Q5633">
        <v>0</v>
      </c>
      <c r="R5633">
        <v>0.91867689526626195</v>
      </c>
      <c r="S5633" t="s">
        <v>12303</v>
      </c>
      <c r="T5633" t="s">
        <v>13338</v>
      </c>
      <c r="U5633" t="s">
        <v>13338</v>
      </c>
      <c r="V5633" t="s">
        <v>13338</v>
      </c>
      <c r="W5633" t="s">
        <v>18913</v>
      </c>
      <c r="X5633">
        <v>13</v>
      </c>
      <c r="Y5633" t="s">
        <v>25405</v>
      </c>
      <c r="Z5633" t="s">
        <v>32048</v>
      </c>
      <c r="AA5633">
        <v>0.5165104790529601</v>
      </c>
      <c r="AB5633" t="str">
        <f>HYPERLINK("Melting_Curves/meltCurve_Q9H2U2_PPA2.pdf", "Melting_Curves/meltCurve_Q9H2U2_PPA2.pdf")</f>
        <v>Melting_Curves/meltCurve_Q9H2U2_PPA2.pdf</v>
      </c>
    </row>
    <row r="5634" spans="1:28" x14ac:dyDescent="0.25">
      <c r="A5634" t="s">
        <v>5638</v>
      </c>
      <c r="B5634">
        <v>0.99193492352474899</v>
      </c>
      <c r="C5634">
        <v>0.80279163080381</v>
      </c>
      <c r="D5634">
        <v>0.68167169798225902</v>
      </c>
      <c r="E5634">
        <v>0.458729204057441</v>
      </c>
      <c r="F5634">
        <v>0.129846792008392</v>
      </c>
      <c r="G5634">
        <v>9.5577327808142404E-2</v>
      </c>
      <c r="H5634">
        <v>6.1457351389854399E-2</v>
      </c>
      <c r="I5634">
        <v>8.5508787599235206E-2</v>
      </c>
      <c r="J5634">
        <v>8.9341436688280096E-2</v>
      </c>
      <c r="K5634">
        <v>9.5252836241849798E-2</v>
      </c>
      <c r="L5634">
        <v>788.50044250103394</v>
      </c>
      <c r="M5634">
        <v>16.517940468991601</v>
      </c>
      <c r="N5634">
        <v>48.0971270452781</v>
      </c>
      <c r="O5634">
        <v>47.052802058303897</v>
      </c>
      <c r="P5634">
        <v>-8.2650218074135806E-2</v>
      </c>
      <c r="Q5634">
        <v>5.8319589984962603E-2</v>
      </c>
      <c r="R5634">
        <v>0.98290255127299297</v>
      </c>
      <c r="S5634" t="s">
        <v>12304</v>
      </c>
      <c r="T5634" t="s">
        <v>13338</v>
      </c>
      <c r="U5634" t="s">
        <v>13338</v>
      </c>
      <c r="V5634" t="s">
        <v>13338</v>
      </c>
      <c r="W5634" t="s">
        <v>18914</v>
      </c>
      <c r="X5634">
        <v>5</v>
      </c>
      <c r="Y5634" t="s">
        <v>25406</v>
      </c>
      <c r="Z5634" t="s">
        <v>32049</v>
      </c>
      <c r="AA5634">
        <v>0.32131790338875021</v>
      </c>
      <c r="AB5634" t="str">
        <f>HYPERLINK("Melting_Curves/meltCurve_Q9H2W6_MRPL46.pdf", "Melting_Curves/meltCurve_Q9H2W6_MRPL46.pdf")</f>
        <v>Melting_Curves/meltCurve_Q9H2W6_MRPL46.pdf</v>
      </c>
    </row>
    <row r="5635" spans="1:28" x14ac:dyDescent="0.25">
      <c r="A5635" t="s">
        <v>5639</v>
      </c>
      <c r="B5635">
        <v>0.99193492352474899</v>
      </c>
      <c r="C5635">
        <v>1.1501356662181399</v>
      </c>
      <c r="D5635">
        <v>1.1534281526741399</v>
      </c>
      <c r="E5635">
        <v>1.1085833691915901</v>
      </c>
      <c r="F5635">
        <v>0.76988420079218101</v>
      </c>
      <c r="G5635">
        <v>0.62273732558818995</v>
      </c>
      <c r="H5635">
        <v>0.50926460759620895</v>
      </c>
      <c r="I5635">
        <v>0.35199787363830598</v>
      </c>
      <c r="J5635">
        <v>0.26933075523830902</v>
      </c>
      <c r="K5635">
        <v>0</v>
      </c>
      <c r="L5635">
        <v>840.79611866701998</v>
      </c>
      <c r="M5635">
        <v>13.9530733786833</v>
      </c>
      <c r="N5635">
        <v>60.258847483222098</v>
      </c>
      <c r="O5635">
        <v>59.061579026164999</v>
      </c>
      <c r="P5635">
        <v>-5.9069467988372502E-2</v>
      </c>
      <c r="Q5635">
        <v>0</v>
      </c>
      <c r="R5635">
        <v>0.92302142767161399</v>
      </c>
      <c r="S5635" t="s">
        <v>12305</v>
      </c>
      <c r="T5635" t="s">
        <v>13338</v>
      </c>
      <c r="U5635" t="s">
        <v>13338</v>
      </c>
      <c r="V5635" t="s">
        <v>13338</v>
      </c>
      <c r="W5635" t="s">
        <v>18915</v>
      </c>
      <c r="X5635">
        <v>3</v>
      </c>
      <c r="Y5635" t="s">
        <v>25407</v>
      </c>
      <c r="Z5635" t="s">
        <v>32050</v>
      </c>
      <c r="AA5635">
        <v>0.67986292332498199</v>
      </c>
      <c r="AB5635" t="str">
        <f>HYPERLINK("Melting_Curves/meltCurve_Q9H300_PARL.pdf", "Melting_Curves/meltCurve_Q9H300_PARL.pdf")</f>
        <v>Melting_Curves/meltCurve_Q9H300_PARL.pdf</v>
      </c>
    </row>
    <row r="5636" spans="1:28" x14ac:dyDescent="0.25">
      <c r="A5636" t="s">
        <v>5640</v>
      </c>
      <c r="B5636">
        <v>0.99193492352474899</v>
      </c>
      <c r="C5636">
        <v>0.65599076164590298</v>
      </c>
      <c r="D5636">
        <v>0.85031510895394002</v>
      </c>
      <c r="E5636">
        <v>0.68289253978259001</v>
      </c>
      <c r="F5636">
        <v>0.55036646583061599</v>
      </c>
      <c r="G5636">
        <v>0.27287851910287397</v>
      </c>
      <c r="H5636">
        <v>0.27398241335921403</v>
      </c>
      <c r="I5636">
        <v>0.581545010407439</v>
      </c>
      <c r="J5636">
        <v>0.835913361639402</v>
      </c>
      <c r="K5636">
        <v>1.14607545225758</v>
      </c>
      <c r="L5636">
        <v>885.30386161215699</v>
      </c>
      <c r="M5636">
        <v>20.883230186509799</v>
      </c>
      <c r="O5636">
        <v>42.010063359748102</v>
      </c>
      <c r="P5636">
        <v>-4.6230669255176202E-2</v>
      </c>
      <c r="Q5636">
        <v>0.62800772722444698</v>
      </c>
      <c r="R5636">
        <v>0.13805276427433399</v>
      </c>
      <c r="S5636" t="s">
        <v>12306</v>
      </c>
      <c r="T5636" t="s">
        <v>13338</v>
      </c>
      <c r="U5636" t="s">
        <v>13338</v>
      </c>
      <c r="V5636" t="s">
        <v>13338</v>
      </c>
      <c r="W5636" t="s">
        <v>18916</v>
      </c>
      <c r="X5636">
        <v>18</v>
      </c>
      <c r="Y5636" t="s">
        <v>25408</v>
      </c>
      <c r="Z5636" t="s">
        <v>32051</v>
      </c>
      <c r="AA5636">
        <v>0.66693039953089006</v>
      </c>
      <c r="AB5636" t="str">
        <f>HYPERLINK("Melting_Curves/meltCurve_Q9H307_PNN.pdf", "Melting_Curves/meltCurve_Q9H307_PNN.pdf")</f>
        <v>Melting_Curves/meltCurve_Q9H307_PNN.pdf</v>
      </c>
    </row>
    <row r="5637" spans="1:28" x14ac:dyDescent="0.25">
      <c r="A5637" t="s">
        <v>5641</v>
      </c>
      <c r="B5637">
        <v>0.99193492352474899</v>
      </c>
      <c r="C5637">
        <v>1.1020769200705101</v>
      </c>
      <c r="D5637">
        <v>1.0556462417609001</v>
      </c>
      <c r="E5637">
        <v>0.97539323496629904</v>
      </c>
      <c r="F5637">
        <v>0.76997846832706496</v>
      </c>
      <c r="G5637">
        <v>0.74876327068770698</v>
      </c>
      <c r="H5637">
        <v>0.53091495346179196</v>
      </c>
      <c r="I5637">
        <v>0.68892225203573698</v>
      </c>
      <c r="J5637">
        <v>0.50567393772165503</v>
      </c>
      <c r="K5637">
        <v>0.25124255985497201</v>
      </c>
      <c r="L5637">
        <v>538.32236202847002</v>
      </c>
      <c r="M5637">
        <v>8.2815270571430197</v>
      </c>
      <c r="N5637">
        <v>65.002787949204603</v>
      </c>
      <c r="O5637">
        <v>61.543296289000502</v>
      </c>
      <c r="P5637">
        <v>-3.3674494260329299E-2</v>
      </c>
      <c r="Q5637">
        <v>0</v>
      </c>
      <c r="R5637">
        <v>0.87699029337451995</v>
      </c>
      <c r="S5637" t="s">
        <v>12307</v>
      </c>
      <c r="T5637" t="s">
        <v>13338</v>
      </c>
      <c r="U5637" t="s">
        <v>13338</v>
      </c>
      <c r="V5637" t="s">
        <v>13338</v>
      </c>
      <c r="W5637" t="s">
        <v>18917</v>
      </c>
      <c r="X5637">
        <v>4</v>
      </c>
      <c r="Y5637" t="s">
        <v>25409</v>
      </c>
      <c r="Z5637" t="s">
        <v>32052</v>
      </c>
      <c r="AA5637">
        <v>0.761379052761051</v>
      </c>
      <c r="AB5637" t="str">
        <f>HYPERLINK("Melting_Curves/meltCurve_Q9H330_2_TMEM245.pdf", "Melting_Curves/meltCurve_Q9H330_2_TMEM245.pdf")</f>
        <v>Melting_Curves/meltCurve_Q9H330_2_TMEM245.pdf</v>
      </c>
    </row>
    <row r="5638" spans="1:28" x14ac:dyDescent="0.25">
      <c r="A5638" t="s">
        <v>5642</v>
      </c>
      <c r="B5638">
        <v>0.99193492352474899</v>
      </c>
      <c r="C5638">
        <v>0.75800052353470904</v>
      </c>
      <c r="D5638">
        <v>0.74614775804789002</v>
      </c>
      <c r="E5638">
        <v>0.65228922770437103</v>
      </c>
      <c r="F5638">
        <v>0.28981500682320199</v>
      </c>
      <c r="G5638">
        <v>0.107706578101777</v>
      </c>
      <c r="H5638">
        <v>3.73399660498605E-2</v>
      </c>
      <c r="I5638">
        <v>4.2217282895053401E-2</v>
      </c>
      <c r="J5638">
        <v>0</v>
      </c>
      <c r="K5638">
        <v>0</v>
      </c>
      <c r="L5638">
        <v>687.49088999803701</v>
      </c>
      <c r="M5638">
        <v>13.7474800789392</v>
      </c>
      <c r="N5638">
        <v>50.008501741458701</v>
      </c>
      <c r="O5638">
        <v>48.9859645404701</v>
      </c>
      <c r="P5638">
        <v>-7.0170269254473894E-2</v>
      </c>
      <c r="Q5638">
        <v>0</v>
      </c>
      <c r="R5638">
        <v>0.966145977640679</v>
      </c>
      <c r="S5638" t="s">
        <v>12308</v>
      </c>
      <c r="T5638" t="s">
        <v>13338</v>
      </c>
      <c r="U5638" t="s">
        <v>13338</v>
      </c>
      <c r="V5638" t="s">
        <v>13338</v>
      </c>
      <c r="W5638" t="s">
        <v>18918</v>
      </c>
      <c r="X5638">
        <v>2</v>
      </c>
      <c r="Y5638" t="s">
        <v>25410</v>
      </c>
      <c r="Z5638" t="s">
        <v>32053</v>
      </c>
      <c r="AA5638">
        <v>0.36134492518321781</v>
      </c>
      <c r="AB5638" t="str">
        <f>HYPERLINK("Melting_Curves/meltCurve_Q9H3C7_GGNBP2.pdf", "Melting_Curves/meltCurve_Q9H3C7_GGNBP2.pdf")</f>
        <v>Melting_Curves/meltCurve_Q9H3C7_GGNBP2.pdf</v>
      </c>
    </row>
    <row r="5639" spans="1:28" x14ac:dyDescent="0.25">
      <c r="A5639" t="s">
        <v>5643</v>
      </c>
      <c r="B5639">
        <v>0.99193492352474899</v>
      </c>
      <c r="C5639">
        <v>0.80785609395355196</v>
      </c>
      <c r="D5639">
        <v>0.92620171293977005</v>
      </c>
      <c r="E5639">
        <v>0.67590231802183798</v>
      </c>
      <c r="F5639">
        <v>0.59687732756945899</v>
      </c>
      <c r="G5639">
        <v>0.45439375742274302</v>
      </c>
      <c r="H5639">
        <v>0.263983684652978</v>
      </c>
      <c r="I5639">
        <v>0.199115610043824</v>
      </c>
      <c r="J5639">
        <v>0.185211705227394</v>
      </c>
      <c r="K5639">
        <v>0.16241109056196101</v>
      </c>
      <c r="L5639">
        <v>481.077001133983</v>
      </c>
      <c r="M5639">
        <v>8.7900839317051194</v>
      </c>
      <c r="N5639">
        <v>54.886484541825503</v>
      </c>
      <c r="O5639">
        <v>52.118705261738803</v>
      </c>
      <c r="P5639">
        <v>-4.1673469995709998E-2</v>
      </c>
      <c r="Q5639">
        <v>1.24129469335757E-2</v>
      </c>
      <c r="R5639">
        <v>0.97112123534314199</v>
      </c>
      <c r="S5639" t="s">
        <v>12309</v>
      </c>
      <c r="T5639" t="s">
        <v>13338</v>
      </c>
      <c r="U5639" t="s">
        <v>13338</v>
      </c>
      <c r="V5639" t="s">
        <v>13338</v>
      </c>
      <c r="W5639" t="s">
        <v>18919</v>
      </c>
      <c r="X5639">
        <v>7</v>
      </c>
      <c r="Y5639" t="s">
        <v>25411</v>
      </c>
      <c r="Z5639" t="s">
        <v>32054</v>
      </c>
      <c r="AA5639">
        <v>0.52540379753136368</v>
      </c>
      <c r="AB5639" t="str">
        <f>HYPERLINK("Melting_Curves/meltCurve_Q9H3F6_KCTD10.pdf", "Melting_Curves/meltCurve_Q9H3F6_KCTD10.pdf")</f>
        <v>Melting_Curves/meltCurve_Q9H3F6_KCTD10.pdf</v>
      </c>
    </row>
    <row r="5640" spans="1:28" x14ac:dyDescent="0.25">
      <c r="A5640" t="s">
        <v>5644</v>
      </c>
      <c r="B5640">
        <v>0.99193492352474899</v>
      </c>
      <c r="C5640">
        <v>0.95969884166744401</v>
      </c>
      <c r="D5640">
        <v>0.83449077829112395</v>
      </c>
      <c r="E5640">
        <v>0.80822125303025205</v>
      </c>
      <c r="F5640">
        <v>0.71839895731493997</v>
      </c>
      <c r="G5640">
        <v>0.60138951001951801</v>
      </c>
      <c r="H5640">
        <v>0.36544510183544698</v>
      </c>
      <c r="I5640">
        <v>0.32106781422328301</v>
      </c>
      <c r="J5640">
        <v>0.23381494388370799</v>
      </c>
      <c r="K5640">
        <v>0.22886965174843901</v>
      </c>
      <c r="L5640">
        <v>479.596242654337</v>
      </c>
      <c r="M5640">
        <v>8.2246277232461598</v>
      </c>
      <c r="N5640">
        <v>58.312213045802999</v>
      </c>
      <c r="O5640">
        <v>55.169465661196398</v>
      </c>
      <c r="P5640">
        <v>-3.7307839504032998E-2</v>
      </c>
      <c r="Q5640">
        <v>0</v>
      </c>
      <c r="R5640">
        <v>0.98558212369447895</v>
      </c>
      <c r="S5640" t="s">
        <v>12310</v>
      </c>
      <c r="T5640" t="s">
        <v>13338</v>
      </c>
      <c r="U5640" t="s">
        <v>13338</v>
      </c>
      <c r="V5640" t="s">
        <v>13338</v>
      </c>
      <c r="W5640" t="s">
        <v>18920</v>
      </c>
      <c r="X5640">
        <v>10</v>
      </c>
      <c r="Y5640" t="s">
        <v>25412</v>
      </c>
      <c r="Z5640" t="s">
        <v>32055</v>
      </c>
      <c r="AA5640">
        <v>0.61230413409988371</v>
      </c>
      <c r="AB5640" t="str">
        <f>HYPERLINK("Melting_Curves/meltCurve_Q9H3G5_CPVL.pdf", "Melting_Curves/meltCurve_Q9H3G5_CPVL.pdf")</f>
        <v>Melting_Curves/meltCurve_Q9H3G5_CPVL.pdf</v>
      </c>
    </row>
    <row r="5641" spans="1:28" x14ac:dyDescent="0.25">
      <c r="A5641" t="s">
        <v>5645</v>
      </c>
      <c r="B5641">
        <v>0.99193492352474899</v>
      </c>
      <c r="C5641">
        <v>0.94459309940307101</v>
      </c>
      <c r="D5641">
        <v>0.59398738563240705</v>
      </c>
      <c r="E5641">
        <v>0.30390534694514598</v>
      </c>
      <c r="F5641">
        <v>0.22132715456527899</v>
      </c>
      <c r="G5641">
        <v>0.107053695980599</v>
      </c>
      <c r="H5641">
        <v>6.0368623996707102E-2</v>
      </c>
      <c r="I5641">
        <v>0.101104994709003</v>
      </c>
      <c r="J5641">
        <v>0.103759509709689</v>
      </c>
      <c r="K5641">
        <v>9.4854350012752706E-2</v>
      </c>
      <c r="L5641">
        <v>1021.66497829678</v>
      </c>
      <c r="M5641">
        <v>21.826101531523399</v>
      </c>
      <c r="N5641">
        <v>47.280098765689999</v>
      </c>
      <c r="O5641">
        <v>46.421697100774303</v>
      </c>
      <c r="P5641">
        <v>-0.10606504750100899</v>
      </c>
      <c r="Q5641">
        <v>9.7666544832684804E-2</v>
      </c>
      <c r="R5641">
        <v>0.99101374425317601</v>
      </c>
      <c r="S5641" t="s">
        <v>12311</v>
      </c>
      <c r="T5641" t="s">
        <v>13338</v>
      </c>
      <c r="U5641" t="s">
        <v>13338</v>
      </c>
      <c r="V5641" t="s">
        <v>13338</v>
      </c>
      <c r="W5641" t="s">
        <v>18921</v>
      </c>
      <c r="X5641">
        <v>5</v>
      </c>
      <c r="Y5641" t="s">
        <v>25413</v>
      </c>
      <c r="Z5641" t="s">
        <v>32056</v>
      </c>
      <c r="AA5641">
        <v>0.31343202421526561</v>
      </c>
      <c r="AB5641" t="str">
        <f>HYPERLINK("Melting_Curves/meltCurve_Q9H3H1_TRIT1.pdf", "Melting_Curves/meltCurve_Q9H3H1_TRIT1.pdf")</f>
        <v>Melting_Curves/meltCurve_Q9H3H1_TRIT1.pdf</v>
      </c>
    </row>
    <row r="5642" spans="1:28" x14ac:dyDescent="0.25">
      <c r="A5642" t="s">
        <v>5646</v>
      </c>
      <c r="B5642">
        <v>0.99193492352474899</v>
      </c>
      <c r="C5642">
        <v>1.05723148591564</v>
      </c>
      <c r="D5642">
        <v>0.98441101976314305</v>
      </c>
      <c r="E5642">
        <v>0.903313733221077</v>
      </c>
      <c r="F5642">
        <v>0.25544952779790497</v>
      </c>
      <c r="G5642">
        <v>0.17223676697375201</v>
      </c>
      <c r="H5642">
        <v>0.107917488091855</v>
      </c>
      <c r="I5642">
        <v>0.12155187029631601</v>
      </c>
      <c r="J5642">
        <v>0.120115855865087</v>
      </c>
      <c r="K5642">
        <v>0.156878081920797</v>
      </c>
      <c r="L5642">
        <v>2812.9286811623601</v>
      </c>
      <c r="M5642">
        <v>54.661267797191101</v>
      </c>
      <c r="N5642">
        <v>51.756964938186599</v>
      </c>
      <c r="O5642">
        <v>51.392365191199403</v>
      </c>
      <c r="P5642">
        <v>-0.23022261158262</v>
      </c>
      <c r="Q5642">
        <v>0.13418217565010701</v>
      </c>
      <c r="R5642">
        <v>0.99628459199923203</v>
      </c>
      <c r="S5642" t="s">
        <v>12312</v>
      </c>
      <c r="T5642" t="s">
        <v>13338</v>
      </c>
      <c r="U5642" t="s">
        <v>13338</v>
      </c>
      <c r="V5642" t="s">
        <v>13338</v>
      </c>
      <c r="W5642" t="s">
        <v>18922</v>
      </c>
      <c r="X5642">
        <v>6</v>
      </c>
      <c r="Y5642" t="s">
        <v>25414</v>
      </c>
      <c r="Z5642" t="s">
        <v>32057</v>
      </c>
      <c r="AA5642">
        <v>0.46659912034619688</v>
      </c>
      <c r="AB5642" t="str">
        <f>HYPERLINK("Melting_Curves/meltCurve_Q9H3H3_2_C11orf68.pdf", "Melting_Curves/meltCurve_Q9H3H3_2_C11orf68.pdf")</f>
        <v>Melting_Curves/meltCurve_Q9H3H3_2_C11orf68.pdf</v>
      </c>
    </row>
    <row r="5643" spans="1:28" x14ac:dyDescent="0.25">
      <c r="A5643" t="s">
        <v>5647</v>
      </c>
      <c r="B5643">
        <v>0.99193492352474899</v>
      </c>
      <c r="C5643">
        <v>0.93360164658212597</v>
      </c>
      <c r="D5643">
        <v>0.96795117827525101</v>
      </c>
      <c r="E5643">
        <v>1.0048761598896001</v>
      </c>
      <c r="F5643">
        <v>0.895922667966631</v>
      </c>
      <c r="G5643">
        <v>0.77760040678711495</v>
      </c>
      <c r="H5643">
        <v>0.52188134931742902</v>
      </c>
      <c r="I5643">
        <v>0.85858867676647599</v>
      </c>
      <c r="J5643">
        <v>0.52097087179165602</v>
      </c>
      <c r="K5643">
        <v>0.287753620428017</v>
      </c>
      <c r="L5643">
        <v>557.56090178006298</v>
      </c>
      <c r="M5643">
        <v>8.3305910168110699</v>
      </c>
      <c r="N5643">
        <v>66.929332891448098</v>
      </c>
      <c r="O5643">
        <v>63.405556638333401</v>
      </c>
      <c r="P5643">
        <v>-3.2878377128269499E-2</v>
      </c>
      <c r="Q5643">
        <v>0</v>
      </c>
      <c r="R5643">
        <v>0.77336874532848798</v>
      </c>
      <c r="S5643" t="s">
        <v>12313</v>
      </c>
      <c r="T5643" t="s">
        <v>13338</v>
      </c>
      <c r="U5643" t="s">
        <v>13338</v>
      </c>
      <c r="V5643" t="s">
        <v>13338</v>
      </c>
      <c r="W5643" t="s">
        <v>18923</v>
      </c>
      <c r="X5643">
        <v>4</v>
      </c>
      <c r="Y5643" t="s">
        <v>25415</v>
      </c>
      <c r="Z5643" t="s">
        <v>32058</v>
      </c>
      <c r="AA5643">
        <v>0.79746803901264418</v>
      </c>
      <c r="AB5643" t="str">
        <f>HYPERLINK("Melting_Curves/meltCurve_Q9H3H5_2_DPAGT1.pdf", "Melting_Curves/meltCurve_Q9H3H5_2_DPAGT1.pdf")</f>
        <v>Melting_Curves/meltCurve_Q9H3H5_2_DPAGT1.pdf</v>
      </c>
    </row>
    <row r="5644" spans="1:28" x14ac:dyDescent="0.25">
      <c r="A5644" t="s">
        <v>5648</v>
      </c>
      <c r="B5644">
        <v>0.99193492352474899</v>
      </c>
      <c r="C5644">
        <v>0.84940530350197896</v>
      </c>
      <c r="D5644">
        <v>0.73811829425901299</v>
      </c>
      <c r="E5644">
        <v>0.61757697856149996</v>
      </c>
      <c r="F5644">
        <v>0.23755137004440299</v>
      </c>
      <c r="G5644">
        <v>0.118624243055728</v>
      </c>
      <c r="H5644">
        <v>7.8883103539815605E-2</v>
      </c>
      <c r="I5644">
        <v>7.7254080795125399E-2</v>
      </c>
      <c r="J5644">
        <v>8.9581294937416206E-2</v>
      </c>
      <c r="K5644">
        <v>0.10550722157903999</v>
      </c>
      <c r="L5644">
        <v>767.59587189407296</v>
      </c>
      <c r="M5644">
        <v>15.5325166605148</v>
      </c>
      <c r="N5644">
        <v>49.777603574734499</v>
      </c>
      <c r="O5644">
        <v>48.621243532387602</v>
      </c>
      <c r="P5644">
        <v>-7.5640114499093497E-2</v>
      </c>
      <c r="Q5644">
        <v>5.2982286961309098E-2</v>
      </c>
      <c r="R5644">
        <v>0.97961909094514699</v>
      </c>
      <c r="S5644" t="s">
        <v>12314</v>
      </c>
      <c r="T5644" t="s">
        <v>13338</v>
      </c>
      <c r="U5644" t="s">
        <v>13338</v>
      </c>
      <c r="V5644" t="s">
        <v>13338</v>
      </c>
      <c r="W5644" t="s">
        <v>18924</v>
      </c>
      <c r="X5644">
        <v>6</v>
      </c>
      <c r="Y5644" t="s">
        <v>25416</v>
      </c>
      <c r="Z5644" t="s">
        <v>32059</v>
      </c>
      <c r="AA5644">
        <v>0.37188876488857359</v>
      </c>
      <c r="AB5644" t="str">
        <f>HYPERLINK("Melting_Curves/meltCurve_Q9H3K6_BOLA2.pdf", "Melting_Curves/meltCurve_Q9H3K6_BOLA2.pdf")</f>
        <v>Melting_Curves/meltCurve_Q9H3K6_BOLA2.pdf</v>
      </c>
    </row>
    <row r="5645" spans="1:28" x14ac:dyDescent="0.25">
      <c r="A5645" t="s">
        <v>5649</v>
      </c>
      <c r="B5645">
        <v>0.99193492352474899</v>
      </c>
      <c r="C5645">
        <v>0.87011602495711804</v>
      </c>
      <c r="D5645">
        <v>0.93775385740541894</v>
      </c>
      <c r="E5645">
        <v>0.77124311773936405</v>
      </c>
      <c r="F5645">
        <v>0.58074880791266503</v>
      </c>
      <c r="G5645">
        <v>0.30633906395934202</v>
      </c>
      <c r="H5645">
        <v>0.19418386277319399</v>
      </c>
      <c r="I5645">
        <v>0.22128556152843601</v>
      </c>
      <c r="J5645">
        <v>0.22274760539695199</v>
      </c>
      <c r="K5645">
        <v>0.230259940371107</v>
      </c>
      <c r="L5645">
        <v>958.04042846009099</v>
      </c>
      <c r="M5645">
        <v>18.327905135676499</v>
      </c>
      <c r="N5645">
        <v>53.672313808021102</v>
      </c>
      <c r="O5645">
        <v>51.661853995877202</v>
      </c>
      <c r="P5645">
        <v>-7.1841835013795596E-2</v>
      </c>
      <c r="Q5645">
        <v>0.190019408359551</v>
      </c>
      <c r="R5645">
        <v>0.97846613277857297</v>
      </c>
      <c r="S5645" t="s">
        <v>12315</v>
      </c>
      <c r="T5645" t="s">
        <v>13338</v>
      </c>
      <c r="U5645" t="s">
        <v>13338</v>
      </c>
      <c r="V5645" t="s">
        <v>13338</v>
      </c>
      <c r="W5645" t="s">
        <v>18925</v>
      </c>
      <c r="X5645">
        <v>16</v>
      </c>
      <c r="Y5645" t="s">
        <v>25417</v>
      </c>
      <c r="Z5645" t="s">
        <v>32060</v>
      </c>
      <c r="AA5645">
        <v>0.5343853055746125</v>
      </c>
      <c r="AB5645" t="str">
        <f>HYPERLINK("Melting_Curves/meltCurve_Q9H3N1_TMX1.pdf", "Melting_Curves/meltCurve_Q9H3N1_TMX1.pdf")</f>
        <v>Melting_Curves/meltCurve_Q9H3N1_TMX1.pdf</v>
      </c>
    </row>
    <row r="5646" spans="1:28" x14ac:dyDescent="0.25">
      <c r="A5646" t="s">
        <v>5650</v>
      </c>
      <c r="B5646">
        <v>0.99193492352474899</v>
      </c>
      <c r="C5646">
        <v>0.74023176331499996</v>
      </c>
      <c r="D5646">
        <v>0.60521423209472403</v>
      </c>
      <c r="E5646">
        <v>0.25358231754466098</v>
      </c>
      <c r="F5646">
        <v>0.132329730471169</v>
      </c>
      <c r="G5646">
        <v>8.00531358382469E-2</v>
      </c>
      <c r="H5646">
        <v>5.7891580936393398E-2</v>
      </c>
      <c r="I5646">
        <v>5.8398554452856501E-2</v>
      </c>
      <c r="J5646">
        <v>6.1982283964589699E-2</v>
      </c>
      <c r="K5646">
        <v>7.50704515783015E-2</v>
      </c>
      <c r="L5646">
        <v>816.21662480005102</v>
      </c>
      <c r="M5646">
        <v>17.637286460096099</v>
      </c>
      <c r="N5646">
        <v>46.571403166841101</v>
      </c>
      <c r="O5646">
        <v>45.695276153009999</v>
      </c>
      <c r="P5646">
        <v>-9.1423415096973798E-2</v>
      </c>
      <c r="Q5646">
        <v>5.2599192278784401E-2</v>
      </c>
      <c r="R5646">
        <v>0.98947671293025496</v>
      </c>
      <c r="S5646" t="s">
        <v>12316</v>
      </c>
      <c r="T5646" t="s">
        <v>13338</v>
      </c>
      <c r="U5646" t="s">
        <v>13338</v>
      </c>
      <c r="V5646" t="s">
        <v>13338</v>
      </c>
      <c r="W5646" t="s">
        <v>18926</v>
      </c>
      <c r="X5646">
        <v>7</v>
      </c>
      <c r="Y5646" t="s">
        <v>25418</v>
      </c>
      <c r="Z5646" t="s">
        <v>32061</v>
      </c>
      <c r="AA5646">
        <v>0.26992866007465161</v>
      </c>
      <c r="AB5646" t="str">
        <f>HYPERLINK("Melting_Curves/meltCurve_Q9H3P2_NELFA.pdf", "Melting_Curves/meltCurve_Q9H3P2_NELFA.pdf")</f>
        <v>Melting_Curves/meltCurve_Q9H3P2_NELFA.pdf</v>
      </c>
    </row>
    <row r="5647" spans="1:28" x14ac:dyDescent="0.25">
      <c r="A5647" t="s">
        <v>5651</v>
      </c>
      <c r="B5647">
        <v>0.99193492352474899</v>
      </c>
      <c r="C5647">
        <v>0.76484048881862599</v>
      </c>
      <c r="D5647">
        <v>0.97225969909140297</v>
      </c>
      <c r="E5647">
        <v>0.60274610827186204</v>
      </c>
      <c r="F5647">
        <v>0.24476071683283199</v>
      </c>
      <c r="G5647">
        <v>0.16367191802421199</v>
      </c>
      <c r="H5647">
        <v>0.106279731035284</v>
      </c>
      <c r="I5647">
        <v>0.106599106108268</v>
      </c>
      <c r="J5647">
        <v>0.125995059887508</v>
      </c>
      <c r="K5647">
        <v>0.103541736399842</v>
      </c>
      <c r="L5647">
        <v>1316.0515113909601</v>
      </c>
      <c r="M5647">
        <v>26.316311810170198</v>
      </c>
      <c r="N5647">
        <v>50.480200162146197</v>
      </c>
      <c r="O5647">
        <v>49.722874419394898</v>
      </c>
      <c r="P5647">
        <v>-0.117906745331366</v>
      </c>
      <c r="Q5647">
        <v>0.10890279116933101</v>
      </c>
      <c r="R5647">
        <v>0.95717448807031702</v>
      </c>
      <c r="S5647" t="s">
        <v>12317</v>
      </c>
      <c r="T5647" t="s">
        <v>13338</v>
      </c>
      <c r="U5647" t="s">
        <v>13338</v>
      </c>
      <c r="V5647" t="s">
        <v>13338</v>
      </c>
      <c r="W5647" t="s">
        <v>18927</v>
      </c>
      <c r="X5647">
        <v>16</v>
      </c>
      <c r="Y5647" t="s">
        <v>25419</v>
      </c>
      <c r="Z5647" t="s">
        <v>32062</v>
      </c>
      <c r="AA5647">
        <v>0.41338467697515652</v>
      </c>
      <c r="AB5647" t="str">
        <f>HYPERLINK("Melting_Curves/meltCurve_Q9H3P7_ACBD3.pdf", "Melting_Curves/meltCurve_Q9H3P7_ACBD3.pdf")</f>
        <v>Melting_Curves/meltCurve_Q9H3P7_ACBD3.pdf</v>
      </c>
    </row>
    <row r="5648" spans="1:28" x14ac:dyDescent="0.25">
      <c r="A5648" t="s">
        <v>5652</v>
      </c>
      <c r="B5648">
        <v>0.99193492352474899</v>
      </c>
      <c r="C5648">
        <v>0.62201049776163098</v>
      </c>
      <c r="D5648">
        <v>0.64782218864627905</v>
      </c>
      <c r="E5648">
        <v>0.36105272630164398</v>
      </c>
      <c r="F5648">
        <v>0.32337615488225302</v>
      </c>
      <c r="G5648">
        <v>0.194560195150705</v>
      </c>
      <c r="H5648">
        <v>0.13205366325555301</v>
      </c>
      <c r="I5648">
        <v>0.105234577426554</v>
      </c>
      <c r="J5648">
        <v>0.131315239367195</v>
      </c>
      <c r="K5648">
        <v>0.15770923261817699</v>
      </c>
      <c r="L5648">
        <v>544.99953374669406</v>
      </c>
      <c r="M5648">
        <v>11.7231112077726</v>
      </c>
      <c r="N5648">
        <v>47.448828738422201</v>
      </c>
      <c r="O5648">
        <v>45.198390519670298</v>
      </c>
      <c r="P5648">
        <v>-5.80150271532675E-2</v>
      </c>
      <c r="Q5648">
        <v>0.10552919506243701</v>
      </c>
      <c r="R5648">
        <v>0.94772121417542099</v>
      </c>
      <c r="S5648" t="s">
        <v>12318</v>
      </c>
      <c r="T5648" t="s">
        <v>13338</v>
      </c>
      <c r="U5648" t="s">
        <v>13338</v>
      </c>
      <c r="V5648" t="s">
        <v>13338</v>
      </c>
      <c r="W5648" t="s">
        <v>18928</v>
      </c>
      <c r="X5648">
        <v>5</v>
      </c>
      <c r="Y5648" t="s">
        <v>25420</v>
      </c>
      <c r="Z5648" t="s">
        <v>32063</v>
      </c>
      <c r="AA5648">
        <v>0.33979604446431011</v>
      </c>
      <c r="AB5648" t="str">
        <f>HYPERLINK("Melting_Curves/meltCurve_Q9H3R5_CENPH.pdf", "Melting_Curves/meltCurve_Q9H3R5_CENPH.pdf")</f>
        <v>Melting_Curves/meltCurve_Q9H3R5_CENPH.pdf</v>
      </c>
    </row>
    <row r="5649" spans="1:28" x14ac:dyDescent="0.25">
      <c r="A5649" t="s">
        <v>5653</v>
      </c>
      <c r="B5649">
        <v>0.99193492352474899</v>
      </c>
      <c r="C5649">
        <v>0.85066719958188197</v>
      </c>
      <c r="D5649">
        <v>0.89658374627831094</v>
      </c>
      <c r="E5649">
        <v>0.64060074311658199</v>
      </c>
      <c r="F5649">
        <v>0.65018127423456795</v>
      </c>
      <c r="G5649">
        <v>0.32534839165299301</v>
      </c>
      <c r="H5649">
        <v>8.3370110342687195E-2</v>
      </c>
      <c r="I5649">
        <v>6.43486785104318E-2</v>
      </c>
      <c r="J5649">
        <v>7.3115231457724306E-2</v>
      </c>
      <c r="K5649">
        <v>7.40373541197238E-2</v>
      </c>
      <c r="L5649">
        <v>673.91323484337897</v>
      </c>
      <c r="M5649">
        <v>12.623822021820599</v>
      </c>
      <c r="N5649">
        <v>53.384249849323403</v>
      </c>
      <c r="O5649">
        <v>52.097774754831001</v>
      </c>
      <c r="P5649">
        <v>-6.0589545661342503E-2</v>
      </c>
      <c r="Q5649">
        <v>0</v>
      </c>
      <c r="R5649">
        <v>0.96246918978156204</v>
      </c>
      <c r="S5649" t="s">
        <v>12319</v>
      </c>
      <c r="T5649" t="s">
        <v>13338</v>
      </c>
      <c r="U5649" t="s">
        <v>13338</v>
      </c>
      <c r="V5649" t="s">
        <v>13338</v>
      </c>
      <c r="W5649" t="s">
        <v>18929</v>
      </c>
      <c r="X5649">
        <v>1</v>
      </c>
      <c r="Y5649" t="s">
        <v>25421</v>
      </c>
      <c r="Z5649" t="s">
        <v>32064</v>
      </c>
      <c r="AA5649">
        <v>0.47227108090883241</v>
      </c>
      <c r="AB5649" t="str">
        <f>HYPERLINK("Melting_Curves/meltCurve_Q9H3S5_PIGM.pdf", "Melting_Curves/meltCurve_Q9H3S5_PIGM.pdf")</f>
        <v>Melting_Curves/meltCurve_Q9H3S5_PIGM.pdf</v>
      </c>
    </row>
    <row r="5650" spans="1:28" x14ac:dyDescent="0.25">
      <c r="A5650" t="s">
        <v>5654</v>
      </c>
      <c r="B5650">
        <v>0.99193492352474899</v>
      </c>
      <c r="C5650">
        <v>0.93880067526278699</v>
      </c>
      <c r="D5650">
        <v>0.91756767374991799</v>
      </c>
      <c r="E5650">
        <v>0.26759554947783099</v>
      </c>
      <c r="F5650">
        <v>0.20930360089319</v>
      </c>
      <c r="G5650">
        <v>0.104480884133588</v>
      </c>
      <c r="H5650">
        <v>7.3453068407107303E-2</v>
      </c>
      <c r="I5650">
        <v>8.717208394657E-2</v>
      </c>
      <c r="J5650">
        <v>0.101485035869453</v>
      </c>
      <c r="K5650">
        <v>8.91603407972998E-2</v>
      </c>
      <c r="L5650">
        <v>2243.27826093253</v>
      </c>
      <c r="M5650">
        <v>46.648413209840001</v>
      </c>
      <c r="N5650">
        <v>48.339363782742197</v>
      </c>
      <c r="O5650">
        <v>48.000932277255799</v>
      </c>
      <c r="P5650">
        <v>-0.216887979241594</v>
      </c>
      <c r="Q5650">
        <v>0.10729537965323201</v>
      </c>
      <c r="R5650">
        <v>0.99011562764107697</v>
      </c>
      <c r="S5650" t="s">
        <v>12320</v>
      </c>
      <c r="T5650" t="s">
        <v>13338</v>
      </c>
      <c r="U5650" t="s">
        <v>13338</v>
      </c>
      <c r="V5650" t="s">
        <v>13338</v>
      </c>
      <c r="W5650" t="s">
        <v>18930</v>
      </c>
      <c r="X5650">
        <v>14</v>
      </c>
      <c r="Y5650" t="s">
        <v>25422</v>
      </c>
      <c r="Z5650" t="s">
        <v>32065</v>
      </c>
      <c r="AA5650">
        <v>0.35017898751621201</v>
      </c>
      <c r="AB5650" t="str">
        <f>HYPERLINK("Melting_Curves/meltCurve_Q9H3S7_PTPN23.pdf", "Melting_Curves/meltCurve_Q9H3S7_PTPN23.pdf")</f>
        <v>Melting_Curves/meltCurve_Q9H3S7_PTPN23.pdf</v>
      </c>
    </row>
    <row r="5651" spans="1:28" x14ac:dyDescent="0.25">
      <c r="A5651" t="s">
        <v>5655</v>
      </c>
      <c r="B5651">
        <v>0.99193492352474899</v>
      </c>
      <c r="C5651">
        <v>0.93917290585362401</v>
      </c>
      <c r="D5651">
        <v>0.665773268631489</v>
      </c>
      <c r="E5651">
        <v>0.18953711775346199</v>
      </c>
      <c r="F5651">
        <v>0.14217676619137801</v>
      </c>
      <c r="G5651">
        <v>8.4225602291724197E-2</v>
      </c>
      <c r="H5651">
        <v>5.05341839742946E-2</v>
      </c>
      <c r="I5651">
        <v>6.1840045945739303E-2</v>
      </c>
      <c r="J5651">
        <v>6.6599101910909897E-2</v>
      </c>
      <c r="K5651">
        <v>7.0440757370095294E-2</v>
      </c>
      <c r="L5651">
        <v>1447.9300963860301</v>
      </c>
      <c r="M5651">
        <v>30.9400998902052</v>
      </c>
      <c r="N5651">
        <v>47.034812181221298</v>
      </c>
      <c r="O5651">
        <v>46.603656379523301</v>
      </c>
      <c r="P5651">
        <v>-0.15399750242677501</v>
      </c>
      <c r="Q5651">
        <v>7.2167794752132794E-2</v>
      </c>
      <c r="R5651">
        <v>0.99729468703688295</v>
      </c>
      <c r="S5651" t="s">
        <v>12321</v>
      </c>
      <c r="T5651" t="s">
        <v>13338</v>
      </c>
      <c r="U5651" t="s">
        <v>13338</v>
      </c>
      <c r="V5651" t="s">
        <v>13338</v>
      </c>
      <c r="W5651" t="s">
        <v>18931</v>
      </c>
      <c r="X5651">
        <v>28</v>
      </c>
      <c r="Y5651" t="s">
        <v>25423</v>
      </c>
      <c r="Z5651" t="s">
        <v>32066</v>
      </c>
      <c r="AA5651">
        <v>0.28762244362134542</v>
      </c>
      <c r="AB5651" t="str">
        <f>HYPERLINK("Melting_Curves/meltCurve_Q9H3U1_2_UNC45A.pdf", "Melting_Curves/meltCurve_Q9H3U1_2_UNC45A.pdf")</f>
        <v>Melting_Curves/meltCurve_Q9H3U1_2_UNC45A.pdf</v>
      </c>
    </row>
    <row r="5652" spans="1:28" x14ac:dyDescent="0.25">
      <c r="A5652" t="s">
        <v>5656</v>
      </c>
      <c r="B5652">
        <v>0.99193492352474899</v>
      </c>
      <c r="C5652">
        <v>1.09298390752818</v>
      </c>
      <c r="D5652">
        <v>0.78267396426992097</v>
      </c>
      <c r="E5652">
        <v>0.79654867844919297</v>
      </c>
      <c r="F5652">
        <v>0.32777841488136999</v>
      </c>
      <c r="G5652">
        <v>0.45232762217285399</v>
      </c>
      <c r="H5652">
        <v>0.342956920876268</v>
      </c>
      <c r="I5652">
        <v>0.54484391328571602</v>
      </c>
      <c r="J5652">
        <v>0.39624762344050402</v>
      </c>
      <c r="K5652">
        <v>0.36390401346032297</v>
      </c>
      <c r="L5652">
        <v>1351.6013547520799</v>
      </c>
      <c r="M5652">
        <v>27.365165273113099</v>
      </c>
      <c r="N5652">
        <v>52.457043777867</v>
      </c>
      <c r="O5652">
        <v>49.129813159214002</v>
      </c>
      <c r="P5652">
        <v>-8.3692310603929093E-2</v>
      </c>
      <c r="Q5652">
        <v>0.39898060668464902</v>
      </c>
      <c r="R5652">
        <v>0.872054344688308</v>
      </c>
      <c r="S5652" t="s">
        <v>12322</v>
      </c>
      <c r="T5652" t="s">
        <v>13338</v>
      </c>
      <c r="U5652" t="s">
        <v>13338</v>
      </c>
      <c r="V5652" t="s">
        <v>13338</v>
      </c>
      <c r="W5652" t="s">
        <v>18932</v>
      </c>
      <c r="X5652">
        <v>1</v>
      </c>
      <c r="Y5652" t="s">
        <v>25424</v>
      </c>
      <c r="Z5652" t="s">
        <v>32067</v>
      </c>
      <c r="AA5652">
        <v>0.59156729688515497</v>
      </c>
      <c r="AB5652" t="str">
        <f>HYPERLINK("Melting_Curves/meltCurve_Q9H3U5_3_MFSD1.pdf", "Melting_Curves/meltCurve_Q9H3U5_3_MFSD1.pdf")</f>
        <v>Melting_Curves/meltCurve_Q9H3U5_3_MFSD1.pdf</v>
      </c>
    </row>
    <row r="5653" spans="1:28" x14ac:dyDescent="0.25">
      <c r="A5653" t="s">
        <v>5657</v>
      </c>
      <c r="B5653">
        <v>0.99193492352474899</v>
      </c>
      <c r="C5653">
        <v>0.67923304788521599</v>
      </c>
      <c r="D5653">
        <v>0.96332856451637605</v>
      </c>
      <c r="E5653">
        <v>0.54875640264999703</v>
      </c>
      <c r="F5653">
        <v>0.64783223602929896</v>
      </c>
      <c r="G5653">
        <v>0.41789306060529202</v>
      </c>
      <c r="H5653">
        <v>0.36299178203391802</v>
      </c>
      <c r="I5653">
        <v>0.42608433700949599</v>
      </c>
      <c r="J5653">
        <v>0.49129041012914698</v>
      </c>
      <c r="K5653">
        <v>0.85536756797628499</v>
      </c>
      <c r="L5653">
        <v>677.76747672204999</v>
      </c>
      <c r="M5653">
        <v>14.7625958971282</v>
      </c>
      <c r="O5653">
        <v>45.093367326557797</v>
      </c>
      <c r="P5653">
        <v>-3.9749150307619503E-2</v>
      </c>
      <c r="Q5653">
        <v>0.51438608253392604</v>
      </c>
      <c r="R5653">
        <v>0.45067084272674701</v>
      </c>
      <c r="S5653" t="s">
        <v>12323</v>
      </c>
      <c r="T5653" t="s">
        <v>13338</v>
      </c>
      <c r="U5653" t="s">
        <v>13338</v>
      </c>
      <c r="V5653" t="s">
        <v>13338</v>
      </c>
      <c r="W5653" t="s">
        <v>18933</v>
      </c>
      <c r="X5653">
        <v>6</v>
      </c>
      <c r="Y5653" t="s">
        <v>25425</v>
      </c>
      <c r="Z5653" t="s">
        <v>32068</v>
      </c>
      <c r="AA5653">
        <v>0.62484541017106687</v>
      </c>
      <c r="AB5653" t="str">
        <f>HYPERLINK("Melting_Curves/meltCurve_Q9H3Z4_2_DNAJC5.pdf", "Melting_Curves/meltCurve_Q9H3Z4_2_DNAJC5.pdf")</f>
        <v>Melting_Curves/meltCurve_Q9H3Z4_2_DNAJC5.pdf</v>
      </c>
    </row>
    <row r="5654" spans="1:28" x14ac:dyDescent="0.25">
      <c r="A5654" t="s">
        <v>5658</v>
      </c>
      <c r="B5654">
        <v>0.99193492352474899</v>
      </c>
      <c r="C5654">
        <v>2.4324038820486402</v>
      </c>
      <c r="D5654">
        <v>2.3880157098157802</v>
      </c>
      <c r="E5654">
        <v>0.93992656662537899</v>
      </c>
      <c r="F5654">
        <v>0.73947547559921201</v>
      </c>
      <c r="G5654">
        <v>0.54723143726453105</v>
      </c>
      <c r="H5654">
        <v>0</v>
      </c>
      <c r="I5654">
        <v>0.307453857948144</v>
      </c>
      <c r="J5654">
        <v>0.73376543350842005</v>
      </c>
      <c r="K5654">
        <v>0</v>
      </c>
      <c r="L5654">
        <v>1876.4148409225299</v>
      </c>
      <c r="M5654">
        <v>34.286908595779401</v>
      </c>
      <c r="N5654">
        <v>56.016207593977299</v>
      </c>
      <c r="O5654">
        <v>54.541698822356103</v>
      </c>
      <c r="P5654">
        <v>-0.114271866448026</v>
      </c>
      <c r="Q5654">
        <v>0.27289357997258401</v>
      </c>
      <c r="R5654">
        <v>0.349175292624755</v>
      </c>
      <c r="S5654" t="s">
        <v>12324</v>
      </c>
      <c r="T5654" t="s">
        <v>13338</v>
      </c>
      <c r="U5654" t="s">
        <v>13338</v>
      </c>
      <c r="V5654" t="s">
        <v>13338</v>
      </c>
      <c r="W5654" t="s">
        <v>18934</v>
      </c>
      <c r="X5654">
        <v>1</v>
      </c>
      <c r="Y5654" t="s">
        <v>25426</v>
      </c>
      <c r="Z5654" t="s">
        <v>32069</v>
      </c>
      <c r="AA5654">
        <v>0.63354487942792881</v>
      </c>
      <c r="AB5654" t="str">
        <f>HYPERLINK("Melting_Curves/meltCurve_Q9H400_LIME1.pdf", "Melting_Curves/meltCurve_Q9H400_LIME1.pdf")</f>
        <v>Melting_Curves/meltCurve_Q9H400_LIME1.pdf</v>
      </c>
    </row>
    <row r="5655" spans="1:28" x14ac:dyDescent="0.25">
      <c r="A5655" t="s">
        <v>5659</v>
      </c>
      <c r="B5655">
        <v>0.99193492352474899</v>
      </c>
      <c r="C5655">
        <v>0.85942886563768495</v>
      </c>
      <c r="D5655">
        <v>0.86627149388021196</v>
      </c>
      <c r="E5655">
        <v>0.393858028529885</v>
      </c>
      <c r="F5655">
        <v>0.164023381422956</v>
      </c>
      <c r="G5655">
        <v>9.7067720536968993E-2</v>
      </c>
      <c r="H5655">
        <v>6.4795318004248106E-2</v>
      </c>
      <c r="I5655">
        <v>8.5503885545396299E-2</v>
      </c>
      <c r="J5655">
        <v>9.2586206820585798E-2</v>
      </c>
      <c r="K5655">
        <v>0.22063328823873901</v>
      </c>
      <c r="L5655">
        <v>1399.54030374281</v>
      </c>
      <c r="M5655">
        <v>28.941755886012999</v>
      </c>
      <c r="N5655">
        <v>48.768212741259198</v>
      </c>
      <c r="O5655">
        <v>48.128030341998397</v>
      </c>
      <c r="P5655">
        <v>-0.13406584867736401</v>
      </c>
      <c r="Q5655">
        <v>0.10823980802406</v>
      </c>
      <c r="R5655">
        <v>0.97528580678731502</v>
      </c>
      <c r="S5655" t="s">
        <v>12325</v>
      </c>
      <c r="T5655" t="s">
        <v>13338</v>
      </c>
      <c r="U5655" t="s">
        <v>13338</v>
      </c>
      <c r="V5655" t="s">
        <v>13338</v>
      </c>
      <c r="W5655" t="s">
        <v>18935</v>
      </c>
      <c r="X5655">
        <v>8</v>
      </c>
      <c r="Y5655" t="s">
        <v>25427</v>
      </c>
      <c r="Z5655" t="s">
        <v>32070</v>
      </c>
      <c r="AA5655">
        <v>0.36246185441576861</v>
      </c>
      <c r="AB5655" t="str">
        <f>HYPERLINK("Melting_Curves/meltCurve_Q9H410_DSN1.pdf", "Melting_Curves/meltCurve_Q9H410_DSN1.pdf")</f>
        <v>Melting_Curves/meltCurve_Q9H410_DSN1.pdf</v>
      </c>
    </row>
    <row r="5656" spans="1:28" x14ac:dyDescent="0.25">
      <c r="A5656" t="s">
        <v>5660</v>
      </c>
      <c r="B5656">
        <v>0.99193492352474899</v>
      </c>
      <c r="C5656">
        <v>0.81223393379591902</v>
      </c>
      <c r="D5656">
        <v>0.75785842747397403</v>
      </c>
      <c r="E5656">
        <v>0.55945090440299095</v>
      </c>
      <c r="F5656">
        <v>0.35950155041922799</v>
      </c>
      <c r="G5656">
        <v>0.22815264368992699</v>
      </c>
      <c r="H5656">
        <v>0.21815873073623701</v>
      </c>
      <c r="I5656">
        <v>0.29558089037020702</v>
      </c>
      <c r="J5656">
        <v>0.38008164782843201</v>
      </c>
      <c r="K5656">
        <v>0.55320099184664695</v>
      </c>
      <c r="L5656">
        <v>883.04887040422204</v>
      </c>
      <c r="M5656">
        <v>18.8483361988309</v>
      </c>
      <c r="N5656">
        <v>49.7002833355346</v>
      </c>
      <c r="O5656">
        <v>46.332415034902397</v>
      </c>
      <c r="P5656">
        <v>-6.8107621144459896E-2</v>
      </c>
      <c r="Q5656">
        <v>0.33034710159545</v>
      </c>
      <c r="R5656">
        <v>0.84865254455504202</v>
      </c>
      <c r="S5656" t="s">
        <v>12326</v>
      </c>
      <c r="T5656" t="s">
        <v>13338</v>
      </c>
      <c r="U5656" t="s">
        <v>13338</v>
      </c>
      <c r="V5656" t="s">
        <v>13338</v>
      </c>
      <c r="W5656" t="s">
        <v>18936</v>
      </c>
      <c r="X5656">
        <v>10</v>
      </c>
      <c r="Y5656" t="s">
        <v>25428</v>
      </c>
      <c r="Z5656" t="s">
        <v>32071</v>
      </c>
      <c r="AA5656">
        <v>0.49450723094158472</v>
      </c>
      <c r="AB5656" t="str">
        <f>HYPERLINK("Melting_Curves/meltCurve_Q9H425_C1orf198.pdf", "Melting_Curves/meltCurve_Q9H425_C1orf198.pdf")</f>
        <v>Melting_Curves/meltCurve_Q9H425_C1orf198.pdf</v>
      </c>
    </row>
    <row r="5657" spans="1:28" x14ac:dyDescent="0.25">
      <c r="A5657" t="s">
        <v>5661</v>
      </c>
      <c r="B5657">
        <v>0.99193492352474899</v>
      </c>
      <c r="C5657">
        <v>1.0389016966945099</v>
      </c>
      <c r="D5657">
        <v>0.87657237007905198</v>
      </c>
      <c r="E5657">
        <v>0.97508743522986896</v>
      </c>
      <c r="F5657">
        <v>0.66603757251949403</v>
      </c>
      <c r="G5657">
        <v>0.59717144212795104</v>
      </c>
      <c r="H5657">
        <v>0.39501256603065998</v>
      </c>
      <c r="I5657">
        <v>0.42235324468004698</v>
      </c>
      <c r="J5657">
        <v>0.43862375797773501</v>
      </c>
      <c r="K5657">
        <v>0.77051237362837799</v>
      </c>
      <c r="L5657">
        <v>2103.0169238624799</v>
      </c>
      <c r="M5657">
        <v>40.203115938350898</v>
      </c>
      <c r="O5657">
        <v>52.180874403585399</v>
      </c>
      <c r="P5657">
        <v>-9.2753871976441707E-2</v>
      </c>
      <c r="Q5657">
        <v>0.51844843910928096</v>
      </c>
      <c r="R5657">
        <v>0.79336534541506498</v>
      </c>
      <c r="S5657" t="s">
        <v>12327</v>
      </c>
      <c r="T5657" t="s">
        <v>13338</v>
      </c>
      <c r="U5657" t="s">
        <v>13338</v>
      </c>
      <c r="V5657" t="s">
        <v>13338</v>
      </c>
      <c r="W5657" t="s">
        <v>18937</v>
      </c>
      <c r="X5657">
        <v>17</v>
      </c>
      <c r="Y5657" t="s">
        <v>25429</v>
      </c>
      <c r="Z5657" t="s">
        <v>32072</v>
      </c>
      <c r="AA5657">
        <v>0.7177643577496009</v>
      </c>
      <c r="AB5657" t="str">
        <f>HYPERLINK("Melting_Curves/meltCurve_Q9H444_CHMP4B.pdf", "Melting_Curves/meltCurve_Q9H444_CHMP4B.pdf")</f>
        <v>Melting_Curves/meltCurve_Q9H444_CHMP4B.pdf</v>
      </c>
    </row>
    <row r="5658" spans="1:28" x14ac:dyDescent="0.25">
      <c r="A5658" t="s">
        <v>5662</v>
      </c>
      <c r="B5658">
        <v>0.99193492352474899</v>
      </c>
      <c r="C5658">
        <v>0.74623972680083805</v>
      </c>
      <c r="D5658">
        <v>0.80977884891523599</v>
      </c>
      <c r="E5658">
        <v>0.49729927456363698</v>
      </c>
      <c r="F5658">
        <v>0.331626521962118</v>
      </c>
      <c r="G5658">
        <v>0.16050737272691801</v>
      </c>
      <c r="H5658">
        <v>0.107888499266674</v>
      </c>
      <c r="I5658">
        <v>0.13325143651351001</v>
      </c>
      <c r="J5658">
        <v>0.138245477149953</v>
      </c>
      <c r="K5658">
        <v>0.21427705460618501</v>
      </c>
      <c r="L5658">
        <v>698.25610851039403</v>
      </c>
      <c r="M5658">
        <v>14.3793446320872</v>
      </c>
      <c r="N5658">
        <v>49.487065321964501</v>
      </c>
      <c r="O5658">
        <v>47.649451771609797</v>
      </c>
      <c r="P5658">
        <v>-6.6540753966567598E-2</v>
      </c>
      <c r="Q5658">
        <v>0.118109272095243</v>
      </c>
      <c r="R5658">
        <v>0.95750432580358902</v>
      </c>
      <c r="S5658" t="s">
        <v>12328</v>
      </c>
      <c r="T5658" t="s">
        <v>13338</v>
      </c>
      <c r="U5658" t="s">
        <v>13338</v>
      </c>
      <c r="V5658" t="s">
        <v>13338</v>
      </c>
      <c r="W5658" t="s">
        <v>18938</v>
      </c>
      <c r="X5658">
        <v>7</v>
      </c>
      <c r="Y5658" t="s">
        <v>25430</v>
      </c>
      <c r="Z5658" t="s">
        <v>32073</v>
      </c>
      <c r="AA5658">
        <v>0.39373556996441111</v>
      </c>
      <c r="AB5658" t="str">
        <f>HYPERLINK("Melting_Curves/meltCurve_Q9H467_CUEDC2.pdf", "Melting_Curves/meltCurve_Q9H467_CUEDC2.pdf")</f>
        <v>Melting_Curves/meltCurve_Q9H467_CUEDC2.pdf</v>
      </c>
    </row>
    <row r="5659" spans="1:28" x14ac:dyDescent="0.25">
      <c r="A5659" t="s">
        <v>5663</v>
      </c>
      <c r="B5659">
        <v>0.99193492352474899</v>
      </c>
      <c r="C5659">
        <v>1.04867692003375</v>
      </c>
      <c r="D5659">
        <v>0.87407987853913205</v>
      </c>
      <c r="E5659">
        <v>0.87768012914555904</v>
      </c>
      <c r="F5659">
        <v>0.53142571197297905</v>
      </c>
      <c r="G5659">
        <v>0.64474013412813702</v>
      </c>
      <c r="H5659">
        <v>0.53122090017639401</v>
      </c>
      <c r="I5659">
        <v>0.58044808857924401</v>
      </c>
      <c r="J5659">
        <v>0.65360520204060701</v>
      </c>
      <c r="K5659">
        <v>0.82503719225719097</v>
      </c>
      <c r="L5659">
        <v>12435.442009214699</v>
      </c>
      <c r="M5659">
        <v>250</v>
      </c>
      <c r="O5659">
        <v>49.738584936714297</v>
      </c>
      <c r="P5659">
        <v>-0.46776285260804201</v>
      </c>
      <c r="Q5659">
        <v>0.62774620276379201</v>
      </c>
      <c r="R5659">
        <v>0.76021855237159897</v>
      </c>
      <c r="S5659" t="s">
        <v>12329</v>
      </c>
      <c r="T5659" t="s">
        <v>13338</v>
      </c>
      <c r="U5659" t="s">
        <v>13338</v>
      </c>
      <c r="V5659" t="s">
        <v>13338</v>
      </c>
      <c r="W5659" t="s">
        <v>18939</v>
      </c>
      <c r="X5659">
        <v>3</v>
      </c>
      <c r="Y5659" t="s">
        <v>25431</v>
      </c>
      <c r="Z5659" t="s">
        <v>32074</v>
      </c>
      <c r="AA5659">
        <v>0.74865903715914517</v>
      </c>
      <c r="AB5659" t="str">
        <f>HYPERLINK("Melting_Curves/meltCurve_Q9H477_RBKS.pdf", "Melting_Curves/meltCurve_Q9H477_RBKS.pdf")</f>
        <v>Melting_Curves/meltCurve_Q9H477_RBKS.pdf</v>
      </c>
    </row>
    <row r="5660" spans="1:28" x14ac:dyDescent="0.25">
      <c r="A5660" t="s">
        <v>5664</v>
      </c>
      <c r="B5660">
        <v>0.99193492352474899</v>
      </c>
      <c r="C5660">
        <v>1.0887188678598001</v>
      </c>
      <c r="D5660">
        <v>0.95819524339828299</v>
      </c>
      <c r="E5660">
        <v>0.87965688836366995</v>
      </c>
      <c r="F5660">
        <v>0.57847090104658905</v>
      </c>
      <c r="G5660">
        <v>0.297339081417892</v>
      </c>
      <c r="H5660">
        <v>0.14798904647550601</v>
      </c>
      <c r="I5660">
        <v>0.165556083723127</v>
      </c>
      <c r="J5660">
        <v>0.14915300057695599</v>
      </c>
      <c r="K5660">
        <v>0.14766732565678001</v>
      </c>
      <c r="L5660">
        <v>1329.5431967161301</v>
      </c>
      <c r="M5660">
        <v>24.962397289654</v>
      </c>
      <c r="N5660">
        <v>53.972983957420603</v>
      </c>
      <c r="O5660">
        <v>52.9235524914398</v>
      </c>
      <c r="P5660">
        <v>-0.101393512963879</v>
      </c>
      <c r="Q5660">
        <v>0.1401415589385</v>
      </c>
      <c r="R5660">
        <v>0.99307855050489002</v>
      </c>
      <c r="S5660" t="s">
        <v>12330</v>
      </c>
      <c r="T5660" t="s">
        <v>13338</v>
      </c>
      <c r="U5660" t="s">
        <v>13338</v>
      </c>
      <c r="V5660" t="s">
        <v>13338</v>
      </c>
      <c r="W5660" t="s">
        <v>18940</v>
      </c>
      <c r="X5660">
        <v>6</v>
      </c>
      <c r="Y5660" t="s">
        <v>25432</v>
      </c>
      <c r="Z5660" t="s">
        <v>32075</v>
      </c>
      <c r="AA5660">
        <v>0.52820451569955895</v>
      </c>
      <c r="AB5660" t="str">
        <f>HYPERLINK("Melting_Curves/meltCurve_Q9H488_POFUT1.pdf", "Melting_Curves/meltCurve_Q9H488_POFUT1.pdf")</f>
        <v>Melting_Curves/meltCurve_Q9H488_POFUT1.pdf</v>
      </c>
    </row>
    <row r="5661" spans="1:28" x14ac:dyDescent="0.25">
      <c r="A5661" t="s">
        <v>5665</v>
      </c>
      <c r="B5661">
        <v>0.99193492352474899</v>
      </c>
      <c r="C5661">
        <v>0.92692561781421801</v>
      </c>
      <c r="D5661">
        <v>1.0545012088522701</v>
      </c>
      <c r="E5661">
        <v>0.55209439241523905</v>
      </c>
      <c r="F5661">
        <v>0.32407564151513502</v>
      </c>
      <c r="G5661">
        <v>0.21440711168354401</v>
      </c>
      <c r="H5661">
        <v>0.11384579283773399</v>
      </c>
      <c r="I5661">
        <v>8.63800640583859E-2</v>
      </c>
      <c r="J5661">
        <v>0.131885216274894</v>
      </c>
      <c r="K5661">
        <v>8.54548889678272E-2</v>
      </c>
      <c r="L5661">
        <v>1301.2206407521701</v>
      </c>
      <c r="M5661">
        <v>25.926566876123498</v>
      </c>
      <c r="N5661">
        <v>50.711827300231398</v>
      </c>
      <c r="O5661">
        <v>49.892966184251499</v>
      </c>
      <c r="P5661">
        <v>-0.114668520789779</v>
      </c>
      <c r="Q5661">
        <v>0.117339947570541</v>
      </c>
      <c r="R5661">
        <v>0.97659968840036404</v>
      </c>
      <c r="S5661" t="s">
        <v>12331</v>
      </c>
      <c r="T5661" t="s">
        <v>13338</v>
      </c>
      <c r="U5661" t="s">
        <v>13338</v>
      </c>
      <c r="V5661" t="s">
        <v>13338</v>
      </c>
      <c r="W5661" t="s">
        <v>18941</v>
      </c>
      <c r="X5661">
        <v>2</v>
      </c>
      <c r="Y5661" t="s">
        <v>25433</v>
      </c>
      <c r="Z5661" t="s">
        <v>32076</v>
      </c>
      <c r="AA5661">
        <v>0.42445991183485499</v>
      </c>
      <c r="AB5661" t="str">
        <f>HYPERLINK("Melting_Curves/meltCurve_Q9H490_2_PIGU.pdf", "Melting_Curves/meltCurve_Q9H490_2_PIGU.pdf")</f>
        <v>Melting_Curves/meltCurve_Q9H490_2_PIGU.pdf</v>
      </c>
    </row>
    <row r="5662" spans="1:28" x14ac:dyDescent="0.25">
      <c r="A5662" t="s">
        <v>5666</v>
      </c>
      <c r="B5662">
        <v>0.99193492352474899</v>
      </c>
      <c r="C5662">
        <v>1.30466925327709</v>
      </c>
      <c r="D5662">
        <v>0.80493788838796299</v>
      </c>
      <c r="E5662">
        <v>0.393544399091388</v>
      </c>
      <c r="F5662">
        <v>0.22388635925101899</v>
      </c>
      <c r="G5662">
        <v>7.3421300081956797E-2</v>
      </c>
      <c r="H5662">
        <v>5.6320889682183399E-2</v>
      </c>
      <c r="I5662">
        <v>0.101567696324132</v>
      </c>
      <c r="J5662">
        <v>9.9922675898114502E-2</v>
      </c>
      <c r="K5662">
        <v>0.101326309014306</v>
      </c>
      <c r="L5662">
        <v>1516.61037423211</v>
      </c>
      <c r="M5662">
        <v>31.257024716526502</v>
      </c>
      <c r="N5662">
        <v>48.8554628114126</v>
      </c>
      <c r="O5662">
        <v>48.323305758973198</v>
      </c>
      <c r="P5662">
        <v>-0.14611728294005999</v>
      </c>
      <c r="Q5662">
        <v>9.6416496737474197E-2</v>
      </c>
      <c r="R5662">
        <v>0.93874930528981904</v>
      </c>
      <c r="S5662" t="s">
        <v>12332</v>
      </c>
      <c r="T5662" t="s">
        <v>13338</v>
      </c>
      <c r="U5662" t="s">
        <v>13338</v>
      </c>
      <c r="V5662" t="s">
        <v>13338</v>
      </c>
      <c r="W5662" t="s">
        <v>18942</v>
      </c>
      <c r="X5662">
        <v>2</v>
      </c>
      <c r="Y5662" t="s">
        <v>25434</v>
      </c>
      <c r="Z5662" t="s">
        <v>32077</v>
      </c>
      <c r="AA5662">
        <v>0.3580774262831033</v>
      </c>
      <c r="AB5662" t="str">
        <f>HYPERLINK("Melting_Curves/meltCurve_Q9H496_IFRG15.pdf", "Melting_Curves/meltCurve_Q9H496_IFRG15.pdf")</f>
        <v>Melting_Curves/meltCurve_Q9H496_IFRG15.pdf</v>
      </c>
    </row>
    <row r="5663" spans="1:28" x14ac:dyDescent="0.25">
      <c r="A5663" t="s">
        <v>5667</v>
      </c>
      <c r="B5663">
        <v>0.99193492352474899</v>
      </c>
      <c r="C5663">
        <v>0.835170768983026</v>
      </c>
      <c r="D5663">
        <v>1.14057623432602</v>
      </c>
      <c r="E5663">
        <v>0.796764268709375</v>
      </c>
      <c r="F5663">
        <v>0.66616698324768697</v>
      </c>
      <c r="G5663">
        <v>0.31771926917896198</v>
      </c>
      <c r="H5663">
        <v>0.101921670532198</v>
      </c>
      <c r="I5663">
        <v>0.10701595748234</v>
      </c>
      <c r="J5663">
        <v>0.122929545927509</v>
      </c>
      <c r="K5663">
        <v>0.14568053389832</v>
      </c>
      <c r="L5663">
        <v>1248.84066994206</v>
      </c>
      <c r="M5663">
        <v>23.149505082190199</v>
      </c>
      <c r="N5663">
        <v>54.465071690587799</v>
      </c>
      <c r="O5663">
        <v>53.549037373339203</v>
      </c>
      <c r="P5663">
        <v>-9.7393367227006006E-2</v>
      </c>
      <c r="Q5663">
        <v>9.8861911142905101E-2</v>
      </c>
      <c r="R5663">
        <v>0.95406209591584301</v>
      </c>
      <c r="S5663" t="s">
        <v>12333</v>
      </c>
      <c r="T5663" t="s">
        <v>13338</v>
      </c>
      <c r="U5663" t="s">
        <v>13338</v>
      </c>
      <c r="V5663" t="s">
        <v>13338</v>
      </c>
      <c r="W5663" t="s">
        <v>18943</v>
      </c>
      <c r="X5663">
        <v>3</v>
      </c>
      <c r="Y5663" t="s">
        <v>25435</v>
      </c>
      <c r="Z5663" t="s">
        <v>32078</v>
      </c>
      <c r="AA5663">
        <v>0.52736474057210747</v>
      </c>
      <c r="AB5663" t="str">
        <f>HYPERLINK("Melting_Curves/meltCurve_Q9H497_TOR3A.pdf", "Melting_Curves/meltCurve_Q9H497_TOR3A.pdf")</f>
        <v>Melting_Curves/meltCurve_Q9H497_TOR3A.pdf</v>
      </c>
    </row>
    <row r="5664" spans="1:28" x14ac:dyDescent="0.25">
      <c r="A5664" t="s">
        <v>5668</v>
      </c>
      <c r="B5664">
        <v>0.99193492352474899</v>
      </c>
      <c r="C5664">
        <v>1.0829934763034199</v>
      </c>
      <c r="D5664">
        <v>1.0296076456274199</v>
      </c>
      <c r="E5664">
        <v>0.9081207677673</v>
      </c>
      <c r="F5664">
        <v>0.26951942972405601</v>
      </c>
      <c r="G5664">
        <v>0.13396982071978</v>
      </c>
      <c r="H5664">
        <v>8.1543341774153802E-2</v>
      </c>
      <c r="I5664">
        <v>0.100292703654261</v>
      </c>
      <c r="J5664">
        <v>0.119567675309349</v>
      </c>
      <c r="K5664">
        <v>0.142432082582445</v>
      </c>
      <c r="L5664">
        <v>2714.2302488871901</v>
      </c>
      <c r="M5664">
        <v>52.559990043660498</v>
      </c>
      <c r="N5664">
        <v>51.895785917559103</v>
      </c>
      <c r="O5664">
        <v>51.566029144768997</v>
      </c>
      <c r="P5664">
        <v>-0.225802649721249</v>
      </c>
      <c r="Q5664">
        <v>0.113870714870093</v>
      </c>
      <c r="R5664">
        <v>0.99441186060293696</v>
      </c>
      <c r="S5664" t="s">
        <v>12334</v>
      </c>
      <c r="T5664" t="s">
        <v>13338</v>
      </c>
      <c r="U5664" t="s">
        <v>13338</v>
      </c>
      <c r="V5664" t="s">
        <v>13338</v>
      </c>
      <c r="W5664" t="s">
        <v>18944</v>
      </c>
      <c r="X5664">
        <v>23</v>
      </c>
      <c r="Y5664" t="s">
        <v>25436</v>
      </c>
      <c r="Z5664" t="s">
        <v>32079</v>
      </c>
      <c r="AA5664">
        <v>0.45953270021077819</v>
      </c>
      <c r="AB5664" t="str">
        <f>HYPERLINK("Melting_Curves/meltCurve_Q9H4A4_RNPEP.pdf", "Melting_Curves/meltCurve_Q9H4A4_RNPEP.pdf")</f>
        <v>Melting_Curves/meltCurve_Q9H4A4_RNPEP.pdf</v>
      </c>
    </row>
    <row r="5665" spans="1:28" x14ac:dyDescent="0.25">
      <c r="A5665" t="s">
        <v>5669</v>
      </c>
      <c r="B5665">
        <v>0.99193492352474899</v>
      </c>
      <c r="C5665">
        <v>0.81856804786043902</v>
      </c>
      <c r="D5665">
        <v>0.76336419534909605</v>
      </c>
      <c r="E5665">
        <v>0.32451948810591202</v>
      </c>
      <c r="F5665">
        <v>0.19121977977016899</v>
      </c>
      <c r="G5665">
        <v>0.116940702285872</v>
      </c>
      <c r="H5665">
        <v>6.4149914870164804E-2</v>
      </c>
      <c r="I5665">
        <v>7.0893443418490507E-2</v>
      </c>
      <c r="J5665">
        <v>5.8741793734838899E-2</v>
      </c>
      <c r="K5665">
        <v>6.7316510770832394E-2</v>
      </c>
      <c r="L5665">
        <v>897.99043974395795</v>
      </c>
      <c r="M5665">
        <v>18.805953943062701</v>
      </c>
      <c r="N5665">
        <v>48.0736728712887</v>
      </c>
      <c r="O5665">
        <v>47.220226306272501</v>
      </c>
      <c r="P5665">
        <v>-9.3653989775666399E-2</v>
      </c>
      <c r="Q5665">
        <v>5.9408731482603901E-2</v>
      </c>
      <c r="R5665">
        <v>0.98777352749846203</v>
      </c>
      <c r="S5665" t="s">
        <v>12335</v>
      </c>
      <c r="T5665" t="s">
        <v>13338</v>
      </c>
      <c r="U5665" t="s">
        <v>13338</v>
      </c>
      <c r="V5665" t="s">
        <v>13338</v>
      </c>
      <c r="W5665" t="s">
        <v>18945</v>
      </c>
      <c r="X5665">
        <v>7</v>
      </c>
      <c r="Y5665" t="s">
        <v>25437</v>
      </c>
      <c r="Z5665" t="s">
        <v>32080</v>
      </c>
      <c r="AA5665">
        <v>0.31773685118316741</v>
      </c>
      <c r="AB5665" t="str">
        <f>HYPERLINK("Melting_Curves/meltCurve_Q9H4A5_GOLPH3L.pdf", "Melting_Curves/meltCurve_Q9H4A5_GOLPH3L.pdf")</f>
        <v>Melting_Curves/meltCurve_Q9H4A5_GOLPH3L.pdf</v>
      </c>
    </row>
    <row r="5666" spans="1:28" x14ac:dyDescent="0.25">
      <c r="A5666" t="s">
        <v>5670</v>
      </c>
      <c r="B5666">
        <v>0.99193492352474899</v>
      </c>
      <c r="C5666">
        <v>0.829241171306625</v>
      </c>
      <c r="D5666">
        <v>1.01504297096522</v>
      </c>
      <c r="E5666">
        <v>0.80472621511116404</v>
      </c>
      <c r="F5666">
        <v>0.49082892225487801</v>
      </c>
      <c r="G5666">
        <v>0.129646551806544</v>
      </c>
      <c r="H5666">
        <v>6.8677482352448693E-2</v>
      </c>
      <c r="I5666">
        <v>7.1053319126616707E-2</v>
      </c>
      <c r="J5666">
        <v>7.4547567296768993E-2</v>
      </c>
      <c r="K5666">
        <v>5.85816091914469E-2</v>
      </c>
      <c r="L5666">
        <v>1370.49638712878</v>
      </c>
      <c r="M5666">
        <v>26.067518926912399</v>
      </c>
      <c r="N5666">
        <v>52.800951287244999</v>
      </c>
      <c r="O5666">
        <v>52.268378577273097</v>
      </c>
      <c r="P5666">
        <v>-0.118098090212058</v>
      </c>
      <c r="Q5666">
        <v>5.2809533497029902E-2</v>
      </c>
      <c r="R5666">
        <v>0.97810463122628399</v>
      </c>
      <c r="S5666" t="s">
        <v>12336</v>
      </c>
      <c r="T5666" t="s">
        <v>13338</v>
      </c>
      <c r="U5666" t="s">
        <v>13338</v>
      </c>
      <c r="V5666" t="s">
        <v>13338</v>
      </c>
      <c r="W5666" t="s">
        <v>18946</v>
      </c>
      <c r="X5666">
        <v>8</v>
      </c>
      <c r="Y5666" t="s">
        <v>25438</v>
      </c>
      <c r="Z5666" t="s">
        <v>32081</v>
      </c>
      <c r="AA5666">
        <v>0.45786153616678038</v>
      </c>
      <c r="AB5666" t="str">
        <f>HYPERLINK("Melting_Curves/meltCurve_Q9H4A6_GOLPH3.pdf", "Melting_Curves/meltCurve_Q9H4A6_GOLPH3.pdf")</f>
        <v>Melting_Curves/meltCurve_Q9H4A6_GOLPH3.pdf</v>
      </c>
    </row>
    <row r="5667" spans="1:28" x14ac:dyDescent="0.25">
      <c r="A5667" t="s">
        <v>5671</v>
      </c>
      <c r="B5667">
        <v>0.99193492352474899</v>
      </c>
      <c r="C5667">
        <v>0.67305407228651504</v>
      </c>
      <c r="D5667">
        <v>0.75416616697146999</v>
      </c>
      <c r="E5667">
        <v>0.72255615380837301</v>
      </c>
      <c r="F5667">
        <v>0.50958819726985405</v>
      </c>
      <c r="G5667">
        <v>0.17346737638623499</v>
      </c>
      <c r="H5667">
        <v>8.3079079956307006E-2</v>
      </c>
      <c r="I5667">
        <v>8.8974452793825307E-2</v>
      </c>
      <c r="J5667">
        <v>7.2104649483762495E-2</v>
      </c>
      <c r="K5667">
        <v>0.14778191987637501</v>
      </c>
      <c r="L5667">
        <v>519.45749652766096</v>
      </c>
      <c r="M5667">
        <v>10.1056355398131</v>
      </c>
      <c r="N5667">
        <v>51.402738219010899</v>
      </c>
      <c r="O5667">
        <v>49.5116878773634</v>
      </c>
      <c r="P5667">
        <v>-5.1050357751289799E-2</v>
      </c>
      <c r="Q5667">
        <v>0</v>
      </c>
      <c r="R5667">
        <v>0.90870068056582698</v>
      </c>
      <c r="S5667" t="s">
        <v>12337</v>
      </c>
      <c r="T5667" t="s">
        <v>13338</v>
      </c>
      <c r="U5667" t="s">
        <v>13338</v>
      </c>
      <c r="V5667" t="s">
        <v>13338</v>
      </c>
      <c r="W5667" t="s">
        <v>18947</v>
      </c>
      <c r="X5667">
        <v>2</v>
      </c>
      <c r="Y5667" t="s">
        <v>25439</v>
      </c>
      <c r="Z5667" t="s">
        <v>32082</v>
      </c>
      <c r="AA5667">
        <v>0.41973589023507057</v>
      </c>
      <c r="AB5667" t="str">
        <f>HYPERLINK("Melting_Curves/meltCurve_Q9H4B0_OSGEPL1.pdf", "Melting_Curves/meltCurve_Q9H4B0_OSGEPL1.pdf")</f>
        <v>Melting_Curves/meltCurve_Q9H4B0_OSGEPL1.pdf</v>
      </c>
    </row>
    <row r="5668" spans="1:28" x14ac:dyDescent="0.25">
      <c r="A5668" t="s">
        <v>5672</v>
      </c>
      <c r="B5668">
        <v>0.99193492352474899</v>
      </c>
      <c r="C5668">
        <v>0.716365024180601</v>
      </c>
      <c r="D5668">
        <v>0.33538556261951802</v>
      </c>
      <c r="E5668">
        <v>0.17136531087978399</v>
      </c>
      <c r="F5668">
        <v>0.12572869655327201</v>
      </c>
      <c r="G5668">
        <v>7.3165760222418996E-2</v>
      </c>
      <c r="H5668">
        <v>4.6746637625318603E-2</v>
      </c>
      <c r="I5668">
        <v>5.80190057668203E-2</v>
      </c>
      <c r="J5668">
        <v>5.91068828842191E-2</v>
      </c>
      <c r="K5668">
        <v>5.80449999139388E-2</v>
      </c>
      <c r="L5668">
        <v>1093.6853579751901</v>
      </c>
      <c r="M5668">
        <v>24.610564474129902</v>
      </c>
      <c r="N5668">
        <v>44.712797121030597</v>
      </c>
      <c r="O5668">
        <v>44.149378732853698</v>
      </c>
      <c r="P5668">
        <v>-0.12963649346029801</v>
      </c>
      <c r="Q5668">
        <v>6.9783535698271698E-2</v>
      </c>
      <c r="R5668">
        <v>0.99326196746108997</v>
      </c>
      <c r="S5668" t="s">
        <v>12338</v>
      </c>
      <c r="T5668" t="s">
        <v>13338</v>
      </c>
      <c r="U5668" t="s">
        <v>13338</v>
      </c>
      <c r="V5668" t="s">
        <v>13338</v>
      </c>
      <c r="W5668" t="s">
        <v>18948</v>
      </c>
      <c r="X5668">
        <v>22</v>
      </c>
      <c r="Y5668" t="s">
        <v>25440</v>
      </c>
      <c r="Z5668" t="s">
        <v>32083</v>
      </c>
      <c r="AA5668">
        <v>0.2177598478991695</v>
      </c>
      <c r="AB5668" t="str">
        <f>HYPERLINK("Melting_Curves/meltCurve_Q9H4E7_DEF6.pdf", "Melting_Curves/meltCurve_Q9H4E7_DEF6.pdf")</f>
        <v>Melting_Curves/meltCurve_Q9H4E7_DEF6.pdf</v>
      </c>
    </row>
    <row r="5669" spans="1:28" x14ac:dyDescent="0.25">
      <c r="A5669" t="s">
        <v>5673</v>
      </c>
      <c r="B5669">
        <v>0.99193492352474899</v>
      </c>
      <c r="C5669">
        <v>0.96883076464354601</v>
      </c>
      <c r="D5669">
        <v>0.86715651332870503</v>
      </c>
      <c r="E5669">
        <v>0.69836811822313805</v>
      </c>
      <c r="F5669">
        <v>0.26282727388348298</v>
      </c>
      <c r="G5669">
        <v>0.21351358149997601</v>
      </c>
      <c r="H5669">
        <v>0.13467094427488199</v>
      </c>
      <c r="I5669">
        <v>0.197446451907835</v>
      </c>
      <c r="J5669">
        <v>0.27393091992624002</v>
      </c>
      <c r="K5669">
        <v>0.374092393241934</v>
      </c>
      <c r="L5669">
        <v>1808.4762614497999</v>
      </c>
      <c r="M5669">
        <v>36.209113960676397</v>
      </c>
      <c r="N5669">
        <v>50.8146210398655</v>
      </c>
      <c r="O5669">
        <v>49.793727006988</v>
      </c>
      <c r="P5669">
        <v>-0.13982414530399501</v>
      </c>
      <c r="Q5669">
        <v>0.23087388151812199</v>
      </c>
      <c r="R5669">
        <v>0.95525697384907804</v>
      </c>
      <c r="S5669" t="s">
        <v>12339</v>
      </c>
      <c r="T5669" t="s">
        <v>13338</v>
      </c>
      <c r="U5669" t="s">
        <v>13338</v>
      </c>
      <c r="V5669" t="s">
        <v>13338</v>
      </c>
      <c r="W5669" t="s">
        <v>18949</v>
      </c>
      <c r="X5669">
        <v>5</v>
      </c>
      <c r="Y5669" t="s">
        <v>25441</v>
      </c>
      <c r="Z5669" t="s">
        <v>32084</v>
      </c>
      <c r="AA5669">
        <v>0.48909577476358029</v>
      </c>
      <c r="AB5669" t="str">
        <f>HYPERLINK("Melting_Curves/meltCurve_Q9H4G4_GLIPR2.pdf", "Melting_Curves/meltCurve_Q9H4G4_GLIPR2.pdf")</f>
        <v>Melting_Curves/meltCurve_Q9H4G4_GLIPR2.pdf</v>
      </c>
    </row>
    <row r="5670" spans="1:28" x14ac:dyDescent="0.25">
      <c r="A5670" t="s">
        <v>5674</v>
      </c>
      <c r="B5670">
        <v>0.99193492352474899</v>
      </c>
      <c r="C5670">
        <v>0.83788490587300501</v>
      </c>
      <c r="D5670">
        <v>0.78360026540259198</v>
      </c>
      <c r="E5670">
        <v>0.44529415194907901</v>
      </c>
      <c r="F5670">
        <v>0.41091718439772601</v>
      </c>
      <c r="G5670">
        <v>0.19326158253571801</v>
      </c>
      <c r="H5670">
        <v>0.12024652166345599</v>
      </c>
      <c r="I5670">
        <v>0.14888686422515199</v>
      </c>
      <c r="J5670">
        <v>0.20813262471565599</v>
      </c>
      <c r="K5670">
        <v>0.17782723198959199</v>
      </c>
      <c r="L5670">
        <v>720.55613278024998</v>
      </c>
      <c r="M5670">
        <v>14.863206537830401</v>
      </c>
      <c r="N5670">
        <v>49.6255489226536</v>
      </c>
      <c r="O5670">
        <v>47.626992660602397</v>
      </c>
      <c r="P5670">
        <v>-6.6689424071425904E-2</v>
      </c>
      <c r="Q5670">
        <v>0.145303026408965</v>
      </c>
      <c r="R5670">
        <v>0.97315023292433001</v>
      </c>
      <c r="S5670" t="s">
        <v>12340</v>
      </c>
      <c r="T5670" t="s">
        <v>13338</v>
      </c>
      <c r="U5670" t="s">
        <v>13338</v>
      </c>
      <c r="V5670" t="s">
        <v>13338</v>
      </c>
      <c r="W5670" t="s">
        <v>18950</v>
      </c>
      <c r="X5670">
        <v>3</v>
      </c>
      <c r="Y5670" t="s">
        <v>25442</v>
      </c>
      <c r="Z5670" t="s">
        <v>32085</v>
      </c>
      <c r="AA5670">
        <v>0.40879002857950592</v>
      </c>
      <c r="AB5670" t="str">
        <f>HYPERLINK("Melting_Curves/meltCurve_Q9H4H8_2_FAM83D.pdf", "Melting_Curves/meltCurve_Q9H4H8_2_FAM83D.pdf")</f>
        <v>Melting_Curves/meltCurve_Q9H4H8_2_FAM83D.pdf</v>
      </c>
    </row>
    <row r="5671" spans="1:28" x14ac:dyDescent="0.25">
      <c r="A5671" t="s">
        <v>5675</v>
      </c>
      <c r="B5671">
        <v>0.99193492352474899</v>
      </c>
      <c r="C5671">
        <v>0.69230232935549096</v>
      </c>
      <c r="D5671">
        <v>0.57955344234374495</v>
      </c>
      <c r="E5671">
        <v>0.29964424659286698</v>
      </c>
      <c r="F5671">
        <v>0.231957054915431</v>
      </c>
      <c r="G5671">
        <v>0.12958814438889901</v>
      </c>
      <c r="H5671">
        <v>9.7510578023531302E-2</v>
      </c>
      <c r="I5671">
        <v>0.111185192312485</v>
      </c>
      <c r="J5671">
        <v>0.18700130342643501</v>
      </c>
      <c r="K5671">
        <v>0.19519554856975399</v>
      </c>
      <c r="L5671">
        <v>764.58648838658701</v>
      </c>
      <c r="M5671">
        <v>16.797087993076101</v>
      </c>
      <c r="N5671">
        <v>46.413198780454302</v>
      </c>
      <c r="O5671">
        <v>44.888525233041499</v>
      </c>
      <c r="P5671">
        <v>-8.0622024035181997E-2</v>
      </c>
      <c r="Q5671">
        <v>0.13823934528450099</v>
      </c>
      <c r="R5671">
        <v>0.96986040603272305</v>
      </c>
      <c r="S5671" t="s">
        <v>12341</v>
      </c>
      <c r="T5671" t="s">
        <v>13338</v>
      </c>
      <c r="U5671" t="s">
        <v>13338</v>
      </c>
      <c r="V5671" t="s">
        <v>13338</v>
      </c>
      <c r="W5671" t="s">
        <v>18951</v>
      </c>
      <c r="X5671">
        <v>2</v>
      </c>
      <c r="Y5671" t="s">
        <v>25443</v>
      </c>
      <c r="Z5671" t="s">
        <v>32086</v>
      </c>
      <c r="AA5671">
        <v>0.31734181613266987</v>
      </c>
      <c r="AB5671" t="str">
        <f>HYPERLINK("Melting_Curves/meltCurve_Q9H4I2_ZHX3.pdf", "Melting_Curves/meltCurve_Q9H4I2_ZHX3.pdf")</f>
        <v>Melting_Curves/meltCurve_Q9H4I2_ZHX3.pdf</v>
      </c>
    </row>
    <row r="5672" spans="1:28" x14ac:dyDescent="0.25">
      <c r="A5672" t="s">
        <v>5676</v>
      </c>
      <c r="B5672">
        <v>0.99193492352474899</v>
      </c>
      <c r="C5672">
        <v>0.77199683968343502</v>
      </c>
      <c r="D5672">
        <v>0.205908198919379</v>
      </c>
      <c r="E5672">
        <v>0.111150088547884</v>
      </c>
      <c r="F5672">
        <v>4.1449675168563599E-2</v>
      </c>
      <c r="G5672">
        <v>6.8623418497325797E-2</v>
      </c>
      <c r="H5672">
        <v>6.4981341075235205E-2</v>
      </c>
      <c r="I5672">
        <v>7.2867801468486398E-2</v>
      </c>
      <c r="J5672">
        <v>6.8220326739151696E-2</v>
      </c>
      <c r="K5672">
        <v>8.9153308615439603E-2</v>
      </c>
      <c r="L5672">
        <v>1827.33496967323</v>
      </c>
      <c r="M5672">
        <v>41.475812777781798</v>
      </c>
      <c r="N5672">
        <v>44.223536762676503</v>
      </c>
      <c r="O5672">
        <v>43.955795656658204</v>
      </c>
      <c r="P5672">
        <v>-0.218918860587407</v>
      </c>
      <c r="Q5672">
        <v>7.1966547169811296E-2</v>
      </c>
      <c r="R5672">
        <v>0.99779384861140297</v>
      </c>
      <c r="S5672" t="s">
        <v>12342</v>
      </c>
      <c r="T5672" t="s">
        <v>13338</v>
      </c>
      <c r="U5672" t="s">
        <v>13338</v>
      </c>
      <c r="V5672" t="s">
        <v>13338</v>
      </c>
      <c r="W5672" t="s">
        <v>18952</v>
      </c>
      <c r="X5672">
        <v>4</v>
      </c>
      <c r="Y5672" t="s">
        <v>25444</v>
      </c>
      <c r="Z5672" t="s">
        <v>32087</v>
      </c>
      <c r="AA5672">
        <v>0.20050518492509081</v>
      </c>
      <c r="AB5672" t="str">
        <f>HYPERLINK("Melting_Curves/meltCurve_Q9H4L5_2_OSBPL3.pdf", "Melting_Curves/meltCurve_Q9H4L5_2_OSBPL3.pdf")</f>
        <v>Melting_Curves/meltCurve_Q9H4L5_2_OSBPL3.pdf</v>
      </c>
    </row>
    <row r="5673" spans="1:28" x14ac:dyDescent="0.25">
      <c r="A5673" t="s">
        <v>5677</v>
      </c>
      <c r="B5673">
        <v>0.99193492352474899</v>
      </c>
      <c r="C5673">
        <v>1.1066793105213999</v>
      </c>
      <c r="D5673">
        <v>0.99254667379977402</v>
      </c>
      <c r="E5673">
        <v>0.49412217719321799</v>
      </c>
      <c r="F5673">
        <v>0.17279326565952999</v>
      </c>
      <c r="G5673">
        <v>0.104179025720659</v>
      </c>
      <c r="H5673">
        <v>6.7208768667826699E-2</v>
      </c>
      <c r="I5673">
        <v>7.9367114258697496E-2</v>
      </c>
      <c r="J5673">
        <v>9.73668246341962E-2</v>
      </c>
      <c r="K5673">
        <v>0.1011324746028</v>
      </c>
      <c r="L5673">
        <v>2142.3220325110201</v>
      </c>
      <c r="M5673">
        <v>43.379705321594002</v>
      </c>
      <c r="N5673">
        <v>49.628054282898198</v>
      </c>
      <c r="O5673">
        <v>49.280747662210302</v>
      </c>
      <c r="P5673">
        <v>-0.19903339584483001</v>
      </c>
      <c r="Q5673">
        <v>9.5567860828501799E-2</v>
      </c>
      <c r="R5673">
        <v>0.99121093090802204</v>
      </c>
      <c r="S5673" t="s">
        <v>12343</v>
      </c>
      <c r="T5673" t="s">
        <v>13338</v>
      </c>
      <c r="U5673" t="s">
        <v>13338</v>
      </c>
      <c r="V5673" t="s">
        <v>13338</v>
      </c>
      <c r="W5673" t="s">
        <v>18953</v>
      </c>
      <c r="X5673">
        <v>16</v>
      </c>
      <c r="Y5673" t="s">
        <v>25445</v>
      </c>
      <c r="Z5673" t="s">
        <v>32088</v>
      </c>
      <c r="AA5673">
        <v>0.38113796370694369</v>
      </c>
      <c r="AB5673" t="str">
        <f>HYPERLINK("Melting_Curves/meltCurve_Q9H4L7_2_SMARCAD1.pdf", "Melting_Curves/meltCurve_Q9H4L7_2_SMARCAD1.pdf")</f>
        <v>Melting_Curves/meltCurve_Q9H4L7_2_SMARCAD1.pdf</v>
      </c>
    </row>
    <row r="5674" spans="1:28" x14ac:dyDescent="0.25">
      <c r="A5674" t="s">
        <v>5678</v>
      </c>
      <c r="B5674">
        <v>0.99193492352474899</v>
      </c>
      <c r="C5674">
        <v>0.95522480412080202</v>
      </c>
      <c r="D5674">
        <v>0.96438931732157895</v>
      </c>
      <c r="E5674">
        <v>0.76515432813443696</v>
      </c>
      <c r="F5674">
        <v>0.30404340610019598</v>
      </c>
      <c r="G5674">
        <v>0.12666366230030501</v>
      </c>
      <c r="H5674">
        <v>7.4279151140540497E-2</v>
      </c>
      <c r="I5674">
        <v>8.0414865310938194E-2</v>
      </c>
      <c r="J5674">
        <v>9.8570450094699003E-2</v>
      </c>
      <c r="K5674">
        <v>7.9034774140562203E-2</v>
      </c>
      <c r="L5674">
        <v>1587.2441506351699</v>
      </c>
      <c r="M5674">
        <v>30.956914812474398</v>
      </c>
      <c r="N5674">
        <v>51.566816138777398</v>
      </c>
      <c r="O5674">
        <v>51.060153924357103</v>
      </c>
      <c r="P5674">
        <v>-0.13930470276111501</v>
      </c>
      <c r="Q5674">
        <v>8.0931842892021197E-2</v>
      </c>
      <c r="R5674">
        <v>0.99841496625609005</v>
      </c>
      <c r="S5674" t="s">
        <v>12344</v>
      </c>
      <c r="T5674" t="s">
        <v>13338</v>
      </c>
      <c r="U5674" t="s">
        <v>13338</v>
      </c>
      <c r="V5674" t="s">
        <v>13338</v>
      </c>
      <c r="W5674" t="s">
        <v>18954</v>
      </c>
      <c r="X5674">
        <v>26</v>
      </c>
      <c r="Y5674" t="s">
        <v>25446</v>
      </c>
      <c r="Z5674" t="s">
        <v>32089</v>
      </c>
      <c r="AA5674">
        <v>0.43172854993592152</v>
      </c>
      <c r="AB5674" t="str">
        <f>HYPERLINK("Melting_Curves/meltCurve_Q9H4M9_EHD1.pdf", "Melting_Curves/meltCurve_Q9H4M9_EHD1.pdf")</f>
        <v>Melting_Curves/meltCurve_Q9H4M9_EHD1.pdf</v>
      </c>
    </row>
    <row r="5675" spans="1:28" x14ac:dyDescent="0.25">
      <c r="A5675" t="s">
        <v>5679</v>
      </c>
      <c r="B5675">
        <v>0.99193492352474899</v>
      </c>
      <c r="C5675">
        <v>0.85035125930912003</v>
      </c>
      <c r="D5675">
        <v>0.84369926099392101</v>
      </c>
      <c r="E5675">
        <v>0.80543546900114504</v>
      </c>
      <c r="F5675">
        <v>0.62392778129394999</v>
      </c>
      <c r="G5675">
        <v>0.43145953335635601</v>
      </c>
      <c r="H5675">
        <v>0.16276042586241199</v>
      </c>
      <c r="I5675">
        <v>0.127397931941616</v>
      </c>
      <c r="J5675">
        <v>0.16160007458387099</v>
      </c>
      <c r="K5675">
        <v>0.27027544552980698</v>
      </c>
      <c r="L5675">
        <v>709.91889770229</v>
      </c>
      <c r="M5675">
        <v>13.2649574287107</v>
      </c>
      <c r="N5675">
        <v>54.579737744886302</v>
      </c>
      <c r="O5675">
        <v>52.345932772001703</v>
      </c>
      <c r="P5675">
        <v>-5.6159386679582902E-2</v>
      </c>
      <c r="Q5675">
        <v>0.11368416979737</v>
      </c>
      <c r="R5675">
        <v>0.94686528721607599</v>
      </c>
      <c r="S5675" t="s">
        <v>12345</v>
      </c>
      <c r="T5675" t="s">
        <v>13338</v>
      </c>
      <c r="U5675" t="s">
        <v>13338</v>
      </c>
      <c r="V5675" t="s">
        <v>13338</v>
      </c>
      <c r="W5675" t="s">
        <v>18955</v>
      </c>
      <c r="X5675">
        <v>2</v>
      </c>
      <c r="Y5675" t="s">
        <v>25447</v>
      </c>
      <c r="Z5675" t="s">
        <v>32090</v>
      </c>
      <c r="AA5675">
        <v>0.53475673777842991</v>
      </c>
      <c r="AB5675" t="str">
        <f>HYPERLINK("Melting_Curves/meltCurve_Q9H4X1_2_RGCC.pdf", "Melting_Curves/meltCurve_Q9H4X1_2_RGCC.pdf")</f>
        <v>Melting_Curves/meltCurve_Q9H4X1_2_RGCC.pdf</v>
      </c>
    </row>
    <row r="5676" spans="1:28" x14ac:dyDescent="0.25">
      <c r="A5676" t="s">
        <v>5680</v>
      </c>
      <c r="B5676">
        <v>0.99193492352474899</v>
      </c>
      <c r="C5676">
        <v>0.86430368391622103</v>
      </c>
      <c r="D5676">
        <v>0.81706911377821201</v>
      </c>
      <c r="E5676">
        <v>0.44111843481587898</v>
      </c>
      <c r="F5676">
        <v>0.219219167123543</v>
      </c>
      <c r="G5676">
        <v>0.124354233014594</v>
      </c>
      <c r="H5676">
        <v>8.0006681222521803E-2</v>
      </c>
      <c r="I5676">
        <v>0.109253852581601</v>
      </c>
      <c r="J5676">
        <v>0.114353060644484</v>
      </c>
      <c r="K5676">
        <v>0.163151378264595</v>
      </c>
      <c r="L5676">
        <v>1029.9117304113699</v>
      </c>
      <c r="M5676">
        <v>21.267155585858699</v>
      </c>
      <c r="N5676">
        <v>48.981509999710298</v>
      </c>
      <c r="O5676">
        <v>48.0052565126134</v>
      </c>
      <c r="P5676">
        <v>-9.8914119543007897E-2</v>
      </c>
      <c r="Q5676">
        <v>0.106927686594813</v>
      </c>
      <c r="R5676">
        <v>0.98899507196360703</v>
      </c>
      <c r="S5676" t="s">
        <v>12346</v>
      </c>
      <c r="T5676" t="s">
        <v>13338</v>
      </c>
      <c r="U5676" t="s">
        <v>13338</v>
      </c>
      <c r="V5676" t="s">
        <v>13338</v>
      </c>
      <c r="W5676" t="s">
        <v>18956</v>
      </c>
      <c r="X5676">
        <v>8</v>
      </c>
      <c r="Y5676" t="s">
        <v>25448</v>
      </c>
      <c r="Z5676" t="s">
        <v>32091</v>
      </c>
      <c r="AA5676">
        <v>0.36888130480100079</v>
      </c>
      <c r="AB5676" t="str">
        <f>HYPERLINK("Melting_Curves/meltCurve_Q9H4Z3_PCIF1.pdf", "Melting_Curves/meltCurve_Q9H4Z3_PCIF1.pdf")</f>
        <v>Melting_Curves/meltCurve_Q9H4Z3_PCIF1.pdf</v>
      </c>
    </row>
    <row r="5677" spans="1:28" x14ac:dyDescent="0.25">
      <c r="A5677" t="s">
        <v>5681</v>
      </c>
      <c r="B5677">
        <v>0.99193492352474899</v>
      </c>
      <c r="C5677">
        <v>0.38159040637507202</v>
      </c>
      <c r="D5677">
        <v>0.38456383778779502</v>
      </c>
      <c r="E5677">
        <v>0.18697886566542701</v>
      </c>
      <c r="F5677">
        <v>0.16160819834145301</v>
      </c>
      <c r="G5677">
        <v>0.104287561326297</v>
      </c>
      <c r="H5677">
        <v>7.87170662406418E-2</v>
      </c>
      <c r="I5677">
        <v>8.2156011736903303E-2</v>
      </c>
      <c r="J5677">
        <v>0.182261419543152</v>
      </c>
      <c r="K5677">
        <v>0.15440552934511501</v>
      </c>
      <c r="L5677">
        <v>2005.2812816217699</v>
      </c>
      <c r="M5677">
        <v>47.576028846799403</v>
      </c>
      <c r="N5677">
        <v>42.498435732089497</v>
      </c>
      <c r="O5677">
        <v>42.074720995044203</v>
      </c>
      <c r="P5677">
        <v>-0.236927415314694</v>
      </c>
      <c r="Q5677">
        <v>0.16187677310346499</v>
      </c>
      <c r="R5677">
        <v>0.90585561630164202</v>
      </c>
      <c r="S5677" t="s">
        <v>12347</v>
      </c>
      <c r="T5677" t="s">
        <v>13338</v>
      </c>
      <c r="U5677" t="s">
        <v>13338</v>
      </c>
      <c r="V5677" t="s">
        <v>13338</v>
      </c>
      <c r="W5677" t="s">
        <v>18957</v>
      </c>
      <c r="X5677">
        <v>8</v>
      </c>
      <c r="Y5677" t="s">
        <v>25449</v>
      </c>
      <c r="Z5677" t="s">
        <v>32092</v>
      </c>
      <c r="AA5677">
        <v>0.22523829602968709</v>
      </c>
      <c r="AB5677" t="str">
        <f>HYPERLINK("Melting_Curves/meltCurve_Q9H501_ESF1.pdf", "Melting_Curves/meltCurve_Q9H501_ESF1.pdf")</f>
        <v>Melting_Curves/meltCurve_Q9H501_ESF1.pdf</v>
      </c>
    </row>
    <row r="5678" spans="1:28" x14ac:dyDescent="0.25">
      <c r="A5678" t="s">
        <v>5682</v>
      </c>
      <c r="B5678">
        <v>0.99193492352474899</v>
      </c>
      <c r="C5678">
        <v>1.1867527276045999</v>
      </c>
      <c r="D5678">
        <v>1.0596144173784601</v>
      </c>
      <c r="E5678">
        <v>0.90160582259508204</v>
      </c>
      <c r="F5678">
        <v>0.22489344009391901</v>
      </c>
      <c r="G5678">
        <v>0.120752462582672</v>
      </c>
      <c r="H5678">
        <v>6.5061508172834404E-2</v>
      </c>
      <c r="I5678">
        <v>8.4167788772899099E-2</v>
      </c>
      <c r="J5678">
        <v>0.10936357893455501</v>
      </c>
      <c r="K5678">
        <v>0.10696115456607</v>
      </c>
      <c r="L5678">
        <v>2860.6056841414702</v>
      </c>
      <c r="M5678">
        <v>55.559158870810599</v>
      </c>
      <c r="N5678">
        <v>51.686079943946801</v>
      </c>
      <c r="O5678">
        <v>51.420996088100402</v>
      </c>
      <c r="P5678">
        <v>-0.24416600136251601</v>
      </c>
      <c r="Q5678">
        <v>9.6080637701417906E-2</v>
      </c>
      <c r="R5678">
        <v>0.98050447116886996</v>
      </c>
      <c r="S5678" t="s">
        <v>12348</v>
      </c>
      <c r="T5678" t="s">
        <v>13338</v>
      </c>
      <c r="U5678" t="s">
        <v>13338</v>
      </c>
      <c r="V5678" t="s">
        <v>13338</v>
      </c>
      <c r="W5678" t="s">
        <v>18958</v>
      </c>
      <c r="X5678">
        <v>4</v>
      </c>
      <c r="Y5678" t="s">
        <v>25450</v>
      </c>
      <c r="Z5678" t="s">
        <v>32093</v>
      </c>
      <c r="AA5678">
        <v>0.44386917718490532</v>
      </c>
      <c r="AB5678" t="str">
        <f>HYPERLINK("Melting_Curves/meltCurve_Q9H553_ALG2.pdf", "Melting_Curves/meltCurve_Q9H553_ALG2.pdf")</f>
        <v>Melting_Curves/meltCurve_Q9H553_ALG2.pdf</v>
      </c>
    </row>
    <row r="5679" spans="1:28" x14ac:dyDescent="0.25">
      <c r="A5679" t="s">
        <v>5683</v>
      </c>
      <c r="B5679">
        <v>0.99193492352474899</v>
      </c>
      <c r="C5679">
        <v>0.82208969522567998</v>
      </c>
      <c r="D5679">
        <v>0.743242723165634</v>
      </c>
      <c r="E5679">
        <v>0.26977452435886201</v>
      </c>
      <c r="F5679">
        <v>0.18429275203054599</v>
      </c>
      <c r="G5679">
        <v>0.145629855187386</v>
      </c>
      <c r="H5679">
        <v>9.3553618289098098E-2</v>
      </c>
      <c r="I5679">
        <v>9.4173467682665005E-2</v>
      </c>
      <c r="J5679">
        <v>0.10120484803240901</v>
      </c>
      <c r="K5679">
        <v>0.102936564969591</v>
      </c>
      <c r="L5679">
        <v>1034.91055042069</v>
      </c>
      <c r="M5679">
        <v>21.947480379667599</v>
      </c>
      <c r="N5679">
        <v>47.632942113698903</v>
      </c>
      <c r="O5679">
        <v>46.767722099596</v>
      </c>
      <c r="P5679">
        <v>-0.105706831382442</v>
      </c>
      <c r="Q5679">
        <v>9.9020712046131096E-2</v>
      </c>
      <c r="R5679">
        <v>0.98462541590752395</v>
      </c>
      <c r="S5679" t="s">
        <v>12349</v>
      </c>
      <c r="T5679" t="s">
        <v>13338</v>
      </c>
      <c r="U5679" t="s">
        <v>13338</v>
      </c>
      <c r="V5679" t="s">
        <v>13338</v>
      </c>
      <c r="W5679" t="s">
        <v>18959</v>
      </c>
      <c r="X5679">
        <v>18</v>
      </c>
      <c r="Y5679" t="s">
        <v>25451</v>
      </c>
      <c r="Z5679" t="s">
        <v>32094</v>
      </c>
      <c r="AA5679">
        <v>0.32455790706977289</v>
      </c>
      <c r="AB5679" t="str">
        <f>HYPERLINK("Melting_Curves/meltCurve_Q9H583_HEATR1.pdf", "Melting_Curves/meltCurve_Q9H583_HEATR1.pdf")</f>
        <v>Melting_Curves/meltCurve_Q9H583_HEATR1.pdf</v>
      </c>
    </row>
    <row r="5680" spans="1:28" x14ac:dyDescent="0.25">
      <c r="A5680" t="s">
        <v>5684</v>
      </c>
      <c r="B5680">
        <v>0.99193492352474899</v>
      </c>
      <c r="C5680">
        <v>0.91468868721574104</v>
      </c>
      <c r="D5680">
        <v>0.79028754443345295</v>
      </c>
      <c r="E5680">
        <v>0.357954426815634</v>
      </c>
      <c r="F5680">
        <v>0.19519027452000901</v>
      </c>
      <c r="G5680">
        <v>8.3739875933448601E-2</v>
      </c>
      <c r="H5680">
        <v>4.13688580423082E-2</v>
      </c>
      <c r="I5680">
        <v>7.1615471488580995E-2</v>
      </c>
      <c r="J5680">
        <v>8.43030783479502E-2</v>
      </c>
      <c r="K5680">
        <v>0.10642984251033399</v>
      </c>
      <c r="L5680">
        <v>1129.0424488722499</v>
      </c>
      <c r="M5680">
        <v>23.464804075651202</v>
      </c>
      <c r="N5680">
        <v>48.447194502216298</v>
      </c>
      <c r="O5680">
        <v>47.771040542243703</v>
      </c>
      <c r="P5680">
        <v>-0.11371127296271399</v>
      </c>
      <c r="Q5680">
        <v>7.4015401353947297E-2</v>
      </c>
      <c r="R5680">
        <v>0.99521093378064496</v>
      </c>
      <c r="S5680" t="s">
        <v>12350</v>
      </c>
      <c r="T5680" t="s">
        <v>13338</v>
      </c>
      <c r="U5680" t="s">
        <v>13338</v>
      </c>
      <c r="V5680" t="s">
        <v>13338</v>
      </c>
      <c r="W5680" t="s">
        <v>18960</v>
      </c>
      <c r="X5680">
        <v>2</v>
      </c>
      <c r="Y5680" t="s">
        <v>25452</v>
      </c>
      <c r="Z5680" t="s">
        <v>32095</v>
      </c>
      <c r="AA5680">
        <v>0.33389682945655452</v>
      </c>
      <c r="AB5680" t="str">
        <f>HYPERLINK("Melting_Curves/meltCurve_Q9H5K3_SGK196.pdf", "Melting_Curves/meltCurve_Q9H5K3_SGK196.pdf")</f>
        <v>Melting_Curves/meltCurve_Q9H5K3_SGK196.pdf</v>
      </c>
    </row>
    <row r="5681" spans="1:28" x14ac:dyDescent="0.25">
      <c r="A5681" t="s">
        <v>5685</v>
      </c>
      <c r="B5681">
        <v>0.99193492352474899</v>
      </c>
      <c r="C5681">
        <v>0.79512957029921305</v>
      </c>
      <c r="D5681">
        <v>0.388957369855984</v>
      </c>
      <c r="E5681">
        <v>0.23584143617874401</v>
      </c>
      <c r="F5681">
        <v>0.17623205668376599</v>
      </c>
      <c r="G5681">
        <v>0.115723489753736</v>
      </c>
      <c r="H5681">
        <v>6.6224518962985396E-2</v>
      </c>
      <c r="I5681">
        <v>8.8291985568172804E-2</v>
      </c>
      <c r="J5681">
        <v>8.2764372152586904E-2</v>
      </c>
      <c r="K5681">
        <v>9.4202812465046401E-2</v>
      </c>
      <c r="L5681">
        <v>1071.1498416924001</v>
      </c>
      <c r="M5681">
        <v>23.836560626757599</v>
      </c>
      <c r="N5681">
        <v>45.3724423851111</v>
      </c>
      <c r="O5681">
        <v>44.624559669236596</v>
      </c>
      <c r="P5681">
        <v>-0.119895620905544</v>
      </c>
      <c r="Q5681">
        <v>0.102185323256716</v>
      </c>
      <c r="R5681">
        <v>0.98929571760226898</v>
      </c>
      <c r="S5681" t="s">
        <v>12351</v>
      </c>
      <c r="T5681" t="s">
        <v>13338</v>
      </c>
      <c r="U5681" t="s">
        <v>13338</v>
      </c>
      <c r="V5681" t="s">
        <v>13338</v>
      </c>
      <c r="W5681" t="s">
        <v>18961</v>
      </c>
      <c r="X5681">
        <v>13</v>
      </c>
      <c r="Y5681" t="s">
        <v>25453</v>
      </c>
      <c r="Z5681" t="s">
        <v>32096</v>
      </c>
      <c r="AA5681">
        <v>0.2600413985729077</v>
      </c>
      <c r="AB5681" t="str">
        <f>HYPERLINK("Melting_Curves/meltCurve_Q9H5N1_RABEP2.pdf", "Melting_Curves/meltCurve_Q9H5N1_RABEP2.pdf")</f>
        <v>Melting_Curves/meltCurve_Q9H5N1_RABEP2.pdf</v>
      </c>
    </row>
    <row r="5682" spans="1:28" x14ac:dyDescent="0.25">
      <c r="A5682" t="s">
        <v>5686</v>
      </c>
      <c r="B5682">
        <v>0.99193492352474899</v>
      </c>
      <c r="C5682">
        <v>0.85374180469525596</v>
      </c>
      <c r="D5682">
        <v>0.92514579895152205</v>
      </c>
      <c r="E5682">
        <v>0.63248963399327096</v>
      </c>
      <c r="F5682">
        <v>0.29142882996848601</v>
      </c>
      <c r="G5682">
        <v>0.15731001748207901</v>
      </c>
      <c r="H5682">
        <v>8.7174872563143102E-2</v>
      </c>
      <c r="I5682">
        <v>9.1697565110362103E-2</v>
      </c>
      <c r="J5682">
        <v>0.113624998763903</v>
      </c>
      <c r="K5682">
        <v>0.116253791477712</v>
      </c>
      <c r="L5682">
        <v>1126.7640729022401</v>
      </c>
      <c r="M5682">
        <v>22.385777776461801</v>
      </c>
      <c r="N5682">
        <v>50.802015159700197</v>
      </c>
      <c r="O5682">
        <v>49.937428345372403</v>
      </c>
      <c r="P5682">
        <v>-0.101627572910876</v>
      </c>
      <c r="Q5682">
        <v>9.3189759320346302E-2</v>
      </c>
      <c r="R5682">
        <v>0.98573356469057705</v>
      </c>
      <c r="S5682" t="s">
        <v>12352</v>
      </c>
      <c r="T5682" t="s">
        <v>13338</v>
      </c>
      <c r="U5682" t="s">
        <v>13338</v>
      </c>
      <c r="V5682" t="s">
        <v>13338</v>
      </c>
      <c r="W5682" t="s">
        <v>18962</v>
      </c>
      <c r="X5682">
        <v>5</v>
      </c>
      <c r="Y5682" t="s">
        <v>25454</v>
      </c>
      <c r="Z5682" t="s">
        <v>32097</v>
      </c>
      <c r="AA5682">
        <v>0.41567821339423477</v>
      </c>
      <c r="AB5682" t="str">
        <f>HYPERLINK("Melting_Curves/meltCurve_Q9H5Q4_TFB2M.pdf", "Melting_Curves/meltCurve_Q9H5Q4_TFB2M.pdf")</f>
        <v>Melting_Curves/meltCurve_Q9H5Q4_TFB2M.pdf</v>
      </c>
    </row>
    <row r="5683" spans="1:28" x14ac:dyDescent="0.25">
      <c r="A5683" t="s">
        <v>5687</v>
      </c>
      <c r="B5683">
        <v>0.99193492352474899</v>
      </c>
      <c r="C5683">
        <v>0.82705315962842696</v>
      </c>
      <c r="D5683">
        <v>0.86759932848433796</v>
      </c>
      <c r="E5683">
        <v>0.62687698197128605</v>
      </c>
      <c r="F5683">
        <v>0.282322408391879</v>
      </c>
      <c r="G5683">
        <v>0.140931372207522</v>
      </c>
      <c r="H5683">
        <v>9.4855719395359098E-2</v>
      </c>
      <c r="I5683">
        <v>0.12931555683087301</v>
      </c>
      <c r="J5683">
        <v>0.17271364615506399</v>
      </c>
      <c r="K5683">
        <v>0.246952631386684</v>
      </c>
      <c r="L5683">
        <v>1099.76821641743</v>
      </c>
      <c r="M5683">
        <v>22.141711260446598</v>
      </c>
      <c r="N5683">
        <v>50.437469507061202</v>
      </c>
      <c r="O5683">
        <v>49.269693704801398</v>
      </c>
      <c r="P5683">
        <v>-9.6275943009814999E-2</v>
      </c>
      <c r="Q5683">
        <v>0.143086469697772</v>
      </c>
      <c r="R5683">
        <v>0.96130054321055702</v>
      </c>
      <c r="S5683" t="s">
        <v>12353</v>
      </c>
      <c r="T5683" t="s">
        <v>13338</v>
      </c>
      <c r="U5683" t="s">
        <v>13338</v>
      </c>
      <c r="V5683" t="s">
        <v>13338</v>
      </c>
      <c r="W5683" t="s">
        <v>18963</v>
      </c>
      <c r="X5683">
        <v>9</v>
      </c>
      <c r="Y5683" t="s">
        <v>25455</v>
      </c>
      <c r="Z5683" t="s">
        <v>32098</v>
      </c>
      <c r="AA5683">
        <v>0.42903854889151172</v>
      </c>
      <c r="AB5683" t="str">
        <f>HYPERLINK("Melting_Curves/meltCurve_Q9H5V9_3_CXorf56.pdf", "Melting_Curves/meltCurve_Q9H5V9_3_CXorf56.pdf")</f>
        <v>Melting_Curves/meltCurve_Q9H5V9_3_CXorf56.pdf</v>
      </c>
    </row>
    <row r="5684" spans="1:28" x14ac:dyDescent="0.25">
      <c r="A5684" t="s">
        <v>5688</v>
      </c>
      <c r="B5684">
        <v>0.99193492352474899</v>
      </c>
      <c r="C5684">
        <v>0.98792787666700799</v>
      </c>
      <c r="D5684">
        <v>0.91022973188192702</v>
      </c>
      <c r="E5684">
        <v>0.89917181459349005</v>
      </c>
      <c r="F5684">
        <v>0.65593956466215397</v>
      </c>
      <c r="G5684">
        <v>0.49337458529532802</v>
      </c>
      <c r="H5684">
        <v>0.29691406320144098</v>
      </c>
      <c r="I5684">
        <v>0.29141822023775699</v>
      </c>
      <c r="J5684">
        <v>0.30231315603606301</v>
      </c>
      <c r="K5684">
        <v>0.25776813163202</v>
      </c>
      <c r="L5684">
        <v>957.03475453577198</v>
      </c>
      <c r="M5684">
        <v>17.7460449681674</v>
      </c>
      <c r="N5684">
        <v>56.123053600015602</v>
      </c>
      <c r="O5684">
        <v>53.258634340301299</v>
      </c>
      <c r="P5684">
        <v>-6.2469577649944E-2</v>
      </c>
      <c r="Q5684">
        <v>0.25011553510573797</v>
      </c>
      <c r="R5684">
        <v>0.99137192280556297</v>
      </c>
      <c r="S5684" t="s">
        <v>12354</v>
      </c>
      <c r="T5684" t="s">
        <v>13338</v>
      </c>
      <c r="U5684" t="s">
        <v>13338</v>
      </c>
      <c r="V5684" t="s">
        <v>13338</v>
      </c>
      <c r="W5684" t="s">
        <v>18964</v>
      </c>
      <c r="X5684">
        <v>4</v>
      </c>
      <c r="Y5684" t="s">
        <v>25456</v>
      </c>
      <c r="Z5684" t="s">
        <v>32099</v>
      </c>
      <c r="AA5684">
        <v>0.61057602106277564</v>
      </c>
      <c r="AB5684" t="str">
        <f>HYPERLINK("Melting_Curves/meltCurve_Q9H5X1_FAM96A.pdf", "Melting_Curves/meltCurve_Q9H5X1_FAM96A.pdf")</f>
        <v>Melting_Curves/meltCurve_Q9H5X1_FAM96A.pdf</v>
      </c>
    </row>
    <row r="5685" spans="1:28" x14ac:dyDescent="0.25">
      <c r="A5685" t="s">
        <v>5689</v>
      </c>
      <c r="B5685">
        <v>0.99193492352474899</v>
      </c>
      <c r="C5685">
        <v>0.70553048179552402</v>
      </c>
      <c r="D5685">
        <v>0.68917249671045899</v>
      </c>
      <c r="E5685">
        <v>0.232125764043595</v>
      </c>
      <c r="F5685">
        <v>0.13903529942065401</v>
      </c>
      <c r="G5685">
        <v>9.66354424631828E-2</v>
      </c>
      <c r="H5685">
        <v>5.9704554488888298E-2</v>
      </c>
      <c r="I5685">
        <v>6.9508645423834503E-2</v>
      </c>
      <c r="J5685">
        <v>6.7269690149646094E-2</v>
      </c>
      <c r="K5685">
        <v>7.4580249449171701E-2</v>
      </c>
      <c r="L5685">
        <v>812.27083314218498</v>
      </c>
      <c r="M5685">
        <v>17.457543961823099</v>
      </c>
      <c r="N5685">
        <v>46.839891871436002</v>
      </c>
      <c r="O5685">
        <v>45.930713202810601</v>
      </c>
      <c r="P5685">
        <v>-8.9817797142070901E-2</v>
      </c>
      <c r="Q5685">
        <v>5.4811919417790698E-2</v>
      </c>
      <c r="R5685">
        <v>0.96889805866198297</v>
      </c>
      <c r="S5685" t="s">
        <v>12355</v>
      </c>
      <c r="T5685" t="s">
        <v>13338</v>
      </c>
      <c r="U5685" t="s">
        <v>13338</v>
      </c>
      <c r="V5685" t="s">
        <v>13338</v>
      </c>
      <c r="W5685" t="s">
        <v>18965</v>
      </c>
      <c r="X5685">
        <v>6</v>
      </c>
      <c r="Y5685" t="s">
        <v>25457</v>
      </c>
      <c r="Z5685" t="s">
        <v>32100</v>
      </c>
      <c r="AA5685">
        <v>0.27964004405541998</v>
      </c>
      <c r="AB5685" t="str">
        <f>HYPERLINK("Melting_Curves/meltCurve_Q9H6D7_HAUS4.pdf", "Melting_Curves/meltCurve_Q9H6D7_HAUS4.pdf")</f>
        <v>Melting_Curves/meltCurve_Q9H6D7_HAUS4.pdf</v>
      </c>
    </row>
    <row r="5686" spans="1:28" x14ac:dyDescent="0.25">
      <c r="A5686" t="s">
        <v>5690</v>
      </c>
      <c r="B5686">
        <v>0.99193492352474899</v>
      </c>
      <c r="C5686">
        <v>0.68600184527919394</v>
      </c>
      <c r="D5686">
        <v>0.94817915137275</v>
      </c>
      <c r="E5686">
        <v>0.434876064438381</v>
      </c>
      <c r="F5686">
        <v>0.28125495637599002</v>
      </c>
      <c r="G5686">
        <v>0.13371013238635401</v>
      </c>
      <c r="H5686">
        <v>8.3314358095132296E-2</v>
      </c>
      <c r="I5686">
        <v>0.100372932754534</v>
      </c>
      <c r="J5686">
        <v>0.118568757016668</v>
      </c>
      <c r="K5686">
        <v>0.140600635100568</v>
      </c>
      <c r="L5686">
        <v>878.24785048810998</v>
      </c>
      <c r="M5686">
        <v>17.953971531679802</v>
      </c>
      <c r="N5686">
        <v>49.482079106127401</v>
      </c>
      <c r="O5686">
        <v>48.321884628880703</v>
      </c>
      <c r="P5686">
        <v>-8.4276871235792902E-2</v>
      </c>
      <c r="Q5686">
        <v>9.2743475535204803E-2</v>
      </c>
      <c r="R5686">
        <v>0.91618379031563202</v>
      </c>
      <c r="S5686" t="s">
        <v>12356</v>
      </c>
      <c r="T5686" t="s">
        <v>13338</v>
      </c>
      <c r="U5686" t="s">
        <v>13338</v>
      </c>
      <c r="V5686" t="s">
        <v>13338</v>
      </c>
      <c r="W5686" t="s">
        <v>18966</v>
      </c>
      <c r="X5686">
        <v>6</v>
      </c>
      <c r="Y5686" t="s">
        <v>25458</v>
      </c>
      <c r="Z5686" t="s">
        <v>32101</v>
      </c>
      <c r="AA5686">
        <v>0.37821973791840557</v>
      </c>
      <c r="AB5686" t="str">
        <f>HYPERLINK("Melting_Curves/meltCurve_Q9H6E4_CCDC134.pdf", "Melting_Curves/meltCurve_Q9H6E4_CCDC134.pdf")</f>
        <v>Melting_Curves/meltCurve_Q9H6E4_CCDC134.pdf</v>
      </c>
    </row>
    <row r="5687" spans="1:28" x14ac:dyDescent="0.25">
      <c r="A5687" t="s">
        <v>5691</v>
      </c>
      <c r="B5687">
        <v>0.99193492352474899</v>
      </c>
      <c r="C5687">
        <v>0.64196827831040504</v>
      </c>
      <c r="D5687">
        <v>0.65469657609179199</v>
      </c>
      <c r="E5687">
        <v>0.56826172679639597</v>
      </c>
      <c r="F5687">
        <v>0.68568395710746199</v>
      </c>
      <c r="G5687">
        <v>0.42631680047582599</v>
      </c>
      <c r="H5687">
        <v>0.29879345229592302</v>
      </c>
      <c r="I5687">
        <v>0.278642804817609</v>
      </c>
      <c r="J5687">
        <v>0.34804692016114003</v>
      </c>
      <c r="K5687">
        <v>0.39872372247663601</v>
      </c>
      <c r="L5687">
        <v>345.06588865045302</v>
      </c>
      <c r="M5687">
        <v>7.1638068839265401</v>
      </c>
      <c r="N5687">
        <v>53.3940937846466</v>
      </c>
      <c r="O5687">
        <v>44.838364089448</v>
      </c>
      <c r="P5687">
        <v>-2.9927747351295698E-2</v>
      </c>
      <c r="Q5687">
        <v>0.25200105500315501</v>
      </c>
      <c r="R5687">
        <v>0.79282934341473499</v>
      </c>
      <c r="S5687" t="s">
        <v>12357</v>
      </c>
      <c r="T5687" t="s">
        <v>13338</v>
      </c>
      <c r="U5687" t="s">
        <v>13338</v>
      </c>
      <c r="V5687" t="s">
        <v>13338</v>
      </c>
      <c r="W5687" t="s">
        <v>18967</v>
      </c>
      <c r="X5687">
        <v>4</v>
      </c>
      <c r="Y5687" t="s">
        <v>25459</v>
      </c>
      <c r="Z5687" t="s">
        <v>32102</v>
      </c>
      <c r="AA5687">
        <v>0.51673576625509632</v>
      </c>
      <c r="AB5687" t="str">
        <f>HYPERLINK("Melting_Curves/meltCurve_Q9H6F5_CCDC86.pdf", "Melting_Curves/meltCurve_Q9H6F5_CCDC86.pdf")</f>
        <v>Melting_Curves/meltCurve_Q9H6F5_CCDC86.pdf</v>
      </c>
    </row>
    <row r="5688" spans="1:28" x14ac:dyDescent="0.25">
      <c r="A5688" t="s">
        <v>5692</v>
      </c>
      <c r="B5688">
        <v>0.99193492352474899</v>
      </c>
      <c r="C5688">
        <v>0.76852111757833697</v>
      </c>
      <c r="D5688">
        <v>0.87273155123692803</v>
      </c>
      <c r="E5688">
        <v>0.739785286398982</v>
      </c>
      <c r="F5688">
        <v>0.49676667782700301</v>
      </c>
      <c r="G5688">
        <v>0.35157559135717897</v>
      </c>
      <c r="H5688">
        <v>0.27303638358365701</v>
      </c>
      <c r="I5688">
        <v>0.32750333161161699</v>
      </c>
      <c r="J5688">
        <v>0.36540117047323101</v>
      </c>
      <c r="K5688">
        <v>0.51685164611858303</v>
      </c>
      <c r="L5688">
        <v>765.95795690655098</v>
      </c>
      <c r="M5688">
        <v>15.5381008177686</v>
      </c>
      <c r="N5688">
        <v>53.360973042102103</v>
      </c>
      <c r="O5688">
        <v>48.500609019628797</v>
      </c>
      <c r="P5688">
        <v>-5.2309066491244199E-2</v>
      </c>
      <c r="Q5688">
        <v>0.34694761772640897</v>
      </c>
      <c r="R5688">
        <v>0.85876274257908602</v>
      </c>
      <c r="S5688" t="s">
        <v>12358</v>
      </c>
      <c r="T5688" t="s">
        <v>13338</v>
      </c>
      <c r="U5688" t="s">
        <v>13338</v>
      </c>
      <c r="V5688" t="s">
        <v>13338</v>
      </c>
      <c r="W5688" t="s">
        <v>18968</v>
      </c>
      <c r="X5688">
        <v>7</v>
      </c>
      <c r="Y5688" t="s">
        <v>25460</v>
      </c>
      <c r="Z5688" t="s">
        <v>32103</v>
      </c>
      <c r="AA5688">
        <v>0.56422776326449942</v>
      </c>
      <c r="AB5688" t="str">
        <f>HYPERLINK("Melting_Curves/meltCurve_Q9H6H4_REEP4.pdf", "Melting_Curves/meltCurve_Q9H6H4_REEP4.pdf")</f>
        <v>Melting_Curves/meltCurve_Q9H6H4_REEP4.pdf</v>
      </c>
    </row>
    <row r="5689" spans="1:28" x14ac:dyDescent="0.25">
      <c r="A5689" t="s">
        <v>5693</v>
      </c>
      <c r="B5689">
        <v>0.99193492352474899</v>
      </c>
      <c r="C5689">
        <v>0.99682310769157101</v>
      </c>
      <c r="D5689">
        <v>0.89517383207537604</v>
      </c>
      <c r="E5689">
        <v>0.83018405502574699</v>
      </c>
      <c r="F5689">
        <v>0.51346847097362502</v>
      </c>
      <c r="G5689">
        <v>0.25889989817290499</v>
      </c>
      <c r="H5689">
        <v>0.14659665152887699</v>
      </c>
      <c r="I5689">
        <v>0.151595094941849</v>
      </c>
      <c r="J5689">
        <v>0.15256143083871801</v>
      </c>
      <c r="K5689">
        <v>0.149227233840004</v>
      </c>
      <c r="L5689">
        <v>1153.03297124357</v>
      </c>
      <c r="M5689">
        <v>21.960930544151498</v>
      </c>
      <c r="N5689">
        <v>53.248467989129701</v>
      </c>
      <c r="O5689">
        <v>52.074285981071299</v>
      </c>
      <c r="P5689">
        <v>-9.1493318097312107E-2</v>
      </c>
      <c r="Q5689">
        <v>0.13221475691491599</v>
      </c>
      <c r="R5689">
        <v>0.99518286601111705</v>
      </c>
      <c r="S5689" t="s">
        <v>12359</v>
      </c>
      <c r="T5689" t="s">
        <v>13338</v>
      </c>
      <c r="U5689" t="s">
        <v>13338</v>
      </c>
      <c r="V5689" t="s">
        <v>13338</v>
      </c>
      <c r="W5689" t="s">
        <v>18969</v>
      </c>
      <c r="X5689">
        <v>3</v>
      </c>
      <c r="Y5689" t="s">
        <v>25461</v>
      </c>
      <c r="Z5689" t="s">
        <v>32104</v>
      </c>
      <c r="AA5689">
        <v>0.50403702208322854</v>
      </c>
      <c r="AB5689" t="str">
        <f>HYPERLINK("Melting_Curves/meltCurve_Q9H6K4_OPA3.pdf", "Melting_Curves/meltCurve_Q9H6K4_OPA3.pdf")</f>
        <v>Melting_Curves/meltCurve_Q9H6K4_OPA3.pdf</v>
      </c>
    </row>
    <row r="5690" spans="1:28" x14ac:dyDescent="0.25">
      <c r="A5690" t="s">
        <v>5694</v>
      </c>
      <c r="B5690">
        <v>0.99193492352474899</v>
      </c>
      <c r="C5690">
        <v>1.2171694996242099</v>
      </c>
      <c r="D5690">
        <v>0.95274035342302599</v>
      </c>
      <c r="E5690">
        <v>0.79577420412842803</v>
      </c>
      <c r="F5690">
        <v>0.39693947296887</v>
      </c>
      <c r="G5690">
        <v>0.27575607960030601</v>
      </c>
      <c r="H5690">
        <v>0.16647095382971699</v>
      </c>
      <c r="I5690">
        <v>0.345753249923267</v>
      </c>
      <c r="J5690">
        <v>0.36023606460010099</v>
      </c>
      <c r="K5690">
        <v>0.453270567499232</v>
      </c>
      <c r="L5690">
        <v>2205.7604675963798</v>
      </c>
      <c r="M5690">
        <v>43.6348296233582</v>
      </c>
      <c r="N5690">
        <v>51.765402182659301</v>
      </c>
      <c r="O5690">
        <v>50.444629653966999</v>
      </c>
      <c r="P5690">
        <v>-0.146954967455385</v>
      </c>
      <c r="Q5690">
        <v>0.32044400069565199</v>
      </c>
      <c r="R5690">
        <v>0.91907089503337103</v>
      </c>
      <c r="S5690" t="s">
        <v>12360</v>
      </c>
      <c r="T5690" t="s">
        <v>13338</v>
      </c>
      <c r="U5690" t="s">
        <v>13338</v>
      </c>
      <c r="V5690" t="s">
        <v>13338</v>
      </c>
      <c r="W5690" t="s">
        <v>18970</v>
      </c>
      <c r="X5690">
        <v>2</v>
      </c>
      <c r="Y5690" t="s">
        <v>25462</v>
      </c>
      <c r="Z5690" t="s">
        <v>32105</v>
      </c>
      <c r="AA5690">
        <v>0.56142447846797006</v>
      </c>
      <c r="AB5690" t="str">
        <f>HYPERLINK("Melting_Curves/meltCurve_Q9H6L2_TMEM231.pdf", "Melting_Curves/meltCurve_Q9H6L2_TMEM231.pdf")</f>
        <v>Melting_Curves/meltCurve_Q9H6L2_TMEM231.pdf</v>
      </c>
    </row>
    <row r="5691" spans="1:28" x14ac:dyDescent="0.25">
      <c r="A5691" t="s">
        <v>5695</v>
      </c>
      <c r="B5691">
        <v>0.99193492352474899</v>
      </c>
      <c r="C5691">
        <v>0.95671167563430204</v>
      </c>
      <c r="D5691">
        <v>0.79631293864670505</v>
      </c>
      <c r="E5691">
        <v>0.85017873649040998</v>
      </c>
      <c r="F5691">
        <v>0.82657214140490798</v>
      </c>
      <c r="G5691">
        <v>0.65881413218242502</v>
      </c>
      <c r="H5691">
        <v>0.39806408249224201</v>
      </c>
      <c r="I5691">
        <v>0.51688083288877396</v>
      </c>
      <c r="J5691">
        <v>0.40868311260934498</v>
      </c>
      <c r="K5691">
        <v>0.72684888115564905</v>
      </c>
      <c r="L5691">
        <v>610.46412003914895</v>
      </c>
      <c r="M5691">
        <v>11.6998475527057</v>
      </c>
      <c r="O5691">
        <v>50.722741987640603</v>
      </c>
      <c r="P5691">
        <v>-2.9477751808581299E-2</v>
      </c>
      <c r="Q5691">
        <v>0.48895234063343002</v>
      </c>
      <c r="R5691">
        <v>0.715089156353376</v>
      </c>
      <c r="S5691" t="s">
        <v>12361</v>
      </c>
      <c r="T5691" t="s">
        <v>13338</v>
      </c>
      <c r="U5691" t="s">
        <v>13338</v>
      </c>
      <c r="V5691" t="s">
        <v>13338</v>
      </c>
      <c r="W5691" t="s">
        <v>18971</v>
      </c>
      <c r="X5691">
        <v>3</v>
      </c>
      <c r="Y5691" t="s">
        <v>25463</v>
      </c>
      <c r="Z5691" t="s">
        <v>32106</v>
      </c>
      <c r="AA5691">
        <v>0.71233473603654152</v>
      </c>
      <c r="AB5691" t="str">
        <f>HYPERLINK("Melting_Curves/meltCurve_Q9H6L5_FAM134B.pdf", "Melting_Curves/meltCurve_Q9H6L5_FAM134B.pdf")</f>
        <v>Melting_Curves/meltCurve_Q9H6L5_FAM134B.pdf</v>
      </c>
    </row>
    <row r="5692" spans="1:28" x14ac:dyDescent="0.25">
      <c r="A5692" t="s">
        <v>5696</v>
      </c>
      <c r="B5692">
        <v>0.99193492352474899</v>
      </c>
      <c r="C5692">
        <v>0.59479425448265</v>
      </c>
      <c r="D5692">
        <v>0.69038652215176299</v>
      </c>
      <c r="E5692">
        <v>0.48654422343051901</v>
      </c>
      <c r="F5692">
        <v>0.48960232303310702</v>
      </c>
      <c r="G5692">
        <v>0.309923998539962</v>
      </c>
      <c r="H5692">
        <v>0.285065504569324</v>
      </c>
      <c r="I5692">
        <v>0.29882103193281101</v>
      </c>
      <c r="J5692">
        <v>0.399965353937622</v>
      </c>
      <c r="K5692">
        <v>0.52384143706207198</v>
      </c>
      <c r="L5692">
        <v>627.04669638856501</v>
      </c>
      <c r="M5692">
        <v>14.1817291324355</v>
      </c>
      <c r="N5692">
        <v>48.849804198820401</v>
      </c>
      <c r="O5692">
        <v>43.363810834616402</v>
      </c>
      <c r="P5692">
        <v>-5.1531966773231699E-2</v>
      </c>
      <c r="Q5692">
        <v>0.36979712223564198</v>
      </c>
      <c r="R5692">
        <v>0.77291131616783304</v>
      </c>
      <c r="S5692" t="s">
        <v>12362</v>
      </c>
      <c r="T5692" t="s">
        <v>13338</v>
      </c>
      <c r="U5692" t="s">
        <v>13338</v>
      </c>
      <c r="V5692" t="s">
        <v>13338</v>
      </c>
      <c r="W5692" t="s">
        <v>18972</v>
      </c>
      <c r="X5692">
        <v>2</v>
      </c>
      <c r="Y5692" t="s">
        <v>25464</v>
      </c>
      <c r="Z5692" t="s">
        <v>32107</v>
      </c>
      <c r="AA5692">
        <v>0.48323205607172692</v>
      </c>
      <c r="AB5692" t="str">
        <f>HYPERLINK("Melting_Curves/meltCurve_Q9H6P5_TASP1.pdf", "Melting_Curves/meltCurve_Q9H6P5_TASP1.pdf")</f>
        <v>Melting_Curves/meltCurve_Q9H6P5_TASP1.pdf</v>
      </c>
    </row>
    <row r="5693" spans="1:28" x14ac:dyDescent="0.25">
      <c r="A5693" t="s">
        <v>5697</v>
      </c>
      <c r="B5693">
        <v>0.99193492352474899</v>
      </c>
      <c r="C5693">
        <v>1.04413760971792</v>
      </c>
      <c r="D5693">
        <v>0.82186430893811602</v>
      </c>
      <c r="E5693">
        <v>0.80917418726665202</v>
      </c>
      <c r="F5693">
        <v>0.53981863037464095</v>
      </c>
      <c r="G5693">
        <v>0.16211539632240099</v>
      </c>
      <c r="H5693">
        <v>7.2117816824599501E-2</v>
      </c>
      <c r="I5693">
        <v>7.0811776064378898E-2</v>
      </c>
      <c r="J5693">
        <v>0.109056678695882</v>
      </c>
      <c r="K5693">
        <v>0.104962612670255</v>
      </c>
      <c r="L5693">
        <v>1140.8070925730599</v>
      </c>
      <c r="M5693">
        <v>21.6679727628383</v>
      </c>
      <c r="N5693">
        <v>52.983845219048099</v>
      </c>
      <c r="O5693">
        <v>52.207171208454803</v>
      </c>
      <c r="P5693">
        <v>-9.7130758516247695E-2</v>
      </c>
      <c r="Q5693">
        <v>6.3908379716662703E-2</v>
      </c>
      <c r="R5693">
        <v>0.97777632214397303</v>
      </c>
      <c r="S5693" t="s">
        <v>12363</v>
      </c>
      <c r="T5693" t="s">
        <v>13338</v>
      </c>
      <c r="U5693" t="s">
        <v>13338</v>
      </c>
      <c r="V5693" t="s">
        <v>13338</v>
      </c>
      <c r="W5693" t="s">
        <v>18973</v>
      </c>
      <c r="X5693">
        <v>6</v>
      </c>
      <c r="Y5693" t="s">
        <v>25465</v>
      </c>
      <c r="Z5693" t="s">
        <v>32108</v>
      </c>
      <c r="AA5693">
        <v>0.46981221235523268</v>
      </c>
      <c r="AB5693" t="str">
        <f>HYPERLINK("Melting_Curves/meltCurve_Q9H6Q4_NARFL.pdf", "Melting_Curves/meltCurve_Q9H6Q4_NARFL.pdf")</f>
        <v>Melting_Curves/meltCurve_Q9H6Q4_NARFL.pdf</v>
      </c>
    </row>
    <row r="5694" spans="1:28" x14ac:dyDescent="0.25">
      <c r="A5694" t="s">
        <v>5698</v>
      </c>
      <c r="B5694">
        <v>0.99193492352474899</v>
      </c>
      <c r="C5694">
        <v>0.673574333534944</v>
      </c>
      <c r="D5694">
        <v>0.88820904009536095</v>
      </c>
      <c r="E5694">
        <v>0.48218518415523498</v>
      </c>
      <c r="F5694">
        <v>0.17473961584924799</v>
      </c>
      <c r="G5694">
        <v>9.4649150085975298E-2</v>
      </c>
      <c r="H5694">
        <v>7.6069390924702399E-2</v>
      </c>
      <c r="I5694">
        <v>7.0978272959608193E-2</v>
      </c>
      <c r="J5694">
        <v>0.13650353705617699</v>
      </c>
      <c r="K5694">
        <v>8.4134119527890003E-2</v>
      </c>
      <c r="L5694">
        <v>858.88642002928998</v>
      </c>
      <c r="M5694">
        <v>17.626142260650099</v>
      </c>
      <c r="N5694">
        <v>49.106409502775897</v>
      </c>
      <c r="O5694">
        <v>48.113753352027402</v>
      </c>
      <c r="P5694">
        <v>-8.5774254448025805E-2</v>
      </c>
      <c r="Q5694">
        <v>6.3504615161394898E-2</v>
      </c>
      <c r="R5694">
        <v>0.92425004306634095</v>
      </c>
      <c r="S5694" t="s">
        <v>12364</v>
      </c>
      <c r="T5694" t="s">
        <v>13338</v>
      </c>
      <c r="U5694" t="s">
        <v>13338</v>
      </c>
      <c r="V5694" t="s">
        <v>13338</v>
      </c>
      <c r="W5694" t="s">
        <v>18974</v>
      </c>
      <c r="X5694">
        <v>1</v>
      </c>
      <c r="Y5694" t="s">
        <v>25466</v>
      </c>
      <c r="Z5694" t="s">
        <v>32109</v>
      </c>
      <c r="AA5694">
        <v>0.35297612824652419</v>
      </c>
      <c r="AB5694" t="str">
        <f>HYPERLINK("Melting_Curves/meltCurve_Q9H6R3_ACSS3.pdf", "Melting_Curves/meltCurve_Q9H6R3_ACSS3.pdf")</f>
        <v>Melting_Curves/meltCurve_Q9H6R3_ACSS3.pdf</v>
      </c>
    </row>
    <row r="5695" spans="1:28" x14ac:dyDescent="0.25">
      <c r="A5695" t="s">
        <v>5699</v>
      </c>
      <c r="B5695">
        <v>0.99193492352474899</v>
      </c>
      <c r="C5695">
        <v>0.54371503512904296</v>
      </c>
      <c r="D5695">
        <v>0.911234908781418</v>
      </c>
      <c r="E5695">
        <v>0.35617839531793</v>
      </c>
      <c r="F5695">
        <v>0.17047042661454201</v>
      </c>
      <c r="G5695">
        <v>0.109795875880472</v>
      </c>
      <c r="H5695">
        <v>7.3373038693462303E-2</v>
      </c>
      <c r="I5695">
        <v>9.1544514954311207E-2</v>
      </c>
      <c r="J5695">
        <v>9.2332743002821599E-2</v>
      </c>
      <c r="K5695">
        <v>7.4519196375350594E-2</v>
      </c>
      <c r="L5695">
        <v>648.93564375036306</v>
      </c>
      <c r="M5695">
        <v>13.57513587601</v>
      </c>
      <c r="N5695">
        <v>48.103839978769301</v>
      </c>
      <c r="O5695">
        <v>46.801692816819902</v>
      </c>
      <c r="P5695">
        <v>-6.9575863189453302E-2</v>
      </c>
      <c r="Q5695">
        <v>4.06630800802215E-2</v>
      </c>
      <c r="R5695">
        <v>0.85363798499688304</v>
      </c>
      <c r="S5695" t="s">
        <v>12365</v>
      </c>
      <c r="T5695" t="s">
        <v>13338</v>
      </c>
      <c r="U5695" t="s">
        <v>13338</v>
      </c>
      <c r="V5695" t="s">
        <v>13338</v>
      </c>
      <c r="W5695" t="s">
        <v>18975</v>
      </c>
      <c r="X5695">
        <v>9</v>
      </c>
      <c r="Y5695" t="s">
        <v>25467</v>
      </c>
      <c r="Z5695" t="s">
        <v>32110</v>
      </c>
      <c r="AA5695">
        <v>0.32048584539234898</v>
      </c>
      <c r="AB5695" t="str">
        <f>HYPERLINK("Melting_Curves/meltCurve_Q9H6R4_4_NOL6.pdf", "Melting_Curves/meltCurve_Q9H6R4_4_NOL6.pdf")</f>
        <v>Melting_Curves/meltCurve_Q9H6R4_4_NOL6.pdf</v>
      </c>
    </row>
    <row r="5696" spans="1:28" x14ac:dyDescent="0.25">
      <c r="A5696" t="s">
        <v>5700</v>
      </c>
      <c r="B5696">
        <v>0.99193492352474899</v>
      </c>
      <c r="C5696">
        <v>0.78003681083281196</v>
      </c>
      <c r="D5696">
        <v>0.65597976354640197</v>
      </c>
      <c r="E5696">
        <v>0.26060100852221801</v>
      </c>
      <c r="F5696">
        <v>0.19442738484285199</v>
      </c>
      <c r="G5696">
        <v>0.10614638388797901</v>
      </c>
      <c r="H5696">
        <v>4.5195855014726102E-2</v>
      </c>
      <c r="I5696">
        <v>8.2829800220093702E-2</v>
      </c>
      <c r="J5696">
        <v>9.0879829811853094E-2</v>
      </c>
      <c r="K5696">
        <v>0.136036785223596</v>
      </c>
      <c r="L5696">
        <v>870.19373922624197</v>
      </c>
      <c r="M5696">
        <v>18.679578795190999</v>
      </c>
      <c r="N5696">
        <v>47.045792303846902</v>
      </c>
      <c r="O5696">
        <v>46.061252475745597</v>
      </c>
      <c r="P5696">
        <v>-9.2917839625286505E-2</v>
      </c>
      <c r="Q5696">
        <v>8.3549244835592201E-2</v>
      </c>
      <c r="R5696">
        <v>0.98371759535569303</v>
      </c>
      <c r="S5696" t="s">
        <v>12366</v>
      </c>
      <c r="T5696" t="s">
        <v>13338</v>
      </c>
      <c r="U5696" t="s">
        <v>13338</v>
      </c>
      <c r="V5696" t="s">
        <v>13338</v>
      </c>
      <c r="W5696" t="s">
        <v>18976</v>
      </c>
      <c r="X5696">
        <v>2</v>
      </c>
      <c r="Y5696" t="s">
        <v>25468</v>
      </c>
      <c r="Z5696" t="s">
        <v>32111</v>
      </c>
      <c r="AA5696">
        <v>0.30064813996047762</v>
      </c>
      <c r="AB5696" t="str">
        <f>HYPERLINK("Melting_Curves/meltCurve_Q9H6R6_2_ZDHHC6.pdf", "Melting_Curves/meltCurve_Q9H6R6_2_ZDHHC6.pdf")</f>
        <v>Melting_Curves/meltCurve_Q9H6R6_2_ZDHHC6.pdf</v>
      </c>
    </row>
    <row r="5697" spans="1:28" x14ac:dyDescent="0.25">
      <c r="A5697" t="s">
        <v>5701</v>
      </c>
      <c r="B5697">
        <v>0.99193492352474899</v>
      </c>
      <c r="C5697">
        <v>0.37007153075307703</v>
      </c>
      <c r="D5697">
        <v>0.500768346457657</v>
      </c>
      <c r="E5697">
        <v>0.22706173586540199</v>
      </c>
      <c r="F5697">
        <v>0.20011306945276</v>
      </c>
      <c r="G5697">
        <v>9.1354466157266806E-2</v>
      </c>
      <c r="H5697">
        <v>3.0314853567389301E-2</v>
      </c>
      <c r="I5697">
        <v>4.9467431292253103E-2</v>
      </c>
      <c r="J5697">
        <v>8.9466953615424005E-2</v>
      </c>
      <c r="K5697">
        <v>3.2019783765799802E-2</v>
      </c>
      <c r="L5697">
        <v>586.55711209622802</v>
      </c>
      <c r="M5697">
        <v>13.3085975441467</v>
      </c>
      <c r="N5697">
        <v>44.432676203461398</v>
      </c>
      <c r="O5697">
        <v>43.114115081919401</v>
      </c>
      <c r="P5697">
        <v>-7.3247511242231597E-2</v>
      </c>
      <c r="Q5697">
        <v>5.0991660655513998E-2</v>
      </c>
      <c r="R5697">
        <v>0.86394192069096298</v>
      </c>
      <c r="S5697" t="s">
        <v>12367</v>
      </c>
      <c r="T5697" t="s">
        <v>13338</v>
      </c>
      <c r="U5697" t="s">
        <v>13338</v>
      </c>
      <c r="V5697" t="s">
        <v>13338</v>
      </c>
      <c r="W5697" t="s">
        <v>18977</v>
      </c>
      <c r="X5697">
        <v>1</v>
      </c>
      <c r="Y5697" t="s">
        <v>25469</v>
      </c>
      <c r="Z5697" t="s">
        <v>32112</v>
      </c>
      <c r="AA5697">
        <v>0.22303383788904549</v>
      </c>
      <c r="AB5697" t="str">
        <f>HYPERLINK("Melting_Curves/meltCurve_Q9H6S0_YTHDC2.pdf", "Melting_Curves/meltCurve_Q9H6S0_YTHDC2.pdf")</f>
        <v>Melting_Curves/meltCurve_Q9H6S0_YTHDC2.pdf</v>
      </c>
    </row>
    <row r="5698" spans="1:28" x14ac:dyDescent="0.25">
      <c r="A5698" t="s">
        <v>5702</v>
      </c>
      <c r="B5698">
        <v>0.99193492352474899</v>
      </c>
      <c r="C5698">
        <v>0.64003344444857202</v>
      </c>
      <c r="D5698">
        <v>0.71731952096794904</v>
      </c>
      <c r="E5698">
        <v>0.31469018233446</v>
      </c>
      <c r="F5698">
        <v>0.143519895839687</v>
      </c>
      <c r="G5698">
        <v>7.7327025586302098E-2</v>
      </c>
      <c r="H5698">
        <v>6.1283719155877298E-2</v>
      </c>
      <c r="I5698">
        <v>7.1486546788941702E-2</v>
      </c>
      <c r="J5698">
        <v>8.7319298726804107E-2</v>
      </c>
      <c r="K5698">
        <v>0.106799761163414</v>
      </c>
      <c r="L5698">
        <v>702.58191179578705</v>
      </c>
      <c r="M5698">
        <v>15.0393198042704</v>
      </c>
      <c r="N5698">
        <v>47.071539593304699</v>
      </c>
      <c r="O5698">
        <v>45.913723751350503</v>
      </c>
      <c r="P5698">
        <v>-7.7504075779347703E-2</v>
      </c>
      <c r="Q5698">
        <v>5.3642272771885199E-2</v>
      </c>
      <c r="R5698">
        <v>0.946232093714103</v>
      </c>
      <c r="S5698" t="s">
        <v>12368</v>
      </c>
      <c r="T5698" t="s">
        <v>13338</v>
      </c>
      <c r="U5698" t="s">
        <v>13338</v>
      </c>
      <c r="V5698" t="s">
        <v>13338</v>
      </c>
      <c r="W5698" t="s">
        <v>18978</v>
      </c>
      <c r="X5698">
        <v>29</v>
      </c>
      <c r="Y5698" t="s">
        <v>25470</v>
      </c>
      <c r="Z5698" t="s">
        <v>32113</v>
      </c>
      <c r="AA5698">
        <v>0.29155948093669398</v>
      </c>
      <c r="AB5698" t="str">
        <f>HYPERLINK("Melting_Curves/meltCurve_Q9H6T3_RPAP3.pdf", "Melting_Curves/meltCurve_Q9H6T3_RPAP3.pdf")</f>
        <v>Melting_Curves/meltCurve_Q9H6T3_RPAP3.pdf</v>
      </c>
    </row>
    <row r="5699" spans="1:28" x14ac:dyDescent="0.25">
      <c r="A5699" t="s">
        <v>5703</v>
      </c>
      <c r="B5699">
        <v>0.99193492352474899</v>
      </c>
      <c r="C5699">
        <v>0.97828510573733196</v>
      </c>
      <c r="D5699">
        <v>0.84630384310847995</v>
      </c>
      <c r="E5699">
        <v>0.64341837011913905</v>
      </c>
      <c r="F5699">
        <v>0.40041400849242198</v>
      </c>
      <c r="G5699">
        <v>0.20113034615832001</v>
      </c>
      <c r="H5699">
        <v>0.120295684102943</v>
      </c>
      <c r="I5699">
        <v>0.118060321401581</v>
      </c>
      <c r="J5699">
        <v>0.14459650616118899</v>
      </c>
      <c r="K5699">
        <v>9.9768289480396802E-2</v>
      </c>
      <c r="L5699">
        <v>873.56422947988301</v>
      </c>
      <c r="M5699">
        <v>17.2046869492167</v>
      </c>
      <c r="N5699">
        <v>51.410497695365898</v>
      </c>
      <c r="O5699">
        <v>50.103703804564802</v>
      </c>
      <c r="P5699">
        <v>-7.7624388908608302E-2</v>
      </c>
      <c r="Q5699">
        <v>9.5818474823043301E-2</v>
      </c>
      <c r="R5699">
        <v>0.99715627663393802</v>
      </c>
      <c r="S5699" t="s">
        <v>12369</v>
      </c>
      <c r="T5699" t="s">
        <v>13338</v>
      </c>
      <c r="U5699" t="s">
        <v>13338</v>
      </c>
      <c r="V5699" t="s">
        <v>13338</v>
      </c>
      <c r="W5699" t="s">
        <v>18979</v>
      </c>
      <c r="X5699">
        <v>9</v>
      </c>
      <c r="Y5699" t="s">
        <v>25471</v>
      </c>
      <c r="Z5699" t="s">
        <v>32114</v>
      </c>
      <c r="AA5699">
        <v>0.43714007038987091</v>
      </c>
      <c r="AB5699" t="str">
        <f>HYPERLINK("Melting_Curves/meltCurve_Q9H6U6_2_BCAS3.pdf", "Melting_Curves/meltCurve_Q9H6U6_2_BCAS3.pdf")</f>
        <v>Melting_Curves/meltCurve_Q9H6U6_2_BCAS3.pdf</v>
      </c>
    </row>
    <row r="5700" spans="1:28" x14ac:dyDescent="0.25">
      <c r="A5700" t="s">
        <v>5704</v>
      </c>
      <c r="B5700">
        <v>0.99193492352474899</v>
      </c>
      <c r="C5700">
        <v>1.19876988057111</v>
      </c>
      <c r="D5700">
        <v>1.1343368360207</v>
      </c>
      <c r="E5700">
        <v>0.93828957146292502</v>
      </c>
      <c r="F5700">
        <v>0.58136251086979096</v>
      </c>
      <c r="G5700">
        <v>0.23195497089310199</v>
      </c>
      <c r="H5700">
        <v>7.8116417508879404E-2</v>
      </c>
      <c r="I5700">
        <v>0.17431538221604201</v>
      </c>
      <c r="J5700">
        <v>0.14601392754753201</v>
      </c>
      <c r="K5700">
        <v>0.128432848052839</v>
      </c>
      <c r="L5700">
        <v>1963.56874515406</v>
      </c>
      <c r="M5700">
        <v>36.825568605786998</v>
      </c>
      <c r="N5700">
        <v>53.770099281604203</v>
      </c>
      <c r="O5700">
        <v>53.164307444701102</v>
      </c>
      <c r="P5700">
        <v>-0.15023549280913001</v>
      </c>
      <c r="Q5700">
        <v>0.132435299324904</v>
      </c>
      <c r="R5700">
        <v>0.96626515253270395</v>
      </c>
      <c r="S5700" t="s">
        <v>12370</v>
      </c>
      <c r="T5700" t="s">
        <v>13338</v>
      </c>
      <c r="U5700" t="s">
        <v>13338</v>
      </c>
      <c r="V5700" t="s">
        <v>13338</v>
      </c>
      <c r="W5700" t="s">
        <v>18980</v>
      </c>
      <c r="X5700">
        <v>4</v>
      </c>
      <c r="Y5700" t="s">
        <v>25472</v>
      </c>
      <c r="Z5700" t="s">
        <v>32115</v>
      </c>
      <c r="AA5700">
        <v>0.52142495483045681</v>
      </c>
      <c r="AB5700" t="str">
        <f>HYPERLINK("Melting_Curves/meltCurve_Q9H6U8_ALG9.pdf", "Melting_Curves/meltCurve_Q9H6U8_ALG9.pdf")</f>
        <v>Melting_Curves/meltCurve_Q9H6U8_ALG9.pdf</v>
      </c>
    </row>
    <row r="5701" spans="1:28" x14ac:dyDescent="0.25">
      <c r="A5701" t="s">
        <v>5705</v>
      </c>
      <c r="B5701">
        <v>0.99193492352474899</v>
      </c>
      <c r="C5701">
        <v>0.647258596831774</v>
      </c>
      <c r="D5701">
        <v>0.61779043935955402</v>
      </c>
      <c r="E5701">
        <v>0.34207392617564197</v>
      </c>
      <c r="F5701">
        <v>0.137701074432207</v>
      </c>
      <c r="G5701">
        <v>4.0343094954356902E-2</v>
      </c>
      <c r="H5701">
        <v>4.6638757491580397E-2</v>
      </c>
      <c r="I5701">
        <v>4.9105826412559297E-2</v>
      </c>
      <c r="J5701">
        <v>6.3294799449906E-2</v>
      </c>
      <c r="K5701">
        <v>0</v>
      </c>
      <c r="L5701">
        <v>634.33620386323503</v>
      </c>
      <c r="M5701">
        <v>13.5814681758219</v>
      </c>
      <c r="N5701">
        <v>46.7491626473157</v>
      </c>
      <c r="O5701">
        <v>45.728311845471303</v>
      </c>
      <c r="P5701">
        <v>-7.3799496665189299E-2</v>
      </c>
      <c r="Q5701">
        <v>6.2268975568155098E-3</v>
      </c>
      <c r="R5701">
        <v>0.96968128280824895</v>
      </c>
      <c r="S5701" t="s">
        <v>12371</v>
      </c>
      <c r="T5701" t="s">
        <v>13338</v>
      </c>
      <c r="U5701" t="s">
        <v>13338</v>
      </c>
      <c r="V5701" t="s">
        <v>13338</v>
      </c>
      <c r="W5701" t="s">
        <v>18981</v>
      </c>
      <c r="X5701">
        <v>2</v>
      </c>
      <c r="Y5701" t="s">
        <v>25473</v>
      </c>
      <c r="Z5701" t="s">
        <v>32116</v>
      </c>
      <c r="AA5701">
        <v>0.26203823500885481</v>
      </c>
      <c r="AB5701" t="str">
        <f>HYPERLINK("Melting_Curves/meltCurve_Q9H6W3_NO66.pdf", "Melting_Curves/meltCurve_Q9H6W3_NO66.pdf")</f>
        <v>Melting_Curves/meltCurve_Q9H6W3_NO66.pdf</v>
      </c>
    </row>
    <row r="5702" spans="1:28" x14ac:dyDescent="0.25">
      <c r="A5702" t="s">
        <v>5706</v>
      </c>
      <c r="B5702">
        <v>0.99193492352474899</v>
      </c>
      <c r="C5702">
        <v>0.94008740796567303</v>
      </c>
      <c r="D5702">
        <v>0.91647851182042595</v>
      </c>
      <c r="E5702">
        <v>0.85656257954550497</v>
      </c>
      <c r="F5702">
        <v>0.51351003687635999</v>
      </c>
      <c r="G5702">
        <v>0.42206431603882599</v>
      </c>
      <c r="H5702">
        <v>0.36326187185310699</v>
      </c>
      <c r="I5702">
        <v>0.49261363884592302</v>
      </c>
      <c r="J5702">
        <v>0.54907165078402498</v>
      </c>
      <c r="K5702">
        <v>0.60324777969072196</v>
      </c>
      <c r="L5702">
        <v>2666.6984005507002</v>
      </c>
      <c r="M5702">
        <v>52.853648621698802</v>
      </c>
      <c r="N5702">
        <v>54.062358422665802</v>
      </c>
      <c r="O5702">
        <v>50.382313489976099</v>
      </c>
      <c r="P5702">
        <v>-0.13498479623317899</v>
      </c>
      <c r="Q5702">
        <v>0.48530769064277302</v>
      </c>
      <c r="R5702">
        <v>0.90592639416499698</v>
      </c>
      <c r="S5702" t="s">
        <v>12372</v>
      </c>
      <c r="T5702" t="s">
        <v>13338</v>
      </c>
      <c r="U5702" t="s">
        <v>13338</v>
      </c>
      <c r="V5702" t="s">
        <v>13338</v>
      </c>
      <c r="W5702" t="s">
        <v>18982</v>
      </c>
      <c r="X5702">
        <v>3</v>
      </c>
      <c r="Y5702" t="s">
        <v>25474</v>
      </c>
      <c r="Z5702" t="s">
        <v>32117</v>
      </c>
      <c r="AA5702">
        <v>0.66569194879487859</v>
      </c>
      <c r="AB5702" t="str">
        <f>HYPERLINK("Melting_Curves/meltCurve_Q9H6X2_ANTXR1.pdf", "Melting_Curves/meltCurve_Q9H6X2_ANTXR1.pdf")</f>
        <v>Melting_Curves/meltCurve_Q9H6X2_ANTXR1.pdf</v>
      </c>
    </row>
    <row r="5703" spans="1:28" x14ac:dyDescent="0.25">
      <c r="A5703" t="s">
        <v>5707</v>
      </c>
      <c r="B5703">
        <v>0.99193492352474899</v>
      </c>
      <c r="C5703">
        <v>0.82230089208518098</v>
      </c>
      <c r="D5703">
        <v>0.96218636224204901</v>
      </c>
      <c r="E5703">
        <v>0.74464250710407098</v>
      </c>
      <c r="F5703">
        <v>0.60002364520877804</v>
      </c>
      <c r="G5703">
        <v>0.26823415575677401</v>
      </c>
      <c r="H5703">
        <v>0.13319601535613801</v>
      </c>
      <c r="I5703">
        <v>0.114997885500025</v>
      </c>
      <c r="J5703">
        <v>0.13645636453517801</v>
      </c>
      <c r="K5703">
        <v>0.103147987107712</v>
      </c>
      <c r="L5703">
        <v>860.67942052530304</v>
      </c>
      <c r="M5703">
        <v>16.207623575884199</v>
      </c>
      <c r="N5703">
        <v>53.599946678386999</v>
      </c>
      <c r="O5703">
        <v>52.314692946538699</v>
      </c>
      <c r="P5703">
        <v>-7.20584039492249E-2</v>
      </c>
      <c r="Q5703">
        <v>6.9713806991514096E-2</v>
      </c>
      <c r="R5703">
        <v>0.97010805220812402</v>
      </c>
      <c r="S5703" t="s">
        <v>12373</v>
      </c>
      <c r="T5703" t="s">
        <v>13338</v>
      </c>
      <c r="U5703" t="s">
        <v>13338</v>
      </c>
      <c r="V5703" t="s">
        <v>13338</v>
      </c>
      <c r="W5703" t="s">
        <v>18983</v>
      </c>
      <c r="X5703">
        <v>8</v>
      </c>
      <c r="Y5703" t="s">
        <v>25475</v>
      </c>
      <c r="Z5703" t="s">
        <v>32118</v>
      </c>
      <c r="AA5703">
        <v>0.49389299037627049</v>
      </c>
      <c r="AB5703" t="str">
        <f>HYPERLINK("Melting_Curves/meltCurve_Q9H6Y2_WDR55.pdf", "Melting_Curves/meltCurve_Q9H6Y2_WDR55.pdf")</f>
        <v>Melting_Curves/meltCurve_Q9H6Y2_WDR55.pdf</v>
      </c>
    </row>
    <row r="5704" spans="1:28" x14ac:dyDescent="0.25">
      <c r="A5704" t="s">
        <v>5708</v>
      </c>
      <c r="B5704">
        <v>0.99193492352474899</v>
      </c>
      <c r="C5704">
        <v>0.82459051411068396</v>
      </c>
      <c r="D5704">
        <v>1.12815718526037</v>
      </c>
      <c r="E5704">
        <v>0.85007447998735397</v>
      </c>
      <c r="F5704">
        <v>0.82993005470626002</v>
      </c>
      <c r="G5704">
        <v>0.52595871369540803</v>
      </c>
      <c r="H5704">
        <v>0.25348564421076902</v>
      </c>
      <c r="I5704">
        <v>0.153954306255187</v>
      </c>
      <c r="J5704">
        <v>0.176547809289538</v>
      </c>
      <c r="K5704">
        <v>0.17644021888497299</v>
      </c>
      <c r="L5704">
        <v>1253.78027533673</v>
      </c>
      <c r="M5704">
        <v>22.3451244281082</v>
      </c>
      <c r="N5704">
        <v>56.947729147427999</v>
      </c>
      <c r="O5704">
        <v>55.666199018475702</v>
      </c>
      <c r="P5704">
        <v>-8.6295263101789907E-2</v>
      </c>
      <c r="Q5704">
        <v>0.14010262376906599</v>
      </c>
      <c r="R5704">
        <v>0.95051392815582303</v>
      </c>
      <c r="S5704" t="s">
        <v>12374</v>
      </c>
      <c r="T5704" t="s">
        <v>13338</v>
      </c>
      <c r="U5704" t="s">
        <v>13338</v>
      </c>
      <c r="V5704" t="s">
        <v>13338</v>
      </c>
      <c r="W5704" t="s">
        <v>18984</v>
      </c>
      <c r="X5704">
        <v>15</v>
      </c>
      <c r="Y5704" t="s">
        <v>25476</v>
      </c>
      <c r="Z5704" t="s">
        <v>32119</v>
      </c>
      <c r="AA5704">
        <v>0.61127445178329864</v>
      </c>
      <c r="AB5704" t="str">
        <f>HYPERLINK("Melting_Curves/meltCurve_Q9H6Z4_3_RANBP3.pdf", "Melting_Curves/meltCurve_Q9H6Z4_3_RANBP3.pdf")</f>
        <v>Melting_Curves/meltCurve_Q9H6Z4_3_RANBP3.pdf</v>
      </c>
    </row>
    <row r="5705" spans="1:28" x14ac:dyDescent="0.25">
      <c r="A5705" t="s">
        <v>5709</v>
      </c>
      <c r="B5705">
        <v>0.99193492352474899</v>
      </c>
      <c r="C5705">
        <v>1.0252778516005701</v>
      </c>
      <c r="D5705">
        <v>0.893312826292051</v>
      </c>
      <c r="E5705">
        <v>0.82573774000990297</v>
      </c>
      <c r="F5705">
        <v>0.54383806419602998</v>
      </c>
      <c r="G5705">
        <v>0.43216068378765499</v>
      </c>
      <c r="H5705">
        <v>0.22280905921701</v>
      </c>
      <c r="I5705">
        <v>0.37797723879538297</v>
      </c>
      <c r="J5705">
        <v>0.40258264779890801</v>
      </c>
      <c r="K5705">
        <v>0.74821156461948501</v>
      </c>
      <c r="L5705">
        <v>1580.6928538725299</v>
      </c>
      <c r="M5705">
        <v>31.207561603994002</v>
      </c>
      <c r="N5705">
        <v>54.168947925578699</v>
      </c>
      <c r="O5705">
        <v>50.444339066157497</v>
      </c>
      <c r="P5705">
        <v>-8.7521436296914307E-2</v>
      </c>
      <c r="Q5705">
        <v>0.43411965982126799</v>
      </c>
      <c r="R5705">
        <v>0.78549528729817797</v>
      </c>
      <c r="S5705" t="s">
        <v>12375</v>
      </c>
      <c r="T5705" t="s">
        <v>13338</v>
      </c>
      <c r="U5705" t="s">
        <v>13338</v>
      </c>
      <c r="V5705" t="s">
        <v>13338</v>
      </c>
      <c r="W5705" t="s">
        <v>18985</v>
      </c>
      <c r="X5705">
        <v>1</v>
      </c>
      <c r="Y5705" t="s">
        <v>25477</v>
      </c>
      <c r="Z5705" t="s">
        <v>32120</v>
      </c>
      <c r="AA5705">
        <v>0.63829286762991522</v>
      </c>
      <c r="AB5705" t="str">
        <f>HYPERLINK("Melting_Curves/meltCurve_Q9H741_C12orf49.pdf", "Melting_Curves/meltCurve_Q9H741_C12orf49.pdf")</f>
        <v>Melting_Curves/meltCurve_Q9H741_C12orf49.pdf</v>
      </c>
    </row>
    <row r="5706" spans="1:28" x14ac:dyDescent="0.25">
      <c r="A5706" t="s">
        <v>5710</v>
      </c>
      <c r="B5706">
        <v>0.99193492352474899</v>
      </c>
      <c r="C5706">
        <v>1.0201529837752701</v>
      </c>
      <c r="D5706">
        <v>0.82932821353736597</v>
      </c>
      <c r="E5706">
        <v>0.81718502357249601</v>
      </c>
      <c r="F5706">
        <v>0.68136207238756596</v>
      </c>
      <c r="G5706">
        <v>0.486914756163638</v>
      </c>
      <c r="H5706">
        <v>0.40856062691855499</v>
      </c>
      <c r="I5706">
        <v>0.49511092701460502</v>
      </c>
      <c r="J5706">
        <v>0.43737598509928799</v>
      </c>
      <c r="K5706">
        <v>0.39933701818474099</v>
      </c>
      <c r="L5706">
        <v>734.04294303120696</v>
      </c>
      <c r="M5706">
        <v>14.199389862314501</v>
      </c>
      <c r="N5706">
        <v>58.269243739200597</v>
      </c>
      <c r="O5706">
        <v>50.702467134224797</v>
      </c>
      <c r="P5706">
        <v>-4.2065830315031902E-2</v>
      </c>
      <c r="Q5706">
        <v>0.39924899432003602</v>
      </c>
      <c r="R5706">
        <v>0.96080928523938403</v>
      </c>
      <c r="S5706" t="s">
        <v>12376</v>
      </c>
      <c r="T5706" t="s">
        <v>13338</v>
      </c>
      <c r="U5706" t="s">
        <v>13338</v>
      </c>
      <c r="V5706" t="s">
        <v>13338</v>
      </c>
      <c r="W5706" t="s">
        <v>18986</v>
      </c>
      <c r="X5706">
        <v>12</v>
      </c>
      <c r="Y5706" t="s">
        <v>25478</v>
      </c>
      <c r="Z5706" t="s">
        <v>32121</v>
      </c>
      <c r="AA5706">
        <v>0.64821639360994621</v>
      </c>
      <c r="AB5706" t="str">
        <f>HYPERLINK("Melting_Curves/meltCurve_Q9H773_DCTPP1.pdf", "Melting_Curves/meltCurve_Q9H773_DCTPP1.pdf")</f>
        <v>Melting_Curves/meltCurve_Q9H773_DCTPP1.pdf</v>
      </c>
    </row>
    <row r="5707" spans="1:28" x14ac:dyDescent="0.25">
      <c r="A5707" t="s">
        <v>5711</v>
      </c>
      <c r="B5707">
        <v>0.99193492352474899</v>
      </c>
      <c r="C5707">
        <v>0.96153556250986405</v>
      </c>
      <c r="D5707">
        <v>1.0569033433767401</v>
      </c>
      <c r="E5707">
        <v>0.67981651954345201</v>
      </c>
      <c r="F5707">
        <v>0.61704007636648905</v>
      </c>
      <c r="G5707">
        <v>0.66252877329541204</v>
      </c>
      <c r="H5707">
        <v>0.38024047715182602</v>
      </c>
      <c r="I5707">
        <v>0.501382294893848</v>
      </c>
      <c r="J5707">
        <v>0.83565974483314898</v>
      </c>
      <c r="K5707">
        <v>0.58048814943620597</v>
      </c>
      <c r="L5707">
        <v>12333.3906169212</v>
      </c>
      <c r="M5707">
        <v>250</v>
      </c>
      <c r="O5707">
        <v>49.330411025736097</v>
      </c>
      <c r="P5707">
        <v>-0.51157185138705596</v>
      </c>
      <c r="Q5707">
        <v>0.59622325088646699</v>
      </c>
      <c r="R5707">
        <v>0.73117460655129596</v>
      </c>
      <c r="S5707" t="s">
        <v>12377</v>
      </c>
      <c r="T5707" t="s">
        <v>13338</v>
      </c>
      <c r="U5707" t="s">
        <v>13338</v>
      </c>
      <c r="V5707" t="s">
        <v>13338</v>
      </c>
      <c r="W5707" t="s">
        <v>18987</v>
      </c>
      <c r="X5707">
        <v>1</v>
      </c>
      <c r="Y5707" t="s">
        <v>25479</v>
      </c>
      <c r="Z5707" t="s">
        <v>32122</v>
      </c>
      <c r="AA5707">
        <v>0.72188072675808501</v>
      </c>
      <c r="AB5707" t="str">
        <f>HYPERLINK("Melting_Curves/meltCurve_Q9H777_ELAC1.pdf", "Melting_Curves/meltCurve_Q9H777_ELAC1.pdf")</f>
        <v>Melting_Curves/meltCurve_Q9H777_ELAC1.pdf</v>
      </c>
    </row>
    <row r="5708" spans="1:28" x14ac:dyDescent="0.25">
      <c r="A5708" t="s">
        <v>5712</v>
      </c>
      <c r="B5708">
        <v>0.99193492352474899</v>
      </c>
      <c r="C5708">
        <v>0.82319295977065399</v>
      </c>
      <c r="D5708">
        <v>0.76710621909074495</v>
      </c>
      <c r="E5708">
        <v>0.202909434868706</v>
      </c>
      <c r="F5708">
        <v>0.13047570688374999</v>
      </c>
      <c r="G5708">
        <v>5.6759903905619802E-2</v>
      </c>
      <c r="H5708">
        <v>4.4695405458960002E-2</v>
      </c>
      <c r="I5708">
        <v>6.2496732979884499E-2</v>
      </c>
      <c r="J5708">
        <v>9.3902128721214798E-2</v>
      </c>
      <c r="K5708">
        <v>8.2228247945257807E-2</v>
      </c>
      <c r="L5708">
        <v>1382.06714532551</v>
      </c>
      <c r="M5708">
        <v>29.264004717863401</v>
      </c>
      <c r="N5708">
        <v>47.460099525310902</v>
      </c>
      <c r="O5708">
        <v>47.008667153963302</v>
      </c>
      <c r="P5708">
        <v>-0.14523690831656999</v>
      </c>
      <c r="Q5708">
        <v>6.6793072678011295E-2</v>
      </c>
      <c r="R5708">
        <v>0.97978297281429305</v>
      </c>
      <c r="S5708" t="s">
        <v>12378</v>
      </c>
      <c r="T5708" t="s">
        <v>13338</v>
      </c>
      <c r="U5708" t="s">
        <v>13338</v>
      </c>
      <c r="V5708" t="s">
        <v>13338</v>
      </c>
      <c r="W5708" t="s">
        <v>18988</v>
      </c>
      <c r="X5708">
        <v>4</v>
      </c>
      <c r="Y5708" t="s">
        <v>25480</v>
      </c>
      <c r="Z5708" t="s">
        <v>32123</v>
      </c>
      <c r="AA5708">
        <v>0.29752069822567989</v>
      </c>
      <c r="AB5708" t="str">
        <f>HYPERLINK("Melting_Curves/meltCurve_Q9H7B4_SMYD3.pdf", "Melting_Curves/meltCurve_Q9H7B4_SMYD3.pdf")</f>
        <v>Melting_Curves/meltCurve_Q9H7B4_SMYD3.pdf</v>
      </c>
    </row>
    <row r="5709" spans="1:28" x14ac:dyDescent="0.25">
      <c r="A5709" t="s">
        <v>5713</v>
      </c>
      <c r="B5709">
        <v>0.99193492352474899</v>
      </c>
      <c r="C5709">
        <v>0.84368055802776298</v>
      </c>
      <c r="D5709">
        <v>0.79343249907417801</v>
      </c>
      <c r="E5709">
        <v>0.55169080367745604</v>
      </c>
      <c r="F5709">
        <v>0.36196084613474999</v>
      </c>
      <c r="G5709">
        <v>0.163424697144396</v>
      </c>
      <c r="H5709">
        <v>9.40797609032369E-2</v>
      </c>
      <c r="I5709">
        <v>0.108565837647553</v>
      </c>
      <c r="J5709">
        <v>0.120149705621755</v>
      </c>
      <c r="K5709">
        <v>0.288272238552783</v>
      </c>
      <c r="L5709">
        <v>790.48445952341694</v>
      </c>
      <c r="M5709">
        <v>16.1025098340663</v>
      </c>
      <c r="N5709">
        <v>50.037404215771197</v>
      </c>
      <c r="O5709">
        <v>48.352363101635802</v>
      </c>
      <c r="P5709">
        <v>-7.2329653069509406E-2</v>
      </c>
      <c r="Q5709">
        <v>0.131305037017967</v>
      </c>
      <c r="R5709">
        <v>0.95981781500353403</v>
      </c>
      <c r="S5709" t="s">
        <v>12379</v>
      </c>
      <c r="T5709" t="s">
        <v>13338</v>
      </c>
      <c r="U5709" t="s">
        <v>13338</v>
      </c>
      <c r="V5709" t="s">
        <v>13338</v>
      </c>
      <c r="W5709" t="s">
        <v>18989</v>
      </c>
      <c r="X5709">
        <v>10</v>
      </c>
      <c r="Y5709" t="s">
        <v>25481</v>
      </c>
      <c r="Z5709" t="s">
        <v>32124</v>
      </c>
      <c r="AA5709">
        <v>0.41321904893732958</v>
      </c>
      <c r="AB5709" t="str">
        <f>HYPERLINK("Melting_Curves/meltCurve_Q9H7D7_2_WDR26.pdf", "Melting_Curves/meltCurve_Q9H7D7_2_WDR26.pdf")</f>
        <v>Melting_Curves/meltCurve_Q9H7D7_2_WDR26.pdf</v>
      </c>
    </row>
    <row r="5710" spans="1:28" x14ac:dyDescent="0.25">
      <c r="A5710" t="s">
        <v>5714</v>
      </c>
      <c r="B5710">
        <v>0.99193492352474899</v>
      </c>
      <c r="C5710">
        <v>0.43254312769863001</v>
      </c>
      <c r="D5710">
        <v>0.79894952410586695</v>
      </c>
      <c r="E5710">
        <v>0.442249578526829</v>
      </c>
      <c r="F5710">
        <v>0.30449138962671002</v>
      </c>
      <c r="G5710">
        <v>0.22737165379541099</v>
      </c>
      <c r="H5710">
        <v>5.70733366910832E-2</v>
      </c>
      <c r="I5710">
        <v>8.8700661072562401E-2</v>
      </c>
      <c r="J5710">
        <v>0.12146369609884999</v>
      </c>
      <c r="K5710">
        <v>0.105338876871586</v>
      </c>
      <c r="L5710">
        <v>406.251949783881</v>
      </c>
      <c r="M5710">
        <v>8.43231906082028</v>
      </c>
      <c r="N5710">
        <v>48.1779627293418</v>
      </c>
      <c r="O5710">
        <v>45.6971799142745</v>
      </c>
      <c r="P5710">
        <v>-4.6174343548395003E-2</v>
      </c>
      <c r="Q5710">
        <v>0</v>
      </c>
      <c r="R5710">
        <v>0.818040425903651</v>
      </c>
      <c r="S5710" t="s">
        <v>12380</v>
      </c>
      <c r="T5710" t="s">
        <v>13338</v>
      </c>
      <c r="U5710" t="s">
        <v>13338</v>
      </c>
      <c r="V5710" t="s">
        <v>13338</v>
      </c>
      <c r="W5710" t="s">
        <v>18990</v>
      </c>
      <c r="X5710">
        <v>4</v>
      </c>
      <c r="Y5710" t="s">
        <v>25482</v>
      </c>
      <c r="Z5710" t="s">
        <v>32125</v>
      </c>
      <c r="AA5710">
        <v>0.33930581890288308</v>
      </c>
      <c r="AB5710" t="str">
        <f>HYPERLINK("Melting_Curves/meltCurve_Q9H7E2_3_TDRD3.pdf", "Melting_Curves/meltCurve_Q9H7E2_3_TDRD3.pdf")</f>
        <v>Melting_Curves/meltCurve_Q9H7E2_3_TDRD3.pdf</v>
      </c>
    </row>
    <row r="5711" spans="1:28" x14ac:dyDescent="0.25">
      <c r="A5711" t="s">
        <v>5715</v>
      </c>
      <c r="B5711">
        <v>0.99193492352474899</v>
      </c>
      <c r="C5711">
        <v>0.33941784512777001</v>
      </c>
      <c r="D5711">
        <v>0.53006026084730296</v>
      </c>
      <c r="E5711">
        <v>0.247663356519364</v>
      </c>
      <c r="F5711">
        <v>0.21261731405591799</v>
      </c>
      <c r="G5711">
        <v>0.103717590258771</v>
      </c>
      <c r="H5711">
        <v>7.9054228238641999E-2</v>
      </c>
      <c r="I5711">
        <v>0.12556966678775699</v>
      </c>
      <c r="J5711">
        <v>0.102440132306306</v>
      </c>
      <c r="K5711">
        <v>0.13050908357531399</v>
      </c>
      <c r="L5711">
        <v>636.841715940158</v>
      </c>
      <c r="M5711">
        <v>14.644494101130901</v>
      </c>
      <c r="N5711">
        <v>44.248804769527602</v>
      </c>
      <c r="O5711">
        <v>42.700021839266697</v>
      </c>
      <c r="P5711">
        <v>-7.6192692625633204E-2</v>
      </c>
      <c r="Q5711">
        <v>0.11145617846891701</v>
      </c>
      <c r="R5711">
        <v>0.82286380367784095</v>
      </c>
      <c r="S5711" t="s">
        <v>12381</v>
      </c>
      <c r="T5711" t="s">
        <v>13338</v>
      </c>
      <c r="U5711" t="s">
        <v>13338</v>
      </c>
      <c r="V5711" t="s">
        <v>13338</v>
      </c>
      <c r="W5711" t="s">
        <v>18991</v>
      </c>
      <c r="X5711">
        <v>2</v>
      </c>
      <c r="Y5711" t="s">
        <v>25483</v>
      </c>
      <c r="Z5711" t="s">
        <v>32126</v>
      </c>
      <c r="AA5711">
        <v>0.25106456366661217</v>
      </c>
      <c r="AB5711" t="str">
        <f>HYPERLINK("Melting_Curves/meltCurve_Q9H7E9_C8orf33.pdf", "Melting_Curves/meltCurve_Q9H7E9_C8orf33.pdf")</f>
        <v>Melting_Curves/meltCurve_Q9H7E9_C8orf33.pdf</v>
      </c>
    </row>
    <row r="5712" spans="1:28" x14ac:dyDescent="0.25">
      <c r="A5712" t="s">
        <v>5716</v>
      </c>
      <c r="B5712">
        <v>0.99193492352474899</v>
      </c>
      <c r="C5712">
        <v>0.78762273111791503</v>
      </c>
      <c r="D5712">
        <v>0.98034339583719199</v>
      </c>
      <c r="E5712">
        <v>0.80121412909936496</v>
      </c>
      <c r="F5712">
        <v>0.64176444641979802</v>
      </c>
      <c r="G5712">
        <v>0.23275034199469599</v>
      </c>
      <c r="H5712">
        <v>0.168791382317209</v>
      </c>
      <c r="I5712">
        <v>0.217617726020612</v>
      </c>
      <c r="J5712">
        <v>0.292891450203217</v>
      </c>
      <c r="K5712">
        <v>0.24481115260330899</v>
      </c>
      <c r="L5712">
        <v>1351.5098995819401</v>
      </c>
      <c r="M5712">
        <v>25.6681027874417</v>
      </c>
      <c r="N5712">
        <v>53.818052545808101</v>
      </c>
      <c r="O5712">
        <v>52.336834600257397</v>
      </c>
      <c r="P5712">
        <v>-9.6481246397168194E-2</v>
      </c>
      <c r="Q5712">
        <v>0.21311521247207699</v>
      </c>
      <c r="R5712">
        <v>0.92696105064881695</v>
      </c>
      <c r="S5712" t="s">
        <v>12382</v>
      </c>
      <c r="T5712" t="s">
        <v>13338</v>
      </c>
      <c r="U5712" t="s">
        <v>13338</v>
      </c>
      <c r="V5712" t="s">
        <v>13338</v>
      </c>
      <c r="W5712" t="s">
        <v>18992</v>
      </c>
      <c r="X5712">
        <v>1</v>
      </c>
      <c r="Y5712" t="s">
        <v>25484</v>
      </c>
      <c r="Z5712" t="s">
        <v>32127</v>
      </c>
      <c r="AA5712">
        <v>0.55187687894686432</v>
      </c>
      <c r="AB5712" t="str">
        <f>HYPERLINK("Melting_Curves/meltCurve_Q9H7F0_ATP13A3.pdf", "Melting_Curves/meltCurve_Q9H7F0_ATP13A3.pdf")</f>
        <v>Melting_Curves/meltCurve_Q9H7F0_ATP13A3.pdf</v>
      </c>
    </row>
    <row r="5713" spans="1:28" x14ac:dyDescent="0.25">
      <c r="A5713" t="s">
        <v>5717</v>
      </c>
      <c r="B5713">
        <v>0.99193492352474899</v>
      </c>
      <c r="C5713">
        <v>0.50938085529893296</v>
      </c>
      <c r="D5713">
        <v>0.87222130621699301</v>
      </c>
      <c r="E5713">
        <v>0.36406815584971203</v>
      </c>
      <c r="F5713">
        <v>0.27180666041704099</v>
      </c>
      <c r="G5713">
        <v>0.144822405608169</v>
      </c>
      <c r="H5713">
        <v>8.7899052423657004E-2</v>
      </c>
      <c r="I5713">
        <v>0.155574835233146</v>
      </c>
      <c r="J5713">
        <v>0.11679109918562899</v>
      </c>
      <c r="K5713">
        <v>0.133357100592737</v>
      </c>
      <c r="L5713">
        <v>542.68191992886898</v>
      </c>
      <c r="M5713">
        <v>11.4453635019647</v>
      </c>
      <c r="N5713">
        <v>48.077115277686502</v>
      </c>
      <c r="O5713">
        <v>46.036794422594703</v>
      </c>
      <c r="P5713">
        <v>-5.7638127066940499E-2</v>
      </c>
      <c r="Q5713">
        <v>7.2914902509450902E-2</v>
      </c>
      <c r="R5713">
        <v>0.83226439679244402</v>
      </c>
      <c r="S5713" t="s">
        <v>12383</v>
      </c>
      <c r="T5713" t="s">
        <v>13338</v>
      </c>
      <c r="U5713" t="s">
        <v>13338</v>
      </c>
      <c r="V5713" t="s">
        <v>13338</v>
      </c>
      <c r="W5713" t="s">
        <v>18993</v>
      </c>
      <c r="X5713">
        <v>3</v>
      </c>
      <c r="Y5713" t="s">
        <v>25485</v>
      </c>
      <c r="Z5713" t="s">
        <v>32128</v>
      </c>
      <c r="AA5713">
        <v>0.34313910472832748</v>
      </c>
      <c r="AB5713" t="str">
        <f>HYPERLINK("Melting_Curves/meltCurve_Q9H7H0_3_METTL17.pdf", "Melting_Curves/meltCurve_Q9H7H0_3_METTL17.pdf")</f>
        <v>Melting_Curves/meltCurve_Q9H7H0_3_METTL17.pdf</v>
      </c>
    </row>
    <row r="5714" spans="1:28" x14ac:dyDescent="0.25">
      <c r="A5714" t="s">
        <v>5718</v>
      </c>
      <c r="B5714">
        <v>0.99193492352474899</v>
      </c>
      <c r="C5714">
        <v>1.06784007460764</v>
      </c>
      <c r="D5714">
        <v>0.85170285286599301</v>
      </c>
      <c r="E5714">
        <v>0.82847410926070897</v>
      </c>
      <c r="F5714">
        <v>0.59457623205167198</v>
      </c>
      <c r="G5714">
        <v>0.44714028714589199</v>
      </c>
      <c r="H5714">
        <v>0.22403372797801499</v>
      </c>
      <c r="I5714">
        <v>0.18836447131272599</v>
      </c>
      <c r="J5714">
        <v>0.105145491340163</v>
      </c>
      <c r="K5714">
        <v>9.54951930826827E-2</v>
      </c>
      <c r="L5714">
        <v>694.79647669888197</v>
      </c>
      <c r="M5714">
        <v>12.6353936638451</v>
      </c>
      <c r="N5714">
        <v>55.245306458922499</v>
      </c>
      <c r="O5714">
        <v>53.665316901847497</v>
      </c>
      <c r="P5714">
        <v>-5.71919901645465E-2</v>
      </c>
      <c r="Q5714">
        <v>2.8563385847581099E-2</v>
      </c>
      <c r="R5714">
        <v>0.98634361849754204</v>
      </c>
      <c r="S5714" t="s">
        <v>12384</v>
      </c>
      <c r="T5714" t="s">
        <v>13338</v>
      </c>
      <c r="U5714" t="s">
        <v>13338</v>
      </c>
      <c r="V5714" t="s">
        <v>13338</v>
      </c>
      <c r="W5714" t="s">
        <v>18994</v>
      </c>
      <c r="X5714">
        <v>4</v>
      </c>
      <c r="Y5714" t="s">
        <v>25486</v>
      </c>
      <c r="Z5714" t="s">
        <v>32129</v>
      </c>
      <c r="AA5714">
        <v>0.53586085468406452</v>
      </c>
      <c r="AB5714" t="str">
        <f>HYPERLINK("Melting_Curves/meltCurve_Q9H7J1_PPP1R3E.pdf", "Melting_Curves/meltCurve_Q9H7J1_PPP1R3E.pdf")</f>
        <v>Melting_Curves/meltCurve_Q9H7J1_PPP1R3E.pdf</v>
      </c>
    </row>
    <row r="5715" spans="1:28" x14ac:dyDescent="0.25">
      <c r="A5715" t="s">
        <v>5719</v>
      </c>
      <c r="B5715">
        <v>0.99193492352474899</v>
      </c>
      <c r="C5715">
        <v>0.76869931690565896</v>
      </c>
      <c r="D5715">
        <v>0.674895771562255</v>
      </c>
      <c r="E5715">
        <v>0.435373153949977</v>
      </c>
      <c r="F5715">
        <v>0.27835780020567003</v>
      </c>
      <c r="G5715">
        <v>0.15635804939120099</v>
      </c>
      <c r="H5715">
        <v>0.10913942302266801</v>
      </c>
      <c r="I5715">
        <v>0.115738839580349</v>
      </c>
      <c r="J5715">
        <v>0.168122262052426</v>
      </c>
      <c r="K5715">
        <v>0.14693259464389</v>
      </c>
      <c r="L5715">
        <v>675.01876170181094</v>
      </c>
      <c r="M5715">
        <v>14.242209900612</v>
      </c>
      <c r="N5715">
        <v>48.259254769844901</v>
      </c>
      <c r="O5715">
        <v>46.490617338496698</v>
      </c>
      <c r="P5715">
        <v>-6.7979677316282905E-2</v>
      </c>
      <c r="Q5715">
        <v>0.11249009954851601</v>
      </c>
      <c r="R5715">
        <v>0.98504852713879498</v>
      </c>
      <c r="S5715" t="s">
        <v>12385</v>
      </c>
      <c r="T5715" t="s">
        <v>13338</v>
      </c>
      <c r="U5715" t="s">
        <v>13338</v>
      </c>
      <c r="V5715" t="s">
        <v>13338</v>
      </c>
      <c r="W5715" t="s">
        <v>18995</v>
      </c>
      <c r="X5715">
        <v>8</v>
      </c>
      <c r="Y5715" t="s">
        <v>25487</v>
      </c>
      <c r="Z5715" t="s">
        <v>32130</v>
      </c>
      <c r="AA5715">
        <v>0.35742184253874731</v>
      </c>
      <c r="AB5715" t="str">
        <f>HYPERLINK("Melting_Curves/meltCurve_Q9H7L9_SUDS3.pdf", "Melting_Curves/meltCurve_Q9H7L9_SUDS3.pdf")</f>
        <v>Melting_Curves/meltCurve_Q9H7L9_SUDS3.pdf</v>
      </c>
    </row>
    <row r="5716" spans="1:28" x14ac:dyDescent="0.25">
      <c r="A5716" t="s">
        <v>5720</v>
      </c>
      <c r="B5716">
        <v>0.99193492352474899</v>
      </c>
      <c r="C5716">
        <v>1.0296581223352701</v>
      </c>
      <c r="D5716">
        <v>0.71766639912047903</v>
      </c>
      <c r="E5716">
        <v>0.76180386427620705</v>
      </c>
      <c r="F5716">
        <v>0.53007957134611305</v>
      </c>
      <c r="G5716">
        <v>0.39105186196188502</v>
      </c>
      <c r="H5716">
        <v>0.28295120051101302</v>
      </c>
      <c r="I5716">
        <v>0.36517050401363699</v>
      </c>
      <c r="J5716">
        <v>0.36382130070504198</v>
      </c>
      <c r="K5716">
        <v>0.43646558908831701</v>
      </c>
      <c r="L5716">
        <v>777.42174061940602</v>
      </c>
      <c r="M5716">
        <v>15.668692642831999</v>
      </c>
      <c r="N5716">
        <v>53.643477342965902</v>
      </c>
      <c r="O5716">
        <v>48.8291498851951</v>
      </c>
      <c r="P5716">
        <v>-5.2486301867112603E-2</v>
      </c>
      <c r="Q5716">
        <v>0.34579269781622002</v>
      </c>
      <c r="R5716">
        <v>0.92379116139233597</v>
      </c>
      <c r="S5716" t="s">
        <v>12386</v>
      </c>
      <c r="T5716" t="s">
        <v>13338</v>
      </c>
      <c r="U5716" t="s">
        <v>13338</v>
      </c>
      <c r="V5716" t="s">
        <v>13338</v>
      </c>
      <c r="W5716" t="s">
        <v>18996</v>
      </c>
      <c r="X5716">
        <v>1</v>
      </c>
      <c r="Y5716" t="s">
        <v>25488</v>
      </c>
      <c r="Z5716" t="s">
        <v>32131</v>
      </c>
      <c r="AA5716">
        <v>0.5700791932944419</v>
      </c>
      <c r="AB5716" t="str">
        <f>HYPERLINK("Melting_Curves/meltCurve_Q9H7M9_C10orf54.pdf", "Melting_Curves/meltCurve_Q9H7M9_C10orf54.pdf")</f>
        <v>Melting_Curves/meltCurve_Q9H7M9_C10orf54.pdf</v>
      </c>
    </row>
    <row r="5717" spans="1:28" x14ac:dyDescent="0.25">
      <c r="A5717" t="s">
        <v>5721</v>
      </c>
      <c r="B5717">
        <v>0.99193492352474899</v>
      </c>
      <c r="C5717">
        <v>0.76201655093526599</v>
      </c>
      <c r="D5717">
        <v>0.92385251134657698</v>
      </c>
      <c r="E5717">
        <v>0.86413163038801799</v>
      </c>
      <c r="F5717">
        <v>0.57591424257817803</v>
      </c>
      <c r="G5717">
        <v>0.36848710298709397</v>
      </c>
      <c r="H5717">
        <v>0.31991610927296099</v>
      </c>
      <c r="I5717">
        <v>0.66926260344248001</v>
      </c>
      <c r="J5717">
        <v>0.738003123170072</v>
      </c>
      <c r="K5717">
        <v>0.99554489664333501</v>
      </c>
      <c r="L5717">
        <v>12430.825404959</v>
      </c>
      <c r="M5717">
        <v>250</v>
      </c>
      <c r="O5717">
        <v>49.720119898450399</v>
      </c>
      <c r="P5717">
        <v>-0.48875082423997701</v>
      </c>
      <c r="Q5717">
        <v>0.61118800902643</v>
      </c>
      <c r="R5717">
        <v>0.281202442158976</v>
      </c>
      <c r="S5717" t="s">
        <v>12387</v>
      </c>
      <c r="T5717" t="s">
        <v>13338</v>
      </c>
      <c r="U5717" t="s">
        <v>13338</v>
      </c>
      <c r="V5717" t="s">
        <v>13338</v>
      </c>
      <c r="W5717" t="s">
        <v>18997</v>
      </c>
      <c r="X5717">
        <v>1</v>
      </c>
      <c r="Y5717" t="s">
        <v>25489</v>
      </c>
      <c r="Z5717" t="s">
        <v>32132</v>
      </c>
      <c r="AA5717">
        <v>0.73723981355661317</v>
      </c>
      <c r="AB5717" t="str">
        <f>HYPERLINK("Melting_Curves/meltCurve_Q9H7U1_3_CCSER2.pdf", "Melting_Curves/meltCurve_Q9H7U1_3_CCSER2.pdf")</f>
        <v>Melting_Curves/meltCurve_Q9H7U1_3_CCSER2.pdf</v>
      </c>
    </row>
    <row r="5718" spans="1:28" x14ac:dyDescent="0.25">
      <c r="A5718" t="s">
        <v>5722</v>
      </c>
      <c r="B5718">
        <v>0.99193492352474899</v>
      </c>
      <c r="C5718">
        <v>0.68328756023402404</v>
      </c>
      <c r="D5718">
        <v>0.97980638981259904</v>
      </c>
      <c r="E5718">
        <v>0.74215782826354904</v>
      </c>
      <c r="F5718">
        <v>0.82144600881893004</v>
      </c>
      <c r="G5718">
        <v>0.59263172404170705</v>
      </c>
      <c r="H5718">
        <v>0.50034143511985196</v>
      </c>
      <c r="I5718">
        <v>0.55611088683158005</v>
      </c>
      <c r="J5718">
        <v>0.84250542068673095</v>
      </c>
      <c r="K5718">
        <v>0.92182151043691096</v>
      </c>
      <c r="L5718">
        <v>524.39895863091795</v>
      </c>
      <c r="M5718">
        <v>11.989736510948299</v>
      </c>
      <c r="O5718">
        <v>42.573900664800099</v>
      </c>
      <c r="P5718">
        <v>-2.11547296698484E-2</v>
      </c>
      <c r="Q5718">
        <v>0.69960254131286603</v>
      </c>
      <c r="R5718">
        <v>0.200322074818122</v>
      </c>
      <c r="S5718" t="s">
        <v>12388</v>
      </c>
      <c r="T5718" t="s">
        <v>13338</v>
      </c>
      <c r="U5718" t="s">
        <v>13338</v>
      </c>
      <c r="V5718" t="s">
        <v>13338</v>
      </c>
      <c r="W5718" t="s">
        <v>18998</v>
      </c>
      <c r="X5718">
        <v>1</v>
      </c>
      <c r="Y5718" t="s">
        <v>25490</v>
      </c>
      <c r="Z5718" t="s">
        <v>32133</v>
      </c>
      <c r="AA5718">
        <v>0.75427142679049719</v>
      </c>
      <c r="AB5718" t="str">
        <f>HYPERLINK("Melting_Curves/meltCurve_Q9H7X3_ZNF696.pdf", "Melting_Curves/meltCurve_Q9H7X3_ZNF696.pdf")</f>
        <v>Melting_Curves/meltCurve_Q9H7X3_ZNF696.pdf</v>
      </c>
    </row>
    <row r="5719" spans="1:28" x14ac:dyDescent="0.25">
      <c r="A5719" t="s">
        <v>5723</v>
      </c>
      <c r="B5719">
        <v>0.99193492352474899</v>
      </c>
      <c r="C5719">
        <v>0.94683927617958696</v>
      </c>
      <c r="D5719">
        <v>0.51067976983594199</v>
      </c>
      <c r="E5719">
        <v>0.27812064600094599</v>
      </c>
      <c r="F5719">
        <v>0.40020974931554298</v>
      </c>
      <c r="G5719">
        <v>0.146812906745969</v>
      </c>
      <c r="H5719">
        <v>6.9474118029988596E-2</v>
      </c>
      <c r="I5719">
        <v>0.111396835390234</v>
      </c>
      <c r="J5719">
        <v>0.138302284605472</v>
      </c>
      <c r="K5719">
        <v>0.11614178235210899</v>
      </c>
      <c r="L5719">
        <v>955.42685294673697</v>
      </c>
      <c r="M5719">
        <v>20.672996255206399</v>
      </c>
      <c r="N5719">
        <v>46.964141880943203</v>
      </c>
      <c r="O5719">
        <v>45.790241736628403</v>
      </c>
      <c r="P5719">
        <v>-9.7039104561541203E-2</v>
      </c>
      <c r="Q5719">
        <v>0.14026638343256001</v>
      </c>
      <c r="R5719">
        <v>0.93788126291894403</v>
      </c>
      <c r="S5719" t="s">
        <v>12389</v>
      </c>
      <c r="T5719" t="s">
        <v>13338</v>
      </c>
      <c r="U5719" t="s">
        <v>13338</v>
      </c>
      <c r="V5719" t="s">
        <v>13338</v>
      </c>
      <c r="W5719" t="s">
        <v>18999</v>
      </c>
      <c r="X5719">
        <v>1</v>
      </c>
      <c r="Y5719" t="s">
        <v>25491</v>
      </c>
      <c r="Z5719" t="s">
        <v>32134</v>
      </c>
      <c r="AA5719">
        <v>0.3305563938858232</v>
      </c>
      <c r="AB5719" t="str">
        <f>HYPERLINK("Melting_Curves/meltCurve_Q9H7Z3_NRDE2.pdf", "Melting_Curves/meltCurve_Q9H7Z3_NRDE2.pdf")</f>
        <v>Melting_Curves/meltCurve_Q9H7Z3_NRDE2.pdf</v>
      </c>
    </row>
    <row r="5720" spans="1:28" x14ac:dyDescent="0.25">
      <c r="A5720" t="s">
        <v>5724</v>
      </c>
      <c r="B5720">
        <v>0.99193492352474899</v>
      </c>
      <c r="C5720">
        <v>0.66338802553035103</v>
      </c>
      <c r="D5720">
        <v>0.46157422222274402</v>
      </c>
      <c r="E5720">
        <v>0.29380281588038698</v>
      </c>
      <c r="F5720">
        <v>0.16707592151981199</v>
      </c>
      <c r="G5720">
        <v>0.134773459504194</v>
      </c>
      <c r="H5720">
        <v>9.0116310788616594E-2</v>
      </c>
      <c r="I5720">
        <v>8.7985854918909298E-2</v>
      </c>
      <c r="J5720">
        <v>6.70602199066751E-2</v>
      </c>
      <c r="K5720">
        <v>0.11260727011477301</v>
      </c>
      <c r="L5720">
        <v>740.07422922151102</v>
      </c>
      <c r="M5720">
        <v>16.421630229313799</v>
      </c>
      <c r="N5720">
        <v>45.630771308784297</v>
      </c>
      <c r="O5720">
        <v>44.414629815547798</v>
      </c>
      <c r="P5720">
        <v>-8.3952975089508899E-2</v>
      </c>
      <c r="Q5720">
        <v>9.1813362501945397E-2</v>
      </c>
      <c r="R5720">
        <v>0.982051243067668</v>
      </c>
      <c r="S5720" t="s">
        <v>12390</v>
      </c>
      <c r="T5720" t="s">
        <v>13338</v>
      </c>
      <c r="U5720" t="s">
        <v>13338</v>
      </c>
      <c r="V5720" t="s">
        <v>13338</v>
      </c>
      <c r="W5720" t="s">
        <v>19000</v>
      </c>
      <c r="X5720">
        <v>4</v>
      </c>
      <c r="Y5720" t="s">
        <v>25492</v>
      </c>
      <c r="Z5720" t="s">
        <v>32135</v>
      </c>
      <c r="AA5720">
        <v>0.26905616491469542</v>
      </c>
      <c r="AB5720" t="str">
        <f>HYPERLINK("Melting_Curves/meltCurve_Q9H7Z6_KAT8.pdf", "Melting_Curves/meltCurve_Q9H7Z6_KAT8.pdf")</f>
        <v>Melting_Curves/meltCurve_Q9H7Z6_KAT8.pdf</v>
      </c>
    </row>
    <row r="5721" spans="1:28" x14ac:dyDescent="0.25">
      <c r="A5721" t="s">
        <v>5725</v>
      </c>
      <c r="B5721">
        <v>0.99193492352474899</v>
      </c>
      <c r="C5721">
        <v>0.88398945519076899</v>
      </c>
      <c r="D5721">
        <v>0.92719724026300199</v>
      </c>
      <c r="E5721">
        <v>0.76326041401103195</v>
      </c>
      <c r="F5721">
        <v>0.44167191448486698</v>
      </c>
      <c r="G5721">
        <v>0.264184580594088</v>
      </c>
      <c r="H5721">
        <v>0.19276264610176599</v>
      </c>
      <c r="I5721">
        <v>0.10623114508772399</v>
      </c>
      <c r="J5721">
        <v>0.101227437110316</v>
      </c>
      <c r="K5721">
        <v>0.11203949138774399</v>
      </c>
      <c r="L5721">
        <v>892.78563281393599</v>
      </c>
      <c r="M5721">
        <v>17.130315246823901</v>
      </c>
      <c r="N5721">
        <v>52.7305987383005</v>
      </c>
      <c r="O5721">
        <v>51.422606934986902</v>
      </c>
      <c r="P5721">
        <v>-7.5764214306456495E-2</v>
      </c>
      <c r="Q5721">
        <v>9.0323859422696398E-2</v>
      </c>
      <c r="R5721">
        <v>0.99037601713108003</v>
      </c>
      <c r="S5721" t="s">
        <v>12391</v>
      </c>
      <c r="T5721" t="s">
        <v>13338</v>
      </c>
      <c r="U5721" t="s">
        <v>13338</v>
      </c>
      <c r="V5721" t="s">
        <v>13338</v>
      </c>
      <c r="W5721" t="s">
        <v>19001</v>
      </c>
      <c r="X5721">
        <v>15</v>
      </c>
      <c r="Y5721" t="s">
        <v>25493</v>
      </c>
      <c r="Z5721" t="s">
        <v>32136</v>
      </c>
      <c r="AA5721">
        <v>0.47416770642894951</v>
      </c>
      <c r="AB5721" t="str">
        <f>HYPERLINK("Melting_Curves/meltCurve_Q9H7Z7_PTGES2.pdf", "Melting_Curves/meltCurve_Q9H7Z7_PTGES2.pdf")</f>
        <v>Melting_Curves/meltCurve_Q9H7Z7_PTGES2.pdf</v>
      </c>
    </row>
    <row r="5722" spans="1:28" x14ac:dyDescent="0.25">
      <c r="A5722" t="s">
        <v>5726</v>
      </c>
      <c r="B5722">
        <v>0.99193492352474899</v>
      </c>
      <c r="C5722">
        <v>0.78749580927191298</v>
      </c>
      <c r="D5722">
        <v>1.0204354224905601</v>
      </c>
      <c r="E5722">
        <v>0.77680659968192001</v>
      </c>
      <c r="F5722">
        <v>0.70781580059764904</v>
      </c>
      <c r="G5722">
        <v>0.48196796702954697</v>
      </c>
      <c r="H5722">
        <v>0.24575397973607399</v>
      </c>
      <c r="I5722">
        <v>0.20923932426210001</v>
      </c>
      <c r="J5722">
        <v>0.27576049031696598</v>
      </c>
      <c r="K5722">
        <v>0.245017150723156</v>
      </c>
      <c r="L5722">
        <v>808.84499988808295</v>
      </c>
      <c r="M5722">
        <v>14.9232749997692</v>
      </c>
      <c r="N5722">
        <v>55.925871120811998</v>
      </c>
      <c r="O5722">
        <v>53.254895875905397</v>
      </c>
      <c r="P5722">
        <v>-5.7136020841125602E-2</v>
      </c>
      <c r="Q5722">
        <v>0.18450602003210101</v>
      </c>
      <c r="R5722">
        <v>0.93178331470591103</v>
      </c>
      <c r="S5722" t="s">
        <v>12392</v>
      </c>
      <c r="T5722" t="s">
        <v>13338</v>
      </c>
      <c r="U5722" t="s">
        <v>13338</v>
      </c>
      <c r="V5722" t="s">
        <v>13338</v>
      </c>
      <c r="W5722" t="s">
        <v>19002</v>
      </c>
      <c r="X5722">
        <v>2</v>
      </c>
      <c r="Y5722" t="s">
        <v>25494</v>
      </c>
      <c r="Z5722" t="s">
        <v>32137</v>
      </c>
      <c r="AA5722">
        <v>0.58716263535527946</v>
      </c>
      <c r="AB5722" t="str">
        <f>HYPERLINK("Melting_Curves/meltCurve_Q9H813_TMEM206.pdf", "Melting_Curves/meltCurve_Q9H813_TMEM206.pdf")</f>
        <v>Melting_Curves/meltCurve_Q9H813_TMEM206.pdf</v>
      </c>
    </row>
    <row r="5723" spans="1:28" x14ac:dyDescent="0.25">
      <c r="A5723" t="s">
        <v>5727</v>
      </c>
      <c r="B5723">
        <v>0.99193492352474899</v>
      </c>
      <c r="C5723">
        <v>0.72829053617169603</v>
      </c>
      <c r="D5723">
        <v>0.77198235628852996</v>
      </c>
      <c r="E5723">
        <v>0.439995787784418</v>
      </c>
      <c r="F5723">
        <v>0.30504718739948899</v>
      </c>
      <c r="G5723">
        <v>0.18638344775100399</v>
      </c>
      <c r="H5723">
        <v>0.14684291249852399</v>
      </c>
      <c r="I5723">
        <v>0.213154426530963</v>
      </c>
      <c r="J5723">
        <v>0.29381450010504201</v>
      </c>
      <c r="K5723">
        <v>0.33411510281704399</v>
      </c>
      <c r="L5723">
        <v>783.17415739123805</v>
      </c>
      <c r="M5723">
        <v>16.7166025872197</v>
      </c>
      <c r="N5723">
        <v>48.566988436632201</v>
      </c>
      <c r="O5723">
        <v>46.1950463819433</v>
      </c>
      <c r="P5723">
        <v>-7.0288801247432697E-2</v>
      </c>
      <c r="Q5723">
        <v>0.223100697825346</v>
      </c>
      <c r="R5723">
        <v>0.919705123561666</v>
      </c>
      <c r="S5723" t="s">
        <v>12393</v>
      </c>
      <c r="T5723" t="s">
        <v>13338</v>
      </c>
      <c r="U5723" t="s">
        <v>13338</v>
      </c>
      <c r="V5723" t="s">
        <v>13338</v>
      </c>
      <c r="W5723" t="s">
        <v>19003</v>
      </c>
      <c r="X5723">
        <v>8</v>
      </c>
      <c r="Y5723" t="s">
        <v>25495</v>
      </c>
      <c r="Z5723" t="s">
        <v>32138</v>
      </c>
      <c r="AA5723">
        <v>0.41745132817441433</v>
      </c>
      <c r="AB5723" t="str">
        <f>HYPERLINK("Melting_Curves/meltCurve_Q9H814_PHAX.pdf", "Melting_Curves/meltCurve_Q9H814_PHAX.pdf")</f>
        <v>Melting_Curves/meltCurve_Q9H814_PHAX.pdf</v>
      </c>
    </row>
    <row r="5724" spans="1:28" x14ac:dyDescent="0.25">
      <c r="A5724" t="s">
        <v>5728</v>
      </c>
      <c r="B5724">
        <v>0.99193492352474899</v>
      </c>
      <c r="C5724">
        <v>0.88572055605045497</v>
      </c>
      <c r="D5724">
        <v>0.94476317550411104</v>
      </c>
      <c r="E5724">
        <v>0.82410210176078702</v>
      </c>
      <c r="F5724">
        <v>0.33843185759893601</v>
      </c>
      <c r="G5724">
        <v>7.7186099348459603E-2</v>
      </c>
      <c r="H5724">
        <v>3.3659006658844699E-2</v>
      </c>
      <c r="I5724">
        <v>3.7387473956574602E-2</v>
      </c>
      <c r="J5724">
        <v>3.7342144798839301E-2</v>
      </c>
      <c r="K5724">
        <v>4.1668327394594001E-2</v>
      </c>
      <c r="L5724">
        <v>1637.34117125541</v>
      </c>
      <c r="M5724">
        <v>31.556732877438399</v>
      </c>
      <c r="N5724">
        <v>51.993349319432902</v>
      </c>
      <c r="O5724">
        <v>51.678610573473897</v>
      </c>
      <c r="P5724">
        <v>-0.147829404788136</v>
      </c>
      <c r="Q5724">
        <v>3.1639006598459203E-2</v>
      </c>
      <c r="R5724">
        <v>0.991288480515782</v>
      </c>
      <c r="S5724" t="s">
        <v>12394</v>
      </c>
      <c r="T5724" t="s">
        <v>13338</v>
      </c>
      <c r="U5724" t="s">
        <v>13338</v>
      </c>
      <c r="V5724" t="s">
        <v>13338</v>
      </c>
      <c r="W5724" t="s">
        <v>19004</v>
      </c>
      <c r="X5724">
        <v>7</v>
      </c>
      <c r="Y5724" t="s">
        <v>25496</v>
      </c>
      <c r="Z5724" t="s">
        <v>32139</v>
      </c>
      <c r="AA5724">
        <v>0.42087658338392442</v>
      </c>
      <c r="AB5724" t="str">
        <f>HYPERLINK("Melting_Curves/meltCurve_Q9H832_UBE2Z.pdf", "Melting_Curves/meltCurve_Q9H832_UBE2Z.pdf")</f>
        <v>Melting_Curves/meltCurve_Q9H832_UBE2Z.pdf</v>
      </c>
    </row>
    <row r="5725" spans="1:28" x14ac:dyDescent="0.25">
      <c r="A5725" t="s">
        <v>5729</v>
      </c>
      <c r="B5725">
        <v>0.99193492352474899</v>
      </c>
      <c r="C5725">
        <v>0.94844175763188898</v>
      </c>
      <c r="D5725">
        <v>0.60541586599385999</v>
      </c>
      <c r="E5725">
        <v>0.79967463686614204</v>
      </c>
      <c r="F5725">
        <v>0.91821256882969904</v>
      </c>
      <c r="G5725">
        <v>0.956240551867233</v>
      </c>
      <c r="H5725">
        <v>0.35572394661269102</v>
      </c>
      <c r="I5725">
        <v>0.22096897452922701</v>
      </c>
      <c r="J5725">
        <v>0.149665417491335</v>
      </c>
      <c r="K5725">
        <v>0.18468361295505401</v>
      </c>
      <c r="L5725">
        <v>3418.38052721759</v>
      </c>
      <c r="M5725">
        <v>57.482924719520099</v>
      </c>
      <c r="N5725">
        <v>59.929314791948599</v>
      </c>
      <c r="O5725">
        <v>59.395912373211701</v>
      </c>
      <c r="P5725">
        <v>-0.19867453992336101</v>
      </c>
      <c r="Q5725">
        <v>0.178855299478167</v>
      </c>
      <c r="R5725">
        <v>0.81524464702569699</v>
      </c>
      <c r="S5725" t="s">
        <v>12395</v>
      </c>
      <c r="T5725" t="s">
        <v>13338</v>
      </c>
      <c r="U5725" t="s">
        <v>13338</v>
      </c>
      <c r="V5725" t="s">
        <v>13338</v>
      </c>
      <c r="W5725" t="s">
        <v>19005</v>
      </c>
      <c r="X5725">
        <v>1</v>
      </c>
      <c r="Y5725" t="s">
        <v>25497</v>
      </c>
      <c r="Z5725" t="s">
        <v>32140</v>
      </c>
      <c r="AA5725">
        <v>0.71333706366320271</v>
      </c>
      <c r="AB5725" t="str">
        <f>HYPERLINK("Melting_Curves/meltCurve_Q9H840_GEMIN7.pdf", "Melting_Curves/meltCurve_Q9H840_GEMIN7.pdf")</f>
        <v>Melting_Curves/meltCurve_Q9H840_GEMIN7.pdf</v>
      </c>
    </row>
    <row r="5726" spans="1:28" x14ac:dyDescent="0.25">
      <c r="A5726" t="s">
        <v>5730</v>
      </c>
      <c r="B5726">
        <v>0.99193492352474899</v>
      </c>
      <c r="C5726">
        <v>0.84577732714778497</v>
      </c>
      <c r="D5726">
        <v>0.98597564896776801</v>
      </c>
      <c r="E5726">
        <v>0.70320512760297804</v>
      </c>
      <c r="F5726">
        <v>0.54260275124084001</v>
      </c>
      <c r="G5726">
        <v>0.32401793146246299</v>
      </c>
      <c r="H5726">
        <v>0.17881773143002599</v>
      </c>
      <c r="I5726">
        <v>0.125987084530442</v>
      </c>
      <c r="J5726">
        <v>0.13416370558501001</v>
      </c>
      <c r="K5726">
        <v>0.12646120411598299</v>
      </c>
      <c r="L5726">
        <v>767.75016611444198</v>
      </c>
      <c r="M5726">
        <v>14.5441057572734</v>
      </c>
      <c r="N5726">
        <v>53.446219121157903</v>
      </c>
      <c r="O5726">
        <v>51.819876186495101</v>
      </c>
      <c r="P5726">
        <v>-6.4418312560822102E-2</v>
      </c>
      <c r="Q5726">
        <v>8.2028554849982602E-2</v>
      </c>
      <c r="R5726">
        <v>0.97845909363998695</v>
      </c>
      <c r="S5726" t="s">
        <v>12396</v>
      </c>
      <c r="T5726" t="s">
        <v>13338</v>
      </c>
      <c r="U5726" t="s">
        <v>13338</v>
      </c>
      <c r="V5726" t="s">
        <v>13338</v>
      </c>
      <c r="W5726" t="s">
        <v>19006</v>
      </c>
      <c r="X5726">
        <v>25</v>
      </c>
      <c r="Y5726" t="s">
        <v>25498</v>
      </c>
      <c r="Z5726" t="s">
        <v>32141</v>
      </c>
      <c r="AA5726">
        <v>0.49413006403476711</v>
      </c>
      <c r="AB5726" t="str">
        <f>HYPERLINK("Melting_Curves/meltCurve_Q9H845_ACAD9.pdf", "Melting_Curves/meltCurve_Q9H845_ACAD9.pdf")</f>
        <v>Melting_Curves/meltCurve_Q9H845_ACAD9.pdf</v>
      </c>
    </row>
    <row r="5727" spans="1:28" x14ac:dyDescent="0.25">
      <c r="A5727" t="s">
        <v>5731</v>
      </c>
      <c r="B5727">
        <v>0.99193492352474899</v>
      </c>
      <c r="C5727">
        <v>0.94280392969746296</v>
      </c>
      <c r="D5727">
        <v>0.86737044314216105</v>
      </c>
      <c r="E5727">
        <v>0.82542119396422597</v>
      </c>
      <c r="F5727">
        <v>0.68455539078932703</v>
      </c>
      <c r="G5727">
        <v>0.51273963502082198</v>
      </c>
      <c r="H5727">
        <v>0.19145633986402399</v>
      </c>
      <c r="I5727">
        <v>9.6414381435073998E-2</v>
      </c>
      <c r="J5727">
        <v>0.113083881436532</v>
      </c>
      <c r="K5727">
        <v>8.0175035399078706E-2</v>
      </c>
      <c r="L5727">
        <v>747.48426153115895</v>
      </c>
      <c r="M5727">
        <v>13.3898358048726</v>
      </c>
      <c r="N5727">
        <v>55.824752127918998</v>
      </c>
      <c r="O5727">
        <v>54.623688369864702</v>
      </c>
      <c r="P5727">
        <v>-6.1291834343833403E-2</v>
      </c>
      <c r="Q5727">
        <v>0</v>
      </c>
      <c r="R5727">
        <v>0.98375217446001895</v>
      </c>
      <c r="S5727" t="s">
        <v>12397</v>
      </c>
      <c r="T5727" t="s">
        <v>13338</v>
      </c>
      <c r="U5727" t="s">
        <v>13338</v>
      </c>
      <c r="V5727" t="s">
        <v>13338</v>
      </c>
      <c r="W5727" t="s">
        <v>19007</v>
      </c>
      <c r="X5727">
        <v>11</v>
      </c>
      <c r="Y5727" t="s">
        <v>25499</v>
      </c>
      <c r="Z5727" t="s">
        <v>32142</v>
      </c>
      <c r="AA5727">
        <v>0.54720010304552269</v>
      </c>
      <c r="AB5727" t="str">
        <f>HYPERLINK("Melting_Curves/meltCurve_Q9H857_2_NT5DC2.pdf", "Melting_Curves/meltCurve_Q9H857_2_NT5DC2.pdf")</f>
        <v>Melting_Curves/meltCurve_Q9H857_2_NT5DC2.pdf</v>
      </c>
    </row>
    <row r="5728" spans="1:28" x14ac:dyDescent="0.25">
      <c r="A5728" t="s">
        <v>5732</v>
      </c>
      <c r="B5728">
        <v>0.99193492352474899</v>
      </c>
      <c r="C5728">
        <v>0.85661672185940896</v>
      </c>
      <c r="D5728">
        <v>0.91297447187501302</v>
      </c>
      <c r="E5728">
        <v>0.56721616646234896</v>
      </c>
      <c r="F5728">
        <v>0.228273375882624</v>
      </c>
      <c r="G5728">
        <v>0.148518386832244</v>
      </c>
      <c r="H5728">
        <v>7.7421769085532902E-2</v>
      </c>
      <c r="I5728">
        <v>0.100727306377785</v>
      </c>
      <c r="J5728">
        <v>0.14009377140961299</v>
      </c>
      <c r="K5728">
        <v>0.110411507296447</v>
      </c>
      <c r="L5728">
        <v>1228.13104218185</v>
      </c>
      <c r="M5728">
        <v>24.734832773228899</v>
      </c>
      <c r="N5728">
        <v>50.117487491165498</v>
      </c>
      <c r="O5728">
        <v>49.330756783176703</v>
      </c>
      <c r="P5728">
        <v>-0.112486351986538</v>
      </c>
      <c r="Q5728">
        <v>0.102648653716024</v>
      </c>
      <c r="R5728">
        <v>0.98489472725002902</v>
      </c>
      <c r="S5728" t="s">
        <v>12398</v>
      </c>
      <c r="T5728" t="s">
        <v>13338</v>
      </c>
      <c r="U5728" t="s">
        <v>13338</v>
      </c>
      <c r="V5728" t="s">
        <v>13338</v>
      </c>
      <c r="W5728" t="s">
        <v>19008</v>
      </c>
      <c r="X5728">
        <v>4</v>
      </c>
      <c r="Y5728" t="s">
        <v>25500</v>
      </c>
      <c r="Z5728" t="s">
        <v>32143</v>
      </c>
      <c r="AA5728">
        <v>0.39952084463975801</v>
      </c>
      <c r="AB5728" t="str">
        <f>HYPERLINK("Melting_Curves/meltCurve_Q9H871_RMND5A.pdf", "Melting_Curves/meltCurve_Q9H871_RMND5A.pdf")</f>
        <v>Melting_Curves/meltCurve_Q9H871_RMND5A.pdf</v>
      </c>
    </row>
    <row r="5729" spans="1:28" x14ac:dyDescent="0.25">
      <c r="A5729" t="s">
        <v>5733</v>
      </c>
      <c r="B5729">
        <v>0.99193492352474899</v>
      </c>
      <c r="C5729">
        <v>0.66131041847873695</v>
      </c>
      <c r="D5729">
        <v>0.85056278097854499</v>
      </c>
      <c r="E5729">
        <v>0.54951531085149297</v>
      </c>
      <c r="F5729">
        <v>0.58400657652782295</v>
      </c>
      <c r="G5729">
        <v>0.40407067693741899</v>
      </c>
      <c r="H5729">
        <v>0.40916968463313902</v>
      </c>
      <c r="I5729">
        <v>0.40715610896975601</v>
      </c>
      <c r="J5729">
        <v>0.57063068734288502</v>
      </c>
      <c r="K5729">
        <v>0.90408151111245705</v>
      </c>
      <c r="L5729">
        <v>729.66386177524498</v>
      </c>
      <c r="M5729">
        <v>16.66276696401</v>
      </c>
      <c r="O5729">
        <v>43.173946780919202</v>
      </c>
      <c r="P5729">
        <v>-4.4048843367669198E-2</v>
      </c>
      <c r="Q5729">
        <v>0.54350072744091804</v>
      </c>
      <c r="R5729">
        <v>0.404820196130453</v>
      </c>
      <c r="S5729" t="s">
        <v>12399</v>
      </c>
      <c r="T5729" t="s">
        <v>13338</v>
      </c>
      <c r="U5729" t="s">
        <v>13338</v>
      </c>
      <c r="V5729" t="s">
        <v>13338</v>
      </c>
      <c r="W5729" t="s">
        <v>19009</v>
      </c>
      <c r="X5729">
        <v>6</v>
      </c>
      <c r="Y5729" t="s">
        <v>25501</v>
      </c>
      <c r="Z5729" t="s">
        <v>32144</v>
      </c>
      <c r="AA5729">
        <v>0.6148992744195082</v>
      </c>
      <c r="AB5729" t="str">
        <f>HYPERLINK("Melting_Curves/meltCurve_Q9H875_PRKRIP1.pdf", "Melting_Curves/meltCurve_Q9H875_PRKRIP1.pdf")</f>
        <v>Melting_Curves/meltCurve_Q9H875_PRKRIP1.pdf</v>
      </c>
    </row>
    <row r="5730" spans="1:28" x14ac:dyDescent="0.25">
      <c r="A5730" t="s">
        <v>5734</v>
      </c>
      <c r="B5730">
        <v>0.99193492352474899</v>
      </c>
      <c r="C5730">
        <v>0.49564810496443301</v>
      </c>
      <c r="D5730">
        <v>0.603502505706209</v>
      </c>
      <c r="E5730">
        <v>0.38656546351751803</v>
      </c>
      <c r="F5730">
        <v>0.34296094753023199</v>
      </c>
      <c r="G5730">
        <v>0.24186988723473099</v>
      </c>
      <c r="H5730">
        <v>0.19908349999029501</v>
      </c>
      <c r="I5730">
        <v>0.25049774531733898</v>
      </c>
      <c r="J5730">
        <v>0.30625307048263301</v>
      </c>
      <c r="K5730">
        <v>0.47263224304636797</v>
      </c>
      <c r="L5730">
        <v>765.44575615753695</v>
      </c>
      <c r="M5730">
        <v>17.725046900113</v>
      </c>
      <c r="N5730">
        <v>45.593094807571099</v>
      </c>
      <c r="O5730">
        <v>42.645992367828903</v>
      </c>
      <c r="P5730">
        <v>-7.2325423124909999E-2</v>
      </c>
      <c r="Q5730">
        <v>0.30398428949256601</v>
      </c>
      <c r="R5730">
        <v>0.77508164620221298</v>
      </c>
      <c r="S5730" t="s">
        <v>12400</v>
      </c>
      <c r="T5730" t="s">
        <v>13338</v>
      </c>
      <c r="U5730" t="s">
        <v>13338</v>
      </c>
      <c r="V5730" t="s">
        <v>13338</v>
      </c>
      <c r="W5730" t="s">
        <v>19010</v>
      </c>
      <c r="X5730">
        <v>7</v>
      </c>
      <c r="Y5730" t="s">
        <v>25502</v>
      </c>
      <c r="Z5730" t="s">
        <v>32145</v>
      </c>
      <c r="AA5730">
        <v>0.39823487832622129</v>
      </c>
      <c r="AB5730" t="str">
        <f>HYPERLINK("Melting_Curves/meltCurve_Q9H8G2_CAAP1.pdf", "Melting_Curves/meltCurve_Q9H8G2_CAAP1.pdf")</f>
        <v>Melting_Curves/meltCurve_Q9H8G2_CAAP1.pdf</v>
      </c>
    </row>
    <row r="5731" spans="1:28" x14ac:dyDescent="0.25">
      <c r="A5731" t="s">
        <v>5735</v>
      </c>
      <c r="B5731">
        <v>0.99193492352474899</v>
      </c>
      <c r="C5731">
        <v>0.70353534014438401</v>
      </c>
      <c r="D5731">
        <v>0.84039742169151799</v>
      </c>
      <c r="E5731">
        <v>0.70714920841850604</v>
      </c>
      <c r="F5731">
        <v>0.47763555528736201</v>
      </c>
      <c r="G5731">
        <v>0.15178900176778401</v>
      </c>
      <c r="H5731">
        <v>7.0087148403844293E-2</v>
      </c>
      <c r="I5731">
        <v>7.9665855747291903E-2</v>
      </c>
      <c r="J5731">
        <v>8.3049814386673401E-2</v>
      </c>
      <c r="K5731">
        <v>7.7159689012349097E-2</v>
      </c>
      <c r="L5731">
        <v>630.58200194709195</v>
      </c>
      <c r="M5731">
        <v>12.207782189630899</v>
      </c>
      <c r="N5731">
        <v>51.654100011377501</v>
      </c>
      <c r="O5731">
        <v>50.326695299618699</v>
      </c>
      <c r="P5731">
        <v>-6.0656372420913103E-2</v>
      </c>
      <c r="Q5731">
        <v>0</v>
      </c>
      <c r="R5731">
        <v>0.93673919832346098</v>
      </c>
      <c r="S5731" t="s">
        <v>12401</v>
      </c>
      <c r="T5731" t="s">
        <v>13338</v>
      </c>
      <c r="U5731" t="s">
        <v>13338</v>
      </c>
      <c r="V5731" t="s">
        <v>13338</v>
      </c>
      <c r="W5731" t="s">
        <v>19011</v>
      </c>
      <c r="X5731">
        <v>15</v>
      </c>
      <c r="Y5731" t="s">
        <v>25503</v>
      </c>
      <c r="Z5731" t="s">
        <v>32146</v>
      </c>
      <c r="AA5731">
        <v>0.41906235102561851</v>
      </c>
      <c r="AB5731" t="str">
        <f>HYPERLINK("Melting_Curves/meltCurve_Q9H8H0_NOL11.pdf", "Melting_Curves/meltCurve_Q9H8H0_NOL11.pdf")</f>
        <v>Melting_Curves/meltCurve_Q9H8H0_NOL11.pdf</v>
      </c>
    </row>
    <row r="5732" spans="1:28" x14ac:dyDescent="0.25">
      <c r="A5732" t="s">
        <v>5736</v>
      </c>
      <c r="B5732">
        <v>0.99193492352474899</v>
      </c>
      <c r="C5732">
        <v>1.12495497302317</v>
      </c>
      <c r="D5732">
        <v>0.84500960471262898</v>
      </c>
      <c r="E5732">
        <v>0.50778876880558199</v>
      </c>
      <c r="F5732">
        <v>0.42427678842209599</v>
      </c>
      <c r="G5732">
        <v>0.21388832161913701</v>
      </c>
      <c r="H5732">
        <v>9.0844134777591498E-2</v>
      </c>
      <c r="I5732">
        <v>0.10653794089427999</v>
      </c>
      <c r="J5732">
        <v>0.21356173546815499</v>
      </c>
      <c r="K5732">
        <v>0.19592967860747501</v>
      </c>
      <c r="L5732">
        <v>1026.2868959574801</v>
      </c>
      <c r="M5732">
        <v>20.691397916963901</v>
      </c>
      <c r="N5732">
        <v>50.516670554837503</v>
      </c>
      <c r="O5732">
        <v>49.143359641998501</v>
      </c>
      <c r="P5732">
        <v>-8.8783744070027204E-2</v>
      </c>
      <c r="Q5732">
        <v>0.15655605142915499</v>
      </c>
      <c r="R5732">
        <v>0.95882016914037405</v>
      </c>
      <c r="S5732" t="s">
        <v>12402</v>
      </c>
      <c r="T5732" t="s">
        <v>13338</v>
      </c>
      <c r="U5732" t="s">
        <v>13338</v>
      </c>
      <c r="V5732" t="s">
        <v>13338</v>
      </c>
      <c r="W5732" t="s">
        <v>19012</v>
      </c>
      <c r="X5732">
        <v>3</v>
      </c>
      <c r="Y5732" t="s">
        <v>25504</v>
      </c>
      <c r="Z5732" t="s">
        <v>32147</v>
      </c>
      <c r="AA5732">
        <v>0.43744401237629321</v>
      </c>
      <c r="AB5732" t="str">
        <f>HYPERLINK("Melting_Curves/meltCurve_Q9H8K7_C10orf88.pdf", "Melting_Curves/meltCurve_Q9H8K7_C10orf88.pdf")</f>
        <v>Melting_Curves/meltCurve_Q9H8K7_C10orf88.pdf</v>
      </c>
    </row>
    <row r="5733" spans="1:28" x14ac:dyDescent="0.25">
      <c r="A5733" t="s">
        <v>5737</v>
      </c>
      <c r="B5733">
        <v>0.99193492352474899</v>
      </c>
      <c r="C5733">
        <v>0.72166080995394699</v>
      </c>
      <c r="D5733">
        <v>0.86343260216546103</v>
      </c>
      <c r="E5733">
        <v>0.53936204968783497</v>
      </c>
      <c r="F5733">
        <v>0.48760531715063299</v>
      </c>
      <c r="G5733">
        <v>0.425155500593352</v>
      </c>
      <c r="H5733">
        <v>0.289664196431068</v>
      </c>
      <c r="I5733">
        <v>0.35106352982879802</v>
      </c>
      <c r="J5733">
        <v>0.40633633036877698</v>
      </c>
      <c r="K5733">
        <v>0.83356195166386204</v>
      </c>
      <c r="L5733">
        <v>768.21233290629698</v>
      </c>
      <c r="M5733">
        <v>16.759203191528201</v>
      </c>
      <c r="N5733">
        <v>53.4864617792866</v>
      </c>
      <c r="O5733">
        <v>45.200518826121602</v>
      </c>
      <c r="P5733">
        <v>-5.0569555236627803E-2</v>
      </c>
      <c r="Q5733">
        <v>0.45447985767974403</v>
      </c>
      <c r="R5733">
        <v>0.56123235854100495</v>
      </c>
      <c r="S5733" t="s">
        <v>12403</v>
      </c>
      <c r="T5733" t="s">
        <v>13338</v>
      </c>
      <c r="U5733" t="s">
        <v>13338</v>
      </c>
      <c r="V5733" t="s">
        <v>13338</v>
      </c>
      <c r="W5733" t="s">
        <v>19013</v>
      </c>
      <c r="X5733">
        <v>3</v>
      </c>
      <c r="Y5733" t="s">
        <v>25505</v>
      </c>
      <c r="Z5733" t="s">
        <v>32148</v>
      </c>
      <c r="AA5733">
        <v>0.57336000883080351</v>
      </c>
      <c r="AB5733" t="str">
        <f>HYPERLINK("Melting_Curves/meltCurve_Q9H8M5_3_CNNM2.pdf", "Melting_Curves/meltCurve_Q9H8M5_3_CNNM2.pdf")</f>
        <v>Melting_Curves/meltCurve_Q9H8M5_3_CNNM2.pdf</v>
      </c>
    </row>
    <row r="5734" spans="1:28" x14ac:dyDescent="0.25">
      <c r="A5734" t="s">
        <v>5738</v>
      </c>
      <c r="B5734">
        <v>0.99193492352474899</v>
      </c>
      <c r="C5734">
        <v>0.91307504190247402</v>
      </c>
      <c r="D5734">
        <v>0.925334900497079</v>
      </c>
      <c r="E5734">
        <v>0.76504164174197298</v>
      </c>
      <c r="F5734">
        <v>0.47420540679695899</v>
      </c>
      <c r="G5734">
        <v>0.20970813293476601</v>
      </c>
      <c r="H5734">
        <v>0.15350224492825201</v>
      </c>
      <c r="I5734">
        <v>0.103531968908725</v>
      </c>
      <c r="J5734">
        <v>9.7354711434297997E-2</v>
      </c>
      <c r="K5734">
        <v>5.6975434188859399E-2</v>
      </c>
      <c r="L5734">
        <v>957.131794098966</v>
      </c>
      <c r="M5734">
        <v>18.289773966771499</v>
      </c>
      <c r="N5734">
        <v>52.739669513496302</v>
      </c>
      <c r="O5734">
        <v>51.717959301636597</v>
      </c>
      <c r="P5734">
        <v>-8.25806846704394E-2</v>
      </c>
      <c r="Q5734">
        <v>6.5990280884816496E-2</v>
      </c>
      <c r="R5734">
        <v>0.99449724816586704</v>
      </c>
      <c r="S5734" t="s">
        <v>12404</v>
      </c>
      <c r="T5734" t="s">
        <v>13338</v>
      </c>
      <c r="U5734" t="s">
        <v>13338</v>
      </c>
      <c r="V5734" t="s">
        <v>13338</v>
      </c>
      <c r="W5734" t="s">
        <v>19014</v>
      </c>
      <c r="X5734">
        <v>4</v>
      </c>
      <c r="Y5734" t="s">
        <v>25506</v>
      </c>
      <c r="Z5734" t="s">
        <v>32149</v>
      </c>
      <c r="AA5734">
        <v>0.4649748342667942</v>
      </c>
      <c r="AB5734" t="str">
        <f>HYPERLINK("Melting_Curves/meltCurve_Q9H8M7_FAM188A.pdf", "Melting_Curves/meltCurve_Q9H8M7_FAM188A.pdf")</f>
        <v>Melting_Curves/meltCurve_Q9H8M7_FAM188A.pdf</v>
      </c>
    </row>
    <row r="5735" spans="1:28" x14ac:dyDescent="0.25">
      <c r="A5735" t="s">
        <v>5739</v>
      </c>
      <c r="B5735">
        <v>0.99193492352474899</v>
      </c>
      <c r="C5735">
        <v>0.92243386985461595</v>
      </c>
      <c r="D5735">
        <v>1.0524511343954499</v>
      </c>
      <c r="E5735">
        <v>0.74835681349803695</v>
      </c>
      <c r="F5735">
        <v>0.18926779109556299</v>
      </c>
      <c r="G5735">
        <v>0.122646119569174</v>
      </c>
      <c r="H5735">
        <v>6.3338717124343899E-2</v>
      </c>
      <c r="I5735">
        <v>5.2115781924953801E-2</v>
      </c>
      <c r="J5735">
        <v>9.2788846550886997E-2</v>
      </c>
      <c r="K5735">
        <v>0.10980271187387</v>
      </c>
      <c r="L5735">
        <v>2271.2233911108001</v>
      </c>
      <c r="M5735">
        <v>44.793574667201597</v>
      </c>
      <c r="N5735">
        <v>50.921065030537399</v>
      </c>
      <c r="O5735">
        <v>50.603471329941698</v>
      </c>
      <c r="P5735">
        <v>-0.20208147375438801</v>
      </c>
      <c r="Q5735">
        <v>8.6832293835502394E-2</v>
      </c>
      <c r="R5735">
        <v>0.99229236791961795</v>
      </c>
      <c r="S5735" t="s">
        <v>12405</v>
      </c>
      <c r="T5735" t="s">
        <v>13338</v>
      </c>
      <c r="U5735" t="s">
        <v>13338</v>
      </c>
      <c r="V5735" t="s">
        <v>13338</v>
      </c>
      <c r="W5735" t="s">
        <v>19015</v>
      </c>
      <c r="X5735">
        <v>1</v>
      </c>
      <c r="Y5735" t="s">
        <v>25507</v>
      </c>
      <c r="Z5735" t="s">
        <v>32150</v>
      </c>
      <c r="AA5735">
        <v>0.41520542676849143</v>
      </c>
      <c r="AB5735" t="str">
        <f>HYPERLINK("Melting_Curves/meltCurve_Q9H8P0_SRD5A3.pdf", "Melting_Curves/meltCurve_Q9H8P0_SRD5A3.pdf")</f>
        <v>Melting_Curves/meltCurve_Q9H8P0_SRD5A3.pdf</v>
      </c>
    </row>
    <row r="5736" spans="1:28" x14ac:dyDescent="0.25">
      <c r="A5736" t="s">
        <v>5740</v>
      </c>
      <c r="B5736">
        <v>0.99193492352474899</v>
      </c>
      <c r="C5736">
        <v>0.82899672010214398</v>
      </c>
      <c r="D5736">
        <v>0.97211777572433</v>
      </c>
      <c r="E5736">
        <v>0.72006033142372605</v>
      </c>
      <c r="F5736">
        <v>0.55314724243826996</v>
      </c>
      <c r="G5736">
        <v>0.21649018161162101</v>
      </c>
      <c r="H5736">
        <v>7.0983653904306804E-2</v>
      </c>
      <c r="I5736">
        <v>5.9518367550067203E-2</v>
      </c>
      <c r="J5736">
        <v>6.8625564749392298E-2</v>
      </c>
      <c r="K5736">
        <v>5.7310958196772503E-2</v>
      </c>
      <c r="L5736">
        <v>894.18349746144997</v>
      </c>
      <c r="M5736">
        <v>16.902317500879299</v>
      </c>
      <c r="N5736">
        <v>53.013018846955099</v>
      </c>
      <c r="O5736">
        <v>52.179134026204501</v>
      </c>
      <c r="P5736">
        <v>-7.9591736501312002E-2</v>
      </c>
      <c r="Q5736">
        <v>1.7231701210055898E-2</v>
      </c>
      <c r="R5736">
        <v>0.97521221732165098</v>
      </c>
      <c r="S5736" t="s">
        <v>12406</v>
      </c>
      <c r="T5736" t="s">
        <v>13338</v>
      </c>
      <c r="U5736" t="s">
        <v>13338</v>
      </c>
      <c r="V5736" t="s">
        <v>13338</v>
      </c>
      <c r="W5736" t="s">
        <v>19016</v>
      </c>
      <c r="X5736">
        <v>7</v>
      </c>
      <c r="Y5736" t="s">
        <v>25508</v>
      </c>
      <c r="Z5736" t="s">
        <v>32151</v>
      </c>
      <c r="AA5736">
        <v>0.45772459095875612</v>
      </c>
      <c r="AB5736" t="str">
        <f>HYPERLINK("Melting_Curves/meltCurve_Q9H8S9_MOB1A.pdf", "Melting_Curves/meltCurve_Q9H8S9_MOB1A.pdf")</f>
        <v>Melting_Curves/meltCurve_Q9H8S9_MOB1A.pdf</v>
      </c>
    </row>
    <row r="5737" spans="1:28" x14ac:dyDescent="0.25">
      <c r="A5737" t="s">
        <v>5741</v>
      </c>
      <c r="B5737">
        <v>0.99193492352474899</v>
      </c>
      <c r="C5737">
        <v>0.88910175302043903</v>
      </c>
      <c r="D5737">
        <v>0.78798230102824196</v>
      </c>
      <c r="E5737">
        <v>0.68593699021530496</v>
      </c>
      <c r="F5737">
        <v>0.60285167115696903</v>
      </c>
      <c r="G5737">
        <v>0.41183612294083999</v>
      </c>
      <c r="H5737">
        <v>0.296082144687215</v>
      </c>
      <c r="I5737">
        <v>0.35898685872931102</v>
      </c>
      <c r="J5737">
        <v>0.35615509088736103</v>
      </c>
      <c r="K5737">
        <v>0.50802335628200102</v>
      </c>
      <c r="L5737">
        <v>652.39372013396496</v>
      </c>
      <c r="M5737">
        <v>13.2791724713821</v>
      </c>
      <c r="N5737">
        <v>54.3651144354506</v>
      </c>
      <c r="O5737">
        <v>48.055010415701901</v>
      </c>
      <c r="P5737">
        <v>-4.4162740751854702E-2</v>
      </c>
      <c r="Q5737">
        <v>0.36083459592997302</v>
      </c>
      <c r="R5737">
        <v>0.92187207330974097</v>
      </c>
      <c r="S5737" t="s">
        <v>12407</v>
      </c>
      <c r="T5737" t="s">
        <v>13338</v>
      </c>
      <c r="U5737" t="s">
        <v>13338</v>
      </c>
      <c r="V5737" t="s">
        <v>13338</v>
      </c>
      <c r="W5737" t="s">
        <v>19017</v>
      </c>
      <c r="X5737">
        <v>5</v>
      </c>
      <c r="Y5737" t="s">
        <v>25509</v>
      </c>
      <c r="Z5737" t="s">
        <v>32152</v>
      </c>
      <c r="AA5737">
        <v>0.57492413127378728</v>
      </c>
      <c r="AB5737" t="str">
        <f>HYPERLINK("Melting_Curves/meltCurve_Q9H8U3_ZFAND3.pdf", "Melting_Curves/meltCurve_Q9H8U3_ZFAND3.pdf")</f>
        <v>Melting_Curves/meltCurve_Q9H8U3_ZFAND3.pdf</v>
      </c>
    </row>
    <row r="5738" spans="1:28" x14ac:dyDescent="0.25">
      <c r="A5738" t="s">
        <v>5742</v>
      </c>
      <c r="B5738">
        <v>0.99193492352474899</v>
      </c>
      <c r="C5738">
        <v>1.0598861991039199</v>
      </c>
      <c r="D5738">
        <v>0.97842719925282895</v>
      </c>
      <c r="E5738">
        <v>0.76878618788700204</v>
      </c>
      <c r="F5738">
        <v>0.46887860832199701</v>
      </c>
      <c r="G5738">
        <v>0.33619177264141298</v>
      </c>
      <c r="H5738">
        <v>0.183837147779077</v>
      </c>
      <c r="I5738">
        <v>0.29302012588732601</v>
      </c>
      <c r="J5738">
        <v>0.29867193322544</v>
      </c>
      <c r="K5738">
        <v>0.38979228378220898</v>
      </c>
      <c r="L5738">
        <v>1491.0586172102201</v>
      </c>
      <c r="M5738">
        <v>29.258934304685202</v>
      </c>
      <c r="N5738">
        <v>52.551132816295301</v>
      </c>
      <c r="O5738">
        <v>50.724525873574002</v>
      </c>
      <c r="P5738">
        <v>-0.10184754350400101</v>
      </c>
      <c r="Q5738">
        <v>0.29373627274018399</v>
      </c>
      <c r="R5738">
        <v>0.97333745492774304</v>
      </c>
      <c r="S5738" t="s">
        <v>12408</v>
      </c>
      <c r="T5738" t="s">
        <v>13338</v>
      </c>
      <c r="U5738" t="s">
        <v>13338</v>
      </c>
      <c r="V5738" t="s">
        <v>13338</v>
      </c>
      <c r="W5738" t="s">
        <v>19018</v>
      </c>
      <c r="X5738">
        <v>2</v>
      </c>
      <c r="Y5738" t="s">
        <v>25510</v>
      </c>
      <c r="Z5738" t="s">
        <v>32153</v>
      </c>
      <c r="AA5738">
        <v>0.55644236611364428</v>
      </c>
      <c r="AB5738" t="str">
        <f>HYPERLINK("Melting_Curves/meltCurve_Q9H8W3_FAM204A.pdf", "Melting_Curves/meltCurve_Q9H8W3_FAM204A.pdf")</f>
        <v>Melting_Curves/meltCurve_Q9H8W3_FAM204A.pdf</v>
      </c>
    </row>
    <row r="5739" spans="1:28" x14ac:dyDescent="0.25">
      <c r="A5739" t="s">
        <v>5743</v>
      </c>
      <c r="B5739">
        <v>0.99193492352474899</v>
      </c>
      <c r="C5739">
        <v>0.88777871986488199</v>
      </c>
      <c r="D5739">
        <v>0.80731746417767103</v>
      </c>
      <c r="E5739">
        <v>0.47310690250580201</v>
      </c>
      <c r="F5739">
        <v>0.19660875628671101</v>
      </c>
      <c r="G5739">
        <v>0.12177761013366301</v>
      </c>
      <c r="H5739">
        <v>0.10529561309522401</v>
      </c>
      <c r="I5739">
        <v>0.14630268684429501</v>
      </c>
      <c r="J5739">
        <v>0.143266475965903</v>
      </c>
      <c r="K5739">
        <v>0.160666009499188</v>
      </c>
      <c r="L5739">
        <v>1094.0046232185</v>
      </c>
      <c r="M5739">
        <v>22.586958018171</v>
      </c>
      <c r="N5739">
        <v>49.055812567583402</v>
      </c>
      <c r="O5739">
        <v>48.060386307519003</v>
      </c>
      <c r="P5739">
        <v>-0.102894007047899</v>
      </c>
      <c r="Q5739">
        <v>0.12426909681306</v>
      </c>
      <c r="R5739">
        <v>0.991430702369961</v>
      </c>
      <c r="S5739" t="s">
        <v>12409</v>
      </c>
      <c r="T5739" t="s">
        <v>13338</v>
      </c>
      <c r="U5739" t="s">
        <v>13338</v>
      </c>
      <c r="V5739" t="s">
        <v>13338</v>
      </c>
      <c r="W5739" t="s">
        <v>19019</v>
      </c>
      <c r="X5739">
        <v>9</v>
      </c>
      <c r="Y5739" t="s">
        <v>25511</v>
      </c>
      <c r="Z5739" t="s">
        <v>32154</v>
      </c>
      <c r="AA5739">
        <v>0.38007843124930041</v>
      </c>
      <c r="AB5739" t="str">
        <f>HYPERLINK("Melting_Curves/meltCurve_Q9H8Y8_GORASP2.pdf", "Melting_Curves/meltCurve_Q9H8Y8_GORASP2.pdf")</f>
        <v>Melting_Curves/meltCurve_Q9H8Y8_GORASP2.pdf</v>
      </c>
    </row>
    <row r="5740" spans="1:28" x14ac:dyDescent="0.25">
      <c r="A5740" t="s">
        <v>5744</v>
      </c>
      <c r="B5740">
        <v>0.99193492352474899</v>
      </c>
      <c r="C5740">
        <v>0.88571508760627304</v>
      </c>
      <c r="D5740">
        <v>0.91623678628159899</v>
      </c>
      <c r="E5740">
        <v>0.49841192319898098</v>
      </c>
      <c r="F5740">
        <v>0.28800654788438501</v>
      </c>
      <c r="G5740">
        <v>0.16665636367893399</v>
      </c>
      <c r="H5740">
        <v>9.7197063135551307E-2</v>
      </c>
      <c r="I5740">
        <v>9.0362301871658196E-2</v>
      </c>
      <c r="J5740">
        <v>9.7911863971063898E-2</v>
      </c>
      <c r="K5740">
        <v>8.8660463636736297E-2</v>
      </c>
      <c r="L5740">
        <v>1027.22100465833</v>
      </c>
      <c r="M5740">
        <v>20.7280938465241</v>
      </c>
      <c r="N5740">
        <v>50.035516676201702</v>
      </c>
      <c r="O5740">
        <v>49.102595147534899</v>
      </c>
      <c r="P5740">
        <v>-9.6047620078959006E-2</v>
      </c>
      <c r="Q5740">
        <v>8.9920033424256696E-2</v>
      </c>
      <c r="R5740">
        <v>0.98946109221674605</v>
      </c>
      <c r="S5740" t="s">
        <v>12410</v>
      </c>
      <c r="T5740" t="s">
        <v>13338</v>
      </c>
      <c r="U5740" t="s">
        <v>13338</v>
      </c>
      <c r="V5740" t="s">
        <v>13338</v>
      </c>
      <c r="W5740" t="s">
        <v>19020</v>
      </c>
      <c r="X5740">
        <v>4</v>
      </c>
      <c r="Y5740" t="s">
        <v>25512</v>
      </c>
      <c r="Z5740" t="s">
        <v>32155</v>
      </c>
      <c r="AA5740">
        <v>0.39166231425139741</v>
      </c>
      <c r="AB5740" t="str">
        <f>HYPERLINK("Melting_Curves/meltCurve_Q9H900_ZWILCH.pdf", "Melting_Curves/meltCurve_Q9H900_ZWILCH.pdf")</f>
        <v>Melting_Curves/meltCurve_Q9H900_ZWILCH.pdf</v>
      </c>
    </row>
    <row r="5741" spans="1:28" x14ac:dyDescent="0.25">
      <c r="A5741" t="s">
        <v>5745</v>
      </c>
      <c r="B5741">
        <v>0.99193492352474899</v>
      </c>
      <c r="C5741">
        <v>0.88704359874877003</v>
      </c>
      <c r="D5741">
        <v>0.89929533324351296</v>
      </c>
      <c r="E5741">
        <v>0.88654545336979695</v>
      </c>
      <c r="F5741">
        <v>0.75389412375410403</v>
      </c>
      <c r="G5741">
        <v>0.54301870301437505</v>
      </c>
      <c r="H5741">
        <v>0.40516525963358702</v>
      </c>
      <c r="I5741">
        <v>0.29507118216747003</v>
      </c>
      <c r="J5741">
        <v>0.36258082717028201</v>
      </c>
      <c r="K5741">
        <v>0.37501070613045201</v>
      </c>
      <c r="L5741">
        <v>836.29289321955798</v>
      </c>
      <c r="M5741">
        <v>15.3518561574272</v>
      </c>
      <c r="N5741">
        <v>58.008690857873603</v>
      </c>
      <c r="O5741">
        <v>53.575802603788503</v>
      </c>
      <c r="P5741">
        <v>-4.9881905979205297E-2</v>
      </c>
      <c r="Q5741">
        <v>0.30374109696794999</v>
      </c>
      <c r="R5741">
        <v>0.96284414094874304</v>
      </c>
      <c r="S5741" t="s">
        <v>12411</v>
      </c>
      <c r="T5741" t="s">
        <v>13338</v>
      </c>
      <c r="U5741" t="s">
        <v>13338</v>
      </c>
      <c r="V5741" t="s">
        <v>13338</v>
      </c>
      <c r="W5741" t="s">
        <v>19021</v>
      </c>
      <c r="X5741">
        <v>1</v>
      </c>
      <c r="Y5741" t="s">
        <v>25513</v>
      </c>
      <c r="Z5741" t="s">
        <v>32156</v>
      </c>
      <c r="AA5741">
        <v>0.65321303205531622</v>
      </c>
      <c r="AB5741" t="str">
        <f>HYPERLINK("Melting_Curves/meltCurve_Q9H903_1_MTHFD2L.pdf", "Melting_Curves/meltCurve_Q9H903_1_MTHFD2L.pdf")</f>
        <v>Melting_Curves/meltCurve_Q9H903_1_MTHFD2L.pdf</v>
      </c>
    </row>
    <row r="5742" spans="1:28" x14ac:dyDescent="0.25">
      <c r="A5742" t="s">
        <v>5746</v>
      </c>
      <c r="B5742">
        <v>0.99193492352474899</v>
      </c>
      <c r="C5742">
        <v>0.92376020147906401</v>
      </c>
      <c r="D5742">
        <v>0.83671867203872596</v>
      </c>
      <c r="E5742">
        <v>0.83747532380650802</v>
      </c>
      <c r="F5742">
        <v>0.69861721201489002</v>
      </c>
      <c r="G5742">
        <v>0.48334853519342202</v>
      </c>
      <c r="H5742">
        <v>0.45389072743678599</v>
      </c>
      <c r="I5742">
        <v>0.62827099188914404</v>
      </c>
      <c r="J5742">
        <v>0.57769756479017498</v>
      </c>
      <c r="K5742">
        <v>0.91014685896707204</v>
      </c>
      <c r="L5742">
        <v>872.51153870505595</v>
      </c>
      <c r="M5742">
        <v>18.221070121671701</v>
      </c>
      <c r="O5742">
        <v>47.319169150413202</v>
      </c>
      <c r="P5742">
        <v>-3.6738543546286903E-2</v>
      </c>
      <c r="Q5742">
        <v>0.61838561536261405</v>
      </c>
      <c r="R5742">
        <v>0.54555141491509196</v>
      </c>
      <c r="S5742" t="s">
        <v>12412</v>
      </c>
      <c r="T5742" t="s">
        <v>13338</v>
      </c>
      <c r="U5742" t="s">
        <v>13338</v>
      </c>
      <c r="V5742" t="s">
        <v>13338</v>
      </c>
      <c r="W5742" t="s">
        <v>19022</v>
      </c>
      <c r="X5742">
        <v>12</v>
      </c>
      <c r="Y5742" t="s">
        <v>19978</v>
      </c>
      <c r="Z5742" t="s">
        <v>32157</v>
      </c>
      <c r="AA5742">
        <v>0.7253066316007889</v>
      </c>
      <c r="AB5742" t="str">
        <f>HYPERLINK("Melting_Curves/meltCurve_Q9H910_2_HN1L.pdf", "Melting_Curves/meltCurve_Q9H910_2_HN1L.pdf")</f>
        <v>Melting_Curves/meltCurve_Q9H910_2_HN1L.pdf</v>
      </c>
    </row>
    <row r="5743" spans="1:28" x14ac:dyDescent="0.25">
      <c r="A5743" t="s">
        <v>5747</v>
      </c>
      <c r="B5743">
        <v>0.99193492352474899</v>
      </c>
      <c r="C5743">
        <v>1.1086633174068099</v>
      </c>
      <c r="D5743">
        <v>1.2130317674878801</v>
      </c>
      <c r="E5743">
        <v>0.96564182495013895</v>
      </c>
      <c r="F5743">
        <v>0.748727624541496</v>
      </c>
      <c r="G5743">
        <v>0.68906680398306897</v>
      </c>
      <c r="H5743">
        <v>0.42602011502480203</v>
      </c>
      <c r="I5743">
        <v>0.259429150240719</v>
      </c>
      <c r="J5743">
        <v>0.222610207326979</v>
      </c>
      <c r="K5743">
        <v>0.17826028327205701</v>
      </c>
      <c r="L5743">
        <v>963.46905539845295</v>
      </c>
      <c r="M5743">
        <v>16.579905679893301</v>
      </c>
      <c r="N5743">
        <v>59.177552159587101</v>
      </c>
      <c r="O5743">
        <v>57.2850263837813</v>
      </c>
      <c r="P5743">
        <v>-6.3013591114470996E-2</v>
      </c>
      <c r="Q5743">
        <v>0.12918951147647301</v>
      </c>
      <c r="R5743">
        <v>0.94481781185643099</v>
      </c>
      <c r="S5743" t="s">
        <v>12413</v>
      </c>
      <c r="T5743" t="s">
        <v>13338</v>
      </c>
      <c r="U5743" t="s">
        <v>13338</v>
      </c>
      <c r="V5743" t="s">
        <v>13338</v>
      </c>
      <c r="W5743" t="s">
        <v>19023</v>
      </c>
      <c r="X5743">
        <v>8</v>
      </c>
      <c r="Y5743" t="s">
        <v>25514</v>
      </c>
      <c r="Z5743" t="s">
        <v>32158</v>
      </c>
      <c r="AA5743">
        <v>0.66600386034880121</v>
      </c>
      <c r="AB5743" t="str">
        <f>HYPERLINK("Melting_Curves/meltCurve_Q9H936_SLC25A22.pdf", "Melting_Curves/meltCurve_Q9H936_SLC25A22.pdf")</f>
        <v>Melting_Curves/meltCurve_Q9H936_SLC25A22.pdf</v>
      </c>
    </row>
    <row r="5744" spans="1:28" x14ac:dyDescent="0.25">
      <c r="A5744" t="s">
        <v>5748</v>
      </c>
      <c r="B5744">
        <v>0.99193492352474899</v>
      </c>
      <c r="C5744">
        <v>0.87154991277376104</v>
      </c>
      <c r="D5744">
        <v>0.81756644712009197</v>
      </c>
      <c r="E5744">
        <v>0.60249145780836599</v>
      </c>
      <c r="F5744">
        <v>0.429447970760644</v>
      </c>
      <c r="G5744">
        <v>0.24869650100704799</v>
      </c>
      <c r="H5744">
        <v>9.9180381573744494E-2</v>
      </c>
      <c r="I5744">
        <v>9.4695322784111094E-2</v>
      </c>
      <c r="J5744">
        <v>0.13101708393941</v>
      </c>
      <c r="K5744">
        <v>0.121748427290593</v>
      </c>
      <c r="L5744">
        <v>663.92931631194097</v>
      </c>
      <c r="M5744">
        <v>13.0745070835103</v>
      </c>
      <c r="N5744">
        <v>51.307685066510501</v>
      </c>
      <c r="O5744">
        <v>49.636553783864997</v>
      </c>
      <c r="P5744">
        <v>-6.1722482486646399E-2</v>
      </c>
      <c r="Q5744">
        <v>6.2859585703303203E-2</v>
      </c>
      <c r="R5744">
        <v>0.99055285102903401</v>
      </c>
      <c r="S5744" t="s">
        <v>12414</v>
      </c>
      <c r="T5744" t="s">
        <v>13338</v>
      </c>
      <c r="U5744" t="s">
        <v>13338</v>
      </c>
      <c r="V5744" t="s">
        <v>13338</v>
      </c>
      <c r="W5744" t="s">
        <v>19024</v>
      </c>
      <c r="X5744">
        <v>7</v>
      </c>
      <c r="Y5744" t="s">
        <v>25515</v>
      </c>
      <c r="Z5744" t="s">
        <v>32159</v>
      </c>
      <c r="AA5744">
        <v>0.42684139532349108</v>
      </c>
      <c r="AB5744" t="str">
        <f>HYPERLINK("Melting_Curves/meltCurve_Q9H944_MED20.pdf", "Melting_Curves/meltCurve_Q9H944_MED20.pdf")</f>
        <v>Melting_Curves/meltCurve_Q9H944_MED20.pdf</v>
      </c>
    </row>
    <row r="5745" spans="1:28" x14ac:dyDescent="0.25">
      <c r="A5745" t="s">
        <v>5749</v>
      </c>
      <c r="B5745">
        <v>0.99193492352474899</v>
      </c>
      <c r="C5745">
        <v>0.97417299060963802</v>
      </c>
      <c r="D5745">
        <v>0.92652685663040002</v>
      </c>
      <c r="E5745">
        <v>0.77648233231657404</v>
      </c>
      <c r="F5745">
        <v>0.51947930729424796</v>
      </c>
      <c r="G5745">
        <v>0.1818458140143</v>
      </c>
      <c r="H5745">
        <v>7.9107436097432607E-2</v>
      </c>
      <c r="I5745">
        <v>7.1121876994748798E-2</v>
      </c>
      <c r="J5745">
        <v>8.1771684701494499E-2</v>
      </c>
      <c r="K5745">
        <v>7.7427771086417602E-2</v>
      </c>
      <c r="L5745">
        <v>1104.7458177051601</v>
      </c>
      <c r="M5745">
        <v>20.986742695364502</v>
      </c>
      <c r="N5745">
        <v>52.917182342881297</v>
      </c>
      <c r="O5745">
        <v>52.169231096077802</v>
      </c>
      <c r="P5745">
        <v>-9.5341436045484701E-2</v>
      </c>
      <c r="Q5745">
        <v>5.20196812089843E-2</v>
      </c>
      <c r="R5745">
        <v>0.995687296960861</v>
      </c>
      <c r="S5745" t="s">
        <v>12415</v>
      </c>
      <c r="T5745" t="s">
        <v>13338</v>
      </c>
      <c r="U5745" t="s">
        <v>13338</v>
      </c>
      <c r="V5745" t="s">
        <v>13338</v>
      </c>
      <c r="W5745" t="s">
        <v>19025</v>
      </c>
      <c r="X5745">
        <v>14</v>
      </c>
      <c r="Y5745" t="s">
        <v>25516</v>
      </c>
      <c r="Z5745" t="s">
        <v>32160</v>
      </c>
      <c r="AA5745">
        <v>0.46345323556937118</v>
      </c>
      <c r="AB5745" t="str">
        <f>HYPERLINK("Melting_Curves/meltCurve_Q9H974_QTRTD1.pdf", "Melting_Curves/meltCurve_Q9H974_QTRTD1.pdf")</f>
        <v>Melting_Curves/meltCurve_Q9H974_QTRTD1.pdf</v>
      </c>
    </row>
    <row r="5746" spans="1:28" x14ac:dyDescent="0.25">
      <c r="A5746" t="s">
        <v>5750</v>
      </c>
      <c r="B5746">
        <v>0.99193492352474899</v>
      </c>
      <c r="C5746">
        <v>0.95626365906728295</v>
      </c>
      <c r="D5746">
        <v>0.852157127054465</v>
      </c>
      <c r="E5746">
        <v>0.673899556879763</v>
      </c>
      <c r="F5746">
        <v>0.31084024107597502</v>
      </c>
      <c r="G5746">
        <v>0.118770555734865</v>
      </c>
      <c r="H5746">
        <v>7.1419320769451594E-2</v>
      </c>
      <c r="I5746">
        <v>6.2163744879380999E-2</v>
      </c>
      <c r="J5746">
        <v>9.13279409170379E-2</v>
      </c>
      <c r="K5746">
        <v>8.2551445171600596E-2</v>
      </c>
      <c r="L5746">
        <v>1061.2246235462901</v>
      </c>
      <c r="M5746">
        <v>20.933850535115202</v>
      </c>
      <c r="N5746">
        <v>51.002412323841902</v>
      </c>
      <c r="O5746">
        <v>50.238387597748002</v>
      </c>
      <c r="P5746">
        <v>-9.7985645388358703E-2</v>
      </c>
      <c r="Q5746">
        <v>5.9416792216242499E-2</v>
      </c>
      <c r="R5746">
        <v>0.99534792738127298</v>
      </c>
      <c r="S5746" t="s">
        <v>12416</v>
      </c>
      <c r="T5746" t="s">
        <v>13338</v>
      </c>
      <c r="U5746" t="s">
        <v>13338</v>
      </c>
      <c r="V5746" t="s">
        <v>13338</v>
      </c>
      <c r="W5746" t="s">
        <v>19026</v>
      </c>
      <c r="X5746">
        <v>6</v>
      </c>
      <c r="Y5746" t="s">
        <v>25517</v>
      </c>
      <c r="Z5746" t="s">
        <v>32161</v>
      </c>
      <c r="AA5746">
        <v>0.40668670275250179</v>
      </c>
      <c r="AB5746" t="str">
        <f>HYPERLINK("Melting_Curves/meltCurve_Q9H977_WDR54.pdf", "Melting_Curves/meltCurve_Q9H977_WDR54.pdf")</f>
        <v>Melting_Curves/meltCurve_Q9H977_WDR54.pdf</v>
      </c>
    </row>
    <row r="5747" spans="1:28" x14ac:dyDescent="0.25">
      <c r="A5747" t="s">
        <v>5751</v>
      </c>
      <c r="B5747">
        <v>0.99193492352474899</v>
      </c>
      <c r="C5747">
        <v>0.70877958747992797</v>
      </c>
      <c r="D5747">
        <v>0.36869493173769602</v>
      </c>
      <c r="E5747">
        <v>0.24725956854723799</v>
      </c>
      <c r="F5747">
        <v>0.16013896933735</v>
      </c>
      <c r="G5747">
        <v>9.4617985034145799E-2</v>
      </c>
      <c r="H5747">
        <v>6.6936013887558599E-2</v>
      </c>
      <c r="I5747">
        <v>7.01980951978384E-2</v>
      </c>
      <c r="J5747">
        <v>8.52128667125754E-2</v>
      </c>
      <c r="K5747">
        <v>7.0419651567842301E-2</v>
      </c>
      <c r="L5747">
        <v>921.474358119822</v>
      </c>
      <c r="M5747">
        <v>20.644248083017199</v>
      </c>
      <c r="N5747">
        <v>45.054252190416797</v>
      </c>
      <c r="O5747">
        <v>44.223391370663201</v>
      </c>
      <c r="P5747">
        <v>-0.106528742803793</v>
      </c>
      <c r="Q5747">
        <v>8.7217511879335394E-2</v>
      </c>
      <c r="R5747">
        <v>0.98618574831292005</v>
      </c>
      <c r="S5747" t="s">
        <v>12417</v>
      </c>
      <c r="T5747" t="s">
        <v>13338</v>
      </c>
      <c r="U5747" t="s">
        <v>13338</v>
      </c>
      <c r="V5747" t="s">
        <v>13338</v>
      </c>
      <c r="W5747" t="s">
        <v>19027</v>
      </c>
      <c r="X5747">
        <v>4</v>
      </c>
      <c r="Y5747" t="s">
        <v>25518</v>
      </c>
      <c r="Z5747" t="s">
        <v>32162</v>
      </c>
      <c r="AA5747">
        <v>0.24326864185426381</v>
      </c>
      <c r="AB5747" t="str">
        <f>HYPERLINK("Melting_Curves/meltCurve_Q9H981_ACTR8.pdf", "Melting_Curves/meltCurve_Q9H981_ACTR8.pdf")</f>
        <v>Melting_Curves/meltCurve_Q9H981_ACTR8.pdf</v>
      </c>
    </row>
    <row r="5748" spans="1:28" x14ac:dyDescent="0.25">
      <c r="A5748" t="s">
        <v>5752</v>
      </c>
      <c r="B5748">
        <v>0.99193492352474899</v>
      </c>
      <c r="C5748">
        <v>0.90774167298297004</v>
      </c>
      <c r="D5748">
        <v>0.78690819874789597</v>
      </c>
      <c r="E5748">
        <v>0.27520262676776702</v>
      </c>
      <c r="F5748">
        <v>0.231409495765867</v>
      </c>
      <c r="G5748">
        <v>0.10607937564184999</v>
      </c>
      <c r="H5748">
        <v>8.4899000387799503E-2</v>
      </c>
      <c r="I5748">
        <v>7.2042196344894505E-2</v>
      </c>
      <c r="J5748">
        <v>8.2793186858085302E-2</v>
      </c>
      <c r="K5748">
        <v>7.3215526302904801E-2</v>
      </c>
      <c r="L5748">
        <v>1229.4560517186901</v>
      </c>
      <c r="M5748">
        <v>25.7884667028279</v>
      </c>
      <c r="N5748">
        <v>48.039567991219499</v>
      </c>
      <c r="O5748">
        <v>47.3907437906268</v>
      </c>
      <c r="P5748">
        <v>-0.12394208348103899</v>
      </c>
      <c r="Q5748">
        <v>8.8951238350914494E-2</v>
      </c>
      <c r="R5748">
        <v>0.98842306755383003</v>
      </c>
      <c r="S5748" t="s">
        <v>12418</v>
      </c>
      <c r="T5748" t="s">
        <v>13338</v>
      </c>
      <c r="U5748" t="s">
        <v>13338</v>
      </c>
      <c r="V5748" t="s">
        <v>13338</v>
      </c>
      <c r="W5748" t="s">
        <v>19028</v>
      </c>
      <c r="X5748">
        <v>8</v>
      </c>
      <c r="Y5748" t="s">
        <v>25519</v>
      </c>
      <c r="Z5748" t="s">
        <v>32163</v>
      </c>
      <c r="AA5748">
        <v>0.32956160291896081</v>
      </c>
      <c r="AB5748" t="str">
        <f>HYPERLINK("Melting_Curves/meltCurve_Q9H993_C6orf211.pdf", "Melting_Curves/meltCurve_Q9H993_C6orf211.pdf")</f>
        <v>Melting_Curves/meltCurve_Q9H993_C6orf211.pdf</v>
      </c>
    </row>
    <row r="5749" spans="1:28" x14ac:dyDescent="0.25">
      <c r="A5749" t="s">
        <v>5753</v>
      </c>
      <c r="B5749">
        <v>0.99193492352474899</v>
      </c>
      <c r="C5749">
        <v>0.96290475288895205</v>
      </c>
      <c r="D5749">
        <v>0.86283327171919899</v>
      </c>
      <c r="E5749">
        <v>0.84135269450637895</v>
      </c>
      <c r="F5749">
        <v>0.62467180436570402</v>
      </c>
      <c r="G5749">
        <v>0.28398475851424099</v>
      </c>
      <c r="H5749">
        <v>7.2670551119559196E-2</v>
      </c>
      <c r="I5749">
        <v>9.8856906536370304E-2</v>
      </c>
      <c r="J5749">
        <v>6.9195071519455004E-2</v>
      </c>
      <c r="K5749">
        <v>6.9933577547125494E-2</v>
      </c>
      <c r="L5749">
        <v>1029.10303484104</v>
      </c>
      <c r="M5749">
        <v>19.096686322535501</v>
      </c>
      <c r="N5749">
        <v>54.099882147060498</v>
      </c>
      <c r="O5749">
        <v>53.308594102507797</v>
      </c>
      <c r="P5749">
        <v>-8.6349746795314597E-2</v>
      </c>
      <c r="Q5749">
        <v>3.5852885948717501E-2</v>
      </c>
      <c r="R5749">
        <v>0.98740306889835205</v>
      </c>
      <c r="S5749" t="s">
        <v>12419</v>
      </c>
      <c r="T5749" t="s">
        <v>13338</v>
      </c>
      <c r="U5749" t="s">
        <v>13338</v>
      </c>
      <c r="V5749" t="s">
        <v>13338</v>
      </c>
      <c r="W5749" t="s">
        <v>19029</v>
      </c>
      <c r="X5749">
        <v>7</v>
      </c>
      <c r="Y5749" t="s">
        <v>25520</v>
      </c>
      <c r="Z5749" t="s">
        <v>32164</v>
      </c>
      <c r="AA5749">
        <v>0.49635457618562062</v>
      </c>
      <c r="AB5749" t="str">
        <f>HYPERLINK("Melting_Curves/meltCurve_Q9H999_PANK3.pdf", "Melting_Curves/meltCurve_Q9H999_PANK3.pdf")</f>
        <v>Melting_Curves/meltCurve_Q9H999_PANK3.pdf</v>
      </c>
    </row>
    <row r="5750" spans="1:28" x14ac:dyDescent="0.25">
      <c r="A5750" t="s">
        <v>5754</v>
      </c>
      <c r="B5750">
        <v>0.99193492352474899</v>
      </c>
      <c r="C5750">
        <v>0.92687648340427997</v>
      </c>
      <c r="D5750">
        <v>0.72430998655076995</v>
      </c>
      <c r="E5750">
        <v>0.41088924895350398</v>
      </c>
      <c r="F5750">
        <v>0.12438184646441</v>
      </c>
      <c r="G5750">
        <v>6.7728582397200102E-2</v>
      </c>
      <c r="H5750">
        <v>4.8241222382060203E-2</v>
      </c>
      <c r="I5750">
        <v>6.8938787727821194E-2</v>
      </c>
      <c r="J5750">
        <v>8.2672458616455793E-2</v>
      </c>
      <c r="K5750">
        <v>7.7743416608664406E-2</v>
      </c>
      <c r="L5750">
        <v>1042.8922747389499</v>
      </c>
      <c r="M5750">
        <v>21.701073490861798</v>
      </c>
      <c r="N5750">
        <v>48.325528570712102</v>
      </c>
      <c r="O5750">
        <v>47.654676309258598</v>
      </c>
      <c r="P5750">
        <v>-0.107385163770436</v>
      </c>
      <c r="Q5750">
        <v>5.6768389224952399E-2</v>
      </c>
      <c r="R5750">
        <v>0.99645580611697504</v>
      </c>
      <c r="S5750" t="s">
        <v>12420</v>
      </c>
      <c r="T5750" t="s">
        <v>13338</v>
      </c>
      <c r="U5750" t="s">
        <v>13338</v>
      </c>
      <c r="V5750" t="s">
        <v>13338</v>
      </c>
      <c r="W5750" t="s">
        <v>19030</v>
      </c>
      <c r="X5750">
        <v>6</v>
      </c>
      <c r="Y5750" t="s">
        <v>25521</v>
      </c>
      <c r="Z5750" t="s">
        <v>32165</v>
      </c>
      <c r="AA5750">
        <v>0.32135450881783889</v>
      </c>
      <c r="AB5750" t="str">
        <f>HYPERLINK("Melting_Curves/meltCurve_Q9H9A5_2_CNOT10.pdf", "Melting_Curves/meltCurve_Q9H9A5_2_CNOT10.pdf")</f>
        <v>Melting_Curves/meltCurve_Q9H9A5_2_CNOT10.pdf</v>
      </c>
    </row>
    <row r="5751" spans="1:28" x14ac:dyDescent="0.25">
      <c r="A5751" t="s">
        <v>5755</v>
      </c>
      <c r="B5751">
        <v>0.99193492352474899</v>
      </c>
      <c r="C5751">
        <v>0.86185386542143405</v>
      </c>
      <c r="D5751">
        <v>0.83418103889720696</v>
      </c>
      <c r="E5751">
        <v>0.24623293097887</v>
      </c>
      <c r="F5751">
        <v>0.13416953804583301</v>
      </c>
      <c r="G5751">
        <v>8.5403441859735599E-2</v>
      </c>
      <c r="H5751">
        <v>6.11466353973487E-2</v>
      </c>
      <c r="I5751">
        <v>6.4239079822628303E-2</v>
      </c>
      <c r="J5751">
        <v>7.5869828127416605E-2</v>
      </c>
      <c r="K5751">
        <v>7.3538486312433399E-2</v>
      </c>
      <c r="L5751">
        <v>1657.4270622527699</v>
      </c>
      <c r="M5751">
        <v>34.731970274041501</v>
      </c>
      <c r="N5751">
        <v>47.944513747165601</v>
      </c>
      <c r="O5751">
        <v>47.563136079343202</v>
      </c>
      <c r="P5751">
        <v>-0.16888443074067799</v>
      </c>
      <c r="Q5751">
        <v>7.4899157809196107E-2</v>
      </c>
      <c r="R5751">
        <v>0.98699122391165495</v>
      </c>
      <c r="S5751" t="s">
        <v>12421</v>
      </c>
      <c r="T5751" t="s">
        <v>13338</v>
      </c>
      <c r="U5751" t="s">
        <v>13338</v>
      </c>
      <c r="V5751" t="s">
        <v>13338</v>
      </c>
      <c r="W5751" t="s">
        <v>19031</v>
      </c>
      <c r="X5751">
        <v>20</v>
      </c>
      <c r="Y5751" t="s">
        <v>25522</v>
      </c>
      <c r="Z5751" t="s">
        <v>32166</v>
      </c>
      <c r="AA5751">
        <v>0.31706761693030711</v>
      </c>
      <c r="AB5751" t="str">
        <f>HYPERLINK("Melting_Curves/meltCurve_Q9H9A6_LRRC40.pdf", "Melting_Curves/meltCurve_Q9H9A6_LRRC40.pdf")</f>
        <v>Melting_Curves/meltCurve_Q9H9A6_LRRC40.pdf</v>
      </c>
    </row>
    <row r="5752" spans="1:28" x14ac:dyDescent="0.25">
      <c r="A5752" t="s">
        <v>5756</v>
      </c>
      <c r="B5752">
        <v>0.99193492352474899</v>
      </c>
      <c r="C5752">
        <v>1.1460325753115801</v>
      </c>
      <c r="D5752">
        <v>1.1530416491811899</v>
      </c>
      <c r="E5752">
        <v>1.0765539468451299</v>
      </c>
      <c r="F5752">
        <v>0.75079209445841899</v>
      </c>
      <c r="G5752">
        <v>0.17191511182386801</v>
      </c>
      <c r="H5752">
        <v>9.2998743298624106E-2</v>
      </c>
      <c r="I5752">
        <v>9.1507129418022998E-2</v>
      </c>
      <c r="J5752">
        <v>0.11235311648858</v>
      </c>
      <c r="K5752">
        <v>0.115238185013762</v>
      </c>
      <c r="L5752">
        <v>3074.98269094327</v>
      </c>
      <c r="M5752">
        <v>56.818640121008698</v>
      </c>
      <c r="N5752">
        <v>54.343843007771198</v>
      </c>
      <c r="O5752">
        <v>54.052342245109102</v>
      </c>
      <c r="P5752">
        <v>-0.23529582485919001</v>
      </c>
      <c r="Q5752">
        <v>0.104640032932543</v>
      </c>
      <c r="R5752">
        <v>0.975979197887473</v>
      </c>
      <c r="S5752" t="s">
        <v>12422</v>
      </c>
      <c r="T5752" t="s">
        <v>13338</v>
      </c>
      <c r="U5752" t="s">
        <v>13338</v>
      </c>
      <c r="V5752" t="s">
        <v>13338</v>
      </c>
      <c r="W5752" t="s">
        <v>19032</v>
      </c>
      <c r="X5752">
        <v>14</v>
      </c>
      <c r="Y5752" t="s">
        <v>25523</v>
      </c>
      <c r="Z5752" t="s">
        <v>32167</v>
      </c>
      <c r="AA5752">
        <v>0.52768697394540109</v>
      </c>
      <c r="AB5752" t="str">
        <f>HYPERLINK("Melting_Curves/meltCurve_Q9H9B4_SFXN1.pdf", "Melting_Curves/meltCurve_Q9H9B4_SFXN1.pdf")</f>
        <v>Melting_Curves/meltCurve_Q9H9B4_SFXN1.pdf</v>
      </c>
    </row>
    <row r="5753" spans="1:28" x14ac:dyDescent="0.25">
      <c r="A5753" t="s">
        <v>5757</v>
      </c>
      <c r="B5753">
        <v>0.99193492352474899</v>
      </c>
      <c r="C5753">
        <v>0.98448530549548896</v>
      </c>
      <c r="D5753">
        <v>0.71728997456612098</v>
      </c>
      <c r="E5753">
        <v>0.57746469150726398</v>
      </c>
      <c r="F5753">
        <v>0.247142497463085</v>
      </c>
      <c r="G5753">
        <v>0.18536956692975301</v>
      </c>
      <c r="H5753">
        <v>0.16532037453419701</v>
      </c>
      <c r="I5753">
        <v>0.23777092950873299</v>
      </c>
      <c r="J5753">
        <v>0.19224329249137001</v>
      </c>
      <c r="K5753">
        <v>0.25095452171465799</v>
      </c>
      <c r="L5753">
        <v>992.19464941626097</v>
      </c>
      <c r="M5753">
        <v>20.527073185958599</v>
      </c>
      <c r="N5753">
        <v>49.5156356713007</v>
      </c>
      <c r="O5753">
        <v>47.884179227153901</v>
      </c>
      <c r="P5753">
        <v>-8.6446140483267195E-2</v>
      </c>
      <c r="Q5753">
        <v>0.193400659948363</v>
      </c>
      <c r="R5753">
        <v>0.97525069144268395</v>
      </c>
      <c r="S5753" t="s">
        <v>12423</v>
      </c>
      <c r="T5753" t="s">
        <v>13338</v>
      </c>
      <c r="U5753" t="s">
        <v>13338</v>
      </c>
      <c r="V5753" t="s">
        <v>13338</v>
      </c>
      <c r="W5753" t="s">
        <v>19033</v>
      </c>
      <c r="X5753">
        <v>4</v>
      </c>
      <c r="Y5753" t="s">
        <v>25524</v>
      </c>
      <c r="Z5753" t="s">
        <v>32168</v>
      </c>
      <c r="AA5753">
        <v>0.42831404201905537</v>
      </c>
      <c r="AB5753" t="str">
        <f>HYPERLINK("Melting_Curves/meltCurve_Q9H9F9_ACTR5.pdf", "Melting_Curves/meltCurve_Q9H9F9_ACTR5.pdf")</f>
        <v>Melting_Curves/meltCurve_Q9H9F9_ACTR5.pdf</v>
      </c>
    </row>
    <row r="5754" spans="1:28" x14ac:dyDescent="0.25">
      <c r="A5754" t="s">
        <v>5758</v>
      </c>
      <c r="B5754">
        <v>0.99193492352474899</v>
      </c>
      <c r="C5754">
        <v>0.72450991070303095</v>
      </c>
      <c r="D5754">
        <v>0.83728146595629105</v>
      </c>
      <c r="E5754">
        <v>0.33846920900636202</v>
      </c>
      <c r="F5754">
        <v>0.17560478206912</v>
      </c>
      <c r="G5754">
        <v>7.5399514312784799E-2</v>
      </c>
      <c r="H5754">
        <v>6.0219799475894897E-2</v>
      </c>
      <c r="I5754">
        <v>6.7598199218962401E-2</v>
      </c>
      <c r="J5754">
        <v>7.5266025936164493E-2</v>
      </c>
      <c r="K5754">
        <v>9.7601860533640297E-2</v>
      </c>
      <c r="L5754">
        <v>900.98744427490396</v>
      </c>
      <c r="M5754">
        <v>18.801224683964598</v>
      </c>
      <c r="N5754">
        <v>48.232626089908599</v>
      </c>
      <c r="O5754">
        <v>47.389472072026798</v>
      </c>
      <c r="P5754">
        <v>-9.3528462559949094E-2</v>
      </c>
      <c r="Q5754">
        <v>5.7065530168526002E-2</v>
      </c>
      <c r="R5754">
        <v>0.95369748952580302</v>
      </c>
      <c r="S5754" t="s">
        <v>12424</v>
      </c>
      <c r="T5754" t="s">
        <v>13338</v>
      </c>
      <c r="U5754" t="s">
        <v>13338</v>
      </c>
      <c r="V5754" t="s">
        <v>13338</v>
      </c>
      <c r="W5754" t="s">
        <v>19034</v>
      </c>
      <c r="X5754">
        <v>5</v>
      </c>
      <c r="Y5754" t="s">
        <v>25525</v>
      </c>
      <c r="Z5754" t="s">
        <v>32169</v>
      </c>
      <c r="AA5754">
        <v>0.32135722976635622</v>
      </c>
      <c r="AB5754" t="str">
        <f>HYPERLINK("Melting_Curves/meltCurve_Q9H9H4_VPS37B.pdf", "Melting_Curves/meltCurve_Q9H9H4_VPS37B.pdf")</f>
        <v>Melting_Curves/meltCurve_Q9H9H4_VPS37B.pdf</v>
      </c>
    </row>
    <row r="5755" spans="1:28" x14ac:dyDescent="0.25">
      <c r="A5755" t="s">
        <v>5759</v>
      </c>
      <c r="B5755">
        <v>0.99193492352474899</v>
      </c>
      <c r="C5755">
        <v>0.82327881003454895</v>
      </c>
      <c r="D5755">
        <v>0.80330626156124196</v>
      </c>
      <c r="E5755">
        <v>0.68859263686091399</v>
      </c>
      <c r="F5755">
        <v>0.20151738466205901</v>
      </c>
      <c r="G5755">
        <v>8.4077565033377696E-2</v>
      </c>
      <c r="H5755">
        <v>5.4625101651829502E-2</v>
      </c>
      <c r="I5755">
        <v>6.6394916588290803E-2</v>
      </c>
      <c r="J5755">
        <v>9.3805258655396601E-2</v>
      </c>
      <c r="K5755">
        <v>4.74589625980954E-2</v>
      </c>
      <c r="L5755">
        <v>980.04871269269404</v>
      </c>
      <c r="M5755">
        <v>19.540264405345699</v>
      </c>
      <c r="N5755">
        <v>50.359099373603797</v>
      </c>
      <c r="O5755">
        <v>49.6389228709821</v>
      </c>
      <c r="P5755">
        <v>-9.4674984491985095E-2</v>
      </c>
      <c r="Q5755">
        <v>3.8007884344190002E-2</v>
      </c>
      <c r="R5755">
        <v>0.96526538053368705</v>
      </c>
      <c r="S5755" t="s">
        <v>12425</v>
      </c>
      <c r="T5755" t="s">
        <v>13338</v>
      </c>
      <c r="U5755" t="s">
        <v>13338</v>
      </c>
      <c r="V5755" t="s">
        <v>13338</v>
      </c>
      <c r="W5755" t="s">
        <v>19035</v>
      </c>
      <c r="X5755">
        <v>1</v>
      </c>
      <c r="Y5755" t="s">
        <v>25526</v>
      </c>
      <c r="Z5755" t="s">
        <v>32170</v>
      </c>
      <c r="AA5755">
        <v>0.37765341348969628</v>
      </c>
      <c r="AB5755" t="str">
        <f>HYPERLINK("Melting_Curves/meltCurve_Q9H9J2_MRPL44.pdf", "Melting_Curves/meltCurve_Q9H9J2_MRPL44.pdf")</f>
        <v>Melting_Curves/meltCurve_Q9H9J2_MRPL44.pdf</v>
      </c>
    </row>
    <row r="5756" spans="1:28" x14ac:dyDescent="0.25">
      <c r="A5756" t="s">
        <v>5760</v>
      </c>
      <c r="B5756">
        <v>0.99193492352474899</v>
      </c>
      <c r="C5756">
        <v>0.857698941568666</v>
      </c>
      <c r="D5756">
        <v>0.92788677130254504</v>
      </c>
      <c r="E5756">
        <v>0.54992613443291505</v>
      </c>
      <c r="F5756">
        <v>0.25234351039726699</v>
      </c>
      <c r="G5756">
        <v>0.14412179433376901</v>
      </c>
      <c r="H5756">
        <v>7.2876621272369005E-2</v>
      </c>
      <c r="I5756">
        <v>6.6004396035986804E-2</v>
      </c>
      <c r="J5756">
        <v>6.3346451730651301E-2</v>
      </c>
      <c r="K5756">
        <v>5.5202043128188903E-2</v>
      </c>
      <c r="L5756">
        <v>1057.5749836227501</v>
      </c>
      <c r="M5756">
        <v>21.1717993631339</v>
      </c>
      <c r="N5756">
        <v>50.242182857565403</v>
      </c>
      <c r="O5756">
        <v>49.512827025749402</v>
      </c>
      <c r="P5756">
        <v>-0.100752229301974</v>
      </c>
      <c r="Q5756">
        <v>5.7539252019243398E-2</v>
      </c>
      <c r="R5756">
        <v>0.98768034855030695</v>
      </c>
      <c r="S5756" t="s">
        <v>12426</v>
      </c>
      <c r="T5756" t="s">
        <v>13338</v>
      </c>
      <c r="U5756" t="s">
        <v>13338</v>
      </c>
      <c r="V5756" t="s">
        <v>13338</v>
      </c>
      <c r="W5756" t="s">
        <v>19036</v>
      </c>
      <c r="X5756">
        <v>17</v>
      </c>
      <c r="Y5756" t="s">
        <v>25527</v>
      </c>
      <c r="Z5756" t="s">
        <v>32171</v>
      </c>
      <c r="AA5756">
        <v>0.38192021264011777</v>
      </c>
      <c r="AB5756" t="str">
        <f>HYPERLINK("Melting_Curves/meltCurve_Q9H9P8_L2HGDH.pdf", "Melting_Curves/meltCurve_Q9H9P8_L2HGDH.pdf")</f>
        <v>Melting_Curves/meltCurve_Q9H9P8_L2HGDH.pdf</v>
      </c>
    </row>
    <row r="5757" spans="1:28" x14ac:dyDescent="0.25">
      <c r="A5757" t="s">
        <v>5761</v>
      </c>
      <c r="B5757">
        <v>0.99193492352474899</v>
      </c>
      <c r="C5757">
        <v>0.56249044490870403</v>
      </c>
      <c r="D5757">
        <v>0.91465467402283396</v>
      </c>
      <c r="E5757">
        <v>0.68231817764834501</v>
      </c>
      <c r="F5757">
        <v>0.66820294201950103</v>
      </c>
      <c r="G5757">
        <v>0.249794890459094</v>
      </c>
      <c r="H5757">
        <v>0.103002399931551</v>
      </c>
      <c r="I5757">
        <v>8.7886149742932906E-2</v>
      </c>
      <c r="J5757">
        <v>6.99701011994633E-2</v>
      </c>
      <c r="K5757">
        <v>6.5468179158770803E-2</v>
      </c>
      <c r="L5757">
        <v>575.09225363224095</v>
      </c>
      <c r="M5757">
        <v>10.8827627638554</v>
      </c>
      <c r="N5757">
        <v>52.8443223664123</v>
      </c>
      <c r="O5757">
        <v>51.153946343445099</v>
      </c>
      <c r="P5757">
        <v>-5.3205042250423398E-2</v>
      </c>
      <c r="Q5757">
        <v>0</v>
      </c>
      <c r="R5757">
        <v>0.84339751242652705</v>
      </c>
      <c r="S5757" t="s">
        <v>12427</v>
      </c>
      <c r="T5757" t="s">
        <v>13338</v>
      </c>
      <c r="U5757" t="s">
        <v>13338</v>
      </c>
      <c r="V5757" t="s">
        <v>13338</v>
      </c>
      <c r="W5757" t="s">
        <v>19037</v>
      </c>
      <c r="X5757">
        <v>4</v>
      </c>
      <c r="Y5757" t="s">
        <v>25528</v>
      </c>
      <c r="Z5757" t="s">
        <v>32172</v>
      </c>
      <c r="AA5757">
        <v>0.46018483992007891</v>
      </c>
      <c r="AB5757" t="str">
        <f>HYPERLINK("Melting_Curves/meltCurve_Q9H9Q4_NHEJ1.pdf", "Melting_Curves/meltCurve_Q9H9Q4_NHEJ1.pdf")</f>
        <v>Melting_Curves/meltCurve_Q9H9Q4_NHEJ1.pdf</v>
      </c>
    </row>
    <row r="5758" spans="1:28" x14ac:dyDescent="0.25">
      <c r="A5758" t="s">
        <v>5762</v>
      </c>
      <c r="B5758">
        <v>0.99193492352474899</v>
      </c>
      <c r="C5758">
        <v>0.88986591720747099</v>
      </c>
      <c r="D5758">
        <v>0.82731257590891705</v>
      </c>
      <c r="E5758">
        <v>0.76494209265892998</v>
      </c>
      <c r="F5758">
        <v>0.71845886003130099</v>
      </c>
      <c r="G5758">
        <v>0.67704485658582003</v>
      </c>
      <c r="H5758">
        <v>0.36542263789495399</v>
      </c>
      <c r="I5758">
        <v>0.25240545393799402</v>
      </c>
      <c r="J5758">
        <v>0.20083349875378201</v>
      </c>
      <c r="K5758">
        <v>0.22449176852483499</v>
      </c>
      <c r="L5758">
        <v>480.09594837588799</v>
      </c>
      <c r="M5758">
        <v>8.2774345562360701</v>
      </c>
      <c r="N5758">
        <v>58.000574154348598</v>
      </c>
      <c r="O5758">
        <v>54.910923366614099</v>
      </c>
      <c r="P5758">
        <v>-3.7723239719897099E-2</v>
      </c>
      <c r="Q5758">
        <v>0</v>
      </c>
      <c r="R5758">
        <v>0.95352269715181703</v>
      </c>
      <c r="S5758" t="s">
        <v>12428</v>
      </c>
      <c r="T5758" t="s">
        <v>13338</v>
      </c>
      <c r="U5758" t="s">
        <v>13338</v>
      </c>
      <c r="V5758" t="s">
        <v>13338</v>
      </c>
      <c r="W5758" t="s">
        <v>19038</v>
      </c>
      <c r="X5758">
        <v>1</v>
      </c>
      <c r="Y5758" t="s">
        <v>25529</v>
      </c>
      <c r="Z5758" t="s">
        <v>32173</v>
      </c>
      <c r="AA5758">
        <v>0.60476949295734228</v>
      </c>
      <c r="AB5758" t="str">
        <f>HYPERLINK("Melting_Curves/meltCurve_Q9H9S5_FKRP.pdf", "Melting_Curves/meltCurve_Q9H9S5_FKRP.pdf")</f>
        <v>Melting_Curves/meltCurve_Q9H9S5_FKRP.pdf</v>
      </c>
    </row>
    <row r="5759" spans="1:28" x14ac:dyDescent="0.25">
      <c r="A5759" t="s">
        <v>5763</v>
      </c>
      <c r="B5759">
        <v>0.99193492352474899</v>
      </c>
      <c r="C5759">
        <v>0.95311759816599695</v>
      </c>
      <c r="D5759">
        <v>0.80673579591523603</v>
      </c>
      <c r="E5759">
        <v>0.67545446117880403</v>
      </c>
      <c r="F5759">
        <v>0.62431656718253703</v>
      </c>
      <c r="G5759">
        <v>0.242647001103448</v>
      </c>
      <c r="H5759">
        <v>0.13499243911394199</v>
      </c>
      <c r="I5759">
        <v>0.14100515788770099</v>
      </c>
      <c r="J5759">
        <v>0.137584791873262</v>
      </c>
      <c r="K5759">
        <v>0.15437470182146201</v>
      </c>
      <c r="L5759">
        <v>684.15592529754701</v>
      </c>
      <c r="M5759">
        <v>13.060383769426201</v>
      </c>
      <c r="N5759">
        <v>53.006843890061099</v>
      </c>
      <c r="O5759">
        <v>51.201593062938102</v>
      </c>
      <c r="P5759">
        <v>-5.92439563513385E-2</v>
      </c>
      <c r="Q5759">
        <v>7.1127328297783898E-2</v>
      </c>
      <c r="R5759">
        <v>0.96923134870958805</v>
      </c>
      <c r="S5759" t="s">
        <v>12429</v>
      </c>
      <c r="T5759" t="s">
        <v>13338</v>
      </c>
      <c r="U5759" t="s">
        <v>13338</v>
      </c>
      <c r="V5759" t="s">
        <v>13338</v>
      </c>
      <c r="W5759" t="s">
        <v>19039</v>
      </c>
      <c r="X5759">
        <v>11</v>
      </c>
      <c r="Y5759" t="s">
        <v>25530</v>
      </c>
      <c r="Z5759" t="s">
        <v>32174</v>
      </c>
      <c r="AA5759">
        <v>0.47942746082210891</v>
      </c>
      <c r="AB5759" t="str">
        <f>HYPERLINK("Melting_Curves/meltCurve_Q9H9T3_2_ELP3.pdf", "Melting_Curves/meltCurve_Q9H9T3_2_ELP3.pdf")</f>
        <v>Melting_Curves/meltCurve_Q9H9T3_2_ELP3.pdf</v>
      </c>
    </row>
    <row r="5760" spans="1:28" x14ac:dyDescent="0.25">
      <c r="A5760" t="s">
        <v>5764</v>
      </c>
      <c r="B5760">
        <v>0.99193492352474899</v>
      </c>
      <c r="C5760">
        <v>0.85084595973966104</v>
      </c>
      <c r="D5760">
        <v>0.94582894308882104</v>
      </c>
      <c r="E5760">
        <v>0.76636034213924797</v>
      </c>
      <c r="F5760">
        <v>0.594655540717827</v>
      </c>
      <c r="G5760">
        <v>0.40351340226204202</v>
      </c>
      <c r="H5760">
        <v>0.28324715836286601</v>
      </c>
      <c r="I5760">
        <v>0.20718117464015201</v>
      </c>
      <c r="J5760">
        <v>0.15566668720663801</v>
      </c>
      <c r="K5760">
        <v>9.9657077189757207E-2</v>
      </c>
      <c r="L5760">
        <v>574.24192509175896</v>
      </c>
      <c r="M5760">
        <v>10.4472712896986</v>
      </c>
      <c r="N5760">
        <v>55.136455383693303</v>
      </c>
      <c r="O5760">
        <v>53.066317569599903</v>
      </c>
      <c r="P5760">
        <v>-4.8454592585256397E-2</v>
      </c>
      <c r="Q5760">
        <v>1.5915450522362099E-2</v>
      </c>
      <c r="R5760">
        <v>0.98632848634592796</v>
      </c>
      <c r="S5760" t="s">
        <v>12430</v>
      </c>
      <c r="T5760" t="s">
        <v>13338</v>
      </c>
      <c r="U5760" t="s">
        <v>13338</v>
      </c>
      <c r="V5760" t="s">
        <v>13338</v>
      </c>
      <c r="W5760" t="s">
        <v>19040</v>
      </c>
      <c r="X5760">
        <v>3</v>
      </c>
      <c r="Y5760" t="s">
        <v>25531</v>
      </c>
      <c r="Z5760" t="s">
        <v>32175</v>
      </c>
      <c r="AA5760">
        <v>0.53196209428347052</v>
      </c>
      <c r="AB5760" t="str">
        <f>HYPERLINK("Melting_Curves/meltCurve_Q9H9Y4_GPN2.pdf", "Melting_Curves/meltCurve_Q9H9Y4_GPN2.pdf")</f>
        <v>Melting_Curves/meltCurve_Q9H9Y4_GPN2.pdf</v>
      </c>
    </row>
    <row r="5761" spans="1:28" x14ac:dyDescent="0.25">
      <c r="A5761" t="s">
        <v>5765</v>
      </c>
      <c r="B5761">
        <v>0.99193492352474899</v>
      </c>
      <c r="C5761">
        <v>0.63891588376196295</v>
      </c>
      <c r="D5761">
        <v>0.73151882839161697</v>
      </c>
      <c r="E5761">
        <v>0.33723510167952597</v>
      </c>
      <c r="F5761">
        <v>0.23711078309556999</v>
      </c>
      <c r="G5761">
        <v>0.10066208468258001</v>
      </c>
      <c r="H5761">
        <v>5.3476326345695303E-2</v>
      </c>
      <c r="I5761">
        <v>7.1281609261937898E-2</v>
      </c>
      <c r="J5761">
        <v>8.7385614520700303E-2</v>
      </c>
      <c r="K5761">
        <v>8.6744481667934997E-2</v>
      </c>
      <c r="L5761">
        <v>620.03889296528098</v>
      </c>
      <c r="M5761">
        <v>13.131710911096</v>
      </c>
      <c r="N5761">
        <v>47.540659394664203</v>
      </c>
      <c r="O5761">
        <v>46.162204567568601</v>
      </c>
      <c r="P5761">
        <v>-6.8086861910742494E-2</v>
      </c>
      <c r="Q5761">
        <v>4.27733740842932E-2</v>
      </c>
      <c r="R5761">
        <v>0.94763540560045401</v>
      </c>
      <c r="S5761" t="s">
        <v>12431</v>
      </c>
      <c r="T5761" t="s">
        <v>13338</v>
      </c>
      <c r="U5761" t="s">
        <v>13338</v>
      </c>
      <c r="V5761" t="s">
        <v>13338</v>
      </c>
      <c r="W5761" t="s">
        <v>19041</v>
      </c>
      <c r="X5761">
        <v>9</v>
      </c>
      <c r="Y5761" t="s">
        <v>25532</v>
      </c>
      <c r="Z5761" t="s">
        <v>32176</v>
      </c>
      <c r="AA5761">
        <v>0.30646355348753312</v>
      </c>
      <c r="AB5761" t="str">
        <f>HYPERLINK("Melting_Curves/meltCurve_Q9H9Y6_POLR1B.pdf", "Melting_Curves/meltCurve_Q9H9Y6_POLR1B.pdf")</f>
        <v>Melting_Curves/meltCurve_Q9H9Y6_POLR1B.pdf</v>
      </c>
    </row>
    <row r="5762" spans="1:28" x14ac:dyDescent="0.25">
      <c r="A5762" t="s">
        <v>5766</v>
      </c>
      <c r="B5762">
        <v>0.99193492352474899</v>
      </c>
      <c r="C5762">
        <v>1.0498570895371899</v>
      </c>
      <c r="D5762">
        <v>0.83580396311262295</v>
      </c>
      <c r="E5762">
        <v>0.82624887594225005</v>
      </c>
      <c r="F5762">
        <v>0.62610497222374095</v>
      </c>
      <c r="G5762">
        <v>0.45800928996867402</v>
      </c>
      <c r="H5762">
        <v>0.25241328352931303</v>
      </c>
      <c r="I5762">
        <v>0.212367720036652</v>
      </c>
      <c r="J5762">
        <v>0.188756990476315</v>
      </c>
      <c r="K5762">
        <v>0.16568259346187</v>
      </c>
      <c r="L5762">
        <v>707.57531026345805</v>
      </c>
      <c r="M5762">
        <v>12.997777687980699</v>
      </c>
      <c r="N5762">
        <v>55.471770620421097</v>
      </c>
      <c r="O5762">
        <v>53.197914993566499</v>
      </c>
      <c r="P5762">
        <v>-5.4522840034494501E-2</v>
      </c>
      <c r="Q5762">
        <v>0.107543210348671</v>
      </c>
      <c r="R5762">
        <v>0.98506232584444098</v>
      </c>
      <c r="S5762" t="s">
        <v>12432</v>
      </c>
      <c r="T5762" t="s">
        <v>13338</v>
      </c>
      <c r="U5762" t="s">
        <v>13338</v>
      </c>
      <c r="V5762" t="s">
        <v>13338</v>
      </c>
      <c r="W5762" t="s">
        <v>19042</v>
      </c>
      <c r="X5762">
        <v>8</v>
      </c>
      <c r="Y5762" t="s">
        <v>25533</v>
      </c>
      <c r="Z5762" t="s">
        <v>32177</v>
      </c>
      <c r="AA5762">
        <v>0.55783667464728881</v>
      </c>
      <c r="AB5762" t="str">
        <f>HYPERLINK("Melting_Curves/meltCurve_Q9HA47_3_UCK1.pdf", "Melting_Curves/meltCurve_Q9HA47_3_UCK1.pdf")</f>
        <v>Melting_Curves/meltCurve_Q9HA47_3_UCK1.pdf</v>
      </c>
    </row>
    <row r="5763" spans="1:28" x14ac:dyDescent="0.25">
      <c r="A5763" t="s">
        <v>5767</v>
      </c>
      <c r="B5763">
        <v>0.99193492352474899</v>
      </c>
      <c r="C5763">
        <v>0.94113565246837205</v>
      </c>
      <c r="D5763">
        <v>0.96269838429559795</v>
      </c>
      <c r="E5763">
        <v>0.81538324121181005</v>
      </c>
      <c r="F5763">
        <v>0.81598821064429095</v>
      </c>
      <c r="G5763">
        <v>0.57269292351074097</v>
      </c>
      <c r="H5763">
        <v>0.41036627657757602</v>
      </c>
      <c r="I5763">
        <v>0.42610746090833401</v>
      </c>
      <c r="J5763">
        <v>0.30945082632293203</v>
      </c>
      <c r="K5763">
        <v>0.16352538064622299</v>
      </c>
      <c r="L5763">
        <v>526.95073290785797</v>
      </c>
      <c r="M5763">
        <v>8.8189791580763295</v>
      </c>
      <c r="N5763">
        <v>59.751895488464797</v>
      </c>
      <c r="O5763">
        <v>56.918690450934101</v>
      </c>
      <c r="P5763">
        <v>-3.8765364588973998E-2</v>
      </c>
      <c r="Q5763">
        <v>0</v>
      </c>
      <c r="R5763">
        <v>0.97430660025448201</v>
      </c>
      <c r="S5763" t="s">
        <v>12433</v>
      </c>
      <c r="T5763" t="s">
        <v>13338</v>
      </c>
      <c r="U5763" t="s">
        <v>13338</v>
      </c>
      <c r="V5763" t="s">
        <v>13338</v>
      </c>
      <c r="W5763" t="s">
        <v>19043</v>
      </c>
      <c r="X5763">
        <v>7</v>
      </c>
      <c r="Y5763" t="s">
        <v>25534</v>
      </c>
      <c r="Z5763" t="s">
        <v>32178</v>
      </c>
      <c r="AA5763">
        <v>0.65078574658554467</v>
      </c>
      <c r="AB5763" t="str">
        <f>HYPERLINK("Melting_Curves/meltCurve_Q9HA64_FN3KRP.pdf", "Melting_Curves/meltCurve_Q9HA64_FN3KRP.pdf")</f>
        <v>Melting_Curves/meltCurve_Q9HA64_FN3KRP.pdf</v>
      </c>
    </row>
    <row r="5764" spans="1:28" x14ac:dyDescent="0.25">
      <c r="A5764" t="s">
        <v>5768</v>
      </c>
      <c r="B5764">
        <v>0.99193492352474899</v>
      </c>
      <c r="C5764">
        <v>0.96849952214533297</v>
      </c>
      <c r="D5764">
        <v>0.77288193778330905</v>
      </c>
      <c r="E5764">
        <v>0.45155344415722998</v>
      </c>
      <c r="F5764">
        <v>0.280441276391178</v>
      </c>
      <c r="G5764">
        <v>0.201495142938245</v>
      </c>
      <c r="H5764">
        <v>0.11971948820344699</v>
      </c>
      <c r="I5764">
        <v>0.161376743314189</v>
      </c>
      <c r="J5764">
        <v>0.15166700666805599</v>
      </c>
      <c r="K5764">
        <v>0.16457011834618901</v>
      </c>
      <c r="L5764">
        <v>1010.2807728411</v>
      </c>
      <c r="M5764">
        <v>20.910967472969599</v>
      </c>
      <c r="N5764">
        <v>49.157078463731402</v>
      </c>
      <c r="O5764">
        <v>47.878107280813502</v>
      </c>
      <c r="P5764">
        <v>-9.2728792047949496E-2</v>
      </c>
      <c r="Q5764">
        <v>0.15076952668421501</v>
      </c>
      <c r="R5764">
        <v>0.99687043647399398</v>
      </c>
      <c r="S5764" t="s">
        <v>12434</v>
      </c>
      <c r="T5764" t="s">
        <v>13338</v>
      </c>
      <c r="U5764" t="s">
        <v>13338</v>
      </c>
      <c r="V5764" t="s">
        <v>13338</v>
      </c>
      <c r="W5764" t="s">
        <v>19044</v>
      </c>
      <c r="X5764">
        <v>4</v>
      </c>
      <c r="Y5764" t="s">
        <v>25535</v>
      </c>
      <c r="Z5764" t="s">
        <v>32179</v>
      </c>
      <c r="AA5764">
        <v>0.397032973399991</v>
      </c>
      <c r="AB5764" t="str">
        <f>HYPERLINK("Melting_Curves/meltCurve_Q9HA65_TBC1D17.pdf", "Melting_Curves/meltCurve_Q9HA65_TBC1D17.pdf")</f>
        <v>Melting_Curves/meltCurve_Q9HA65_TBC1D17.pdf</v>
      </c>
    </row>
    <row r="5765" spans="1:28" x14ac:dyDescent="0.25">
      <c r="A5765" t="s">
        <v>5769</v>
      </c>
      <c r="B5765">
        <v>0.99193492352474899</v>
      </c>
      <c r="C5765">
        <v>0.84003509168300305</v>
      </c>
      <c r="D5765">
        <v>0.86044734732364303</v>
      </c>
      <c r="E5765">
        <v>0.73016597592757104</v>
      </c>
      <c r="F5765">
        <v>0.58671490162140405</v>
      </c>
      <c r="G5765">
        <v>0.35615601186370199</v>
      </c>
      <c r="H5765">
        <v>0.173296191191365</v>
      </c>
      <c r="I5765">
        <v>0.124501891590957</v>
      </c>
      <c r="J5765">
        <v>0.151694923620941</v>
      </c>
      <c r="K5765">
        <v>0.17964598764652401</v>
      </c>
      <c r="L5765">
        <v>617.91747664876596</v>
      </c>
      <c r="M5765">
        <v>11.632981422898</v>
      </c>
      <c r="N5765">
        <v>53.728392166236397</v>
      </c>
      <c r="O5765">
        <v>51.620845913657099</v>
      </c>
      <c r="P5765">
        <v>-5.2864049661203401E-2</v>
      </c>
      <c r="Q5765">
        <v>6.1927031064062901E-2</v>
      </c>
      <c r="R5765">
        <v>0.97492817403073395</v>
      </c>
      <c r="S5765" t="s">
        <v>12435</v>
      </c>
      <c r="T5765" t="s">
        <v>13338</v>
      </c>
      <c r="U5765" t="s">
        <v>13338</v>
      </c>
      <c r="V5765" t="s">
        <v>13338</v>
      </c>
      <c r="W5765" t="s">
        <v>19045</v>
      </c>
      <c r="X5765">
        <v>8</v>
      </c>
      <c r="Y5765" t="s">
        <v>25536</v>
      </c>
      <c r="Z5765" t="s">
        <v>32180</v>
      </c>
      <c r="AA5765">
        <v>0.49946637476297739</v>
      </c>
      <c r="AB5765" t="str">
        <f>HYPERLINK("Melting_Curves/meltCurve_Q9HA77_CARS2.pdf", "Melting_Curves/meltCurve_Q9HA77_CARS2.pdf")</f>
        <v>Melting_Curves/meltCurve_Q9HA77_CARS2.pdf</v>
      </c>
    </row>
    <row r="5766" spans="1:28" x14ac:dyDescent="0.25">
      <c r="A5766" t="s">
        <v>5770</v>
      </c>
      <c r="B5766">
        <v>0.99193492352474899</v>
      </c>
      <c r="C5766">
        <v>1.0510889646872399</v>
      </c>
      <c r="D5766">
        <v>0.84140179431693696</v>
      </c>
      <c r="E5766">
        <v>0.74856892341488501</v>
      </c>
      <c r="F5766">
        <v>0.43462978759340298</v>
      </c>
      <c r="G5766">
        <v>0.33437554372475298</v>
      </c>
      <c r="H5766">
        <v>0.19370392869422801</v>
      </c>
      <c r="I5766">
        <v>0.242382246708233</v>
      </c>
      <c r="J5766">
        <v>0.195642585496317</v>
      </c>
      <c r="K5766">
        <v>0.31169424805978202</v>
      </c>
      <c r="L5766">
        <v>1026.2855565504799</v>
      </c>
      <c r="M5766">
        <v>20.186761476714601</v>
      </c>
      <c r="N5766">
        <v>52.425027459978303</v>
      </c>
      <c r="O5766">
        <v>50.348523968660501</v>
      </c>
      <c r="P5766">
        <v>-7.7337561377297706E-2</v>
      </c>
      <c r="Q5766">
        <v>0.228462818479512</v>
      </c>
      <c r="R5766">
        <v>0.97604011824095305</v>
      </c>
      <c r="S5766" t="s">
        <v>12436</v>
      </c>
      <c r="T5766" t="s">
        <v>13338</v>
      </c>
      <c r="U5766" t="s">
        <v>13338</v>
      </c>
      <c r="V5766" t="s">
        <v>13338</v>
      </c>
      <c r="W5766" t="s">
        <v>19046</v>
      </c>
      <c r="X5766">
        <v>1</v>
      </c>
      <c r="Y5766" t="s">
        <v>25537</v>
      </c>
      <c r="Z5766" t="s">
        <v>32181</v>
      </c>
      <c r="AA5766">
        <v>0.51776101868651825</v>
      </c>
      <c r="AB5766" t="str">
        <f>HYPERLINK("Melting_Curves/meltCurve_Q9HA92_RSAD1.pdf", "Melting_Curves/meltCurve_Q9HA92_RSAD1.pdf")</f>
        <v>Melting_Curves/meltCurve_Q9HA92_RSAD1.pdf</v>
      </c>
    </row>
    <row r="5767" spans="1:28" x14ac:dyDescent="0.25">
      <c r="A5767" t="s">
        <v>5771</v>
      </c>
      <c r="B5767">
        <v>0.99193492352474899</v>
      </c>
      <c r="C5767">
        <v>0.93173742751964295</v>
      </c>
      <c r="D5767">
        <v>0.93968044137611295</v>
      </c>
      <c r="E5767">
        <v>0.80976838120427996</v>
      </c>
      <c r="F5767">
        <v>0.65676449736585996</v>
      </c>
      <c r="G5767">
        <v>0.250218408795086</v>
      </c>
      <c r="H5767">
        <v>8.9070196945722102E-2</v>
      </c>
      <c r="I5767">
        <v>9.02062356480616E-2</v>
      </c>
      <c r="J5767">
        <v>8.9643829445806997E-2</v>
      </c>
      <c r="K5767">
        <v>8.5230369479607798E-2</v>
      </c>
      <c r="L5767">
        <v>1145.7168216989201</v>
      </c>
      <c r="M5767">
        <v>21.2928146666038</v>
      </c>
      <c r="N5767">
        <v>54.109995449907501</v>
      </c>
      <c r="O5767">
        <v>53.339817325547301</v>
      </c>
      <c r="P5767">
        <v>-9.4203533332613096E-2</v>
      </c>
      <c r="Q5767">
        <v>5.6081279597910899E-2</v>
      </c>
      <c r="R5767">
        <v>0.98790879946341803</v>
      </c>
      <c r="S5767" t="s">
        <v>12437</v>
      </c>
      <c r="T5767" t="s">
        <v>13338</v>
      </c>
      <c r="U5767" t="s">
        <v>13338</v>
      </c>
      <c r="V5767" t="s">
        <v>13338</v>
      </c>
      <c r="W5767" t="s">
        <v>19047</v>
      </c>
      <c r="X5767">
        <v>7</v>
      </c>
      <c r="Y5767" t="s">
        <v>25538</v>
      </c>
      <c r="Z5767" t="s">
        <v>32182</v>
      </c>
      <c r="AA5767">
        <v>0.50211846625384882</v>
      </c>
      <c r="AB5767" t="str">
        <f>HYPERLINK("Melting_Curves/meltCurve_Q9HAB8_PPCS.pdf", "Melting_Curves/meltCurve_Q9HAB8_PPCS.pdf")</f>
        <v>Melting_Curves/meltCurve_Q9HAB8_PPCS.pdf</v>
      </c>
    </row>
    <row r="5768" spans="1:28" x14ac:dyDescent="0.25">
      <c r="A5768" t="s">
        <v>5772</v>
      </c>
      <c r="B5768">
        <v>0.99193492352474899</v>
      </c>
      <c r="C5768">
        <v>1.01001251647616</v>
      </c>
      <c r="D5768">
        <v>1.0416106180710001</v>
      </c>
      <c r="E5768">
        <v>0.856066077140749</v>
      </c>
      <c r="F5768">
        <v>0.70154922992636704</v>
      </c>
      <c r="G5768">
        <v>0.36314415952703799</v>
      </c>
      <c r="H5768">
        <v>0.124932957614487</v>
      </c>
      <c r="I5768">
        <v>0.100894756675105</v>
      </c>
      <c r="J5768">
        <v>0.14228159252403799</v>
      </c>
      <c r="K5768">
        <v>0.108554968235445</v>
      </c>
      <c r="L5768">
        <v>1270.9732419608099</v>
      </c>
      <c r="M5768">
        <v>23.295344714102399</v>
      </c>
      <c r="N5768">
        <v>55.044259618682702</v>
      </c>
      <c r="O5768">
        <v>54.161809109255302</v>
      </c>
      <c r="P5768">
        <v>-9.7549148645923206E-2</v>
      </c>
      <c r="Q5768">
        <v>9.2806501862513296E-2</v>
      </c>
      <c r="R5768">
        <v>0.99243952811765901</v>
      </c>
      <c r="S5768" t="s">
        <v>12438</v>
      </c>
      <c r="T5768" t="s">
        <v>13338</v>
      </c>
      <c r="U5768" t="s">
        <v>13338</v>
      </c>
      <c r="V5768" t="s">
        <v>13338</v>
      </c>
      <c r="W5768" t="s">
        <v>19048</v>
      </c>
      <c r="X5768">
        <v>6</v>
      </c>
      <c r="Y5768" t="s">
        <v>25539</v>
      </c>
      <c r="Z5768" t="s">
        <v>32183</v>
      </c>
      <c r="AA5768">
        <v>0.54257795362449379</v>
      </c>
      <c r="AB5768" t="str">
        <f>HYPERLINK("Melting_Curves/meltCurve_Q9HAD4_WDR41.pdf", "Melting_Curves/meltCurve_Q9HAD4_WDR41.pdf")</f>
        <v>Melting_Curves/meltCurve_Q9HAD4_WDR41.pdf</v>
      </c>
    </row>
    <row r="5769" spans="1:28" x14ac:dyDescent="0.25">
      <c r="A5769" t="s">
        <v>5773</v>
      </c>
      <c r="B5769">
        <v>0.99193492352474899</v>
      </c>
      <c r="C5769">
        <v>0.81729459787950898</v>
      </c>
      <c r="D5769">
        <v>0.797171566033962</v>
      </c>
      <c r="E5769">
        <v>0.723688010182858</v>
      </c>
      <c r="F5769">
        <v>0.525963900366338</v>
      </c>
      <c r="G5769">
        <v>0.38749719799950899</v>
      </c>
      <c r="H5769">
        <v>0.38669476581758999</v>
      </c>
      <c r="I5769">
        <v>0.57734759017619297</v>
      </c>
      <c r="J5769">
        <v>0.68918632094596999</v>
      </c>
      <c r="K5769">
        <v>0.97293470479909006</v>
      </c>
      <c r="L5769">
        <v>886.85914339726605</v>
      </c>
      <c r="M5769">
        <v>19.789118254931601</v>
      </c>
      <c r="O5769">
        <v>44.365380787962501</v>
      </c>
      <c r="P5769">
        <v>-4.4675792900506002E-2</v>
      </c>
      <c r="Q5769">
        <v>0.59937753877504796</v>
      </c>
      <c r="R5769">
        <v>0.38039939760472502</v>
      </c>
      <c r="S5769" t="s">
        <v>12439</v>
      </c>
      <c r="T5769" t="s">
        <v>13338</v>
      </c>
      <c r="U5769" t="s">
        <v>13338</v>
      </c>
      <c r="V5769" t="s">
        <v>13338</v>
      </c>
      <c r="W5769" t="s">
        <v>19049</v>
      </c>
      <c r="X5769">
        <v>7</v>
      </c>
      <c r="Y5769" t="s">
        <v>25540</v>
      </c>
      <c r="Z5769" t="s">
        <v>32184</v>
      </c>
      <c r="AA5769">
        <v>0.67078783050367108</v>
      </c>
      <c r="AB5769" t="str">
        <f>HYPERLINK("Melting_Curves/meltCurve_Q9HAF1_2_MEAF6.pdf", "Melting_Curves/meltCurve_Q9HAF1_2_MEAF6.pdf")</f>
        <v>Melting_Curves/meltCurve_Q9HAF1_2_MEAF6.pdf</v>
      </c>
    </row>
    <row r="5770" spans="1:28" x14ac:dyDescent="0.25">
      <c r="A5770" t="s">
        <v>5774</v>
      </c>
      <c r="B5770">
        <v>0.99193492352474899</v>
      </c>
      <c r="C5770">
        <v>0.57942275515478503</v>
      </c>
      <c r="D5770">
        <v>0.55078726205151196</v>
      </c>
      <c r="E5770">
        <v>0.292246246435938</v>
      </c>
      <c r="F5770">
        <v>0.21515545503581601</v>
      </c>
      <c r="G5770">
        <v>0.14330379843458699</v>
      </c>
      <c r="H5770">
        <v>8.0182992836579897E-2</v>
      </c>
      <c r="I5770">
        <v>0.11312439850433099</v>
      </c>
      <c r="J5770">
        <v>4.9702529976766101E-2</v>
      </c>
      <c r="K5770">
        <v>0.19792441994394899</v>
      </c>
      <c r="L5770">
        <v>652.32423145982102</v>
      </c>
      <c r="M5770">
        <v>14.463482864485099</v>
      </c>
      <c r="N5770">
        <v>45.843666324248197</v>
      </c>
      <c r="O5770">
        <v>44.265605063883697</v>
      </c>
      <c r="P5770">
        <v>-7.31676812255527E-2</v>
      </c>
      <c r="Q5770">
        <v>0.104383707678167</v>
      </c>
      <c r="R5770">
        <v>0.939744165080727</v>
      </c>
      <c r="S5770" t="s">
        <v>12440</v>
      </c>
      <c r="T5770" t="s">
        <v>13338</v>
      </c>
      <c r="U5770" t="s">
        <v>13338</v>
      </c>
      <c r="V5770" t="s">
        <v>13338</v>
      </c>
      <c r="W5770" t="s">
        <v>19050</v>
      </c>
      <c r="X5770">
        <v>1</v>
      </c>
      <c r="Y5770" t="s">
        <v>25541</v>
      </c>
      <c r="Z5770" t="s">
        <v>32185</v>
      </c>
      <c r="AA5770">
        <v>0.28738624220645331</v>
      </c>
      <c r="AB5770" t="str">
        <f>HYPERLINK("Melting_Curves/meltCurve_Q9HAJ7_SAP30L.pdf", "Melting_Curves/meltCurve_Q9HAJ7_SAP30L.pdf")</f>
        <v>Melting_Curves/meltCurve_Q9HAJ7_SAP30L.pdf</v>
      </c>
    </row>
    <row r="5771" spans="1:28" x14ac:dyDescent="0.25">
      <c r="A5771" t="s">
        <v>5775</v>
      </c>
      <c r="B5771">
        <v>0.99193492352474899</v>
      </c>
      <c r="C5771">
        <v>0.60451932640913597</v>
      </c>
      <c r="D5771">
        <v>0.75076711302267896</v>
      </c>
      <c r="E5771">
        <v>0.50189788469093899</v>
      </c>
      <c r="F5771">
        <v>0.55418599533671198</v>
      </c>
      <c r="G5771">
        <v>0.28835047842616501</v>
      </c>
      <c r="H5771">
        <v>0.37791840269451799</v>
      </c>
      <c r="I5771">
        <v>0.32587015399814301</v>
      </c>
      <c r="J5771">
        <v>0.44627563558265998</v>
      </c>
      <c r="K5771">
        <v>0.20029562146288399</v>
      </c>
      <c r="L5771">
        <v>422.69583866355799</v>
      </c>
      <c r="M5771">
        <v>9.0345654989438309</v>
      </c>
      <c r="N5771">
        <v>51.269333027575399</v>
      </c>
      <c r="O5771">
        <v>44.664949663711901</v>
      </c>
      <c r="P5771">
        <v>-3.6786255185898099E-2</v>
      </c>
      <c r="Q5771">
        <v>0.273066675126721</v>
      </c>
      <c r="R5771">
        <v>0.792819547436036</v>
      </c>
      <c r="S5771" t="s">
        <v>12441</v>
      </c>
      <c r="T5771" t="s">
        <v>13338</v>
      </c>
      <c r="U5771" t="s">
        <v>13338</v>
      </c>
      <c r="V5771" t="s">
        <v>13338</v>
      </c>
      <c r="W5771" t="s">
        <v>19051</v>
      </c>
      <c r="X5771">
        <v>4</v>
      </c>
      <c r="Y5771" t="s">
        <v>25542</v>
      </c>
      <c r="Z5771" t="s">
        <v>32186</v>
      </c>
      <c r="AA5771">
        <v>0.48726293920226987</v>
      </c>
      <c r="AB5771" t="str">
        <f>HYPERLINK("Melting_Curves/meltCurve_Q9HAN9_NMNAT1.pdf", "Melting_Curves/meltCurve_Q9HAN9_NMNAT1.pdf")</f>
        <v>Melting_Curves/meltCurve_Q9HAN9_NMNAT1.pdf</v>
      </c>
    </row>
    <row r="5772" spans="1:28" x14ac:dyDescent="0.25">
      <c r="A5772" t="s">
        <v>5776</v>
      </c>
      <c r="B5772">
        <v>0.99193492352474899</v>
      </c>
      <c r="C5772">
        <v>0.87889262921906297</v>
      </c>
      <c r="D5772">
        <v>0.77592562877812798</v>
      </c>
      <c r="E5772">
        <v>0.573778133659825</v>
      </c>
      <c r="F5772">
        <v>0.48024894503997601</v>
      </c>
      <c r="G5772">
        <v>0.305954001047746</v>
      </c>
      <c r="H5772">
        <v>0.26305351080686001</v>
      </c>
      <c r="I5772">
        <v>0.270269222454674</v>
      </c>
      <c r="J5772">
        <v>0.34263832268556399</v>
      </c>
      <c r="K5772">
        <v>0.34825740990626802</v>
      </c>
      <c r="L5772">
        <v>737.04132544532797</v>
      </c>
      <c r="M5772">
        <v>15.265393752544499</v>
      </c>
      <c r="N5772">
        <v>51.187172120110098</v>
      </c>
      <c r="O5772">
        <v>47.476038193934301</v>
      </c>
      <c r="P5772">
        <v>-5.70963184222208E-2</v>
      </c>
      <c r="Q5772">
        <v>0.28977885674107301</v>
      </c>
      <c r="R5772">
        <v>0.97652827186670399</v>
      </c>
      <c r="S5772" t="s">
        <v>12442</v>
      </c>
      <c r="T5772" t="s">
        <v>13338</v>
      </c>
      <c r="U5772" t="s">
        <v>13338</v>
      </c>
      <c r="V5772" t="s">
        <v>13338</v>
      </c>
      <c r="W5772" t="s">
        <v>19052</v>
      </c>
      <c r="X5772">
        <v>2</v>
      </c>
      <c r="Y5772" t="s">
        <v>25543</v>
      </c>
      <c r="Z5772" t="s">
        <v>32187</v>
      </c>
      <c r="AA5772">
        <v>0.50327764536457509</v>
      </c>
      <c r="AB5772" t="str">
        <f>HYPERLINK("Melting_Curves/meltCurve_Q9HAT2_2_SIAE.pdf", "Melting_Curves/meltCurve_Q9HAT2_2_SIAE.pdf")</f>
        <v>Melting_Curves/meltCurve_Q9HAT2_2_SIAE.pdf</v>
      </c>
    </row>
    <row r="5773" spans="1:28" x14ac:dyDescent="0.25">
      <c r="A5773" t="s">
        <v>5777</v>
      </c>
      <c r="B5773">
        <v>0.99193492352474899</v>
      </c>
      <c r="C5773">
        <v>0.96329186443578196</v>
      </c>
      <c r="D5773">
        <v>0.66219051065998102</v>
      </c>
      <c r="E5773">
        <v>0.38757615216893698</v>
      </c>
      <c r="F5773">
        <v>0.200608848768631</v>
      </c>
      <c r="G5773">
        <v>0.11483010519191</v>
      </c>
      <c r="H5773">
        <v>7.2998343419293704E-2</v>
      </c>
      <c r="I5773">
        <v>8.9958075484492195E-2</v>
      </c>
      <c r="J5773">
        <v>0.103866648917917</v>
      </c>
      <c r="K5773">
        <v>9.42868960238082E-2</v>
      </c>
      <c r="L5773">
        <v>968.48098833682104</v>
      </c>
      <c r="M5773">
        <v>20.324610598779099</v>
      </c>
      <c r="N5773">
        <v>48.108415672788801</v>
      </c>
      <c r="O5773">
        <v>47.1965612282442</v>
      </c>
      <c r="P5773">
        <v>-9.8196985429316902E-2</v>
      </c>
      <c r="Q5773">
        <v>8.7919919150772102E-2</v>
      </c>
      <c r="R5773">
        <v>0.99533547560998203</v>
      </c>
      <c r="S5773" t="s">
        <v>12443</v>
      </c>
      <c r="T5773" t="s">
        <v>13338</v>
      </c>
      <c r="U5773" t="s">
        <v>13338</v>
      </c>
      <c r="V5773" t="s">
        <v>13338</v>
      </c>
      <c r="W5773" t="s">
        <v>19053</v>
      </c>
      <c r="X5773">
        <v>8</v>
      </c>
      <c r="Y5773" t="s">
        <v>25544</v>
      </c>
      <c r="Z5773" t="s">
        <v>32188</v>
      </c>
      <c r="AA5773">
        <v>0.33314352695783822</v>
      </c>
      <c r="AB5773" t="str">
        <f>HYPERLINK("Melting_Curves/meltCurve_Q9HAT8_PELI2.pdf", "Melting_Curves/meltCurve_Q9HAT8_PELI2.pdf")</f>
        <v>Melting_Curves/meltCurve_Q9HAT8_PELI2.pdf</v>
      </c>
    </row>
    <row r="5774" spans="1:28" x14ac:dyDescent="0.25">
      <c r="A5774" t="s">
        <v>5778</v>
      </c>
      <c r="B5774">
        <v>0.99193492352474899</v>
      </c>
      <c r="C5774">
        <v>0.57966669036473695</v>
      </c>
      <c r="D5774">
        <v>0.77267615774193099</v>
      </c>
      <c r="E5774">
        <v>0.211445953994779</v>
      </c>
      <c r="F5774">
        <v>0.177943345265419</v>
      </c>
      <c r="G5774">
        <v>8.2942082937564804E-2</v>
      </c>
      <c r="H5774">
        <v>5.2410769292874498E-2</v>
      </c>
      <c r="I5774">
        <v>6.6542544775397797E-2</v>
      </c>
      <c r="J5774">
        <v>7.2706171888674995E-2</v>
      </c>
      <c r="K5774">
        <v>6.77282846006272E-2</v>
      </c>
      <c r="L5774">
        <v>677.43514363549104</v>
      </c>
      <c r="M5774">
        <v>14.5552760757133</v>
      </c>
      <c r="N5774">
        <v>46.8075710141039</v>
      </c>
      <c r="O5774">
        <v>45.690174742055</v>
      </c>
      <c r="P5774">
        <v>-7.6496255498345503E-2</v>
      </c>
      <c r="Q5774">
        <v>3.9597727508933797E-2</v>
      </c>
      <c r="R5774">
        <v>0.90200586193197896</v>
      </c>
      <c r="S5774" t="s">
        <v>12444</v>
      </c>
      <c r="T5774" t="s">
        <v>13338</v>
      </c>
      <c r="U5774" t="s">
        <v>13338</v>
      </c>
      <c r="V5774" t="s">
        <v>13338</v>
      </c>
      <c r="W5774" t="s">
        <v>19054</v>
      </c>
      <c r="X5774">
        <v>17</v>
      </c>
      <c r="Y5774" t="s">
        <v>25545</v>
      </c>
      <c r="Z5774" t="s">
        <v>32189</v>
      </c>
      <c r="AA5774">
        <v>0.27766906106396388</v>
      </c>
      <c r="AB5774" t="str">
        <f>HYPERLINK("Melting_Curves/meltCurve_Q9HAU5_UPF2.pdf", "Melting_Curves/meltCurve_Q9HAU5_UPF2.pdf")</f>
        <v>Melting_Curves/meltCurve_Q9HAU5_UPF2.pdf</v>
      </c>
    </row>
    <row r="5775" spans="1:28" x14ac:dyDescent="0.25">
      <c r="A5775" t="s">
        <v>5779</v>
      </c>
      <c r="B5775">
        <v>0.99193492352474899</v>
      </c>
      <c r="C5775">
        <v>0.92071997362312097</v>
      </c>
      <c r="D5775">
        <v>0.90192142590705404</v>
      </c>
      <c r="E5775">
        <v>0.273901964308568</v>
      </c>
      <c r="F5775">
        <v>0.133782267906465</v>
      </c>
      <c r="G5775">
        <v>7.8327114784138799E-2</v>
      </c>
      <c r="H5775">
        <v>4.7408745136732003E-2</v>
      </c>
      <c r="I5775">
        <v>5.7483464648279602E-2</v>
      </c>
      <c r="J5775">
        <v>5.8637279151388499E-2</v>
      </c>
      <c r="K5775">
        <v>6.0973250915338999E-2</v>
      </c>
      <c r="L5775">
        <v>2002.6553868805099</v>
      </c>
      <c r="M5775">
        <v>41.5625939626185</v>
      </c>
      <c r="N5775">
        <v>48.354076152598097</v>
      </c>
      <c r="O5775">
        <v>48.072936739013997</v>
      </c>
      <c r="P5775">
        <v>-0.201451947631798</v>
      </c>
      <c r="Q5775">
        <v>6.7972559452461695E-2</v>
      </c>
      <c r="R5775">
        <v>0.994114195245829</v>
      </c>
      <c r="S5775" t="s">
        <v>12445</v>
      </c>
      <c r="T5775" t="s">
        <v>13338</v>
      </c>
      <c r="U5775" t="s">
        <v>13338</v>
      </c>
      <c r="V5775" t="s">
        <v>13338</v>
      </c>
      <c r="W5775" t="s">
        <v>19055</v>
      </c>
      <c r="X5775">
        <v>26</v>
      </c>
      <c r="Y5775" t="s">
        <v>25546</v>
      </c>
      <c r="Z5775" t="s">
        <v>32190</v>
      </c>
      <c r="AA5775">
        <v>0.3251109479350397</v>
      </c>
      <c r="AB5775" t="str">
        <f>HYPERLINK("Melting_Curves/meltCurve_Q9HAV4_XPO5.pdf", "Melting_Curves/meltCurve_Q9HAV4_XPO5.pdf")</f>
        <v>Melting_Curves/meltCurve_Q9HAV4_XPO5.pdf</v>
      </c>
    </row>
    <row r="5776" spans="1:28" x14ac:dyDescent="0.25">
      <c r="A5776" t="s">
        <v>5780</v>
      </c>
      <c r="B5776">
        <v>0.99193492352474899</v>
      </c>
      <c r="C5776">
        <v>0.793595622752723</v>
      </c>
      <c r="D5776">
        <v>0.87515289950295005</v>
      </c>
      <c r="E5776">
        <v>0.72375622100060699</v>
      </c>
      <c r="F5776">
        <v>0.19805943150131</v>
      </c>
      <c r="G5776">
        <v>0.111122055168706</v>
      </c>
      <c r="H5776">
        <v>7.8973855771897999E-2</v>
      </c>
      <c r="I5776">
        <v>8.6744380249875602E-2</v>
      </c>
      <c r="J5776">
        <v>0.102961991279247</v>
      </c>
      <c r="K5776">
        <v>0.130861283105144</v>
      </c>
      <c r="L5776">
        <v>1735.6927769034201</v>
      </c>
      <c r="M5776">
        <v>34.344442559734503</v>
      </c>
      <c r="N5776">
        <v>50.844092961214699</v>
      </c>
      <c r="O5776">
        <v>50.367394030068802</v>
      </c>
      <c r="P5776">
        <v>-0.15454069417757799</v>
      </c>
      <c r="Q5776">
        <v>9.3445018474410196E-2</v>
      </c>
      <c r="R5776">
        <v>0.958316606671761</v>
      </c>
      <c r="S5776" t="s">
        <v>12446</v>
      </c>
      <c r="T5776" t="s">
        <v>13338</v>
      </c>
      <c r="U5776" t="s">
        <v>13338</v>
      </c>
      <c r="V5776" t="s">
        <v>13338</v>
      </c>
      <c r="W5776" t="s">
        <v>19056</v>
      </c>
      <c r="X5776">
        <v>22</v>
      </c>
      <c r="Y5776" t="s">
        <v>25547</v>
      </c>
      <c r="Z5776" t="s">
        <v>32191</v>
      </c>
      <c r="AA5776">
        <v>0.41618894511591398</v>
      </c>
      <c r="AB5776" t="str">
        <f>HYPERLINK("Melting_Curves/meltCurve_Q9HAV7_GRPEL1.pdf", "Melting_Curves/meltCurve_Q9HAV7_GRPEL1.pdf")</f>
        <v>Melting_Curves/meltCurve_Q9HAV7_GRPEL1.pdf</v>
      </c>
    </row>
    <row r="5777" spans="1:28" x14ac:dyDescent="0.25">
      <c r="A5777" t="s">
        <v>5781</v>
      </c>
      <c r="B5777">
        <v>0.99193492352474899</v>
      </c>
      <c r="C5777">
        <v>0.86202457087490703</v>
      </c>
      <c r="D5777">
        <v>0.69806887466786005</v>
      </c>
      <c r="E5777">
        <v>0.60154503273518101</v>
      </c>
      <c r="F5777">
        <v>0.47236136958654001</v>
      </c>
      <c r="G5777">
        <v>0.368227479013082</v>
      </c>
      <c r="H5777">
        <v>0.40355680452397202</v>
      </c>
      <c r="I5777">
        <v>0.54842116853924405</v>
      </c>
      <c r="J5777">
        <v>0.64702801004822696</v>
      </c>
      <c r="K5777">
        <v>0.86431728162962895</v>
      </c>
      <c r="L5777">
        <v>1208.0478249924199</v>
      </c>
      <c r="M5777">
        <v>27.1718863963278</v>
      </c>
      <c r="O5777">
        <v>44.220739254173097</v>
      </c>
      <c r="P5777">
        <v>-6.8445940772712002E-2</v>
      </c>
      <c r="Q5777">
        <v>0.55443622072275001</v>
      </c>
      <c r="R5777">
        <v>0.56538081807341201</v>
      </c>
      <c r="S5777" t="s">
        <v>12447</v>
      </c>
      <c r="T5777" t="s">
        <v>13338</v>
      </c>
      <c r="U5777" t="s">
        <v>13338</v>
      </c>
      <c r="V5777" t="s">
        <v>13338</v>
      </c>
      <c r="W5777" t="s">
        <v>19057</v>
      </c>
      <c r="X5777">
        <v>14</v>
      </c>
      <c r="Y5777" t="s">
        <v>25548</v>
      </c>
      <c r="Z5777" t="s">
        <v>32192</v>
      </c>
      <c r="AA5777">
        <v>0.62453750725096702</v>
      </c>
      <c r="AB5777" t="str">
        <f>HYPERLINK("Melting_Curves/meltCurve_Q9HAW4_CLSPN.pdf", "Melting_Curves/meltCurve_Q9HAW4_CLSPN.pdf")</f>
        <v>Melting_Curves/meltCurve_Q9HAW4_CLSPN.pdf</v>
      </c>
    </row>
    <row r="5778" spans="1:28" x14ac:dyDescent="0.25">
      <c r="A5778" t="s">
        <v>5782</v>
      </c>
      <c r="B5778">
        <v>0.99193492352474899</v>
      </c>
      <c r="C5778">
        <v>0.93934287291011298</v>
      </c>
      <c r="D5778">
        <v>0.845126108052355</v>
      </c>
      <c r="E5778">
        <v>0.81021459405601703</v>
      </c>
      <c r="F5778">
        <v>0.635282400541749</v>
      </c>
      <c r="G5778">
        <v>0.44404930638369899</v>
      </c>
      <c r="H5778">
        <v>0.216369075842193</v>
      </c>
      <c r="I5778">
        <v>0.13114855688972701</v>
      </c>
      <c r="J5778">
        <v>0.13750163322584499</v>
      </c>
      <c r="K5778">
        <v>9.1719568889173805E-2</v>
      </c>
      <c r="L5778">
        <v>641.03903974101399</v>
      </c>
      <c r="M5778">
        <v>11.6082851823562</v>
      </c>
      <c r="N5778">
        <v>55.222544039085001</v>
      </c>
      <c r="O5778">
        <v>53.6600545482192</v>
      </c>
      <c r="P5778">
        <v>-5.4097351025897002E-2</v>
      </c>
      <c r="Q5778">
        <v>0</v>
      </c>
      <c r="R5778">
        <v>0.99103548392305696</v>
      </c>
      <c r="S5778" t="s">
        <v>12448</v>
      </c>
      <c r="T5778" t="s">
        <v>13338</v>
      </c>
      <c r="U5778" t="s">
        <v>13338</v>
      </c>
      <c r="V5778" t="s">
        <v>13338</v>
      </c>
      <c r="W5778" t="s">
        <v>19058</v>
      </c>
      <c r="X5778">
        <v>13</v>
      </c>
      <c r="Y5778" t="s">
        <v>25549</v>
      </c>
      <c r="Z5778" t="s">
        <v>32193</v>
      </c>
      <c r="AA5778">
        <v>0.53068403969837197</v>
      </c>
      <c r="AB5778" t="str">
        <f>HYPERLINK("Melting_Curves/meltCurve_Q9HB07_C12orf10.pdf", "Melting_Curves/meltCurve_Q9HB07_C12orf10.pdf")</f>
        <v>Melting_Curves/meltCurve_Q9HB07_C12orf10.pdf</v>
      </c>
    </row>
    <row r="5779" spans="1:28" x14ac:dyDescent="0.25">
      <c r="A5779" t="s">
        <v>5783</v>
      </c>
      <c r="B5779">
        <v>0.99193492352474899</v>
      </c>
      <c r="C5779">
        <v>0.83538163459142201</v>
      </c>
      <c r="D5779">
        <v>0.778491027307047</v>
      </c>
      <c r="E5779">
        <v>0.45896014597359602</v>
      </c>
      <c r="F5779">
        <v>0.31335460708742102</v>
      </c>
      <c r="G5779">
        <v>0.21338502851944399</v>
      </c>
      <c r="H5779">
        <v>0.17102882393636801</v>
      </c>
      <c r="I5779">
        <v>0.174737529084593</v>
      </c>
      <c r="J5779">
        <v>0.16709238964461301</v>
      </c>
      <c r="K5779">
        <v>0.14510503580731099</v>
      </c>
      <c r="L5779">
        <v>761.60505820613798</v>
      </c>
      <c r="M5779">
        <v>15.788797222914701</v>
      </c>
      <c r="N5779">
        <v>49.325482175418998</v>
      </c>
      <c r="O5779">
        <v>47.4831323230081</v>
      </c>
      <c r="P5779">
        <v>-7.0906813761079795E-2</v>
      </c>
      <c r="Q5779">
        <v>0.14709160369243801</v>
      </c>
      <c r="R5779">
        <v>0.99207939774734799</v>
      </c>
      <c r="S5779" t="s">
        <v>12449</v>
      </c>
      <c r="T5779" t="s">
        <v>13338</v>
      </c>
      <c r="U5779" t="s">
        <v>13338</v>
      </c>
      <c r="V5779" t="s">
        <v>13338</v>
      </c>
      <c r="W5779" t="s">
        <v>19059</v>
      </c>
      <c r="X5779">
        <v>6</v>
      </c>
      <c r="Y5779" t="s">
        <v>25550</v>
      </c>
      <c r="Z5779" t="s">
        <v>32194</v>
      </c>
      <c r="AA5779">
        <v>0.40089369028923799</v>
      </c>
      <c r="AB5779" t="str">
        <f>HYPERLINK("Melting_Curves/meltCurve_Q9HB09_BCL2L12.pdf", "Melting_Curves/meltCurve_Q9HB09_BCL2L12.pdf")</f>
        <v>Melting_Curves/meltCurve_Q9HB09_BCL2L12.pdf</v>
      </c>
    </row>
    <row r="5780" spans="1:28" x14ac:dyDescent="0.25">
      <c r="A5780" t="s">
        <v>5784</v>
      </c>
      <c r="B5780">
        <v>0.99193492352474899</v>
      </c>
      <c r="C5780">
        <v>0.56056820928848905</v>
      </c>
      <c r="D5780">
        <v>0.34242469099336098</v>
      </c>
      <c r="E5780">
        <v>0.11932870671983099</v>
      </c>
      <c r="F5780">
        <v>8.8071523424498699E-2</v>
      </c>
      <c r="G5780">
        <v>5.1334375165145198E-2</v>
      </c>
      <c r="H5780">
        <v>3.1914779393345902E-2</v>
      </c>
      <c r="I5780">
        <v>4.49798057865409E-2</v>
      </c>
      <c r="J5780">
        <v>5.3857292779552403E-2</v>
      </c>
      <c r="K5780">
        <v>5.2609691299181902E-2</v>
      </c>
      <c r="L5780">
        <v>974.76538246523705</v>
      </c>
      <c r="M5780">
        <v>22.245510928157401</v>
      </c>
      <c r="N5780">
        <v>44.035166338103501</v>
      </c>
      <c r="O5780">
        <v>43.469046774396197</v>
      </c>
      <c r="P5780">
        <v>-0.12131055983568299</v>
      </c>
      <c r="Q5780">
        <v>5.1828480272147703E-2</v>
      </c>
      <c r="R5780">
        <v>0.98063540097313995</v>
      </c>
      <c r="S5780" t="s">
        <v>12450</v>
      </c>
      <c r="T5780" t="s">
        <v>13338</v>
      </c>
      <c r="U5780" t="s">
        <v>13338</v>
      </c>
      <c r="V5780" t="s">
        <v>13338</v>
      </c>
      <c r="W5780" t="s">
        <v>19060</v>
      </c>
      <c r="X5780">
        <v>3</v>
      </c>
      <c r="Y5780" t="s">
        <v>25551</v>
      </c>
      <c r="Z5780" t="s">
        <v>32195</v>
      </c>
      <c r="AA5780">
        <v>0.18737132796958281</v>
      </c>
      <c r="AB5780" t="str">
        <f>HYPERLINK("Melting_Curves/meltCurve_Q9HB19_PLEKHA2.pdf", "Melting_Curves/meltCurve_Q9HB19_PLEKHA2.pdf")</f>
        <v>Melting_Curves/meltCurve_Q9HB19_PLEKHA2.pdf</v>
      </c>
    </row>
    <row r="5781" spans="1:28" x14ac:dyDescent="0.25">
      <c r="A5781" t="s">
        <v>5785</v>
      </c>
      <c r="B5781">
        <v>0.99193492352474899</v>
      </c>
      <c r="C5781">
        <v>0.86826909454101397</v>
      </c>
      <c r="D5781">
        <v>0.63114150412014802</v>
      </c>
      <c r="E5781">
        <v>0.30436726958159299</v>
      </c>
      <c r="F5781">
        <v>0.214525417815293</v>
      </c>
      <c r="G5781">
        <v>0.15361774028258801</v>
      </c>
      <c r="H5781">
        <v>4.9572552521263399E-2</v>
      </c>
      <c r="I5781">
        <v>0.15240043701056699</v>
      </c>
      <c r="J5781">
        <v>8.5600466364567904E-2</v>
      </c>
      <c r="K5781">
        <v>9.9151065557698898E-2</v>
      </c>
      <c r="L5781">
        <v>916.527701182089</v>
      </c>
      <c r="M5781">
        <v>19.578401756212099</v>
      </c>
      <c r="N5781">
        <v>47.3658153994526</v>
      </c>
      <c r="O5781">
        <v>46.3330223843653</v>
      </c>
      <c r="P5781">
        <v>-9.4856626552876397E-2</v>
      </c>
      <c r="Q5781">
        <v>0.10210473055487899</v>
      </c>
      <c r="R5781">
        <v>0.99157376422933796</v>
      </c>
      <c r="S5781" t="s">
        <v>12451</v>
      </c>
      <c r="T5781" t="s">
        <v>13338</v>
      </c>
      <c r="U5781" t="s">
        <v>13338</v>
      </c>
      <c r="V5781" t="s">
        <v>13338</v>
      </c>
      <c r="W5781" t="s">
        <v>19061</v>
      </c>
      <c r="X5781">
        <v>1</v>
      </c>
      <c r="Y5781" t="s">
        <v>25552</v>
      </c>
      <c r="Z5781" t="s">
        <v>32196</v>
      </c>
      <c r="AA5781">
        <v>0.31991558074541582</v>
      </c>
      <c r="AB5781" t="str">
        <f>HYPERLINK("Melting_Curves/meltCurve_Q9HB20_PLEKHA3.pdf", "Melting_Curves/meltCurve_Q9HB20_PLEKHA3.pdf")</f>
        <v>Melting_Curves/meltCurve_Q9HB20_PLEKHA3.pdf</v>
      </c>
    </row>
    <row r="5782" spans="1:28" x14ac:dyDescent="0.25">
      <c r="A5782" t="s">
        <v>5786</v>
      </c>
      <c r="B5782">
        <v>0.99193492352474899</v>
      </c>
      <c r="C5782">
        <v>0.69788003111786201</v>
      </c>
      <c r="D5782">
        <v>0.50964445065987996</v>
      </c>
      <c r="E5782">
        <v>0.15062943976909701</v>
      </c>
      <c r="F5782">
        <v>0.134984645344464</v>
      </c>
      <c r="G5782">
        <v>7.08716500750603E-2</v>
      </c>
      <c r="H5782">
        <v>4.5408845215141998E-2</v>
      </c>
      <c r="I5782">
        <v>4.3052107115219403E-2</v>
      </c>
      <c r="J5782">
        <v>4.7120801702538698E-2</v>
      </c>
      <c r="K5782">
        <v>4.16865094483004E-2</v>
      </c>
      <c r="L5782">
        <v>865.32237860739997</v>
      </c>
      <c r="M5782">
        <v>19.079008277438401</v>
      </c>
      <c r="N5782">
        <v>45.5784995871212</v>
      </c>
      <c r="O5782">
        <v>44.865231604861499</v>
      </c>
      <c r="P5782">
        <v>-0.101562814133502</v>
      </c>
      <c r="Q5782">
        <v>4.4717542586024901E-2</v>
      </c>
      <c r="R5782">
        <v>0.98641042608597496</v>
      </c>
      <c r="S5782" t="s">
        <v>12452</v>
      </c>
      <c r="T5782" t="s">
        <v>13338</v>
      </c>
      <c r="U5782" t="s">
        <v>13338</v>
      </c>
      <c r="V5782" t="s">
        <v>13338</v>
      </c>
      <c r="W5782" t="s">
        <v>19062</v>
      </c>
      <c r="X5782">
        <v>3</v>
      </c>
      <c r="Y5782" t="s">
        <v>25553</v>
      </c>
      <c r="Z5782" t="s">
        <v>32197</v>
      </c>
      <c r="AA5782">
        <v>0.23260163081500029</v>
      </c>
      <c r="AB5782" t="str">
        <f>HYPERLINK("Melting_Curves/meltCurve_Q9HB21_PLEKHA1.pdf", "Melting_Curves/meltCurve_Q9HB21_PLEKHA1.pdf")</f>
        <v>Melting_Curves/meltCurve_Q9HB21_PLEKHA1.pdf</v>
      </c>
    </row>
    <row r="5783" spans="1:28" x14ac:dyDescent="0.25">
      <c r="A5783" t="s">
        <v>5787</v>
      </c>
      <c r="B5783">
        <v>0.99193492352474899</v>
      </c>
      <c r="C5783">
        <v>0.90847219415515101</v>
      </c>
      <c r="D5783">
        <v>1.0209660034415</v>
      </c>
      <c r="E5783">
        <v>0.772117747492021</v>
      </c>
      <c r="F5783">
        <v>0.77969472074725699</v>
      </c>
      <c r="G5783">
        <v>0.54991424981071202</v>
      </c>
      <c r="H5783">
        <v>0.22283677826229001</v>
      </c>
      <c r="I5783">
        <v>0.20320906520402701</v>
      </c>
      <c r="J5783">
        <v>0.221518362864184</v>
      </c>
      <c r="K5783">
        <v>0.226673689425437</v>
      </c>
      <c r="L5783">
        <v>905.95501695306905</v>
      </c>
      <c r="M5783">
        <v>16.339093897537001</v>
      </c>
      <c r="N5783">
        <v>56.708694402235402</v>
      </c>
      <c r="O5783">
        <v>54.636471574103801</v>
      </c>
      <c r="P5783">
        <v>-6.33750325670797E-2</v>
      </c>
      <c r="Q5783">
        <v>0.15237941490865001</v>
      </c>
      <c r="R5783">
        <v>0.95947267289635796</v>
      </c>
      <c r="S5783" t="s">
        <v>12453</v>
      </c>
      <c r="T5783" t="s">
        <v>13338</v>
      </c>
      <c r="U5783" t="s">
        <v>13338</v>
      </c>
      <c r="V5783" t="s">
        <v>13338</v>
      </c>
      <c r="W5783" t="s">
        <v>19063</v>
      </c>
      <c r="X5783">
        <v>7</v>
      </c>
      <c r="Y5783" t="s">
        <v>25554</v>
      </c>
      <c r="Z5783" t="s">
        <v>32198</v>
      </c>
      <c r="AA5783">
        <v>0.6032646441204268</v>
      </c>
      <c r="AB5783" t="str">
        <f>HYPERLINK("Melting_Curves/meltCurve_Q9HB40_SCPEP1.pdf", "Melting_Curves/meltCurve_Q9HB40_SCPEP1.pdf")</f>
        <v>Melting_Curves/meltCurve_Q9HB40_SCPEP1.pdf</v>
      </c>
    </row>
    <row r="5784" spans="1:28" x14ac:dyDescent="0.25">
      <c r="A5784" t="s">
        <v>5788</v>
      </c>
      <c r="B5784">
        <v>0.99193492352474899</v>
      </c>
      <c r="C5784">
        <v>0.93458796973672598</v>
      </c>
      <c r="D5784">
        <v>0.89182844536836003</v>
      </c>
      <c r="E5784">
        <v>0.73064239425961996</v>
      </c>
      <c r="F5784">
        <v>0.310580037851372</v>
      </c>
      <c r="G5784">
        <v>0.125625143941758</v>
      </c>
      <c r="H5784">
        <v>7.2260090222922096E-2</v>
      </c>
      <c r="I5784">
        <v>8.2945022176931699E-2</v>
      </c>
      <c r="J5784">
        <v>8.9997502588287398E-2</v>
      </c>
      <c r="K5784">
        <v>8.3975466102405305E-2</v>
      </c>
      <c r="L5784">
        <v>1273.3922571350799</v>
      </c>
      <c r="M5784">
        <v>24.9370081933879</v>
      </c>
      <c r="N5784">
        <v>51.384072610069097</v>
      </c>
      <c r="O5784">
        <v>50.739369917172198</v>
      </c>
      <c r="P5784">
        <v>-0.114040274024206</v>
      </c>
      <c r="Q5784">
        <v>7.1860918671040996E-2</v>
      </c>
      <c r="R5784">
        <v>0.99449647222805204</v>
      </c>
      <c r="S5784" t="s">
        <v>12454</v>
      </c>
      <c r="T5784" t="s">
        <v>13338</v>
      </c>
      <c r="U5784" t="s">
        <v>13338</v>
      </c>
      <c r="V5784" t="s">
        <v>13338</v>
      </c>
      <c r="W5784" t="s">
        <v>19064</v>
      </c>
      <c r="X5784">
        <v>21</v>
      </c>
      <c r="Y5784" t="s">
        <v>25555</v>
      </c>
      <c r="Z5784" t="s">
        <v>32199</v>
      </c>
      <c r="AA5784">
        <v>0.42260195401852252</v>
      </c>
      <c r="AB5784" t="str">
        <f>HYPERLINK("Melting_Curves/meltCurve_Q9HB71_CACYBP.pdf", "Melting_Curves/meltCurve_Q9HB71_CACYBP.pdf")</f>
        <v>Melting_Curves/meltCurve_Q9HB71_CACYBP.pdf</v>
      </c>
    </row>
    <row r="5785" spans="1:28" x14ac:dyDescent="0.25">
      <c r="A5785" t="s">
        <v>5789</v>
      </c>
      <c r="B5785">
        <v>0.99193492352474899</v>
      </c>
      <c r="C5785">
        <v>0.99796528629640302</v>
      </c>
      <c r="D5785">
        <v>0.92253218024495398</v>
      </c>
      <c r="E5785">
        <v>0.86105369797541698</v>
      </c>
      <c r="F5785">
        <v>0.78378454508098205</v>
      </c>
      <c r="G5785">
        <v>0.59839747989720904</v>
      </c>
      <c r="H5785">
        <v>0.42326053224985299</v>
      </c>
      <c r="I5785">
        <v>0.346128196952594</v>
      </c>
      <c r="J5785">
        <v>0.36210099520330802</v>
      </c>
      <c r="K5785">
        <v>0.20530608473603801</v>
      </c>
      <c r="L5785">
        <v>617.67762307193402</v>
      </c>
      <c r="M5785">
        <v>10.6964770375697</v>
      </c>
      <c r="N5785">
        <v>59.436694360659402</v>
      </c>
      <c r="O5785">
        <v>55.837330441341102</v>
      </c>
      <c r="P5785">
        <v>-4.1624826649006297E-2</v>
      </c>
      <c r="Q5785">
        <v>0.13117332860322101</v>
      </c>
      <c r="R5785">
        <v>0.98765535124068404</v>
      </c>
      <c r="S5785" t="s">
        <v>12455</v>
      </c>
      <c r="T5785" t="s">
        <v>13338</v>
      </c>
      <c r="U5785" t="s">
        <v>13338</v>
      </c>
      <c r="V5785" t="s">
        <v>13338</v>
      </c>
      <c r="W5785" t="s">
        <v>19065</v>
      </c>
      <c r="X5785">
        <v>12</v>
      </c>
      <c r="Y5785" t="s">
        <v>25556</v>
      </c>
      <c r="Z5785" t="s">
        <v>32200</v>
      </c>
      <c r="AA5785">
        <v>0.65603824081269768</v>
      </c>
      <c r="AB5785" t="str">
        <f>HYPERLINK("Melting_Curves/meltCurve_Q9HB90_RRAGC.pdf", "Melting_Curves/meltCurve_Q9HB90_RRAGC.pdf")</f>
        <v>Melting_Curves/meltCurve_Q9HB90_RRAGC.pdf</v>
      </c>
    </row>
    <row r="5786" spans="1:28" x14ac:dyDescent="0.25">
      <c r="A5786" t="s">
        <v>5790</v>
      </c>
      <c r="B5786">
        <v>0.99193492352474899</v>
      </c>
      <c r="C5786">
        <v>0.53647632338516904</v>
      </c>
      <c r="D5786">
        <v>0.38138211467954702</v>
      </c>
      <c r="E5786">
        <v>0.16133175286626</v>
      </c>
      <c r="F5786">
        <v>0.112303431579285</v>
      </c>
      <c r="G5786">
        <v>7.2221057909989506E-2</v>
      </c>
      <c r="H5786">
        <v>4.7133077685284901E-2</v>
      </c>
      <c r="I5786">
        <v>5.0022571167653303E-2</v>
      </c>
      <c r="J5786">
        <v>5.9064088218264102E-2</v>
      </c>
      <c r="K5786">
        <v>5.8846211689212502E-2</v>
      </c>
      <c r="L5786">
        <v>867.82291514911401</v>
      </c>
      <c r="M5786">
        <v>19.769248086243699</v>
      </c>
      <c r="N5786">
        <v>44.194542469593898</v>
      </c>
      <c r="O5786">
        <v>43.455855455328901</v>
      </c>
      <c r="P5786">
        <v>-0.106663080483513</v>
      </c>
      <c r="Q5786">
        <v>6.2184458691518701E-2</v>
      </c>
      <c r="R5786">
        <v>0.96980970594265103</v>
      </c>
      <c r="S5786" t="s">
        <v>12456</v>
      </c>
      <c r="T5786" t="s">
        <v>13338</v>
      </c>
      <c r="U5786" t="s">
        <v>13338</v>
      </c>
      <c r="V5786" t="s">
        <v>13338</v>
      </c>
      <c r="W5786" t="s">
        <v>19066</v>
      </c>
      <c r="X5786">
        <v>32</v>
      </c>
      <c r="Y5786" t="s">
        <v>25557</v>
      </c>
      <c r="Z5786" t="s">
        <v>32201</v>
      </c>
      <c r="AA5786">
        <v>0.20306920223997729</v>
      </c>
      <c r="AB5786" t="str">
        <f>HYPERLINK("Melting_Curves/meltCurve_Q9HBD4_SMARCA4.pdf", "Melting_Curves/meltCurve_Q9HBD4_SMARCA4.pdf")</f>
        <v>Melting_Curves/meltCurve_Q9HBD4_SMARCA4.pdf</v>
      </c>
    </row>
    <row r="5787" spans="1:28" x14ac:dyDescent="0.25">
      <c r="A5787" t="s">
        <v>5791</v>
      </c>
      <c r="B5787">
        <v>0.99193492352474899</v>
      </c>
      <c r="C5787">
        <v>1.17208869981164</v>
      </c>
      <c r="D5787">
        <v>0.92423531766667799</v>
      </c>
      <c r="E5787">
        <v>0.508346499161349</v>
      </c>
      <c r="F5787">
        <v>0.198050790931243</v>
      </c>
      <c r="G5787">
        <v>0.102741484956371</v>
      </c>
      <c r="H5787">
        <v>6.3647337680595398E-2</v>
      </c>
      <c r="I5787">
        <v>7.8009047625708802E-2</v>
      </c>
      <c r="J5787">
        <v>7.9320019246841095E-2</v>
      </c>
      <c r="K5787">
        <v>5.4769251625590702E-2</v>
      </c>
      <c r="L5787">
        <v>1573.96535493588</v>
      </c>
      <c r="M5787">
        <v>31.7900608231832</v>
      </c>
      <c r="N5787">
        <v>49.7690408116027</v>
      </c>
      <c r="O5787">
        <v>49.3165748004702</v>
      </c>
      <c r="P5787">
        <v>-0.148921025248032</v>
      </c>
      <c r="Q5787">
        <v>7.5908112716297493E-2</v>
      </c>
      <c r="R5787">
        <v>0.98104895492494104</v>
      </c>
      <c r="S5787" t="s">
        <v>12457</v>
      </c>
      <c r="T5787" t="s">
        <v>13338</v>
      </c>
      <c r="U5787" t="s">
        <v>13338</v>
      </c>
      <c r="V5787" t="s">
        <v>13338</v>
      </c>
      <c r="W5787" t="s">
        <v>19067</v>
      </c>
      <c r="X5787">
        <v>11</v>
      </c>
      <c r="Y5787" t="s">
        <v>25558</v>
      </c>
      <c r="Z5787" t="s">
        <v>32202</v>
      </c>
      <c r="AA5787">
        <v>0.37392419209191469</v>
      </c>
      <c r="AB5787" t="str">
        <f>HYPERLINK("Melting_Curves/meltCurve_Q9HBF4_ZFYVE1.pdf", "Melting_Curves/meltCurve_Q9HBF4_ZFYVE1.pdf")</f>
        <v>Melting_Curves/meltCurve_Q9HBF4_ZFYVE1.pdf</v>
      </c>
    </row>
    <row r="5788" spans="1:28" x14ac:dyDescent="0.25">
      <c r="A5788" t="s">
        <v>5792</v>
      </c>
      <c r="B5788">
        <v>0.99193492352474899</v>
      </c>
      <c r="C5788">
        <v>0.91282541298331099</v>
      </c>
      <c r="D5788">
        <v>1.05363746796866</v>
      </c>
      <c r="E5788">
        <v>0.88512180605103297</v>
      </c>
      <c r="F5788">
        <v>0.66098277833201502</v>
      </c>
      <c r="G5788">
        <v>0.46608383873812897</v>
      </c>
      <c r="H5788">
        <v>0.16203358269978499</v>
      </c>
      <c r="I5788">
        <v>0.143157202954004</v>
      </c>
      <c r="J5788">
        <v>0.17699462591699999</v>
      </c>
      <c r="K5788">
        <v>0.28058018777545202</v>
      </c>
      <c r="L5788">
        <v>1227.4148959105901</v>
      </c>
      <c r="M5788">
        <v>22.614831564273</v>
      </c>
      <c r="N5788">
        <v>55.3354527082559</v>
      </c>
      <c r="O5788">
        <v>53.855733170154799</v>
      </c>
      <c r="P5788">
        <v>-8.6517215686238505E-2</v>
      </c>
      <c r="Q5788">
        <v>0.17587627491090699</v>
      </c>
      <c r="R5788">
        <v>0.96941388890080005</v>
      </c>
      <c r="S5788" t="s">
        <v>12458</v>
      </c>
      <c r="T5788" t="s">
        <v>13338</v>
      </c>
      <c r="U5788" t="s">
        <v>13338</v>
      </c>
      <c r="V5788" t="s">
        <v>13338</v>
      </c>
      <c r="W5788" t="s">
        <v>19068</v>
      </c>
      <c r="X5788">
        <v>5</v>
      </c>
      <c r="Y5788" t="s">
        <v>25559</v>
      </c>
      <c r="Z5788" t="s">
        <v>32203</v>
      </c>
      <c r="AA5788">
        <v>0.57711905439101052</v>
      </c>
      <c r="AB5788" t="str">
        <f>HYPERLINK("Melting_Curves/meltCurve_Q9HBH0_RHOF.pdf", "Melting_Curves/meltCurve_Q9HBH0_RHOF.pdf")</f>
        <v>Melting_Curves/meltCurve_Q9HBH0_RHOF.pdf</v>
      </c>
    </row>
    <row r="5789" spans="1:28" x14ac:dyDescent="0.25">
      <c r="A5789" t="s">
        <v>5793</v>
      </c>
      <c r="B5789">
        <v>0.99193492352474899</v>
      </c>
      <c r="C5789">
        <v>0.744543114386918</v>
      </c>
      <c r="D5789">
        <v>0.91469427104425705</v>
      </c>
      <c r="E5789">
        <v>0.41592013901444802</v>
      </c>
      <c r="F5789">
        <v>0.163381065424064</v>
      </c>
      <c r="G5789">
        <v>6.6644847025028806E-2</v>
      </c>
      <c r="H5789">
        <v>4.9755544137473601E-2</v>
      </c>
      <c r="I5789">
        <v>7.9547644451747002E-2</v>
      </c>
      <c r="J5789">
        <v>8.1798472991416099E-2</v>
      </c>
      <c r="K5789">
        <v>0</v>
      </c>
      <c r="L5789">
        <v>1126.0452911237601</v>
      </c>
      <c r="M5789">
        <v>23.043262980881</v>
      </c>
      <c r="N5789">
        <v>49.057508561895901</v>
      </c>
      <c r="O5789">
        <v>48.503029690187702</v>
      </c>
      <c r="P5789">
        <v>-0.11368018404376801</v>
      </c>
      <c r="Q5789">
        <v>4.2890919906705002E-2</v>
      </c>
      <c r="R5789">
        <v>0.95416336679130798</v>
      </c>
      <c r="S5789" t="s">
        <v>12459</v>
      </c>
      <c r="T5789" t="s">
        <v>13338</v>
      </c>
      <c r="U5789" t="s">
        <v>13338</v>
      </c>
      <c r="V5789" t="s">
        <v>13338</v>
      </c>
      <c r="W5789" t="s">
        <v>19069</v>
      </c>
      <c r="X5789">
        <v>2</v>
      </c>
      <c r="Y5789" t="s">
        <v>25560</v>
      </c>
      <c r="Z5789" t="s">
        <v>32204</v>
      </c>
      <c r="AA5789">
        <v>0.33579713159065622</v>
      </c>
      <c r="AB5789" t="str">
        <f>HYPERLINK("Melting_Curves/meltCurve_Q9HBH1_PDF.pdf", "Melting_Curves/meltCurve_Q9HBH1_PDF.pdf")</f>
        <v>Melting_Curves/meltCurve_Q9HBH1_PDF.pdf</v>
      </c>
    </row>
    <row r="5790" spans="1:28" x14ac:dyDescent="0.25">
      <c r="A5790" t="s">
        <v>5794</v>
      </c>
      <c r="B5790">
        <v>0.99193492352474899</v>
      </c>
      <c r="C5790">
        <v>0.94116281090802001</v>
      </c>
      <c r="D5790">
        <v>0.91333234489475101</v>
      </c>
      <c r="E5790">
        <v>0.49885461844684797</v>
      </c>
      <c r="F5790">
        <v>0.18480701707289701</v>
      </c>
      <c r="G5790">
        <v>0.138198741769963</v>
      </c>
      <c r="H5790">
        <v>8.1488515561254402E-2</v>
      </c>
      <c r="I5790">
        <v>0.10268098283940499</v>
      </c>
      <c r="J5790">
        <v>0.106591185265692</v>
      </c>
      <c r="K5790">
        <v>0.10150824631680801</v>
      </c>
      <c r="L5790">
        <v>1460.22967274852</v>
      </c>
      <c r="M5790">
        <v>29.660208246312301</v>
      </c>
      <c r="N5790">
        <v>49.6084864056116</v>
      </c>
      <c r="O5790">
        <v>49.009773647549103</v>
      </c>
      <c r="P5790">
        <v>-0.136049264120433</v>
      </c>
      <c r="Q5790">
        <v>0.100788756636241</v>
      </c>
      <c r="R5790">
        <v>0.99751326753312397</v>
      </c>
      <c r="S5790" t="s">
        <v>12460</v>
      </c>
      <c r="T5790" t="s">
        <v>13338</v>
      </c>
      <c r="U5790" t="s">
        <v>13338</v>
      </c>
      <c r="V5790" t="s">
        <v>13338</v>
      </c>
      <c r="W5790" t="s">
        <v>19070</v>
      </c>
      <c r="X5790">
        <v>5</v>
      </c>
      <c r="Y5790" t="s">
        <v>25561</v>
      </c>
      <c r="Z5790" t="s">
        <v>32205</v>
      </c>
      <c r="AA5790">
        <v>0.3831290220828788</v>
      </c>
      <c r="AB5790" t="str">
        <f>HYPERLINK("Melting_Curves/meltCurve_Q9HBH5_RDH14.pdf", "Melting_Curves/meltCurve_Q9HBH5_RDH14.pdf")</f>
        <v>Melting_Curves/meltCurve_Q9HBH5_RDH14.pdf</v>
      </c>
    </row>
    <row r="5791" spans="1:28" x14ac:dyDescent="0.25">
      <c r="A5791" t="s">
        <v>5795</v>
      </c>
      <c r="B5791">
        <v>0.99193492352474899</v>
      </c>
      <c r="C5791">
        <v>0.711529768896485</v>
      </c>
      <c r="D5791">
        <v>0.63187416908758298</v>
      </c>
      <c r="E5791">
        <v>0.22420321204865701</v>
      </c>
      <c r="F5791">
        <v>0.157718359609512</v>
      </c>
      <c r="G5791">
        <v>7.7210943630140499E-2</v>
      </c>
      <c r="H5791">
        <v>5.51484676364732E-2</v>
      </c>
      <c r="I5791">
        <v>5.5656134942252897E-2</v>
      </c>
      <c r="J5791">
        <v>7.8179548019345194E-2</v>
      </c>
      <c r="K5791">
        <v>9.0456370200603597E-2</v>
      </c>
      <c r="L5791">
        <v>807.65951097825996</v>
      </c>
      <c r="M5791">
        <v>17.483730943235699</v>
      </c>
      <c r="N5791">
        <v>46.525785000606099</v>
      </c>
      <c r="O5791">
        <v>45.603293019531399</v>
      </c>
      <c r="P5791">
        <v>-9.0248829907648306E-2</v>
      </c>
      <c r="Q5791">
        <v>5.8458151473341297E-2</v>
      </c>
      <c r="R5791">
        <v>0.97776171893081898</v>
      </c>
      <c r="S5791" t="s">
        <v>12461</v>
      </c>
      <c r="T5791" t="s">
        <v>13338</v>
      </c>
      <c r="U5791" t="s">
        <v>13338</v>
      </c>
      <c r="V5791" t="s">
        <v>13338</v>
      </c>
      <c r="W5791" t="s">
        <v>19071</v>
      </c>
      <c r="X5791">
        <v>4</v>
      </c>
      <c r="Y5791" t="s">
        <v>25562</v>
      </c>
      <c r="Z5791" t="s">
        <v>32206</v>
      </c>
      <c r="AA5791">
        <v>0.27232373293084677</v>
      </c>
      <c r="AB5791" t="str">
        <f>HYPERLINK("Melting_Curves/meltCurve_Q9HBI0_PARVG.pdf", "Melting_Curves/meltCurve_Q9HBI0_PARVG.pdf")</f>
        <v>Melting_Curves/meltCurve_Q9HBI0_PARVG.pdf</v>
      </c>
    </row>
    <row r="5792" spans="1:28" x14ac:dyDescent="0.25">
      <c r="A5792" t="s">
        <v>5796</v>
      </c>
      <c r="B5792">
        <v>0.99193492352474899</v>
      </c>
      <c r="C5792">
        <v>1.0007073715586201</v>
      </c>
      <c r="D5792">
        <v>0.97711785228603099</v>
      </c>
      <c r="E5792">
        <v>0.81204205241064698</v>
      </c>
      <c r="F5792">
        <v>0.66461702440996295</v>
      </c>
      <c r="G5792">
        <v>0.53134731957721104</v>
      </c>
      <c r="H5792">
        <v>0.52204017046236295</v>
      </c>
      <c r="I5792">
        <v>0.73785568829610004</v>
      </c>
      <c r="J5792">
        <v>0.92735182625803003</v>
      </c>
      <c r="K5792">
        <v>0.70998362800896597</v>
      </c>
      <c r="L5792">
        <v>3347.1685996105798</v>
      </c>
      <c r="M5792">
        <v>67.867842952837805</v>
      </c>
      <c r="O5792">
        <v>49.2761681200748</v>
      </c>
      <c r="P5792">
        <v>-0.109513169541296</v>
      </c>
      <c r="Q5792">
        <v>0.68194739499592205</v>
      </c>
      <c r="R5792">
        <v>0.62620112518389204</v>
      </c>
      <c r="S5792" t="s">
        <v>12462</v>
      </c>
      <c r="T5792" t="s">
        <v>13338</v>
      </c>
      <c r="U5792" t="s">
        <v>13338</v>
      </c>
      <c r="V5792" t="s">
        <v>13338</v>
      </c>
      <c r="W5792" t="s">
        <v>19072</v>
      </c>
      <c r="X5792">
        <v>5</v>
      </c>
      <c r="Y5792" t="s">
        <v>25563</v>
      </c>
      <c r="Z5792" t="s">
        <v>32207</v>
      </c>
      <c r="AA5792">
        <v>0.78111885590148156</v>
      </c>
      <c r="AB5792" t="str">
        <f>HYPERLINK("Melting_Curves/meltCurve_Q9HBL7_PLGRKT.pdf", "Melting_Curves/meltCurve_Q9HBL7_PLGRKT.pdf")</f>
        <v>Melting_Curves/meltCurve_Q9HBL7_PLGRKT.pdf</v>
      </c>
    </row>
    <row r="5793" spans="1:28" x14ac:dyDescent="0.25">
      <c r="A5793" t="s">
        <v>5797</v>
      </c>
      <c r="B5793">
        <v>0.99193492352474899</v>
      </c>
      <c r="C5793">
        <v>0.89121093377608196</v>
      </c>
      <c r="D5793">
        <v>0.78679971419319406</v>
      </c>
      <c r="E5793">
        <v>0.61840665762456304</v>
      </c>
      <c r="F5793">
        <v>0.23758732484796399</v>
      </c>
      <c r="G5793">
        <v>0.18840306430547299</v>
      </c>
      <c r="H5793">
        <v>0.14525403587510199</v>
      </c>
      <c r="I5793">
        <v>0.14592797971788399</v>
      </c>
      <c r="J5793">
        <v>0.16104306414331701</v>
      </c>
      <c r="K5793">
        <v>0.20196490196633901</v>
      </c>
      <c r="L5793">
        <v>938.33475118331</v>
      </c>
      <c r="M5793">
        <v>19.089783569393202</v>
      </c>
      <c r="N5793">
        <v>50.047970637158201</v>
      </c>
      <c r="O5793">
        <v>48.623906482434599</v>
      </c>
      <c r="P5793">
        <v>-8.3971054319221597E-2</v>
      </c>
      <c r="Q5793">
        <v>0.14449722791876299</v>
      </c>
      <c r="R5793">
        <v>0.98134507295607198</v>
      </c>
      <c r="S5793" t="s">
        <v>12463</v>
      </c>
      <c r="T5793" t="s">
        <v>13338</v>
      </c>
      <c r="U5793" t="s">
        <v>13338</v>
      </c>
      <c r="V5793" t="s">
        <v>13338</v>
      </c>
      <c r="W5793" t="s">
        <v>19073</v>
      </c>
      <c r="X5793">
        <v>8</v>
      </c>
      <c r="Y5793" t="s">
        <v>25564</v>
      </c>
      <c r="Z5793" t="s">
        <v>32208</v>
      </c>
      <c r="AA5793">
        <v>0.41867651769228598</v>
      </c>
      <c r="AB5793" t="str">
        <f>HYPERLINK("Melting_Curves/meltCurve_Q9HBL8_NMRAL1.pdf", "Melting_Curves/meltCurve_Q9HBL8_NMRAL1.pdf")</f>
        <v>Melting_Curves/meltCurve_Q9HBL8_NMRAL1.pdf</v>
      </c>
    </row>
    <row r="5794" spans="1:28" x14ac:dyDescent="0.25">
      <c r="A5794" t="s">
        <v>5798</v>
      </c>
      <c r="B5794">
        <v>0.99193492352474899</v>
      </c>
      <c r="C5794">
        <v>0.826880825367445</v>
      </c>
      <c r="D5794">
        <v>0.76655423384796095</v>
      </c>
      <c r="E5794">
        <v>0.37009454705494699</v>
      </c>
      <c r="F5794">
        <v>0.26176542937532399</v>
      </c>
      <c r="G5794">
        <v>0.13669525299523999</v>
      </c>
      <c r="H5794">
        <v>9.7613171095102105E-2</v>
      </c>
      <c r="I5794">
        <v>0.128180325553473</v>
      </c>
      <c r="J5794">
        <v>0.14451368485299901</v>
      </c>
      <c r="K5794">
        <v>0.13939445160369199</v>
      </c>
      <c r="L5794">
        <v>883.99576573490003</v>
      </c>
      <c r="M5794">
        <v>18.529257795854502</v>
      </c>
      <c r="N5794">
        <v>48.408341314671901</v>
      </c>
      <c r="O5794">
        <v>47.162839084327103</v>
      </c>
      <c r="P5794">
        <v>-8.6676956097680502E-2</v>
      </c>
      <c r="Q5794">
        <v>0.117557444536322</v>
      </c>
      <c r="R5794">
        <v>0.98584647812383797</v>
      </c>
      <c r="S5794" t="s">
        <v>12464</v>
      </c>
      <c r="T5794" t="s">
        <v>13338</v>
      </c>
      <c r="U5794" t="s">
        <v>13338</v>
      </c>
      <c r="V5794" t="s">
        <v>13338</v>
      </c>
      <c r="W5794" t="s">
        <v>19074</v>
      </c>
      <c r="X5794">
        <v>10</v>
      </c>
      <c r="Y5794" t="s">
        <v>25565</v>
      </c>
      <c r="Z5794" t="s">
        <v>32209</v>
      </c>
      <c r="AA5794">
        <v>0.35915373729590899</v>
      </c>
      <c r="AB5794" t="str">
        <f>HYPERLINK("Melting_Curves/meltCurve_Q9HBM1_SPC25.pdf", "Melting_Curves/meltCurve_Q9HBM1_SPC25.pdf")</f>
        <v>Melting_Curves/meltCurve_Q9HBM1_SPC25.pdf</v>
      </c>
    </row>
    <row r="5795" spans="1:28" x14ac:dyDescent="0.25">
      <c r="A5795" t="s">
        <v>5799</v>
      </c>
      <c r="B5795">
        <v>0.99193492352474899</v>
      </c>
      <c r="C5795">
        <v>0.595455242990101</v>
      </c>
      <c r="D5795">
        <v>0.60878271696115205</v>
      </c>
      <c r="E5795">
        <v>0.39561538686447201</v>
      </c>
      <c r="F5795">
        <v>0.36904024934181401</v>
      </c>
      <c r="G5795">
        <v>0.25275649951334</v>
      </c>
      <c r="H5795">
        <v>0.19431440256823401</v>
      </c>
      <c r="I5795">
        <v>0.25100826557998102</v>
      </c>
      <c r="J5795">
        <v>0.26141395681027702</v>
      </c>
      <c r="K5795">
        <v>0.27082814215270201</v>
      </c>
      <c r="L5795">
        <v>616.81976851514401</v>
      </c>
      <c r="M5795">
        <v>13.771840689144399</v>
      </c>
      <c r="N5795">
        <v>47.016084051725798</v>
      </c>
      <c r="O5795">
        <v>43.875802062180398</v>
      </c>
      <c r="P5795">
        <v>-5.9675081381805099E-2</v>
      </c>
      <c r="Q5795">
        <v>0.23963026782480101</v>
      </c>
      <c r="R5795">
        <v>0.92125830639905704</v>
      </c>
      <c r="S5795" t="s">
        <v>12465</v>
      </c>
      <c r="T5795" t="s">
        <v>13338</v>
      </c>
      <c r="U5795" t="s">
        <v>13338</v>
      </c>
      <c r="V5795" t="s">
        <v>13338</v>
      </c>
      <c r="W5795" t="s">
        <v>19075</v>
      </c>
      <c r="X5795">
        <v>6</v>
      </c>
      <c r="Y5795" t="s">
        <v>25566</v>
      </c>
      <c r="Z5795" t="s">
        <v>32210</v>
      </c>
      <c r="AA5795">
        <v>0.39077753435960599</v>
      </c>
      <c r="AB5795" t="str">
        <f>HYPERLINK("Melting_Curves/meltCurve_Q9HBM6_TAF9B.pdf", "Melting_Curves/meltCurve_Q9HBM6_TAF9B.pdf")</f>
        <v>Melting_Curves/meltCurve_Q9HBM6_TAF9B.pdf</v>
      </c>
    </row>
    <row r="5796" spans="1:28" x14ac:dyDescent="0.25">
      <c r="A5796" t="s">
        <v>5800</v>
      </c>
      <c r="B5796">
        <v>0.99193492352474899</v>
      </c>
      <c r="C5796">
        <v>1.1267241117140101</v>
      </c>
      <c r="D5796">
        <v>0.84691809249477601</v>
      </c>
      <c r="E5796">
        <v>0.72211197615234302</v>
      </c>
      <c r="F5796">
        <v>0.295328419016892</v>
      </c>
      <c r="G5796">
        <v>0.18529431434073601</v>
      </c>
      <c r="H5796">
        <v>0.103348528080048</v>
      </c>
      <c r="I5796">
        <v>0.109664018509558</v>
      </c>
      <c r="J5796">
        <v>0.119972221413413</v>
      </c>
      <c r="K5796">
        <v>0.16459564899370399</v>
      </c>
      <c r="L5796">
        <v>1320.8675664927</v>
      </c>
      <c r="M5796">
        <v>26.0520807499245</v>
      </c>
      <c r="N5796">
        <v>51.244524800567298</v>
      </c>
      <c r="O5796">
        <v>50.405133488178201</v>
      </c>
      <c r="P5796">
        <v>-0.113618163269586</v>
      </c>
      <c r="Q5796">
        <v>0.12070389034753699</v>
      </c>
      <c r="R5796">
        <v>0.97835992836449104</v>
      </c>
      <c r="S5796" t="s">
        <v>12466</v>
      </c>
      <c r="T5796" t="s">
        <v>13338</v>
      </c>
      <c r="U5796" t="s">
        <v>13338</v>
      </c>
      <c r="V5796" t="s">
        <v>13338</v>
      </c>
      <c r="W5796" t="s">
        <v>19076</v>
      </c>
      <c r="X5796">
        <v>5</v>
      </c>
      <c r="Y5796" t="s">
        <v>25567</v>
      </c>
      <c r="Z5796" t="s">
        <v>32211</v>
      </c>
      <c r="AA5796">
        <v>0.44164555815548712</v>
      </c>
      <c r="AB5796" t="str">
        <f>HYPERLINK("Melting_Curves/meltCurve_Q9HBM8_AGPAT1.pdf", "Melting_Curves/meltCurve_Q9HBM8_AGPAT1.pdf")</f>
        <v>Melting_Curves/meltCurve_Q9HBM8_AGPAT1.pdf</v>
      </c>
    </row>
    <row r="5797" spans="1:28" x14ac:dyDescent="0.25">
      <c r="A5797" t="s">
        <v>5801</v>
      </c>
      <c r="B5797">
        <v>0.99193492352474899</v>
      </c>
      <c r="C5797">
        <v>1.24059571563983</v>
      </c>
      <c r="D5797">
        <v>1.02030331605623</v>
      </c>
      <c r="E5797">
        <v>1.0251194902254399</v>
      </c>
      <c r="F5797">
        <v>0.70576865082696305</v>
      </c>
      <c r="G5797">
        <v>0.43501391337940098</v>
      </c>
      <c r="H5797">
        <v>0.26058517316892199</v>
      </c>
      <c r="I5797">
        <v>0.27877921649922299</v>
      </c>
      <c r="J5797">
        <v>0.22717126236705901</v>
      </c>
      <c r="K5797">
        <v>0.24555860520859299</v>
      </c>
      <c r="L5797">
        <v>1648.21385586058</v>
      </c>
      <c r="M5797">
        <v>30.337457801003399</v>
      </c>
      <c r="N5797">
        <v>55.576679789670102</v>
      </c>
      <c r="O5797">
        <v>54.094908360420099</v>
      </c>
      <c r="P5797">
        <v>-0.105586704368656</v>
      </c>
      <c r="Q5797">
        <v>0.24691548271236499</v>
      </c>
      <c r="R5797">
        <v>0.95353600695804097</v>
      </c>
      <c r="S5797" t="s">
        <v>12467</v>
      </c>
      <c r="T5797" t="s">
        <v>13338</v>
      </c>
      <c r="U5797" t="s">
        <v>13338</v>
      </c>
      <c r="V5797" t="s">
        <v>13338</v>
      </c>
      <c r="W5797" t="s">
        <v>19077</v>
      </c>
      <c r="X5797">
        <v>4</v>
      </c>
      <c r="Y5797" t="s">
        <v>25568</v>
      </c>
      <c r="Z5797" t="s">
        <v>32212</v>
      </c>
      <c r="AA5797">
        <v>0.6114814268865153</v>
      </c>
      <c r="AB5797" t="str">
        <f>HYPERLINK("Melting_Curves/meltCurve_Q9HBR0_SLC38A10.pdf", "Melting_Curves/meltCurve_Q9HBR0_SLC38A10.pdf")</f>
        <v>Melting_Curves/meltCurve_Q9HBR0_SLC38A10.pdf</v>
      </c>
    </row>
    <row r="5798" spans="1:28" x14ac:dyDescent="0.25">
      <c r="A5798" t="s">
        <v>5802</v>
      </c>
      <c r="B5798">
        <v>0.99193492352474899</v>
      </c>
      <c r="C5798">
        <v>0.92727658597961804</v>
      </c>
      <c r="D5798">
        <v>0.98486615152171597</v>
      </c>
      <c r="E5798">
        <v>0.86389799654594701</v>
      </c>
      <c r="F5798">
        <v>0.65744236733525496</v>
      </c>
      <c r="G5798">
        <v>0.31423766686884702</v>
      </c>
      <c r="H5798">
        <v>0.14159808104688301</v>
      </c>
      <c r="I5798">
        <v>5.51946795641617E-2</v>
      </c>
      <c r="J5798">
        <v>6.7739153990263104E-2</v>
      </c>
      <c r="K5798">
        <v>7.1243296349454602E-2</v>
      </c>
      <c r="L5798">
        <v>1135.80394298481</v>
      </c>
      <c r="M5798">
        <v>20.8690747088345</v>
      </c>
      <c r="N5798">
        <v>54.658596923485902</v>
      </c>
      <c r="O5798">
        <v>53.932871147120302</v>
      </c>
      <c r="P5798">
        <v>-9.2615458910321594E-2</v>
      </c>
      <c r="Q5798">
        <v>4.2625460503927397E-2</v>
      </c>
      <c r="R5798">
        <v>0.99524384912973995</v>
      </c>
      <c r="S5798" t="s">
        <v>12468</v>
      </c>
      <c r="T5798" t="s">
        <v>13338</v>
      </c>
      <c r="U5798" t="s">
        <v>13338</v>
      </c>
      <c r="V5798" t="s">
        <v>13338</v>
      </c>
      <c r="W5798" t="s">
        <v>19078</v>
      </c>
      <c r="X5798">
        <v>8</v>
      </c>
      <c r="Y5798" t="s">
        <v>25569</v>
      </c>
      <c r="Z5798" t="s">
        <v>32213</v>
      </c>
      <c r="AA5798">
        <v>0.51504044008832606</v>
      </c>
      <c r="AB5798" t="str">
        <f>HYPERLINK("Melting_Curves/meltCurve_Q9HBU6_ETNK1.pdf", "Melting_Curves/meltCurve_Q9HBU6_ETNK1.pdf")</f>
        <v>Melting_Curves/meltCurve_Q9HBU6_ETNK1.pdf</v>
      </c>
    </row>
    <row r="5799" spans="1:28" x14ac:dyDescent="0.25">
      <c r="A5799" t="s">
        <v>5803</v>
      </c>
      <c r="B5799">
        <v>0.99193492352474899</v>
      </c>
      <c r="C5799">
        <v>1.1431254405623601</v>
      </c>
      <c r="D5799">
        <v>1.2776130392578899</v>
      </c>
      <c r="E5799">
        <v>1.2614140006762899</v>
      </c>
      <c r="F5799">
        <v>0.99148767155631301</v>
      </c>
      <c r="G5799">
        <v>0.79396775582619294</v>
      </c>
      <c r="H5799">
        <v>0.57909073444483605</v>
      </c>
      <c r="I5799">
        <v>0.60517201249761099</v>
      </c>
      <c r="J5799">
        <v>0.64218058357728103</v>
      </c>
      <c r="K5799">
        <v>0.85164406927065806</v>
      </c>
      <c r="L5799">
        <v>14171.363609828901</v>
      </c>
      <c r="M5799">
        <v>250</v>
      </c>
      <c r="O5799">
        <v>56.681816342373097</v>
      </c>
      <c r="P5799">
        <v>-0.364400470054355</v>
      </c>
      <c r="Q5799">
        <v>0.66952185008238996</v>
      </c>
      <c r="R5799">
        <v>0.65609082412102204</v>
      </c>
      <c r="S5799" t="s">
        <v>12469</v>
      </c>
      <c r="T5799" t="s">
        <v>13338</v>
      </c>
      <c r="U5799" t="s">
        <v>13338</v>
      </c>
      <c r="V5799" t="s">
        <v>13338</v>
      </c>
      <c r="W5799" t="s">
        <v>19079</v>
      </c>
      <c r="X5799">
        <v>10</v>
      </c>
      <c r="Y5799" t="s">
        <v>25570</v>
      </c>
      <c r="Z5799" t="s">
        <v>32214</v>
      </c>
      <c r="AA5799">
        <v>0.85336066386086895</v>
      </c>
      <c r="AB5799" t="str">
        <f>HYPERLINK("Melting_Curves/meltCurve_Q9HC21_SLC25A19.pdf", "Melting_Curves/meltCurve_Q9HC21_SLC25A19.pdf")</f>
        <v>Melting_Curves/meltCurve_Q9HC21_SLC25A19.pdf</v>
      </c>
    </row>
    <row r="5800" spans="1:28" x14ac:dyDescent="0.25">
      <c r="A5800" t="s">
        <v>5804</v>
      </c>
      <c r="B5800">
        <v>0.99193492352474899</v>
      </c>
      <c r="C5800">
        <v>0.87575220654861796</v>
      </c>
      <c r="D5800">
        <v>0.73935416666840903</v>
      </c>
      <c r="E5800">
        <v>0.32625979230931801</v>
      </c>
      <c r="F5800">
        <v>0.1749023045707</v>
      </c>
      <c r="G5800">
        <v>0.10542952464769099</v>
      </c>
      <c r="H5800">
        <v>6.6517303266194094E-2</v>
      </c>
      <c r="I5800">
        <v>8.6645888754792996E-2</v>
      </c>
      <c r="J5800">
        <v>9.2873951903278504E-2</v>
      </c>
      <c r="K5800">
        <v>9.8789968937463099E-2</v>
      </c>
      <c r="L5800">
        <v>1047.0304818475299</v>
      </c>
      <c r="M5800">
        <v>22.0109979078387</v>
      </c>
      <c r="N5800">
        <v>47.962974072911997</v>
      </c>
      <c r="O5800">
        <v>47.181101065264599</v>
      </c>
      <c r="P5800">
        <v>-0.10697672276880101</v>
      </c>
      <c r="Q5800">
        <v>8.2791800926984904E-2</v>
      </c>
      <c r="R5800">
        <v>0.995967345904886</v>
      </c>
      <c r="S5800" t="s">
        <v>12470</v>
      </c>
      <c r="T5800" t="s">
        <v>13338</v>
      </c>
      <c r="U5800" t="s">
        <v>13338</v>
      </c>
      <c r="V5800" t="s">
        <v>13338</v>
      </c>
      <c r="W5800" t="s">
        <v>19080</v>
      </c>
      <c r="X5800">
        <v>10</v>
      </c>
      <c r="Y5800" t="s">
        <v>25571</v>
      </c>
      <c r="Z5800" t="s">
        <v>32215</v>
      </c>
      <c r="AA5800">
        <v>0.32489225677231509</v>
      </c>
      <c r="AB5800" t="str">
        <f>HYPERLINK("Melting_Curves/meltCurve_Q9HC35_EML4.pdf", "Melting_Curves/meltCurve_Q9HC35_EML4.pdf")</f>
        <v>Melting_Curves/meltCurve_Q9HC35_EML4.pdf</v>
      </c>
    </row>
    <row r="5801" spans="1:28" x14ac:dyDescent="0.25">
      <c r="A5801" t="s">
        <v>5805</v>
      </c>
      <c r="B5801">
        <v>0.99193492352474899</v>
      </c>
      <c r="C5801">
        <v>0.32112359643256499</v>
      </c>
      <c r="D5801">
        <v>0.84148241036803395</v>
      </c>
      <c r="E5801">
        <v>0.31262854920849997</v>
      </c>
      <c r="F5801">
        <v>0.30655088845530998</v>
      </c>
      <c r="G5801">
        <v>0.14816450283859001</v>
      </c>
      <c r="H5801">
        <v>8.9965914387077295E-2</v>
      </c>
      <c r="I5801">
        <v>0.105922729803864</v>
      </c>
      <c r="J5801">
        <v>0.121191186453892</v>
      </c>
      <c r="K5801">
        <v>0.15431485776547699</v>
      </c>
      <c r="L5801">
        <v>433.44021383329698</v>
      </c>
      <c r="M5801">
        <v>9.3725786866826599</v>
      </c>
      <c r="N5801">
        <v>46.853442984449998</v>
      </c>
      <c r="O5801">
        <v>44.286809763949201</v>
      </c>
      <c r="P5801">
        <v>-4.9910595240592298E-2</v>
      </c>
      <c r="Q5801">
        <v>5.7247238284631297E-2</v>
      </c>
      <c r="R5801">
        <v>0.70041976800036099</v>
      </c>
      <c r="S5801" t="s">
        <v>12471</v>
      </c>
      <c r="T5801" t="s">
        <v>13338</v>
      </c>
      <c r="U5801" t="s">
        <v>13338</v>
      </c>
      <c r="V5801" t="s">
        <v>13338</v>
      </c>
      <c r="W5801" t="s">
        <v>19081</v>
      </c>
      <c r="X5801">
        <v>9</v>
      </c>
      <c r="Y5801" t="s">
        <v>25572</v>
      </c>
      <c r="Z5801" t="s">
        <v>32216</v>
      </c>
      <c r="AA5801">
        <v>0.31750112825027782</v>
      </c>
      <c r="AB5801" t="str">
        <f>HYPERLINK("Melting_Curves/meltCurve_Q9HC36_RNMTL1.pdf", "Melting_Curves/meltCurve_Q9HC36_RNMTL1.pdf")</f>
        <v>Melting_Curves/meltCurve_Q9HC36_RNMTL1.pdf</v>
      </c>
    </row>
    <row r="5802" spans="1:28" x14ac:dyDescent="0.25">
      <c r="A5802" t="s">
        <v>5806</v>
      </c>
      <c r="B5802">
        <v>0.99193492352474899</v>
      </c>
      <c r="C5802">
        <v>0.86223973509802898</v>
      </c>
      <c r="D5802">
        <v>0.88587618144628499</v>
      </c>
      <c r="E5802">
        <v>0.51687015150881699</v>
      </c>
      <c r="F5802">
        <v>0.16597649482868701</v>
      </c>
      <c r="G5802">
        <v>9.23627012968984E-2</v>
      </c>
      <c r="H5802">
        <v>6.1418177818355499E-2</v>
      </c>
      <c r="I5802">
        <v>6.4377098111888298E-2</v>
      </c>
      <c r="J5802">
        <v>8.0673037731188196E-2</v>
      </c>
      <c r="K5802">
        <v>7.3974054703292005E-2</v>
      </c>
      <c r="L5802">
        <v>1233.5624497814399</v>
      </c>
      <c r="M5802">
        <v>25.000607284237201</v>
      </c>
      <c r="N5802">
        <v>49.604420077599002</v>
      </c>
      <c r="O5802">
        <v>49.028873080714398</v>
      </c>
      <c r="P5802">
        <v>-0.119564516425629</v>
      </c>
      <c r="Q5802">
        <v>6.2097528900293401E-2</v>
      </c>
      <c r="R5802">
        <v>0.98895775531909902</v>
      </c>
      <c r="S5802" t="s">
        <v>12472</v>
      </c>
      <c r="T5802" t="s">
        <v>13338</v>
      </c>
      <c r="U5802" t="s">
        <v>13338</v>
      </c>
      <c r="V5802" t="s">
        <v>13338</v>
      </c>
      <c r="W5802" t="s">
        <v>19082</v>
      </c>
      <c r="X5802">
        <v>25</v>
      </c>
      <c r="Y5802" t="s">
        <v>25573</v>
      </c>
      <c r="Z5802" t="s">
        <v>32217</v>
      </c>
      <c r="AA5802">
        <v>0.36246991349539098</v>
      </c>
      <c r="AB5802" t="str">
        <f>HYPERLINK("Melting_Curves/meltCurve_Q9HC38_2_GLOD4.pdf", "Melting_Curves/meltCurve_Q9HC38_2_GLOD4.pdf")</f>
        <v>Melting_Curves/meltCurve_Q9HC38_2_GLOD4.pdf</v>
      </c>
    </row>
    <row r="5803" spans="1:28" x14ac:dyDescent="0.25">
      <c r="A5803" t="s">
        <v>5807</v>
      </c>
      <c r="B5803">
        <v>0.99193492352474899</v>
      </c>
      <c r="C5803">
        <v>0.79103202494848601</v>
      </c>
      <c r="D5803">
        <v>0.88446015075467599</v>
      </c>
      <c r="E5803">
        <v>0.63574126995424296</v>
      </c>
      <c r="F5803">
        <v>0.61677908412582505</v>
      </c>
      <c r="G5803">
        <v>0.412228397644264</v>
      </c>
      <c r="H5803">
        <v>0.49403152637971898</v>
      </c>
      <c r="I5803">
        <v>0.81202621167781097</v>
      </c>
      <c r="J5803">
        <v>1.1479551492750799</v>
      </c>
      <c r="K5803">
        <v>1.6081227304669801</v>
      </c>
      <c r="L5803">
        <v>15000</v>
      </c>
      <c r="M5803">
        <v>222.681148493346</v>
      </c>
      <c r="O5803">
        <v>67.355455343673498</v>
      </c>
      <c r="P5803">
        <v>0.41325744822308602</v>
      </c>
      <c r="Q5803">
        <v>1.5</v>
      </c>
      <c r="R5803">
        <v>0.110324022928268</v>
      </c>
      <c r="S5803" t="s">
        <v>12473</v>
      </c>
      <c r="T5803" t="s">
        <v>13338</v>
      </c>
      <c r="U5803" t="s">
        <v>13338</v>
      </c>
      <c r="V5803" t="s">
        <v>13338</v>
      </c>
      <c r="W5803" t="s">
        <v>19083</v>
      </c>
      <c r="X5803">
        <v>3</v>
      </c>
      <c r="Y5803" t="s">
        <v>25574</v>
      </c>
      <c r="Z5803" t="s">
        <v>32218</v>
      </c>
      <c r="AA5803">
        <v>1.0439119284994649</v>
      </c>
      <c r="AB5803" t="str">
        <f>HYPERLINK("Melting_Curves/meltCurve_Q9HC44_GPBP1L1.pdf", "Melting_Curves/meltCurve_Q9HC44_GPBP1L1.pdf")</f>
        <v>Melting_Curves/meltCurve_Q9HC44_GPBP1L1.pdf</v>
      </c>
    </row>
    <row r="5804" spans="1:28" x14ac:dyDescent="0.25">
      <c r="A5804" t="s">
        <v>5808</v>
      </c>
      <c r="B5804">
        <v>0.99193492352474899</v>
      </c>
      <c r="C5804">
        <v>0.62706596985118601</v>
      </c>
      <c r="D5804">
        <v>0.55805257712899103</v>
      </c>
      <c r="E5804">
        <v>0.21997144313016501</v>
      </c>
      <c r="F5804">
        <v>0.129701340265752</v>
      </c>
      <c r="G5804">
        <v>0.10131122078084701</v>
      </c>
      <c r="H5804">
        <v>9.0317764108674203E-2</v>
      </c>
      <c r="I5804">
        <v>0.16973212523316999</v>
      </c>
      <c r="J5804">
        <v>0.226654425282481</v>
      </c>
      <c r="K5804">
        <v>0.24865507928243299</v>
      </c>
      <c r="L5804">
        <v>881.368191317335</v>
      </c>
      <c r="M5804">
        <v>19.7653375524166</v>
      </c>
      <c r="N5804">
        <v>45.4403471690255</v>
      </c>
      <c r="O5804">
        <v>44.1426824351744</v>
      </c>
      <c r="P5804">
        <v>-9.4665443342034195E-2</v>
      </c>
      <c r="Q5804">
        <v>0.154349056714468</v>
      </c>
      <c r="R5804">
        <v>0.92966056851972101</v>
      </c>
      <c r="S5804" t="s">
        <v>12474</v>
      </c>
      <c r="T5804" t="s">
        <v>13338</v>
      </c>
      <c r="U5804" t="s">
        <v>13338</v>
      </c>
      <c r="V5804" t="s">
        <v>13338</v>
      </c>
      <c r="W5804" t="s">
        <v>19084</v>
      </c>
      <c r="X5804">
        <v>2</v>
      </c>
      <c r="Y5804" t="s">
        <v>25575</v>
      </c>
      <c r="Z5804" t="s">
        <v>32219</v>
      </c>
      <c r="AA5804">
        <v>0.29925090795326481</v>
      </c>
      <c r="AB5804" t="str">
        <f>HYPERLINK("Melting_Curves/meltCurve_Q9HC52_CBX8.pdf", "Melting_Curves/meltCurve_Q9HC52_CBX8.pdf")</f>
        <v>Melting_Curves/meltCurve_Q9HC52_CBX8.pdf</v>
      </c>
    </row>
    <row r="5805" spans="1:28" x14ac:dyDescent="0.25">
      <c r="A5805" t="s">
        <v>5809</v>
      </c>
      <c r="B5805">
        <v>0.99193492352474899</v>
      </c>
      <c r="C5805">
        <v>0.90879798225403297</v>
      </c>
      <c r="D5805">
        <v>0.77688519458445404</v>
      </c>
      <c r="E5805">
        <v>0.68909138943196102</v>
      </c>
      <c r="F5805">
        <v>0.578728037155263</v>
      </c>
      <c r="G5805">
        <v>0.52804298651139203</v>
      </c>
      <c r="H5805">
        <v>0.39280560890987698</v>
      </c>
      <c r="I5805">
        <v>0.48985214784714798</v>
      </c>
      <c r="J5805">
        <v>0.28750472735740601</v>
      </c>
      <c r="K5805">
        <v>0.19641515460350101</v>
      </c>
      <c r="L5805">
        <v>335.49791537208699</v>
      </c>
      <c r="M5805">
        <v>5.8389783720838802</v>
      </c>
      <c r="N5805">
        <v>57.458324725641702</v>
      </c>
      <c r="O5805">
        <v>51.795589395174098</v>
      </c>
      <c r="P5805">
        <v>-2.8283337795713501E-2</v>
      </c>
      <c r="Q5805">
        <v>0</v>
      </c>
      <c r="R5805">
        <v>0.94806453982344896</v>
      </c>
      <c r="S5805" t="s">
        <v>12475</v>
      </c>
      <c r="T5805" t="s">
        <v>13338</v>
      </c>
      <c r="U5805" t="s">
        <v>13338</v>
      </c>
      <c r="V5805" t="s">
        <v>13338</v>
      </c>
      <c r="W5805" t="s">
        <v>19085</v>
      </c>
      <c r="X5805">
        <v>21</v>
      </c>
      <c r="Y5805" t="s">
        <v>25576</v>
      </c>
      <c r="Z5805" t="s">
        <v>32220</v>
      </c>
      <c r="AA5805">
        <v>0.57879594778229371</v>
      </c>
      <c r="AB5805" t="str">
        <f>HYPERLINK("Melting_Curves/meltCurve_Q9HCC0_MCCC2.pdf", "Melting_Curves/meltCurve_Q9HCC0_MCCC2.pdf")</f>
        <v>Melting_Curves/meltCurve_Q9HCC0_MCCC2.pdf</v>
      </c>
    </row>
    <row r="5806" spans="1:28" x14ac:dyDescent="0.25">
      <c r="A5806" t="s">
        <v>5810</v>
      </c>
      <c r="B5806">
        <v>0.99193492352474899</v>
      </c>
      <c r="C5806">
        <v>1.14325521088308</v>
      </c>
      <c r="D5806">
        <v>1.34798593770423</v>
      </c>
      <c r="E5806">
        <v>1.2656021987927999</v>
      </c>
      <c r="F5806">
        <v>1.4500053136522899</v>
      </c>
      <c r="G5806">
        <v>1.1303618980804799</v>
      </c>
      <c r="H5806">
        <v>0.94700800549316699</v>
      </c>
      <c r="I5806">
        <v>0.80480841476211096</v>
      </c>
      <c r="J5806">
        <v>0.75518646267241896</v>
      </c>
      <c r="K5806">
        <v>1.17741379804928</v>
      </c>
      <c r="L5806">
        <v>10324.2944230465</v>
      </c>
      <c r="M5806">
        <v>250</v>
      </c>
      <c r="O5806">
        <v>41.294535598659202</v>
      </c>
      <c r="P5806">
        <v>0.17180645710164</v>
      </c>
      <c r="Q5806">
        <v>1.1135146838170999</v>
      </c>
      <c r="R5806">
        <v>2.8694647460256E-2</v>
      </c>
      <c r="S5806" t="s">
        <v>12476</v>
      </c>
      <c r="T5806" t="s">
        <v>13338</v>
      </c>
      <c r="U5806" t="s">
        <v>13338</v>
      </c>
      <c r="V5806" t="s">
        <v>13338</v>
      </c>
      <c r="W5806" t="s">
        <v>19086</v>
      </c>
      <c r="X5806">
        <v>1</v>
      </c>
      <c r="Y5806" t="s">
        <v>25577</v>
      </c>
      <c r="Z5806" t="s">
        <v>32221</v>
      </c>
      <c r="AA5806">
        <v>1.1085979909097119</v>
      </c>
      <c r="AB5806" t="str">
        <f>HYPERLINK("Melting_Curves/meltCurve_Q9HCC9_5_ZFYVE28.pdf", "Melting_Curves/meltCurve_Q9HCC9_5_ZFYVE28.pdf")</f>
        <v>Melting_Curves/meltCurve_Q9HCC9_5_ZFYVE28.pdf</v>
      </c>
    </row>
    <row r="5807" spans="1:28" x14ac:dyDescent="0.25">
      <c r="A5807" t="s">
        <v>5811</v>
      </c>
      <c r="B5807">
        <v>0.99193492352474899</v>
      </c>
      <c r="C5807">
        <v>0.58555339115322202</v>
      </c>
      <c r="D5807">
        <v>0.82922417531250403</v>
      </c>
      <c r="E5807">
        <v>0.45903641466955603</v>
      </c>
      <c r="F5807">
        <v>0.16712403186935201</v>
      </c>
      <c r="G5807">
        <v>0.110070758268594</v>
      </c>
      <c r="H5807">
        <v>7.2591404761062406E-2</v>
      </c>
      <c r="I5807">
        <v>9.8298543224250995E-2</v>
      </c>
      <c r="J5807">
        <v>0.11595834446959299</v>
      </c>
      <c r="K5807">
        <v>0.12044145282942199</v>
      </c>
      <c r="L5807">
        <v>632.36553403752202</v>
      </c>
      <c r="M5807">
        <v>13.2220210312746</v>
      </c>
      <c r="N5807">
        <v>48.264792504943301</v>
      </c>
      <c r="O5807">
        <v>46.772375789550502</v>
      </c>
      <c r="P5807">
        <v>-6.6686826225770907E-2</v>
      </c>
      <c r="Q5807">
        <v>5.6548015091880503E-2</v>
      </c>
      <c r="R5807">
        <v>0.89244969264555796</v>
      </c>
      <c r="S5807" t="s">
        <v>12477</v>
      </c>
      <c r="T5807" t="s">
        <v>13338</v>
      </c>
      <c r="U5807" t="s">
        <v>13338</v>
      </c>
      <c r="V5807" t="s">
        <v>13338</v>
      </c>
      <c r="W5807" t="s">
        <v>19087</v>
      </c>
      <c r="X5807">
        <v>17</v>
      </c>
      <c r="Y5807" t="s">
        <v>25578</v>
      </c>
      <c r="Z5807" t="s">
        <v>32222</v>
      </c>
      <c r="AA5807">
        <v>0.33395725183912478</v>
      </c>
      <c r="AB5807" t="str">
        <f>HYPERLINK("Melting_Curves/meltCurve_Q9HCD5_NCOA5.pdf", "Melting_Curves/meltCurve_Q9HCD5_NCOA5.pdf")</f>
        <v>Melting_Curves/meltCurve_Q9HCD5_NCOA5.pdf</v>
      </c>
    </row>
    <row r="5808" spans="1:28" x14ac:dyDescent="0.25">
      <c r="A5808" t="s">
        <v>5812</v>
      </c>
      <c r="B5808">
        <v>0.99193492352474899</v>
      </c>
      <c r="C5808">
        <v>0.87983821093613701</v>
      </c>
      <c r="D5808">
        <v>0.80899757115690396</v>
      </c>
      <c r="E5808">
        <v>0.61595102415137204</v>
      </c>
      <c r="F5808">
        <v>0.527253900667916</v>
      </c>
      <c r="G5808">
        <v>0.24297985793723001</v>
      </c>
      <c r="H5808">
        <v>9.5391523264371697E-2</v>
      </c>
      <c r="I5808">
        <v>6.2461932543431499E-2</v>
      </c>
      <c r="J5808">
        <v>8.9670901614881698E-2</v>
      </c>
      <c r="K5808">
        <v>3.9369295463770403E-2</v>
      </c>
      <c r="L5808">
        <v>621.5263937377</v>
      </c>
      <c r="M5808">
        <v>11.957478236525199</v>
      </c>
      <c r="N5808">
        <v>51.978035058328999</v>
      </c>
      <c r="O5808">
        <v>50.588283266682197</v>
      </c>
      <c r="P5808">
        <v>-5.9106575408205499E-2</v>
      </c>
      <c r="Q5808">
        <v>0</v>
      </c>
      <c r="R5808">
        <v>0.98583692881084795</v>
      </c>
      <c r="S5808" t="s">
        <v>12478</v>
      </c>
      <c r="T5808" t="s">
        <v>13338</v>
      </c>
      <c r="U5808" t="s">
        <v>13338</v>
      </c>
      <c r="V5808" t="s">
        <v>13338</v>
      </c>
      <c r="W5808" t="s">
        <v>19088</v>
      </c>
      <c r="X5808">
        <v>2</v>
      </c>
      <c r="Y5808" t="s">
        <v>25579</v>
      </c>
      <c r="Z5808" t="s">
        <v>32223</v>
      </c>
      <c r="AA5808">
        <v>0.43005691972383142</v>
      </c>
      <c r="AB5808" t="str">
        <f>HYPERLINK("Melting_Curves/meltCurve_Q9HCD6_TANC2.pdf", "Melting_Curves/meltCurve_Q9HCD6_TANC2.pdf")</f>
        <v>Melting_Curves/meltCurve_Q9HCD6_TANC2.pdf</v>
      </c>
    </row>
    <row r="5809" spans="1:28" x14ac:dyDescent="0.25">
      <c r="A5809" t="s">
        <v>5813</v>
      </c>
      <c r="B5809">
        <v>0.99193492352474899</v>
      </c>
      <c r="C5809">
        <v>0.77267678294688202</v>
      </c>
      <c r="D5809">
        <v>1.0611366316923301</v>
      </c>
      <c r="E5809">
        <v>0.84036026512345696</v>
      </c>
      <c r="F5809">
        <v>0.68756668419485001</v>
      </c>
      <c r="G5809">
        <v>0.214711950769569</v>
      </c>
      <c r="H5809">
        <v>0.113199699600726</v>
      </c>
      <c r="I5809">
        <v>0.123783364972232</v>
      </c>
      <c r="J5809">
        <v>0.20346384496629599</v>
      </c>
      <c r="K5809">
        <v>0.16075509020745701</v>
      </c>
      <c r="L5809">
        <v>1833.7658096423399</v>
      </c>
      <c r="M5809">
        <v>34.136061722247298</v>
      </c>
      <c r="N5809">
        <v>54.239874397007704</v>
      </c>
      <c r="O5809">
        <v>53.535960686992603</v>
      </c>
      <c r="P5809">
        <v>-0.13714163511678101</v>
      </c>
      <c r="Q5809">
        <v>0.139680418601524</v>
      </c>
      <c r="R5809">
        <v>0.94187525689579799</v>
      </c>
      <c r="S5809" t="s">
        <v>12479</v>
      </c>
      <c r="T5809" t="s">
        <v>13338</v>
      </c>
      <c r="U5809" t="s">
        <v>13338</v>
      </c>
      <c r="V5809" t="s">
        <v>13338</v>
      </c>
      <c r="W5809" t="s">
        <v>19089</v>
      </c>
      <c r="X5809">
        <v>6</v>
      </c>
      <c r="Y5809" t="s">
        <v>25580</v>
      </c>
      <c r="Z5809" t="s">
        <v>32224</v>
      </c>
      <c r="AA5809">
        <v>0.53748642240029931</v>
      </c>
      <c r="AB5809" t="str">
        <f>HYPERLINK("Melting_Curves/meltCurve_Q9HCE1_MOV10.pdf", "Melting_Curves/meltCurve_Q9HCE1_MOV10.pdf")</f>
        <v>Melting_Curves/meltCurve_Q9HCE1_MOV10.pdf</v>
      </c>
    </row>
    <row r="5810" spans="1:28" x14ac:dyDescent="0.25">
      <c r="A5810" t="s">
        <v>5814</v>
      </c>
      <c r="B5810">
        <v>0.99193492352474899</v>
      </c>
      <c r="C5810">
        <v>1.01511939788518</v>
      </c>
      <c r="D5810">
        <v>0.78402793935588699</v>
      </c>
      <c r="E5810">
        <v>0.76186839315024801</v>
      </c>
      <c r="F5810">
        <v>0.21526694944637301</v>
      </c>
      <c r="G5810">
        <v>8.6036614958899804E-2</v>
      </c>
      <c r="H5810">
        <v>4.61229159722421E-2</v>
      </c>
      <c r="I5810">
        <v>5.2476398825654198E-2</v>
      </c>
      <c r="J5810">
        <v>7.97558787717495E-2</v>
      </c>
      <c r="K5810">
        <v>4.6819188785017403E-2</v>
      </c>
      <c r="L5810">
        <v>1437.9841885489</v>
      </c>
      <c r="M5810">
        <v>28.2655332116951</v>
      </c>
      <c r="N5810">
        <v>51.049067356757803</v>
      </c>
      <c r="O5810">
        <v>50.621520158282699</v>
      </c>
      <c r="P5810">
        <v>-0.13314995888693101</v>
      </c>
      <c r="Q5810">
        <v>4.6160210012851297E-2</v>
      </c>
      <c r="R5810">
        <v>0.97633956652336396</v>
      </c>
      <c r="S5810" t="s">
        <v>12480</v>
      </c>
      <c r="T5810" t="s">
        <v>13338</v>
      </c>
      <c r="U5810" t="s">
        <v>13338</v>
      </c>
      <c r="V5810" t="s">
        <v>13338</v>
      </c>
      <c r="W5810" t="s">
        <v>19090</v>
      </c>
      <c r="X5810">
        <v>8</v>
      </c>
      <c r="Y5810" t="s">
        <v>25581</v>
      </c>
      <c r="Z5810" t="s">
        <v>32225</v>
      </c>
      <c r="AA5810">
        <v>0.39864187659695832</v>
      </c>
      <c r="AB5810" t="str">
        <f>HYPERLINK("Melting_Curves/meltCurve_Q9HCE5_METTL14.pdf", "Melting_Curves/meltCurve_Q9HCE5_METTL14.pdf")</f>
        <v>Melting_Curves/meltCurve_Q9HCE5_METTL14.pdf</v>
      </c>
    </row>
    <row r="5811" spans="1:28" x14ac:dyDescent="0.25">
      <c r="A5811" t="s">
        <v>5815</v>
      </c>
      <c r="B5811">
        <v>0.99193492352474899</v>
      </c>
      <c r="C5811">
        <v>0.96047133054590805</v>
      </c>
      <c r="D5811">
        <v>0.80992385326348204</v>
      </c>
      <c r="E5811">
        <v>0.72879771900186396</v>
      </c>
      <c r="F5811">
        <v>0.51634836274075202</v>
      </c>
      <c r="G5811">
        <v>0.42875910453119598</v>
      </c>
      <c r="H5811">
        <v>0.32529720051269301</v>
      </c>
      <c r="I5811">
        <v>0.49953564688806801</v>
      </c>
      <c r="J5811">
        <v>0.46239422548182502</v>
      </c>
      <c r="K5811">
        <v>0.84995565843446996</v>
      </c>
      <c r="L5811">
        <v>1079.78769250401</v>
      </c>
      <c r="M5811">
        <v>22.654285396109501</v>
      </c>
      <c r="O5811">
        <v>47.296985984625699</v>
      </c>
      <c r="P5811">
        <v>-5.8507349260390397E-2</v>
      </c>
      <c r="Q5811">
        <v>0.51140959083465898</v>
      </c>
      <c r="R5811">
        <v>0.66832285032573202</v>
      </c>
      <c r="S5811" t="s">
        <v>12481</v>
      </c>
      <c r="T5811" t="s">
        <v>13338</v>
      </c>
      <c r="U5811" t="s">
        <v>13338</v>
      </c>
      <c r="V5811" t="s">
        <v>13338</v>
      </c>
      <c r="W5811" t="s">
        <v>19091</v>
      </c>
      <c r="X5811">
        <v>3</v>
      </c>
      <c r="Y5811" t="s">
        <v>25582</v>
      </c>
      <c r="Z5811" t="s">
        <v>32226</v>
      </c>
      <c r="AA5811">
        <v>0.64157210387859265</v>
      </c>
      <c r="AB5811" t="str">
        <f>HYPERLINK("Melting_Curves/meltCurve_Q9HCJ1_ANKH.pdf", "Melting_Curves/meltCurve_Q9HCJ1_ANKH.pdf")</f>
        <v>Melting_Curves/meltCurve_Q9HCJ1_ANKH.pdf</v>
      </c>
    </row>
    <row r="5812" spans="1:28" x14ac:dyDescent="0.25">
      <c r="A5812" t="s">
        <v>5816</v>
      </c>
      <c r="B5812">
        <v>0.99193492352474899</v>
      </c>
      <c r="C5812">
        <v>0.95651179884611404</v>
      </c>
      <c r="D5812">
        <v>0.49984952223787499</v>
      </c>
      <c r="E5812">
        <v>8.4565320016402407E-2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1710.44720135735</v>
      </c>
      <c r="M5812">
        <v>37.152402675554697</v>
      </c>
      <c r="N5812">
        <v>46.041433539833903</v>
      </c>
      <c r="O5812">
        <v>45.905893890471702</v>
      </c>
      <c r="P5812">
        <v>-0.20210459868629699</v>
      </c>
      <c r="Q5812">
        <v>1.11261748162469E-3</v>
      </c>
      <c r="R5812">
        <v>0.99944196617548098</v>
      </c>
      <c r="S5812" t="s">
        <v>12482</v>
      </c>
      <c r="T5812" t="s">
        <v>13338</v>
      </c>
      <c r="U5812" t="s">
        <v>13338</v>
      </c>
      <c r="V5812" t="s">
        <v>13338</v>
      </c>
      <c r="W5812" t="s">
        <v>19092</v>
      </c>
      <c r="X5812">
        <v>1</v>
      </c>
      <c r="Y5812" t="s">
        <v>25583</v>
      </c>
      <c r="Z5812" t="s">
        <v>32227</v>
      </c>
      <c r="AA5812">
        <v>0.20597736223423299</v>
      </c>
      <c r="AB5812" t="str">
        <f>HYPERLINK("Melting_Curves/meltCurve_Q9HCJ3_2_RAVER2.pdf", "Melting_Curves/meltCurve_Q9HCJ3_2_RAVER2.pdf")</f>
        <v>Melting_Curves/meltCurve_Q9HCJ3_2_RAVER2.pdf</v>
      </c>
    </row>
    <row r="5813" spans="1:28" x14ac:dyDescent="0.25">
      <c r="A5813" t="s">
        <v>5817</v>
      </c>
      <c r="B5813">
        <v>0.99193492352474899</v>
      </c>
      <c r="C5813">
        <v>0.59386552648911195</v>
      </c>
      <c r="D5813">
        <v>0.32185776305478397</v>
      </c>
      <c r="E5813">
        <v>0.22353903819026799</v>
      </c>
      <c r="F5813">
        <v>0.13545669715014699</v>
      </c>
      <c r="G5813">
        <v>8.4062785428997894E-2</v>
      </c>
      <c r="H5813">
        <v>4.4927697665276101E-2</v>
      </c>
      <c r="I5813">
        <v>5.5139566492466999E-2</v>
      </c>
      <c r="J5813">
        <v>9.9519621892124099E-2</v>
      </c>
      <c r="K5813">
        <v>6.10426401343801E-2</v>
      </c>
      <c r="L5813">
        <v>947.21860590479798</v>
      </c>
      <c r="M5813">
        <v>21.5958316755071</v>
      </c>
      <c r="N5813">
        <v>44.232859400851197</v>
      </c>
      <c r="O5813">
        <v>43.4902976254508</v>
      </c>
      <c r="P5813">
        <v>-0.11384356720856099</v>
      </c>
      <c r="Q5813">
        <v>8.2976720964048803E-2</v>
      </c>
      <c r="R5813">
        <v>0.97506411118807901</v>
      </c>
      <c r="S5813" t="s">
        <v>12483</v>
      </c>
      <c r="T5813" t="s">
        <v>13338</v>
      </c>
      <c r="U5813" t="s">
        <v>13338</v>
      </c>
      <c r="V5813" t="s">
        <v>13338</v>
      </c>
      <c r="W5813" t="s">
        <v>19093</v>
      </c>
      <c r="X5813">
        <v>12</v>
      </c>
      <c r="Y5813" t="s">
        <v>25584</v>
      </c>
      <c r="Z5813" t="s">
        <v>32228</v>
      </c>
      <c r="AA5813">
        <v>0.21628651519175579</v>
      </c>
      <c r="AB5813" t="str">
        <f>HYPERLINK("Melting_Curves/meltCurve_Q9HCK8_CHD8.pdf", "Melting_Curves/meltCurve_Q9HCK8_CHD8.pdf")</f>
        <v>Melting_Curves/meltCurve_Q9HCK8_CHD8.pdf</v>
      </c>
    </row>
    <row r="5814" spans="1:28" x14ac:dyDescent="0.25">
      <c r="A5814" t="s">
        <v>5818</v>
      </c>
      <c r="B5814">
        <v>0.99193492352474899</v>
      </c>
      <c r="C5814">
        <v>0.56279030317634005</v>
      </c>
      <c r="D5814">
        <v>0.54475185274696403</v>
      </c>
      <c r="E5814">
        <v>0.25932293601351902</v>
      </c>
      <c r="F5814">
        <v>0.155737331234263</v>
      </c>
      <c r="G5814">
        <v>8.2667817170387806E-2</v>
      </c>
      <c r="H5814">
        <v>0.122160166233254</v>
      </c>
      <c r="I5814">
        <v>0.17431047479419101</v>
      </c>
      <c r="J5814">
        <v>0.20325805518867701</v>
      </c>
      <c r="K5814">
        <v>0.37000098757936301</v>
      </c>
      <c r="L5814">
        <v>846.67797238859305</v>
      </c>
      <c r="M5814">
        <v>19.235870140923701</v>
      </c>
      <c r="N5814">
        <v>45.0862049706436</v>
      </c>
      <c r="O5814">
        <v>43.548149755140798</v>
      </c>
      <c r="P5814">
        <v>-9.0186177969494394E-2</v>
      </c>
      <c r="Q5814">
        <v>0.18333970475011299</v>
      </c>
      <c r="R5814">
        <v>0.869656790234832</v>
      </c>
      <c r="S5814" t="s">
        <v>12484</v>
      </c>
      <c r="T5814" t="s">
        <v>13338</v>
      </c>
      <c r="U5814" t="s">
        <v>13338</v>
      </c>
      <c r="V5814" t="s">
        <v>13338</v>
      </c>
      <c r="W5814" t="s">
        <v>19094</v>
      </c>
      <c r="X5814">
        <v>1</v>
      </c>
      <c r="Y5814" t="s">
        <v>25585</v>
      </c>
      <c r="Z5814" t="s">
        <v>32229</v>
      </c>
      <c r="AA5814">
        <v>0.30995726471030871</v>
      </c>
      <c r="AB5814" t="str">
        <f>HYPERLINK("Melting_Curves/meltCurve_Q9HCL3_ZFP14.pdf", "Melting_Curves/meltCurve_Q9HCL3_ZFP14.pdf")</f>
        <v>Melting_Curves/meltCurve_Q9HCL3_ZFP14.pdf</v>
      </c>
    </row>
    <row r="5815" spans="1:28" x14ac:dyDescent="0.25">
      <c r="A5815" t="s">
        <v>5819</v>
      </c>
      <c r="B5815">
        <v>0.99193492352474899</v>
      </c>
      <c r="C5815">
        <v>1.4216489651952</v>
      </c>
      <c r="D5815">
        <v>1.2380950546361</v>
      </c>
      <c r="E5815">
        <v>1.4276237140638299</v>
      </c>
      <c r="F5815">
        <v>1.1334821991639099</v>
      </c>
      <c r="G5815">
        <v>0.95791028997168903</v>
      </c>
      <c r="H5815">
        <v>0.52718752320023499</v>
      </c>
      <c r="I5815">
        <v>0.211357371761488</v>
      </c>
      <c r="J5815">
        <v>0.220309149075193</v>
      </c>
      <c r="K5815">
        <v>0</v>
      </c>
      <c r="L5815">
        <v>2292.6980662086398</v>
      </c>
      <c r="M5815">
        <v>37.715062864723699</v>
      </c>
      <c r="N5815">
        <v>61.113901996733198</v>
      </c>
      <c r="O5815">
        <v>60.619842549626</v>
      </c>
      <c r="P5815">
        <v>-0.14144959555483899</v>
      </c>
      <c r="Q5815">
        <v>9.0588446055993602E-2</v>
      </c>
      <c r="R5815">
        <v>0.819971639727341</v>
      </c>
      <c r="S5815" t="s">
        <v>12485</v>
      </c>
      <c r="T5815" t="s">
        <v>13338</v>
      </c>
      <c r="U5815" t="s">
        <v>13338</v>
      </c>
      <c r="V5815" t="s">
        <v>13338</v>
      </c>
      <c r="W5815" t="s">
        <v>19095</v>
      </c>
      <c r="X5815">
        <v>1</v>
      </c>
      <c r="Y5815" t="s">
        <v>25586</v>
      </c>
      <c r="Z5815" t="s">
        <v>32230</v>
      </c>
      <c r="AA5815">
        <v>0.72463229053286582</v>
      </c>
      <c r="AB5815" t="str">
        <f>HYPERLINK("Melting_Curves/meltCurve_Q9HCN3_TMEM8A.pdf", "Melting_Curves/meltCurve_Q9HCN3_TMEM8A.pdf")</f>
        <v>Melting_Curves/meltCurve_Q9HCN3_TMEM8A.pdf</v>
      </c>
    </row>
    <row r="5816" spans="1:28" x14ac:dyDescent="0.25">
      <c r="A5816" t="s">
        <v>5820</v>
      </c>
      <c r="B5816">
        <v>0.99193492352474899</v>
      </c>
      <c r="C5816">
        <v>0.87988136433578601</v>
      </c>
      <c r="D5816">
        <v>0.96335497161664596</v>
      </c>
      <c r="E5816">
        <v>0.72349480671852695</v>
      </c>
      <c r="F5816">
        <v>0.67343178594939601</v>
      </c>
      <c r="G5816">
        <v>0.50663182344532098</v>
      </c>
      <c r="H5816">
        <v>0.41302728310598802</v>
      </c>
      <c r="I5816">
        <v>0.51445374406444</v>
      </c>
      <c r="J5816">
        <v>0.57490295700435301</v>
      </c>
      <c r="K5816">
        <v>0.26334658398517602</v>
      </c>
      <c r="L5816">
        <v>619.17708494083797</v>
      </c>
      <c r="M5816">
        <v>12.001794451040499</v>
      </c>
      <c r="N5816">
        <v>58.9372126837319</v>
      </c>
      <c r="O5816">
        <v>50.220701292280197</v>
      </c>
      <c r="P5816">
        <v>-3.6573053278414903E-2</v>
      </c>
      <c r="Q5816">
        <v>0.38799755291618299</v>
      </c>
      <c r="R5816">
        <v>0.86736509383501104</v>
      </c>
      <c r="S5816" t="s">
        <v>12486</v>
      </c>
      <c r="T5816" t="s">
        <v>13338</v>
      </c>
      <c r="U5816" t="s">
        <v>13338</v>
      </c>
      <c r="V5816" t="s">
        <v>13338</v>
      </c>
      <c r="W5816" t="s">
        <v>19096</v>
      </c>
      <c r="X5816">
        <v>5</v>
      </c>
      <c r="Y5816" t="s">
        <v>25587</v>
      </c>
      <c r="Z5816" t="s">
        <v>32231</v>
      </c>
      <c r="AA5816">
        <v>0.64367712715279668</v>
      </c>
      <c r="AB5816" t="str">
        <f>HYPERLINK("Melting_Curves/meltCurve_Q9HCN4_GPN1.pdf", "Melting_Curves/meltCurve_Q9HCN4_GPN1.pdf")</f>
        <v>Melting_Curves/meltCurve_Q9HCN4_GPN1.pdf</v>
      </c>
    </row>
    <row r="5817" spans="1:28" x14ac:dyDescent="0.25">
      <c r="A5817" t="s">
        <v>5821</v>
      </c>
      <c r="B5817">
        <v>0.99193492352474899</v>
      </c>
      <c r="C5817">
        <v>0.98775411313415795</v>
      </c>
      <c r="D5817">
        <v>0.76599119850925201</v>
      </c>
      <c r="E5817">
        <v>0.87953598555386403</v>
      </c>
      <c r="F5817">
        <v>0.718186893404961</v>
      </c>
      <c r="G5817">
        <v>0.43305953663255098</v>
      </c>
      <c r="H5817">
        <v>0.25103197599503602</v>
      </c>
      <c r="I5817">
        <v>0.122349026886738</v>
      </c>
      <c r="J5817">
        <v>0.103678686199423</v>
      </c>
      <c r="K5817">
        <v>0.13887380966422699</v>
      </c>
      <c r="L5817">
        <v>723.681479582365</v>
      </c>
      <c r="M5817">
        <v>12.9871863654789</v>
      </c>
      <c r="N5817">
        <v>55.875579937172702</v>
      </c>
      <c r="O5817">
        <v>54.451209540548099</v>
      </c>
      <c r="P5817">
        <v>-5.8597526260621903E-2</v>
      </c>
      <c r="Q5817">
        <v>1.7449869151959299E-2</v>
      </c>
      <c r="R5817">
        <v>0.96509496926598104</v>
      </c>
      <c r="S5817" t="s">
        <v>12487</v>
      </c>
      <c r="T5817" t="s">
        <v>13338</v>
      </c>
      <c r="U5817" t="s">
        <v>13338</v>
      </c>
      <c r="V5817" t="s">
        <v>13338</v>
      </c>
      <c r="W5817" t="s">
        <v>19097</v>
      </c>
      <c r="X5817">
        <v>3</v>
      </c>
      <c r="Y5817" t="s">
        <v>25588</v>
      </c>
      <c r="Z5817" t="s">
        <v>32232</v>
      </c>
      <c r="AA5817">
        <v>0.55239886130961235</v>
      </c>
      <c r="AB5817" t="str">
        <f>HYPERLINK("Melting_Curves/meltCurve_Q9HCN8_SDF2L1.pdf", "Melting_Curves/meltCurve_Q9HCN8_SDF2L1.pdf")</f>
        <v>Melting_Curves/meltCurve_Q9HCN8_SDF2L1.pdf</v>
      </c>
    </row>
    <row r="5818" spans="1:28" x14ac:dyDescent="0.25">
      <c r="A5818" t="s">
        <v>5822</v>
      </c>
      <c r="B5818">
        <v>0.99193492352474899</v>
      </c>
      <c r="C5818">
        <v>0.77430891403954705</v>
      </c>
      <c r="D5818">
        <v>0.77396281906693198</v>
      </c>
      <c r="E5818">
        <v>0.88789049106753903</v>
      </c>
      <c r="F5818">
        <v>0.76652783499227795</v>
      </c>
      <c r="G5818">
        <v>0.46569595705254402</v>
      </c>
      <c r="H5818">
        <v>0.14671263233943899</v>
      </c>
      <c r="I5818">
        <v>9.8213932589736805E-2</v>
      </c>
      <c r="J5818">
        <v>8.73480276078131E-2</v>
      </c>
      <c r="K5818">
        <v>9.57944985293228E-2</v>
      </c>
      <c r="L5818">
        <v>842.62234280923303</v>
      </c>
      <c r="M5818">
        <v>15.060882750740999</v>
      </c>
      <c r="N5818">
        <v>55.947744496880503</v>
      </c>
      <c r="O5818">
        <v>54.9891976673862</v>
      </c>
      <c r="P5818">
        <v>-6.8478827868633393E-2</v>
      </c>
      <c r="Q5818">
        <v>0</v>
      </c>
      <c r="R5818">
        <v>0.918748791620282</v>
      </c>
      <c r="S5818" t="s">
        <v>12488</v>
      </c>
      <c r="T5818" t="s">
        <v>13338</v>
      </c>
      <c r="U5818" t="s">
        <v>13338</v>
      </c>
      <c r="V5818" t="s">
        <v>13338</v>
      </c>
      <c r="W5818" t="s">
        <v>19098</v>
      </c>
      <c r="X5818">
        <v>6</v>
      </c>
      <c r="Y5818" t="s">
        <v>25589</v>
      </c>
      <c r="Z5818" t="s">
        <v>32233</v>
      </c>
      <c r="AA5818">
        <v>0.54936041672623648</v>
      </c>
      <c r="AB5818" t="str">
        <f>HYPERLINK("Melting_Curves/meltCurve_Q9HCP0_2_CSNK1G1.pdf", "Melting_Curves/meltCurve_Q9HCP0_2_CSNK1G1.pdf")</f>
        <v>Melting_Curves/meltCurve_Q9HCP0_2_CSNK1G1.pdf</v>
      </c>
    </row>
    <row r="5819" spans="1:28" x14ac:dyDescent="0.25">
      <c r="A5819" t="s">
        <v>5823</v>
      </c>
      <c r="B5819">
        <v>0.99193492352474899</v>
      </c>
      <c r="C5819">
        <v>1.0593881169631001</v>
      </c>
      <c r="D5819">
        <v>0.99014744896753204</v>
      </c>
      <c r="E5819">
        <v>0.93723686864995503</v>
      </c>
      <c r="F5819">
        <v>0.64392763280847598</v>
      </c>
      <c r="G5819">
        <v>0.38681741579814499</v>
      </c>
      <c r="H5819">
        <v>0.18695612347431501</v>
      </c>
      <c r="I5819">
        <v>0.187042170652923</v>
      </c>
      <c r="J5819">
        <v>0.12724896997789001</v>
      </c>
      <c r="K5819">
        <v>9.7174957779105897E-2</v>
      </c>
      <c r="L5819">
        <v>1197.9984639481399</v>
      </c>
      <c r="M5819">
        <v>21.999252176003001</v>
      </c>
      <c r="N5819">
        <v>55.1269866049876</v>
      </c>
      <c r="O5819">
        <v>54.012360063054601</v>
      </c>
      <c r="P5819">
        <v>-8.9872111449062195E-2</v>
      </c>
      <c r="Q5819">
        <v>0.11740721852120101</v>
      </c>
      <c r="R5819">
        <v>0.99460149817927601</v>
      </c>
      <c r="S5819" t="s">
        <v>12489</v>
      </c>
      <c r="T5819" t="s">
        <v>13338</v>
      </c>
      <c r="U5819" t="s">
        <v>13338</v>
      </c>
      <c r="V5819" t="s">
        <v>13338</v>
      </c>
      <c r="W5819" t="s">
        <v>19099</v>
      </c>
      <c r="X5819">
        <v>12</v>
      </c>
      <c r="Y5819" t="s">
        <v>25590</v>
      </c>
      <c r="Z5819" t="s">
        <v>32234</v>
      </c>
      <c r="AA5819">
        <v>0.55290904522960993</v>
      </c>
      <c r="AB5819" t="str">
        <f>HYPERLINK("Melting_Curves/meltCurve_Q9HCU5_PREB.pdf", "Melting_Curves/meltCurve_Q9HCU5_PREB.pdf")</f>
        <v>Melting_Curves/meltCurve_Q9HCU5_PREB.pdf</v>
      </c>
    </row>
    <row r="5820" spans="1:28" x14ac:dyDescent="0.25">
      <c r="A5820" t="s">
        <v>5824</v>
      </c>
      <c r="B5820">
        <v>0.99193492352474899</v>
      </c>
      <c r="C5820">
        <v>0.86806159717228804</v>
      </c>
      <c r="D5820">
        <v>0.94930843970280798</v>
      </c>
      <c r="E5820">
        <v>0.71949522548350398</v>
      </c>
      <c r="F5820">
        <v>0.40523211991179398</v>
      </c>
      <c r="G5820">
        <v>0.18784156874237201</v>
      </c>
      <c r="H5820">
        <v>0.120952780269119</v>
      </c>
      <c r="I5820">
        <v>0.138781509777685</v>
      </c>
      <c r="J5820">
        <v>0.16807975024980501</v>
      </c>
      <c r="K5820">
        <v>0.21796329526509001</v>
      </c>
      <c r="L5820">
        <v>1233.73551582103</v>
      </c>
      <c r="M5820">
        <v>24.1652890747818</v>
      </c>
      <c r="N5820">
        <v>51.826812755471202</v>
      </c>
      <c r="O5820">
        <v>50.708251061630897</v>
      </c>
      <c r="P5820">
        <v>-0.101117694568284</v>
      </c>
      <c r="Q5820">
        <v>0.151274512704382</v>
      </c>
      <c r="R5820">
        <v>0.97999673770260498</v>
      </c>
      <c r="S5820" t="s">
        <v>12490</v>
      </c>
      <c r="T5820" t="s">
        <v>13338</v>
      </c>
      <c r="U5820" t="s">
        <v>13338</v>
      </c>
      <c r="V5820" t="s">
        <v>13338</v>
      </c>
      <c r="W5820" t="s">
        <v>19100</v>
      </c>
      <c r="X5820">
        <v>9</v>
      </c>
      <c r="Y5820" t="s">
        <v>25591</v>
      </c>
      <c r="Z5820" t="s">
        <v>32235</v>
      </c>
      <c r="AA5820">
        <v>0.47220242824276137</v>
      </c>
      <c r="AB5820" t="str">
        <f>HYPERLINK("Melting_Curves/meltCurve_Q9HD15_SRA1.pdf", "Melting_Curves/meltCurve_Q9HD15_SRA1.pdf")</f>
        <v>Melting_Curves/meltCurve_Q9HD15_SRA1.pdf</v>
      </c>
    </row>
    <row r="5821" spans="1:28" x14ac:dyDescent="0.25">
      <c r="A5821" t="s">
        <v>5825</v>
      </c>
      <c r="B5821">
        <v>0.99193492352474899</v>
      </c>
      <c r="C5821">
        <v>1.0063857801779601</v>
      </c>
      <c r="D5821">
        <v>1.02115162177198</v>
      </c>
      <c r="E5821">
        <v>0.82843088334358095</v>
      </c>
      <c r="F5821">
        <v>0.40817382693853599</v>
      </c>
      <c r="G5821">
        <v>0.136439935880387</v>
      </c>
      <c r="H5821">
        <v>8.7809437649529004E-2</v>
      </c>
      <c r="I5821">
        <v>8.5704630450213606E-2</v>
      </c>
      <c r="J5821">
        <v>8.7931212340274401E-2</v>
      </c>
      <c r="K5821">
        <v>6.9545618829836398E-2</v>
      </c>
      <c r="L5821">
        <v>1604.5479325710401</v>
      </c>
      <c r="M5821">
        <v>30.780979828046501</v>
      </c>
      <c r="N5821">
        <v>52.415211328261201</v>
      </c>
      <c r="O5821">
        <v>51.9093714831345</v>
      </c>
      <c r="P5821">
        <v>-0.13673712386209499</v>
      </c>
      <c r="Q5821">
        <v>7.7625752851030697E-2</v>
      </c>
      <c r="R5821">
        <v>0.99887522412687701</v>
      </c>
      <c r="S5821" t="s">
        <v>12491</v>
      </c>
      <c r="T5821" t="s">
        <v>13338</v>
      </c>
      <c r="U5821" t="s">
        <v>13338</v>
      </c>
      <c r="V5821" t="s">
        <v>13338</v>
      </c>
      <c r="W5821" t="s">
        <v>19101</v>
      </c>
      <c r="X5821">
        <v>25</v>
      </c>
      <c r="Y5821" t="s">
        <v>25592</v>
      </c>
      <c r="Z5821" t="s">
        <v>32236</v>
      </c>
      <c r="AA5821">
        <v>0.45611965304925589</v>
      </c>
      <c r="AB5821" t="str">
        <f>HYPERLINK("Melting_Curves/meltCurve_Q9HD20_2_ATP13A1.pdf", "Melting_Curves/meltCurve_Q9HD20_2_ATP13A1.pdf")</f>
        <v>Melting_Curves/meltCurve_Q9HD20_2_ATP13A1.pdf</v>
      </c>
    </row>
    <row r="5822" spans="1:28" x14ac:dyDescent="0.25">
      <c r="A5822" t="s">
        <v>5826</v>
      </c>
      <c r="B5822">
        <v>0.99193492352474899</v>
      </c>
      <c r="C5822">
        <v>0.79851768297900005</v>
      </c>
      <c r="D5822">
        <v>0.84608319147605504</v>
      </c>
      <c r="E5822">
        <v>0.26678573430675001</v>
      </c>
      <c r="F5822">
        <v>0.15718532366324101</v>
      </c>
      <c r="G5822">
        <v>9.5439312461390494E-2</v>
      </c>
      <c r="H5822">
        <v>7.0831200349869006E-2</v>
      </c>
      <c r="I5822">
        <v>9.4377822813182799E-2</v>
      </c>
      <c r="J5822">
        <v>0.114777945235692</v>
      </c>
      <c r="K5822">
        <v>0.13743579154886501</v>
      </c>
      <c r="L5822">
        <v>1577.7441727937501</v>
      </c>
      <c r="M5822">
        <v>33.083794848870802</v>
      </c>
      <c r="N5822">
        <v>48.0241047702009</v>
      </c>
      <c r="O5822">
        <v>47.516108422052397</v>
      </c>
      <c r="P5822">
        <v>-0.15614146231362699</v>
      </c>
      <c r="Q5822">
        <v>0.102980555950026</v>
      </c>
      <c r="R5822">
        <v>0.96755604803749795</v>
      </c>
      <c r="S5822" t="s">
        <v>12492</v>
      </c>
      <c r="T5822" t="s">
        <v>13338</v>
      </c>
      <c r="U5822" t="s">
        <v>13338</v>
      </c>
      <c r="V5822" t="s">
        <v>13338</v>
      </c>
      <c r="W5822" t="s">
        <v>19102</v>
      </c>
      <c r="X5822">
        <v>8</v>
      </c>
      <c r="Y5822" t="s">
        <v>25593</v>
      </c>
      <c r="Z5822" t="s">
        <v>32237</v>
      </c>
      <c r="AA5822">
        <v>0.3372855971672436</v>
      </c>
      <c r="AB5822" t="str">
        <f>HYPERLINK("Melting_Curves/meltCurve_Q9HD26_GOPC.pdf", "Melting_Curves/meltCurve_Q9HD26_GOPC.pdf")</f>
        <v>Melting_Curves/meltCurve_Q9HD26_GOPC.pdf</v>
      </c>
    </row>
    <row r="5823" spans="1:28" x14ac:dyDescent="0.25">
      <c r="A5823" t="s">
        <v>5827</v>
      </c>
      <c r="B5823">
        <v>0.99193492352474899</v>
      </c>
      <c r="C5823">
        <v>1.2218846602014299</v>
      </c>
      <c r="D5823">
        <v>0.762581881403262</v>
      </c>
      <c r="E5823">
        <v>1.0160960198531701</v>
      </c>
      <c r="F5823">
        <v>0.59666801819578996</v>
      </c>
      <c r="G5823">
        <v>0.30674677673995199</v>
      </c>
      <c r="H5823">
        <v>0.11223282188115399</v>
      </c>
      <c r="I5823">
        <v>0.12768328148119301</v>
      </c>
      <c r="J5823">
        <v>0.134503874965852</v>
      </c>
      <c r="K5823">
        <v>0.16645091222244501</v>
      </c>
      <c r="L5823">
        <v>1684.6392177027501</v>
      </c>
      <c r="M5823">
        <v>31.3772423316463</v>
      </c>
      <c r="N5823">
        <v>54.230879803501502</v>
      </c>
      <c r="O5823">
        <v>53.473167548607996</v>
      </c>
      <c r="P5823">
        <v>-0.126982657670799</v>
      </c>
      <c r="Q5823">
        <v>0.13438806107649301</v>
      </c>
      <c r="R5823">
        <v>0.93052516803871499</v>
      </c>
      <c r="S5823" t="s">
        <v>12493</v>
      </c>
      <c r="T5823" t="s">
        <v>13338</v>
      </c>
      <c r="U5823" t="s">
        <v>13338</v>
      </c>
      <c r="V5823" t="s">
        <v>13338</v>
      </c>
      <c r="W5823" t="s">
        <v>19103</v>
      </c>
      <c r="X5823">
        <v>3</v>
      </c>
      <c r="Y5823" t="s">
        <v>25594</v>
      </c>
      <c r="Z5823" t="s">
        <v>32238</v>
      </c>
      <c r="AA5823">
        <v>0.53458194483311539</v>
      </c>
      <c r="AB5823" t="str">
        <f>HYPERLINK("Melting_Curves/meltCurve_Q9HD34_LYRM4.pdf", "Melting_Curves/meltCurve_Q9HD34_LYRM4.pdf")</f>
        <v>Melting_Curves/meltCurve_Q9HD34_LYRM4.pdf</v>
      </c>
    </row>
    <row r="5824" spans="1:28" x14ac:dyDescent="0.25">
      <c r="A5824" t="s">
        <v>5828</v>
      </c>
      <c r="B5824">
        <v>0.99193492352474899</v>
      </c>
      <c r="C5824">
        <v>1.01211420569072</v>
      </c>
      <c r="D5824">
        <v>0.91073703037334797</v>
      </c>
      <c r="E5824">
        <v>0.90659120303524199</v>
      </c>
      <c r="F5824">
        <v>0.86951069161760297</v>
      </c>
      <c r="G5824">
        <v>0.70287786167861599</v>
      </c>
      <c r="H5824">
        <v>0.527340770727866</v>
      </c>
      <c r="I5824">
        <v>0.55251168037174103</v>
      </c>
      <c r="J5824">
        <v>0.40965376382552299</v>
      </c>
      <c r="K5824">
        <v>0.20374710829897699</v>
      </c>
      <c r="L5824">
        <v>561.05375113383195</v>
      </c>
      <c r="M5824">
        <v>8.91149297461968</v>
      </c>
      <c r="N5824">
        <v>62.958437598706197</v>
      </c>
      <c r="O5824">
        <v>60.030189736891501</v>
      </c>
      <c r="P5824">
        <v>-3.7140525240028997E-2</v>
      </c>
      <c r="Q5824">
        <v>0</v>
      </c>
      <c r="R5824">
        <v>0.96319906566663505</v>
      </c>
      <c r="S5824" t="s">
        <v>12494</v>
      </c>
      <c r="T5824" t="s">
        <v>13338</v>
      </c>
      <c r="U5824" t="s">
        <v>13338</v>
      </c>
      <c r="V5824" t="s">
        <v>13338</v>
      </c>
      <c r="W5824" t="s">
        <v>19104</v>
      </c>
      <c r="X5824">
        <v>6</v>
      </c>
      <c r="Y5824" t="s">
        <v>25595</v>
      </c>
      <c r="Z5824" t="s">
        <v>32239</v>
      </c>
      <c r="AA5824">
        <v>0.72590762581281665</v>
      </c>
      <c r="AB5824" t="str">
        <f>HYPERLINK("Melting_Curves/meltCurve_Q9HD40_SEPSECS.pdf", "Melting_Curves/meltCurve_Q9HD40_SEPSECS.pdf")</f>
        <v>Melting_Curves/meltCurve_Q9HD40_SEPSECS.pdf</v>
      </c>
    </row>
    <row r="5825" spans="1:28" x14ac:dyDescent="0.25">
      <c r="A5825" t="s">
        <v>5829</v>
      </c>
      <c r="B5825">
        <v>0.99193492352474899</v>
      </c>
      <c r="C5825">
        <v>0.91451451612175005</v>
      </c>
      <c r="D5825">
        <v>0.97202372374443202</v>
      </c>
      <c r="E5825">
        <v>0.81904918363085</v>
      </c>
      <c r="F5825">
        <v>0.63354949527373094</v>
      </c>
      <c r="G5825">
        <v>0.40111100892940499</v>
      </c>
      <c r="H5825">
        <v>0.22530177268566901</v>
      </c>
      <c r="I5825">
        <v>0.216270317298877</v>
      </c>
      <c r="J5825">
        <v>0.22886103874250699</v>
      </c>
      <c r="K5825">
        <v>0.29062709188606201</v>
      </c>
      <c r="L5825">
        <v>1039.52150091776</v>
      </c>
      <c r="M5825">
        <v>19.5623259459</v>
      </c>
      <c r="N5825">
        <v>54.7467872708337</v>
      </c>
      <c r="O5825">
        <v>52.593005486039999</v>
      </c>
      <c r="P5825">
        <v>-7.2672541789999198E-2</v>
      </c>
      <c r="Q5825">
        <v>0.218511834999048</v>
      </c>
      <c r="R5825">
        <v>0.98395559562081703</v>
      </c>
      <c r="S5825" t="s">
        <v>12495</v>
      </c>
      <c r="T5825" t="s">
        <v>13338</v>
      </c>
      <c r="U5825" t="s">
        <v>13338</v>
      </c>
      <c r="V5825" t="s">
        <v>13338</v>
      </c>
      <c r="W5825" t="s">
        <v>13374</v>
      </c>
      <c r="X5825">
        <v>5</v>
      </c>
      <c r="Y5825" t="s">
        <v>19976</v>
      </c>
      <c r="Z5825" t="s">
        <v>32240</v>
      </c>
      <c r="AA5825">
        <v>0.57191880147315821</v>
      </c>
      <c r="AB5825" t="str">
        <f>HYPERLINK("Melting_Curves/meltCurve_Q9HD42_CHMP1A.pdf", "Melting_Curves/meltCurve_Q9HD42_CHMP1A.pdf")</f>
        <v>Melting_Curves/meltCurve_Q9HD42_CHMP1A.pdf</v>
      </c>
    </row>
    <row r="5826" spans="1:28" x14ac:dyDescent="0.25">
      <c r="A5826" t="s">
        <v>5830</v>
      </c>
      <c r="B5826">
        <v>0.99193492352474899</v>
      </c>
      <c r="C5826">
        <v>0.98833579297165697</v>
      </c>
      <c r="D5826">
        <v>1.05289138896302</v>
      </c>
      <c r="E5826">
        <v>0.914850952162786</v>
      </c>
      <c r="F5826">
        <v>0.30872903504652899</v>
      </c>
      <c r="G5826">
        <v>0.16378419299225999</v>
      </c>
      <c r="H5826">
        <v>9.6046234725784996E-2</v>
      </c>
      <c r="I5826">
        <v>9.3548157042702904E-2</v>
      </c>
      <c r="J5826">
        <v>0.117745820003608</v>
      </c>
      <c r="K5826">
        <v>0.118739220180476</v>
      </c>
      <c r="L5826">
        <v>2532.78791522949</v>
      </c>
      <c r="M5826">
        <v>48.849653431607997</v>
      </c>
      <c r="N5826">
        <v>52.126476434626497</v>
      </c>
      <c r="O5826">
        <v>51.761969143608503</v>
      </c>
      <c r="P5826">
        <v>-0.20889189474814099</v>
      </c>
      <c r="Q5826">
        <v>0.11461845840637799</v>
      </c>
      <c r="R5826">
        <v>0.99686319409078195</v>
      </c>
      <c r="S5826" t="s">
        <v>12496</v>
      </c>
      <c r="T5826" t="s">
        <v>13338</v>
      </c>
      <c r="U5826" t="s">
        <v>13338</v>
      </c>
      <c r="V5826" t="s">
        <v>13338</v>
      </c>
      <c r="W5826" t="s">
        <v>19105</v>
      </c>
      <c r="X5826">
        <v>8</v>
      </c>
      <c r="Y5826" t="s">
        <v>25596</v>
      </c>
      <c r="Z5826" t="s">
        <v>32241</v>
      </c>
      <c r="AA5826">
        <v>0.46642572854003461</v>
      </c>
      <c r="AB5826" t="str">
        <f>HYPERLINK("Melting_Curves/meltCurve_Q9HD45_TM9SF3.pdf", "Melting_Curves/meltCurve_Q9HD45_TM9SF3.pdf")</f>
        <v>Melting_Curves/meltCurve_Q9HD45_TM9SF3.pdf</v>
      </c>
    </row>
    <row r="5827" spans="1:28" x14ac:dyDescent="0.25">
      <c r="A5827" t="s">
        <v>5831</v>
      </c>
      <c r="B5827">
        <v>0.99193492352474899</v>
      </c>
      <c r="C5827">
        <v>1.3807863162298299</v>
      </c>
      <c r="D5827">
        <v>0.84188625016237095</v>
      </c>
      <c r="E5827">
        <v>0.95976573371878104</v>
      </c>
      <c r="F5827">
        <v>0.50002633387436202</v>
      </c>
      <c r="G5827">
        <v>0.33643070411833098</v>
      </c>
      <c r="H5827">
        <v>0.12540933919557901</v>
      </c>
      <c r="I5827">
        <v>0.20666522855800601</v>
      </c>
      <c r="J5827">
        <v>0.186154265852228</v>
      </c>
      <c r="K5827">
        <v>0.270067769872056</v>
      </c>
      <c r="L5827">
        <v>1812.08278414559</v>
      </c>
      <c r="M5827">
        <v>34.432300410422599</v>
      </c>
      <c r="N5827">
        <v>53.459897199785097</v>
      </c>
      <c r="O5827">
        <v>52.450844317066696</v>
      </c>
      <c r="P5827">
        <v>-0.13006117032664199</v>
      </c>
      <c r="Q5827">
        <v>0.20751243564112401</v>
      </c>
      <c r="R5827">
        <v>0.88789574259678605</v>
      </c>
      <c r="S5827" t="s">
        <v>12497</v>
      </c>
      <c r="T5827" t="s">
        <v>13338</v>
      </c>
      <c r="U5827" t="s">
        <v>13338</v>
      </c>
      <c r="V5827" t="s">
        <v>13338</v>
      </c>
      <c r="W5827" t="s">
        <v>19106</v>
      </c>
      <c r="X5827">
        <v>6</v>
      </c>
      <c r="Y5827" t="s">
        <v>25597</v>
      </c>
      <c r="Z5827" t="s">
        <v>32242</v>
      </c>
      <c r="AA5827">
        <v>0.54497050878709885</v>
      </c>
      <c r="AB5827" t="str">
        <f>HYPERLINK("Melting_Curves/meltCurve_Q9HD47_RANGRF.pdf", "Melting_Curves/meltCurve_Q9HD47_RANGRF.pdf")</f>
        <v>Melting_Curves/meltCurve_Q9HD47_RANGRF.pdf</v>
      </c>
    </row>
    <row r="5828" spans="1:28" x14ac:dyDescent="0.25">
      <c r="A5828" t="s">
        <v>5832</v>
      </c>
      <c r="B5828">
        <v>0.99193492352474899</v>
      </c>
      <c r="C5828">
        <v>0.90008540874675003</v>
      </c>
      <c r="D5828">
        <v>1.0579531117385601</v>
      </c>
      <c r="E5828">
        <v>0.69242660698775604</v>
      </c>
      <c r="F5828">
        <v>0.66950349273714604</v>
      </c>
      <c r="G5828">
        <v>0.51706740641245497</v>
      </c>
      <c r="H5828">
        <v>0.480073707454715</v>
      </c>
      <c r="I5828">
        <v>0.477002096056096</v>
      </c>
      <c r="J5828">
        <v>0.54073848085924003</v>
      </c>
      <c r="K5828">
        <v>0.476354624520611</v>
      </c>
      <c r="L5828">
        <v>1158.3473601707001</v>
      </c>
      <c r="M5828">
        <v>23.136042371862601</v>
      </c>
      <c r="N5828">
        <v>63.099906290823498</v>
      </c>
      <c r="O5828">
        <v>49.697245280023701</v>
      </c>
      <c r="P5828">
        <v>-5.86827652442935E-2</v>
      </c>
      <c r="Q5828">
        <v>0.49579648680650801</v>
      </c>
      <c r="R5828">
        <v>0.91957425821887895</v>
      </c>
      <c r="S5828" t="s">
        <v>12498</v>
      </c>
      <c r="T5828" t="s">
        <v>13338</v>
      </c>
      <c r="U5828" t="s">
        <v>13338</v>
      </c>
      <c r="V5828" t="s">
        <v>13338</v>
      </c>
      <c r="W5828" t="s">
        <v>19107</v>
      </c>
      <c r="X5828">
        <v>4</v>
      </c>
      <c r="Y5828" t="s">
        <v>25598</v>
      </c>
      <c r="Z5828" t="s">
        <v>32243</v>
      </c>
      <c r="AA5828">
        <v>0.67025261527303215</v>
      </c>
      <c r="AB5828" t="str">
        <f>HYPERLINK("Melting_Curves/meltCurve_Q9HDC5_JPH1.pdf", "Melting_Curves/meltCurve_Q9HDC5_JPH1.pdf")</f>
        <v>Melting_Curves/meltCurve_Q9HDC5_JPH1.pdf</v>
      </c>
    </row>
    <row r="5829" spans="1:28" x14ac:dyDescent="0.25">
      <c r="A5829" t="s">
        <v>5833</v>
      </c>
      <c r="B5829">
        <v>0.99193492352474899</v>
      </c>
      <c r="C5829">
        <v>0.86205285170157198</v>
      </c>
      <c r="D5829">
        <v>0.983170517162683</v>
      </c>
      <c r="E5829">
        <v>0.78058344195403795</v>
      </c>
      <c r="F5829">
        <v>0.66288910448137806</v>
      </c>
      <c r="G5829">
        <v>0.36329480953621202</v>
      </c>
      <c r="H5829">
        <v>0.139495590374769</v>
      </c>
      <c r="I5829">
        <v>0.10551130362587199</v>
      </c>
      <c r="J5829">
        <v>0.10424036817191799</v>
      </c>
      <c r="K5829">
        <v>0.111755909667466</v>
      </c>
      <c r="L5829">
        <v>890.17002789396201</v>
      </c>
      <c r="M5829">
        <v>16.3975495046646</v>
      </c>
      <c r="N5829">
        <v>54.655949795796197</v>
      </c>
      <c r="O5829">
        <v>53.498640946386303</v>
      </c>
      <c r="P5829">
        <v>-7.2614281258620794E-2</v>
      </c>
      <c r="Q5829">
        <v>5.2422144117025303E-2</v>
      </c>
      <c r="R5829">
        <v>0.97913240033521598</v>
      </c>
      <c r="S5829" t="s">
        <v>12499</v>
      </c>
      <c r="T5829" t="s">
        <v>13338</v>
      </c>
      <c r="U5829" t="s">
        <v>13338</v>
      </c>
      <c r="V5829" t="s">
        <v>13338</v>
      </c>
      <c r="W5829" t="s">
        <v>19108</v>
      </c>
      <c r="X5829">
        <v>20</v>
      </c>
      <c r="Y5829" t="s">
        <v>25599</v>
      </c>
      <c r="Z5829" t="s">
        <v>32244</v>
      </c>
      <c r="AA5829">
        <v>0.52078923070920624</v>
      </c>
      <c r="AB5829" t="str">
        <f>HYPERLINK("Melting_Curves/meltCurve_Q9HDC9_APMAP.pdf", "Melting_Curves/meltCurve_Q9HDC9_APMAP.pdf")</f>
        <v>Melting_Curves/meltCurve_Q9HDC9_APMAP.pdf</v>
      </c>
    </row>
    <row r="5830" spans="1:28" x14ac:dyDescent="0.25">
      <c r="A5830" t="s">
        <v>5834</v>
      </c>
      <c r="B5830">
        <v>0.99193492352474899</v>
      </c>
      <c r="C5830">
        <v>1.05441660854972</v>
      </c>
      <c r="D5830">
        <v>1.11396251060303</v>
      </c>
      <c r="E5830">
        <v>0.82511566317312302</v>
      </c>
      <c r="F5830">
        <v>0.50540131191798499</v>
      </c>
      <c r="G5830">
        <v>0.30163459784596403</v>
      </c>
      <c r="H5830">
        <v>0.22971567064965401</v>
      </c>
      <c r="I5830">
        <v>0.280731863531198</v>
      </c>
      <c r="J5830">
        <v>0.23867396522674</v>
      </c>
      <c r="K5830">
        <v>0.33081116740969102</v>
      </c>
      <c r="L5830">
        <v>1686.56414376577</v>
      </c>
      <c r="M5830">
        <v>32.5620188236269</v>
      </c>
      <c r="N5830">
        <v>53.052085953883001</v>
      </c>
      <c r="O5830">
        <v>51.601259469085498</v>
      </c>
      <c r="P5830">
        <v>-0.11535432326527099</v>
      </c>
      <c r="Q5830">
        <v>0.26879221995269498</v>
      </c>
      <c r="R5830">
        <v>0.977354389526506</v>
      </c>
      <c r="S5830" t="s">
        <v>12500</v>
      </c>
      <c r="T5830" t="s">
        <v>13338</v>
      </c>
      <c r="U5830" t="s">
        <v>13338</v>
      </c>
      <c r="V5830" t="s">
        <v>13338</v>
      </c>
      <c r="W5830" t="s">
        <v>19109</v>
      </c>
      <c r="X5830">
        <v>4</v>
      </c>
      <c r="Y5830" t="s">
        <v>25600</v>
      </c>
      <c r="Z5830" t="s">
        <v>32245</v>
      </c>
      <c r="AA5830">
        <v>0.56024446831313979</v>
      </c>
      <c r="AB5830" t="str">
        <f>HYPERLINK("Melting_Curves/meltCurve_Q9NP58_4_ABCB6.pdf", "Melting_Curves/meltCurve_Q9NP58_4_ABCB6.pdf")</f>
        <v>Melting_Curves/meltCurve_Q9NP58_4_ABCB6.pdf</v>
      </c>
    </row>
    <row r="5831" spans="1:28" x14ac:dyDescent="0.25">
      <c r="A5831" t="s">
        <v>5835</v>
      </c>
      <c r="B5831">
        <v>0.99193492352474899</v>
      </c>
      <c r="C5831">
        <v>0.84350972910922795</v>
      </c>
      <c r="D5831">
        <v>0.87635956455918695</v>
      </c>
      <c r="E5831">
        <v>0.59454905192603902</v>
      </c>
      <c r="F5831">
        <v>0.53254233838749898</v>
      </c>
      <c r="G5831">
        <v>0.36679079041092699</v>
      </c>
      <c r="H5831">
        <v>0.29663767007116099</v>
      </c>
      <c r="I5831">
        <v>0.36049306809868598</v>
      </c>
      <c r="J5831">
        <v>0.50911357404318403</v>
      </c>
      <c r="K5831">
        <v>0.71933537141412995</v>
      </c>
      <c r="L5831">
        <v>1044.4897179780401</v>
      </c>
      <c r="M5831">
        <v>21.994815614233499</v>
      </c>
      <c r="N5831">
        <v>53.198251598963601</v>
      </c>
      <c r="O5831">
        <v>47.100651905142399</v>
      </c>
      <c r="P5831">
        <v>-6.3879738684551907E-2</v>
      </c>
      <c r="Q5831">
        <v>0.45283259143889498</v>
      </c>
      <c r="R5831">
        <v>0.74024583499411101</v>
      </c>
      <c r="S5831" t="s">
        <v>12501</v>
      </c>
      <c r="T5831" t="s">
        <v>13338</v>
      </c>
      <c r="U5831" t="s">
        <v>13338</v>
      </c>
      <c r="V5831" t="s">
        <v>13338</v>
      </c>
      <c r="W5831" t="s">
        <v>19110</v>
      </c>
      <c r="X5831">
        <v>7</v>
      </c>
      <c r="Y5831" t="s">
        <v>25601</v>
      </c>
      <c r="Z5831" t="s">
        <v>32246</v>
      </c>
      <c r="AA5831">
        <v>0.59581143677795334</v>
      </c>
      <c r="AB5831" t="str">
        <f>HYPERLINK("Melting_Curves/meltCurve_Q9NP66_HMG20A.pdf", "Melting_Curves/meltCurve_Q9NP66_HMG20A.pdf")</f>
        <v>Melting_Curves/meltCurve_Q9NP66_HMG20A.pdf</v>
      </c>
    </row>
    <row r="5832" spans="1:28" x14ac:dyDescent="0.25">
      <c r="A5832" t="s">
        <v>5836</v>
      </c>
      <c r="B5832">
        <v>0.99193492352474899</v>
      </c>
      <c r="C5832">
        <v>1.0094631414619799</v>
      </c>
      <c r="D5832">
        <v>1.0652214215487099</v>
      </c>
      <c r="E5832">
        <v>1.0205097138217201</v>
      </c>
      <c r="F5832">
        <v>0.88493325324618199</v>
      </c>
      <c r="G5832">
        <v>0.64628982474809804</v>
      </c>
      <c r="H5832">
        <v>0.45352675555940197</v>
      </c>
      <c r="I5832">
        <v>0.30401452796848999</v>
      </c>
      <c r="J5832">
        <v>0.21494307836969101</v>
      </c>
      <c r="K5832">
        <v>0.138592588575848</v>
      </c>
      <c r="L5832">
        <v>1018.51781648639</v>
      </c>
      <c r="M5832">
        <v>17.303087760283901</v>
      </c>
      <c r="N5832">
        <v>59.715920194041303</v>
      </c>
      <c r="O5832">
        <v>58.094005532770304</v>
      </c>
      <c r="P5832">
        <v>-6.63160830963406E-2</v>
      </c>
      <c r="Q5832">
        <v>0.109443401186808</v>
      </c>
      <c r="R5832">
        <v>0.99041493735999198</v>
      </c>
      <c r="S5832" t="s">
        <v>12502</v>
      </c>
      <c r="T5832" t="s">
        <v>13338</v>
      </c>
      <c r="U5832" t="s">
        <v>13338</v>
      </c>
      <c r="V5832" t="s">
        <v>13338</v>
      </c>
      <c r="W5832" t="s">
        <v>19111</v>
      </c>
      <c r="X5832">
        <v>14</v>
      </c>
      <c r="Y5832" t="s">
        <v>25602</v>
      </c>
      <c r="Z5832" t="s">
        <v>32247</v>
      </c>
      <c r="AA5832">
        <v>0.6791941213738224</v>
      </c>
      <c r="AB5832" t="str">
        <f>HYPERLINK("Melting_Curves/meltCurve_Q9NP72_RAB18.pdf", "Melting_Curves/meltCurve_Q9NP72_RAB18.pdf")</f>
        <v>Melting_Curves/meltCurve_Q9NP72_RAB18.pdf</v>
      </c>
    </row>
    <row r="5833" spans="1:28" x14ac:dyDescent="0.25">
      <c r="A5833" t="s">
        <v>5837</v>
      </c>
      <c r="B5833">
        <v>0.99193492352474899</v>
      </c>
      <c r="C5833">
        <v>0.84074842279328899</v>
      </c>
      <c r="D5833">
        <v>0.81045065246554504</v>
      </c>
      <c r="E5833">
        <v>0.66878819124057698</v>
      </c>
      <c r="F5833">
        <v>0.36570561634847498</v>
      </c>
      <c r="G5833">
        <v>0.162452476137073</v>
      </c>
      <c r="H5833">
        <v>9.5316031897130504E-2</v>
      </c>
      <c r="I5833">
        <v>0.100435551133783</v>
      </c>
      <c r="J5833">
        <v>0.129190367627569</v>
      </c>
      <c r="K5833">
        <v>0.116338844517486</v>
      </c>
      <c r="L5833">
        <v>764.75030170601406</v>
      </c>
      <c r="M5833">
        <v>15.1420336718594</v>
      </c>
      <c r="N5833">
        <v>51.014513196107998</v>
      </c>
      <c r="O5833">
        <v>49.648812043270503</v>
      </c>
      <c r="P5833">
        <v>-7.0903185225161203E-2</v>
      </c>
      <c r="Q5833">
        <v>7.0160252203415305E-2</v>
      </c>
      <c r="R5833">
        <v>0.98089205167510796</v>
      </c>
      <c r="S5833" t="s">
        <v>12503</v>
      </c>
      <c r="T5833" t="s">
        <v>13338</v>
      </c>
      <c r="U5833" t="s">
        <v>13338</v>
      </c>
      <c r="V5833" t="s">
        <v>13338</v>
      </c>
      <c r="W5833" t="s">
        <v>19112</v>
      </c>
      <c r="X5833">
        <v>5</v>
      </c>
      <c r="Y5833" t="s">
        <v>25603</v>
      </c>
      <c r="Z5833" t="s">
        <v>32248</v>
      </c>
      <c r="AA5833">
        <v>0.41723325114550558</v>
      </c>
      <c r="AB5833" t="str">
        <f>HYPERLINK("Melting_Curves/meltCurve_Q9NP73_2_ALG13.pdf", "Melting_Curves/meltCurve_Q9NP73_2_ALG13.pdf")</f>
        <v>Melting_Curves/meltCurve_Q9NP73_2_ALG13.pdf</v>
      </c>
    </row>
    <row r="5834" spans="1:28" x14ac:dyDescent="0.25">
      <c r="A5834" t="s">
        <v>5838</v>
      </c>
      <c r="B5834">
        <v>0.99193492352474899</v>
      </c>
      <c r="C5834">
        <v>0.67341539721431198</v>
      </c>
      <c r="D5834">
        <v>0.74833834613402905</v>
      </c>
      <c r="E5834">
        <v>0.18713977252981201</v>
      </c>
      <c r="F5834">
        <v>0.136896295989265</v>
      </c>
      <c r="G5834">
        <v>7.2020498006491004E-2</v>
      </c>
      <c r="H5834">
        <v>4.2579134138158899E-2</v>
      </c>
      <c r="I5834">
        <v>5.4214774429001897E-2</v>
      </c>
      <c r="J5834">
        <v>6.7013558962117095E-2</v>
      </c>
      <c r="K5834">
        <v>7.9620654371712604E-2</v>
      </c>
      <c r="L5834">
        <v>846.92353507513599</v>
      </c>
      <c r="M5834">
        <v>18.157764609545101</v>
      </c>
      <c r="N5834">
        <v>46.886219953224298</v>
      </c>
      <c r="O5834">
        <v>46.087822774913903</v>
      </c>
      <c r="P5834">
        <v>-9.4064285753723095E-2</v>
      </c>
      <c r="Q5834">
        <v>4.5034343236002902E-2</v>
      </c>
      <c r="R5834">
        <v>0.94096509825812202</v>
      </c>
      <c r="S5834" t="s">
        <v>12504</v>
      </c>
      <c r="T5834" t="s">
        <v>13338</v>
      </c>
      <c r="U5834" t="s">
        <v>13338</v>
      </c>
      <c r="V5834" t="s">
        <v>13338</v>
      </c>
      <c r="W5834" t="s">
        <v>19113</v>
      </c>
      <c r="X5834">
        <v>6</v>
      </c>
      <c r="Y5834" t="s">
        <v>25604</v>
      </c>
      <c r="Z5834" t="s">
        <v>32249</v>
      </c>
      <c r="AA5834">
        <v>0.27409586926788121</v>
      </c>
      <c r="AB5834" t="str">
        <f>HYPERLINK("Melting_Curves/meltCurve_Q9NP77_SSU72.pdf", "Melting_Curves/meltCurve_Q9NP77_SSU72.pdf")</f>
        <v>Melting_Curves/meltCurve_Q9NP77_SSU72.pdf</v>
      </c>
    </row>
    <row r="5835" spans="1:28" x14ac:dyDescent="0.25">
      <c r="A5835" t="s">
        <v>5839</v>
      </c>
      <c r="B5835">
        <v>0.99193492352474899</v>
      </c>
      <c r="C5835">
        <v>0.91040194087330395</v>
      </c>
      <c r="D5835">
        <v>1.0415529864151101</v>
      </c>
      <c r="E5835">
        <v>0.62477759061990301</v>
      </c>
      <c r="F5835">
        <v>0.20922604562406599</v>
      </c>
      <c r="G5835">
        <v>0.123543321322861</v>
      </c>
      <c r="H5835">
        <v>7.4849247154398599E-2</v>
      </c>
      <c r="I5835">
        <v>8.8649663377329893E-2</v>
      </c>
      <c r="J5835">
        <v>9.7892915195104194E-2</v>
      </c>
      <c r="K5835">
        <v>0.107363190960673</v>
      </c>
      <c r="L5835">
        <v>1922.40401671889</v>
      </c>
      <c r="M5835">
        <v>38.345257922319497</v>
      </c>
      <c r="N5835">
        <v>50.4244574829968</v>
      </c>
      <c r="O5835">
        <v>49.998308432982498</v>
      </c>
      <c r="P5835">
        <v>-0.17273823294990301</v>
      </c>
      <c r="Q5835">
        <v>9.9070087894161302E-2</v>
      </c>
      <c r="R5835">
        <v>0.99075322698753798</v>
      </c>
      <c r="S5835" t="s">
        <v>12505</v>
      </c>
      <c r="T5835" t="s">
        <v>13338</v>
      </c>
      <c r="U5835" t="s">
        <v>13338</v>
      </c>
      <c r="V5835" t="s">
        <v>13338</v>
      </c>
      <c r="W5835" t="s">
        <v>19114</v>
      </c>
      <c r="X5835">
        <v>13</v>
      </c>
      <c r="Y5835" t="s">
        <v>25605</v>
      </c>
      <c r="Z5835" t="s">
        <v>32250</v>
      </c>
      <c r="AA5835">
        <v>0.40680736463553019</v>
      </c>
      <c r="AB5835" t="str">
        <f>HYPERLINK("Melting_Curves/meltCurve_Q9NP79_VTA1.pdf", "Melting_Curves/meltCurve_Q9NP79_VTA1.pdf")</f>
        <v>Melting_Curves/meltCurve_Q9NP79_VTA1.pdf</v>
      </c>
    </row>
    <row r="5836" spans="1:28" x14ac:dyDescent="0.25">
      <c r="A5836" t="s">
        <v>5840</v>
      </c>
      <c r="B5836">
        <v>0.99193492352474899</v>
      </c>
      <c r="C5836">
        <v>0.44565762485855698</v>
      </c>
      <c r="D5836">
        <v>0.57493808866916696</v>
      </c>
      <c r="E5836">
        <v>0.30288218160145902</v>
      </c>
      <c r="F5836">
        <v>0.14664070060186499</v>
      </c>
      <c r="G5836">
        <v>6.0267042711724797E-2</v>
      </c>
      <c r="H5836">
        <v>2.8050787849504301E-2</v>
      </c>
      <c r="I5836">
        <v>4.7259960012023101E-2</v>
      </c>
      <c r="J5836">
        <v>3.69943336791125E-2</v>
      </c>
      <c r="K5836">
        <v>5.2304248926221798E-2</v>
      </c>
      <c r="L5836">
        <v>543.37728989173195</v>
      </c>
      <c r="M5836">
        <v>11.974504577576401</v>
      </c>
      <c r="N5836">
        <v>45.470125719749099</v>
      </c>
      <c r="O5836">
        <v>44.167845508723801</v>
      </c>
      <c r="P5836">
        <v>-6.6981263043012301E-2</v>
      </c>
      <c r="Q5836">
        <v>1.20009378237805E-2</v>
      </c>
      <c r="R5836">
        <v>0.90114975891236704</v>
      </c>
      <c r="S5836" t="s">
        <v>12506</v>
      </c>
      <c r="T5836" t="s">
        <v>13338</v>
      </c>
      <c r="U5836" t="s">
        <v>13338</v>
      </c>
      <c r="V5836" t="s">
        <v>13338</v>
      </c>
      <c r="W5836" t="s">
        <v>19115</v>
      </c>
      <c r="X5836">
        <v>3</v>
      </c>
      <c r="Y5836" t="s">
        <v>25606</v>
      </c>
      <c r="Z5836" t="s">
        <v>32251</v>
      </c>
      <c r="AA5836">
        <v>0.23686399105902889</v>
      </c>
      <c r="AB5836" t="str">
        <f>HYPERLINK("Melting_Curves/meltCurve_Q9NP92_MRPS30.pdf", "Melting_Curves/meltCurve_Q9NP92_MRPS30.pdf")</f>
        <v>Melting_Curves/meltCurve_Q9NP92_MRPS30.pdf</v>
      </c>
    </row>
    <row r="5837" spans="1:28" x14ac:dyDescent="0.25">
      <c r="A5837" t="s">
        <v>5841</v>
      </c>
      <c r="B5837">
        <v>0.99193492352474899</v>
      </c>
      <c r="C5837">
        <v>0.73797143890832995</v>
      </c>
      <c r="D5837">
        <v>0.88542233569547601</v>
      </c>
      <c r="E5837">
        <v>0.62361395587857804</v>
      </c>
      <c r="F5837">
        <v>0.48254333637469299</v>
      </c>
      <c r="G5837">
        <v>0.17754325044507199</v>
      </c>
      <c r="H5837">
        <v>0.13085545869443299</v>
      </c>
      <c r="I5837">
        <v>0.11704245656150999</v>
      </c>
      <c r="J5837">
        <v>0.13927367985021599</v>
      </c>
      <c r="K5837">
        <v>0.133248248005127</v>
      </c>
      <c r="L5837">
        <v>635.55296592220702</v>
      </c>
      <c r="M5837">
        <v>12.459343816376601</v>
      </c>
      <c r="N5837">
        <v>51.552580239287998</v>
      </c>
      <c r="O5837">
        <v>49.749544580865901</v>
      </c>
      <c r="P5837">
        <v>-5.8776220316122299E-2</v>
      </c>
      <c r="Q5837">
        <v>6.1433369577299897E-2</v>
      </c>
      <c r="R5837">
        <v>0.94741836529379897</v>
      </c>
      <c r="S5837" t="s">
        <v>12507</v>
      </c>
      <c r="T5837" t="s">
        <v>13338</v>
      </c>
      <c r="U5837" t="s">
        <v>13338</v>
      </c>
      <c r="V5837" t="s">
        <v>13338</v>
      </c>
      <c r="W5837" t="s">
        <v>19116</v>
      </c>
      <c r="X5837">
        <v>6</v>
      </c>
      <c r="Y5837" t="s">
        <v>25607</v>
      </c>
      <c r="Z5837" t="s">
        <v>32252</v>
      </c>
      <c r="AA5837">
        <v>0.43486308702934778</v>
      </c>
      <c r="AB5837" t="str">
        <f>HYPERLINK("Melting_Curves/meltCurve_Q9NPA0_EMC7.pdf", "Melting_Curves/meltCurve_Q9NPA0_EMC7.pdf")</f>
        <v>Melting_Curves/meltCurve_Q9NPA0_EMC7.pdf</v>
      </c>
    </row>
    <row r="5838" spans="1:28" x14ac:dyDescent="0.25">
      <c r="A5838" t="s">
        <v>5842</v>
      </c>
      <c r="B5838">
        <v>0.99193492352474899</v>
      </c>
      <c r="C5838">
        <v>0.84874045290771505</v>
      </c>
      <c r="D5838">
        <v>0.526132802767731</v>
      </c>
      <c r="E5838">
        <v>0.35593878363129899</v>
      </c>
      <c r="F5838">
        <v>0.20670547358996599</v>
      </c>
      <c r="G5838">
        <v>0.116903027841045</v>
      </c>
      <c r="H5838">
        <v>6.6897703476029302E-2</v>
      </c>
      <c r="I5838">
        <v>0.13010080422526901</v>
      </c>
      <c r="J5838">
        <v>0.11693034524383999</v>
      </c>
      <c r="K5838">
        <v>0.23702025312673</v>
      </c>
      <c r="L5838">
        <v>902.56654380196403</v>
      </c>
      <c r="M5838">
        <v>19.5999741983509</v>
      </c>
      <c r="N5838">
        <v>46.795750268622903</v>
      </c>
      <c r="O5838">
        <v>45.578049566263097</v>
      </c>
      <c r="P5838">
        <v>-9.30797834502788E-2</v>
      </c>
      <c r="Q5838">
        <v>0.13423448804153501</v>
      </c>
      <c r="R5838">
        <v>0.97495692874688</v>
      </c>
      <c r="S5838" t="s">
        <v>12508</v>
      </c>
      <c r="T5838" t="s">
        <v>13338</v>
      </c>
      <c r="U5838" t="s">
        <v>13338</v>
      </c>
      <c r="V5838" t="s">
        <v>13338</v>
      </c>
      <c r="W5838" t="s">
        <v>19117</v>
      </c>
      <c r="X5838">
        <v>2</v>
      </c>
      <c r="Y5838" t="s">
        <v>25608</v>
      </c>
      <c r="Z5838" t="s">
        <v>32253</v>
      </c>
      <c r="AA5838">
        <v>0.32277990129171652</v>
      </c>
      <c r="AB5838" t="str">
        <f>HYPERLINK("Melting_Curves/meltCurve_Q9NPA3_MID1IP1.pdf", "Melting_Curves/meltCurve_Q9NPA3_MID1IP1.pdf")</f>
        <v>Melting_Curves/meltCurve_Q9NPA3_MID1IP1.pdf</v>
      </c>
    </row>
    <row r="5839" spans="1:28" x14ac:dyDescent="0.25">
      <c r="A5839" t="s">
        <v>5843</v>
      </c>
      <c r="B5839">
        <v>0.99193492352474899</v>
      </c>
      <c r="C5839">
        <v>0.77599229489114896</v>
      </c>
      <c r="D5839">
        <v>0.757454170861662</v>
      </c>
      <c r="E5839">
        <v>0.60473194839494604</v>
      </c>
      <c r="F5839">
        <v>0.45201334497530099</v>
      </c>
      <c r="G5839">
        <v>0.27326101371423001</v>
      </c>
      <c r="H5839">
        <v>0.21706129024229401</v>
      </c>
      <c r="I5839">
        <v>0.239565665324218</v>
      </c>
      <c r="J5839">
        <v>0.288579723682932</v>
      </c>
      <c r="K5839">
        <v>0.40868473546285999</v>
      </c>
      <c r="L5839">
        <v>636.827794044847</v>
      </c>
      <c r="M5839">
        <v>13.2661675648376</v>
      </c>
      <c r="N5839">
        <v>50.847992021802</v>
      </c>
      <c r="O5839">
        <v>46.952431568685597</v>
      </c>
      <c r="P5839">
        <v>-5.2143361856436303E-2</v>
      </c>
      <c r="Q5839">
        <v>0.26192422632544798</v>
      </c>
      <c r="R5839">
        <v>0.92455193337090602</v>
      </c>
      <c r="S5839" t="s">
        <v>12509</v>
      </c>
      <c r="T5839" t="s">
        <v>13338</v>
      </c>
      <c r="U5839" t="s">
        <v>13338</v>
      </c>
      <c r="V5839" t="s">
        <v>13338</v>
      </c>
      <c r="W5839" t="s">
        <v>19118</v>
      </c>
      <c r="X5839">
        <v>7</v>
      </c>
      <c r="Y5839" t="s">
        <v>25609</v>
      </c>
      <c r="Z5839" t="s">
        <v>32254</v>
      </c>
      <c r="AA5839">
        <v>0.48290020470414841</v>
      </c>
      <c r="AB5839" t="str">
        <f>HYPERLINK("Melting_Curves/meltCurve_Q9NPA8_2_ENY2.pdf", "Melting_Curves/meltCurve_Q9NPA8_2_ENY2.pdf")</f>
        <v>Melting_Curves/meltCurve_Q9NPA8_2_ENY2.pdf</v>
      </c>
    </row>
    <row r="5840" spans="1:28" x14ac:dyDescent="0.25">
      <c r="A5840" t="s">
        <v>5844</v>
      </c>
      <c r="B5840">
        <v>0.99193492352474899</v>
      </c>
      <c r="C5840">
        <v>0.85728291803066703</v>
      </c>
      <c r="D5840">
        <v>1.2302196987152401</v>
      </c>
      <c r="E5840">
        <v>0.43510701412998898</v>
      </c>
      <c r="F5840">
        <v>0.33668239910320502</v>
      </c>
      <c r="G5840">
        <v>0.11999883394896101</v>
      </c>
      <c r="H5840">
        <v>0.12089742529834099</v>
      </c>
      <c r="I5840">
        <v>0.171508075863154</v>
      </c>
      <c r="J5840">
        <v>0.34226609056836499</v>
      </c>
      <c r="K5840">
        <v>0.30618057393534098</v>
      </c>
      <c r="L5840">
        <v>12349.0382763833</v>
      </c>
      <c r="M5840">
        <v>250</v>
      </c>
      <c r="N5840">
        <v>49.520361860475603</v>
      </c>
      <c r="O5840">
        <v>49.392992486849202</v>
      </c>
      <c r="P5840">
        <v>-0.97063082805442402</v>
      </c>
      <c r="Q5840">
        <v>0.23292222806495899</v>
      </c>
      <c r="R5840">
        <v>0.90614407498185401</v>
      </c>
      <c r="S5840" t="s">
        <v>12510</v>
      </c>
      <c r="T5840" t="s">
        <v>13338</v>
      </c>
      <c r="U5840" t="s">
        <v>13338</v>
      </c>
      <c r="V5840" t="s">
        <v>13338</v>
      </c>
      <c r="W5840" t="s">
        <v>19119</v>
      </c>
      <c r="X5840">
        <v>1</v>
      </c>
      <c r="Y5840" t="s">
        <v>25610</v>
      </c>
      <c r="Z5840" t="s">
        <v>32255</v>
      </c>
      <c r="AA5840">
        <v>0.47324139860316861</v>
      </c>
      <c r="AB5840" t="str">
        <f>HYPERLINK("Melting_Curves/meltCurve_Q9NPB8_GPCPD1.pdf", "Melting_Curves/meltCurve_Q9NPB8_GPCPD1.pdf")</f>
        <v>Melting_Curves/meltCurve_Q9NPB8_GPCPD1.pdf</v>
      </c>
    </row>
    <row r="5841" spans="1:28" x14ac:dyDescent="0.25">
      <c r="A5841" t="s">
        <v>5845</v>
      </c>
      <c r="B5841">
        <v>0.99193492352474899</v>
      </c>
      <c r="C5841">
        <v>0.74252613059541495</v>
      </c>
      <c r="D5841">
        <v>0.87908608457577997</v>
      </c>
      <c r="E5841">
        <v>0.80619189374365396</v>
      </c>
      <c r="F5841">
        <v>0.81553433808212294</v>
      </c>
      <c r="G5841">
        <v>0.62241034502957804</v>
      </c>
      <c r="H5841">
        <v>0.37953031807945897</v>
      </c>
      <c r="I5841">
        <v>0.15270650261646199</v>
      </c>
      <c r="J5841">
        <v>0.14100293009228099</v>
      </c>
      <c r="K5841">
        <v>0.10274838165872301</v>
      </c>
      <c r="L5841">
        <v>695.65939170369995</v>
      </c>
      <c r="M5841">
        <v>12.016327526857101</v>
      </c>
      <c r="N5841">
        <v>57.8928697538406</v>
      </c>
      <c r="O5841">
        <v>56.359398428965903</v>
      </c>
      <c r="P5841">
        <v>-5.3315017168879403E-2</v>
      </c>
      <c r="Q5841">
        <v>0</v>
      </c>
      <c r="R5841">
        <v>0.91406167265932203</v>
      </c>
      <c r="S5841" t="s">
        <v>12511</v>
      </c>
      <c r="T5841" t="s">
        <v>13338</v>
      </c>
      <c r="U5841" t="s">
        <v>13338</v>
      </c>
      <c r="V5841" t="s">
        <v>13338</v>
      </c>
      <c r="W5841" t="s">
        <v>19120</v>
      </c>
      <c r="X5841">
        <v>10</v>
      </c>
      <c r="Y5841" t="s">
        <v>25611</v>
      </c>
      <c r="Z5841" t="s">
        <v>32256</v>
      </c>
      <c r="AA5841">
        <v>0.60961548710878155</v>
      </c>
      <c r="AB5841" t="str">
        <f>HYPERLINK("Melting_Curves/meltCurve_Q9NPD3_EXOSC4.pdf", "Melting_Curves/meltCurve_Q9NPD3_EXOSC4.pdf")</f>
        <v>Melting_Curves/meltCurve_Q9NPD3_EXOSC4.pdf</v>
      </c>
    </row>
    <row r="5842" spans="1:28" x14ac:dyDescent="0.25">
      <c r="A5842" t="s">
        <v>5846</v>
      </c>
      <c r="B5842">
        <v>0.99193492352474899</v>
      </c>
      <c r="C5842">
        <v>0.83789526721023599</v>
      </c>
      <c r="D5842">
        <v>0.91273608695018305</v>
      </c>
      <c r="E5842">
        <v>0.85678813456327696</v>
      </c>
      <c r="F5842">
        <v>0.72503512634318401</v>
      </c>
      <c r="G5842">
        <v>0.66263624858520698</v>
      </c>
      <c r="H5842">
        <v>0.57441904793880005</v>
      </c>
      <c r="I5842">
        <v>0.62289180304037906</v>
      </c>
      <c r="J5842">
        <v>0.72983951561993698</v>
      </c>
      <c r="K5842">
        <v>1.0473564193124401</v>
      </c>
      <c r="L5842">
        <v>691.48797517636206</v>
      </c>
      <c r="M5842">
        <v>15.1538054706827</v>
      </c>
      <c r="O5842">
        <v>44.858803908178501</v>
      </c>
      <c r="P5842">
        <v>-2.2848510342004299E-2</v>
      </c>
      <c r="Q5842">
        <v>0.72947857748104195</v>
      </c>
      <c r="R5842">
        <v>0.28970518672669499</v>
      </c>
      <c r="S5842" t="s">
        <v>12512</v>
      </c>
      <c r="T5842" t="s">
        <v>13338</v>
      </c>
      <c r="U5842" t="s">
        <v>13338</v>
      </c>
      <c r="V5842" t="s">
        <v>13338</v>
      </c>
      <c r="W5842" t="s">
        <v>19121</v>
      </c>
      <c r="X5842">
        <v>2</v>
      </c>
      <c r="Y5842" t="s">
        <v>25612</v>
      </c>
      <c r="Z5842" t="s">
        <v>32257</v>
      </c>
      <c r="AA5842">
        <v>0.78824336535934214</v>
      </c>
      <c r="AB5842" t="str">
        <f>HYPERLINK("Melting_Curves/meltCurve_Q9NPD7_NRN1.pdf", "Melting_Curves/meltCurve_Q9NPD7_NRN1.pdf")</f>
        <v>Melting_Curves/meltCurve_Q9NPD7_NRN1.pdf</v>
      </c>
    </row>
    <row r="5843" spans="1:28" x14ac:dyDescent="0.25">
      <c r="A5843" t="s">
        <v>5847</v>
      </c>
      <c r="B5843">
        <v>0.99193492352474899</v>
      </c>
      <c r="C5843">
        <v>0.65853099167601103</v>
      </c>
      <c r="D5843">
        <v>0.93266875237728897</v>
      </c>
      <c r="E5843">
        <v>0.32418936753136102</v>
      </c>
      <c r="F5843">
        <v>0.19752674596303099</v>
      </c>
      <c r="G5843">
        <v>8.7311214703337497E-2</v>
      </c>
      <c r="H5843">
        <v>5.1594156514722198E-2</v>
      </c>
      <c r="I5843">
        <v>6.5218958595286897E-2</v>
      </c>
      <c r="J5843">
        <v>8.04811569143591E-2</v>
      </c>
      <c r="K5843">
        <v>0.10270734271212301</v>
      </c>
      <c r="L5843">
        <v>995.73313220812202</v>
      </c>
      <c r="M5843">
        <v>20.635683154028801</v>
      </c>
      <c r="N5843">
        <v>48.571178220723503</v>
      </c>
      <c r="O5843">
        <v>47.806687633437001</v>
      </c>
      <c r="P5843">
        <v>-0.10109229977588099</v>
      </c>
      <c r="Q5843">
        <v>6.3224805295762299E-2</v>
      </c>
      <c r="R5843">
        <v>0.90498564152732097</v>
      </c>
      <c r="S5843" t="s">
        <v>12513</v>
      </c>
      <c r="T5843" t="s">
        <v>13338</v>
      </c>
      <c r="U5843" t="s">
        <v>13338</v>
      </c>
      <c r="V5843" t="s">
        <v>13338</v>
      </c>
      <c r="W5843" t="s">
        <v>19122</v>
      </c>
      <c r="X5843">
        <v>8</v>
      </c>
      <c r="Y5843" t="s">
        <v>25613</v>
      </c>
      <c r="Z5843" t="s">
        <v>32258</v>
      </c>
      <c r="AA5843">
        <v>0.33333743276895678</v>
      </c>
      <c r="AB5843" t="str">
        <f>HYPERLINK("Melting_Curves/meltCurve_Q9NPD8_UBE2T.pdf", "Melting_Curves/meltCurve_Q9NPD8_UBE2T.pdf")</f>
        <v>Melting_Curves/meltCurve_Q9NPD8_UBE2T.pdf</v>
      </c>
    </row>
    <row r="5844" spans="1:28" x14ac:dyDescent="0.25">
      <c r="A5844" t="s">
        <v>5848</v>
      </c>
      <c r="B5844">
        <v>0.99193492352474899</v>
      </c>
      <c r="C5844">
        <v>0.78232474232978999</v>
      </c>
      <c r="D5844">
        <v>0.94348146746901496</v>
      </c>
      <c r="E5844">
        <v>0.73299909873013902</v>
      </c>
      <c r="F5844">
        <v>0.70895215837325698</v>
      </c>
      <c r="G5844">
        <v>0.61522407937391599</v>
      </c>
      <c r="H5844">
        <v>0.54197524284809395</v>
      </c>
      <c r="I5844">
        <v>0.62888514414433305</v>
      </c>
      <c r="J5844">
        <v>0.66504542457129301</v>
      </c>
      <c r="K5844">
        <v>0.60753271496679495</v>
      </c>
      <c r="L5844">
        <v>530.65213941515401</v>
      </c>
      <c r="M5844">
        <v>11.134310841934701</v>
      </c>
      <c r="O5844">
        <v>46.199340199232303</v>
      </c>
      <c r="P5844">
        <v>-2.47262387820615E-2</v>
      </c>
      <c r="Q5844">
        <v>0.58974804518234902</v>
      </c>
      <c r="R5844">
        <v>0.78932472564841905</v>
      </c>
      <c r="S5844" t="s">
        <v>12514</v>
      </c>
      <c r="T5844" t="s">
        <v>13338</v>
      </c>
      <c r="U5844" t="s">
        <v>13338</v>
      </c>
      <c r="V5844" t="s">
        <v>13338</v>
      </c>
      <c r="W5844" t="s">
        <v>19123</v>
      </c>
      <c r="X5844">
        <v>1</v>
      </c>
      <c r="Y5844" t="s">
        <v>25614</v>
      </c>
      <c r="Z5844" t="s">
        <v>32259</v>
      </c>
      <c r="AA5844">
        <v>0.71321263466238571</v>
      </c>
      <c r="AB5844" t="str">
        <f>HYPERLINK("Melting_Curves/meltCurve_Q9NPE3_NOP10.pdf", "Melting_Curves/meltCurve_Q9NPE3_NOP10.pdf")</f>
        <v>Melting_Curves/meltCurve_Q9NPE3_NOP10.pdf</v>
      </c>
    </row>
    <row r="5845" spans="1:28" x14ac:dyDescent="0.25">
      <c r="A5845" t="s">
        <v>5849</v>
      </c>
      <c r="B5845">
        <v>0.99193492352474899</v>
      </c>
      <c r="C5845">
        <v>0.84154599628246796</v>
      </c>
      <c r="D5845">
        <v>0.87099666536199205</v>
      </c>
      <c r="E5845">
        <v>0.75166323217505404</v>
      </c>
      <c r="F5845">
        <v>0.57439780509474203</v>
      </c>
      <c r="G5845">
        <v>0.46709967804763702</v>
      </c>
      <c r="H5845">
        <v>0.38382697012908401</v>
      </c>
      <c r="I5845">
        <v>0.46965473782676398</v>
      </c>
      <c r="J5845">
        <v>0.53920305382374401</v>
      </c>
      <c r="K5845">
        <v>0.64238866153830498</v>
      </c>
      <c r="L5845">
        <v>809.69273809580295</v>
      </c>
      <c r="M5845">
        <v>16.748736857700301</v>
      </c>
      <c r="N5845">
        <v>64.704078786923702</v>
      </c>
      <c r="O5845">
        <v>47.670116390179601</v>
      </c>
      <c r="P5845">
        <v>-4.4557209816315599E-2</v>
      </c>
      <c r="Q5845">
        <v>0.49275978978693602</v>
      </c>
      <c r="R5845">
        <v>0.83968888117398399</v>
      </c>
      <c r="S5845" t="s">
        <v>12515</v>
      </c>
      <c r="T5845" t="s">
        <v>13338</v>
      </c>
      <c r="U5845" t="s">
        <v>13338</v>
      </c>
      <c r="V5845" t="s">
        <v>13338</v>
      </c>
      <c r="W5845" t="s">
        <v>19124</v>
      </c>
      <c r="X5845">
        <v>4</v>
      </c>
      <c r="Y5845" t="s">
        <v>25615</v>
      </c>
      <c r="Z5845" t="s">
        <v>32260</v>
      </c>
      <c r="AA5845">
        <v>0.64415661645854305</v>
      </c>
      <c r="AB5845" t="str">
        <f>HYPERLINK("Melting_Curves/meltCurve_Q9NPF0_CD320.pdf", "Melting_Curves/meltCurve_Q9NPF0_CD320.pdf")</f>
        <v>Melting_Curves/meltCurve_Q9NPF0_CD320.pdf</v>
      </c>
    </row>
    <row r="5846" spans="1:28" x14ac:dyDescent="0.25">
      <c r="A5846" t="s">
        <v>5850</v>
      </c>
      <c r="B5846">
        <v>0.99193492352474899</v>
      </c>
      <c r="C5846">
        <v>0.98122142276569502</v>
      </c>
      <c r="D5846">
        <v>1.0240962169722201</v>
      </c>
      <c r="E5846">
        <v>0.93247092060052506</v>
      </c>
      <c r="F5846">
        <v>0.82440712591927501</v>
      </c>
      <c r="G5846">
        <v>0.61859113755032502</v>
      </c>
      <c r="H5846">
        <v>0.25332466371398699</v>
      </c>
      <c r="I5846">
        <v>0.13276171625036501</v>
      </c>
      <c r="J5846">
        <v>0.13936154762769001</v>
      </c>
      <c r="K5846">
        <v>0.107981987859742</v>
      </c>
      <c r="L5846">
        <v>1248.88760295414</v>
      </c>
      <c r="M5846">
        <v>21.828932791811098</v>
      </c>
      <c r="N5846">
        <v>57.674388013571402</v>
      </c>
      <c r="O5846">
        <v>56.738839751261601</v>
      </c>
      <c r="P5846">
        <v>-8.8470202519225799E-2</v>
      </c>
      <c r="Q5846">
        <v>8.0196821139863594E-2</v>
      </c>
      <c r="R5846">
        <v>0.99491613822336</v>
      </c>
      <c r="S5846" t="s">
        <v>12516</v>
      </c>
      <c r="T5846" t="s">
        <v>13338</v>
      </c>
      <c r="U5846" t="s">
        <v>13338</v>
      </c>
      <c r="V5846" t="s">
        <v>13338</v>
      </c>
      <c r="W5846" t="s">
        <v>19125</v>
      </c>
      <c r="X5846">
        <v>13</v>
      </c>
      <c r="Y5846" t="s">
        <v>25616</v>
      </c>
      <c r="Z5846" t="s">
        <v>32261</v>
      </c>
      <c r="AA5846">
        <v>0.61791066156731067</v>
      </c>
      <c r="AB5846" t="str">
        <f>HYPERLINK("Melting_Curves/meltCurve_Q9NPF4_OSGEP.pdf", "Melting_Curves/meltCurve_Q9NPF4_OSGEP.pdf")</f>
        <v>Melting_Curves/meltCurve_Q9NPF4_OSGEP.pdf</v>
      </c>
    </row>
    <row r="5847" spans="1:28" x14ac:dyDescent="0.25">
      <c r="A5847" t="s">
        <v>5851</v>
      </c>
      <c r="B5847">
        <v>0.99193492352474899</v>
      </c>
      <c r="C5847">
        <v>0.82387974598717995</v>
      </c>
      <c r="D5847">
        <v>1.29141037464367</v>
      </c>
      <c r="E5847">
        <v>0.83674348674680499</v>
      </c>
      <c r="F5847">
        <v>0.78895317873014503</v>
      </c>
      <c r="G5847">
        <v>0.44918703488082301</v>
      </c>
      <c r="H5847">
        <v>0.21326584793065401</v>
      </c>
      <c r="I5847">
        <v>0.17717075965849099</v>
      </c>
      <c r="J5847">
        <v>0.206923316981976</v>
      </c>
      <c r="K5847">
        <v>0.28278923381536902</v>
      </c>
      <c r="L5847">
        <v>1508.06072437787</v>
      </c>
      <c r="M5847">
        <v>27.466411807716099</v>
      </c>
      <c r="N5847">
        <v>55.984796207786601</v>
      </c>
      <c r="O5847">
        <v>54.617059159815298</v>
      </c>
      <c r="P5847">
        <v>-9.9883506584217199E-2</v>
      </c>
      <c r="Q5847">
        <v>0.20553249853283001</v>
      </c>
      <c r="R5847">
        <v>0.89586043981572505</v>
      </c>
      <c r="S5847" t="s">
        <v>12517</v>
      </c>
      <c r="T5847" t="s">
        <v>13338</v>
      </c>
      <c r="U5847" t="s">
        <v>13338</v>
      </c>
      <c r="V5847" t="s">
        <v>13338</v>
      </c>
      <c r="W5847" t="s">
        <v>19126</v>
      </c>
      <c r="X5847">
        <v>2</v>
      </c>
      <c r="Y5847" t="s">
        <v>25617</v>
      </c>
      <c r="Z5847" t="s">
        <v>32262</v>
      </c>
      <c r="AA5847">
        <v>0.60647513148185961</v>
      </c>
      <c r="AB5847" t="str">
        <f>HYPERLINK("Melting_Curves/meltCurve_Q9NPF5_DMAP1.pdf", "Melting_Curves/meltCurve_Q9NPF5_DMAP1.pdf")</f>
        <v>Melting_Curves/meltCurve_Q9NPF5_DMAP1.pdf</v>
      </c>
    </row>
    <row r="5848" spans="1:28" x14ac:dyDescent="0.25">
      <c r="A5848" t="s">
        <v>5852</v>
      </c>
      <c r="B5848">
        <v>0.99193492352474899</v>
      </c>
      <c r="C5848">
        <v>0.84260609479246495</v>
      </c>
      <c r="D5848">
        <v>0.92935746479939796</v>
      </c>
      <c r="E5848">
        <v>0.73956183666577702</v>
      </c>
      <c r="F5848">
        <v>0.50489260497560695</v>
      </c>
      <c r="G5848">
        <v>0.166169092382011</v>
      </c>
      <c r="H5848">
        <v>8.3683382652232796E-2</v>
      </c>
      <c r="I5848">
        <v>8.5009020715399994E-2</v>
      </c>
      <c r="J5848">
        <v>8.7682595836767505E-2</v>
      </c>
      <c r="K5848">
        <v>7.7423082516038494E-2</v>
      </c>
      <c r="L5848">
        <v>973.31273607831702</v>
      </c>
      <c r="M5848">
        <v>18.617394839757999</v>
      </c>
      <c r="N5848">
        <v>52.571424290053599</v>
      </c>
      <c r="O5848">
        <v>51.687771342862099</v>
      </c>
      <c r="P5848">
        <v>-8.5632606950548196E-2</v>
      </c>
      <c r="Q5848">
        <v>4.9068360114159403E-2</v>
      </c>
      <c r="R5848">
        <v>0.97930318678297101</v>
      </c>
      <c r="S5848" t="s">
        <v>12518</v>
      </c>
      <c r="T5848" t="s">
        <v>13338</v>
      </c>
      <c r="U5848" t="s">
        <v>13338</v>
      </c>
      <c r="V5848" t="s">
        <v>13338</v>
      </c>
      <c r="W5848" t="s">
        <v>19127</v>
      </c>
      <c r="X5848">
        <v>4</v>
      </c>
      <c r="Y5848" t="s">
        <v>25618</v>
      </c>
      <c r="Z5848" t="s">
        <v>32263</v>
      </c>
      <c r="AA5848">
        <v>0.45319477674416753</v>
      </c>
      <c r="AB5848" t="str">
        <f>HYPERLINK("Melting_Curves/meltCurve_Q9NPH0_ACP6.pdf", "Melting_Curves/meltCurve_Q9NPH0_ACP6.pdf")</f>
        <v>Melting_Curves/meltCurve_Q9NPH0_ACP6.pdf</v>
      </c>
    </row>
    <row r="5849" spans="1:28" x14ac:dyDescent="0.25">
      <c r="A5849" t="s">
        <v>5853</v>
      </c>
      <c r="B5849">
        <v>0.99193492352474899</v>
      </c>
      <c r="C5849">
        <v>0.95289272841468198</v>
      </c>
      <c r="D5849">
        <v>1.1285668741835899</v>
      </c>
      <c r="E5849">
        <v>0.844386503327895</v>
      </c>
      <c r="F5849">
        <v>0.72477561132975699</v>
      </c>
      <c r="G5849">
        <v>0.46411940326976098</v>
      </c>
      <c r="H5849">
        <v>0.187200095872181</v>
      </c>
      <c r="I5849">
        <v>0.13748700955285201</v>
      </c>
      <c r="J5849">
        <v>0.14877114324697499</v>
      </c>
      <c r="K5849">
        <v>0.14960273939463101</v>
      </c>
      <c r="L5849">
        <v>1139.5292864820899</v>
      </c>
      <c r="M5849">
        <v>20.651880620022499</v>
      </c>
      <c r="N5849">
        <v>55.871542833738602</v>
      </c>
      <c r="O5849">
        <v>54.668446739330001</v>
      </c>
      <c r="P5849">
        <v>-8.3765747746101904E-2</v>
      </c>
      <c r="Q5849">
        <v>0.113066421859778</v>
      </c>
      <c r="R5849">
        <v>0.97730683487246095</v>
      </c>
      <c r="S5849" t="s">
        <v>12519</v>
      </c>
      <c r="T5849" t="s">
        <v>13338</v>
      </c>
      <c r="U5849" t="s">
        <v>13338</v>
      </c>
      <c r="V5849" t="s">
        <v>13338</v>
      </c>
      <c r="W5849" t="s">
        <v>19128</v>
      </c>
      <c r="X5849">
        <v>6</v>
      </c>
      <c r="Y5849" t="s">
        <v>25619</v>
      </c>
      <c r="Z5849" t="s">
        <v>32264</v>
      </c>
      <c r="AA5849">
        <v>0.5729969168796093</v>
      </c>
      <c r="AB5849" t="str">
        <f>HYPERLINK("Melting_Curves/meltCurve_Q9NPH3_IL1RAP.pdf", "Melting_Curves/meltCurve_Q9NPH3_IL1RAP.pdf")</f>
        <v>Melting_Curves/meltCurve_Q9NPH3_IL1RAP.pdf</v>
      </c>
    </row>
    <row r="5850" spans="1:28" x14ac:dyDescent="0.25">
      <c r="A5850" t="s">
        <v>5854</v>
      </c>
      <c r="B5850">
        <v>0.99193492352474899</v>
      </c>
      <c r="C5850">
        <v>0.67848459500026104</v>
      </c>
      <c r="D5850">
        <v>0.64248653204897499</v>
      </c>
      <c r="E5850">
        <v>0.27794223667167101</v>
      </c>
      <c r="F5850">
        <v>0.17147647100423499</v>
      </c>
      <c r="G5850">
        <v>9.6195959752604795E-2</v>
      </c>
      <c r="H5850">
        <v>7.2126830541101902E-2</v>
      </c>
      <c r="I5850">
        <v>7.8313129879122201E-2</v>
      </c>
      <c r="J5850">
        <v>9.45579542163133E-2</v>
      </c>
      <c r="K5850">
        <v>7.1196498471670797E-2</v>
      </c>
      <c r="L5850">
        <v>715.62298713243399</v>
      </c>
      <c r="M5850">
        <v>15.450473613240399</v>
      </c>
      <c r="N5850">
        <v>46.716571544673499</v>
      </c>
      <c r="O5850">
        <v>45.5621181863999</v>
      </c>
      <c r="P5850">
        <v>-7.9539559661170697E-2</v>
      </c>
      <c r="Q5850">
        <v>6.1863112090119701E-2</v>
      </c>
      <c r="R5850">
        <v>0.97362805506886696</v>
      </c>
      <c r="S5850" t="s">
        <v>12520</v>
      </c>
      <c r="T5850" t="s">
        <v>13338</v>
      </c>
      <c r="U5850" t="s">
        <v>13338</v>
      </c>
      <c r="V5850" t="s">
        <v>13338</v>
      </c>
      <c r="W5850" t="s">
        <v>19129</v>
      </c>
      <c r="X5850">
        <v>7</v>
      </c>
      <c r="Y5850" t="s">
        <v>25620</v>
      </c>
      <c r="Z5850" t="s">
        <v>32265</v>
      </c>
      <c r="AA5850">
        <v>0.28451297015801719</v>
      </c>
      <c r="AB5850" t="str">
        <f>HYPERLINK("Melting_Curves/meltCurve_Q9NPI6_DCP1A.pdf", "Melting_Curves/meltCurve_Q9NPI6_DCP1A.pdf")</f>
        <v>Melting_Curves/meltCurve_Q9NPI6_DCP1A.pdf</v>
      </c>
    </row>
    <row r="5851" spans="1:28" x14ac:dyDescent="0.25">
      <c r="A5851" t="s">
        <v>5855</v>
      </c>
      <c r="B5851">
        <v>0.99193492352474899</v>
      </c>
      <c r="C5851">
        <v>0.95508909464240299</v>
      </c>
      <c r="D5851">
        <v>0.93080580990705297</v>
      </c>
      <c r="E5851">
        <v>0.92179882114917699</v>
      </c>
      <c r="F5851">
        <v>0.72244566053946502</v>
      </c>
      <c r="G5851">
        <v>0.66712049899973502</v>
      </c>
      <c r="H5851">
        <v>0.57073933190619397</v>
      </c>
      <c r="I5851">
        <v>0.642056019046091</v>
      </c>
      <c r="J5851">
        <v>0.66975583884058298</v>
      </c>
      <c r="K5851">
        <v>0.50330612458155999</v>
      </c>
      <c r="L5851">
        <v>934.67119032065705</v>
      </c>
      <c r="M5851">
        <v>17.9754110794632</v>
      </c>
      <c r="O5851">
        <v>51.366489199724903</v>
      </c>
      <c r="P5851">
        <v>-3.6453231155480298E-2</v>
      </c>
      <c r="Q5851">
        <v>0.58334607495267898</v>
      </c>
      <c r="R5851">
        <v>0.92053792536645795</v>
      </c>
      <c r="S5851" t="s">
        <v>12521</v>
      </c>
      <c r="T5851" t="s">
        <v>13338</v>
      </c>
      <c r="U5851" t="s">
        <v>13338</v>
      </c>
      <c r="V5851" t="s">
        <v>13338</v>
      </c>
      <c r="W5851" t="s">
        <v>19130</v>
      </c>
      <c r="X5851">
        <v>5</v>
      </c>
      <c r="Y5851" t="s">
        <v>25621</v>
      </c>
      <c r="Z5851" t="s">
        <v>32266</v>
      </c>
      <c r="AA5851">
        <v>0.75691880541567647</v>
      </c>
      <c r="AB5851" t="str">
        <f>HYPERLINK("Melting_Curves/meltCurve_Q9NPJ3_2_ACOT13.pdf", "Melting_Curves/meltCurve_Q9NPJ3_2_ACOT13.pdf")</f>
        <v>Melting_Curves/meltCurve_Q9NPJ3_2_ACOT13.pdf</v>
      </c>
    </row>
    <row r="5852" spans="1:28" x14ac:dyDescent="0.25">
      <c r="A5852" t="s">
        <v>5856</v>
      </c>
      <c r="B5852">
        <v>0.99193492352474899</v>
      </c>
      <c r="C5852">
        <v>0.96398815656858505</v>
      </c>
      <c r="D5852">
        <v>0.93645944508612</v>
      </c>
      <c r="E5852">
        <v>0.848543202803692</v>
      </c>
      <c r="F5852">
        <v>0.58342426888073495</v>
      </c>
      <c r="G5852">
        <v>0.58587239879217301</v>
      </c>
      <c r="H5852">
        <v>0.50095290085295596</v>
      </c>
      <c r="I5852">
        <v>0.49598010126956199</v>
      </c>
      <c r="J5852">
        <v>0.38081590151587502</v>
      </c>
      <c r="K5852">
        <v>0.45011103617526199</v>
      </c>
      <c r="L5852">
        <v>828.93922793674506</v>
      </c>
      <c r="M5852">
        <v>16.0326142399669</v>
      </c>
      <c r="N5852">
        <v>59.185023385184898</v>
      </c>
      <c r="O5852">
        <v>50.919009747935299</v>
      </c>
      <c r="P5852">
        <v>-4.4547713912671198E-2</v>
      </c>
      <c r="Q5852">
        <v>0.43411643127351701</v>
      </c>
      <c r="R5852">
        <v>0.96986048539133396</v>
      </c>
      <c r="S5852" t="s">
        <v>12522</v>
      </c>
      <c r="T5852" t="s">
        <v>13338</v>
      </c>
      <c r="U5852" t="s">
        <v>13338</v>
      </c>
      <c r="V5852" t="s">
        <v>13338</v>
      </c>
      <c r="W5852" t="s">
        <v>19131</v>
      </c>
      <c r="X5852">
        <v>3</v>
      </c>
      <c r="Y5852" t="s">
        <v>25622</v>
      </c>
      <c r="Z5852" t="s">
        <v>32267</v>
      </c>
      <c r="AA5852">
        <v>0.66636284581771721</v>
      </c>
      <c r="AB5852" t="str">
        <f>HYPERLINK("Melting_Curves/meltCurve_Q9NPJ8_3_NXT2.pdf", "Melting_Curves/meltCurve_Q9NPJ8_3_NXT2.pdf")</f>
        <v>Melting_Curves/meltCurve_Q9NPJ8_3_NXT2.pdf</v>
      </c>
    </row>
    <row r="5853" spans="1:28" x14ac:dyDescent="0.25">
      <c r="A5853" t="s">
        <v>5857</v>
      </c>
      <c r="B5853">
        <v>0.99193492352474899</v>
      </c>
      <c r="C5853">
        <v>1.00140573461532</v>
      </c>
      <c r="D5853">
        <v>0.95766716326968004</v>
      </c>
      <c r="E5853">
        <v>0.83408675226487905</v>
      </c>
      <c r="F5853">
        <v>0.650471337645812</v>
      </c>
      <c r="G5853">
        <v>0.59871673428526895</v>
      </c>
      <c r="H5853">
        <v>0.39317625674672102</v>
      </c>
      <c r="I5853">
        <v>0.40391197738225998</v>
      </c>
      <c r="J5853">
        <v>0.444852469347994</v>
      </c>
      <c r="K5853">
        <v>0.474782885544696</v>
      </c>
      <c r="L5853">
        <v>940.87011114562097</v>
      </c>
      <c r="M5853">
        <v>17.996083176222299</v>
      </c>
      <c r="N5853">
        <v>58.265100663030402</v>
      </c>
      <c r="O5853">
        <v>51.649186389094901</v>
      </c>
      <c r="P5853">
        <v>-5.04181777353781E-2</v>
      </c>
      <c r="Q5853">
        <v>0.42122310809601299</v>
      </c>
      <c r="R5853">
        <v>0.97563058368121502</v>
      </c>
      <c r="S5853" t="s">
        <v>12523</v>
      </c>
      <c r="T5853" t="s">
        <v>13338</v>
      </c>
      <c r="U5853" t="s">
        <v>13338</v>
      </c>
      <c r="V5853" t="s">
        <v>13338</v>
      </c>
      <c r="W5853" t="s">
        <v>19132</v>
      </c>
      <c r="X5853">
        <v>10</v>
      </c>
      <c r="Y5853" t="s">
        <v>25623</v>
      </c>
      <c r="Z5853" t="s">
        <v>32268</v>
      </c>
      <c r="AA5853">
        <v>0.66776914312285784</v>
      </c>
      <c r="AB5853" t="str">
        <f>HYPERLINK("Melting_Curves/meltCurve_Q9NPL8_TIMMDC1.pdf", "Melting_Curves/meltCurve_Q9NPL8_TIMMDC1.pdf")</f>
        <v>Melting_Curves/meltCurve_Q9NPL8_TIMMDC1.pdf</v>
      </c>
    </row>
    <row r="5854" spans="1:28" x14ac:dyDescent="0.25">
      <c r="A5854" t="s">
        <v>5858</v>
      </c>
      <c r="B5854">
        <v>0.99193492352474899</v>
      </c>
      <c r="C5854">
        <v>1.0705457545108099</v>
      </c>
      <c r="D5854">
        <v>0.81574034312420896</v>
      </c>
      <c r="E5854">
        <v>0.28864142280404198</v>
      </c>
      <c r="F5854">
        <v>0.152292386365319</v>
      </c>
      <c r="G5854">
        <v>0.103017531284518</v>
      </c>
      <c r="H5854">
        <v>5.83079158645326E-2</v>
      </c>
      <c r="I5854">
        <v>8.7157708069741199E-2</v>
      </c>
      <c r="J5854">
        <v>8.3814631385779201E-2</v>
      </c>
      <c r="K5854">
        <v>8.7822293742169696E-2</v>
      </c>
      <c r="L5854">
        <v>1712.5294286947901</v>
      </c>
      <c r="M5854">
        <v>35.7801727436349</v>
      </c>
      <c r="N5854">
        <v>48.129249911873799</v>
      </c>
      <c r="O5854">
        <v>47.713755022146202</v>
      </c>
      <c r="P5854">
        <v>-0.17061348022169501</v>
      </c>
      <c r="Q5854">
        <v>8.9933572663634803E-2</v>
      </c>
      <c r="R5854">
        <v>0.99350820851450905</v>
      </c>
      <c r="S5854" t="s">
        <v>12524</v>
      </c>
      <c r="T5854" t="s">
        <v>13338</v>
      </c>
      <c r="U5854" t="s">
        <v>13338</v>
      </c>
      <c r="V5854" t="s">
        <v>13338</v>
      </c>
      <c r="W5854" t="s">
        <v>19133</v>
      </c>
      <c r="X5854">
        <v>9</v>
      </c>
      <c r="Y5854" t="s">
        <v>25624</v>
      </c>
      <c r="Z5854" t="s">
        <v>32269</v>
      </c>
      <c r="AA5854">
        <v>0.33224276639312827</v>
      </c>
      <c r="AB5854" t="str">
        <f>HYPERLINK("Melting_Curves/meltCurve_Q9NPQ8_4_RIC8A.pdf", "Melting_Curves/meltCurve_Q9NPQ8_4_RIC8A.pdf")</f>
        <v>Melting_Curves/meltCurve_Q9NPQ8_4_RIC8A.pdf</v>
      </c>
    </row>
    <row r="5855" spans="1:28" x14ac:dyDescent="0.25">
      <c r="A5855" t="s">
        <v>5859</v>
      </c>
      <c r="B5855">
        <v>0.99193492352474899</v>
      </c>
      <c r="C5855">
        <v>1.00077424482229</v>
      </c>
      <c r="D5855">
        <v>1.08961039400348</v>
      </c>
      <c r="E5855">
        <v>0.88885136997243797</v>
      </c>
      <c r="F5855">
        <v>0.321994108070628</v>
      </c>
      <c r="G5855">
        <v>9.4906272834020505E-2</v>
      </c>
      <c r="H5855">
        <v>6.4794734342615207E-2</v>
      </c>
      <c r="I5855">
        <v>0.107503608211067</v>
      </c>
      <c r="J5855">
        <v>0.13391351930773701</v>
      </c>
      <c r="K5855">
        <v>0.168689178423446</v>
      </c>
      <c r="L5855">
        <v>2407.22922801717</v>
      </c>
      <c r="M5855">
        <v>46.470816119875401</v>
      </c>
      <c r="N5855">
        <v>52.085025654461703</v>
      </c>
      <c r="O5855">
        <v>51.705231974855103</v>
      </c>
      <c r="P5855">
        <v>-0.19953244083068</v>
      </c>
      <c r="Q5855">
        <v>0.11197095147685</v>
      </c>
      <c r="R5855">
        <v>0.99110328227155597</v>
      </c>
      <c r="S5855" t="s">
        <v>12525</v>
      </c>
      <c r="T5855" t="s">
        <v>13338</v>
      </c>
      <c r="U5855" t="s">
        <v>13338</v>
      </c>
      <c r="V5855" t="s">
        <v>13338</v>
      </c>
      <c r="W5855" t="s">
        <v>19134</v>
      </c>
      <c r="X5855">
        <v>2</v>
      </c>
      <c r="Y5855" t="s">
        <v>25625</v>
      </c>
      <c r="Z5855" t="s">
        <v>32270</v>
      </c>
      <c r="AA5855">
        <v>0.46363922590092232</v>
      </c>
      <c r="AB5855" t="str">
        <f>HYPERLINK("Melting_Curves/meltCurve_Q9NPR9_GPR108.pdf", "Melting_Curves/meltCurve_Q9NPR9_GPR108.pdf")</f>
        <v>Melting_Curves/meltCurve_Q9NPR9_GPR108.pdf</v>
      </c>
    </row>
    <row r="5856" spans="1:28" x14ac:dyDescent="0.25">
      <c r="A5856" t="s">
        <v>5860</v>
      </c>
      <c r="B5856">
        <v>0.99193492352474899</v>
      </c>
      <c r="C5856">
        <v>0.96248725980315797</v>
      </c>
      <c r="D5856">
        <v>0.81085900678911305</v>
      </c>
      <c r="E5856">
        <v>0.68285700122509496</v>
      </c>
      <c r="F5856">
        <v>0.46777329272342499</v>
      </c>
      <c r="G5856">
        <v>0.18233767151883501</v>
      </c>
      <c r="H5856">
        <v>8.3757469894136793E-2</v>
      </c>
      <c r="I5856">
        <v>8.3002476400617406E-2</v>
      </c>
      <c r="J5856">
        <v>0.150685159185452</v>
      </c>
      <c r="K5856">
        <v>9.6712598132301902E-2</v>
      </c>
      <c r="L5856">
        <v>813.14171586761699</v>
      </c>
      <c r="M5856">
        <v>15.823047119825301</v>
      </c>
      <c r="N5856">
        <v>51.846834412903199</v>
      </c>
      <c r="O5856">
        <v>50.589892930435802</v>
      </c>
      <c r="P5856">
        <v>-7.3107752249023605E-2</v>
      </c>
      <c r="Q5856">
        <v>6.51079231415609E-2</v>
      </c>
      <c r="R5856">
        <v>0.98585915486238196</v>
      </c>
      <c r="S5856" t="s">
        <v>12526</v>
      </c>
      <c r="T5856" t="s">
        <v>13338</v>
      </c>
      <c r="U5856" t="s">
        <v>13338</v>
      </c>
      <c r="V5856" t="s">
        <v>13338</v>
      </c>
      <c r="W5856" t="s">
        <v>19135</v>
      </c>
      <c r="X5856">
        <v>3</v>
      </c>
      <c r="Y5856" t="s">
        <v>25626</v>
      </c>
      <c r="Z5856" t="s">
        <v>32271</v>
      </c>
      <c r="AA5856">
        <v>0.43959914383502241</v>
      </c>
      <c r="AB5856" t="str">
        <f>HYPERLINK("Melting_Curves/meltCurve_Q9NQ11_3_ATP13A2.pdf", "Melting_Curves/meltCurve_Q9NQ11_3_ATP13A2.pdf")</f>
        <v>Melting_Curves/meltCurve_Q9NQ11_3_ATP13A2.pdf</v>
      </c>
    </row>
    <row r="5857" spans="1:28" x14ac:dyDescent="0.25">
      <c r="A5857" t="s">
        <v>5861</v>
      </c>
      <c r="B5857">
        <v>0.99193492352474899</v>
      </c>
      <c r="C5857">
        <v>0.852437278189074</v>
      </c>
      <c r="D5857">
        <v>0.83457838650095995</v>
      </c>
      <c r="E5857">
        <v>0.81180720160841802</v>
      </c>
      <c r="F5857">
        <v>0.30283051520922599</v>
      </c>
      <c r="G5857">
        <v>0.118296722144275</v>
      </c>
      <c r="H5857">
        <v>7.0088775259133401E-2</v>
      </c>
      <c r="I5857">
        <v>0.10520210927437799</v>
      </c>
      <c r="J5857">
        <v>0.136796468708998</v>
      </c>
      <c r="K5857">
        <v>0.19811231246709901</v>
      </c>
      <c r="L5857">
        <v>1743.3087421851901</v>
      </c>
      <c r="M5857">
        <v>34.042972014178801</v>
      </c>
      <c r="N5857">
        <v>51.619195450138001</v>
      </c>
      <c r="O5857">
        <v>51.033328210055103</v>
      </c>
      <c r="P5857">
        <v>-0.147007485739586</v>
      </c>
      <c r="Q5857">
        <v>0.118496281856193</v>
      </c>
      <c r="R5857">
        <v>0.95761317633844101</v>
      </c>
      <c r="S5857" t="s">
        <v>12527</v>
      </c>
      <c r="T5857" t="s">
        <v>13338</v>
      </c>
      <c r="U5857" t="s">
        <v>13338</v>
      </c>
      <c r="V5857" t="s">
        <v>13338</v>
      </c>
      <c r="W5857" t="s">
        <v>19136</v>
      </c>
      <c r="X5857">
        <v>28</v>
      </c>
      <c r="Y5857" t="s">
        <v>25627</v>
      </c>
      <c r="Z5857" t="s">
        <v>32272</v>
      </c>
      <c r="AA5857">
        <v>0.45217331224258939</v>
      </c>
      <c r="AB5857" t="str">
        <f>HYPERLINK("Melting_Curves/meltCurve_Q9NQ29_LUC7L.pdf", "Melting_Curves/meltCurve_Q9NQ29_LUC7L.pdf")</f>
        <v>Melting_Curves/meltCurve_Q9NQ29_LUC7L.pdf</v>
      </c>
    </row>
    <row r="5858" spans="1:28" x14ac:dyDescent="0.25">
      <c r="A5858" t="s">
        <v>5862</v>
      </c>
      <c r="B5858">
        <v>0.99193492352474899</v>
      </c>
      <c r="C5858">
        <v>1.0031516241412599</v>
      </c>
      <c r="D5858">
        <v>0.98336566859270702</v>
      </c>
      <c r="E5858">
        <v>0.79572951016472804</v>
      </c>
      <c r="F5858">
        <v>0.56885182464406003</v>
      </c>
      <c r="G5858">
        <v>0.35349442025140299</v>
      </c>
      <c r="H5858">
        <v>0.20815308091517701</v>
      </c>
      <c r="I5858">
        <v>0.31503811046457397</v>
      </c>
      <c r="J5858">
        <v>0.30164266722748401</v>
      </c>
      <c r="K5858">
        <v>0.42623763592352298</v>
      </c>
      <c r="L5858">
        <v>1342.9821112468301</v>
      </c>
      <c r="M5858">
        <v>25.998664437185599</v>
      </c>
      <c r="N5858">
        <v>53.6457199445627</v>
      </c>
      <c r="O5858">
        <v>51.353107485923701</v>
      </c>
      <c r="P5858">
        <v>-8.7410308879167897E-2</v>
      </c>
      <c r="Q5858">
        <v>0.309389269645999</v>
      </c>
      <c r="R5858">
        <v>0.96778829499672603</v>
      </c>
      <c r="S5858" t="s">
        <v>12528</v>
      </c>
      <c r="T5858" t="s">
        <v>13338</v>
      </c>
      <c r="U5858" t="s">
        <v>13338</v>
      </c>
      <c r="V5858" t="s">
        <v>13338</v>
      </c>
      <c r="W5858" t="s">
        <v>19137</v>
      </c>
      <c r="X5858">
        <v>4</v>
      </c>
      <c r="Y5858" t="s">
        <v>25628</v>
      </c>
      <c r="Z5858" t="s">
        <v>32273</v>
      </c>
      <c r="AA5858">
        <v>0.58353170850077851</v>
      </c>
      <c r="AB5858" t="str">
        <f>HYPERLINK("Melting_Curves/meltCurve_Q9NQ34_TMEM9B.pdf", "Melting_Curves/meltCurve_Q9NQ34_TMEM9B.pdf")</f>
        <v>Melting_Curves/meltCurve_Q9NQ34_TMEM9B.pdf</v>
      </c>
    </row>
    <row r="5859" spans="1:28" x14ac:dyDescent="0.25">
      <c r="A5859" t="s">
        <v>5863</v>
      </c>
      <c r="B5859">
        <v>0.99193492352474899</v>
      </c>
      <c r="C5859">
        <v>0.40198840307386702</v>
      </c>
      <c r="D5859">
        <v>0.768649795347769</v>
      </c>
      <c r="E5859">
        <v>0.44618936653417701</v>
      </c>
      <c r="F5859">
        <v>0.29531242524830198</v>
      </c>
      <c r="G5859">
        <v>0.13835890709898799</v>
      </c>
      <c r="H5859">
        <v>4.5088137200969401E-2</v>
      </c>
      <c r="I5859">
        <v>0.104968918731036</v>
      </c>
      <c r="J5859">
        <v>0.164643068023372</v>
      </c>
      <c r="K5859">
        <v>0</v>
      </c>
      <c r="L5859">
        <v>420.81489161393603</v>
      </c>
      <c r="M5859">
        <v>8.8419742204766507</v>
      </c>
      <c r="N5859">
        <v>47.592866445164297</v>
      </c>
      <c r="O5859">
        <v>45.347037377011603</v>
      </c>
      <c r="P5859">
        <v>-4.8784027376385299E-2</v>
      </c>
      <c r="Q5859">
        <v>0</v>
      </c>
      <c r="R5859">
        <v>0.804596428169018</v>
      </c>
      <c r="S5859" t="s">
        <v>12529</v>
      </c>
      <c r="T5859" t="s">
        <v>13338</v>
      </c>
      <c r="U5859" t="s">
        <v>13338</v>
      </c>
      <c r="V5859" t="s">
        <v>13338</v>
      </c>
      <c r="W5859" t="s">
        <v>19138</v>
      </c>
      <c r="X5859">
        <v>2</v>
      </c>
      <c r="Y5859" t="s">
        <v>25629</v>
      </c>
      <c r="Z5859" t="s">
        <v>32274</v>
      </c>
      <c r="AA5859">
        <v>0.31892192869579139</v>
      </c>
      <c r="AB5859" t="str">
        <f>HYPERLINK("Melting_Curves/meltCurve_Q9NQ55_2_PPAN.pdf", "Melting_Curves/meltCurve_Q9NQ55_2_PPAN.pdf")</f>
        <v>Melting_Curves/meltCurve_Q9NQ55_2_PPAN.pdf</v>
      </c>
    </row>
    <row r="5860" spans="1:28" x14ac:dyDescent="0.25">
      <c r="A5860" t="s">
        <v>5864</v>
      </c>
      <c r="B5860">
        <v>0.99193492352474899</v>
      </c>
      <c r="C5860">
        <v>1.05876793444339</v>
      </c>
      <c r="D5860">
        <v>1.0559468151656199</v>
      </c>
      <c r="E5860">
        <v>0.72011322515482501</v>
      </c>
      <c r="F5860">
        <v>0.21299764527455201</v>
      </c>
      <c r="G5860">
        <v>0.136546531943913</v>
      </c>
      <c r="H5860">
        <v>7.87041800906675E-2</v>
      </c>
      <c r="I5860">
        <v>9.0895113092962096E-2</v>
      </c>
      <c r="J5860">
        <v>8.5324156740578402E-2</v>
      </c>
      <c r="K5860">
        <v>9.3447998256503698E-2</v>
      </c>
      <c r="L5860">
        <v>2073.4321721936699</v>
      </c>
      <c r="M5860">
        <v>40.944872912325899</v>
      </c>
      <c r="N5860">
        <v>50.902776740093501</v>
      </c>
      <c r="O5860">
        <v>50.5192666323697</v>
      </c>
      <c r="P5860">
        <v>-0.183292344835947</v>
      </c>
      <c r="Q5860">
        <v>9.5390911935615302E-2</v>
      </c>
      <c r="R5860">
        <v>0.99436694192110797</v>
      </c>
      <c r="S5860" t="s">
        <v>12530</v>
      </c>
      <c r="T5860" t="s">
        <v>13338</v>
      </c>
      <c r="U5860" t="s">
        <v>13338</v>
      </c>
      <c r="V5860" t="s">
        <v>13338</v>
      </c>
      <c r="W5860" t="s">
        <v>19139</v>
      </c>
      <c r="X5860">
        <v>7</v>
      </c>
      <c r="Y5860" t="s">
        <v>25630</v>
      </c>
      <c r="Z5860" t="s">
        <v>32275</v>
      </c>
      <c r="AA5860">
        <v>0.41923480902163601</v>
      </c>
      <c r="AB5860" t="str">
        <f>HYPERLINK("Melting_Curves/meltCurve_Q9NQ88_TIGAR.pdf", "Melting_Curves/meltCurve_Q9NQ88_TIGAR.pdf")</f>
        <v>Melting_Curves/meltCurve_Q9NQ88_TIGAR.pdf</v>
      </c>
    </row>
    <row r="5861" spans="1:28" x14ac:dyDescent="0.25">
      <c r="A5861" t="s">
        <v>5865</v>
      </c>
      <c r="B5861">
        <v>0.99193492352474899</v>
      </c>
      <c r="C5861">
        <v>0.90345836472423002</v>
      </c>
      <c r="D5861">
        <v>0.971328451691304</v>
      </c>
      <c r="E5861">
        <v>0.78743062169615996</v>
      </c>
      <c r="F5861">
        <v>0.69517868030183405</v>
      </c>
      <c r="G5861">
        <v>0.53227144468290899</v>
      </c>
      <c r="H5861">
        <v>0.369205021755521</v>
      </c>
      <c r="I5861">
        <v>0.32191995300173298</v>
      </c>
      <c r="J5861">
        <v>0.378711152351625</v>
      </c>
      <c r="K5861">
        <v>0.37466607327929602</v>
      </c>
      <c r="L5861">
        <v>766.43449103392004</v>
      </c>
      <c r="M5861">
        <v>14.404270351624801</v>
      </c>
      <c r="N5861">
        <v>57.211638779028803</v>
      </c>
      <c r="O5861">
        <v>52.214828047205501</v>
      </c>
      <c r="P5861">
        <v>-4.7075958734060501E-2</v>
      </c>
      <c r="Q5861">
        <v>0.31748792864881098</v>
      </c>
      <c r="R5861">
        <v>0.97438791416092396</v>
      </c>
      <c r="S5861" t="s">
        <v>12531</v>
      </c>
      <c r="T5861" t="s">
        <v>13338</v>
      </c>
      <c r="U5861" t="s">
        <v>13338</v>
      </c>
      <c r="V5861" t="s">
        <v>13338</v>
      </c>
      <c r="W5861" t="s">
        <v>14070</v>
      </c>
      <c r="X5861">
        <v>21</v>
      </c>
      <c r="Y5861" t="s">
        <v>20675</v>
      </c>
      <c r="Z5861" t="s">
        <v>32276</v>
      </c>
      <c r="AA5861">
        <v>0.63335910664192807</v>
      </c>
      <c r="AB5861" t="str">
        <f>HYPERLINK("Melting_Curves/meltCurve_Q9NQC3_RTN4.pdf", "Melting_Curves/meltCurve_Q9NQC3_RTN4.pdf")</f>
        <v>Melting_Curves/meltCurve_Q9NQC3_RTN4.pdf</v>
      </c>
    </row>
    <row r="5862" spans="1:28" x14ac:dyDescent="0.25">
      <c r="A5862" t="s">
        <v>5866</v>
      </c>
      <c r="B5862">
        <v>0.99193492352474899</v>
      </c>
      <c r="C5862">
        <v>0.90517997639395098</v>
      </c>
      <c r="D5862">
        <v>0.97815511299969005</v>
      </c>
      <c r="E5862">
        <v>0.82874276866486096</v>
      </c>
      <c r="F5862">
        <v>0.62183774016828997</v>
      </c>
      <c r="G5862">
        <v>0.21765761036504599</v>
      </c>
      <c r="H5862">
        <v>9.9323715808419893E-2</v>
      </c>
      <c r="I5862">
        <v>9.9750874351828694E-2</v>
      </c>
      <c r="J5862">
        <v>8.3869624917300101E-2</v>
      </c>
      <c r="K5862">
        <v>9.5834597581519396E-2</v>
      </c>
      <c r="L5862">
        <v>1285.80935921121</v>
      </c>
      <c r="M5862">
        <v>24.026935886810101</v>
      </c>
      <c r="N5862">
        <v>53.864178319837002</v>
      </c>
      <c r="O5862">
        <v>53.1487529034831</v>
      </c>
      <c r="P5862">
        <v>-0.10487575326457101</v>
      </c>
      <c r="Q5862">
        <v>7.2053506069396103E-2</v>
      </c>
      <c r="R5862">
        <v>0.98894668719018697</v>
      </c>
      <c r="S5862" t="s">
        <v>12532</v>
      </c>
      <c r="T5862" t="s">
        <v>13338</v>
      </c>
      <c r="U5862" t="s">
        <v>13338</v>
      </c>
      <c r="V5862" t="s">
        <v>13338</v>
      </c>
      <c r="W5862" t="s">
        <v>19140</v>
      </c>
      <c r="X5862">
        <v>5</v>
      </c>
      <c r="Y5862" t="s">
        <v>25631</v>
      </c>
      <c r="Z5862" t="s">
        <v>32277</v>
      </c>
      <c r="AA5862">
        <v>0.49932223828996303</v>
      </c>
      <c r="AB5862" t="str">
        <f>HYPERLINK("Melting_Curves/meltCurve_Q9NQE9_HINT3.pdf", "Melting_Curves/meltCurve_Q9NQE9_HINT3.pdf")</f>
        <v>Melting_Curves/meltCurve_Q9NQE9_HINT3.pdf</v>
      </c>
    </row>
    <row r="5863" spans="1:28" x14ac:dyDescent="0.25">
      <c r="A5863" t="s">
        <v>5867</v>
      </c>
      <c r="B5863">
        <v>0.99193492352474899</v>
      </c>
      <c r="C5863">
        <v>0.90923230954998902</v>
      </c>
      <c r="D5863">
        <v>1.0403213677813501</v>
      </c>
      <c r="E5863">
        <v>0.62954466423704403</v>
      </c>
      <c r="F5863">
        <v>0.22934509494486399</v>
      </c>
      <c r="G5863">
        <v>0.290511241277843</v>
      </c>
      <c r="H5863">
        <v>0</v>
      </c>
      <c r="I5863">
        <v>0.13919194174368299</v>
      </c>
      <c r="J5863">
        <v>0</v>
      </c>
      <c r="K5863">
        <v>0</v>
      </c>
      <c r="L5863">
        <v>1228.9004172888599</v>
      </c>
      <c r="M5863">
        <v>24.220946588107601</v>
      </c>
      <c r="N5863">
        <v>50.986951050902</v>
      </c>
      <c r="O5863">
        <v>50.395031097103001</v>
      </c>
      <c r="P5863">
        <v>-0.11343329256519299</v>
      </c>
      <c r="Q5863">
        <v>5.5959740053050898E-2</v>
      </c>
      <c r="R5863">
        <v>0.95809875106588904</v>
      </c>
      <c r="S5863" t="s">
        <v>12533</v>
      </c>
      <c r="T5863" t="s">
        <v>13338</v>
      </c>
      <c r="U5863" t="s">
        <v>13338</v>
      </c>
      <c r="V5863" t="s">
        <v>13338</v>
      </c>
      <c r="W5863" t="s">
        <v>19141</v>
      </c>
      <c r="X5863">
        <v>1</v>
      </c>
      <c r="Y5863" t="s">
        <v>25632</v>
      </c>
      <c r="Z5863" t="s">
        <v>32278</v>
      </c>
      <c r="AA5863">
        <v>0.40288717702417559</v>
      </c>
      <c r="AB5863" t="str">
        <f>HYPERLINK("Melting_Curves/meltCurve_Q9NQG1_MANBAL.pdf", "Melting_Curves/meltCurve_Q9NQG1_MANBAL.pdf")</f>
        <v>Melting_Curves/meltCurve_Q9NQG1_MANBAL.pdf</v>
      </c>
    </row>
    <row r="5864" spans="1:28" x14ac:dyDescent="0.25">
      <c r="A5864" t="s">
        <v>5868</v>
      </c>
      <c r="B5864">
        <v>0.99193492352474899</v>
      </c>
      <c r="C5864">
        <v>0.77861914739313198</v>
      </c>
      <c r="D5864">
        <v>0.88876295097074498</v>
      </c>
      <c r="E5864">
        <v>0.52679450575662601</v>
      </c>
      <c r="F5864">
        <v>0.15597009690383801</v>
      </c>
      <c r="G5864">
        <v>9.7015928205135701E-2</v>
      </c>
      <c r="H5864">
        <v>5.66084731768405E-2</v>
      </c>
      <c r="I5864">
        <v>7.3541599540896493E-2</v>
      </c>
      <c r="J5864">
        <v>7.7991101860740403E-2</v>
      </c>
      <c r="K5864">
        <v>7.6629785499874203E-2</v>
      </c>
      <c r="L5864">
        <v>1129.99778384263</v>
      </c>
      <c r="M5864">
        <v>22.918072310211201</v>
      </c>
      <c r="N5864">
        <v>49.574420631612902</v>
      </c>
      <c r="O5864">
        <v>48.935192729868</v>
      </c>
      <c r="P5864">
        <v>-0.110253419143696</v>
      </c>
      <c r="Q5864">
        <v>5.8355756398864402E-2</v>
      </c>
      <c r="R5864">
        <v>0.96773185208863799</v>
      </c>
      <c r="S5864" t="s">
        <v>12534</v>
      </c>
      <c r="T5864" t="s">
        <v>13338</v>
      </c>
      <c r="U5864" t="s">
        <v>13338</v>
      </c>
      <c r="V5864" t="s">
        <v>13338</v>
      </c>
      <c r="W5864" t="s">
        <v>19142</v>
      </c>
      <c r="X5864">
        <v>11</v>
      </c>
      <c r="Y5864" t="s">
        <v>25633</v>
      </c>
      <c r="Z5864" t="s">
        <v>32279</v>
      </c>
      <c r="AA5864">
        <v>0.36043980847064239</v>
      </c>
      <c r="AB5864" t="str">
        <f>HYPERLINK("Melting_Curves/meltCurve_Q9NQG5_RPRD1B.pdf", "Melting_Curves/meltCurve_Q9NQG5_RPRD1B.pdf")</f>
        <v>Melting_Curves/meltCurve_Q9NQG5_RPRD1B.pdf</v>
      </c>
    </row>
    <row r="5865" spans="1:28" x14ac:dyDescent="0.25">
      <c r="A5865" t="s">
        <v>5869</v>
      </c>
      <c r="B5865">
        <v>0.99193492352474899</v>
      </c>
      <c r="C5865">
        <v>1.0585400526203299</v>
      </c>
      <c r="D5865">
        <v>1.07102643543264</v>
      </c>
      <c r="E5865">
        <v>0.96971858620325702</v>
      </c>
      <c r="F5865">
        <v>0.92208364973887003</v>
      </c>
      <c r="G5865">
        <v>0.58081831572770504</v>
      </c>
      <c r="H5865">
        <v>0.20171837028102399</v>
      </c>
      <c r="I5865">
        <v>9.03290205364225E-2</v>
      </c>
      <c r="J5865">
        <v>7.9223383436676106E-2</v>
      </c>
      <c r="K5865">
        <v>4.4823626110250002E-2</v>
      </c>
      <c r="L5865">
        <v>1702.16706739444</v>
      </c>
      <c r="M5865">
        <v>29.716316134608999</v>
      </c>
      <c r="N5865">
        <v>57.499385047407202</v>
      </c>
      <c r="O5865">
        <v>57.023032341471698</v>
      </c>
      <c r="P5865">
        <v>-0.123317091016032</v>
      </c>
      <c r="Q5865">
        <v>5.3467210544217901E-2</v>
      </c>
      <c r="R5865">
        <v>0.99474907668004497</v>
      </c>
      <c r="S5865" t="s">
        <v>12535</v>
      </c>
      <c r="T5865" t="s">
        <v>13338</v>
      </c>
      <c r="U5865" t="s">
        <v>13338</v>
      </c>
      <c r="V5865" t="s">
        <v>13338</v>
      </c>
      <c r="W5865" t="s">
        <v>19143</v>
      </c>
      <c r="X5865">
        <v>7</v>
      </c>
      <c r="Y5865" t="s">
        <v>25634</v>
      </c>
      <c r="Z5865" t="s">
        <v>32280</v>
      </c>
      <c r="AA5865">
        <v>0.60508184483787153</v>
      </c>
      <c r="AB5865" t="str">
        <f>HYPERLINK("Melting_Curves/meltCurve_Q9NQH7_2_XPNPEP3.pdf", "Melting_Curves/meltCurve_Q9NQH7_2_XPNPEP3.pdf")</f>
        <v>Melting_Curves/meltCurve_Q9NQH7_2_XPNPEP3.pdf</v>
      </c>
    </row>
    <row r="5866" spans="1:28" x14ac:dyDescent="0.25">
      <c r="A5866" t="s">
        <v>5870</v>
      </c>
      <c r="B5866">
        <v>0.99193492352474899</v>
      </c>
      <c r="C5866">
        <v>1.2133142346668799</v>
      </c>
      <c r="D5866">
        <v>0.93840219962063398</v>
      </c>
      <c r="E5866">
        <v>0.95395460379214103</v>
      </c>
      <c r="F5866">
        <v>0.76399616667532799</v>
      </c>
      <c r="G5866">
        <v>0.59849539159887499</v>
      </c>
      <c r="H5866">
        <v>0.30023034708459501</v>
      </c>
      <c r="I5866">
        <v>0.36832010375413299</v>
      </c>
      <c r="J5866">
        <v>0.15599711248439099</v>
      </c>
      <c r="K5866">
        <v>0.31961545219668402</v>
      </c>
      <c r="L5866">
        <v>1126.8667058165499</v>
      </c>
      <c r="M5866">
        <v>20.1921901860077</v>
      </c>
      <c r="N5866">
        <v>57.668966443778999</v>
      </c>
      <c r="O5866">
        <v>55.268345595936999</v>
      </c>
      <c r="P5866">
        <v>-6.9465869018065798E-2</v>
      </c>
      <c r="Q5866">
        <v>0.239479557696471</v>
      </c>
      <c r="R5866">
        <v>0.93413058291803497</v>
      </c>
      <c r="S5866" t="s">
        <v>12536</v>
      </c>
      <c r="T5866" t="s">
        <v>13338</v>
      </c>
      <c r="U5866" t="s">
        <v>13338</v>
      </c>
      <c r="V5866" t="s">
        <v>13338</v>
      </c>
      <c r="W5866" t="s">
        <v>19144</v>
      </c>
      <c r="X5866">
        <v>9</v>
      </c>
      <c r="Y5866" t="s">
        <v>25635</v>
      </c>
      <c r="Z5866" t="s">
        <v>32281</v>
      </c>
      <c r="AA5866">
        <v>0.64993954103070528</v>
      </c>
      <c r="AB5866" t="str">
        <f>HYPERLINK("Melting_Curves/meltCurve_Q9NQL2_RRAGD.pdf", "Melting_Curves/meltCurve_Q9NQL2_RRAGD.pdf")</f>
        <v>Melting_Curves/meltCurve_Q9NQL2_RRAGD.pdf</v>
      </c>
    </row>
    <row r="5867" spans="1:28" x14ac:dyDescent="0.25">
      <c r="A5867" t="s">
        <v>5871</v>
      </c>
      <c r="B5867">
        <v>0.99193492352474899</v>
      </c>
      <c r="C5867">
        <v>1.25828590075691</v>
      </c>
      <c r="D5867">
        <v>0.939316724757845</v>
      </c>
      <c r="E5867">
        <v>0.98473184881420694</v>
      </c>
      <c r="F5867">
        <v>0.774695066096596</v>
      </c>
      <c r="G5867">
        <v>0.64961732420533902</v>
      </c>
      <c r="H5867">
        <v>0.46915417925819802</v>
      </c>
      <c r="I5867">
        <v>0.494889280418778</v>
      </c>
      <c r="J5867">
        <v>0.44239808104811701</v>
      </c>
      <c r="K5867">
        <v>0.48029659678341502</v>
      </c>
      <c r="L5867">
        <v>1266.98019153463</v>
      </c>
      <c r="M5867">
        <v>23.218212807988699</v>
      </c>
      <c r="N5867">
        <v>61.098994248193698</v>
      </c>
      <c r="O5867">
        <v>54.168396331948202</v>
      </c>
      <c r="P5867">
        <v>-5.8059051080255303E-2</v>
      </c>
      <c r="Q5867">
        <v>0.45819942796320301</v>
      </c>
      <c r="R5867">
        <v>0.895703110723995</v>
      </c>
      <c r="S5867" t="s">
        <v>12537</v>
      </c>
      <c r="T5867" t="s">
        <v>13338</v>
      </c>
      <c r="U5867" t="s">
        <v>13338</v>
      </c>
      <c r="V5867" t="s">
        <v>13338</v>
      </c>
      <c r="W5867" t="s">
        <v>19145</v>
      </c>
      <c r="X5867">
        <v>10</v>
      </c>
      <c r="Y5867" t="s">
        <v>25636</v>
      </c>
      <c r="Z5867" t="s">
        <v>32282</v>
      </c>
      <c r="AA5867">
        <v>0.72701463777152397</v>
      </c>
      <c r="AB5867" t="str">
        <f>HYPERLINK("Melting_Curves/meltCurve_Q9NQP4_PFDN4.pdf", "Melting_Curves/meltCurve_Q9NQP4_PFDN4.pdf")</f>
        <v>Melting_Curves/meltCurve_Q9NQP4_PFDN4.pdf</v>
      </c>
    </row>
    <row r="5868" spans="1:28" x14ac:dyDescent="0.25">
      <c r="A5868" t="s">
        <v>5872</v>
      </c>
      <c r="B5868">
        <v>0.99193492352474899</v>
      </c>
      <c r="C5868">
        <v>0.88247931385094502</v>
      </c>
      <c r="D5868">
        <v>0.94800843228965104</v>
      </c>
      <c r="E5868">
        <v>0.78041447668053698</v>
      </c>
      <c r="F5868">
        <v>0.62597260841281499</v>
      </c>
      <c r="G5868">
        <v>0.34416191867107898</v>
      </c>
      <c r="H5868">
        <v>8.4671027025940704E-2</v>
      </c>
      <c r="I5868">
        <v>8.7008915122472594E-2</v>
      </c>
      <c r="J5868">
        <v>9.3470963357599704E-2</v>
      </c>
      <c r="K5868">
        <v>9.3445945350548704E-2</v>
      </c>
      <c r="L5868">
        <v>892.77370382665003</v>
      </c>
      <c r="M5868">
        <v>16.541550242409802</v>
      </c>
      <c r="N5868">
        <v>54.205652789590197</v>
      </c>
      <c r="O5868">
        <v>53.201291528721796</v>
      </c>
      <c r="P5868">
        <v>-7.5056886913295096E-2</v>
      </c>
      <c r="Q5868">
        <v>3.44680809105503E-2</v>
      </c>
      <c r="R5868">
        <v>0.98285901476919801</v>
      </c>
      <c r="S5868" t="s">
        <v>12538</v>
      </c>
      <c r="T5868" t="s">
        <v>13338</v>
      </c>
      <c r="U5868" t="s">
        <v>13338</v>
      </c>
      <c r="V5868" t="s">
        <v>13338</v>
      </c>
      <c r="W5868" t="s">
        <v>19146</v>
      </c>
      <c r="X5868">
        <v>18</v>
      </c>
      <c r="Y5868" t="s">
        <v>25637</v>
      </c>
      <c r="Z5868" t="s">
        <v>32283</v>
      </c>
      <c r="AA5868">
        <v>0.50158652683907889</v>
      </c>
      <c r="AB5868" t="str">
        <f>HYPERLINK("Melting_Curves/meltCurve_Q9NQR4_NIT2.pdf", "Melting_Curves/meltCurve_Q9NQR4_NIT2.pdf")</f>
        <v>Melting_Curves/meltCurve_Q9NQR4_NIT2.pdf</v>
      </c>
    </row>
    <row r="5869" spans="1:28" x14ac:dyDescent="0.25">
      <c r="A5869" t="s">
        <v>5873</v>
      </c>
      <c r="B5869">
        <v>0.99193492352474899</v>
      </c>
      <c r="C5869">
        <v>0.65149862613934695</v>
      </c>
      <c r="D5869">
        <v>0.84610849722579695</v>
      </c>
      <c r="E5869">
        <v>0.56768853345632297</v>
      </c>
      <c r="F5869">
        <v>0.476020651598487</v>
      </c>
      <c r="G5869">
        <v>0.187871705449005</v>
      </c>
      <c r="H5869">
        <v>0.172977508078274</v>
      </c>
      <c r="I5869">
        <v>0.18604721739425201</v>
      </c>
      <c r="J5869">
        <v>0.24295249511495901</v>
      </c>
      <c r="K5869">
        <v>0.356975941643981</v>
      </c>
      <c r="L5869">
        <v>578.16379020023703</v>
      </c>
      <c r="M5869">
        <v>11.9197896276149</v>
      </c>
      <c r="N5869">
        <v>50.589840675629503</v>
      </c>
      <c r="O5869">
        <v>47.199797085342603</v>
      </c>
      <c r="P5869">
        <v>-5.08932205142014E-2</v>
      </c>
      <c r="Q5869">
        <v>0.194094852807075</v>
      </c>
      <c r="R5869">
        <v>0.85185422256484</v>
      </c>
      <c r="S5869" t="s">
        <v>12539</v>
      </c>
      <c r="T5869" t="s">
        <v>13338</v>
      </c>
      <c r="U5869" t="s">
        <v>13338</v>
      </c>
      <c r="V5869" t="s">
        <v>13338</v>
      </c>
      <c r="W5869" t="s">
        <v>19147</v>
      </c>
      <c r="X5869">
        <v>7</v>
      </c>
      <c r="Y5869" t="s">
        <v>25638</v>
      </c>
      <c r="Z5869" t="s">
        <v>32284</v>
      </c>
      <c r="AA5869">
        <v>0.45343765085812432</v>
      </c>
      <c r="AB5869" t="str">
        <f>HYPERLINK("Melting_Curves/meltCurve_Q9NQS1_AVEN.pdf", "Melting_Curves/meltCurve_Q9NQS1_AVEN.pdf")</f>
        <v>Melting_Curves/meltCurve_Q9NQS1_AVEN.pdf</v>
      </c>
    </row>
    <row r="5870" spans="1:28" x14ac:dyDescent="0.25">
      <c r="A5870" t="s">
        <v>5874</v>
      </c>
      <c r="B5870">
        <v>0.99193492352474899</v>
      </c>
      <c r="C5870">
        <v>0.78163353457649298</v>
      </c>
      <c r="D5870">
        <v>0.97306149594434699</v>
      </c>
      <c r="E5870">
        <v>0.94223287973305703</v>
      </c>
      <c r="F5870">
        <v>0.84810735281997296</v>
      </c>
      <c r="G5870">
        <v>0.42138874962789902</v>
      </c>
      <c r="H5870">
        <v>0.11250777202706801</v>
      </c>
      <c r="I5870">
        <v>8.3707790400202098E-2</v>
      </c>
      <c r="J5870">
        <v>0.101188018136984</v>
      </c>
      <c r="K5870">
        <v>7.3542940098028906E-2</v>
      </c>
      <c r="L5870">
        <v>1808.58586328929</v>
      </c>
      <c r="M5870">
        <v>32.386660950189402</v>
      </c>
      <c r="N5870">
        <v>56.1203537465205</v>
      </c>
      <c r="O5870">
        <v>55.631934297640498</v>
      </c>
      <c r="P5870">
        <v>-0.13479677945604701</v>
      </c>
      <c r="Q5870">
        <v>7.3820144449457503E-2</v>
      </c>
      <c r="R5870">
        <v>0.96624554923038397</v>
      </c>
      <c r="S5870" t="s">
        <v>12540</v>
      </c>
      <c r="T5870" t="s">
        <v>13338</v>
      </c>
      <c r="U5870" t="s">
        <v>13338</v>
      </c>
      <c r="V5870" t="s">
        <v>13338</v>
      </c>
      <c r="W5870" t="s">
        <v>19148</v>
      </c>
      <c r="X5870">
        <v>9</v>
      </c>
      <c r="Y5870" t="s">
        <v>25639</v>
      </c>
      <c r="Z5870" t="s">
        <v>32285</v>
      </c>
      <c r="AA5870">
        <v>0.56830335923891984</v>
      </c>
      <c r="AB5870" t="str">
        <f>HYPERLINK("Melting_Curves/meltCurve_Q9NQT4_EXOSC5.pdf", "Melting_Curves/meltCurve_Q9NQT4_EXOSC5.pdf")</f>
        <v>Melting_Curves/meltCurve_Q9NQT4_EXOSC5.pdf</v>
      </c>
    </row>
    <row r="5871" spans="1:28" x14ac:dyDescent="0.25">
      <c r="A5871" t="s">
        <v>5875</v>
      </c>
      <c r="B5871">
        <v>0.99193492352474899</v>
      </c>
      <c r="C5871">
        <v>0.62662267962805396</v>
      </c>
      <c r="D5871">
        <v>0.94457933889069601</v>
      </c>
      <c r="E5871">
        <v>0.46450089113584703</v>
      </c>
      <c r="F5871">
        <v>0.182320530027091</v>
      </c>
      <c r="G5871">
        <v>0.10340993421381101</v>
      </c>
      <c r="H5871">
        <v>6.2919210373561699E-2</v>
      </c>
      <c r="I5871">
        <v>5.7742459731637399E-2</v>
      </c>
      <c r="J5871">
        <v>8.5154716793381199E-2</v>
      </c>
      <c r="K5871">
        <v>4.37462148955148E-2</v>
      </c>
      <c r="L5871">
        <v>824.68648548621604</v>
      </c>
      <c r="M5871">
        <v>16.815950445609399</v>
      </c>
      <c r="N5871">
        <v>49.2462621253392</v>
      </c>
      <c r="O5871">
        <v>48.3641202473625</v>
      </c>
      <c r="P5871">
        <v>-8.3999881833851098E-2</v>
      </c>
      <c r="Q5871">
        <v>3.3698745932035597E-2</v>
      </c>
      <c r="R5871">
        <v>0.90167713485313195</v>
      </c>
      <c r="S5871" t="s">
        <v>12541</v>
      </c>
      <c r="T5871" t="s">
        <v>13338</v>
      </c>
      <c r="U5871" t="s">
        <v>13338</v>
      </c>
      <c r="V5871" t="s">
        <v>13338</v>
      </c>
      <c r="W5871" t="s">
        <v>19149</v>
      </c>
      <c r="X5871">
        <v>4</v>
      </c>
      <c r="Y5871" t="s">
        <v>25640</v>
      </c>
      <c r="Z5871" t="s">
        <v>32286</v>
      </c>
      <c r="AA5871">
        <v>0.34406597818041518</v>
      </c>
      <c r="AB5871" t="str">
        <f>HYPERLINK("Melting_Curves/meltCurve_Q9NQT5_EXOSC3.pdf", "Melting_Curves/meltCurve_Q9NQT5_EXOSC3.pdf")</f>
        <v>Melting_Curves/meltCurve_Q9NQT5_EXOSC3.pdf</v>
      </c>
    </row>
    <row r="5872" spans="1:28" x14ac:dyDescent="0.25">
      <c r="A5872" t="s">
        <v>5876</v>
      </c>
      <c r="B5872">
        <v>0.99193492352474899</v>
      </c>
      <c r="C5872">
        <v>0.902374494013227</v>
      </c>
      <c r="D5872">
        <v>0.80260694879713201</v>
      </c>
      <c r="E5872">
        <v>0.36732680760642</v>
      </c>
      <c r="F5872">
        <v>0.24625578864588199</v>
      </c>
      <c r="G5872">
        <v>0.133647071587433</v>
      </c>
      <c r="H5872">
        <v>8.8782568324422897E-2</v>
      </c>
      <c r="I5872">
        <v>9.8747206646100302E-2</v>
      </c>
      <c r="J5872">
        <v>0.180102018798483</v>
      </c>
      <c r="K5872">
        <v>0.116842808516966</v>
      </c>
      <c r="L5872">
        <v>1120.0678067706499</v>
      </c>
      <c r="M5872">
        <v>23.3356986951453</v>
      </c>
      <c r="N5872">
        <v>48.577458618796001</v>
      </c>
      <c r="O5872">
        <v>47.649729172973501</v>
      </c>
      <c r="P5872">
        <v>-0.107562166297232</v>
      </c>
      <c r="Q5872">
        <v>0.121480336286296</v>
      </c>
      <c r="R5872">
        <v>0.98963221511925004</v>
      </c>
      <c r="S5872" t="s">
        <v>12542</v>
      </c>
      <c r="T5872" t="s">
        <v>13338</v>
      </c>
      <c r="U5872" t="s">
        <v>13338</v>
      </c>
      <c r="V5872" t="s">
        <v>13338</v>
      </c>
      <c r="W5872" t="s">
        <v>19150</v>
      </c>
      <c r="X5872">
        <v>11</v>
      </c>
      <c r="Y5872" t="s">
        <v>25641</v>
      </c>
      <c r="Z5872" t="s">
        <v>32287</v>
      </c>
      <c r="AA5872">
        <v>0.36468553902006501</v>
      </c>
      <c r="AB5872" t="str">
        <f>HYPERLINK("Melting_Curves/meltCurve_Q9NQT8_KIF13B.pdf", "Melting_Curves/meltCurve_Q9NQT8_KIF13B.pdf")</f>
        <v>Melting_Curves/meltCurve_Q9NQT8_KIF13B.pdf</v>
      </c>
    </row>
    <row r="5873" spans="1:28" x14ac:dyDescent="0.25">
      <c r="A5873" t="s">
        <v>5877</v>
      </c>
      <c r="B5873">
        <v>0.99193492352474899</v>
      </c>
      <c r="C5873">
        <v>0.66550878965023297</v>
      </c>
      <c r="D5873">
        <v>0.468561488436327</v>
      </c>
      <c r="E5873">
        <v>0.131039285615933</v>
      </c>
      <c r="F5873">
        <v>0.110066629778398</v>
      </c>
      <c r="G5873">
        <v>6.5226351750648101E-2</v>
      </c>
      <c r="H5873">
        <v>5.1831235123969498E-2</v>
      </c>
      <c r="I5873">
        <v>7.8006143655299107E-2</v>
      </c>
      <c r="J5873">
        <v>0.10986226702336301</v>
      </c>
      <c r="K5873">
        <v>8.7873675569137402E-2</v>
      </c>
      <c r="L5873">
        <v>944.58041432454195</v>
      </c>
      <c r="M5873">
        <v>21.110681011889199</v>
      </c>
      <c r="N5873">
        <v>45.081775902005603</v>
      </c>
      <c r="O5873">
        <v>44.348502694330698</v>
      </c>
      <c r="P5873">
        <v>-0.110306512013663</v>
      </c>
      <c r="Q5873">
        <v>7.3113758737090501E-2</v>
      </c>
      <c r="R5873">
        <v>0.98211498378894602</v>
      </c>
      <c r="S5873" t="s">
        <v>12543</v>
      </c>
      <c r="T5873" t="s">
        <v>13338</v>
      </c>
      <c r="U5873" t="s">
        <v>13338</v>
      </c>
      <c r="V5873" t="s">
        <v>13338</v>
      </c>
      <c r="W5873" t="s">
        <v>19151</v>
      </c>
      <c r="X5873">
        <v>9</v>
      </c>
      <c r="Y5873" t="s">
        <v>25642</v>
      </c>
      <c r="Z5873" t="s">
        <v>32288</v>
      </c>
      <c r="AA5873">
        <v>0.2339415104426413</v>
      </c>
      <c r="AB5873" t="str">
        <f>HYPERLINK("Melting_Curves/meltCurve_Q9NQW6_ANLN.pdf", "Melting_Curves/meltCurve_Q9NQW6_ANLN.pdf")</f>
        <v>Melting_Curves/meltCurve_Q9NQW6_ANLN.pdf</v>
      </c>
    </row>
    <row r="5874" spans="1:28" x14ac:dyDescent="0.25">
      <c r="A5874" t="s">
        <v>5878</v>
      </c>
      <c r="B5874">
        <v>0.99193492352474899</v>
      </c>
      <c r="C5874">
        <v>1.00535622063606</v>
      </c>
      <c r="D5874">
        <v>0.80521626149266801</v>
      </c>
      <c r="E5874">
        <v>0.60112531184972495</v>
      </c>
      <c r="F5874">
        <v>0.21895926585960701</v>
      </c>
      <c r="G5874">
        <v>0.107535351678111</v>
      </c>
      <c r="H5874">
        <v>6.1378680231917497E-2</v>
      </c>
      <c r="I5874">
        <v>7.1558855469475893E-2</v>
      </c>
      <c r="J5874">
        <v>8.3130889672664507E-2</v>
      </c>
      <c r="K5874">
        <v>9.2849279984721603E-2</v>
      </c>
      <c r="L5874">
        <v>1094.16114282729</v>
      </c>
      <c r="M5874">
        <v>21.978959552102701</v>
      </c>
      <c r="N5874">
        <v>50.097900401697302</v>
      </c>
      <c r="O5874">
        <v>49.375596825742797</v>
      </c>
      <c r="P5874">
        <v>-0.10409026132608901</v>
      </c>
      <c r="Q5874">
        <v>6.4668444376823606E-2</v>
      </c>
      <c r="R5874">
        <v>0.99319313041956003</v>
      </c>
      <c r="S5874" t="s">
        <v>12544</v>
      </c>
      <c r="T5874" t="s">
        <v>13338</v>
      </c>
      <c r="U5874" t="s">
        <v>13338</v>
      </c>
      <c r="V5874" t="s">
        <v>13338</v>
      </c>
      <c r="W5874" t="s">
        <v>19152</v>
      </c>
      <c r="X5874">
        <v>35</v>
      </c>
      <c r="Y5874" t="s">
        <v>25643</v>
      </c>
      <c r="Z5874" t="s">
        <v>32289</v>
      </c>
      <c r="AA5874">
        <v>0.38046325665291741</v>
      </c>
      <c r="AB5874" t="str">
        <f>HYPERLINK("Melting_Curves/meltCurve_Q9NQW7_3_XPNPEP1.pdf", "Melting_Curves/meltCurve_Q9NQW7_3_XPNPEP1.pdf")</f>
        <v>Melting_Curves/meltCurve_Q9NQW7_3_XPNPEP1.pdf</v>
      </c>
    </row>
    <row r="5875" spans="1:28" x14ac:dyDescent="0.25">
      <c r="A5875" t="s">
        <v>5879</v>
      </c>
      <c r="B5875">
        <v>0.99193492352474899</v>
      </c>
      <c r="C5875">
        <v>0.92118285320079496</v>
      </c>
      <c r="D5875">
        <v>0.99844781261708904</v>
      </c>
      <c r="E5875">
        <v>0.87426614425239602</v>
      </c>
      <c r="F5875">
        <v>1.0394025606519299</v>
      </c>
      <c r="G5875">
        <v>0.71209374032828898</v>
      </c>
      <c r="H5875">
        <v>0.52118712130692302</v>
      </c>
      <c r="I5875">
        <v>0.19411187995214699</v>
      </c>
      <c r="J5875">
        <v>0.18465947898302101</v>
      </c>
      <c r="K5875">
        <v>0.14801189647090601</v>
      </c>
      <c r="L5875">
        <v>1341.76911224734</v>
      </c>
      <c r="M5875">
        <v>22.516409541429798</v>
      </c>
      <c r="N5875">
        <v>60.216710907170999</v>
      </c>
      <c r="O5875">
        <v>59.126656946750401</v>
      </c>
      <c r="P5875">
        <v>-8.5271572440133503E-2</v>
      </c>
      <c r="Q5875">
        <v>0.104347350127522</v>
      </c>
      <c r="R5875">
        <v>0.96481739352121398</v>
      </c>
      <c r="S5875" t="s">
        <v>12545</v>
      </c>
      <c r="T5875" t="s">
        <v>13338</v>
      </c>
      <c r="U5875" t="s">
        <v>13338</v>
      </c>
      <c r="V5875" t="s">
        <v>13338</v>
      </c>
      <c r="W5875" t="s">
        <v>19153</v>
      </c>
      <c r="X5875">
        <v>26</v>
      </c>
      <c r="Y5875" t="s">
        <v>25644</v>
      </c>
      <c r="Z5875" t="s">
        <v>32290</v>
      </c>
      <c r="AA5875">
        <v>0.69686909511669526</v>
      </c>
      <c r="AB5875" t="str">
        <f>HYPERLINK("Melting_Curves/meltCurve_Q9NQX3_GPHN.pdf", "Melting_Curves/meltCurve_Q9NQX3_GPHN.pdf")</f>
        <v>Melting_Curves/meltCurve_Q9NQX3_GPHN.pdf</v>
      </c>
    </row>
    <row r="5876" spans="1:28" x14ac:dyDescent="0.25">
      <c r="A5876" t="s">
        <v>5880</v>
      </c>
      <c r="B5876">
        <v>0.99193492352474899</v>
      </c>
      <c r="C5876">
        <v>0.87273053989055704</v>
      </c>
      <c r="D5876">
        <v>0.43467590515528998</v>
      </c>
      <c r="E5876">
        <v>0.22065821847497299</v>
      </c>
      <c r="F5876">
        <v>0.13005643728903599</v>
      </c>
      <c r="G5876">
        <v>9.8969846788764804E-2</v>
      </c>
      <c r="H5876">
        <v>8.1361924576931893E-2</v>
      </c>
      <c r="I5876">
        <v>0.106013732806697</v>
      </c>
      <c r="J5876">
        <v>0.11174993632411601</v>
      </c>
      <c r="K5876">
        <v>0.14153877224275599</v>
      </c>
      <c r="L5876">
        <v>1329.99273505612</v>
      </c>
      <c r="M5876">
        <v>29.369385392954602</v>
      </c>
      <c r="N5876">
        <v>45.687726047984803</v>
      </c>
      <c r="O5876">
        <v>45.076610468953902</v>
      </c>
      <c r="P5876">
        <v>-0.14431102498359899</v>
      </c>
      <c r="Q5876">
        <v>0.114042651773894</v>
      </c>
      <c r="R5876">
        <v>0.99519357298362299</v>
      </c>
      <c r="S5876" t="s">
        <v>12546</v>
      </c>
      <c r="T5876" t="s">
        <v>13338</v>
      </c>
      <c r="U5876" t="s">
        <v>13338</v>
      </c>
      <c r="V5876" t="s">
        <v>13338</v>
      </c>
      <c r="W5876" t="s">
        <v>19154</v>
      </c>
      <c r="X5876">
        <v>2</v>
      </c>
      <c r="Y5876" t="s">
        <v>25645</v>
      </c>
      <c r="Z5876" t="s">
        <v>32291</v>
      </c>
      <c r="AA5876">
        <v>0.27598627117232177</v>
      </c>
      <c r="AB5876" t="str">
        <f>HYPERLINK("Melting_Curves/meltCurve_Q9NQY0_BIN3.pdf", "Melting_Curves/meltCurve_Q9NQY0_BIN3.pdf")</f>
        <v>Melting_Curves/meltCurve_Q9NQY0_BIN3.pdf</v>
      </c>
    </row>
    <row r="5877" spans="1:28" x14ac:dyDescent="0.25">
      <c r="A5877" t="s">
        <v>5881</v>
      </c>
      <c r="B5877">
        <v>0.99193492352474899</v>
      </c>
      <c r="C5877">
        <v>0.38146652459137198</v>
      </c>
      <c r="D5877">
        <v>0.73961969478295397</v>
      </c>
      <c r="E5877">
        <v>0.28509001975744502</v>
      </c>
      <c r="F5877">
        <v>0.154826282871485</v>
      </c>
      <c r="G5877">
        <v>6.2231964831105803E-2</v>
      </c>
      <c r="H5877">
        <v>7.1939375555519505E-2</v>
      </c>
      <c r="I5877">
        <v>6.3877430194329704E-2</v>
      </c>
      <c r="J5877">
        <v>8.7501068294437295E-2</v>
      </c>
      <c r="K5877">
        <v>0.10760754145561</v>
      </c>
      <c r="L5877">
        <v>533.26374015488705</v>
      </c>
      <c r="M5877">
        <v>11.7007537394915</v>
      </c>
      <c r="N5877">
        <v>45.903281494434196</v>
      </c>
      <c r="O5877">
        <v>44.304993349761297</v>
      </c>
      <c r="P5877">
        <v>-6.3391984911554206E-2</v>
      </c>
      <c r="Q5877">
        <v>4.01178626122774E-2</v>
      </c>
      <c r="R5877">
        <v>0.80346097754342805</v>
      </c>
      <c r="S5877" t="s">
        <v>12547</v>
      </c>
      <c r="T5877" t="s">
        <v>13338</v>
      </c>
      <c r="U5877" t="s">
        <v>13338</v>
      </c>
      <c r="V5877" t="s">
        <v>13338</v>
      </c>
      <c r="W5877" t="s">
        <v>19155</v>
      </c>
      <c r="X5877">
        <v>3</v>
      </c>
      <c r="Y5877" t="s">
        <v>25646</v>
      </c>
      <c r="Z5877" t="s">
        <v>32292</v>
      </c>
      <c r="AA5877">
        <v>0.26603241835633518</v>
      </c>
      <c r="AB5877" t="str">
        <f>HYPERLINK("Melting_Curves/meltCurve_Q9NQZ2_UTP3.pdf", "Melting_Curves/meltCurve_Q9NQZ2_UTP3.pdf")</f>
        <v>Melting_Curves/meltCurve_Q9NQZ2_UTP3.pdf</v>
      </c>
    </row>
    <row r="5878" spans="1:28" x14ac:dyDescent="0.25">
      <c r="A5878" t="s">
        <v>5882</v>
      </c>
      <c r="B5878">
        <v>0.99193492352474899</v>
      </c>
      <c r="C5878">
        <v>1.0078668495187499</v>
      </c>
      <c r="D5878">
        <v>0.86886195214363904</v>
      </c>
      <c r="E5878">
        <v>0.64064841137497197</v>
      </c>
      <c r="F5878">
        <v>0.252935360681174</v>
      </c>
      <c r="G5878">
        <v>0.146976786523009</v>
      </c>
      <c r="H5878">
        <v>0.10227367155702299</v>
      </c>
      <c r="I5878">
        <v>0.119846278807565</v>
      </c>
      <c r="J5878">
        <v>0.15344284470506001</v>
      </c>
      <c r="K5878">
        <v>0.130579082658833</v>
      </c>
      <c r="L5878">
        <v>1301.7396628890899</v>
      </c>
      <c r="M5878">
        <v>26.014131895668399</v>
      </c>
      <c r="N5878">
        <v>50.567288347742704</v>
      </c>
      <c r="O5878">
        <v>49.746821135285202</v>
      </c>
      <c r="P5878">
        <v>-0.11519627241033401</v>
      </c>
      <c r="Q5878">
        <v>0.118850842998175</v>
      </c>
      <c r="R5878">
        <v>0.99542766267951799</v>
      </c>
      <c r="S5878" t="s">
        <v>12548</v>
      </c>
      <c r="T5878" t="s">
        <v>13338</v>
      </c>
      <c r="U5878" t="s">
        <v>13338</v>
      </c>
      <c r="V5878" t="s">
        <v>13338</v>
      </c>
      <c r="W5878" t="s">
        <v>19156</v>
      </c>
      <c r="X5878">
        <v>5</v>
      </c>
      <c r="Y5878" t="s">
        <v>25647</v>
      </c>
      <c r="Z5878" t="s">
        <v>32293</v>
      </c>
      <c r="AA5878">
        <v>0.42100660310427629</v>
      </c>
      <c r="AB5878" t="str">
        <f>HYPERLINK("Melting_Curves/meltCurve_Q9NQZ5_STARD7.pdf", "Melting_Curves/meltCurve_Q9NQZ5_STARD7.pdf")</f>
        <v>Melting_Curves/meltCurve_Q9NQZ5_STARD7.pdf</v>
      </c>
    </row>
    <row r="5879" spans="1:28" x14ac:dyDescent="0.25">
      <c r="A5879" t="s">
        <v>5883</v>
      </c>
      <c r="B5879">
        <v>0.99193492352474899</v>
      </c>
      <c r="C5879">
        <v>1.00054943799334</v>
      </c>
      <c r="D5879">
        <v>0.451013418127858</v>
      </c>
      <c r="E5879">
        <v>0.42398532933953198</v>
      </c>
      <c r="F5879">
        <v>0.25363931144590501</v>
      </c>
      <c r="G5879">
        <v>0.18540298963857599</v>
      </c>
      <c r="H5879">
        <v>9.8607867360119505E-2</v>
      </c>
      <c r="I5879">
        <v>9.6149146081925305E-2</v>
      </c>
      <c r="J5879">
        <v>9.9987221990894798E-2</v>
      </c>
      <c r="K5879">
        <v>8.8941708227280702E-2</v>
      </c>
      <c r="L5879">
        <v>820.59617115288302</v>
      </c>
      <c r="M5879">
        <v>17.5252677811343</v>
      </c>
      <c r="N5879">
        <v>47.492211674602402</v>
      </c>
      <c r="O5879">
        <v>46.226680562214703</v>
      </c>
      <c r="P5879">
        <v>-8.4422068444318599E-2</v>
      </c>
      <c r="Q5879">
        <v>0.109322563376292</v>
      </c>
      <c r="R5879">
        <v>0.94382584657295898</v>
      </c>
      <c r="S5879" t="s">
        <v>12549</v>
      </c>
      <c r="T5879" t="s">
        <v>13338</v>
      </c>
      <c r="U5879" t="s">
        <v>13338</v>
      </c>
      <c r="V5879" t="s">
        <v>13338</v>
      </c>
      <c r="W5879" t="s">
        <v>19157</v>
      </c>
      <c r="X5879">
        <v>2</v>
      </c>
      <c r="Y5879" t="s">
        <v>25648</v>
      </c>
      <c r="Z5879" t="s">
        <v>32294</v>
      </c>
      <c r="AA5879">
        <v>0.32948845613604272</v>
      </c>
      <c r="AB5879" t="str">
        <f>HYPERLINK("Melting_Curves/meltCurve_Q9NQZ6_3_ZC4H2.pdf", "Melting_Curves/meltCurve_Q9NQZ6_3_ZC4H2.pdf")</f>
        <v>Melting_Curves/meltCurve_Q9NQZ6_3_ZC4H2.pdf</v>
      </c>
    </row>
    <row r="5880" spans="1:28" x14ac:dyDescent="0.25">
      <c r="A5880" t="s">
        <v>5884</v>
      </c>
      <c r="B5880">
        <v>0.99193492352474899</v>
      </c>
      <c r="C5880">
        <v>0.95704601338335904</v>
      </c>
      <c r="D5880">
        <v>0.77649981477257501</v>
      </c>
      <c r="E5880">
        <v>0.49265614968021798</v>
      </c>
      <c r="F5880">
        <v>0.189218380013462</v>
      </c>
      <c r="G5880">
        <v>0.103454202095061</v>
      </c>
      <c r="H5880">
        <v>7.8226594621514003E-2</v>
      </c>
      <c r="I5880">
        <v>0.10528401216625299</v>
      </c>
      <c r="J5880">
        <v>0.12801401076218799</v>
      </c>
      <c r="K5880">
        <v>0.120864101903965</v>
      </c>
      <c r="L5880">
        <v>1077.8109357691301</v>
      </c>
      <c r="M5880">
        <v>22.143339349607398</v>
      </c>
      <c r="N5880">
        <v>49.1436028781578</v>
      </c>
      <c r="O5880">
        <v>48.2825126075453</v>
      </c>
      <c r="P5880">
        <v>-0.103730204307526</v>
      </c>
      <c r="Q5880">
        <v>9.5304307597790794E-2</v>
      </c>
      <c r="R5880">
        <v>0.99536498929516104</v>
      </c>
      <c r="S5880" t="s">
        <v>12550</v>
      </c>
      <c r="T5880" t="s">
        <v>13338</v>
      </c>
      <c r="U5880" t="s">
        <v>13338</v>
      </c>
      <c r="V5880" t="s">
        <v>13338</v>
      </c>
      <c r="W5880" t="s">
        <v>19158</v>
      </c>
      <c r="X5880">
        <v>8</v>
      </c>
      <c r="Y5880" t="s">
        <v>25649</v>
      </c>
      <c r="Z5880" t="s">
        <v>32295</v>
      </c>
      <c r="AA5880">
        <v>0.36719043585312572</v>
      </c>
      <c r="AB5880" t="str">
        <f>HYPERLINK("Melting_Curves/meltCurve_Q9NR12_PDLIM7.pdf", "Melting_Curves/meltCurve_Q9NR12_PDLIM7.pdf")</f>
        <v>Melting_Curves/meltCurve_Q9NR12_PDLIM7.pdf</v>
      </c>
    </row>
    <row r="5881" spans="1:28" x14ac:dyDescent="0.25">
      <c r="A5881" t="s">
        <v>5885</v>
      </c>
      <c r="B5881">
        <v>0.99193492352474899</v>
      </c>
      <c r="C5881">
        <v>0.95493940577900904</v>
      </c>
      <c r="D5881">
        <v>0.95158421352332601</v>
      </c>
      <c r="E5881">
        <v>0.70190196089286705</v>
      </c>
      <c r="F5881">
        <v>0.32761806429371498</v>
      </c>
      <c r="G5881">
        <v>0.17455602756390301</v>
      </c>
      <c r="H5881">
        <v>9.7305393265472398E-2</v>
      </c>
      <c r="I5881">
        <v>0.12568783060833399</v>
      </c>
      <c r="J5881">
        <v>0.122998482511588</v>
      </c>
      <c r="K5881">
        <v>0.139852450894762</v>
      </c>
      <c r="L5881">
        <v>1345.1729099321001</v>
      </c>
      <c r="M5881">
        <v>26.454033419941599</v>
      </c>
      <c r="N5881">
        <v>51.373915784549801</v>
      </c>
      <c r="O5881">
        <v>50.5615592003711</v>
      </c>
      <c r="P5881">
        <v>-0.11532428399816699</v>
      </c>
      <c r="Q5881">
        <v>0.118333220001693</v>
      </c>
      <c r="R5881">
        <v>0.99777654678121896</v>
      </c>
      <c r="S5881" t="s">
        <v>12551</v>
      </c>
      <c r="T5881" t="s">
        <v>13338</v>
      </c>
      <c r="U5881" t="s">
        <v>13338</v>
      </c>
      <c r="V5881" t="s">
        <v>13338</v>
      </c>
      <c r="W5881" t="s">
        <v>19159</v>
      </c>
      <c r="X5881">
        <v>5</v>
      </c>
      <c r="Y5881" t="s">
        <v>25650</v>
      </c>
      <c r="Z5881" t="s">
        <v>32296</v>
      </c>
      <c r="AA5881">
        <v>0.44429583251598509</v>
      </c>
      <c r="AB5881" t="str">
        <f>HYPERLINK("Melting_Curves/meltCurve_Q9NR19_ACSS2.pdf", "Melting_Curves/meltCurve_Q9NR19_ACSS2.pdf")</f>
        <v>Melting_Curves/meltCurve_Q9NR19_ACSS2.pdf</v>
      </c>
    </row>
    <row r="5882" spans="1:28" x14ac:dyDescent="0.25">
      <c r="A5882" t="s">
        <v>5886</v>
      </c>
      <c r="B5882">
        <v>0.99193492352474899</v>
      </c>
      <c r="C5882">
        <v>0.84097851654408695</v>
      </c>
      <c r="D5882">
        <v>0.89486826045099399</v>
      </c>
      <c r="E5882">
        <v>0.72899778364305301</v>
      </c>
      <c r="F5882">
        <v>0.68573550344623502</v>
      </c>
      <c r="G5882">
        <v>0.48476752969619402</v>
      </c>
      <c r="H5882">
        <v>0.42482544698491997</v>
      </c>
      <c r="I5882">
        <v>0.44848095353523798</v>
      </c>
      <c r="J5882">
        <v>0.42451125870744699</v>
      </c>
      <c r="K5882">
        <v>0.30754904559149598</v>
      </c>
      <c r="L5882">
        <v>452.49636685334298</v>
      </c>
      <c r="M5882">
        <v>8.49387268716489</v>
      </c>
      <c r="N5882">
        <v>58.520251809799099</v>
      </c>
      <c r="O5882">
        <v>50.566465470597699</v>
      </c>
      <c r="P5882">
        <v>-3.0828755671489901E-2</v>
      </c>
      <c r="Q5882">
        <v>0.266532947390555</v>
      </c>
      <c r="R5882">
        <v>0.95669963188839202</v>
      </c>
      <c r="S5882" t="s">
        <v>12552</v>
      </c>
      <c r="T5882" t="s">
        <v>13338</v>
      </c>
      <c r="U5882" t="s">
        <v>13338</v>
      </c>
      <c r="V5882" t="s">
        <v>13338</v>
      </c>
      <c r="W5882" t="s">
        <v>19160</v>
      </c>
      <c r="X5882">
        <v>12</v>
      </c>
      <c r="Y5882" t="s">
        <v>25651</v>
      </c>
      <c r="Z5882" t="s">
        <v>32297</v>
      </c>
      <c r="AA5882">
        <v>0.61854143678132245</v>
      </c>
      <c r="AB5882" t="str">
        <f>HYPERLINK("Melting_Curves/meltCurve_Q9NR28_2_DIABLO.pdf", "Melting_Curves/meltCurve_Q9NR28_2_DIABLO.pdf")</f>
        <v>Melting_Curves/meltCurve_Q9NR28_2_DIABLO.pdf</v>
      </c>
    </row>
    <row r="5883" spans="1:28" x14ac:dyDescent="0.25">
      <c r="A5883" t="s">
        <v>5887</v>
      </c>
      <c r="B5883">
        <v>0.99193492352474899</v>
      </c>
      <c r="C5883">
        <v>0.33635392296592598</v>
      </c>
      <c r="D5883">
        <v>0.67065443477127096</v>
      </c>
      <c r="E5883">
        <v>0.268051916323999</v>
      </c>
      <c r="F5883">
        <v>0.14928528694284901</v>
      </c>
      <c r="G5883">
        <v>8.2760024902253301E-2</v>
      </c>
      <c r="H5883">
        <v>5.6410119438964297E-2</v>
      </c>
      <c r="I5883">
        <v>6.04076471079322E-2</v>
      </c>
      <c r="J5883">
        <v>9.2828309031634706E-2</v>
      </c>
      <c r="K5883">
        <v>0.108021844767396</v>
      </c>
      <c r="L5883">
        <v>533.75358248436305</v>
      </c>
      <c r="M5883">
        <v>11.915213153451701</v>
      </c>
      <c r="N5883">
        <v>45.198174977292403</v>
      </c>
      <c r="O5883">
        <v>43.590104116381099</v>
      </c>
      <c r="P5883">
        <v>-6.4915390677422802E-2</v>
      </c>
      <c r="Q5883">
        <v>5.0300610446246001E-2</v>
      </c>
      <c r="R5883">
        <v>0.79383541225048904</v>
      </c>
      <c r="S5883" t="s">
        <v>12553</v>
      </c>
      <c r="T5883" t="s">
        <v>13338</v>
      </c>
      <c r="U5883" t="s">
        <v>13338</v>
      </c>
      <c r="V5883" t="s">
        <v>13338</v>
      </c>
      <c r="W5883" t="s">
        <v>19161</v>
      </c>
      <c r="X5883">
        <v>26</v>
      </c>
      <c r="Y5883" t="s">
        <v>25652</v>
      </c>
      <c r="Z5883" t="s">
        <v>32298</v>
      </c>
      <c r="AA5883">
        <v>0.25118824699874798</v>
      </c>
      <c r="AB5883" t="str">
        <f>HYPERLINK("Melting_Curves/meltCurve_Q9NR30_DDX21.pdf", "Melting_Curves/meltCurve_Q9NR30_DDX21.pdf")</f>
        <v>Melting_Curves/meltCurve_Q9NR30_DDX21.pdf</v>
      </c>
    </row>
    <row r="5884" spans="1:28" x14ac:dyDescent="0.25">
      <c r="A5884" t="s">
        <v>5888</v>
      </c>
      <c r="B5884">
        <v>0.99193492352474899</v>
      </c>
      <c r="C5884">
        <v>0.75754025429250404</v>
      </c>
      <c r="D5884">
        <v>1.0204796536423599</v>
      </c>
      <c r="E5884">
        <v>0.76937850331511404</v>
      </c>
      <c r="F5884">
        <v>0.48115889661123401</v>
      </c>
      <c r="G5884">
        <v>0.127424727026828</v>
      </c>
      <c r="H5884">
        <v>5.3807894524620599E-2</v>
      </c>
      <c r="I5884">
        <v>5.5857406358001599E-2</v>
      </c>
      <c r="J5884">
        <v>7.6826049135888599E-2</v>
      </c>
      <c r="K5884">
        <v>6.9710856598202198E-2</v>
      </c>
      <c r="L5884">
        <v>1261.17124993525</v>
      </c>
      <c r="M5884">
        <v>24.077782306582701</v>
      </c>
      <c r="N5884">
        <v>52.5921591164199</v>
      </c>
      <c r="O5884">
        <v>52.021749960319198</v>
      </c>
      <c r="P5884">
        <v>-0.110333756872964</v>
      </c>
      <c r="Q5884">
        <v>4.6479376147882903E-2</v>
      </c>
      <c r="R5884">
        <v>0.95611312570905804</v>
      </c>
      <c r="S5884" t="s">
        <v>12554</v>
      </c>
      <c r="T5884" t="s">
        <v>13338</v>
      </c>
      <c r="U5884" t="s">
        <v>13338</v>
      </c>
      <c r="V5884" t="s">
        <v>13338</v>
      </c>
      <c r="W5884" t="s">
        <v>19162</v>
      </c>
      <c r="X5884">
        <v>11</v>
      </c>
      <c r="Y5884" t="s">
        <v>25653</v>
      </c>
      <c r="Z5884" t="s">
        <v>32299</v>
      </c>
      <c r="AA5884">
        <v>0.44931676319814262</v>
      </c>
      <c r="AB5884" t="str">
        <f>HYPERLINK("Melting_Curves/meltCurve_Q9NR31_SAR1A.pdf", "Melting_Curves/meltCurve_Q9NR31_SAR1A.pdf")</f>
        <v>Melting_Curves/meltCurve_Q9NR31_SAR1A.pdf</v>
      </c>
    </row>
    <row r="5885" spans="1:28" x14ac:dyDescent="0.25">
      <c r="A5885" t="s">
        <v>5889</v>
      </c>
      <c r="B5885">
        <v>0.99193492352474899</v>
      </c>
      <c r="C5885">
        <v>0.81845631826313403</v>
      </c>
      <c r="D5885">
        <v>0.94535669239186304</v>
      </c>
      <c r="E5885">
        <v>0.59102196277872598</v>
      </c>
      <c r="F5885">
        <v>0.34171533265715898</v>
      </c>
      <c r="G5885">
        <v>0.18108570339864299</v>
      </c>
      <c r="H5885">
        <v>0.14314613349918601</v>
      </c>
      <c r="I5885">
        <v>0.13757140651028099</v>
      </c>
      <c r="J5885">
        <v>0.16836503276596401</v>
      </c>
      <c r="K5885">
        <v>0.178657732528858</v>
      </c>
      <c r="L5885">
        <v>1070.76558753785</v>
      </c>
      <c r="M5885">
        <v>21.438644350732599</v>
      </c>
      <c r="N5885">
        <v>50.762103454206397</v>
      </c>
      <c r="O5885">
        <v>49.517121133988297</v>
      </c>
      <c r="P5885">
        <v>-9.2455488088889703E-2</v>
      </c>
      <c r="Q5885">
        <v>0.14583862318407401</v>
      </c>
      <c r="R5885">
        <v>0.97188112142471295</v>
      </c>
      <c r="S5885" t="s">
        <v>12555</v>
      </c>
      <c r="T5885" t="s">
        <v>13338</v>
      </c>
      <c r="U5885" t="s">
        <v>13338</v>
      </c>
      <c r="V5885" t="s">
        <v>13338</v>
      </c>
      <c r="W5885" t="s">
        <v>19163</v>
      </c>
      <c r="X5885">
        <v>3</v>
      </c>
      <c r="Y5885" t="s">
        <v>25654</v>
      </c>
      <c r="Z5885" t="s">
        <v>32300</v>
      </c>
      <c r="AA5885">
        <v>0.43938361326991732</v>
      </c>
      <c r="AB5885" t="str">
        <f>HYPERLINK("Melting_Curves/meltCurve_Q9NR33_POLE4.pdf", "Melting_Curves/meltCurve_Q9NR33_POLE4.pdf")</f>
        <v>Melting_Curves/meltCurve_Q9NR33_POLE4.pdf</v>
      </c>
    </row>
    <row r="5886" spans="1:28" x14ac:dyDescent="0.25">
      <c r="A5886" t="s">
        <v>5890</v>
      </c>
      <c r="B5886">
        <v>0.99193492352474899</v>
      </c>
      <c r="C5886">
        <v>1.1306067858555</v>
      </c>
      <c r="D5886">
        <v>0.78408549610867795</v>
      </c>
      <c r="E5886">
        <v>0.78538650368406304</v>
      </c>
      <c r="F5886">
        <v>0.24454025380250899</v>
      </c>
      <c r="G5886">
        <v>0.12090380949375699</v>
      </c>
      <c r="H5886">
        <v>6.0825709701619698E-2</v>
      </c>
      <c r="I5886">
        <v>7.1539658398478798E-2</v>
      </c>
      <c r="J5886">
        <v>8.0382775899812201E-2</v>
      </c>
      <c r="K5886">
        <v>8.3970700585028799E-2</v>
      </c>
      <c r="L5886">
        <v>1529.12254717474</v>
      </c>
      <c r="M5886">
        <v>29.954957863684999</v>
      </c>
      <c r="N5886">
        <v>51.302409063020697</v>
      </c>
      <c r="O5886">
        <v>50.821510615466202</v>
      </c>
      <c r="P5886">
        <v>-0.13716179572767501</v>
      </c>
      <c r="Q5886">
        <v>6.9172588604962101E-2</v>
      </c>
      <c r="R5886">
        <v>0.96645446847304595</v>
      </c>
      <c r="S5886" t="s">
        <v>12556</v>
      </c>
      <c r="T5886" t="s">
        <v>13338</v>
      </c>
      <c r="U5886" t="s">
        <v>13338</v>
      </c>
      <c r="V5886" t="s">
        <v>13338</v>
      </c>
      <c r="W5886" t="s">
        <v>19164</v>
      </c>
      <c r="X5886">
        <v>19</v>
      </c>
      <c r="Y5886" t="s">
        <v>25655</v>
      </c>
      <c r="Z5886" t="s">
        <v>32301</v>
      </c>
      <c r="AA5886">
        <v>0.41782122220216172</v>
      </c>
      <c r="AB5886" t="str">
        <f>HYPERLINK("Melting_Curves/meltCurve_Q9NR45_NANS.pdf", "Melting_Curves/meltCurve_Q9NR45_NANS.pdf")</f>
        <v>Melting_Curves/meltCurve_Q9NR45_NANS.pdf</v>
      </c>
    </row>
    <row r="5887" spans="1:28" x14ac:dyDescent="0.25">
      <c r="A5887" t="s">
        <v>5891</v>
      </c>
      <c r="B5887">
        <v>0.99193492352474899</v>
      </c>
      <c r="C5887">
        <v>0.89947319252017699</v>
      </c>
      <c r="D5887">
        <v>0.95507549912343503</v>
      </c>
      <c r="E5887">
        <v>0.69901623278642999</v>
      </c>
      <c r="F5887">
        <v>0.31116353809722103</v>
      </c>
      <c r="G5887">
        <v>0.17579288610251301</v>
      </c>
      <c r="H5887">
        <v>8.5633970422750297E-2</v>
      </c>
      <c r="I5887">
        <v>0.10963859462829401</v>
      </c>
      <c r="J5887">
        <v>7.87055066354828E-2</v>
      </c>
      <c r="K5887">
        <v>0.12420540434055501</v>
      </c>
      <c r="L5887">
        <v>1287.34433030278</v>
      </c>
      <c r="M5887">
        <v>25.294257599154299</v>
      </c>
      <c r="N5887">
        <v>51.330798755207397</v>
      </c>
      <c r="O5887">
        <v>50.579811316655302</v>
      </c>
      <c r="P5887">
        <v>-0.112935625973124</v>
      </c>
      <c r="Q5887">
        <v>9.6682034467478403E-2</v>
      </c>
      <c r="R5887">
        <v>0.99206716630856095</v>
      </c>
      <c r="S5887" t="s">
        <v>12557</v>
      </c>
      <c r="T5887" t="s">
        <v>13338</v>
      </c>
      <c r="U5887" t="s">
        <v>13338</v>
      </c>
      <c r="V5887" t="s">
        <v>13338</v>
      </c>
      <c r="W5887" t="s">
        <v>19165</v>
      </c>
      <c r="X5887">
        <v>14</v>
      </c>
      <c r="Y5887" t="s">
        <v>25656</v>
      </c>
      <c r="Z5887" t="s">
        <v>32302</v>
      </c>
      <c r="AA5887">
        <v>0.43269386337433918</v>
      </c>
      <c r="AB5887" t="str">
        <f>HYPERLINK("Melting_Curves/meltCurve_Q9NR50_EIF2B3.pdf", "Melting_Curves/meltCurve_Q9NR50_EIF2B3.pdf")</f>
        <v>Melting_Curves/meltCurve_Q9NR50_EIF2B3.pdf</v>
      </c>
    </row>
    <row r="5888" spans="1:28" x14ac:dyDescent="0.25">
      <c r="A5888" t="s">
        <v>5892</v>
      </c>
      <c r="B5888">
        <v>0.99193492352474899</v>
      </c>
      <c r="C5888">
        <v>0.59752145421565805</v>
      </c>
      <c r="D5888">
        <v>0.90928919806767605</v>
      </c>
      <c r="E5888">
        <v>0.43402190598281798</v>
      </c>
      <c r="F5888">
        <v>0.37729767487253701</v>
      </c>
      <c r="G5888">
        <v>0.40927733225103502</v>
      </c>
      <c r="H5888">
        <v>0.123516758419006</v>
      </c>
      <c r="I5888">
        <v>0</v>
      </c>
      <c r="J5888">
        <v>5.9705237076426797E-2</v>
      </c>
      <c r="K5888">
        <v>5.2534820986697803E-2</v>
      </c>
      <c r="L5888">
        <v>477.13070661440202</v>
      </c>
      <c r="M5888">
        <v>9.4859045029888502</v>
      </c>
      <c r="N5888">
        <v>50.298919779239498</v>
      </c>
      <c r="O5888">
        <v>48.215668596207202</v>
      </c>
      <c r="P5888">
        <v>-4.9214018635529197E-2</v>
      </c>
      <c r="Q5888">
        <v>0</v>
      </c>
      <c r="R5888">
        <v>0.86357732239100604</v>
      </c>
      <c r="S5888" t="s">
        <v>12558</v>
      </c>
      <c r="T5888" t="s">
        <v>13338</v>
      </c>
      <c r="U5888" t="s">
        <v>13338</v>
      </c>
      <c r="V5888" t="s">
        <v>13338</v>
      </c>
      <c r="W5888" t="s">
        <v>19166</v>
      </c>
      <c r="X5888">
        <v>1</v>
      </c>
      <c r="Y5888" t="s">
        <v>25657</v>
      </c>
      <c r="Z5888" t="s">
        <v>32303</v>
      </c>
      <c r="AA5888">
        <v>0.39054850639116218</v>
      </c>
      <c r="AB5888" t="str">
        <f>HYPERLINK("Melting_Curves/meltCurve_Q9NR55_BATF3.pdf", "Melting_Curves/meltCurve_Q9NR55_BATF3.pdf")</f>
        <v>Melting_Curves/meltCurve_Q9NR55_BATF3.pdf</v>
      </c>
    </row>
    <row r="5889" spans="1:28" x14ac:dyDescent="0.25">
      <c r="A5889" t="s">
        <v>5893</v>
      </c>
      <c r="B5889">
        <v>0.99193492352474899</v>
      </c>
      <c r="C5889">
        <v>0.86041687788861299</v>
      </c>
      <c r="D5889">
        <v>0.88984437790850601</v>
      </c>
      <c r="E5889">
        <v>0.77928864759252303</v>
      </c>
      <c r="F5889">
        <v>0.67270930534828799</v>
      </c>
      <c r="G5889">
        <v>0.44373483722374302</v>
      </c>
      <c r="H5889">
        <v>0.23759848399945099</v>
      </c>
      <c r="I5889">
        <v>0.168288052331453</v>
      </c>
      <c r="J5889">
        <v>0.110655957730599</v>
      </c>
      <c r="K5889">
        <v>0.16075482275573899</v>
      </c>
      <c r="L5889">
        <v>596.75049567927704</v>
      </c>
      <c r="M5889">
        <v>10.7672112964103</v>
      </c>
      <c r="N5889">
        <v>55.470580667697298</v>
      </c>
      <c r="O5889">
        <v>53.613855414356202</v>
      </c>
      <c r="P5889">
        <v>-4.9994455102739997E-2</v>
      </c>
      <c r="Q5889">
        <v>4.6024629806635797E-3</v>
      </c>
      <c r="R5889">
        <v>0.98079116843002201</v>
      </c>
      <c r="S5889" t="s">
        <v>12559</v>
      </c>
      <c r="T5889" t="s">
        <v>13338</v>
      </c>
      <c r="U5889" t="s">
        <v>13338</v>
      </c>
      <c r="V5889" t="s">
        <v>13338</v>
      </c>
      <c r="W5889" t="s">
        <v>19167</v>
      </c>
      <c r="X5889">
        <v>2</v>
      </c>
      <c r="Y5889" t="s">
        <v>25658</v>
      </c>
      <c r="Z5889" t="s">
        <v>32304</v>
      </c>
      <c r="AA5889">
        <v>0.53960378573161605</v>
      </c>
      <c r="AB5889" t="str">
        <f>HYPERLINK("Melting_Curves/meltCurve_Q9NR77_PXMP2.pdf", "Melting_Curves/meltCurve_Q9NR77_PXMP2.pdf")</f>
        <v>Melting_Curves/meltCurve_Q9NR77_PXMP2.pdf</v>
      </c>
    </row>
    <row r="5890" spans="1:28" x14ac:dyDescent="0.25">
      <c r="A5890" t="s">
        <v>5894</v>
      </c>
      <c r="B5890">
        <v>0.99193492352474899</v>
      </c>
      <c r="C5890">
        <v>0.82603535135097395</v>
      </c>
      <c r="D5890">
        <v>0.861222765356774</v>
      </c>
      <c r="E5890">
        <v>0.75730523293140695</v>
      </c>
      <c r="F5890">
        <v>0.57588146190801404</v>
      </c>
      <c r="G5890">
        <v>0.44682133098197202</v>
      </c>
      <c r="H5890">
        <v>0.34212225245883698</v>
      </c>
      <c r="I5890">
        <v>0.37685672751333399</v>
      </c>
      <c r="J5890">
        <v>0.40253131350301302</v>
      </c>
      <c r="K5890">
        <v>0.453836750770299</v>
      </c>
      <c r="L5890">
        <v>645.96888436095105</v>
      </c>
      <c r="M5890">
        <v>12.9016787216284</v>
      </c>
      <c r="N5890">
        <v>55.632936720769401</v>
      </c>
      <c r="O5890">
        <v>48.911475265299401</v>
      </c>
      <c r="P5890">
        <v>-4.2052153347866501E-2</v>
      </c>
      <c r="Q5890">
        <v>0.36242136941664899</v>
      </c>
      <c r="R5890">
        <v>0.94159592985012097</v>
      </c>
      <c r="S5890" t="s">
        <v>12560</v>
      </c>
      <c r="T5890" t="s">
        <v>13338</v>
      </c>
      <c r="U5890" t="s">
        <v>13338</v>
      </c>
      <c r="V5890" t="s">
        <v>13338</v>
      </c>
      <c r="W5890" t="s">
        <v>19168</v>
      </c>
      <c r="X5890">
        <v>3</v>
      </c>
      <c r="Y5890" t="s">
        <v>25659</v>
      </c>
      <c r="Z5890" t="s">
        <v>32305</v>
      </c>
      <c r="AA5890">
        <v>0.59599549147457342</v>
      </c>
      <c r="AB5890" t="str">
        <f>HYPERLINK("Melting_Curves/meltCurve_Q9NRA2_SLC17A5.pdf", "Melting_Curves/meltCurve_Q9NRA2_SLC17A5.pdf")</f>
        <v>Melting_Curves/meltCurve_Q9NRA2_SLC17A5.pdf</v>
      </c>
    </row>
    <row r="5891" spans="1:28" x14ac:dyDescent="0.25">
      <c r="A5891" t="s">
        <v>5895</v>
      </c>
      <c r="B5891">
        <v>0.99193492352474899</v>
      </c>
      <c r="C5891">
        <v>1.23330387851931</v>
      </c>
      <c r="D5891">
        <v>1.0763091268218301</v>
      </c>
      <c r="E5891">
        <v>0.67654868572523197</v>
      </c>
      <c r="F5891">
        <v>0.33848471306439398</v>
      </c>
      <c r="G5891">
        <v>0.171374811174307</v>
      </c>
      <c r="H5891">
        <v>9.8786746171690698E-2</v>
      </c>
      <c r="I5891">
        <v>0.22294365385314099</v>
      </c>
      <c r="J5891">
        <v>0.187431094948809</v>
      </c>
      <c r="K5891">
        <v>0.187339145144967</v>
      </c>
      <c r="L5891">
        <v>1791.15061692737</v>
      </c>
      <c r="M5891">
        <v>35.479380316509598</v>
      </c>
      <c r="N5891">
        <v>51.1098670269499</v>
      </c>
      <c r="O5891">
        <v>50.324701743455499</v>
      </c>
      <c r="P5891">
        <v>-0.14520794616892899</v>
      </c>
      <c r="Q5891">
        <v>0.17613884339605099</v>
      </c>
      <c r="R5891">
        <v>0.95418093860438302</v>
      </c>
      <c r="S5891" t="s">
        <v>12561</v>
      </c>
      <c r="T5891" t="s">
        <v>13338</v>
      </c>
      <c r="U5891" t="s">
        <v>13338</v>
      </c>
      <c r="V5891" t="s">
        <v>13338</v>
      </c>
      <c r="W5891" t="s">
        <v>19169</v>
      </c>
      <c r="X5891">
        <v>3</v>
      </c>
      <c r="Y5891" t="s">
        <v>25660</v>
      </c>
      <c r="Z5891" t="s">
        <v>32306</v>
      </c>
      <c r="AA5891">
        <v>0.46772048060149868</v>
      </c>
      <c r="AB5891" t="str">
        <f>HYPERLINK("Melting_Curves/meltCurve_Q9NRB3_CHST12.pdf", "Melting_Curves/meltCurve_Q9NRB3_CHST12.pdf")</f>
        <v>Melting_Curves/meltCurve_Q9NRB3_CHST12.pdf</v>
      </c>
    </row>
    <row r="5892" spans="1:28" x14ac:dyDescent="0.25">
      <c r="A5892" t="s">
        <v>5896</v>
      </c>
      <c r="B5892">
        <v>0.99193492352474899</v>
      </c>
      <c r="C5892">
        <v>0.86421267681815095</v>
      </c>
      <c r="D5892">
        <v>0.76021497332533094</v>
      </c>
      <c r="E5892">
        <v>0.65711693529931103</v>
      </c>
      <c r="F5892">
        <v>0.42727239166440101</v>
      </c>
      <c r="G5892">
        <v>0.23060557254873701</v>
      </c>
      <c r="H5892">
        <v>0.15981709863558899</v>
      </c>
      <c r="I5892">
        <v>0.15089599895698999</v>
      </c>
      <c r="J5892">
        <v>0.20641307654289701</v>
      </c>
      <c r="K5892">
        <v>0.22198365838178399</v>
      </c>
      <c r="L5892">
        <v>678.05633900656005</v>
      </c>
      <c r="M5892">
        <v>13.578566687286701</v>
      </c>
      <c r="N5892">
        <v>51.226144223260398</v>
      </c>
      <c r="O5892">
        <v>48.8900521850939</v>
      </c>
      <c r="P5892">
        <v>-5.9386267737107201E-2</v>
      </c>
      <c r="Q5892">
        <v>0.14483907645931701</v>
      </c>
      <c r="R5892">
        <v>0.97738712970404795</v>
      </c>
      <c r="S5892" t="s">
        <v>12562</v>
      </c>
      <c r="T5892" t="s">
        <v>13338</v>
      </c>
      <c r="U5892" t="s">
        <v>13338</v>
      </c>
      <c r="V5892" t="s">
        <v>13338</v>
      </c>
      <c r="W5892" t="s">
        <v>19170</v>
      </c>
      <c r="X5892">
        <v>6</v>
      </c>
      <c r="Y5892" t="s">
        <v>25661</v>
      </c>
      <c r="Z5892" t="s">
        <v>32307</v>
      </c>
      <c r="AA5892">
        <v>0.45235185325031252</v>
      </c>
      <c r="AB5892" t="str">
        <f>HYPERLINK("Melting_Curves/meltCurve_Q9NRF9_POLE3.pdf", "Melting_Curves/meltCurve_Q9NRF9_POLE3.pdf")</f>
        <v>Melting_Curves/meltCurve_Q9NRF9_POLE3.pdf</v>
      </c>
    </row>
    <row r="5893" spans="1:28" x14ac:dyDescent="0.25">
      <c r="A5893" t="s">
        <v>5897</v>
      </c>
      <c r="B5893">
        <v>0.99193492352474899</v>
      </c>
      <c r="C5893">
        <v>0.92789071909098297</v>
      </c>
      <c r="D5893">
        <v>0.88490100840559105</v>
      </c>
      <c r="E5893">
        <v>1.12638961585188</v>
      </c>
      <c r="F5893">
        <v>0.53934366994757299</v>
      </c>
      <c r="G5893">
        <v>0.31845230479242598</v>
      </c>
      <c r="H5893">
        <v>0.17920183956469299</v>
      </c>
      <c r="I5893">
        <v>0.20130123408971701</v>
      </c>
      <c r="J5893">
        <v>0.233006646832944</v>
      </c>
      <c r="K5893">
        <v>0.302260727459362</v>
      </c>
      <c r="L5893">
        <v>9337.6249474815795</v>
      </c>
      <c r="M5893">
        <v>175.97341963473801</v>
      </c>
      <c r="N5893">
        <v>53.268723804084999</v>
      </c>
      <c r="O5893">
        <v>53.055871167316198</v>
      </c>
      <c r="P5893">
        <v>-0.62451034971630504</v>
      </c>
      <c r="Q5893">
        <v>0.24684247655942901</v>
      </c>
      <c r="R5893">
        <v>0.96047267318086804</v>
      </c>
      <c r="S5893" t="s">
        <v>12563</v>
      </c>
      <c r="T5893" t="s">
        <v>13338</v>
      </c>
      <c r="U5893" t="s">
        <v>13338</v>
      </c>
      <c r="V5893" t="s">
        <v>13338</v>
      </c>
      <c r="W5893" t="s">
        <v>19171</v>
      </c>
      <c r="X5893">
        <v>2</v>
      </c>
      <c r="Y5893" t="s">
        <v>25662</v>
      </c>
      <c r="Z5893" t="s">
        <v>32308</v>
      </c>
      <c r="AA5893">
        <v>0.57492645055767266</v>
      </c>
      <c r="AB5893" t="str">
        <f>HYPERLINK("Melting_Curves/meltCurve_Q9NRG0_CHRAC1.pdf", "Melting_Curves/meltCurve_Q9NRG0_CHRAC1.pdf")</f>
        <v>Melting_Curves/meltCurve_Q9NRG0_CHRAC1.pdf</v>
      </c>
    </row>
    <row r="5894" spans="1:28" x14ac:dyDescent="0.25">
      <c r="A5894" t="s">
        <v>5898</v>
      </c>
      <c r="B5894">
        <v>0.99193492352474899</v>
      </c>
      <c r="C5894">
        <v>0.89428550055728395</v>
      </c>
      <c r="D5894">
        <v>0.77130230553913304</v>
      </c>
      <c r="E5894">
        <v>0.22917353227524401</v>
      </c>
      <c r="F5894">
        <v>0.12092392396873999</v>
      </c>
      <c r="G5894">
        <v>7.3013522005228898E-2</v>
      </c>
      <c r="H5894">
        <v>3.9820566747996597E-2</v>
      </c>
      <c r="I5894">
        <v>6.2864492627829505E-2</v>
      </c>
      <c r="J5894">
        <v>7.5147031939316503E-2</v>
      </c>
      <c r="K5894">
        <v>6.9114619982205E-2</v>
      </c>
      <c r="L5894">
        <v>1484.7775100803201</v>
      </c>
      <c r="M5894">
        <v>31.308149289642198</v>
      </c>
      <c r="N5894">
        <v>47.635779296064698</v>
      </c>
      <c r="O5894">
        <v>47.2324175135332</v>
      </c>
      <c r="P5894">
        <v>-0.154978000360493</v>
      </c>
      <c r="Q5894">
        <v>6.47873770043918E-2</v>
      </c>
      <c r="R5894">
        <v>0.993982870226918</v>
      </c>
      <c r="S5894" t="s">
        <v>12564</v>
      </c>
      <c r="T5894" t="s">
        <v>13338</v>
      </c>
      <c r="U5894" t="s">
        <v>13338</v>
      </c>
      <c r="V5894" t="s">
        <v>13338</v>
      </c>
      <c r="W5894" t="s">
        <v>19172</v>
      </c>
      <c r="X5894">
        <v>6</v>
      </c>
      <c r="Y5894" t="s">
        <v>25663</v>
      </c>
      <c r="Z5894" t="s">
        <v>32309</v>
      </c>
      <c r="AA5894">
        <v>0.30136608348076488</v>
      </c>
      <c r="AB5894" t="str">
        <f>HYPERLINK("Melting_Curves/meltCurve_Q9NRG4_SMYD2.pdf", "Melting_Curves/meltCurve_Q9NRG4_SMYD2.pdf")</f>
        <v>Melting_Curves/meltCurve_Q9NRG4_SMYD2.pdf</v>
      </c>
    </row>
    <row r="5895" spans="1:28" x14ac:dyDescent="0.25">
      <c r="A5895" t="s">
        <v>5899</v>
      </c>
      <c r="B5895">
        <v>0.99193492352474899</v>
      </c>
      <c r="C5895">
        <v>0.70681457909373702</v>
      </c>
      <c r="D5895">
        <v>0.73098937063784197</v>
      </c>
      <c r="E5895">
        <v>0.26931905948325902</v>
      </c>
      <c r="F5895">
        <v>0.20181552105204101</v>
      </c>
      <c r="G5895">
        <v>6.75906935316547E-2</v>
      </c>
      <c r="H5895">
        <v>3.84936427103382E-2</v>
      </c>
      <c r="I5895">
        <v>5.1326991835029902E-2</v>
      </c>
      <c r="J5895">
        <v>5.9085399751090298E-2</v>
      </c>
      <c r="K5895">
        <v>7.5620796406454499E-2</v>
      </c>
      <c r="L5895">
        <v>751.70345912094604</v>
      </c>
      <c r="M5895">
        <v>15.952328446706399</v>
      </c>
      <c r="N5895">
        <v>47.355946608223299</v>
      </c>
      <c r="O5895">
        <v>46.400035072558097</v>
      </c>
      <c r="P5895">
        <v>-8.2698035575143394E-2</v>
      </c>
      <c r="Q5895">
        <v>3.7912083309221502E-2</v>
      </c>
      <c r="R5895">
        <v>0.96387626677570803</v>
      </c>
      <c r="S5895" t="s">
        <v>12565</v>
      </c>
      <c r="T5895" t="s">
        <v>13338</v>
      </c>
      <c r="U5895" t="s">
        <v>13338</v>
      </c>
      <c r="V5895" t="s">
        <v>13338</v>
      </c>
      <c r="W5895" t="s">
        <v>19173</v>
      </c>
      <c r="X5895">
        <v>5</v>
      </c>
      <c r="Y5895" t="s">
        <v>25664</v>
      </c>
      <c r="Z5895" t="s">
        <v>32310</v>
      </c>
      <c r="AA5895">
        <v>0.28914298687320378</v>
      </c>
      <c r="AB5895" t="str">
        <f>HYPERLINK("Melting_Curves/meltCurve_Q9NRG7_2_SDR39U1.pdf", "Melting_Curves/meltCurve_Q9NRG7_2_SDR39U1.pdf")</f>
        <v>Melting_Curves/meltCurve_Q9NRG7_2_SDR39U1.pdf</v>
      </c>
    </row>
    <row r="5896" spans="1:28" x14ac:dyDescent="0.25">
      <c r="A5896" t="s">
        <v>5900</v>
      </c>
      <c r="B5896">
        <v>0.99193492352474899</v>
      </c>
      <c r="C5896">
        <v>0.82751262764310995</v>
      </c>
      <c r="D5896">
        <v>0.84842224052352899</v>
      </c>
      <c r="E5896">
        <v>0.59269497883771605</v>
      </c>
      <c r="F5896">
        <v>0.377925710170049</v>
      </c>
      <c r="G5896">
        <v>0.18453625599621401</v>
      </c>
      <c r="H5896">
        <v>0.10151522627524</v>
      </c>
      <c r="I5896">
        <v>9.5804615054614906E-2</v>
      </c>
      <c r="J5896">
        <v>8.6372935943576798E-2</v>
      </c>
      <c r="K5896">
        <v>0.117654622251211</v>
      </c>
      <c r="L5896">
        <v>721.38582406058094</v>
      </c>
      <c r="M5896">
        <v>14.3153405657436</v>
      </c>
      <c r="N5896">
        <v>50.836802799359198</v>
      </c>
      <c r="O5896">
        <v>49.439732858885897</v>
      </c>
      <c r="P5896">
        <v>-6.81395999329963E-2</v>
      </c>
      <c r="Q5896">
        <v>5.8801188871352598E-2</v>
      </c>
      <c r="R5896">
        <v>0.98620703381574404</v>
      </c>
      <c r="S5896" t="s">
        <v>12566</v>
      </c>
      <c r="T5896" t="s">
        <v>13338</v>
      </c>
      <c r="U5896" t="s">
        <v>13338</v>
      </c>
      <c r="V5896" t="s">
        <v>13338</v>
      </c>
      <c r="W5896" t="s">
        <v>19174</v>
      </c>
      <c r="X5896">
        <v>7</v>
      </c>
      <c r="Y5896" t="s">
        <v>25665</v>
      </c>
      <c r="Z5896" t="s">
        <v>32311</v>
      </c>
      <c r="AA5896">
        <v>0.40885206055379347</v>
      </c>
      <c r="AB5896" t="str">
        <f>HYPERLINK("Melting_Curves/meltCurve_Q9NRG9_AAAS.pdf", "Melting_Curves/meltCurve_Q9NRG9_AAAS.pdf")</f>
        <v>Melting_Curves/meltCurve_Q9NRG9_AAAS.pdf</v>
      </c>
    </row>
    <row r="5897" spans="1:28" x14ac:dyDescent="0.25">
      <c r="A5897" t="s">
        <v>5901</v>
      </c>
      <c r="B5897">
        <v>0.99193492352474899</v>
      </c>
      <c r="C5897">
        <v>0.95854636618622302</v>
      </c>
      <c r="D5897">
        <v>0.95806928451840101</v>
      </c>
      <c r="E5897">
        <v>0.69295546247685802</v>
      </c>
      <c r="F5897">
        <v>0.48117646314468698</v>
      </c>
      <c r="G5897">
        <v>0.27052604867399299</v>
      </c>
      <c r="H5897">
        <v>0.12777377622268901</v>
      </c>
      <c r="I5897">
        <v>0.17286508696498701</v>
      </c>
      <c r="J5897">
        <v>0.22066597295228099</v>
      </c>
      <c r="K5897">
        <v>9.8328219386633803E-2</v>
      </c>
      <c r="L5897">
        <v>969.14908126782802</v>
      </c>
      <c r="M5897">
        <v>18.766648372723601</v>
      </c>
      <c r="N5897">
        <v>52.532567196313302</v>
      </c>
      <c r="O5897">
        <v>51.066432813071501</v>
      </c>
      <c r="P5897">
        <v>-7.9360273974372703E-2</v>
      </c>
      <c r="Q5897">
        <v>0.13623862526953801</v>
      </c>
      <c r="R5897">
        <v>0.98819002017449098</v>
      </c>
      <c r="S5897" t="s">
        <v>12567</v>
      </c>
      <c r="T5897" t="s">
        <v>13338</v>
      </c>
      <c r="U5897" t="s">
        <v>13338</v>
      </c>
      <c r="V5897" t="s">
        <v>13338</v>
      </c>
      <c r="W5897" t="s">
        <v>19175</v>
      </c>
      <c r="X5897">
        <v>3</v>
      </c>
      <c r="Y5897" t="s">
        <v>25666</v>
      </c>
      <c r="Z5897" t="s">
        <v>32312</v>
      </c>
      <c r="AA5897">
        <v>0.48485903605351072</v>
      </c>
      <c r="AB5897" t="str">
        <f>HYPERLINK("Melting_Curves/meltCurve_Q9NRH1_YAE1D1.pdf", "Melting_Curves/meltCurve_Q9NRH1_YAE1D1.pdf")</f>
        <v>Melting_Curves/meltCurve_Q9NRH1_YAE1D1.pdf</v>
      </c>
    </row>
    <row r="5898" spans="1:28" x14ac:dyDescent="0.25">
      <c r="A5898" t="s">
        <v>5902</v>
      </c>
      <c r="B5898">
        <v>0.99193492352474899</v>
      </c>
      <c r="C5898">
        <v>1.0439859026717899</v>
      </c>
      <c r="D5898">
        <v>1.1602033879409499</v>
      </c>
      <c r="E5898">
        <v>1.0736997366648799</v>
      </c>
      <c r="F5898">
        <v>1.0800342032938699</v>
      </c>
      <c r="G5898">
        <v>0.80973077556943296</v>
      </c>
      <c r="H5898">
        <v>0.46800414168354698</v>
      </c>
      <c r="I5898">
        <v>0.27499479305043201</v>
      </c>
      <c r="J5898">
        <v>0.20627668520961301</v>
      </c>
      <c r="K5898">
        <v>0.15781422011700899</v>
      </c>
      <c r="L5898">
        <v>1781.20886664058</v>
      </c>
      <c r="M5898">
        <v>29.8927096483154</v>
      </c>
      <c r="N5898">
        <v>60.416442836421098</v>
      </c>
      <c r="O5898">
        <v>59.321970360202997</v>
      </c>
      <c r="P5898">
        <v>-0.104769414569837</v>
      </c>
      <c r="Q5898">
        <v>0.16834745318173</v>
      </c>
      <c r="R5898">
        <v>0.96899117203678897</v>
      </c>
      <c r="S5898" t="s">
        <v>12568</v>
      </c>
      <c r="T5898" t="s">
        <v>13338</v>
      </c>
      <c r="U5898" t="s">
        <v>13338</v>
      </c>
      <c r="V5898" t="s">
        <v>13338</v>
      </c>
      <c r="W5898" t="s">
        <v>19176</v>
      </c>
      <c r="X5898">
        <v>13</v>
      </c>
      <c r="Y5898" t="s">
        <v>25667</v>
      </c>
      <c r="Z5898" t="s">
        <v>32313</v>
      </c>
      <c r="AA5898">
        <v>0.71653699209581689</v>
      </c>
      <c r="AB5898" t="str">
        <f>HYPERLINK("Melting_Curves/meltCurve_Q9NRK6_ABCB10.pdf", "Melting_Curves/meltCurve_Q9NRK6_ABCB10.pdf")</f>
        <v>Melting_Curves/meltCurve_Q9NRK6_ABCB10.pdf</v>
      </c>
    </row>
    <row r="5899" spans="1:28" x14ac:dyDescent="0.25">
      <c r="A5899" t="s">
        <v>5903</v>
      </c>
      <c r="B5899">
        <v>0.99193492352474899</v>
      </c>
      <c r="C5899">
        <v>0.27933931053193201</v>
      </c>
      <c r="D5899">
        <v>0.26221585120860402</v>
      </c>
      <c r="E5899">
        <v>0.181167818558611</v>
      </c>
      <c r="F5899">
        <v>0.16634226028024601</v>
      </c>
      <c r="G5899">
        <v>0.10187008051433399</v>
      </c>
      <c r="H5899">
        <v>7.7868519976146605E-2</v>
      </c>
      <c r="I5899">
        <v>9.0594038434109E-2</v>
      </c>
      <c r="J5899">
        <v>0.106783837585246</v>
      </c>
      <c r="K5899">
        <v>0.115696714079632</v>
      </c>
      <c r="L5899">
        <v>3333.6016292003501</v>
      </c>
      <c r="M5899">
        <v>79.316520815253895</v>
      </c>
      <c r="N5899">
        <v>42.200215286051098</v>
      </c>
      <c r="O5899">
        <v>42.002401033306398</v>
      </c>
      <c r="P5899">
        <v>-0.40717701288290398</v>
      </c>
      <c r="Q5899">
        <v>0.13751084005243</v>
      </c>
      <c r="R5899">
        <v>0.960772600280283</v>
      </c>
      <c r="S5899" t="s">
        <v>12569</v>
      </c>
      <c r="T5899" t="s">
        <v>13338</v>
      </c>
      <c r="U5899" t="s">
        <v>13338</v>
      </c>
      <c r="V5899" t="s">
        <v>13338</v>
      </c>
      <c r="W5899" t="s">
        <v>19177</v>
      </c>
      <c r="X5899">
        <v>11</v>
      </c>
      <c r="Y5899" t="s">
        <v>25668</v>
      </c>
      <c r="Z5899" t="s">
        <v>32314</v>
      </c>
      <c r="AA5899">
        <v>0.19671885681492421</v>
      </c>
      <c r="AB5899" t="str">
        <f>HYPERLINK("Melting_Curves/meltCurve_Q9NRL2_2_BAZ1A.pdf", "Melting_Curves/meltCurve_Q9NRL2_2_BAZ1A.pdf")</f>
        <v>Melting_Curves/meltCurve_Q9NRL2_2_BAZ1A.pdf</v>
      </c>
    </row>
    <row r="5900" spans="1:28" x14ac:dyDescent="0.25">
      <c r="A5900" t="s">
        <v>5904</v>
      </c>
      <c r="B5900">
        <v>0.99193492352474899</v>
      </c>
      <c r="C5900">
        <v>0.68192045183706695</v>
      </c>
      <c r="D5900">
        <v>1.1603528768609199</v>
      </c>
      <c r="E5900">
        <v>0.50385597541318405</v>
      </c>
      <c r="F5900">
        <v>0.26554025866283798</v>
      </c>
      <c r="G5900">
        <v>0.13222130375114499</v>
      </c>
      <c r="H5900">
        <v>8.1506335941677596E-2</v>
      </c>
      <c r="I5900">
        <v>8.6346885369408793E-2</v>
      </c>
      <c r="J5900">
        <v>0.115028549127213</v>
      </c>
      <c r="K5900">
        <v>0.10142388859871999</v>
      </c>
      <c r="L5900">
        <v>4085.5992756553501</v>
      </c>
      <c r="M5900">
        <v>82.6392566600789</v>
      </c>
      <c r="N5900">
        <v>49.619168094652501</v>
      </c>
      <c r="O5900">
        <v>49.410054752163703</v>
      </c>
      <c r="P5900">
        <v>-0.36392517069421698</v>
      </c>
      <c r="Q5900">
        <v>0.12963623866705201</v>
      </c>
      <c r="R5900">
        <v>0.89809913703394495</v>
      </c>
      <c r="S5900" t="s">
        <v>12570</v>
      </c>
      <c r="T5900" t="s">
        <v>13338</v>
      </c>
      <c r="U5900" t="s">
        <v>13338</v>
      </c>
      <c r="V5900" t="s">
        <v>13338</v>
      </c>
      <c r="W5900" t="s">
        <v>19178</v>
      </c>
      <c r="X5900">
        <v>10</v>
      </c>
      <c r="Y5900" t="s">
        <v>25669</v>
      </c>
      <c r="Z5900" t="s">
        <v>32315</v>
      </c>
      <c r="AA5900">
        <v>0.40417302712287301</v>
      </c>
      <c r="AB5900" t="str">
        <f>HYPERLINK("Melting_Curves/meltCurve_Q9NRL3_STRN4.pdf", "Melting_Curves/meltCurve_Q9NRL3_STRN4.pdf")</f>
        <v>Melting_Curves/meltCurve_Q9NRL3_STRN4.pdf</v>
      </c>
    </row>
    <row r="5901" spans="1:28" x14ac:dyDescent="0.25">
      <c r="A5901" t="s">
        <v>5905</v>
      </c>
      <c r="B5901">
        <v>0.99193492352474899</v>
      </c>
      <c r="C5901">
        <v>0.94502805136342005</v>
      </c>
      <c r="D5901">
        <v>0.96996268703063104</v>
      </c>
      <c r="E5901">
        <v>0.786755594324276</v>
      </c>
      <c r="F5901">
        <v>0.417285109825419</v>
      </c>
      <c r="G5901">
        <v>0.14255510841333799</v>
      </c>
      <c r="H5901">
        <v>8.4778867159910606E-2</v>
      </c>
      <c r="I5901">
        <v>0.103580198841052</v>
      </c>
      <c r="J5901">
        <v>0.11842804350191299</v>
      </c>
      <c r="K5901">
        <v>0.13688782716685899</v>
      </c>
      <c r="L5901">
        <v>1438.96881262294</v>
      </c>
      <c r="M5901">
        <v>27.774202453720399</v>
      </c>
      <c r="N5901">
        <v>52.237112012305701</v>
      </c>
      <c r="O5901">
        <v>51.543194543889101</v>
      </c>
      <c r="P5901">
        <v>-0.12101761160847201</v>
      </c>
      <c r="Q5901">
        <v>0.10167298317074901</v>
      </c>
      <c r="R5901">
        <v>0.99537428989160803</v>
      </c>
      <c r="S5901" t="s">
        <v>12571</v>
      </c>
      <c r="T5901" t="s">
        <v>13338</v>
      </c>
      <c r="U5901" t="s">
        <v>13338</v>
      </c>
      <c r="V5901" t="s">
        <v>13338</v>
      </c>
      <c r="W5901" t="s">
        <v>19179</v>
      </c>
      <c r="X5901">
        <v>13</v>
      </c>
      <c r="Y5901" t="s">
        <v>25670</v>
      </c>
      <c r="Z5901" t="s">
        <v>32316</v>
      </c>
      <c r="AA5901">
        <v>0.46196611739684118</v>
      </c>
      <c r="AB5901" t="str">
        <f>HYPERLINK("Melting_Curves/meltCurve_Q9NRN7_AASDHPPT.pdf", "Melting_Curves/meltCurve_Q9NRN7_AASDHPPT.pdf")</f>
        <v>Melting_Curves/meltCurve_Q9NRN7_AASDHPPT.pdf</v>
      </c>
    </row>
    <row r="5902" spans="1:28" x14ac:dyDescent="0.25">
      <c r="A5902" t="s">
        <v>5906</v>
      </c>
      <c r="B5902">
        <v>0.99193492352474899</v>
      </c>
      <c r="C5902">
        <v>0.89906328727572504</v>
      </c>
      <c r="D5902">
        <v>0.85697706982919397</v>
      </c>
      <c r="E5902">
        <v>0.85933375431623404</v>
      </c>
      <c r="F5902">
        <v>0.81178144301703403</v>
      </c>
      <c r="G5902">
        <v>0.58902300374587202</v>
      </c>
      <c r="H5902">
        <v>0.498025508169961</v>
      </c>
      <c r="I5902">
        <v>0.50444570855895299</v>
      </c>
      <c r="J5902">
        <v>0.40017679550100799</v>
      </c>
      <c r="K5902">
        <v>0.403062967020971</v>
      </c>
      <c r="L5902">
        <v>433.06051848897198</v>
      </c>
      <c r="M5902">
        <v>7.4645857586835502</v>
      </c>
      <c r="N5902">
        <v>62.619496316679196</v>
      </c>
      <c r="O5902">
        <v>54.288970743407901</v>
      </c>
      <c r="P5902">
        <v>-2.7154474607983099E-2</v>
      </c>
      <c r="Q5902">
        <v>0.211190258607384</v>
      </c>
      <c r="R5902">
        <v>0.96125573968602396</v>
      </c>
      <c r="S5902" t="s">
        <v>12572</v>
      </c>
      <c r="T5902" t="s">
        <v>13338</v>
      </c>
      <c r="U5902" t="s">
        <v>13338</v>
      </c>
      <c r="V5902" t="s">
        <v>13338</v>
      </c>
      <c r="W5902" t="s">
        <v>19180</v>
      </c>
      <c r="X5902">
        <v>9</v>
      </c>
      <c r="Y5902" t="s">
        <v>25671</v>
      </c>
      <c r="Z5902" t="s">
        <v>32317</v>
      </c>
      <c r="AA5902">
        <v>0.68557147045868694</v>
      </c>
      <c r="AB5902" t="str">
        <f>HYPERLINK("Melting_Curves/meltCurve_Q9NRN9_METTL5.pdf", "Melting_Curves/meltCurve_Q9NRN9_METTL5.pdf")</f>
        <v>Melting_Curves/meltCurve_Q9NRN9_METTL5.pdf</v>
      </c>
    </row>
    <row r="5903" spans="1:28" x14ac:dyDescent="0.25">
      <c r="A5903" t="s">
        <v>5907</v>
      </c>
      <c r="B5903">
        <v>0.99193492352474899</v>
      </c>
      <c r="C5903">
        <v>1.0496272690897701</v>
      </c>
      <c r="D5903">
        <v>1.15998291987197</v>
      </c>
      <c r="E5903">
        <v>0.91423199266726796</v>
      </c>
      <c r="F5903">
        <v>0.59733784378535904</v>
      </c>
      <c r="G5903">
        <v>0.29333923218298202</v>
      </c>
      <c r="H5903">
        <v>0.15716849849255399</v>
      </c>
      <c r="I5903">
        <v>0.12710617723751499</v>
      </c>
      <c r="J5903">
        <v>0.125772401470056</v>
      </c>
      <c r="K5903">
        <v>8.99313589564915E-2</v>
      </c>
      <c r="L5903">
        <v>1497.4105953436499</v>
      </c>
      <c r="M5903">
        <v>27.886200579851501</v>
      </c>
      <c r="N5903">
        <v>54.207576642762902</v>
      </c>
      <c r="O5903">
        <v>53.4233336185982</v>
      </c>
      <c r="P5903">
        <v>-0.115430256618736</v>
      </c>
      <c r="Q5903">
        <v>0.115460026617812</v>
      </c>
      <c r="R5903">
        <v>0.98135786144208403</v>
      </c>
      <c r="S5903" t="s">
        <v>12573</v>
      </c>
      <c r="T5903" t="s">
        <v>13338</v>
      </c>
      <c r="U5903" t="s">
        <v>13338</v>
      </c>
      <c r="V5903" t="s">
        <v>13338</v>
      </c>
      <c r="W5903" t="s">
        <v>19181</v>
      </c>
      <c r="X5903">
        <v>1</v>
      </c>
      <c r="Y5903" t="s">
        <v>25672</v>
      </c>
      <c r="Z5903" t="s">
        <v>32318</v>
      </c>
      <c r="AA5903">
        <v>0.52597969155975588</v>
      </c>
      <c r="AB5903" t="str">
        <f>HYPERLINK("Melting_Curves/meltCurve_Q9NRP0_OSTC.pdf", "Melting_Curves/meltCurve_Q9NRP0_OSTC.pdf")</f>
        <v>Melting_Curves/meltCurve_Q9NRP0_OSTC.pdf</v>
      </c>
    </row>
    <row r="5904" spans="1:28" x14ac:dyDescent="0.25">
      <c r="A5904" t="s">
        <v>5908</v>
      </c>
      <c r="B5904">
        <v>0.99193492352474899</v>
      </c>
      <c r="C5904">
        <v>0.89536713570089199</v>
      </c>
      <c r="D5904">
        <v>0.92406910819066301</v>
      </c>
      <c r="E5904">
        <v>0.78804544491609796</v>
      </c>
      <c r="F5904">
        <v>0.59205028091600598</v>
      </c>
      <c r="G5904">
        <v>0.419741615007788</v>
      </c>
      <c r="H5904">
        <v>0.36816427367134202</v>
      </c>
      <c r="I5904">
        <v>0.45854034578240499</v>
      </c>
      <c r="J5904">
        <v>0.559935005716795</v>
      </c>
      <c r="K5904">
        <v>0.67356736454961497</v>
      </c>
      <c r="L5904">
        <v>1379.87414314956</v>
      </c>
      <c r="M5904">
        <v>27.6653323636625</v>
      </c>
      <c r="N5904">
        <v>61.009706001156196</v>
      </c>
      <c r="O5904">
        <v>49.618956686464998</v>
      </c>
      <c r="P5904">
        <v>-7.0142670338243604E-2</v>
      </c>
      <c r="Q5904">
        <v>0.49678905616045699</v>
      </c>
      <c r="R5904">
        <v>0.83412840455264203</v>
      </c>
      <c r="S5904" t="s">
        <v>12574</v>
      </c>
      <c r="T5904" t="s">
        <v>13338</v>
      </c>
      <c r="U5904" t="s">
        <v>13338</v>
      </c>
      <c r="V5904" t="s">
        <v>13338</v>
      </c>
      <c r="W5904" t="s">
        <v>19182</v>
      </c>
      <c r="X5904">
        <v>4</v>
      </c>
      <c r="Y5904" t="s">
        <v>25673</v>
      </c>
      <c r="Z5904" t="s">
        <v>32319</v>
      </c>
      <c r="AA5904">
        <v>0.66612948611472234</v>
      </c>
      <c r="AB5904" t="str">
        <f>HYPERLINK("Melting_Curves/meltCurve_Q9NRP2_CMC2.pdf", "Melting_Curves/meltCurve_Q9NRP2_CMC2.pdf")</f>
        <v>Melting_Curves/meltCurve_Q9NRP2_CMC2.pdf</v>
      </c>
    </row>
    <row r="5905" spans="1:28" x14ac:dyDescent="0.25">
      <c r="A5905" t="s">
        <v>5909</v>
      </c>
      <c r="B5905">
        <v>0.99193492352474899</v>
      </c>
      <c r="C5905">
        <v>0.73832287504671001</v>
      </c>
      <c r="D5905">
        <v>0.85797911025001805</v>
      </c>
      <c r="E5905">
        <v>0.43351966574071499</v>
      </c>
      <c r="F5905">
        <v>0.21344768656188201</v>
      </c>
      <c r="G5905">
        <v>0.104385580529315</v>
      </c>
      <c r="H5905">
        <v>8.1163862000788595E-2</v>
      </c>
      <c r="I5905">
        <v>7.4670237406266299E-2</v>
      </c>
      <c r="J5905">
        <v>6.3939708677334006E-2</v>
      </c>
      <c r="K5905">
        <v>8.2317190881224606E-2</v>
      </c>
      <c r="L5905">
        <v>822.18207070490598</v>
      </c>
      <c r="M5905">
        <v>16.895043096261201</v>
      </c>
      <c r="N5905">
        <v>48.980728395363101</v>
      </c>
      <c r="O5905">
        <v>47.997664863256801</v>
      </c>
      <c r="P5905">
        <v>-8.3452261733982097E-2</v>
      </c>
      <c r="Q5905">
        <v>5.17313203448286E-2</v>
      </c>
      <c r="R5905">
        <v>0.96200672578372604</v>
      </c>
      <c r="S5905" t="s">
        <v>12575</v>
      </c>
      <c r="T5905" t="s">
        <v>13338</v>
      </c>
      <c r="U5905" t="s">
        <v>13338</v>
      </c>
      <c r="V5905" t="s">
        <v>13338</v>
      </c>
      <c r="W5905" t="s">
        <v>19183</v>
      </c>
      <c r="X5905">
        <v>2</v>
      </c>
      <c r="Y5905" t="s">
        <v>25674</v>
      </c>
      <c r="Z5905" t="s">
        <v>32320</v>
      </c>
      <c r="AA5905">
        <v>0.34437879279919331</v>
      </c>
      <c r="AB5905" t="str">
        <f>HYPERLINK("Melting_Curves/meltCurve_Q9NRP4_ACN9.pdf", "Melting_Curves/meltCurve_Q9NRP4_ACN9.pdf")</f>
        <v>Melting_Curves/meltCurve_Q9NRP4_ACN9.pdf</v>
      </c>
    </row>
    <row r="5906" spans="1:28" x14ac:dyDescent="0.25">
      <c r="A5906" t="s">
        <v>5910</v>
      </c>
      <c r="B5906">
        <v>0.99193492352474899</v>
      </c>
      <c r="C5906">
        <v>0.77223440074372496</v>
      </c>
      <c r="D5906">
        <v>0.89590353361806396</v>
      </c>
      <c r="E5906">
        <v>0.65154261223975896</v>
      </c>
      <c r="F5906">
        <v>0.71417810045684804</v>
      </c>
      <c r="G5906">
        <v>0.437876666707256</v>
      </c>
      <c r="H5906">
        <v>0.33047268147428599</v>
      </c>
      <c r="I5906">
        <v>0.33001630732242998</v>
      </c>
      <c r="J5906">
        <v>0.47150914486642198</v>
      </c>
      <c r="K5906">
        <v>0.54297754568492496</v>
      </c>
      <c r="L5906">
        <v>568.84044366152</v>
      </c>
      <c r="M5906">
        <v>11.5214788326633</v>
      </c>
      <c r="N5906">
        <v>56.932553742589498</v>
      </c>
      <c r="O5906">
        <v>47.955083727666</v>
      </c>
      <c r="P5906">
        <v>-3.6545244221362599E-2</v>
      </c>
      <c r="Q5906">
        <v>0.39173231524809798</v>
      </c>
      <c r="R5906">
        <v>0.79827856689772503</v>
      </c>
      <c r="S5906" t="s">
        <v>12576</v>
      </c>
      <c r="T5906" t="s">
        <v>13338</v>
      </c>
      <c r="U5906" t="s">
        <v>13338</v>
      </c>
      <c r="V5906" t="s">
        <v>13338</v>
      </c>
      <c r="W5906" t="s">
        <v>19184</v>
      </c>
      <c r="X5906">
        <v>13</v>
      </c>
      <c r="Y5906" t="s">
        <v>25675</v>
      </c>
      <c r="Z5906" t="s">
        <v>32321</v>
      </c>
      <c r="AA5906">
        <v>0.60509300863113991</v>
      </c>
      <c r="AB5906" t="str">
        <f>HYPERLINK("Melting_Curves/meltCurve_Q9NRR5_UBQLN4.pdf", "Melting_Curves/meltCurve_Q9NRR5_UBQLN4.pdf")</f>
        <v>Melting_Curves/meltCurve_Q9NRR5_UBQLN4.pdf</v>
      </c>
    </row>
    <row r="5907" spans="1:28" x14ac:dyDescent="0.25">
      <c r="A5907" t="s">
        <v>5911</v>
      </c>
      <c r="B5907">
        <v>0.99193492352474899</v>
      </c>
      <c r="C5907">
        <v>0.95074120181050403</v>
      </c>
      <c r="D5907">
        <v>0.89665648157411504</v>
      </c>
      <c r="E5907">
        <v>0.83811915741304699</v>
      </c>
      <c r="F5907">
        <v>0.73734401241091196</v>
      </c>
      <c r="G5907">
        <v>0.620601574918073</v>
      </c>
      <c r="H5907">
        <v>0.213298938981032</v>
      </c>
      <c r="I5907">
        <v>0.22487472989250901</v>
      </c>
      <c r="J5907">
        <v>0.19672031430727999</v>
      </c>
      <c r="K5907">
        <v>0.18597767748042601</v>
      </c>
      <c r="L5907">
        <v>761.66730303337999</v>
      </c>
      <c r="M5907">
        <v>13.5185143747099</v>
      </c>
      <c r="N5907">
        <v>57.158102329235298</v>
      </c>
      <c r="O5907">
        <v>55.152517439774101</v>
      </c>
      <c r="P5907">
        <v>-5.59113671813233E-2</v>
      </c>
      <c r="Q5907">
        <v>8.7715249273890003E-2</v>
      </c>
      <c r="R5907">
        <v>0.96823607677239398</v>
      </c>
      <c r="S5907" t="s">
        <v>12577</v>
      </c>
      <c r="T5907" t="s">
        <v>13338</v>
      </c>
      <c r="U5907" t="s">
        <v>13338</v>
      </c>
      <c r="V5907" t="s">
        <v>13338</v>
      </c>
      <c r="W5907" t="s">
        <v>19185</v>
      </c>
      <c r="X5907">
        <v>1</v>
      </c>
      <c r="Y5907" t="s">
        <v>25676</v>
      </c>
      <c r="Z5907" t="s">
        <v>32322</v>
      </c>
      <c r="AA5907">
        <v>0.60140509460276947</v>
      </c>
      <c r="AB5907" t="str">
        <f>HYPERLINK("Melting_Curves/meltCurve_Q9NRR8_CDC42SE1.pdf", "Melting_Curves/meltCurve_Q9NRR8_CDC42SE1.pdf")</f>
        <v>Melting_Curves/meltCurve_Q9NRR8_CDC42SE1.pdf</v>
      </c>
    </row>
    <row r="5908" spans="1:28" x14ac:dyDescent="0.25">
      <c r="A5908" t="s">
        <v>5912</v>
      </c>
      <c r="B5908">
        <v>0.99193492352474899</v>
      </c>
      <c r="C5908">
        <v>0.90784423297021899</v>
      </c>
      <c r="D5908">
        <v>0.39369856555672</v>
      </c>
      <c r="E5908">
        <v>0.20060398745917901</v>
      </c>
      <c r="F5908">
        <v>0.13687910834695999</v>
      </c>
      <c r="G5908">
        <v>9.0909544293924005E-2</v>
      </c>
      <c r="H5908">
        <v>6.8226778425041101E-2</v>
      </c>
      <c r="I5908">
        <v>0.105299077847228</v>
      </c>
      <c r="J5908">
        <v>0.110297785433254</v>
      </c>
      <c r="K5908">
        <v>0.17833290457211401</v>
      </c>
      <c r="L5908">
        <v>1716.63343943052</v>
      </c>
      <c r="M5908">
        <v>38.042437949500197</v>
      </c>
      <c r="N5908">
        <v>45.456739961135902</v>
      </c>
      <c r="O5908">
        <v>45.000033823645303</v>
      </c>
      <c r="P5908">
        <v>-0.18567403709153199</v>
      </c>
      <c r="Q5908">
        <v>0.121474314005803</v>
      </c>
      <c r="R5908">
        <v>0.99006946224106696</v>
      </c>
      <c r="S5908" t="s">
        <v>12578</v>
      </c>
      <c r="T5908" t="s">
        <v>13338</v>
      </c>
      <c r="U5908" t="s">
        <v>13338</v>
      </c>
      <c r="V5908" t="s">
        <v>13338</v>
      </c>
      <c r="W5908" t="s">
        <v>19186</v>
      </c>
      <c r="X5908">
        <v>6</v>
      </c>
      <c r="Y5908" t="s">
        <v>25677</v>
      </c>
      <c r="Z5908" t="s">
        <v>32323</v>
      </c>
      <c r="AA5908">
        <v>0.27476342397999459</v>
      </c>
      <c r="AB5908" t="str">
        <f>HYPERLINK("Melting_Curves/meltCurve_Q9NRS6_SNX15.pdf", "Melting_Curves/meltCurve_Q9NRS6_SNX15.pdf")</f>
        <v>Melting_Curves/meltCurve_Q9NRS6_SNX15.pdf</v>
      </c>
    </row>
    <row r="5909" spans="1:28" x14ac:dyDescent="0.25">
      <c r="A5909" t="s">
        <v>5913</v>
      </c>
      <c r="B5909">
        <v>0.99193492352474899</v>
      </c>
      <c r="C5909">
        <v>0.76599140264658205</v>
      </c>
      <c r="D5909">
        <v>0.87289882217660697</v>
      </c>
      <c r="E5909">
        <v>0.63769460924525101</v>
      </c>
      <c r="F5909">
        <v>0.370511398448366</v>
      </c>
      <c r="G5909">
        <v>0.16255013084379999</v>
      </c>
      <c r="H5909">
        <v>0.109585529275182</v>
      </c>
      <c r="I5909">
        <v>0.11693077685983699</v>
      </c>
      <c r="J5909">
        <v>0.14518508007650699</v>
      </c>
      <c r="K5909">
        <v>0.18693846641365899</v>
      </c>
      <c r="L5909">
        <v>801.86443848049998</v>
      </c>
      <c r="M5909">
        <v>15.989012431057599</v>
      </c>
      <c r="N5909">
        <v>50.914720556786598</v>
      </c>
      <c r="O5909">
        <v>49.386148066567202</v>
      </c>
      <c r="P5909">
        <v>-7.2314336666407894E-2</v>
      </c>
      <c r="Q5909">
        <v>0.106625075863127</v>
      </c>
      <c r="R5909">
        <v>0.95585308091246801</v>
      </c>
      <c r="S5909" t="s">
        <v>12579</v>
      </c>
      <c r="T5909" t="s">
        <v>13338</v>
      </c>
      <c r="U5909" t="s">
        <v>13338</v>
      </c>
      <c r="V5909" t="s">
        <v>13338</v>
      </c>
      <c r="W5909" t="s">
        <v>19187</v>
      </c>
      <c r="X5909">
        <v>9</v>
      </c>
      <c r="Y5909" t="s">
        <v>25678</v>
      </c>
      <c r="Z5909" t="s">
        <v>32324</v>
      </c>
      <c r="AA5909">
        <v>0.42783574366907018</v>
      </c>
      <c r="AB5909" t="str">
        <f>HYPERLINK("Melting_Curves/meltCurve_Q9NRV9_HEBP1.pdf", "Melting_Curves/meltCurve_Q9NRV9_HEBP1.pdf")</f>
        <v>Melting_Curves/meltCurve_Q9NRV9_HEBP1.pdf</v>
      </c>
    </row>
    <row r="5910" spans="1:28" x14ac:dyDescent="0.25">
      <c r="A5910" t="s">
        <v>5914</v>
      </c>
      <c r="B5910">
        <v>0.99193492352474899</v>
      </c>
      <c r="C5910">
        <v>0.96375524159597004</v>
      </c>
      <c r="D5910">
        <v>1.0686621116020101</v>
      </c>
      <c r="E5910">
        <v>0.90295328284675802</v>
      </c>
      <c r="F5910">
        <v>0.82133474277940099</v>
      </c>
      <c r="G5910">
        <v>0.63861718886762298</v>
      </c>
      <c r="H5910">
        <v>0.54309529033146198</v>
      </c>
      <c r="I5910">
        <v>0.51450785090528195</v>
      </c>
      <c r="J5910">
        <v>0.59730264169754199</v>
      </c>
      <c r="K5910">
        <v>0.49000030391088301</v>
      </c>
      <c r="L5910">
        <v>1241.43588482113</v>
      </c>
      <c r="M5910">
        <v>22.980566715759799</v>
      </c>
      <c r="O5910">
        <v>53.617043782192603</v>
      </c>
      <c r="P5910">
        <v>-5.1069244635928102E-2</v>
      </c>
      <c r="Q5910">
        <v>0.52340073466859205</v>
      </c>
      <c r="R5910">
        <v>0.96316201244732502</v>
      </c>
      <c r="S5910" t="s">
        <v>12580</v>
      </c>
      <c r="T5910" t="s">
        <v>13338</v>
      </c>
      <c r="U5910" t="s">
        <v>13338</v>
      </c>
      <c r="V5910" t="s">
        <v>13338</v>
      </c>
      <c r="W5910" t="s">
        <v>19188</v>
      </c>
      <c r="X5910">
        <v>8</v>
      </c>
      <c r="Y5910" t="s">
        <v>25679</v>
      </c>
      <c r="Z5910" t="s">
        <v>32325</v>
      </c>
      <c r="AA5910">
        <v>0.75127570542399735</v>
      </c>
      <c r="AB5910" t="str">
        <f>HYPERLINK("Melting_Curves/meltCurve_Q9NRW1_RAB6B.pdf", "Melting_Curves/meltCurve_Q9NRW1_RAB6B.pdf")</f>
        <v>Melting_Curves/meltCurve_Q9NRW1_RAB6B.pdf</v>
      </c>
    </row>
    <row r="5911" spans="1:28" x14ac:dyDescent="0.25">
      <c r="A5911" t="s">
        <v>5915</v>
      </c>
      <c r="B5911">
        <v>0.99193492352474899</v>
      </c>
      <c r="C5911">
        <v>0.90706263204537396</v>
      </c>
      <c r="D5911">
        <v>0.86325115528028895</v>
      </c>
      <c r="E5911">
        <v>0.356616194514698</v>
      </c>
      <c r="F5911">
        <v>0.20672173019286899</v>
      </c>
      <c r="G5911">
        <v>0.108130228100666</v>
      </c>
      <c r="H5911">
        <v>7.0811402783124797E-2</v>
      </c>
      <c r="I5911">
        <v>0.10114512240054099</v>
      </c>
      <c r="J5911">
        <v>0.12561644673944</v>
      </c>
      <c r="K5911">
        <v>0.154482852302919</v>
      </c>
      <c r="L5911">
        <v>1457.7958639011399</v>
      </c>
      <c r="M5911">
        <v>30.238060347922499</v>
      </c>
      <c r="N5911">
        <v>48.6320657052987</v>
      </c>
      <c r="O5911">
        <v>48.001253373187403</v>
      </c>
      <c r="P5911">
        <v>-0.13933431072041999</v>
      </c>
      <c r="Q5911">
        <v>0.115263626264998</v>
      </c>
      <c r="R5911">
        <v>0.98993273283391803</v>
      </c>
      <c r="S5911" t="s">
        <v>12581</v>
      </c>
      <c r="T5911" t="s">
        <v>13338</v>
      </c>
      <c r="U5911" t="s">
        <v>13338</v>
      </c>
      <c r="V5911" t="s">
        <v>13338</v>
      </c>
      <c r="W5911" t="s">
        <v>19189</v>
      </c>
      <c r="X5911">
        <v>14</v>
      </c>
      <c r="Y5911" t="s">
        <v>25680</v>
      </c>
      <c r="Z5911" t="s">
        <v>32326</v>
      </c>
      <c r="AA5911">
        <v>0.36265367387345188</v>
      </c>
      <c r="AB5911" t="str">
        <f>HYPERLINK("Melting_Curves/meltCurve_Q9NRW7_VPS45.pdf", "Melting_Curves/meltCurve_Q9NRW7_VPS45.pdf")</f>
        <v>Melting_Curves/meltCurve_Q9NRW7_VPS45.pdf</v>
      </c>
    </row>
    <row r="5912" spans="1:28" x14ac:dyDescent="0.25">
      <c r="A5912" t="s">
        <v>5916</v>
      </c>
      <c r="B5912">
        <v>0.99193492352474899</v>
      </c>
      <c r="C5912">
        <v>0.33547519506926099</v>
      </c>
      <c r="D5912">
        <v>0.72593873346646498</v>
      </c>
      <c r="E5912">
        <v>0.17615370182161399</v>
      </c>
      <c r="F5912">
        <v>0.103756490892946</v>
      </c>
      <c r="G5912">
        <v>7.0858571918918201E-2</v>
      </c>
      <c r="H5912">
        <v>5.12401249974931E-2</v>
      </c>
      <c r="I5912">
        <v>5.4674255693045501E-2</v>
      </c>
      <c r="J5912">
        <v>4.3986711222125698E-2</v>
      </c>
      <c r="K5912">
        <v>4.1430759190221399E-2</v>
      </c>
      <c r="L5912">
        <v>554.80233483525205</v>
      </c>
      <c r="M5912">
        <v>12.315651127203401</v>
      </c>
      <c r="N5912">
        <v>45.163411253430198</v>
      </c>
      <c r="O5912">
        <v>43.910240764512302</v>
      </c>
      <c r="P5912">
        <v>-6.9052371783979494E-2</v>
      </c>
      <c r="Q5912">
        <v>1.54168841817066E-2</v>
      </c>
      <c r="R5912">
        <v>0.7848732705725</v>
      </c>
      <c r="S5912" t="s">
        <v>12582</v>
      </c>
      <c r="T5912" t="s">
        <v>13338</v>
      </c>
      <c r="U5912" t="s">
        <v>13338</v>
      </c>
      <c r="V5912" t="s">
        <v>13338</v>
      </c>
      <c r="W5912" t="s">
        <v>19190</v>
      </c>
      <c r="X5912">
        <v>5</v>
      </c>
      <c r="Y5912" t="s">
        <v>25681</v>
      </c>
      <c r="Z5912" t="s">
        <v>32327</v>
      </c>
      <c r="AA5912">
        <v>0.22773225617678219</v>
      </c>
      <c r="AB5912" t="str">
        <f>HYPERLINK("Melting_Curves/meltCurve_Q9NRX1_PNO1.pdf", "Melting_Curves/meltCurve_Q9NRX1_PNO1.pdf")</f>
        <v>Melting_Curves/meltCurve_Q9NRX1_PNO1.pdf</v>
      </c>
    </row>
    <row r="5913" spans="1:28" x14ac:dyDescent="0.25">
      <c r="A5913" t="s">
        <v>5917</v>
      </c>
      <c r="B5913">
        <v>0.99193492352474899</v>
      </c>
      <c r="C5913">
        <v>1.65934631441332</v>
      </c>
      <c r="D5913">
        <v>0.82473065523259903</v>
      </c>
      <c r="E5913">
        <v>1.4575488000986301</v>
      </c>
      <c r="F5913">
        <v>0.51091417485167001</v>
      </c>
      <c r="G5913">
        <v>0.33897423232707002</v>
      </c>
      <c r="H5913">
        <v>0.18749454338131599</v>
      </c>
      <c r="I5913">
        <v>0.31341073723253199</v>
      </c>
      <c r="J5913">
        <v>0.25098000411347299</v>
      </c>
      <c r="K5913">
        <v>0.31592418579250697</v>
      </c>
      <c r="L5913">
        <v>13259.7603650414</v>
      </c>
      <c r="M5913">
        <v>250</v>
      </c>
      <c r="N5913">
        <v>53.215088132039398</v>
      </c>
      <c r="O5913">
        <v>53.035648350861798</v>
      </c>
      <c r="P5913">
        <v>-0.84688708868741502</v>
      </c>
      <c r="Q5913">
        <v>0.28135672164095898</v>
      </c>
      <c r="R5913">
        <v>0.72614660013799004</v>
      </c>
      <c r="S5913" t="s">
        <v>12583</v>
      </c>
      <c r="T5913" t="s">
        <v>13338</v>
      </c>
      <c r="U5913" t="s">
        <v>13338</v>
      </c>
      <c r="V5913" t="s">
        <v>13338</v>
      </c>
      <c r="W5913" t="s">
        <v>19191</v>
      </c>
      <c r="X5913">
        <v>3</v>
      </c>
      <c r="Y5913" t="s">
        <v>25682</v>
      </c>
      <c r="Z5913" t="s">
        <v>32328</v>
      </c>
      <c r="AA5913">
        <v>0.59377093161186856</v>
      </c>
      <c r="AB5913" t="str">
        <f>HYPERLINK("Melting_Curves/meltCurve_Q9NRX4_PHPT1.pdf", "Melting_Curves/meltCurve_Q9NRX4_PHPT1.pdf")</f>
        <v>Melting_Curves/meltCurve_Q9NRX4_PHPT1.pdf</v>
      </c>
    </row>
    <row r="5914" spans="1:28" x14ac:dyDescent="0.25">
      <c r="A5914" t="s">
        <v>5918</v>
      </c>
      <c r="B5914">
        <v>0.99193492352474899</v>
      </c>
      <c r="C5914">
        <v>0.81812023491825403</v>
      </c>
      <c r="D5914">
        <v>0.87985393863474504</v>
      </c>
      <c r="E5914">
        <v>0.60424485515932003</v>
      </c>
      <c r="F5914">
        <v>0.17725766253011399</v>
      </c>
      <c r="G5914">
        <v>0.156349831252793</v>
      </c>
      <c r="H5914">
        <v>0.18223741256432799</v>
      </c>
      <c r="I5914">
        <v>0.174514319529922</v>
      </c>
      <c r="J5914">
        <v>0.175398144912149</v>
      </c>
      <c r="K5914">
        <v>0</v>
      </c>
      <c r="L5914">
        <v>1183.44227308631</v>
      </c>
      <c r="M5914">
        <v>23.901983819491999</v>
      </c>
      <c r="N5914">
        <v>50.073501620222999</v>
      </c>
      <c r="O5914">
        <v>49.169633827684102</v>
      </c>
      <c r="P5914">
        <v>-0.107250536243814</v>
      </c>
      <c r="Q5914">
        <v>0.11749838232599499</v>
      </c>
      <c r="R5914">
        <v>0.95189730260019201</v>
      </c>
      <c r="S5914" t="s">
        <v>12584</v>
      </c>
      <c r="T5914" t="s">
        <v>13338</v>
      </c>
      <c r="U5914" t="s">
        <v>13338</v>
      </c>
      <c r="V5914" t="s">
        <v>13338</v>
      </c>
      <c r="W5914" t="s">
        <v>19192</v>
      </c>
      <c r="X5914">
        <v>1</v>
      </c>
      <c r="Y5914" t="s">
        <v>25683</v>
      </c>
      <c r="Z5914" t="s">
        <v>32329</v>
      </c>
      <c r="AA5914">
        <v>0.40592044896110002</v>
      </c>
      <c r="AB5914" t="str">
        <f>HYPERLINK("Melting_Curves/meltCurve_Q9NRX5_SERINC1.pdf", "Melting_Curves/meltCurve_Q9NRX5_SERINC1.pdf")</f>
        <v>Melting_Curves/meltCurve_Q9NRX5_SERINC1.pdf</v>
      </c>
    </row>
    <row r="5915" spans="1:28" x14ac:dyDescent="0.25">
      <c r="A5915" t="s">
        <v>5919</v>
      </c>
      <c r="B5915">
        <v>0.99193492352474899</v>
      </c>
      <c r="C5915">
        <v>0.92883129783424101</v>
      </c>
      <c r="D5915">
        <v>0.82822781244721</v>
      </c>
      <c r="E5915">
        <v>0.55155555145730994</v>
      </c>
      <c r="F5915">
        <v>0.43776661332712402</v>
      </c>
      <c r="G5915">
        <v>0.36934285454521898</v>
      </c>
      <c r="H5915">
        <v>0.35994696932349601</v>
      </c>
      <c r="I5915">
        <v>0.38187342685466602</v>
      </c>
      <c r="J5915">
        <v>0.55108182094235802</v>
      </c>
      <c r="K5915">
        <v>1.01335272737896</v>
      </c>
      <c r="L5915">
        <v>1860.6104232555101</v>
      </c>
      <c r="M5915">
        <v>39.962358064447699</v>
      </c>
      <c r="O5915">
        <v>46.442942417792104</v>
      </c>
      <c r="P5915">
        <v>-0.103663188575658</v>
      </c>
      <c r="Q5915">
        <v>0.51810516536641604</v>
      </c>
      <c r="R5915">
        <v>0.50916063296173697</v>
      </c>
      <c r="S5915" t="s">
        <v>12585</v>
      </c>
      <c r="T5915" t="s">
        <v>13338</v>
      </c>
      <c r="U5915" t="s">
        <v>13338</v>
      </c>
      <c r="V5915" t="s">
        <v>13338</v>
      </c>
      <c r="W5915" t="s">
        <v>19193</v>
      </c>
      <c r="X5915">
        <v>4</v>
      </c>
      <c r="Y5915" t="s">
        <v>25684</v>
      </c>
      <c r="Z5915" t="s">
        <v>32330</v>
      </c>
      <c r="AA5915">
        <v>0.62503773682580244</v>
      </c>
      <c r="AB5915" t="str">
        <f>HYPERLINK("Melting_Curves/meltCurve_Q9NRY2_INIP.pdf", "Melting_Curves/meltCurve_Q9NRY2_INIP.pdf")</f>
        <v>Melting_Curves/meltCurve_Q9NRY2_INIP.pdf</v>
      </c>
    </row>
    <row r="5916" spans="1:28" x14ac:dyDescent="0.25">
      <c r="A5916" t="s">
        <v>5920</v>
      </c>
      <c r="B5916">
        <v>0.99193492352474899</v>
      </c>
      <c r="C5916">
        <v>0.78618223372772</v>
      </c>
      <c r="D5916">
        <v>0.49792362794635098</v>
      </c>
      <c r="E5916">
        <v>0.36374302856274499</v>
      </c>
      <c r="F5916">
        <v>0.241572587021645</v>
      </c>
      <c r="G5916">
        <v>0.169629759056801</v>
      </c>
      <c r="H5916">
        <v>0.119863820462804</v>
      </c>
      <c r="I5916">
        <v>0.116716873502555</v>
      </c>
      <c r="J5916">
        <v>0.15507962164102601</v>
      </c>
      <c r="K5916">
        <v>0.18062209184685599</v>
      </c>
      <c r="L5916">
        <v>789.37710657943603</v>
      </c>
      <c r="M5916">
        <v>17.283478105571401</v>
      </c>
      <c r="N5916">
        <v>46.604108774202103</v>
      </c>
      <c r="O5916">
        <v>45.074083076726197</v>
      </c>
      <c r="P5916">
        <v>-8.1862227610694796E-2</v>
      </c>
      <c r="Q5916">
        <v>0.14608594920597101</v>
      </c>
      <c r="R5916">
        <v>0.98518712983146595</v>
      </c>
      <c r="S5916" t="s">
        <v>12586</v>
      </c>
      <c r="T5916" t="s">
        <v>13338</v>
      </c>
      <c r="U5916" t="s">
        <v>13338</v>
      </c>
      <c r="V5916" t="s">
        <v>13338</v>
      </c>
      <c r="W5916" t="s">
        <v>19194</v>
      </c>
      <c r="X5916">
        <v>5</v>
      </c>
      <c r="Y5916" t="s">
        <v>25685</v>
      </c>
      <c r="Z5916" t="s">
        <v>32331</v>
      </c>
      <c r="AA5916">
        <v>0.32640554617114059</v>
      </c>
      <c r="AB5916" t="str">
        <f>HYPERLINK("Melting_Curves/meltCurve_Q9NRY4_ARHGAP35.pdf", "Melting_Curves/meltCurve_Q9NRY4_ARHGAP35.pdf")</f>
        <v>Melting_Curves/meltCurve_Q9NRY4_ARHGAP35.pdf</v>
      </c>
    </row>
    <row r="5917" spans="1:28" x14ac:dyDescent="0.25">
      <c r="A5917" t="s">
        <v>5921</v>
      </c>
      <c r="B5917">
        <v>0.99193492352474899</v>
      </c>
      <c r="C5917">
        <v>0.658948813981726</v>
      </c>
      <c r="D5917">
        <v>0.84506571741377801</v>
      </c>
      <c r="E5917">
        <v>0.39692939192863003</v>
      </c>
      <c r="F5917">
        <v>0.185148428100853</v>
      </c>
      <c r="G5917">
        <v>9.8647263732454096E-2</v>
      </c>
      <c r="H5917">
        <v>4.9736221366154597E-2</v>
      </c>
      <c r="I5917">
        <v>5.8318072940482801E-2</v>
      </c>
      <c r="J5917">
        <v>6.1646712502782801E-2</v>
      </c>
      <c r="K5917">
        <v>7.1077559978889496E-2</v>
      </c>
      <c r="L5917">
        <v>713.55555192484201</v>
      </c>
      <c r="M5917">
        <v>14.793033531383299</v>
      </c>
      <c r="N5917">
        <v>48.423373392020999</v>
      </c>
      <c r="O5917">
        <v>47.380196059316098</v>
      </c>
      <c r="P5917">
        <v>-7.5890894237621201E-2</v>
      </c>
      <c r="Q5917">
        <v>2.7828707523154701E-2</v>
      </c>
      <c r="R5917">
        <v>0.93596626194987098</v>
      </c>
      <c r="S5917" t="s">
        <v>12587</v>
      </c>
      <c r="T5917" t="s">
        <v>13338</v>
      </c>
      <c r="U5917" t="s">
        <v>13338</v>
      </c>
      <c r="V5917" t="s">
        <v>13338</v>
      </c>
      <c r="W5917" t="s">
        <v>19195</v>
      </c>
      <c r="X5917">
        <v>13</v>
      </c>
      <c r="Y5917" t="s">
        <v>25686</v>
      </c>
      <c r="Z5917" t="s">
        <v>32332</v>
      </c>
      <c r="AA5917">
        <v>0.32014873155163831</v>
      </c>
      <c r="AB5917" t="str">
        <f>HYPERLINK("Melting_Curves/meltCurve_Q9NRY5_FAM114A2.pdf", "Melting_Curves/meltCurve_Q9NRY5_FAM114A2.pdf")</f>
        <v>Melting_Curves/meltCurve_Q9NRY5_FAM114A2.pdf</v>
      </c>
    </row>
    <row r="5918" spans="1:28" x14ac:dyDescent="0.25">
      <c r="A5918" t="s">
        <v>5922</v>
      </c>
      <c r="B5918">
        <v>0.99193492352474899</v>
      </c>
      <c r="C5918">
        <v>0.89490937842802598</v>
      </c>
      <c r="D5918">
        <v>0.89333297202026596</v>
      </c>
      <c r="E5918">
        <v>0.60834303335033502</v>
      </c>
      <c r="F5918">
        <v>0.52795397373985897</v>
      </c>
      <c r="G5918">
        <v>0.23310755379312401</v>
      </c>
      <c r="H5918">
        <v>0.14688201588316199</v>
      </c>
      <c r="I5918">
        <v>0.17446780475280599</v>
      </c>
      <c r="J5918">
        <v>0.24085035311459199</v>
      </c>
      <c r="K5918">
        <v>0.17838320046053799</v>
      </c>
      <c r="L5918">
        <v>789.81988534488403</v>
      </c>
      <c r="M5918">
        <v>15.5529203014482</v>
      </c>
      <c r="N5918">
        <v>52.019906422194197</v>
      </c>
      <c r="O5918">
        <v>49.9654175117902</v>
      </c>
      <c r="P5918">
        <v>-6.5793974545783701E-2</v>
      </c>
      <c r="Q5918">
        <v>0.15459343012259699</v>
      </c>
      <c r="R5918">
        <v>0.97248011925030398</v>
      </c>
      <c r="S5918" t="s">
        <v>12588</v>
      </c>
      <c r="T5918" t="s">
        <v>13338</v>
      </c>
      <c r="U5918" t="s">
        <v>13338</v>
      </c>
      <c r="V5918" t="s">
        <v>13338</v>
      </c>
      <c r="W5918" t="s">
        <v>19196</v>
      </c>
      <c r="X5918">
        <v>2</v>
      </c>
      <c r="Y5918" t="s">
        <v>25687</v>
      </c>
      <c r="Z5918" t="s">
        <v>32333</v>
      </c>
      <c r="AA5918">
        <v>0.47694943542855062</v>
      </c>
      <c r="AB5918" t="str">
        <f>HYPERLINK("Melting_Curves/meltCurve_Q9NRY6_PLSCR3.pdf", "Melting_Curves/meltCurve_Q9NRY6_PLSCR3.pdf")</f>
        <v>Melting_Curves/meltCurve_Q9NRY6_PLSCR3.pdf</v>
      </c>
    </row>
    <row r="5919" spans="1:28" x14ac:dyDescent="0.25">
      <c r="A5919" t="s">
        <v>5923</v>
      </c>
      <c r="B5919">
        <v>0.99193492352474899</v>
      </c>
      <c r="C5919">
        <v>0.92119612491087199</v>
      </c>
      <c r="D5919">
        <v>0.96420551161504198</v>
      </c>
      <c r="E5919">
        <v>0.75089430733964002</v>
      </c>
      <c r="F5919">
        <v>0.38856390984691302</v>
      </c>
      <c r="G5919">
        <v>0.17931062205651199</v>
      </c>
      <c r="H5919">
        <v>0.116273024910198</v>
      </c>
      <c r="I5919">
        <v>0.16722178163746601</v>
      </c>
      <c r="J5919">
        <v>0.17523198800030201</v>
      </c>
      <c r="K5919">
        <v>0.21767084031193801</v>
      </c>
      <c r="L5919">
        <v>1458.8574054768201</v>
      </c>
      <c r="M5919">
        <v>28.526981644346598</v>
      </c>
      <c r="N5919">
        <v>51.851867297469099</v>
      </c>
      <c r="O5919">
        <v>50.890239245654698</v>
      </c>
      <c r="P5919">
        <v>-0.117422701929273</v>
      </c>
      <c r="Q5919">
        <v>0.162109494098861</v>
      </c>
      <c r="R5919">
        <v>0.989546809571624</v>
      </c>
      <c r="S5919" t="s">
        <v>12589</v>
      </c>
      <c r="T5919" t="s">
        <v>13338</v>
      </c>
      <c r="U5919" t="s">
        <v>13338</v>
      </c>
      <c r="V5919" t="s">
        <v>13338</v>
      </c>
      <c r="W5919" t="s">
        <v>19197</v>
      </c>
      <c r="X5919">
        <v>5</v>
      </c>
      <c r="Y5919" t="s">
        <v>25688</v>
      </c>
      <c r="Z5919" t="s">
        <v>32334</v>
      </c>
      <c r="AA5919">
        <v>0.47907263189554627</v>
      </c>
      <c r="AB5919" t="str">
        <f>HYPERLINK("Melting_Curves/meltCurve_Q9NRZ5_AGPAT4.pdf", "Melting_Curves/meltCurve_Q9NRZ5_AGPAT4.pdf")</f>
        <v>Melting_Curves/meltCurve_Q9NRZ5_AGPAT4.pdf</v>
      </c>
    </row>
    <row r="5920" spans="1:28" x14ac:dyDescent="0.25">
      <c r="A5920" t="s">
        <v>5924</v>
      </c>
      <c r="B5920">
        <v>0.99193492352474899</v>
      </c>
      <c r="C5920">
        <v>0.89692453799413796</v>
      </c>
      <c r="D5920">
        <v>1.0573135654236701</v>
      </c>
      <c r="E5920">
        <v>0.77264371083503003</v>
      </c>
      <c r="F5920">
        <v>0.38341446496200898</v>
      </c>
      <c r="G5920">
        <v>0.233423723530407</v>
      </c>
      <c r="H5920">
        <v>0.16660947838999901</v>
      </c>
      <c r="I5920">
        <v>0.27806842550230898</v>
      </c>
      <c r="J5920">
        <v>0.28309811682179398</v>
      </c>
      <c r="K5920">
        <v>0.43962096031187597</v>
      </c>
      <c r="L5920">
        <v>2153.72529050806</v>
      </c>
      <c r="M5920">
        <v>42.576466073566799</v>
      </c>
      <c r="N5920">
        <v>51.592204749615497</v>
      </c>
      <c r="O5920">
        <v>50.473666375662098</v>
      </c>
      <c r="P5920">
        <v>-0.15136097236285101</v>
      </c>
      <c r="Q5920">
        <v>0.282257877225223</v>
      </c>
      <c r="R5920">
        <v>0.94579595767267199</v>
      </c>
      <c r="S5920" t="s">
        <v>12590</v>
      </c>
      <c r="T5920" t="s">
        <v>13338</v>
      </c>
      <c r="U5920" t="s">
        <v>13338</v>
      </c>
      <c r="V5920" t="s">
        <v>13338</v>
      </c>
      <c r="W5920" t="s">
        <v>19198</v>
      </c>
      <c r="X5920">
        <v>1</v>
      </c>
      <c r="Y5920" t="s">
        <v>25689</v>
      </c>
      <c r="Z5920" t="s">
        <v>32335</v>
      </c>
      <c r="AA5920">
        <v>0.53771147802968688</v>
      </c>
      <c r="AB5920" t="str">
        <f>HYPERLINK("Melting_Curves/meltCurve_Q9NRZ7_2_AGPAT3.pdf", "Melting_Curves/meltCurve_Q9NRZ7_2_AGPAT3.pdf")</f>
        <v>Melting_Curves/meltCurve_Q9NRZ7_2_AGPAT3.pdf</v>
      </c>
    </row>
    <row r="5921" spans="1:28" x14ac:dyDescent="0.25">
      <c r="A5921" t="s">
        <v>5925</v>
      </c>
      <c r="B5921">
        <v>0.99193492352474899</v>
      </c>
      <c r="C5921">
        <v>0.64872227829755502</v>
      </c>
      <c r="D5921">
        <v>0.476341778230988</v>
      </c>
      <c r="E5921">
        <v>0.17967096967306601</v>
      </c>
      <c r="F5921">
        <v>0.127152518432117</v>
      </c>
      <c r="G5921">
        <v>8.1436621965774197E-2</v>
      </c>
      <c r="H5921">
        <v>6.4307228748336095E-2</v>
      </c>
      <c r="I5921">
        <v>8.8516045682563299E-2</v>
      </c>
      <c r="J5921">
        <v>0.11512288332137301</v>
      </c>
      <c r="K5921">
        <v>0.133577906034962</v>
      </c>
      <c r="L5921">
        <v>889.56790061156505</v>
      </c>
      <c r="M5921">
        <v>19.908599894632101</v>
      </c>
      <c r="N5921">
        <v>45.144042126308499</v>
      </c>
      <c r="O5921">
        <v>44.239097476554498</v>
      </c>
      <c r="P5921">
        <v>-0.10215173602052099</v>
      </c>
      <c r="Q5921">
        <v>9.2060548255315997E-2</v>
      </c>
      <c r="R5921">
        <v>0.97924942766274703</v>
      </c>
      <c r="S5921" t="s">
        <v>12591</v>
      </c>
      <c r="T5921" t="s">
        <v>13338</v>
      </c>
      <c r="U5921" t="s">
        <v>13338</v>
      </c>
      <c r="V5921" t="s">
        <v>13338</v>
      </c>
      <c r="W5921" t="s">
        <v>19199</v>
      </c>
      <c r="X5921">
        <v>21</v>
      </c>
      <c r="Y5921" t="s">
        <v>25690</v>
      </c>
      <c r="Z5921" t="s">
        <v>32336</v>
      </c>
      <c r="AA5921">
        <v>0.2499195807948372</v>
      </c>
      <c r="AB5921" t="str">
        <f>HYPERLINK("Melting_Curves/meltCurve_Q9NRZ9_2_HELLS.pdf", "Melting_Curves/meltCurve_Q9NRZ9_2_HELLS.pdf")</f>
        <v>Melting_Curves/meltCurve_Q9NRZ9_2_HELLS.pdf</v>
      </c>
    </row>
    <row r="5922" spans="1:28" x14ac:dyDescent="0.25">
      <c r="A5922" t="s">
        <v>5926</v>
      </c>
      <c r="B5922">
        <v>0.99193492352474899</v>
      </c>
      <c r="C5922">
        <v>1.2324247798607799</v>
      </c>
      <c r="D5922">
        <v>1.1674779345844299</v>
      </c>
      <c r="E5922">
        <v>1.1541544937283901</v>
      </c>
      <c r="F5922">
        <v>0.99790613317455501</v>
      </c>
      <c r="G5922">
        <v>0.83004612297675695</v>
      </c>
      <c r="H5922">
        <v>0.65962509969938798</v>
      </c>
      <c r="I5922">
        <v>0.55787944685291602</v>
      </c>
      <c r="J5922">
        <v>0.730199656403412</v>
      </c>
      <c r="K5922">
        <v>0.53965691647956104</v>
      </c>
      <c r="L5922">
        <v>2572.5598248291999</v>
      </c>
      <c r="M5922">
        <v>44.990498922129603</v>
      </c>
      <c r="O5922">
        <v>57.067440944573498</v>
      </c>
      <c r="P5922">
        <v>-7.6084346679267098E-2</v>
      </c>
      <c r="Q5922">
        <v>0.61396884759428605</v>
      </c>
      <c r="R5922">
        <v>0.78532811311329398</v>
      </c>
      <c r="S5922" t="s">
        <v>12592</v>
      </c>
      <c r="T5922" t="s">
        <v>13338</v>
      </c>
      <c r="U5922" t="s">
        <v>13338</v>
      </c>
      <c r="V5922" t="s">
        <v>13338</v>
      </c>
      <c r="W5922" t="s">
        <v>19200</v>
      </c>
      <c r="X5922">
        <v>3</v>
      </c>
      <c r="Y5922" t="s">
        <v>25691</v>
      </c>
      <c r="Z5922" t="s">
        <v>32337</v>
      </c>
      <c r="AA5922">
        <v>0.83623421229244921</v>
      </c>
      <c r="AB5922" t="str">
        <f>HYPERLINK("Melting_Curves/meltCurve_Q9NS69_TOMM22.pdf", "Melting_Curves/meltCurve_Q9NS69_TOMM22.pdf")</f>
        <v>Melting_Curves/meltCurve_Q9NS69_TOMM22.pdf</v>
      </c>
    </row>
    <row r="5923" spans="1:28" x14ac:dyDescent="0.25">
      <c r="A5923" t="s">
        <v>5927</v>
      </c>
      <c r="B5923">
        <v>0.99193492352474899</v>
      </c>
      <c r="C5923">
        <v>0.86672230170540698</v>
      </c>
      <c r="D5923">
        <v>0.98915942884368802</v>
      </c>
      <c r="E5923">
        <v>0.78430177354570196</v>
      </c>
      <c r="F5923">
        <v>0.78965035017063501</v>
      </c>
      <c r="G5923">
        <v>0.56119362758326397</v>
      </c>
      <c r="H5923">
        <v>0.38188562124550302</v>
      </c>
      <c r="I5923">
        <v>0.21238216048417999</v>
      </c>
      <c r="J5923">
        <v>0.18981796265345699</v>
      </c>
      <c r="K5923">
        <v>0.18209932576916299</v>
      </c>
      <c r="L5923">
        <v>616.40427953262804</v>
      </c>
      <c r="M5923">
        <v>10.652614530728099</v>
      </c>
      <c r="N5923">
        <v>57.960913570287801</v>
      </c>
      <c r="O5923">
        <v>55.936738860158897</v>
      </c>
      <c r="P5923">
        <v>-4.7208413823021503E-2</v>
      </c>
      <c r="Q5923">
        <v>8.8153402419311796E-3</v>
      </c>
      <c r="R5923">
        <v>0.97021345692070504</v>
      </c>
      <c r="S5923" t="s">
        <v>12593</v>
      </c>
      <c r="T5923" t="s">
        <v>13338</v>
      </c>
      <c r="U5923" t="s">
        <v>13338</v>
      </c>
      <c r="V5923" t="s">
        <v>13338</v>
      </c>
      <c r="W5923" t="s">
        <v>19201</v>
      </c>
      <c r="X5923">
        <v>14</v>
      </c>
      <c r="Y5923" t="s">
        <v>25692</v>
      </c>
      <c r="Z5923" t="s">
        <v>32338</v>
      </c>
      <c r="AA5923">
        <v>0.61080724869184067</v>
      </c>
      <c r="AB5923" t="str">
        <f>HYPERLINK("Melting_Curves/meltCurve_Q9NS86_LANCL2.pdf", "Melting_Curves/meltCurve_Q9NS86_LANCL2.pdf")</f>
        <v>Melting_Curves/meltCurve_Q9NS86_LANCL2.pdf</v>
      </c>
    </row>
    <row r="5924" spans="1:28" x14ac:dyDescent="0.25">
      <c r="A5924" t="s">
        <v>5928</v>
      </c>
      <c r="B5924">
        <v>0.99193492352474899</v>
      </c>
      <c r="C5924">
        <v>0.62509952838250704</v>
      </c>
      <c r="D5924">
        <v>0.20384574564961699</v>
      </c>
      <c r="E5924">
        <v>0.12941054379071701</v>
      </c>
      <c r="F5924">
        <v>8.79697313559544E-2</v>
      </c>
      <c r="G5924">
        <v>6.0127353377445202E-2</v>
      </c>
      <c r="H5924">
        <v>4.78681290600479E-2</v>
      </c>
      <c r="I5924">
        <v>5.3409107331353803E-2</v>
      </c>
      <c r="J5924">
        <v>5.6434608703192002E-2</v>
      </c>
      <c r="K5924">
        <v>9.7260327413919698E-2</v>
      </c>
      <c r="L5924">
        <v>1474.3077756115499</v>
      </c>
      <c r="M5924">
        <v>33.920455752494902</v>
      </c>
      <c r="N5924">
        <v>43.669871353582202</v>
      </c>
      <c r="O5924">
        <v>43.313462698093197</v>
      </c>
      <c r="P5924">
        <v>-0.18129879502238599</v>
      </c>
      <c r="Q5924">
        <v>7.3993027467686295E-2</v>
      </c>
      <c r="R5924">
        <v>0.99366893809007195</v>
      </c>
      <c r="S5924" t="s">
        <v>12594</v>
      </c>
      <c r="T5924" t="s">
        <v>13338</v>
      </c>
      <c r="U5924" t="s">
        <v>13338</v>
      </c>
      <c r="V5924" t="s">
        <v>13338</v>
      </c>
      <c r="W5924" t="s">
        <v>19202</v>
      </c>
      <c r="X5924">
        <v>20</v>
      </c>
      <c r="Y5924" t="s">
        <v>25693</v>
      </c>
      <c r="Z5924" t="s">
        <v>32339</v>
      </c>
      <c r="AA5924">
        <v>0.18643136360553211</v>
      </c>
      <c r="AB5924" t="str">
        <f>HYPERLINK("Melting_Curves/meltCurve_Q9NS87_KIF15.pdf", "Melting_Curves/meltCurve_Q9NS87_KIF15.pdf")</f>
        <v>Melting_Curves/meltCurve_Q9NS87_KIF15.pdf</v>
      </c>
    </row>
    <row r="5925" spans="1:28" x14ac:dyDescent="0.25">
      <c r="A5925" t="s">
        <v>5929</v>
      </c>
      <c r="B5925">
        <v>0.99193492352474899</v>
      </c>
      <c r="C5925">
        <v>0.70991386491245401</v>
      </c>
      <c r="D5925">
        <v>0.48785178291317699</v>
      </c>
      <c r="E5925">
        <v>0.33177907551117097</v>
      </c>
      <c r="F5925">
        <v>0.21760818173890201</v>
      </c>
      <c r="G5925">
        <v>0.16148269753543801</v>
      </c>
      <c r="H5925">
        <v>0.114440506011284</v>
      </c>
      <c r="I5925">
        <v>0.14110126957480401</v>
      </c>
      <c r="J5925">
        <v>0.16460504546278601</v>
      </c>
      <c r="K5925">
        <v>0.157451126516507</v>
      </c>
      <c r="L5925">
        <v>780.83193313554796</v>
      </c>
      <c r="M5925">
        <v>17.304214866102999</v>
      </c>
      <c r="N5925">
        <v>46.039004358318998</v>
      </c>
      <c r="O5925">
        <v>44.534101375760699</v>
      </c>
      <c r="P5925">
        <v>-8.3008070152164604E-2</v>
      </c>
      <c r="Q5925">
        <v>0.14553146663257899</v>
      </c>
      <c r="R5925">
        <v>0.98515835162087395</v>
      </c>
      <c r="S5925" t="s">
        <v>12595</v>
      </c>
      <c r="T5925" t="s">
        <v>13338</v>
      </c>
      <c r="U5925" t="s">
        <v>13338</v>
      </c>
      <c r="V5925" t="s">
        <v>13338</v>
      </c>
      <c r="W5925" t="s">
        <v>19203</v>
      </c>
      <c r="X5925">
        <v>10</v>
      </c>
      <c r="Y5925" t="s">
        <v>25694</v>
      </c>
      <c r="Z5925" t="s">
        <v>32340</v>
      </c>
      <c r="AA5925">
        <v>0.31133243994698212</v>
      </c>
      <c r="AB5925" t="str">
        <f>HYPERLINK("Melting_Curves/meltCurve_Q9NS91_RAD18.pdf", "Melting_Curves/meltCurve_Q9NS91_RAD18.pdf")</f>
        <v>Melting_Curves/meltCurve_Q9NS91_RAD18.pdf</v>
      </c>
    </row>
    <row r="5926" spans="1:28" x14ac:dyDescent="0.25">
      <c r="A5926" t="s">
        <v>5930</v>
      </c>
      <c r="B5926">
        <v>0.99193492352474899</v>
      </c>
      <c r="C5926">
        <v>1.0235308267827901</v>
      </c>
      <c r="D5926">
        <v>0.74947799941786297</v>
      </c>
      <c r="E5926">
        <v>0.81149651363644104</v>
      </c>
      <c r="F5926">
        <v>0.50873188837681704</v>
      </c>
      <c r="G5926">
        <v>0.41228229337616701</v>
      </c>
      <c r="H5926">
        <v>0.18465976470366399</v>
      </c>
      <c r="I5926">
        <v>0.13362019175786999</v>
      </c>
      <c r="J5926">
        <v>9.8003605934988899E-2</v>
      </c>
      <c r="K5926">
        <v>0.119167502042562</v>
      </c>
      <c r="L5926">
        <v>623.60131563757704</v>
      </c>
      <c r="M5926">
        <v>11.5890603250967</v>
      </c>
      <c r="N5926">
        <v>53.995725098548498</v>
      </c>
      <c r="O5926">
        <v>52.282152467919502</v>
      </c>
      <c r="P5926">
        <v>-5.43451907274701E-2</v>
      </c>
      <c r="Q5926">
        <v>1.9592663647873501E-2</v>
      </c>
      <c r="R5926">
        <v>0.97117270713909798</v>
      </c>
      <c r="S5926" t="s">
        <v>12596</v>
      </c>
      <c r="T5926" t="s">
        <v>13338</v>
      </c>
      <c r="U5926" t="s">
        <v>13338</v>
      </c>
      <c r="V5926" t="s">
        <v>13338</v>
      </c>
      <c r="W5926" t="s">
        <v>19204</v>
      </c>
      <c r="X5926">
        <v>1</v>
      </c>
      <c r="Y5926" t="s">
        <v>25695</v>
      </c>
      <c r="Z5926" t="s">
        <v>32341</v>
      </c>
      <c r="AA5926">
        <v>0.4978233507525624</v>
      </c>
      <c r="AB5926" t="str">
        <f>HYPERLINK("Melting_Curves/meltCurve_Q9NS93_TM7SF3.pdf", "Melting_Curves/meltCurve_Q9NS93_TM7SF3.pdf")</f>
        <v>Melting_Curves/meltCurve_Q9NS93_TM7SF3.pdf</v>
      </c>
    </row>
    <row r="5927" spans="1:28" x14ac:dyDescent="0.25">
      <c r="A5927" t="s">
        <v>5931</v>
      </c>
      <c r="B5927">
        <v>0.99193492352474899</v>
      </c>
      <c r="C5927">
        <v>0.93775555391475596</v>
      </c>
      <c r="D5927">
        <v>0.88111819913971001</v>
      </c>
      <c r="E5927">
        <v>0.88122312222636001</v>
      </c>
      <c r="F5927">
        <v>0.56596374646553305</v>
      </c>
      <c r="G5927">
        <v>0.45127903166685202</v>
      </c>
      <c r="H5927">
        <v>0.30151765218301202</v>
      </c>
      <c r="I5927">
        <v>0.34487491361385603</v>
      </c>
      <c r="J5927">
        <v>0.35873628012310199</v>
      </c>
      <c r="K5927">
        <v>0.38290961767890902</v>
      </c>
      <c r="L5927">
        <v>1154.97415402091</v>
      </c>
      <c r="M5927">
        <v>22.218210948090899</v>
      </c>
      <c r="N5927">
        <v>54.804888177624797</v>
      </c>
      <c r="O5927">
        <v>51.567605506470102</v>
      </c>
      <c r="P5927">
        <v>-7.1015749792461794E-2</v>
      </c>
      <c r="Q5927">
        <v>0.34071495370674498</v>
      </c>
      <c r="R5927">
        <v>0.97196449653376205</v>
      </c>
      <c r="S5927" t="s">
        <v>12597</v>
      </c>
      <c r="T5927" t="s">
        <v>13338</v>
      </c>
      <c r="U5927" t="s">
        <v>13338</v>
      </c>
      <c r="V5927" t="s">
        <v>13338</v>
      </c>
      <c r="W5927" t="s">
        <v>19205</v>
      </c>
      <c r="X5927">
        <v>4</v>
      </c>
      <c r="Y5927" t="s">
        <v>25696</v>
      </c>
      <c r="Z5927" t="s">
        <v>32342</v>
      </c>
      <c r="AA5927">
        <v>0.6115867348127052</v>
      </c>
      <c r="AB5927" t="str">
        <f>HYPERLINK("Melting_Curves/meltCurve_Q9NSA3_CTNNBIP1.pdf", "Melting_Curves/meltCurve_Q9NSA3_CTNNBIP1.pdf")</f>
        <v>Melting_Curves/meltCurve_Q9NSA3_CTNNBIP1.pdf</v>
      </c>
    </row>
    <row r="5928" spans="1:28" x14ac:dyDescent="0.25">
      <c r="A5928" t="s">
        <v>5932</v>
      </c>
      <c r="B5928">
        <v>0.99193492352474899</v>
      </c>
      <c r="C5928">
        <v>0.81379786718335101</v>
      </c>
      <c r="D5928">
        <v>0.79989440973964299</v>
      </c>
      <c r="E5928">
        <v>0.44604686884849798</v>
      </c>
      <c r="F5928">
        <v>0.25450365840158901</v>
      </c>
      <c r="G5928">
        <v>0.175289551360192</v>
      </c>
      <c r="H5928">
        <v>0.116227761224762</v>
      </c>
      <c r="I5928">
        <v>9.6004355658531701E-2</v>
      </c>
      <c r="J5928">
        <v>0.110655912566059</v>
      </c>
      <c r="K5928">
        <v>0.13738416444322399</v>
      </c>
      <c r="L5928">
        <v>803.39011101533799</v>
      </c>
      <c r="M5928">
        <v>16.593067168402101</v>
      </c>
      <c r="N5928">
        <v>49.072923144011902</v>
      </c>
      <c r="O5928">
        <v>47.730379514237399</v>
      </c>
      <c r="P5928">
        <v>-7.8274390158480894E-2</v>
      </c>
      <c r="Q5928">
        <v>9.9428128361031501E-2</v>
      </c>
      <c r="R5928">
        <v>0.98625616463936205</v>
      </c>
      <c r="S5928" t="s">
        <v>12598</v>
      </c>
      <c r="T5928" t="s">
        <v>13338</v>
      </c>
      <c r="U5928" t="s">
        <v>13338</v>
      </c>
      <c r="V5928" t="s">
        <v>13338</v>
      </c>
      <c r="W5928" t="s">
        <v>19206</v>
      </c>
      <c r="X5928">
        <v>5</v>
      </c>
      <c r="Y5928" t="s">
        <v>25697</v>
      </c>
      <c r="Z5928" t="s">
        <v>32343</v>
      </c>
      <c r="AA5928">
        <v>0.37073922229248979</v>
      </c>
      <c r="AB5928" t="str">
        <f>HYPERLINK("Melting_Curves/meltCurve_Q9NSB8_2_HOMER2.pdf", "Melting_Curves/meltCurve_Q9NSB8_2_HOMER2.pdf")</f>
        <v>Melting_Curves/meltCurve_Q9NSB8_2_HOMER2.pdf</v>
      </c>
    </row>
    <row r="5929" spans="1:28" x14ac:dyDescent="0.25">
      <c r="A5929" t="s">
        <v>5933</v>
      </c>
      <c r="B5929">
        <v>0.99193492352474899</v>
      </c>
      <c r="C5929">
        <v>0.68433132880238601</v>
      </c>
      <c r="D5929">
        <v>0.63049094908568604</v>
      </c>
      <c r="E5929">
        <v>0.28985538348020701</v>
      </c>
      <c r="F5929">
        <v>0.196002782832463</v>
      </c>
      <c r="G5929">
        <v>0.107925893667334</v>
      </c>
      <c r="H5929">
        <v>6.1731933332218401E-2</v>
      </c>
      <c r="I5929">
        <v>9.7833509828793103E-2</v>
      </c>
      <c r="J5929">
        <v>0.153087498345305</v>
      </c>
      <c r="K5929">
        <v>0.18307255418541199</v>
      </c>
      <c r="L5929">
        <v>759.69231060566301</v>
      </c>
      <c r="M5929">
        <v>16.537687222321601</v>
      </c>
      <c r="N5929">
        <v>46.630174898149399</v>
      </c>
      <c r="O5929">
        <v>45.281113423047202</v>
      </c>
      <c r="P5929">
        <v>-8.1361574041788898E-2</v>
      </c>
      <c r="Q5929">
        <v>0.108971195674476</v>
      </c>
      <c r="R5929">
        <v>0.96202180117957603</v>
      </c>
      <c r="S5929" t="s">
        <v>12599</v>
      </c>
      <c r="T5929" t="s">
        <v>13338</v>
      </c>
      <c r="U5929" t="s">
        <v>13338</v>
      </c>
      <c r="V5929" t="s">
        <v>13338</v>
      </c>
      <c r="W5929" t="s">
        <v>19207</v>
      </c>
      <c r="X5929">
        <v>8</v>
      </c>
      <c r="Y5929" t="s">
        <v>25698</v>
      </c>
      <c r="Z5929" t="s">
        <v>32344</v>
      </c>
      <c r="AA5929">
        <v>0.30651989616401559</v>
      </c>
      <c r="AB5929" t="str">
        <f>HYPERLINK("Melting_Curves/meltCurve_Q9NSC5_5_HOMER3.pdf", "Melting_Curves/meltCurve_Q9NSC5_5_HOMER3.pdf")</f>
        <v>Melting_Curves/meltCurve_Q9NSC5_5_HOMER3.pdf</v>
      </c>
    </row>
    <row r="5930" spans="1:28" x14ac:dyDescent="0.25">
      <c r="A5930" t="s">
        <v>5934</v>
      </c>
      <c r="B5930">
        <v>0.99193492352474899</v>
      </c>
      <c r="C5930">
        <v>0.88843745157513498</v>
      </c>
      <c r="D5930">
        <v>0.92286100759939205</v>
      </c>
      <c r="E5930">
        <v>0.55506708258167303</v>
      </c>
      <c r="F5930">
        <v>0.257243078107593</v>
      </c>
      <c r="G5930">
        <v>0.10793472831107</v>
      </c>
      <c r="H5930">
        <v>5.9169243344343599E-2</v>
      </c>
      <c r="I5930">
        <v>5.5391454800995298E-2</v>
      </c>
      <c r="J5930">
        <v>6.4513842955624498E-2</v>
      </c>
      <c r="K5930">
        <v>6.0398842768765303E-2</v>
      </c>
      <c r="L5930">
        <v>1117.24766426213</v>
      </c>
      <c r="M5930">
        <v>22.344616945500199</v>
      </c>
      <c r="N5930">
        <v>50.2489714149376</v>
      </c>
      <c r="O5930">
        <v>49.605425062097801</v>
      </c>
      <c r="P5930">
        <v>-0.10672978659735299</v>
      </c>
      <c r="Q5930">
        <v>5.2251947236222701E-2</v>
      </c>
      <c r="R5930">
        <v>0.99301392862381299</v>
      </c>
      <c r="S5930" t="s">
        <v>12600</v>
      </c>
      <c r="T5930" t="s">
        <v>13338</v>
      </c>
      <c r="U5930" t="s">
        <v>13338</v>
      </c>
      <c r="V5930" t="s">
        <v>13338</v>
      </c>
      <c r="W5930" t="s">
        <v>19208</v>
      </c>
      <c r="X5930">
        <v>39</v>
      </c>
      <c r="Y5930" t="s">
        <v>25699</v>
      </c>
      <c r="Z5930" t="s">
        <v>32345</v>
      </c>
      <c r="AA5930">
        <v>0.37879626317557252</v>
      </c>
      <c r="AB5930" t="str">
        <f>HYPERLINK("Melting_Curves/meltCurve_Q9NSD9_FARSB.pdf", "Melting_Curves/meltCurve_Q9NSD9_FARSB.pdf")</f>
        <v>Melting_Curves/meltCurve_Q9NSD9_FARSB.pdf</v>
      </c>
    </row>
    <row r="5931" spans="1:28" x14ac:dyDescent="0.25">
      <c r="A5931" t="s">
        <v>5935</v>
      </c>
      <c r="B5931">
        <v>0.99193492352474899</v>
      </c>
      <c r="C5931">
        <v>1.1060726527948299</v>
      </c>
      <c r="D5931">
        <v>1.0491649940957799</v>
      </c>
      <c r="E5931">
        <v>0.95782648153725203</v>
      </c>
      <c r="F5931">
        <v>0.77630877200325199</v>
      </c>
      <c r="G5931">
        <v>0.52018023509979106</v>
      </c>
      <c r="H5931">
        <v>0.13588423396652399</v>
      </c>
      <c r="I5931">
        <v>0.13445966062336601</v>
      </c>
      <c r="J5931">
        <v>0.138799177492959</v>
      </c>
      <c r="K5931">
        <v>0.138030357164802</v>
      </c>
      <c r="L5931">
        <v>1455.96021234675</v>
      </c>
      <c r="M5931">
        <v>26.035160973775302</v>
      </c>
      <c r="N5931">
        <v>56.451565736356699</v>
      </c>
      <c r="O5931">
        <v>55.596051596287097</v>
      </c>
      <c r="P5931">
        <v>-0.104407384833926</v>
      </c>
      <c r="Q5931">
        <v>0.108195135135062</v>
      </c>
      <c r="R5931">
        <v>0.98492232338311803</v>
      </c>
      <c r="S5931" t="s">
        <v>12601</v>
      </c>
      <c r="T5931" t="s">
        <v>13338</v>
      </c>
      <c r="U5931" t="s">
        <v>13338</v>
      </c>
      <c r="V5931" t="s">
        <v>13338</v>
      </c>
      <c r="W5931" t="s">
        <v>19209</v>
      </c>
      <c r="X5931">
        <v>35</v>
      </c>
      <c r="Y5931" t="s">
        <v>25700</v>
      </c>
      <c r="Z5931" t="s">
        <v>32346</v>
      </c>
      <c r="AA5931">
        <v>0.58918152324445416</v>
      </c>
      <c r="AB5931" t="str">
        <f>HYPERLINK("Melting_Curves/meltCurve_Q9NSE4_IARS2.pdf", "Melting_Curves/meltCurve_Q9NSE4_IARS2.pdf")</f>
        <v>Melting_Curves/meltCurve_Q9NSE4_IARS2.pdf</v>
      </c>
    </row>
    <row r="5932" spans="1:28" x14ac:dyDescent="0.25">
      <c r="A5932" t="s">
        <v>5936</v>
      </c>
      <c r="B5932">
        <v>0.99193492352474899</v>
      </c>
      <c r="C5932">
        <v>1.02038925410823</v>
      </c>
      <c r="D5932">
        <v>0.82288903458722995</v>
      </c>
      <c r="E5932">
        <v>0.59065078924742798</v>
      </c>
      <c r="F5932">
        <v>0.23850502709975799</v>
      </c>
      <c r="G5932">
        <v>0.20850171262914899</v>
      </c>
      <c r="H5932">
        <v>0.149154196437113</v>
      </c>
      <c r="I5932">
        <v>0.16412272357240501</v>
      </c>
      <c r="J5932">
        <v>0.17398936327093001</v>
      </c>
      <c r="K5932">
        <v>0.26043986566224903</v>
      </c>
      <c r="L5932">
        <v>1241.7673190220301</v>
      </c>
      <c r="M5932">
        <v>25.2569978943677</v>
      </c>
      <c r="N5932">
        <v>50.046638117595201</v>
      </c>
      <c r="O5932">
        <v>48.860174503966</v>
      </c>
      <c r="P5932">
        <v>-0.10603234328781901</v>
      </c>
      <c r="Q5932">
        <v>0.17952372243494999</v>
      </c>
      <c r="R5932">
        <v>0.98531457290560398</v>
      </c>
      <c r="S5932" t="s">
        <v>12602</v>
      </c>
      <c r="T5932" t="s">
        <v>13338</v>
      </c>
      <c r="U5932" t="s">
        <v>13338</v>
      </c>
      <c r="V5932" t="s">
        <v>13338</v>
      </c>
      <c r="W5932" t="s">
        <v>19210</v>
      </c>
      <c r="X5932">
        <v>2</v>
      </c>
      <c r="Y5932" t="s">
        <v>25701</v>
      </c>
      <c r="Z5932" t="s">
        <v>32347</v>
      </c>
      <c r="AA5932">
        <v>0.43731450670274252</v>
      </c>
      <c r="AB5932" t="str">
        <f>HYPERLINK("Melting_Curves/meltCurve_Q9NSG2_C1orf112.pdf", "Melting_Curves/meltCurve_Q9NSG2_C1orf112.pdf")</f>
        <v>Melting_Curves/meltCurve_Q9NSG2_C1orf112.pdf</v>
      </c>
    </row>
    <row r="5933" spans="1:28" x14ac:dyDescent="0.25">
      <c r="A5933" t="s">
        <v>5937</v>
      </c>
      <c r="B5933">
        <v>0.99193492352474899</v>
      </c>
      <c r="C5933">
        <v>0.62306250096471005</v>
      </c>
      <c r="D5933">
        <v>0.57575067329893703</v>
      </c>
      <c r="E5933">
        <v>0.24818286292765099</v>
      </c>
      <c r="F5933">
        <v>0.157807095605492</v>
      </c>
      <c r="G5933">
        <v>0.119664583417945</v>
      </c>
      <c r="H5933">
        <v>9.7513272087274602E-2</v>
      </c>
      <c r="I5933">
        <v>0.15342411216788401</v>
      </c>
      <c r="J5933">
        <v>0.185655158131383</v>
      </c>
      <c r="K5933">
        <v>0.307127374461726</v>
      </c>
      <c r="L5933">
        <v>837.90530359977402</v>
      </c>
      <c r="M5933">
        <v>18.749417159950902</v>
      </c>
      <c r="N5933">
        <v>45.643385397507103</v>
      </c>
      <c r="O5933">
        <v>44.190608689209597</v>
      </c>
      <c r="P5933">
        <v>-8.88841258942316E-2</v>
      </c>
      <c r="Q5933">
        <v>0.162069178339629</v>
      </c>
      <c r="R5933">
        <v>0.91958677985199799</v>
      </c>
      <c r="S5933" t="s">
        <v>12603</v>
      </c>
      <c r="T5933" t="s">
        <v>13338</v>
      </c>
      <c r="U5933" t="s">
        <v>13338</v>
      </c>
      <c r="V5933" t="s">
        <v>13338</v>
      </c>
      <c r="W5933" t="s">
        <v>19211</v>
      </c>
      <c r="X5933">
        <v>1</v>
      </c>
      <c r="Y5933" t="s">
        <v>25702</v>
      </c>
      <c r="Z5933" t="s">
        <v>32348</v>
      </c>
      <c r="AA5933">
        <v>0.31014911943535189</v>
      </c>
      <c r="AB5933" t="str">
        <f>HYPERLINK("Melting_Curves/meltCurve_Q9NSI2_2_FAM207A.pdf", "Melting_Curves/meltCurve_Q9NSI2_2_FAM207A.pdf")</f>
        <v>Melting_Curves/meltCurve_Q9NSI2_2_FAM207A.pdf</v>
      </c>
    </row>
    <row r="5934" spans="1:28" x14ac:dyDescent="0.25">
      <c r="A5934" t="s">
        <v>5938</v>
      </c>
      <c r="B5934">
        <v>0.99193492352474899</v>
      </c>
      <c r="C5934">
        <v>1.0016973612348301</v>
      </c>
      <c r="D5934">
        <v>0.87942284346952904</v>
      </c>
      <c r="E5934">
        <v>0.60607791255829802</v>
      </c>
      <c r="F5934">
        <v>0.31300059521766899</v>
      </c>
      <c r="G5934">
        <v>0.217038424432971</v>
      </c>
      <c r="H5934">
        <v>0.154773488831289</v>
      </c>
      <c r="I5934">
        <v>0.15968775515023301</v>
      </c>
      <c r="J5934">
        <v>0.189074798232993</v>
      </c>
      <c r="K5934">
        <v>0.17979323187490601</v>
      </c>
      <c r="L5934">
        <v>1169.82317577495</v>
      </c>
      <c r="M5934">
        <v>23.510591529780498</v>
      </c>
      <c r="N5934">
        <v>50.636166795230402</v>
      </c>
      <c r="O5934">
        <v>49.401495523471603</v>
      </c>
      <c r="P5934">
        <v>-9.9046164554275298E-2</v>
      </c>
      <c r="Q5934">
        <v>0.167533552224987</v>
      </c>
      <c r="R5934">
        <v>0.99830525829839101</v>
      </c>
      <c r="S5934" t="s">
        <v>12604</v>
      </c>
      <c r="T5934" t="s">
        <v>13338</v>
      </c>
      <c r="U5934" t="s">
        <v>13338</v>
      </c>
      <c r="V5934" t="s">
        <v>13338</v>
      </c>
      <c r="W5934" t="s">
        <v>19212</v>
      </c>
      <c r="X5934">
        <v>4</v>
      </c>
      <c r="Y5934" t="s">
        <v>25703</v>
      </c>
      <c r="Z5934" t="s">
        <v>32349</v>
      </c>
      <c r="AA5934">
        <v>0.44668949049656992</v>
      </c>
      <c r="AB5934" t="str">
        <f>HYPERLINK("Melting_Curves/meltCurve_Q9NSI8_3_SAMSN1.pdf", "Melting_Curves/meltCurve_Q9NSI8_3_SAMSN1.pdf")</f>
        <v>Melting_Curves/meltCurve_Q9NSI8_3_SAMSN1.pdf</v>
      </c>
    </row>
    <row r="5935" spans="1:28" x14ac:dyDescent="0.25">
      <c r="A5935" t="s">
        <v>5939</v>
      </c>
      <c r="B5935">
        <v>0.99193492352474899</v>
      </c>
      <c r="C5935">
        <v>0.86152180984788296</v>
      </c>
      <c r="D5935">
        <v>0.83215939013157803</v>
      </c>
      <c r="E5935">
        <v>0.34402066931282999</v>
      </c>
      <c r="F5935">
        <v>0.17784777906327601</v>
      </c>
      <c r="G5935">
        <v>9.6171888938766797E-2</v>
      </c>
      <c r="H5935">
        <v>6.1694834934967802E-2</v>
      </c>
      <c r="I5935">
        <v>8.0193882032811206E-2</v>
      </c>
      <c r="J5935">
        <v>0.1006235630179</v>
      </c>
      <c r="K5935">
        <v>0.10901871569470201</v>
      </c>
      <c r="L5935">
        <v>1236.9035376704801</v>
      </c>
      <c r="M5935">
        <v>25.723709924283199</v>
      </c>
      <c r="N5935">
        <v>48.440612816313099</v>
      </c>
      <c r="O5935">
        <v>47.796423271934799</v>
      </c>
      <c r="P5935">
        <v>-0.12294873914706</v>
      </c>
      <c r="Q5935">
        <v>8.6222353689066805E-2</v>
      </c>
      <c r="R5935">
        <v>0.98808706504425903</v>
      </c>
      <c r="S5935" t="s">
        <v>12605</v>
      </c>
      <c r="T5935" t="s">
        <v>13338</v>
      </c>
      <c r="U5935" t="s">
        <v>13338</v>
      </c>
      <c r="V5935" t="s">
        <v>13338</v>
      </c>
      <c r="W5935" t="s">
        <v>19213</v>
      </c>
      <c r="X5935">
        <v>15</v>
      </c>
      <c r="Y5935" t="s">
        <v>25704</v>
      </c>
      <c r="Z5935" t="s">
        <v>32350</v>
      </c>
      <c r="AA5935">
        <v>0.34006262703137141</v>
      </c>
      <c r="AB5935" t="str">
        <f>HYPERLINK("Melting_Curves/meltCurve_Q9NSK0_KLC4.pdf", "Melting_Curves/meltCurve_Q9NSK0_KLC4.pdf")</f>
        <v>Melting_Curves/meltCurve_Q9NSK0_KLC4.pdf</v>
      </c>
    </row>
    <row r="5936" spans="1:28" x14ac:dyDescent="0.25">
      <c r="A5936" t="s">
        <v>5940</v>
      </c>
      <c r="B5936">
        <v>0.99193492352474899</v>
      </c>
      <c r="C5936">
        <v>0.97703718388837801</v>
      </c>
      <c r="D5936">
        <v>0.87954198437673503</v>
      </c>
      <c r="E5936">
        <v>0.70449036351049998</v>
      </c>
      <c r="F5936">
        <v>0.42892560498471999</v>
      </c>
      <c r="G5936">
        <v>0.30561197066224299</v>
      </c>
      <c r="H5936">
        <v>0.35783174091992598</v>
      </c>
      <c r="I5936">
        <v>0.35264559961958603</v>
      </c>
      <c r="J5936">
        <v>0.43335920956937501</v>
      </c>
      <c r="K5936">
        <v>0.71422662898741496</v>
      </c>
      <c r="L5936">
        <v>1528.3287911815301</v>
      </c>
      <c r="M5936">
        <v>31.1933439520006</v>
      </c>
      <c r="N5936">
        <v>52.222282522292801</v>
      </c>
      <c r="O5936">
        <v>48.7953041673399</v>
      </c>
      <c r="P5936">
        <v>-9.1536781826911495E-2</v>
      </c>
      <c r="Q5936">
        <v>0.42724445297366398</v>
      </c>
      <c r="R5936">
        <v>0.82277824457492899</v>
      </c>
      <c r="S5936" t="s">
        <v>12606</v>
      </c>
      <c r="T5936" t="s">
        <v>13338</v>
      </c>
      <c r="U5936" t="s">
        <v>13338</v>
      </c>
      <c r="V5936" t="s">
        <v>13338</v>
      </c>
      <c r="W5936" t="s">
        <v>19214</v>
      </c>
      <c r="X5936">
        <v>2</v>
      </c>
      <c r="Y5936" t="s">
        <v>25705</v>
      </c>
      <c r="Z5936" t="s">
        <v>32351</v>
      </c>
      <c r="AA5936">
        <v>0.60220271541474402</v>
      </c>
      <c r="AB5936" t="str">
        <f>HYPERLINK("Melting_Curves/meltCurve_Q9NSU2_2_TREX1.pdf", "Melting_Curves/meltCurve_Q9NSU2_2_TREX1.pdf")</f>
        <v>Melting_Curves/meltCurve_Q9NSU2_2_TREX1.pdf</v>
      </c>
    </row>
    <row r="5937" spans="1:28" x14ac:dyDescent="0.25">
      <c r="A5937" t="s">
        <v>5941</v>
      </c>
      <c r="B5937">
        <v>0.99193492352474899</v>
      </c>
      <c r="C5937">
        <v>0.72903447949053402</v>
      </c>
      <c r="D5937">
        <v>0.75366863432698605</v>
      </c>
      <c r="E5937">
        <v>0.49696772570044201</v>
      </c>
      <c r="F5937">
        <v>0.38753903401608603</v>
      </c>
      <c r="G5937">
        <v>0.179329380692234</v>
      </c>
      <c r="H5937">
        <v>0.17819580228374199</v>
      </c>
      <c r="I5937">
        <v>0.17540087874875701</v>
      </c>
      <c r="J5937">
        <v>0.222397240558905</v>
      </c>
      <c r="K5937">
        <v>0.31545565967776101</v>
      </c>
      <c r="L5937">
        <v>649.38244337924095</v>
      </c>
      <c r="M5937">
        <v>13.661729130964799</v>
      </c>
      <c r="N5937">
        <v>49.293358345673099</v>
      </c>
      <c r="O5937">
        <v>46.5492255518812</v>
      </c>
      <c r="P5937">
        <v>-5.9217133675925099E-2</v>
      </c>
      <c r="Q5937">
        <v>0.19304207864648201</v>
      </c>
      <c r="R5937">
        <v>0.93528981852873805</v>
      </c>
      <c r="S5937" t="s">
        <v>12607</v>
      </c>
      <c r="T5937" t="s">
        <v>13338</v>
      </c>
      <c r="U5937" t="s">
        <v>13338</v>
      </c>
      <c r="V5937" t="s">
        <v>13338</v>
      </c>
      <c r="W5937" t="s">
        <v>19215</v>
      </c>
      <c r="X5937">
        <v>6</v>
      </c>
      <c r="Y5937" t="s">
        <v>25706</v>
      </c>
      <c r="Z5937" t="s">
        <v>32352</v>
      </c>
      <c r="AA5937">
        <v>0.42124563520453512</v>
      </c>
      <c r="AB5937" t="str">
        <f>HYPERLINK("Melting_Curves/meltCurve_Q9NSY1_BMP2K.pdf", "Melting_Curves/meltCurve_Q9NSY1_BMP2K.pdf")</f>
        <v>Melting_Curves/meltCurve_Q9NSY1_BMP2K.pdf</v>
      </c>
    </row>
    <row r="5938" spans="1:28" x14ac:dyDescent="0.25">
      <c r="A5938" t="s">
        <v>5942</v>
      </c>
      <c r="B5938">
        <v>0.99193492352474899</v>
      </c>
      <c r="C5938">
        <v>0.88730846936375196</v>
      </c>
      <c r="D5938">
        <v>0.83954892617570598</v>
      </c>
      <c r="E5938">
        <v>0.70881481288812398</v>
      </c>
      <c r="F5938">
        <v>0.38745348018598802</v>
      </c>
      <c r="G5938">
        <v>0.16630564681919699</v>
      </c>
      <c r="H5938">
        <v>7.7725889365461306E-2</v>
      </c>
      <c r="I5938">
        <v>7.7279105699678594E-2</v>
      </c>
      <c r="J5938">
        <v>7.8859642175522798E-2</v>
      </c>
      <c r="K5938">
        <v>0.102908390688448</v>
      </c>
      <c r="L5938">
        <v>869.73304735665999</v>
      </c>
      <c r="M5938">
        <v>16.973576310963001</v>
      </c>
      <c r="N5938">
        <v>51.567129179316801</v>
      </c>
      <c r="O5938">
        <v>50.545028146033701</v>
      </c>
      <c r="P5938">
        <v>-7.9677817527658096E-2</v>
      </c>
      <c r="Q5938">
        <v>5.0979699488248598E-2</v>
      </c>
      <c r="R5938">
        <v>0.988493466370713</v>
      </c>
      <c r="S5938" t="s">
        <v>12608</v>
      </c>
      <c r="T5938" t="s">
        <v>13338</v>
      </c>
      <c r="U5938" t="s">
        <v>13338</v>
      </c>
      <c r="V5938" t="s">
        <v>13338</v>
      </c>
      <c r="W5938" t="s">
        <v>19216</v>
      </c>
      <c r="X5938">
        <v>12</v>
      </c>
      <c r="Y5938" t="s">
        <v>25707</v>
      </c>
      <c r="Z5938" t="s">
        <v>32353</v>
      </c>
      <c r="AA5938">
        <v>0.42423769274635631</v>
      </c>
      <c r="AB5938" t="str">
        <f>HYPERLINK("Melting_Curves/meltCurve_Q9NT62_ATG3.pdf", "Melting_Curves/meltCurve_Q9NT62_ATG3.pdf")</f>
        <v>Melting_Curves/meltCurve_Q9NT62_ATG3.pdf</v>
      </c>
    </row>
    <row r="5939" spans="1:28" x14ac:dyDescent="0.25">
      <c r="A5939" t="s">
        <v>5943</v>
      </c>
      <c r="B5939">
        <v>0.99193492352474899</v>
      </c>
      <c r="C5939">
        <v>0.56618316172707395</v>
      </c>
      <c r="D5939">
        <v>0.93915149789258301</v>
      </c>
      <c r="E5939">
        <v>0.28222198049212599</v>
      </c>
      <c r="F5939">
        <v>0.159847592375648</v>
      </c>
      <c r="G5939">
        <v>8.2281511486293799E-2</v>
      </c>
      <c r="H5939">
        <v>5.0029700476449099E-2</v>
      </c>
      <c r="I5939">
        <v>5.5465719021948801E-2</v>
      </c>
      <c r="J5939">
        <v>6.7306137641984107E-2</v>
      </c>
      <c r="K5939">
        <v>6.7860806915854902E-2</v>
      </c>
      <c r="L5939">
        <v>767.48921860424605</v>
      </c>
      <c r="M5939">
        <v>16.050747916043701</v>
      </c>
      <c r="N5939">
        <v>48.0114848051225</v>
      </c>
      <c r="O5939">
        <v>47.092641206876102</v>
      </c>
      <c r="P5939">
        <v>-8.2525099377027206E-2</v>
      </c>
      <c r="Q5939">
        <v>3.1565338037874202E-2</v>
      </c>
      <c r="R5939">
        <v>0.85594935234917902</v>
      </c>
      <c r="S5939" t="s">
        <v>12609</v>
      </c>
      <c r="T5939" t="s">
        <v>13338</v>
      </c>
      <c r="U5939" t="s">
        <v>13338</v>
      </c>
      <c r="V5939" t="s">
        <v>13338</v>
      </c>
      <c r="W5939" t="s">
        <v>19217</v>
      </c>
      <c r="X5939">
        <v>31</v>
      </c>
      <c r="Y5939" t="s">
        <v>25708</v>
      </c>
      <c r="Z5939" t="s">
        <v>32354</v>
      </c>
      <c r="AA5939">
        <v>0.30581675996768709</v>
      </c>
      <c r="AB5939" t="str">
        <f>HYPERLINK("Melting_Curves/meltCurve_Q9NTI5_2_PDS5B.pdf", "Melting_Curves/meltCurve_Q9NTI5_2_PDS5B.pdf")</f>
        <v>Melting_Curves/meltCurve_Q9NTI5_2_PDS5B.pdf</v>
      </c>
    </row>
    <row r="5940" spans="1:28" x14ac:dyDescent="0.25">
      <c r="A5940" t="s">
        <v>5944</v>
      </c>
      <c r="B5940">
        <v>0.99193492352474899</v>
      </c>
      <c r="C5940">
        <v>0.77950072533162995</v>
      </c>
      <c r="D5940">
        <v>0.91328706857997</v>
      </c>
      <c r="E5940">
        <v>0.51747703776161502</v>
      </c>
      <c r="F5940">
        <v>0.14612465145409601</v>
      </c>
      <c r="G5940">
        <v>8.8003328901790204E-2</v>
      </c>
      <c r="H5940">
        <v>5.56660093353155E-2</v>
      </c>
      <c r="I5940">
        <v>6.10955626657489E-2</v>
      </c>
      <c r="J5940">
        <v>7.1512905828634094E-2</v>
      </c>
      <c r="K5940">
        <v>7.4798984135737101E-2</v>
      </c>
      <c r="L5940">
        <v>1285.1224220035001</v>
      </c>
      <c r="M5940">
        <v>26.0292783286366</v>
      </c>
      <c r="N5940">
        <v>49.604964250309898</v>
      </c>
      <c r="O5940">
        <v>49.083541025389401</v>
      </c>
      <c r="P5940">
        <v>-0.124956082026717</v>
      </c>
      <c r="Q5940">
        <v>5.7489612303163497E-2</v>
      </c>
      <c r="R5940">
        <v>0.967651738860138</v>
      </c>
      <c r="S5940" t="s">
        <v>12610</v>
      </c>
      <c r="T5940" t="s">
        <v>13338</v>
      </c>
      <c r="U5940" t="s">
        <v>13338</v>
      </c>
      <c r="V5940" t="s">
        <v>13338</v>
      </c>
      <c r="W5940" t="s">
        <v>19218</v>
      </c>
      <c r="X5940">
        <v>52</v>
      </c>
      <c r="Y5940" t="s">
        <v>25709</v>
      </c>
      <c r="Z5940" t="s">
        <v>32355</v>
      </c>
      <c r="AA5940">
        <v>0.3596484618461106</v>
      </c>
      <c r="AB5940" t="str">
        <f>HYPERLINK("Melting_Curves/meltCurve_Q9NTJ3_SMC4.pdf", "Melting_Curves/meltCurve_Q9NTJ3_SMC4.pdf")</f>
        <v>Melting_Curves/meltCurve_Q9NTJ3_SMC4.pdf</v>
      </c>
    </row>
    <row r="5941" spans="1:28" x14ac:dyDescent="0.25">
      <c r="A5941" t="s">
        <v>5945</v>
      </c>
      <c r="B5941">
        <v>0.99193492352474899</v>
      </c>
      <c r="C5941">
        <v>0.94796276776940802</v>
      </c>
      <c r="D5941">
        <v>0.79337408960919897</v>
      </c>
      <c r="E5941">
        <v>0.30410451141727102</v>
      </c>
      <c r="F5941">
        <v>0.16663136609390899</v>
      </c>
      <c r="G5941">
        <v>9.4081411457570305E-2</v>
      </c>
      <c r="H5941">
        <v>5.7252094696478899E-2</v>
      </c>
      <c r="I5941">
        <v>6.4714601909085998E-2</v>
      </c>
      <c r="J5941">
        <v>7.3082493730456097E-2</v>
      </c>
      <c r="K5941">
        <v>6.4187681998902596E-2</v>
      </c>
      <c r="L5941">
        <v>1334.2333382992099</v>
      </c>
      <c r="M5941">
        <v>27.862871558638499</v>
      </c>
      <c r="N5941">
        <v>48.155830970197897</v>
      </c>
      <c r="O5941">
        <v>47.641082583064403</v>
      </c>
      <c r="P5941">
        <v>-0.13563589108562399</v>
      </c>
      <c r="Q5941">
        <v>7.2344868679456498E-2</v>
      </c>
      <c r="R5941">
        <v>0.99755813010985095</v>
      </c>
      <c r="S5941" t="s">
        <v>12611</v>
      </c>
      <c r="T5941" t="s">
        <v>13338</v>
      </c>
      <c r="U5941" t="s">
        <v>13338</v>
      </c>
      <c r="V5941" t="s">
        <v>13338</v>
      </c>
      <c r="W5941" t="s">
        <v>19219</v>
      </c>
      <c r="X5941">
        <v>20</v>
      </c>
      <c r="Y5941" t="s">
        <v>25710</v>
      </c>
      <c r="Z5941" t="s">
        <v>32356</v>
      </c>
      <c r="AA5941">
        <v>0.32270143929413397</v>
      </c>
      <c r="AB5941" t="str">
        <f>HYPERLINK("Melting_Curves/meltCurve_Q9NTJ5_SACM1L.pdf", "Melting_Curves/meltCurve_Q9NTJ5_SACM1L.pdf")</f>
        <v>Melting_Curves/meltCurve_Q9NTJ5_SACM1L.pdf</v>
      </c>
    </row>
    <row r="5942" spans="1:28" x14ac:dyDescent="0.25">
      <c r="A5942" t="s">
        <v>5946</v>
      </c>
      <c r="B5942">
        <v>0.99193492352474899</v>
      </c>
      <c r="C5942">
        <v>0.71471534552325999</v>
      </c>
      <c r="D5942">
        <v>0.53070971361562502</v>
      </c>
      <c r="E5942">
        <v>0.45824760797647701</v>
      </c>
      <c r="F5942">
        <v>0.34146562134061098</v>
      </c>
      <c r="G5942">
        <v>0.26592779628729901</v>
      </c>
      <c r="H5942">
        <v>0.19506066600405</v>
      </c>
      <c r="I5942">
        <v>0.31895248838650297</v>
      </c>
      <c r="J5942">
        <v>0.28133618643799801</v>
      </c>
      <c r="K5942">
        <v>0.47769556320329298</v>
      </c>
      <c r="L5942">
        <v>864.02313079635405</v>
      </c>
      <c r="M5942">
        <v>19.513575919082299</v>
      </c>
      <c r="N5942">
        <v>46.651683002774597</v>
      </c>
      <c r="O5942">
        <v>43.820905511392098</v>
      </c>
      <c r="P5942">
        <v>-7.6289632633409807E-2</v>
      </c>
      <c r="Q5942">
        <v>0.314741538101589</v>
      </c>
      <c r="R5942">
        <v>0.89078962857746902</v>
      </c>
      <c r="S5942" t="s">
        <v>12612</v>
      </c>
      <c r="T5942" t="s">
        <v>13338</v>
      </c>
      <c r="U5942" t="s">
        <v>13338</v>
      </c>
      <c r="V5942" t="s">
        <v>13338</v>
      </c>
      <c r="W5942" t="s">
        <v>19220</v>
      </c>
      <c r="X5942">
        <v>9</v>
      </c>
      <c r="Y5942" t="s">
        <v>20993</v>
      </c>
      <c r="Z5942" t="s">
        <v>32357</v>
      </c>
      <c r="AA5942">
        <v>0.42595671382718042</v>
      </c>
      <c r="AB5942" t="str">
        <f>HYPERLINK("Melting_Curves/meltCurve_Q9NTK5_2_OLA1.pdf", "Melting_Curves/meltCurve_Q9NTK5_2_OLA1.pdf")</f>
        <v>Melting_Curves/meltCurve_Q9NTK5_2_OLA1.pdf</v>
      </c>
    </row>
    <row r="5943" spans="1:28" x14ac:dyDescent="0.25">
      <c r="A5943" t="s">
        <v>5947</v>
      </c>
      <c r="B5943">
        <v>0.99193492352474899</v>
      </c>
      <c r="C5943">
        <v>0.86663439418469701</v>
      </c>
      <c r="D5943">
        <v>0.94091120068884704</v>
      </c>
      <c r="E5943">
        <v>0.74387421488761796</v>
      </c>
      <c r="F5943">
        <v>0.60116952071850205</v>
      </c>
      <c r="G5943">
        <v>0.31711300393595498</v>
      </c>
      <c r="H5943">
        <v>0.10991423549490401</v>
      </c>
      <c r="I5943">
        <v>8.4726203313774506E-2</v>
      </c>
      <c r="J5943">
        <v>8.2441860085128604E-2</v>
      </c>
      <c r="K5943">
        <v>6.4885225552499495E-2</v>
      </c>
      <c r="L5943">
        <v>773.29670774750502</v>
      </c>
      <c r="M5943">
        <v>14.3722821269423</v>
      </c>
      <c r="N5943">
        <v>53.850973379264097</v>
      </c>
      <c r="O5943">
        <v>52.795223947873502</v>
      </c>
      <c r="P5943">
        <v>-6.76473724362531E-2</v>
      </c>
      <c r="Q5943">
        <v>6.1333349334531202E-3</v>
      </c>
      <c r="R5943">
        <v>0.984749425613201</v>
      </c>
      <c r="S5943" t="s">
        <v>12613</v>
      </c>
      <c r="T5943" t="s">
        <v>13338</v>
      </c>
      <c r="U5943" t="s">
        <v>13338</v>
      </c>
      <c r="V5943" t="s">
        <v>13338</v>
      </c>
      <c r="W5943" t="s">
        <v>19221</v>
      </c>
      <c r="X5943">
        <v>10</v>
      </c>
      <c r="Y5943" t="s">
        <v>25711</v>
      </c>
      <c r="Z5943" t="s">
        <v>32358</v>
      </c>
      <c r="AA5943">
        <v>0.48519379159442583</v>
      </c>
      <c r="AB5943" t="str">
        <f>HYPERLINK("Melting_Curves/meltCurve_Q9NTM9_CUTC.pdf", "Melting_Curves/meltCurve_Q9NTM9_CUTC.pdf")</f>
        <v>Melting_Curves/meltCurve_Q9NTM9_CUTC.pdf</v>
      </c>
    </row>
    <row r="5944" spans="1:28" x14ac:dyDescent="0.25">
      <c r="A5944" t="s">
        <v>5948</v>
      </c>
      <c r="B5944">
        <v>0.99193492352474899</v>
      </c>
      <c r="C5944">
        <v>1.6430867230731101</v>
      </c>
      <c r="D5944">
        <v>0.98589607682101599</v>
      </c>
      <c r="E5944">
        <v>0.94091978059165104</v>
      </c>
      <c r="F5944">
        <v>0.75110984939877701</v>
      </c>
      <c r="G5944">
        <v>0.51388046168478596</v>
      </c>
      <c r="H5944">
        <v>0.34322219731595999</v>
      </c>
      <c r="I5944">
        <v>0.41957712332665997</v>
      </c>
      <c r="J5944">
        <v>0.13588277389651701</v>
      </c>
      <c r="K5944">
        <v>0.113300443856941</v>
      </c>
      <c r="L5944">
        <v>926.55507780573998</v>
      </c>
      <c r="M5944">
        <v>16.356123607215501</v>
      </c>
      <c r="N5944">
        <v>57.777683121057301</v>
      </c>
      <c r="O5944">
        <v>55.822325161232897</v>
      </c>
      <c r="P5944">
        <v>-6.3236930274604294E-2</v>
      </c>
      <c r="Q5944">
        <v>0.13676891766114299</v>
      </c>
      <c r="R5944">
        <v>0.77267819432988305</v>
      </c>
      <c r="S5944" t="s">
        <v>12614</v>
      </c>
      <c r="T5944" t="s">
        <v>13338</v>
      </c>
      <c r="U5944" t="s">
        <v>13338</v>
      </c>
      <c r="V5944" t="s">
        <v>13338</v>
      </c>
      <c r="W5944" t="s">
        <v>19222</v>
      </c>
      <c r="X5944">
        <v>1</v>
      </c>
      <c r="Y5944" t="s">
        <v>25712</v>
      </c>
      <c r="Z5944" t="s">
        <v>32359</v>
      </c>
      <c r="AA5944">
        <v>0.62918595315232262</v>
      </c>
      <c r="AB5944" t="str">
        <f>HYPERLINK("Melting_Curves/meltCurve_Q9NTN3_SLC35D1.pdf", "Melting_Curves/meltCurve_Q9NTN3_SLC35D1.pdf")</f>
        <v>Melting_Curves/meltCurve_Q9NTN3_SLC35D1.pdf</v>
      </c>
    </row>
    <row r="5945" spans="1:28" x14ac:dyDescent="0.25">
      <c r="A5945" t="s">
        <v>5949</v>
      </c>
      <c r="B5945">
        <v>0.99193492352474899</v>
      </c>
      <c r="C5945">
        <v>0.89121316893334901</v>
      </c>
      <c r="D5945">
        <v>1.0453096388898999</v>
      </c>
      <c r="E5945">
        <v>0.79494618263373795</v>
      </c>
      <c r="F5945">
        <v>0.82153093821999401</v>
      </c>
      <c r="G5945">
        <v>0.55942256608072805</v>
      </c>
      <c r="H5945">
        <v>0.43189208460305001</v>
      </c>
      <c r="I5945">
        <v>0.43110402673105802</v>
      </c>
      <c r="J5945">
        <v>0.52240464090151695</v>
      </c>
      <c r="K5945">
        <v>0.44289028696024202</v>
      </c>
      <c r="L5945">
        <v>969.26857900310802</v>
      </c>
      <c r="M5945">
        <v>18.1063866217509</v>
      </c>
      <c r="N5945">
        <v>60.263016856588401</v>
      </c>
      <c r="O5945">
        <v>52.891696479225097</v>
      </c>
      <c r="P5945">
        <v>-4.8456275816856603E-2</v>
      </c>
      <c r="Q5945">
        <v>0.433832689353715</v>
      </c>
      <c r="R5945">
        <v>0.917123500062348</v>
      </c>
      <c r="S5945" t="s">
        <v>12615</v>
      </c>
      <c r="T5945" t="s">
        <v>13338</v>
      </c>
      <c r="U5945" t="s">
        <v>13338</v>
      </c>
      <c r="V5945" t="s">
        <v>13338</v>
      </c>
      <c r="W5945" t="s">
        <v>19223</v>
      </c>
      <c r="X5945">
        <v>16</v>
      </c>
      <c r="Y5945" t="s">
        <v>25713</v>
      </c>
      <c r="Z5945" t="s">
        <v>32360</v>
      </c>
      <c r="AA5945">
        <v>0.69829325229966444</v>
      </c>
      <c r="AB5945" t="str">
        <f>HYPERLINK("Melting_Curves/meltCurve_Q9NTX5_2_ECHDC1.pdf", "Melting_Curves/meltCurve_Q9NTX5_2_ECHDC1.pdf")</f>
        <v>Melting_Curves/meltCurve_Q9NTX5_2_ECHDC1.pdf</v>
      </c>
    </row>
    <row r="5946" spans="1:28" x14ac:dyDescent="0.25">
      <c r="A5946" t="s">
        <v>5950</v>
      </c>
      <c r="B5946">
        <v>0.99193492352474899</v>
      </c>
      <c r="C5946">
        <v>1.0696085802388899</v>
      </c>
      <c r="D5946">
        <v>0.789323392470347</v>
      </c>
      <c r="E5946">
        <v>0.80055620402540995</v>
      </c>
      <c r="F5946">
        <v>0.217528951005728</v>
      </c>
      <c r="G5946">
        <v>0.26379238528468502</v>
      </c>
      <c r="H5946">
        <v>0.184238406324501</v>
      </c>
      <c r="I5946">
        <v>0.22547971035042599</v>
      </c>
      <c r="J5946">
        <v>0.25092821842413099</v>
      </c>
      <c r="K5946">
        <v>0.32385201888925702</v>
      </c>
      <c r="L5946">
        <v>12450.874250299899</v>
      </c>
      <c r="M5946">
        <v>250</v>
      </c>
      <c r="N5946">
        <v>49.937452395356502</v>
      </c>
      <c r="O5946">
        <v>49.800309843352601</v>
      </c>
      <c r="P5946">
        <v>-0.94840867350378699</v>
      </c>
      <c r="Q5946">
        <v>0.24430326713105699</v>
      </c>
      <c r="R5946">
        <v>0.94686404292384196</v>
      </c>
      <c r="S5946" t="s">
        <v>12616</v>
      </c>
      <c r="T5946" t="s">
        <v>13338</v>
      </c>
      <c r="U5946" t="s">
        <v>13338</v>
      </c>
      <c r="V5946" t="s">
        <v>13338</v>
      </c>
      <c r="W5946" t="s">
        <v>19224</v>
      </c>
      <c r="X5946">
        <v>1</v>
      </c>
      <c r="Y5946" t="s">
        <v>25714</v>
      </c>
      <c r="Z5946" t="s">
        <v>32361</v>
      </c>
      <c r="AA5946">
        <v>0.49131834013851922</v>
      </c>
      <c r="AB5946" t="str">
        <f>HYPERLINK("Melting_Curves/meltCurve_Q9NTX7_2_RNF146.pdf", "Melting_Curves/meltCurve_Q9NTX7_2_RNF146.pdf")</f>
        <v>Melting_Curves/meltCurve_Q9NTX7_2_RNF146.pdf</v>
      </c>
    </row>
    <row r="5947" spans="1:28" x14ac:dyDescent="0.25">
      <c r="A5947" t="s">
        <v>5951</v>
      </c>
      <c r="B5947">
        <v>0.99193492352474899</v>
      </c>
      <c r="C5947">
        <v>0.74887200388099096</v>
      </c>
      <c r="D5947">
        <v>0.71314227125961704</v>
      </c>
      <c r="E5947">
        <v>0.240126049161482</v>
      </c>
      <c r="F5947">
        <v>0.13270305202226701</v>
      </c>
      <c r="G5947">
        <v>8.3322096911398594E-2</v>
      </c>
      <c r="H5947">
        <v>4.86240754204341E-2</v>
      </c>
      <c r="I5947">
        <v>5.4408639927495103E-2</v>
      </c>
      <c r="J5947">
        <v>6.4455036325066495E-2</v>
      </c>
      <c r="K5947">
        <v>7.9427140209670205E-2</v>
      </c>
      <c r="L5947">
        <v>897.26104551539197</v>
      </c>
      <c r="M5947">
        <v>19.140908765347699</v>
      </c>
      <c r="N5947">
        <v>47.140870230844897</v>
      </c>
      <c r="O5947">
        <v>46.373949305309402</v>
      </c>
      <c r="P5947">
        <v>-9.7942420321068993E-2</v>
      </c>
      <c r="Q5947">
        <v>5.0870353562808598E-2</v>
      </c>
      <c r="R5947">
        <v>0.97552239505501104</v>
      </c>
      <c r="S5947" t="s">
        <v>12617</v>
      </c>
      <c r="T5947" t="s">
        <v>13338</v>
      </c>
      <c r="U5947" t="s">
        <v>13338</v>
      </c>
      <c r="V5947" t="s">
        <v>13338</v>
      </c>
      <c r="W5947" t="s">
        <v>19225</v>
      </c>
      <c r="X5947">
        <v>20</v>
      </c>
      <c r="Y5947" t="s">
        <v>25715</v>
      </c>
      <c r="Z5947" t="s">
        <v>32362</v>
      </c>
      <c r="AA5947">
        <v>0.28382400888264869</v>
      </c>
      <c r="AB5947" t="str">
        <f>HYPERLINK("Melting_Curves/meltCurve_Q9NTZ6_RBM12.pdf", "Melting_Curves/meltCurve_Q9NTZ6_RBM12.pdf")</f>
        <v>Melting_Curves/meltCurve_Q9NTZ6_RBM12.pdf</v>
      </c>
    </row>
    <row r="5948" spans="1:28" x14ac:dyDescent="0.25">
      <c r="A5948" t="s">
        <v>5952</v>
      </c>
      <c r="B5948">
        <v>0.99193492352474899</v>
      </c>
      <c r="C5948">
        <v>0.98278765634048404</v>
      </c>
      <c r="D5948">
        <v>0.95667997188741305</v>
      </c>
      <c r="E5948">
        <v>0.81767426775589802</v>
      </c>
      <c r="F5948">
        <v>0.321543604941529</v>
      </c>
      <c r="G5948">
        <v>0.20572600856338399</v>
      </c>
      <c r="H5948">
        <v>0.10880165719050799</v>
      </c>
      <c r="I5948">
        <v>0.123839118195558</v>
      </c>
      <c r="J5948">
        <v>8.5426384952163203E-2</v>
      </c>
      <c r="K5948">
        <v>0.185989441370987</v>
      </c>
      <c r="L5948">
        <v>1768.1879247496099</v>
      </c>
      <c r="M5948">
        <v>34.406905779726202</v>
      </c>
      <c r="N5948">
        <v>51.853376294865903</v>
      </c>
      <c r="O5948">
        <v>51.217825910851801</v>
      </c>
      <c r="P5948">
        <v>-0.14573733290306801</v>
      </c>
      <c r="Q5948">
        <v>0.13222988119333701</v>
      </c>
      <c r="R5948">
        <v>0.99368606009642901</v>
      </c>
      <c r="S5948" t="s">
        <v>12618</v>
      </c>
      <c r="T5948" t="s">
        <v>13338</v>
      </c>
      <c r="U5948" t="s">
        <v>13338</v>
      </c>
      <c r="V5948" t="s">
        <v>13338</v>
      </c>
      <c r="W5948" t="s">
        <v>19226</v>
      </c>
      <c r="X5948">
        <v>4</v>
      </c>
      <c r="Y5948" t="s">
        <v>25716</v>
      </c>
      <c r="Z5948" t="s">
        <v>32363</v>
      </c>
      <c r="AA5948">
        <v>0.4658802110712022</v>
      </c>
      <c r="AB5948" t="str">
        <f>HYPERLINK("Melting_Curves/meltCurve_Q9NU19_TBC1D22B.pdf", "Melting_Curves/meltCurve_Q9NU19_TBC1D22B.pdf")</f>
        <v>Melting_Curves/meltCurve_Q9NU19_TBC1D22B.pdf</v>
      </c>
    </row>
    <row r="5949" spans="1:28" x14ac:dyDescent="0.25">
      <c r="A5949" t="s">
        <v>5953</v>
      </c>
      <c r="B5949">
        <v>0.99193492352474899</v>
      </c>
      <c r="C5949">
        <v>0.98053176806718401</v>
      </c>
      <c r="D5949">
        <v>1.0482582808965499</v>
      </c>
      <c r="E5949">
        <v>0.48518514745189001</v>
      </c>
      <c r="F5949">
        <v>0.24333162473042699</v>
      </c>
      <c r="G5949">
        <v>0.114872322478435</v>
      </c>
      <c r="H5949">
        <v>8.7680110141139606E-2</v>
      </c>
      <c r="I5949">
        <v>0.101079663661842</v>
      </c>
      <c r="J5949">
        <v>0.12910007081285499</v>
      </c>
      <c r="K5949">
        <v>0.12092414603177599</v>
      </c>
      <c r="L5949">
        <v>2349.6839100836501</v>
      </c>
      <c r="M5949">
        <v>47.6400730767512</v>
      </c>
      <c r="N5949">
        <v>49.624637297694299</v>
      </c>
      <c r="O5949">
        <v>49.2348939151439</v>
      </c>
      <c r="P5949">
        <v>-0.211369976571253</v>
      </c>
      <c r="Q5949">
        <v>0.12621698613569801</v>
      </c>
      <c r="R5949">
        <v>0.988980360578259</v>
      </c>
      <c r="S5949" t="s">
        <v>12619</v>
      </c>
      <c r="T5949" t="s">
        <v>13338</v>
      </c>
      <c r="U5949" t="s">
        <v>13338</v>
      </c>
      <c r="V5949" t="s">
        <v>13338</v>
      </c>
      <c r="W5949" t="s">
        <v>19227</v>
      </c>
      <c r="X5949">
        <v>20</v>
      </c>
      <c r="Y5949" t="s">
        <v>25717</v>
      </c>
      <c r="Z5949" t="s">
        <v>32364</v>
      </c>
      <c r="AA5949">
        <v>0.39981384762212979</v>
      </c>
      <c r="AB5949" t="str">
        <f>HYPERLINK("Melting_Curves/meltCurve_Q9NU22_MDN1.pdf", "Melting_Curves/meltCurve_Q9NU22_MDN1.pdf")</f>
        <v>Melting_Curves/meltCurve_Q9NU22_MDN1.pdf</v>
      </c>
    </row>
    <row r="5950" spans="1:28" x14ac:dyDescent="0.25">
      <c r="A5950" t="s">
        <v>5954</v>
      </c>
      <c r="B5950">
        <v>0.99193492352474899</v>
      </c>
      <c r="C5950">
        <v>1.0048900086325701</v>
      </c>
      <c r="D5950">
        <v>0.87972123221644705</v>
      </c>
      <c r="E5950">
        <v>0.86986966030151103</v>
      </c>
      <c r="F5950">
        <v>0.48667844631569401</v>
      </c>
      <c r="G5950">
        <v>0.25054022678596799</v>
      </c>
      <c r="H5950">
        <v>0.126663298991472</v>
      </c>
      <c r="I5950">
        <v>0.11742637147137</v>
      </c>
      <c r="J5950">
        <v>0.114838808177775</v>
      </c>
      <c r="K5950">
        <v>0.12821631940040901</v>
      </c>
      <c r="L5950">
        <v>1252.5958424385999</v>
      </c>
      <c r="M5950">
        <v>23.790065069186401</v>
      </c>
      <c r="N5950">
        <v>53.2013460180927</v>
      </c>
      <c r="O5950">
        <v>52.284262355059703</v>
      </c>
      <c r="P5950">
        <v>-0.101368354916609</v>
      </c>
      <c r="Q5950">
        <v>0.108891441361506</v>
      </c>
      <c r="R5950">
        <v>0.99223888313397501</v>
      </c>
      <c r="S5950" t="s">
        <v>12620</v>
      </c>
      <c r="T5950" t="s">
        <v>13338</v>
      </c>
      <c r="U5950" t="s">
        <v>13338</v>
      </c>
      <c r="V5950" t="s">
        <v>13338</v>
      </c>
      <c r="W5950" t="s">
        <v>19228</v>
      </c>
      <c r="X5950">
        <v>5</v>
      </c>
      <c r="Y5950" t="s">
        <v>25718</v>
      </c>
      <c r="Z5950" t="s">
        <v>32365</v>
      </c>
      <c r="AA5950">
        <v>0.49368641989777701</v>
      </c>
      <c r="AB5950" t="str">
        <f>HYPERLINK("Melting_Curves/meltCurve_Q9NU23_LYRM2.pdf", "Melting_Curves/meltCurve_Q9NU23_LYRM2.pdf")</f>
        <v>Melting_Curves/meltCurve_Q9NU23_LYRM2.pdf</v>
      </c>
    </row>
    <row r="5951" spans="1:28" x14ac:dyDescent="0.25">
      <c r="A5951" t="s">
        <v>5955</v>
      </c>
      <c r="B5951">
        <v>0.99193492352474899</v>
      </c>
      <c r="C5951">
        <v>0.94733258510835905</v>
      </c>
      <c r="D5951">
        <v>0.93569898772960602</v>
      </c>
      <c r="E5951">
        <v>0.78126712462512704</v>
      </c>
      <c r="F5951">
        <v>0.47344305172087098</v>
      </c>
      <c r="G5951">
        <v>0.19192899982416001</v>
      </c>
      <c r="H5951">
        <v>0.100981993529888</v>
      </c>
      <c r="I5951">
        <v>0.11853083452848</v>
      </c>
      <c r="J5951">
        <v>0.116478213312775</v>
      </c>
      <c r="K5951">
        <v>0.15736212078491801</v>
      </c>
      <c r="L5951">
        <v>1217.23745303339</v>
      </c>
      <c r="M5951">
        <v>23.3820364693808</v>
      </c>
      <c r="N5951">
        <v>52.613058557832602</v>
      </c>
      <c r="O5951">
        <v>51.682358593727699</v>
      </c>
      <c r="P5951">
        <v>-0.100756446849065</v>
      </c>
      <c r="Q5951">
        <v>0.109189737855407</v>
      </c>
      <c r="R5951">
        <v>0.99413125510642497</v>
      </c>
      <c r="S5951" t="s">
        <v>12621</v>
      </c>
      <c r="T5951" t="s">
        <v>13338</v>
      </c>
      <c r="U5951" t="s">
        <v>13338</v>
      </c>
      <c r="V5951" t="s">
        <v>13338</v>
      </c>
      <c r="W5951" t="s">
        <v>19229</v>
      </c>
      <c r="X5951">
        <v>18</v>
      </c>
      <c r="Y5951" t="s">
        <v>25719</v>
      </c>
      <c r="Z5951" t="s">
        <v>32366</v>
      </c>
      <c r="AA5951">
        <v>0.47649934112080777</v>
      </c>
      <c r="AB5951" t="str">
        <f>HYPERLINK("Melting_Curves/meltCurve_Q9NUB1_2_ACSS1.pdf", "Melting_Curves/meltCurve_Q9NUB1_2_ACSS1.pdf")</f>
        <v>Melting_Curves/meltCurve_Q9NUB1_2_ACSS1.pdf</v>
      </c>
    </row>
    <row r="5952" spans="1:28" x14ac:dyDescent="0.25">
      <c r="A5952" t="s">
        <v>5956</v>
      </c>
      <c r="B5952">
        <v>0.99193492352474899</v>
      </c>
      <c r="C5952">
        <v>0.57414549614043797</v>
      </c>
      <c r="D5952">
        <v>0.72043872986789104</v>
      </c>
      <c r="E5952">
        <v>0.44919310908739302</v>
      </c>
      <c r="F5952">
        <v>0.16025294212249599</v>
      </c>
      <c r="G5952">
        <v>0.12225621763375499</v>
      </c>
      <c r="H5952">
        <v>4.553314104588E-2</v>
      </c>
      <c r="I5952">
        <v>6.0456406612266297E-2</v>
      </c>
      <c r="J5952">
        <v>4.3085051553032799E-2</v>
      </c>
      <c r="K5952">
        <v>4.6869947180823199E-2</v>
      </c>
      <c r="L5952">
        <v>543.39206696195595</v>
      </c>
      <c r="M5952">
        <v>11.4036079974241</v>
      </c>
      <c r="N5952">
        <v>47.6508907551801</v>
      </c>
      <c r="O5952">
        <v>46.2561514820678</v>
      </c>
      <c r="P5952">
        <v>-6.1651024307357603E-2</v>
      </c>
      <c r="Q5952">
        <v>0</v>
      </c>
      <c r="R5952">
        <v>0.92778243159444496</v>
      </c>
      <c r="S5952" t="s">
        <v>12622</v>
      </c>
      <c r="T5952" t="s">
        <v>13338</v>
      </c>
      <c r="U5952" t="s">
        <v>13338</v>
      </c>
      <c r="V5952" t="s">
        <v>13338</v>
      </c>
      <c r="W5952" t="s">
        <v>19230</v>
      </c>
      <c r="X5952">
        <v>3</v>
      </c>
      <c r="Y5952" t="s">
        <v>25720</v>
      </c>
      <c r="Z5952" t="s">
        <v>32367</v>
      </c>
      <c r="AA5952">
        <v>0.29886150961871272</v>
      </c>
      <c r="AB5952" t="str">
        <f>HYPERLINK("Melting_Curves/meltCurve_Q9NUD5_ZCCHC3.pdf", "Melting_Curves/meltCurve_Q9NUD5_ZCCHC3.pdf")</f>
        <v>Melting_Curves/meltCurve_Q9NUD5_ZCCHC3.pdf</v>
      </c>
    </row>
    <row r="5953" spans="1:28" x14ac:dyDescent="0.25">
      <c r="A5953" t="s">
        <v>5957</v>
      </c>
      <c r="B5953">
        <v>0.99193492352474899</v>
      </c>
      <c r="C5953">
        <v>1.2188042017979901</v>
      </c>
      <c r="D5953">
        <v>1.0743928868607</v>
      </c>
      <c r="E5953">
        <v>1.1013187591084399</v>
      </c>
      <c r="F5953">
        <v>0.73201951858368297</v>
      </c>
      <c r="G5953">
        <v>0.62564830367608704</v>
      </c>
      <c r="H5953">
        <v>0.23475223663198799</v>
      </c>
      <c r="I5953">
        <v>0.14300002582542901</v>
      </c>
      <c r="J5953">
        <v>0.21183099493089699</v>
      </c>
      <c r="K5953">
        <v>0.217662640981477</v>
      </c>
      <c r="L5953">
        <v>1428.10849195592</v>
      </c>
      <c r="M5953">
        <v>25.344768661390301</v>
      </c>
      <c r="N5953">
        <v>57.275731792641103</v>
      </c>
      <c r="O5953">
        <v>55.999987406062097</v>
      </c>
      <c r="P5953">
        <v>-9.4087471053009603E-2</v>
      </c>
      <c r="Q5953">
        <v>0.168454785240302</v>
      </c>
      <c r="R5953">
        <v>0.93931494375992097</v>
      </c>
      <c r="S5953" t="s">
        <v>12623</v>
      </c>
      <c r="T5953" t="s">
        <v>13338</v>
      </c>
      <c r="U5953" t="s">
        <v>13338</v>
      </c>
      <c r="V5953" t="s">
        <v>13338</v>
      </c>
      <c r="W5953" t="s">
        <v>19231</v>
      </c>
      <c r="X5953">
        <v>3</v>
      </c>
      <c r="Y5953" t="s">
        <v>25721</v>
      </c>
      <c r="Z5953" t="s">
        <v>32368</v>
      </c>
      <c r="AA5953">
        <v>0.62899793689501615</v>
      </c>
      <c r="AB5953" t="str">
        <f>HYPERLINK("Melting_Curves/meltCurve_Q9NUE0_ZDHHC18.pdf", "Melting_Curves/meltCurve_Q9NUE0_ZDHHC18.pdf")</f>
        <v>Melting_Curves/meltCurve_Q9NUE0_ZDHHC18.pdf</v>
      </c>
    </row>
    <row r="5954" spans="1:28" x14ac:dyDescent="0.25">
      <c r="A5954" t="s">
        <v>5958</v>
      </c>
      <c r="B5954">
        <v>0.99193492352474899</v>
      </c>
      <c r="C5954">
        <v>0.78894525655857795</v>
      </c>
      <c r="D5954">
        <v>0.86096570310027698</v>
      </c>
      <c r="E5954">
        <v>0.71178844952778197</v>
      </c>
      <c r="F5954">
        <v>0.69998801300697799</v>
      </c>
      <c r="G5954">
        <v>0.45924975194512802</v>
      </c>
      <c r="H5954">
        <v>0.22357850957927899</v>
      </c>
      <c r="I5954">
        <v>0.25731598334093703</v>
      </c>
      <c r="J5954">
        <v>0.31753390603242798</v>
      </c>
      <c r="K5954">
        <v>0.35650605115927497</v>
      </c>
      <c r="L5954">
        <v>519.96888547709204</v>
      </c>
      <c r="M5954">
        <v>9.8969916068793502</v>
      </c>
      <c r="N5954">
        <v>55.459073203413197</v>
      </c>
      <c r="O5954">
        <v>50.528046760400102</v>
      </c>
      <c r="P5954">
        <v>-3.9041403437935399E-2</v>
      </c>
      <c r="Q5954">
        <v>0.20311630022410199</v>
      </c>
      <c r="R5954">
        <v>0.90135767216090501</v>
      </c>
      <c r="S5954" t="s">
        <v>12624</v>
      </c>
      <c r="T5954" t="s">
        <v>13338</v>
      </c>
      <c r="U5954" t="s">
        <v>13338</v>
      </c>
      <c r="V5954" t="s">
        <v>13338</v>
      </c>
      <c r="W5954" t="s">
        <v>19232</v>
      </c>
      <c r="X5954">
        <v>3</v>
      </c>
      <c r="Y5954" t="s">
        <v>25722</v>
      </c>
      <c r="Z5954" t="s">
        <v>32369</v>
      </c>
      <c r="AA5954">
        <v>0.56511861587836631</v>
      </c>
      <c r="AB5954" t="str">
        <f>HYPERLINK("Melting_Curves/meltCurve_Q9NUG6_PDRG1.pdf", "Melting_Curves/meltCurve_Q9NUG6_PDRG1.pdf")</f>
        <v>Melting_Curves/meltCurve_Q9NUG6_PDRG1.pdf</v>
      </c>
    </row>
    <row r="5955" spans="1:28" x14ac:dyDescent="0.25">
      <c r="A5955" t="s">
        <v>5959</v>
      </c>
      <c r="B5955">
        <v>0.99193492352474899</v>
      </c>
      <c r="C5955">
        <v>0.79591615520639902</v>
      </c>
      <c r="D5955">
        <v>0.89838988238863104</v>
      </c>
      <c r="E5955">
        <v>0.70468017766907998</v>
      </c>
      <c r="F5955">
        <v>0.65694631373218704</v>
      </c>
      <c r="G5955">
        <v>0.55248768204301402</v>
      </c>
      <c r="H5955">
        <v>0.375256928983427</v>
      </c>
      <c r="I5955">
        <v>0.18098620599597101</v>
      </c>
      <c r="J5955">
        <v>0.136186842522526</v>
      </c>
      <c r="K5955">
        <v>9.6950709618141007E-2</v>
      </c>
      <c r="L5955">
        <v>505.67225126495799</v>
      </c>
      <c r="M5955">
        <v>9.0268996757095099</v>
      </c>
      <c r="N5955">
        <v>56.018375014811099</v>
      </c>
      <c r="O5955">
        <v>53.474208357833803</v>
      </c>
      <c r="P5955">
        <v>-4.2232423127642103E-2</v>
      </c>
      <c r="Q5955">
        <v>0</v>
      </c>
      <c r="R5955">
        <v>0.95387521406188802</v>
      </c>
      <c r="S5955" t="s">
        <v>12625</v>
      </c>
      <c r="T5955" t="s">
        <v>13338</v>
      </c>
      <c r="U5955" t="s">
        <v>13338</v>
      </c>
      <c r="V5955" t="s">
        <v>13338</v>
      </c>
      <c r="W5955" t="s">
        <v>19233</v>
      </c>
      <c r="X5955">
        <v>12</v>
      </c>
      <c r="Y5955" t="s">
        <v>25723</v>
      </c>
      <c r="Z5955" t="s">
        <v>32370</v>
      </c>
      <c r="AA5955">
        <v>0.55464201045975869</v>
      </c>
      <c r="AB5955" t="str">
        <f>HYPERLINK("Melting_Curves/meltCurve_Q9NUJ1_ABHD10.pdf", "Melting_Curves/meltCurve_Q9NUJ1_ABHD10.pdf")</f>
        <v>Melting_Curves/meltCurve_Q9NUJ1_ABHD10.pdf</v>
      </c>
    </row>
    <row r="5956" spans="1:28" x14ac:dyDescent="0.25">
      <c r="A5956" t="s">
        <v>5960</v>
      </c>
      <c r="B5956">
        <v>0.99193492352474899</v>
      </c>
      <c r="C5956">
        <v>0.87152019089897503</v>
      </c>
      <c r="D5956">
        <v>0.73633578818302103</v>
      </c>
      <c r="E5956">
        <v>0.55227412836895395</v>
      </c>
      <c r="F5956">
        <v>0.61607889653980696</v>
      </c>
      <c r="G5956">
        <v>0.43829004914881498</v>
      </c>
      <c r="H5956">
        <v>0.43432516971690599</v>
      </c>
      <c r="I5956">
        <v>0.80866225560866001</v>
      </c>
      <c r="J5956">
        <v>0.84334908126053598</v>
      </c>
      <c r="K5956">
        <v>1.4031545975868001</v>
      </c>
      <c r="L5956">
        <v>2601.10673353634</v>
      </c>
      <c r="M5956">
        <v>60.527613604785302</v>
      </c>
      <c r="O5956">
        <v>42.927074071530399</v>
      </c>
      <c r="P5956">
        <v>-9.5727997531369194E-2</v>
      </c>
      <c r="Q5956">
        <v>0.72843343845269204</v>
      </c>
      <c r="R5956">
        <v>9.5720987177293895E-2</v>
      </c>
      <c r="S5956" t="s">
        <v>12626</v>
      </c>
      <c r="T5956" t="s">
        <v>13338</v>
      </c>
      <c r="U5956" t="s">
        <v>13338</v>
      </c>
      <c r="V5956" t="s">
        <v>13338</v>
      </c>
      <c r="W5956" t="s">
        <v>19234</v>
      </c>
      <c r="X5956">
        <v>2</v>
      </c>
      <c r="Y5956" t="s">
        <v>25724</v>
      </c>
      <c r="Z5956" t="s">
        <v>32371</v>
      </c>
      <c r="AA5956">
        <v>0.75576405348193321</v>
      </c>
      <c r="AB5956" t="str">
        <f>HYPERLINK("Melting_Curves/meltCurve_Q9NUL5_3_C19orf66.pdf", "Melting_Curves/meltCurve_Q9NUL5_3_C19orf66.pdf")</f>
        <v>Melting_Curves/meltCurve_Q9NUL5_3_C19orf66.pdf</v>
      </c>
    </row>
    <row r="5957" spans="1:28" x14ac:dyDescent="0.25">
      <c r="A5957" t="s">
        <v>5961</v>
      </c>
      <c r="B5957">
        <v>0.99193492352474899</v>
      </c>
      <c r="C5957">
        <v>0.77593763714629005</v>
      </c>
      <c r="D5957">
        <v>0.98330617577563695</v>
      </c>
      <c r="E5957">
        <v>0.70643540860869003</v>
      </c>
      <c r="F5957">
        <v>0.708828258171048</v>
      </c>
      <c r="G5957">
        <v>0.56977314872298701</v>
      </c>
      <c r="H5957">
        <v>0.45558774867281598</v>
      </c>
      <c r="I5957">
        <v>0.45307176921832298</v>
      </c>
      <c r="J5957">
        <v>0.71053333358716098</v>
      </c>
      <c r="K5957">
        <v>0.68937707706835205</v>
      </c>
      <c r="L5957">
        <v>712.96018761032803</v>
      </c>
      <c r="M5957">
        <v>14.795867069317501</v>
      </c>
      <c r="O5957">
        <v>47.331902644726</v>
      </c>
      <c r="P5957">
        <v>-3.36351768822261E-2</v>
      </c>
      <c r="Q5957">
        <v>0.56965087907425804</v>
      </c>
      <c r="R5957">
        <v>0.63117720594096705</v>
      </c>
      <c r="S5957" t="s">
        <v>12627</v>
      </c>
      <c r="T5957" t="s">
        <v>13338</v>
      </c>
      <c r="U5957" t="s">
        <v>13338</v>
      </c>
      <c r="V5957" t="s">
        <v>13338</v>
      </c>
      <c r="W5957" t="s">
        <v>19235</v>
      </c>
      <c r="X5957">
        <v>6</v>
      </c>
      <c r="Y5957" t="s">
        <v>25725</v>
      </c>
      <c r="Z5957" t="s">
        <v>32372</v>
      </c>
      <c r="AA5957">
        <v>0.69836326013316707</v>
      </c>
      <c r="AB5957" t="str">
        <f>HYPERLINK("Melting_Curves/meltCurve_Q9NUM4_TMEM106B.pdf", "Melting_Curves/meltCurve_Q9NUM4_TMEM106B.pdf")</f>
        <v>Melting_Curves/meltCurve_Q9NUM4_TMEM106B.pdf</v>
      </c>
    </row>
    <row r="5958" spans="1:28" x14ac:dyDescent="0.25">
      <c r="A5958" t="s">
        <v>5962</v>
      </c>
      <c r="B5958">
        <v>0.99193492352474899</v>
      </c>
      <c r="C5958">
        <v>1.2103004567517099</v>
      </c>
      <c r="D5958">
        <v>0.86257170651942505</v>
      </c>
      <c r="E5958">
        <v>0.72109153604969201</v>
      </c>
      <c r="F5958">
        <v>0.36931670378898701</v>
      </c>
      <c r="G5958">
        <v>0.38791453450872598</v>
      </c>
      <c r="H5958">
        <v>0.28768371293773898</v>
      </c>
      <c r="I5958">
        <v>0.38956566707435902</v>
      </c>
      <c r="J5958">
        <v>0.21682237603212601</v>
      </c>
      <c r="K5958">
        <v>0.22054788984555901</v>
      </c>
      <c r="L5958">
        <v>1301.0922490175001</v>
      </c>
      <c r="M5958">
        <v>25.9518286496995</v>
      </c>
      <c r="N5958">
        <v>51.821256068628003</v>
      </c>
      <c r="O5958">
        <v>49.840050272615798</v>
      </c>
      <c r="P5958">
        <v>-9.3061268644866399E-2</v>
      </c>
      <c r="Q5958">
        <v>0.285117854329415</v>
      </c>
      <c r="R5958">
        <v>0.92825479425428803</v>
      </c>
      <c r="S5958" t="s">
        <v>12628</v>
      </c>
      <c r="T5958" t="s">
        <v>13338</v>
      </c>
      <c r="U5958" t="s">
        <v>13338</v>
      </c>
      <c r="V5958" t="s">
        <v>13338</v>
      </c>
      <c r="W5958" t="s">
        <v>19236</v>
      </c>
      <c r="X5958">
        <v>2</v>
      </c>
      <c r="Y5958" t="s">
        <v>25726</v>
      </c>
      <c r="Z5958" t="s">
        <v>32373</v>
      </c>
      <c r="AA5958">
        <v>0.53256228971585384</v>
      </c>
      <c r="AB5958" t="str">
        <f>HYPERLINK("Melting_Curves/meltCurve_Q9NUN5_3_LMBRD1.pdf", "Melting_Curves/meltCurve_Q9NUN5_3_LMBRD1.pdf")</f>
        <v>Melting_Curves/meltCurve_Q9NUN5_3_LMBRD1.pdf</v>
      </c>
    </row>
    <row r="5959" spans="1:28" x14ac:dyDescent="0.25">
      <c r="A5959" t="s">
        <v>5963</v>
      </c>
      <c r="B5959">
        <v>0.99193492352474899</v>
      </c>
      <c r="C5959">
        <v>1.1511522524598601</v>
      </c>
      <c r="D5959">
        <v>0.80691698421085301</v>
      </c>
      <c r="E5959">
        <v>0.92376142687816498</v>
      </c>
      <c r="F5959">
        <v>0.56401865375494298</v>
      </c>
      <c r="G5959">
        <v>0.37409789446277197</v>
      </c>
      <c r="H5959">
        <v>0.13775181087545399</v>
      </c>
      <c r="I5959">
        <v>0.12739554656951099</v>
      </c>
      <c r="J5959">
        <v>0.13788850980195899</v>
      </c>
      <c r="K5959">
        <v>0.339494301170362</v>
      </c>
      <c r="L5959">
        <v>1305.2764522631601</v>
      </c>
      <c r="M5959">
        <v>24.5588507604093</v>
      </c>
      <c r="N5959">
        <v>54.145098258225602</v>
      </c>
      <c r="O5959">
        <v>52.800294811833297</v>
      </c>
      <c r="P5959">
        <v>-9.5146392298447596E-2</v>
      </c>
      <c r="Q5959">
        <v>0.18177209336229599</v>
      </c>
      <c r="R5959">
        <v>0.928487419126372</v>
      </c>
      <c r="S5959" t="s">
        <v>12629</v>
      </c>
      <c r="T5959" t="s">
        <v>13338</v>
      </c>
      <c r="U5959" t="s">
        <v>13338</v>
      </c>
      <c r="V5959" t="s">
        <v>13338</v>
      </c>
      <c r="W5959" t="s">
        <v>19237</v>
      </c>
      <c r="X5959">
        <v>4</v>
      </c>
      <c r="Y5959" t="s">
        <v>25727</v>
      </c>
      <c r="Z5959" t="s">
        <v>32374</v>
      </c>
      <c r="AA5959">
        <v>0.54819495646475191</v>
      </c>
      <c r="AB5959" t="str">
        <f>HYPERLINK("Melting_Curves/meltCurve_Q9NUP1_BLOC1S4.pdf", "Melting_Curves/meltCurve_Q9NUP1_BLOC1S4.pdf")</f>
        <v>Melting_Curves/meltCurve_Q9NUP1_BLOC1S4.pdf</v>
      </c>
    </row>
    <row r="5960" spans="1:28" x14ac:dyDescent="0.25">
      <c r="A5960" t="s">
        <v>5964</v>
      </c>
      <c r="B5960">
        <v>0.99193492352474899</v>
      </c>
      <c r="C5960">
        <v>0.98617313422832698</v>
      </c>
      <c r="D5960">
        <v>0.91424593248285502</v>
      </c>
      <c r="E5960">
        <v>0.52651544751997004</v>
      </c>
      <c r="F5960">
        <v>0.15700558842530599</v>
      </c>
      <c r="G5960">
        <v>8.7736046097233206E-2</v>
      </c>
      <c r="H5960">
        <v>5.0262566942766998E-2</v>
      </c>
      <c r="I5960">
        <v>6.3538568251401195E-2</v>
      </c>
      <c r="J5960">
        <v>6.9733673267617896E-2</v>
      </c>
      <c r="K5960">
        <v>0.126074750126732</v>
      </c>
      <c r="L5960">
        <v>1576.5011839472199</v>
      </c>
      <c r="M5960">
        <v>31.859248954641899</v>
      </c>
      <c r="N5960">
        <v>49.736499721765298</v>
      </c>
      <c r="O5960">
        <v>49.289578003208</v>
      </c>
      <c r="P5960">
        <v>-0.14949755965988201</v>
      </c>
      <c r="Q5960">
        <v>7.4851528359909297E-2</v>
      </c>
      <c r="R5960">
        <v>0.99753131538114703</v>
      </c>
      <c r="S5960" t="s">
        <v>12630</v>
      </c>
      <c r="T5960" t="s">
        <v>13338</v>
      </c>
      <c r="U5960" t="s">
        <v>13338</v>
      </c>
      <c r="V5960" t="s">
        <v>13338</v>
      </c>
      <c r="W5960" t="s">
        <v>19238</v>
      </c>
      <c r="X5960">
        <v>7</v>
      </c>
      <c r="Y5960" t="s">
        <v>25728</v>
      </c>
      <c r="Z5960" t="s">
        <v>32375</v>
      </c>
      <c r="AA5960">
        <v>0.37232248653928518</v>
      </c>
      <c r="AB5960" t="str">
        <f>HYPERLINK("Melting_Curves/meltCurve_Q9NUP7_TRMT13.pdf", "Melting_Curves/meltCurve_Q9NUP7_TRMT13.pdf")</f>
        <v>Melting_Curves/meltCurve_Q9NUP7_TRMT13.pdf</v>
      </c>
    </row>
    <row r="5961" spans="1:28" x14ac:dyDescent="0.25">
      <c r="A5961" t="s">
        <v>5965</v>
      </c>
      <c r="B5961">
        <v>0.99193492352474899</v>
      </c>
      <c r="C5961">
        <v>0.70659815449288699</v>
      </c>
      <c r="D5961">
        <v>0.89873821828487899</v>
      </c>
      <c r="E5961">
        <v>0.48336018856433799</v>
      </c>
      <c r="F5961">
        <v>0.443468888280109</v>
      </c>
      <c r="G5961">
        <v>0.225126421792055</v>
      </c>
      <c r="H5961">
        <v>0.17331008975880799</v>
      </c>
      <c r="I5961">
        <v>0.20305271445558401</v>
      </c>
      <c r="J5961">
        <v>0.21667436676528901</v>
      </c>
      <c r="K5961">
        <v>0.24387034730000101</v>
      </c>
      <c r="L5961">
        <v>647.71253306845404</v>
      </c>
      <c r="M5961">
        <v>13.2681356210805</v>
      </c>
      <c r="N5961">
        <v>50.447933144166598</v>
      </c>
      <c r="O5961">
        <v>47.748194203850097</v>
      </c>
      <c r="P5961">
        <v>-5.7363927957045799E-2</v>
      </c>
      <c r="Q5961">
        <v>0.17438976213506199</v>
      </c>
      <c r="R5961">
        <v>0.91207136005581602</v>
      </c>
      <c r="S5961" t="s">
        <v>12631</v>
      </c>
      <c r="T5961" t="s">
        <v>13338</v>
      </c>
      <c r="U5961" t="s">
        <v>13338</v>
      </c>
      <c r="V5961" t="s">
        <v>13338</v>
      </c>
      <c r="W5961" t="s">
        <v>19239</v>
      </c>
      <c r="X5961">
        <v>7</v>
      </c>
      <c r="Y5961" t="s">
        <v>25729</v>
      </c>
      <c r="Z5961" t="s">
        <v>32376</v>
      </c>
      <c r="AA5961">
        <v>0.44278295899243419</v>
      </c>
      <c r="AB5961" t="str">
        <f>HYPERLINK("Melting_Curves/meltCurve_Q9NUP9_LIN7C.pdf", "Melting_Curves/meltCurve_Q9NUP9_LIN7C.pdf")</f>
        <v>Melting_Curves/meltCurve_Q9NUP9_LIN7C.pdf</v>
      </c>
    </row>
    <row r="5962" spans="1:28" x14ac:dyDescent="0.25">
      <c r="A5962" t="s">
        <v>5966</v>
      </c>
      <c r="B5962">
        <v>0.99193492352474899</v>
      </c>
      <c r="C5962">
        <v>1.05082749088578</v>
      </c>
      <c r="D5962">
        <v>0.40551590496680801</v>
      </c>
      <c r="E5962">
        <v>0.51643909675188404</v>
      </c>
      <c r="F5962">
        <v>0.40220253003115303</v>
      </c>
      <c r="G5962">
        <v>0.37745281857019702</v>
      </c>
      <c r="H5962">
        <v>0.226423027728303</v>
      </c>
      <c r="I5962">
        <v>0.1437737912847</v>
      </c>
      <c r="J5962">
        <v>7.9291816246703506E-2</v>
      </c>
      <c r="K5962">
        <v>0.69541758951718902</v>
      </c>
      <c r="L5962">
        <v>11391.9861048028</v>
      </c>
      <c r="M5962">
        <v>250</v>
      </c>
      <c r="N5962">
        <v>45.786886010564999</v>
      </c>
      <c r="O5962">
        <v>45.565028937209902</v>
      </c>
      <c r="P5962">
        <v>-0.89334635800105899</v>
      </c>
      <c r="Q5962">
        <v>0.34871436637393499</v>
      </c>
      <c r="R5962">
        <v>0.714325658599964</v>
      </c>
      <c r="S5962" t="s">
        <v>12632</v>
      </c>
      <c r="T5962" t="s">
        <v>13338</v>
      </c>
      <c r="U5962" t="s">
        <v>13338</v>
      </c>
      <c r="V5962" t="s">
        <v>13338</v>
      </c>
      <c r="W5962" t="s">
        <v>19240</v>
      </c>
      <c r="X5962">
        <v>4</v>
      </c>
      <c r="Y5962" t="s">
        <v>25730</v>
      </c>
      <c r="Z5962" t="s">
        <v>32377</v>
      </c>
      <c r="AA5962">
        <v>0.46964385732769393</v>
      </c>
      <c r="AB5962" t="str">
        <f>HYPERLINK("Melting_Curves/meltCurve_Q9NUQ2_AGPAT5.pdf", "Melting_Curves/meltCurve_Q9NUQ2_AGPAT5.pdf")</f>
        <v>Melting_Curves/meltCurve_Q9NUQ2_AGPAT5.pdf</v>
      </c>
    </row>
    <row r="5963" spans="1:28" x14ac:dyDescent="0.25">
      <c r="A5963" t="s">
        <v>5967</v>
      </c>
      <c r="B5963">
        <v>0.99193492352474899</v>
      </c>
      <c r="C5963">
        <v>0.80278216499564303</v>
      </c>
      <c r="D5963">
        <v>0.91759516641220995</v>
      </c>
      <c r="E5963">
        <v>0.73181170024268904</v>
      </c>
      <c r="F5963">
        <v>0.39008110643270899</v>
      </c>
      <c r="G5963">
        <v>0.14082684680862401</v>
      </c>
      <c r="H5963">
        <v>8.97066164100567E-2</v>
      </c>
      <c r="I5963">
        <v>0.12199498936170999</v>
      </c>
      <c r="J5963">
        <v>0.118256091004177</v>
      </c>
      <c r="K5963">
        <v>0.131658095248706</v>
      </c>
      <c r="L5963">
        <v>1128.48020026581</v>
      </c>
      <c r="M5963">
        <v>22.0212770105218</v>
      </c>
      <c r="N5963">
        <v>51.750097849215798</v>
      </c>
      <c r="O5963">
        <v>50.828018340274198</v>
      </c>
      <c r="P5963">
        <v>-9.7840579329516703E-2</v>
      </c>
      <c r="Q5963">
        <v>9.6704099564477397E-2</v>
      </c>
      <c r="R5963">
        <v>0.96792752406635696</v>
      </c>
      <c r="S5963" t="s">
        <v>12633</v>
      </c>
      <c r="T5963" t="s">
        <v>13338</v>
      </c>
      <c r="U5963" t="s">
        <v>13338</v>
      </c>
      <c r="V5963" t="s">
        <v>13338</v>
      </c>
      <c r="W5963" t="s">
        <v>19241</v>
      </c>
      <c r="X5963">
        <v>25</v>
      </c>
      <c r="Y5963" t="s">
        <v>25731</v>
      </c>
      <c r="Z5963" t="s">
        <v>32378</v>
      </c>
      <c r="AA5963">
        <v>0.44574569793387242</v>
      </c>
      <c r="AB5963" t="str">
        <f>HYPERLINK("Melting_Curves/meltCurve_Q9NUQ3_TXLNG.pdf", "Melting_Curves/meltCurve_Q9NUQ3_TXLNG.pdf")</f>
        <v>Melting_Curves/meltCurve_Q9NUQ3_TXLNG.pdf</v>
      </c>
    </row>
    <row r="5964" spans="1:28" x14ac:dyDescent="0.25">
      <c r="A5964" t="s">
        <v>5968</v>
      </c>
      <c r="B5964">
        <v>0.99193492352474899</v>
      </c>
      <c r="C5964">
        <v>0.71800549941348502</v>
      </c>
      <c r="D5964">
        <v>0.48230775537388698</v>
      </c>
      <c r="E5964">
        <v>0.34250772251853701</v>
      </c>
      <c r="F5964">
        <v>0.113539460454681</v>
      </c>
      <c r="G5964">
        <v>5.97414514651914E-2</v>
      </c>
      <c r="H5964">
        <v>3.6523448671825498E-2</v>
      </c>
      <c r="I5964">
        <v>6.0776212022167299E-2</v>
      </c>
      <c r="J5964">
        <v>7.8335680084419906E-2</v>
      </c>
      <c r="K5964">
        <v>7.1737390261166406E-2</v>
      </c>
      <c r="L5964">
        <v>733.01029662748704</v>
      </c>
      <c r="M5964">
        <v>15.9907066987455</v>
      </c>
      <c r="N5964">
        <v>46.134230749296101</v>
      </c>
      <c r="O5964">
        <v>45.140825859405098</v>
      </c>
      <c r="P5964">
        <v>-8.4270280044467502E-2</v>
      </c>
      <c r="Q5964">
        <v>4.8514270780189002E-2</v>
      </c>
      <c r="R5964">
        <v>0.98229182949390803</v>
      </c>
      <c r="S5964" t="s">
        <v>12634</v>
      </c>
      <c r="T5964" t="s">
        <v>13338</v>
      </c>
      <c r="U5964" t="s">
        <v>13338</v>
      </c>
      <c r="V5964" t="s">
        <v>13338</v>
      </c>
      <c r="W5964" t="s">
        <v>19242</v>
      </c>
      <c r="X5964">
        <v>4</v>
      </c>
      <c r="Y5964" t="s">
        <v>25732</v>
      </c>
      <c r="Z5964" t="s">
        <v>32379</v>
      </c>
      <c r="AA5964">
        <v>0.25830154775336828</v>
      </c>
      <c r="AB5964" t="str">
        <f>HYPERLINK("Melting_Curves/meltCurve_Q9NUQ7_UFSP2.pdf", "Melting_Curves/meltCurve_Q9NUQ7_UFSP2.pdf")</f>
        <v>Melting_Curves/meltCurve_Q9NUQ7_UFSP2.pdf</v>
      </c>
    </row>
    <row r="5965" spans="1:28" x14ac:dyDescent="0.25">
      <c r="A5965" t="s">
        <v>5969</v>
      </c>
      <c r="B5965">
        <v>0.99193492352474899</v>
      </c>
      <c r="C5965">
        <v>0.56379168381227196</v>
      </c>
      <c r="D5965">
        <v>0.27922519341593199</v>
      </c>
      <c r="E5965">
        <v>0.14088274498588799</v>
      </c>
      <c r="F5965">
        <v>9.5270609784253904E-2</v>
      </c>
      <c r="G5965">
        <v>5.0564837254291603E-2</v>
      </c>
      <c r="H5965">
        <v>2.9090670651389001E-2</v>
      </c>
      <c r="I5965">
        <v>3.6863981388305302E-2</v>
      </c>
      <c r="J5965">
        <v>4.8322179344654603E-2</v>
      </c>
      <c r="K5965">
        <v>4.60522024564139E-2</v>
      </c>
      <c r="L5965">
        <v>1079.9305971675601</v>
      </c>
      <c r="M5965">
        <v>24.781351519273102</v>
      </c>
      <c r="N5965">
        <v>43.786478792238498</v>
      </c>
      <c r="O5965">
        <v>43.2975590533147</v>
      </c>
      <c r="P5965">
        <v>-0.13513975134953499</v>
      </c>
      <c r="Q5965">
        <v>5.5557644991455199E-2</v>
      </c>
      <c r="R5965">
        <v>0.98375957595155294</v>
      </c>
      <c r="S5965" t="s">
        <v>12635</v>
      </c>
      <c r="T5965" t="s">
        <v>13338</v>
      </c>
      <c r="U5965" t="s">
        <v>13338</v>
      </c>
      <c r="V5965" t="s">
        <v>13338</v>
      </c>
      <c r="W5965" t="s">
        <v>19243</v>
      </c>
      <c r="X5965">
        <v>12</v>
      </c>
      <c r="Y5965" t="s">
        <v>25733</v>
      </c>
      <c r="Z5965" t="s">
        <v>32380</v>
      </c>
      <c r="AA5965">
        <v>0.18021172912541331</v>
      </c>
      <c r="AB5965" t="str">
        <f>HYPERLINK("Melting_Curves/meltCurve_Q9NUQ8_ABCF3.pdf", "Melting_Curves/meltCurve_Q9NUQ8_ABCF3.pdf")</f>
        <v>Melting_Curves/meltCurve_Q9NUQ8_ABCF3.pdf</v>
      </c>
    </row>
    <row r="5966" spans="1:28" x14ac:dyDescent="0.25">
      <c r="A5966" t="s">
        <v>5970</v>
      </c>
      <c r="B5966">
        <v>0.99193492352474899</v>
      </c>
      <c r="C5966">
        <v>1.1284282581712699</v>
      </c>
      <c r="D5966">
        <v>1.0099673458334499</v>
      </c>
      <c r="E5966">
        <v>0.98013820710507404</v>
      </c>
      <c r="F5966">
        <v>0.57670281490738595</v>
      </c>
      <c r="G5966">
        <v>0.20676695768041001</v>
      </c>
      <c r="H5966">
        <v>0.107919726303265</v>
      </c>
      <c r="I5966">
        <v>0.11663862930729001</v>
      </c>
      <c r="J5966">
        <v>0.12957549004639199</v>
      </c>
      <c r="K5966">
        <v>0.127964712765962</v>
      </c>
      <c r="L5966">
        <v>2179.9716846319602</v>
      </c>
      <c r="M5966">
        <v>40.870757227392303</v>
      </c>
      <c r="N5966">
        <v>53.706232868896997</v>
      </c>
      <c r="O5966">
        <v>53.210960431396401</v>
      </c>
      <c r="P5966">
        <v>-0.16856760811770599</v>
      </c>
      <c r="Q5966">
        <v>0.122147190071242</v>
      </c>
      <c r="R5966">
        <v>0.98993154260921001</v>
      </c>
      <c r="S5966" t="s">
        <v>12636</v>
      </c>
      <c r="T5966" t="s">
        <v>13338</v>
      </c>
      <c r="U5966" t="s">
        <v>13338</v>
      </c>
      <c r="V5966" t="s">
        <v>13338</v>
      </c>
      <c r="W5966" t="s">
        <v>19244</v>
      </c>
      <c r="X5966">
        <v>25</v>
      </c>
      <c r="Y5966" t="s">
        <v>25734</v>
      </c>
      <c r="Z5966" t="s">
        <v>32381</v>
      </c>
      <c r="AA5966">
        <v>0.51554139040128633</v>
      </c>
      <c r="AB5966" t="str">
        <f>HYPERLINK("Melting_Curves/meltCurve_Q9NUQ9_FAM49B.pdf", "Melting_Curves/meltCurve_Q9NUQ9_FAM49B.pdf")</f>
        <v>Melting_Curves/meltCurve_Q9NUQ9_FAM49B.pdf</v>
      </c>
    </row>
    <row r="5967" spans="1:28" x14ac:dyDescent="0.25">
      <c r="A5967" t="s">
        <v>5971</v>
      </c>
      <c r="B5967">
        <v>0.99193492352474899</v>
      </c>
      <c r="C5967">
        <v>0.75493818554131198</v>
      </c>
      <c r="D5967">
        <v>0.733927038417449</v>
      </c>
      <c r="E5967">
        <v>0.54287897166986099</v>
      </c>
      <c r="F5967">
        <v>0.33405910767288199</v>
      </c>
      <c r="G5967">
        <v>0.106299042638079</v>
      </c>
      <c r="H5967">
        <v>0.10379176173367601</v>
      </c>
      <c r="I5967">
        <v>8.4318947596684304E-2</v>
      </c>
      <c r="J5967">
        <v>0.16788544023442101</v>
      </c>
      <c r="K5967">
        <v>0.105715265062758</v>
      </c>
      <c r="L5967">
        <v>622.45124287650106</v>
      </c>
      <c r="M5967">
        <v>12.7394572590057</v>
      </c>
      <c r="N5967">
        <v>49.404770806536398</v>
      </c>
      <c r="O5967">
        <v>47.703107046433999</v>
      </c>
      <c r="P5967">
        <v>-6.24021650341356E-2</v>
      </c>
      <c r="Q5967">
        <v>6.5514883893275394E-2</v>
      </c>
      <c r="R5967">
        <v>0.96642108049905595</v>
      </c>
      <c r="S5967" t="s">
        <v>12637</v>
      </c>
      <c r="T5967" t="s">
        <v>13338</v>
      </c>
      <c r="U5967" t="s">
        <v>13338</v>
      </c>
      <c r="V5967" t="s">
        <v>13338</v>
      </c>
      <c r="W5967" t="s">
        <v>19245</v>
      </c>
      <c r="X5967">
        <v>2</v>
      </c>
      <c r="Y5967" t="s">
        <v>25735</v>
      </c>
      <c r="Z5967" t="s">
        <v>32382</v>
      </c>
      <c r="AA5967">
        <v>0.37274509117968169</v>
      </c>
      <c r="AB5967" t="str">
        <f>HYPERLINK("Melting_Curves/meltCurve_Q9NUS5_AP5S1.pdf", "Melting_Curves/meltCurve_Q9NUS5_AP5S1.pdf")</f>
        <v>Melting_Curves/meltCurve_Q9NUS5_AP5S1.pdf</v>
      </c>
    </row>
    <row r="5968" spans="1:28" x14ac:dyDescent="0.25">
      <c r="A5968" t="s">
        <v>5972</v>
      </c>
      <c r="B5968">
        <v>0.99193492352474899</v>
      </c>
      <c r="C5968">
        <v>0.83632754091851103</v>
      </c>
      <c r="D5968">
        <v>0.87779493122305396</v>
      </c>
      <c r="E5968">
        <v>0.61318975372404405</v>
      </c>
      <c r="F5968">
        <v>0.21327894816889301</v>
      </c>
      <c r="G5968">
        <v>0.119550635303797</v>
      </c>
      <c r="H5968">
        <v>8.2490920164860898E-2</v>
      </c>
      <c r="I5968">
        <v>7.6110101881863901E-2</v>
      </c>
      <c r="J5968">
        <v>7.7876025238396401E-2</v>
      </c>
      <c r="K5968">
        <v>8.0053697599493906E-2</v>
      </c>
      <c r="L5968">
        <v>1091.9261698679099</v>
      </c>
      <c r="M5968">
        <v>21.863612819181501</v>
      </c>
      <c r="N5968">
        <v>50.261887671292897</v>
      </c>
      <c r="O5968">
        <v>49.530456121606498</v>
      </c>
      <c r="P5968">
        <v>-0.103202180084805</v>
      </c>
      <c r="Q5968">
        <v>6.4832886769488396E-2</v>
      </c>
      <c r="R5968">
        <v>0.98228827160809695</v>
      </c>
      <c r="S5968" t="s">
        <v>12638</v>
      </c>
      <c r="T5968" t="s">
        <v>13338</v>
      </c>
      <c r="U5968" t="s">
        <v>13338</v>
      </c>
      <c r="V5968" t="s">
        <v>13338</v>
      </c>
      <c r="W5968" t="s">
        <v>19246</v>
      </c>
      <c r="X5968">
        <v>22</v>
      </c>
      <c r="Y5968" t="s">
        <v>25736</v>
      </c>
      <c r="Z5968" t="s">
        <v>32383</v>
      </c>
      <c r="AA5968">
        <v>0.38569075604528907</v>
      </c>
      <c r="AB5968" t="str">
        <f>HYPERLINK("Melting_Curves/meltCurve_Q9NUU7_DDX19A.pdf", "Melting_Curves/meltCurve_Q9NUU7_DDX19A.pdf")</f>
        <v>Melting_Curves/meltCurve_Q9NUU7_DDX19A.pdf</v>
      </c>
    </row>
    <row r="5969" spans="1:28" x14ac:dyDescent="0.25">
      <c r="A5969" t="s">
        <v>5973</v>
      </c>
      <c r="B5969">
        <v>0.99193492352474899</v>
      </c>
      <c r="C5969">
        <v>0.76556176228336403</v>
      </c>
      <c r="D5969">
        <v>0.72485050467850898</v>
      </c>
      <c r="E5969">
        <v>0.25778241146472503</v>
      </c>
      <c r="F5969">
        <v>0.12207355670242</v>
      </c>
      <c r="G5969">
        <v>6.8536346208030702E-2</v>
      </c>
      <c r="H5969">
        <v>4.7515708685651199E-2</v>
      </c>
      <c r="I5969">
        <v>5.8825443793312601E-2</v>
      </c>
      <c r="J5969">
        <v>6.0977057949297801E-2</v>
      </c>
      <c r="K5969">
        <v>6.7410217713215703E-2</v>
      </c>
      <c r="L5969">
        <v>930.93213812045894</v>
      </c>
      <c r="M5969">
        <v>19.77281174478</v>
      </c>
      <c r="N5969">
        <v>47.3126106581919</v>
      </c>
      <c r="O5969">
        <v>46.607784347501998</v>
      </c>
      <c r="P5969">
        <v>-0.101179620510716</v>
      </c>
      <c r="Q5969">
        <v>4.6044152262388199E-2</v>
      </c>
      <c r="R5969">
        <v>0.97927440402510701</v>
      </c>
      <c r="S5969" t="s">
        <v>12639</v>
      </c>
      <c r="T5969" t="s">
        <v>13338</v>
      </c>
      <c r="U5969" t="s">
        <v>13338</v>
      </c>
      <c r="V5969" t="s">
        <v>13338</v>
      </c>
      <c r="W5969" t="s">
        <v>19247</v>
      </c>
      <c r="X5969">
        <v>12</v>
      </c>
      <c r="Y5969" t="s">
        <v>25737</v>
      </c>
      <c r="Z5969" t="s">
        <v>32384</v>
      </c>
      <c r="AA5969">
        <v>0.28549844715464001</v>
      </c>
      <c r="AB5969" t="str">
        <f>HYPERLINK("Melting_Curves/meltCurve_Q9NUW8_TDP1.pdf", "Melting_Curves/meltCurve_Q9NUW8_TDP1.pdf")</f>
        <v>Melting_Curves/meltCurve_Q9NUW8_TDP1.pdf</v>
      </c>
    </row>
    <row r="5970" spans="1:28" x14ac:dyDescent="0.25">
      <c r="A5970" t="s">
        <v>5974</v>
      </c>
      <c r="B5970">
        <v>0.99193492352474899</v>
      </c>
      <c r="C5970">
        <v>0.73426775584690296</v>
      </c>
      <c r="D5970">
        <v>0.67745836243260205</v>
      </c>
      <c r="E5970">
        <v>0.27961253162223998</v>
      </c>
      <c r="F5970">
        <v>0.177181129702046</v>
      </c>
      <c r="G5970">
        <v>2.2129675895566199E-2</v>
      </c>
      <c r="H5970">
        <v>2.15590135675491E-2</v>
      </c>
      <c r="I5970">
        <v>0</v>
      </c>
      <c r="J5970">
        <v>0</v>
      </c>
      <c r="K5970">
        <v>0</v>
      </c>
      <c r="L5970">
        <v>750.00619873836797</v>
      </c>
      <c r="M5970">
        <v>15.890030026156101</v>
      </c>
      <c r="N5970">
        <v>47.199804111478699</v>
      </c>
      <c r="O5970">
        <v>46.471240553926997</v>
      </c>
      <c r="P5970">
        <v>-8.5490068007336606E-2</v>
      </c>
      <c r="Q5970">
        <v>0</v>
      </c>
      <c r="R5970">
        <v>0.98252691122892</v>
      </c>
      <c r="S5970" t="s">
        <v>12640</v>
      </c>
      <c r="T5970" t="s">
        <v>13338</v>
      </c>
      <c r="U5970" t="s">
        <v>13338</v>
      </c>
      <c r="V5970" t="s">
        <v>13338</v>
      </c>
      <c r="W5970" t="s">
        <v>19248</v>
      </c>
      <c r="X5970">
        <v>2</v>
      </c>
      <c r="Y5970" t="s">
        <v>25738</v>
      </c>
      <c r="Z5970" t="s">
        <v>32385</v>
      </c>
      <c r="AA5970">
        <v>0.26382099098035039</v>
      </c>
      <c r="AB5970" t="str">
        <f>HYPERLINK("Melting_Curves/meltCurve_Q9NUX5_2_POT1.pdf", "Melting_Curves/meltCurve_Q9NUX5_2_POT1.pdf")</f>
        <v>Melting_Curves/meltCurve_Q9NUX5_2_POT1.pdf</v>
      </c>
    </row>
    <row r="5971" spans="1:28" x14ac:dyDescent="0.25">
      <c r="A5971" t="s">
        <v>5975</v>
      </c>
      <c r="B5971">
        <v>0.99193492352474899</v>
      </c>
      <c r="C5971">
        <v>0.60489025353329695</v>
      </c>
      <c r="D5971">
        <v>1.05892949269656</v>
      </c>
      <c r="E5971">
        <v>0.54990948257238303</v>
      </c>
      <c r="F5971">
        <v>0.47202998710677702</v>
      </c>
      <c r="G5971">
        <v>0.21921249423908301</v>
      </c>
      <c r="H5971">
        <v>9.3861719197190205E-2</v>
      </c>
      <c r="I5971">
        <v>0.115185392461121</v>
      </c>
      <c r="J5971">
        <v>0.11736829080113299</v>
      </c>
      <c r="K5971">
        <v>0.105448079449751</v>
      </c>
      <c r="L5971">
        <v>645.24729181308896</v>
      </c>
      <c r="M5971">
        <v>12.584731665158399</v>
      </c>
      <c r="N5971">
        <v>51.630272509732997</v>
      </c>
      <c r="O5971">
        <v>50.029278433164002</v>
      </c>
      <c r="P5971">
        <v>-6.0271145593503897E-2</v>
      </c>
      <c r="Q5971">
        <v>4.1785691582910803E-2</v>
      </c>
      <c r="R5971">
        <v>0.854504778746628</v>
      </c>
      <c r="S5971" t="s">
        <v>12641</v>
      </c>
      <c r="T5971" t="s">
        <v>13338</v>
      </c>
      <c r="U5971" t="s">
        <v>13338</v>
      </c>
      <c r="V5971" t="s">
        <v>13338</v>
      </c>
      <c r="W5971" t="s">
        <v>19249</v>
      </c>
      <c r="X5971">
        <v>9</v>
      </c>
      <c r="Y5971" t="s">
        <v>25739</v>
      </c>
      <c r="Z5971" t="s">
        <v>32386</v>
      </c>
      <c r="AA5971">
        <v>0.43055420560101693</v>
      </c>
      <c r="AB5971" t="str">
        <f>HYPERLINK("Melting_Curves/meltCurve_Q9NV06_DCAF13.pdf", "Melting_Curves/meltCurve_Q9NV06_DCAF13.pdf")</f>
        <v>Melting_Curves/meltCurve_Q9NV06_DCAF13.pdf</v>
      </c>
    </row>
    <row r="5972" spans="1:28" x14ac:dyDescent="0.25">
      <c r="A5972" t="s">
        <v>5976</v>
      </c>
      <c r="B5972">
        <v>0.99193492352474899</v>
      </c>
      <c r="C5972">
        <v>0.27301274042311502</v>
      </c>
      <c r="D5972">
        <v>0.54143576012216199</v>
      </c>
      <c r="E5972">
        <v>0.14931568333213299</v>
      </c>
      <c r="F5972">
        <v>0.10617988921492701</v>
      </c>
      <c r="G5972">
        <v>4.1309512372674703E-2</v>
      </c>
      <c r="H5972">
        <v>2.4494491228884901E-2</v>
      </c>
      <c r="I5972">
        <v>3.8952762456899603E-2</v>
      </c>
      <c r="J5972">
        <v>9.4025959390604E-2</v>
      </c>
      <c r="K5972">
        <v>9.04005850866096E-2</v>
      </c>
      <c r="L5972">
        <v>683.07260444334895</v>
      </c>
      <c r="M5972">
        <v>15.768506553525199</v>
      </c>
      <c r="N5972">
        <v>43.658808540241303</v>
      </c>
      <c r="O5972">
        <v>42.640038203840902</v>
      </c>
      <c r="P5972">
        <v>-8.7116572397634304E-2</v>
      </c>
      <c r="Q5972">
        <v>5.7781264492860501E-2</v>
      </c>
      <c r="R5972">
        <v>0.79499848424086605</v>
      </c>
      <c r="S5972" t="s">
        <v>12642</v>
      </c>
      <c r="T5972" t="s">
        <v>13338</v>
      </c>
      <c r="U5972" t="s">
        <v>13338</v>
      </c>
      <c r="V5972" t="s">
        <v>13338</v>
      </c>
      <c r="W5972" t="s">
        <v>19250</v>
      </c>
      <c r="X5972">
        <v>1</v>
      </c>
      <c r="Y5972" t="s">
        <v>25740</v>
      </c>
      <c r="Z5972" t="s">
        <v>32387</v>
      </c>
      <c r="AA5972">
        <v>0.19619279391177799</v>
      </c>
      <c r="AB5972" t="str">
        <f>HYPERLINK("Melting_Curves/meltCurve_Q9NV31_IMP3.pdf", "Melting_Curves/meltCurve_Q9NV31_IMP3.pdf")</f>
        <v>Melting_Curves/meltCurve_Q9NV31_IMP3.pdf</v>
      </c>
    </row>
    <row r="5973" spans="1:28" x14ac:dyDescent="0.25">
      <c r="A5973" t="s">
        <v>5977</v>
      </c>
      <c r="B5973">
        <v>0.99193492352474899</v>
      </c>
      <c r="C5973">
        <v>0.79304505024509298</v>
      </c>
      <c r="D5973">
        <v>0.84387416637701296</v>
      </c>
      <c r="E5973">
        <v>0.64449437207624305</v>
      </c>
      <c r="F5973">
        <v>0.47310715326421199</v>
      </c>
      <c r="G5973">
        <v>0.21658556776117199</v>
      </c>
      <c r="H5973">
        <v>0.115003158643257</v>
      </c>
      <c r="I5973">
        <v>0.108300260189579</v>
      </c>
      <c r="J5973">
        <v>0.1222513443172</v>
      </c>
      <c r="K5973">
        <v>0.119647427598428</v>
      </c>
      <c r="L5973">
        <v>623.92580995588401</v>
      </c>
      <c r="M5973">
        <v>12.1574422884042</v>
      </c>
      <c r="N5973">
        <v>51.711133198476503</v>
      </c>
      <c r="O5973">
        <v>49.991159551718297</v>
      </c>
      <c r="P5973">
        <v>-5.8143724187352898E-2</v>
      </c>
      <c r="Q5973">
        <v>4.3875815603344401E-2</v>
      </c>
      <c r="R5973">
        <v>0.97375475788245602</v>
      </c>
      <c r="S5973" t="s">
        <v>12643</v>
      </c>
      <c r="T5973" t="s">
        <v>13338</v>
      </c>
      <c r="U5973" t="s">
        <v>13338</v>
      </c>
      <c r="V5973" t="s">
        <v>13338</v>
      </c>
      <c r="W5973" t="s">
        <v>19251</v>
      </c>
      <c r="X5973">
        <v>5</v>
      </c>
      <c r="Y5973" t="s">
        <v>25741</v>
      </c>
      <c r="Z5973" t="s">
        <v>32388</v>
      </c>
      <c r="AA5973">
        <v>0.43469249482069172</v>
      </c>
      <c r="AB5973" t="str">
        <f>HYPERLINK("Melting_Curves/meltCurve_Q9NV35_NUDT15.pdf", "Melting_Curves/meltCurve_Q9NV35_NUDT15.pdf")</f>
        <v>Melting_Curves/meltCurve_Q9NV35_NUDT15.pdf</v>
      </c>
    </row>
    <row r="5974" spans="1:28" x14ac:dyDescent="0.25">
      <c r="A5974" t="s">
        <v>5978</v>
      </c>
      <c r="B5974">
        <v>0.99193492352474899</v>
      </c>
      <c r="C5974">
        <v>0.68761995960897704</v>
      </c>
      <c r="D5974">
        <v>0.83198058335755098</v>
      </c>
      <c r="E5974">
        <v>0.58613083557512202</v>
      </c>
      <c r="F5974">
        <v>0.244532975217855</v>
      </c>
      <c r="G5974">
        <v>0.14082556375469699</v>
      </c>
      <c r="H5974">
        <v>0.12934999626139501</v>
      </c>
      <c r="I5974">
        <v>0.13887392253074901</v>
      </c>
      <c r="J5974">
        <v>0.15842290052556601</v>
      </c>
      <c r="K5974">
        <v>0.17887037607026099</v>
      </c>
      <c r="L5974">
        <v>708.93502304200604</v>
      </c>
      <c r="M5974">
        <v>14.533786208662001</v>
      </c>
      <c r="N5974">
        <v>49.6239424476178</v>
      </c>
      <c r="O5974">
        <v>47.882857968639897</v>
      </c>
      <c r="P5974">
        <v>-6.7567104114302098E-2</v>
      </c>
      <c r="Q5974">
        <v>0.109678526968117</v>
      </c>
      <c r="R5974">
        <v>0.92563154814780102</v>
      </c>
      <c r="S5974" t="s">
        <v>12644</v>
      </c>
      <c r="T5974" t="s">
        <v>13338</v>
      </c>
      <c r="U5974" t="s">
        <v>13338</v>
      </c>
      <c r="V5974" t="s">
        <v>13338</v>
      </c>
      <c r="W5974" t="s">
        <v>19252</v>
      </c>
      <c r="X5974">
        <v>3</v>
      </c>
      <c r="Y5974" t="s">
        <v>25742</v>
      </c>
      <c r="Z5974" t="s">
        <v>32389</v>
      </c>
      <c r="AA5974">
        <v>0.39372254332283069</v>
      </c>
      <c r="AB5974" t="str">
        <f>HYPERLINK("Melting_Curves/meltCurve_Q9NV56_MRGBP.pdf", "Melting_Curves/meltCurve_Q9NV56_MRGBP.pdf")</f>
        <v>Melting_Curves/meltCurve_Q9NV56_MRGBP.pdf</v>
      </c>
    </row>
    <row r="5975" spans="1:28" x14ac:dyDescent="0.25">
      <c r="A5975" t="s">
        <v>5979</v>
      </c>
      <c r="B5975">
        <v>0.99193492352474899</v>
      </c>
      <c r="C5975">
        <v>0.89649273135512397</v>
      </c>
      <c r="D5975">
        <v>0.80590135530167295</v>
      </c>
      <c r="E5975">
        <v>0.46054403377747399</v>
      </c>
      <c r="F5975">
        <v>0.31473294660293999</v>
      </c>
      <c r="G5975">
        <v>0.16334719102446599</v>
      </c>
      <c r="H5975">
        <v>7.6489245983315204E-2</v>
      </c>
      <c r="I5975">
        <v>0.13178969205949101</v>
      </c>
      <c r="J5975">
        <v>0.13331063114262701</v>
      </c>
      <c r="K5975">
        <v>8.8796263313322896E-2</v>
      </c>
      <c r="L5975">
        <v>844.65229379233597</v>
      </c>
      <c r="M5975">
        <v>17.264288374481701</v>
      </c>
      <c r="N5975">
        <v>49.534435270570803</v>
      </c>
      <c r="O5975">
        <v>48.282554183255499</v>
      </c>
      <c r="P5975">
        <v>-8.0841233624267303E-2</v>
      </c>
      <c r="Q5975">
        <v>9.5706845290714604E-2</v>
      </c>
      <c r="R5975">
        <v>0.99265100648225302</v>
      </c>
      <c r="S5975" t="s">
        <v>12645</v>
      </c>
      <c r="T5975" t="s">
        <v>13338</v>
      </c>
      <c r="U5975" t="s">
        <v>13338</v>
      </c>
      <c r="V5975" t="s">
        <v>13338</v>
      </c>
      <c r="W5975" t="s">
        <v>19253</v>
      </c>
      <c r="X5975">
        <v>2</v>
      </c>
      <c r="Y5975" t="s">
        <v>25743</v>
      </c>
      <c r="Z5975" t="s">
        <v>32390</v>
      </c>
      <c r="AA5975">
        <v>0.38177349327546722</v>
      </c>
      <c r="AB5975" t="str">
        <f>HYPERLINK("Melting_Curves/meltCurve_Q9NV66_TYW1.pdf", "Melting_Curves/meltCurve_Q9NV66_TYW1.pdf")</f>
        <v>Melting_Curves/meltCurve_Q9NV66_TYW1.pdf</v>
      </c>
    </row>
    <row r="5976" spans="1:28" x14ac:dyDescent="0.25">
      <c r="A5976" t="s">
        <v>5980</v>
      </c>
      <c r="B5976">
        <v>0.99193492352474899</v>
      </c>
      <c r="C5976">
        <v>0.72707321076110099</v>
      </c>
      <c r="D5976">
        <v>0.66999101761457303</v>
      </c>
      <c r="E5976">
        <v>0.25705943099296902</v>
      </c>
      <c r="F5976">
        <v>0.14933461424618499</v>
      </c>
      <c r="G5976">
        <v>7.0948906643863996E-2</v>
      </c>
      <c r="H5976">
        <v>3.8583363142172498E-2</v>
      </c>
      <c r="I5976">
        <v>4.7465017146172898E-2</v>
      </c>
      <c r="J5976">
        <v>6.0982288074168202E-2</v>
      </c>
      <c r="K5976">
        <v>5.5732429840206099E-2</v>
      </c>
      <c r="L5976">
        <v>790.04375015499204</v>
      </c>
      <c r="M5976">
        <v>16.9042647926589</v>
      </c>
      <c r="N5976">
        <v>46.948553336900197</v>
      </c>
      <c r="O5976">
        <v>46.097007243204203</v>
      </c>
      <c r="P5976">
        <v>-8.8311464079469604E-2</v>
      </c>
      <c r="Q5976">
        <v>3.6778781579280002E-2</v>
      </c>
      <c r="R5976">
        <v>0.98021903475815197</v>
      </c>
      <c r="S5976" t="s">
        <v>12646</v>
      </c>
      <c r="T5976" t="s">
        <v>13338</v>
      </c>
      <c r="U5976" t="s">
        <v>13338</v>
      </c>
      <c r="V5976" t="s">
        <v>13338</v>
      </c>
      <c r="W5976" t="s">
        <v>19254</v>
      </c>
      <c r="X5976">
        <v>10</v>
      </c>
      <c r="Y5976" t="s">
        <v>25744</v>
      </c>
      <c r="Z5976" t="s">
        <v>32391</v>
      </c>
      <c r="AA5976">
        <v>0.27372723859221282</v>
      </c>
      <c r="AB5976" t="str">
        <f>HYPERLINK("Melting_Curves/meltCurve_Q9NV70_2_EXOC1.pdf", "Melting_Curves/meltCurve_Q9NV70_2_EXOC1.pdf")</f>
        <v>Melting_Curves/meltCurve_Q9NV70_2_EXOC1.pdf</v>
      </c>
    </row>
    <row r="5977" spans="1:28" x14ac:dyDescent="0.25">
      <c r="A5977" t="s">
        <v>5981</v>
      </c>
      <c r="B5977">
        <v>0.99193492352474899</v>
      </c>
      <c r="C5977">
        <v>0.91598694779999101</v>
      </c>
      <c r="D5977">
        <v>0.86922183218788796</v>
      </c>
      <c r="E5977">
        <v>0.68809796155925196</v>
      </c>
      <c r="F5977">
        <v>0.53540151123922797</v>
      </c>
      <c r="G5977">
        <v>0.124029110243308</v>
      </c>
      <c r="H5977">
        <v>5.1702747431553703E-2</v>
      </c>
      <c r="I5977">
        <v>5.91392283843966E-2</v>
      </c>
      <c r="J5977">
        <v>6.0248427201978198E-2</v>
      </c>
      <c r="K5977">
        <v>6.9941707204469003E-2</v>
      </c>
      <c r="L5977">
        <v>870.13511608634803</v>
      </c>
      <c r="M5977">
        <v>16.679241324042898</v>
      </c>
      <c r="N5977">
        <v>52.259936378172</v>
      </c>
      <c r="O5977">
        <v>51.436154391615702</v>
      </c>
      <c r="P5977">
        <v>-7.9910582929912599E-2</v>
      </c>
      <c r="Q5977">
        <v>1.43392572957879E-2</v>
      </c>
      <c r="R5977">
        <v>0.97992690586532105</v>
      </c>
      <c r="S5977" t="s">
        <v>12647</v>
      </c>
      <c r="T5977" t="s">
        <v>13338</v>
      </c>
      <c r="U5977" t="s">
        <v>13338</v>
      </c>
      <c r="V5977" t="s">
        <v>13338</v>
      </c>
      <c r="W5977" t="s">
        <v>19255</v>
      </c>
      <c r="X5977">
        <v>11</v>
      </c>
      <c r="Y5977" t="s">
        <v>25745</v>
      </c>
      <c r="Z5977" t="s">
        <v>32392</v>
      </c>
      <c r="AA5977">
        <v>0.43270749847080631</v>
      </c>
      <c r="AB5977" t="str">
        <f>HYPERLINK("Melting_Curves/meltCurve_Q9NV88_3_INTS9.pdf", "Melting_Curves/meltCurve_Q9NV88_3_INTS9.pdf")</f>
        <v>Melting_Curves/meltCurve_Q9NV88_3_INTS9.pdf</v>
      </c>
    </row>
    <row r="5978" spans="1:28" x14ac:dyDescent="0.25">
      <c r="A5978" t="s">
        <v>5982</v>
      </c>
      <c r="B5978">
        <v>0.99193492352474899</v>
      </c>
      <c r="C5978">
        <v>0.98733179335087395</v>
      </c>
      <c r="D5978">
        <v>0.94372718736448002</v>
      </c>
      <c r="E5978">
        <v>0.73834194490035798</v>
      </c>
      <c r="F5978">
        <v>0.61552518183910299</v>
      </c>
      <c r="G5978">
        <v>0.32895265024806902</v>
      </c>
      <c r="H5978">
        <v>0.22598837354668699</v>
      </c>
      <c r="I5978">
        <v>0.27607785206840502</v>
      </c>
      <c r="J5978">
        <v>0.43325645284575398</v>
      </c>
      <c r="K5978">
        <v>0.30664697764683801</v>
      </c>
      <c r="L5978">
        <v>1082.8540421785101</v>
      </c>
      <c r="M5978">
        <v>21.042444406764002</v>
      </c>
      <c r="N5978">
        <v>53.780289435358704</v>
      </c>
      <c r="O5978">
        <v>51.002468900769401</v>
      </c>
      <c r="P5978">
        <v>-7.2381518218471899E-2</v>
      </c>
      <c r="Q5978">
        <v>0.298268261972154</v>
      </c>
      <c r="R5978">
        <v>0.95471627407222304</v>
      </c>
      <c r="S5978" t="s">
        <v>12648</v>
      </c>
      <c r="T5978" t="s">
        <v>13338</v>
      </c>
      <c r="U5978" t="s">
        <v>13338</v>
      </c>
      <c r="V5978" t="s">
        <v>13338</v>
      </c>
      <c r="W5978" t="s">
        <v>19256</v>
      </c>
      <c r="X5978">
        <v>6</v>
      </c>
      <c r="Y5978" t="s">
        <v>25746</v>
      </c>
      <c r="Z5978" t="s">
        <v>32393</v>
      </c>
      <c r="AA5978">
        <v>0.57519648524982803</v>
      </c>
      <c r="AB5978" t="str">
        <f>HYPERLINK("Melting_Curves/meltCurve_Q9NV96_TMEM30A.pdf", "Melting_Curves/meltCurve_Q9NV96_TMEM30A.pdf")</f>
        <v>Melting_Curves/meltCurve_Q9NV96_TMEM30A.pdf</v>
      </c>
    </row>
    <row r="5979" spans="1:28" x14ac:dyDescent="0.25">
      <c r="A5979" t="s">
        <v>5983</v>
      </c>
      <c r="B5979">
        <v>0.99193492352474899</v>
      </c>
      <c r="C5979">
        <v>0.89575692989837397</v>
      </c>
      <c r="D5979">
        <v>0.94855309960378098</v>
      </c>
      <c r="E5979">
        <v>0.71500029969426904</v>
      </c>
      <c r="F5979">
        <v>0.50674473949659704</v>
      </c>
      <c r="G5979">
        <v>0.26820058200179098</v>
      </c>
      <c r="H5979">
        <v>0.15641192754914099</v>
      </c>
      <c r="I5979">
        <v>0.14176345799269399</v>
      </c>
      <c r="J5979">
        <v>0.158355006140212</v>
      </c>
      <c r="K5979">
        <v>0.200293825472701</v>
      </c>
      <c r="L5979">
        <v>945.61892600197996</v>
      </c>
      <c r="M5979">
        <v>18.2531805470054</v>
      </c>
      <c r="N5979">
        <v>52.760560371791797</v>
      </c>
      <c r="O5979">
        <v>51.195914882089397</v>
      </c>
      <c r="P5979">
        <v>-7.6599820957872503E-2</v>
      </c>
      <c r="Q5979">
        <v>0.14066158773068799</v>
      </c>
      <c r="R5979">
        <v>0.98707651841345501</v>
      </c>
      <c r="S5979" t="s">
        <v>12649</v>
      </c>
      <c r="T5979" t="s">
        <v>13338</v>
      </c>
      <c r="U5979" t="s">
        <v>13338</v>
      </c>
      <c r="V5979" t="s">
        <v>13338</v>
      </c>
      <c r="W5979" t="s">
        <v>19257</v>
      </c>
      <c r="X5979">
        <v>7</v>
      </c>
      <c r="Y5979" t="s">
        <v>25747</v>
      </c>
      <c r="Z5979" t="s">
        <v>32394</v>
      </c>
      <c r="AA5979">
        <v>0.49282654223937078</v>
      </c>
      <c r="AB5979" t="str">
        <f>HYPERLINK("Melting_Curves/meltCurve_Q9NVA1_UQCC.pdf", "Melting_Curves/meltCurve_Q9NVA1_UQCC.pdf")</f>
        <v>Melting_Curves/meltCurve_Q9NVA1_UQCC.pdf</v>
      </c>
    </row>
    <row r="5980" spans="1:28" x14ac:dyDescent="0.25">
      <c r="A5980" t="s">
        <v>5984</v>
      </c>
      <c r="B5980">
        <v>0.99193492352474899</v>
      </c>
      <c r="C5980">
        <v>0.75162279227647599</v>
      </c>
      <c r="D5980">
        <v>0.96497466417811395</v>
      </c>
      <c r="E5980">
        <v>0.66343092847584095</v>
      </c>
      <c r="F5980">
        <v>0.70052447508524995</v>
      </c>
      <c r="G5980">
        <v>0.47137924400185899</v>
      </c>
      <c r="H5980">
        <v>0.42004350812691599</v>
      </c>
      <c r="I5980">
        <v>0.36977817749615</v>
      </c>
      <c r="J5980">
        <v>0.28546385542515901</v>
      </c>
      <c r="K5980">
        <v>0.28743023693085401</v>
      </c>
      <c r="L5980">
        <v>383.13159130407399</v>
      </c>
      <c r="M5980">
        <v>6.8252073238025703</v>
      </c>
      <c r="N5980">
        <v>57.606941236033897</v>
      </c>
      <c r="O5980">
        <v>51.907692329613099</v>
      </c>
      <c r="P5980">
        <v>-3.03027015023286E-2</v>
      </c>
      <c r="Q5980">
        <v>8.0027417479837201E-2</v>
      </c>
      <c r="R5980">
        <v>0.91017730544705899</v>
      </c>
      <c r="S5980" t="s">
        <v>12650</v>
      </c>
      <c r="T5980" t="s">
        <v>13338</v>
      </c>
      <c r="U5980" t="s">
        <v>13338</v>
      </c>
      <c r="V5980" t="s">
        <v>13338</v>
      </c>
      <c r="W5980" t="s">
        <v>19258</v>
      </c>
      <c r="X5980">
        <v>1</v>
      </c>
      <c r="Y5980" t="s">
        <v>25748</v>
      </c>
      <c r="Z5980" t="s">
        <v>32395</v>
      </c>
      <c r="AA5980">
        <v>0.58972927073022774</v>
      </c>
      <c r="AB5980" t="str">
        <f>HYPERLINK("Melting_Curves/meltCurve_Q9NVA4_TMEM184C.pdf", "Melting_Curves/meltCurve_Q9NVA4_TMEM184C.pdf")</f>
        <v>Melting_Curves/meltCurve_Q9NVA4_TMEM184C.pdf</v>
      </c>
    </row>
    <row r="5981" spans="1:28" x14ac:dyDescent="0.25">
      <c r="A5981" t="s">
        <v>5985</v>
      </c>
      <c r="B5981">
        <v>0.99193492352474899</v>
      </c>
      <c r="C5981">
        <v>1.02155653377238</v>
      </c>
      <c r="D5981">
        <v>1.1101748790777299</v>
      </c>
      <c r="E5981">
        <v>0.83786634033378504</v>
      </c>
      <c r="F5981">
        <v>0.81634842770449301</v>
      </c>
      <c r="G5981">
        <v>0.52254122666215097</v>
      </c>
      <c r="H5981">
        <v>0.434948732680707</v>
      </c>
      <c r="I5981">
        <v>0.44273965035095902</v>
      </c>
      <c r="J5981">
        <v>0.58169550292137695</v>
      </c>
      <c r="K5981">
        <v>0.33080019038628999</v>
      </c>
      <c r="L5981">
        <v>1319.4507465116901</v>
      </c>
      <c r="M5981">
        <v>24.512771738583901</v>
      </c>
      <c r="N5981">
        <v>58.629060875163901</v>
      </c>
      <c r="O5981">
        <v>53.472697570845</v>
      </c>
      <c r="P5981">
        <v>-6.4998496203352601E-2</v>
      </c>
      <c r="Q5981">
        <v>0.43285191706022202</v>
      </c>
      <c r="R5981">
        <v>0.91252261294363002</v>
      </c>
      <c r="S5981" t="s">
        <v>12651</v>
      </c>
      <c r="T5981" t="s">
        <v>13338</v>
      </c>
      <c r="U5981" t="s">
        <v>13338</v>
      </c>
      <c r="V5981" t="s">
        <v>13338</v>
      </c>
      <c r="W5981" t="s">
        <v>19259</v>
      </c>
      <c r="X5981">
        <v>2</v>
      </c>
      <c r="Y5981" t="s">
        <v>25749</v>
      </c>
      <c r="Z5981" t="s">
        <v>32396</v>
      </c>
      <c r="AA5981">
        <v>0.69968896283840398</v>
      </c>
      <c r="AB5981" t="str">
        <f>HYPERLINK("Melting_Curves/meltCurve_Q9NVC3_SLC38A7.pdf", "Melting_Curves/meltCurve_Q9NVC3_SLC38A7.pdf")</f>
        <v>Melting_Curves/meltCurve_Q9NVC3_SLC38A7.pdf</v>
      </c>
    </row>
    <row r="5982" spans="1:28" x14ac:dyDescent="0.25">
      <c r="A5982" t="s">
        <v>5986</v>
      </c>
      <c r="B5982">
        <v>0.99193492352474899</v>
      </c>
      <c r="C5982">
        <v>0.88352612982526602</v>
      </c>
      <c r="D5982">
        <v>0.81129808007554804</v>
      </c>
      <c r="E5982">
        <v>0.44502738898875399</v>
      </c>
      <c r="F5982">
        <v>0.19633119190717599</v>
      </c>
      <c r="G5982">
        <v>0.142680187540972</v>
      </c>
      <c r="H5982">
        <v>8.0233429565641307E-2</v>
      </c>
      <c r="I5982">
        <v>9.0079671888695007E-2</v>
      </c>
      <c r="J5982">
        <v>8.2512960079506897E-2</v>
      </c>
      <c r="K5982">
        <v>9.7993830398374199E-2</v>
      </c>
      <c r="L5982">
        <v>998.19389572951297</v>
      </c>
      <c r="M5982">
        <v>20.541046161907801</v>
      </c>
      <c r="N5982">
        <v>49.021515293309903</v>
      </c>
      <c r="O5982">
        <v>48.141550806047299</v>
      </c>
      <c r="P5982">
        <v>-9.7945770816023306E-2</v>
      </c>
      <c r="Q5982">
        <v>8.18144880527093E-2</v>
      </c>
      <c r="R5982">
        <v>0.99549849180185801</v>
      </c>
      <c r="S5982" t="s">
        <v>12652</v>
      </c>
      <c r="T5982" t="s">
        <v>13338</v>
      </c>
      <c r="U5982" t="s">
        <v>13338</v>
      </c>
      <c r="V5982" t="s">
        <v>13338</v>
      </c>
      <c r="W5982" t="s">
        <v>19260</v>
      </c>
      <c r="X5982">
        <v>10</v>
      </c>
      <c r="Y5982" t="s">
        <v>25750</v>
      </c>
      <c r="Z5982" t="s">
        <v>32397</v>
      </c>
      <c r="AA5982">
        <v>0.35710233928229779</v>
      </c>
      <c r="AB5982" t="str">
        <f>HYPERLINK("Melting_Curves/meltCurve_Q9NVC6_MED17.pdf", "Melting_Curves/meltCurve_Q9NVC6_MED17.pdf")</f>
        <v>Melting_Curves/meltCurve_Q9NVC6_MED17.pdf</v>
      </c>
    </row>
    <row r="5983" spans="1:28" x14ac:dyDescent="0.25">
      <c r="A5983" t="s">
        <v>5987</v>
      </c>
      <c r="B5983">
        <v>0.99193492352474899</v>
      </c>
      <c r="C5983">
        <v>0.97221876129186702</v>
      </c>
      <c r="D5983">
        <v>0.92615995022725295</v>
      </c>
      <c r="E5983">
        <v>0.708763645656587</v>
      </c>
      <c r="F5983">
        <v>0.29200234779221002</v>
      </c>
      <c r="G5983">
        <v>0.156569707802067</v>
      </c>
      <c r="H5983">
        <v>0.103584272244141</v>
      </c>
      <c r="I5983">
        <v>0.14616303170132799</v>
      </c>
      <c r="J5983">
        <v>0.12955427313972101</v>
      </c>
      <c r="K5983">
        <v>0.115264246386085</v>
      </c>
      <c r="L5983">
        <v>1452.21174178398</v>
      </c>
      <c r="M5983">
        <v>28.6456960148601</v>
      </c>
      <c r="N5983">
        <v>51.183966639827403</v>
      </c>
      <c r="O5983">
        <v>50.450503909068402</v>
      </c>
      <c r="P5983">
        <v>-0.12497731657257199</v>
      </c>
      <c r="Q5983">
        <v>0.119571897150311</v>
      </c>
      <c r="R5983">
        <v>0.997884076763218</v>
      </c>
      <c r="S5983" t="s">
        <v>12653</v>
      </c>
      <c r="T5983" t="s">
        <v>13338</v>
      </c>
      <c r="U5983" t="s">
        <v>13338</v>
      </c>
      <c r="V5983" t="s">
        <v>13338</v>
      </c>
      <c r="W5983" t="s">
        <v>19261</v>
      </c>
      <c r="X5983">
        <v>7</v>
      </c>
      <c r="Y5983" t="s">
        <v>25751</v>
      </c>
      <c r="Z5983" t="s">
        <v>32398</v>
      </c>
      <c r="AA5983">
        <v>0.43950616959549238</v>
      </c>
      <c r="AB5983" t="str">
        <f>HYPERLINK("Melting_Curves/meltCurve_Q9NVE7_PANK4.pdf", "Melting_Curves/meltCurve_Q9NVE7_PANK4.pdf")</f>
        <v>Melting_Curves/meltCurve_Q9NVE7_PANK4.pdf</v>
      </c>
    </row>
    <row r="5984" spans="1:28" x14ac:dyDescent="0.25">
      <c r="A5984" t="s">
        <v>5988</v>
      </c>
      <c r="B5984">
        <v>0.99193492352474899</v>
      </c>
      <c r="C5984">
        <v>0.79115884271764103</v>
      </c>
      <c r="D5984">
        <v>0.76403914785784299</v>
      </c>
      <c r="E5984">
        <v>0.50301780518358497</v>
      </c>
      <c r="F5984">
        <v>0.31908905885348399</v>
      </c>
      <c r="G5984">
        <v>0.24905115814369999</v>
      </c>
      <c r="H5984">
        <v>0.122469671518619</v>
      </c>
      <c r="I5984">
        <v>0.127713462387881</v>
      </c>
      <c r="J5984">
        <v>0.144490411063563</v>
      </c>
      <c r="K5984">
        <v>0.13205943498932399</v>
      </c>
      <c r="L5984">
        <v>626.264879010767</v>
      </c>
      <c r="M5984">
        <v>12.8250312443576</v>
      </c>
      <c r="N5984">
        <v>49.6760803926012</v>
      </c>
      <c r="O5984">
        <v>47.689916681274298</v>
      </c>
      <c r="P5984">
        <v>-6.06565526696934E-2</v>
      </c>
      <c r="Q5984">
        <v>9.7961698594496105E-2</v>
      </c>
      <c r="R5984">
        <v>0.98628836175069501</v>
      </c>
      <c r="S5984" t="s">
        <v>12654</v>
      </c>
      <c r="T5984" t="s">
        <v>13338</v>
      </c>
      <c r="U5984" t="s">
        <v>13338</v>
      </c>
      <c r="V5984" t="s">
        <v>13338</v>
      </c>
      <c r="W5984" t="s">
        <v>19262</v>
      </c>
      <c r="X5984">
        <v>3</v>
      </c>
      <c r="Y5984" t="s">
        <v>25752</v>
      </c>
      <c r="Z5984" t="s">
        <v>32399</v>
      </c>
      <c r="AA5984">
        <v>0.39335753715194582</v>
      </c>
      <c r="AB5984" t="str">
        <f>HYPERLINK("Melting_Curves/meltCurve_Q9NVF7_FBXO28.pdf", "Melting_Curves/meltCurve_Q9NVF7_FBXO28.pdf")</f>
        <v>Melting_Curves/meltCurve_Q9NVF7_FBXO28.pdf</v>
      </c>
    </row>
    <row r="5985" spans="1:28" x14ac:dyDescent="0.25">
      <c r="A5985" t="s">
        <v>5989</v>
      </c>
      <c r="B5985">
        <v>0.99193492352474899</v>
      </c>
      <c r="C5985">
        <v>0.97559036074023098</v>
      </c>
      <c r="D5985">
        <v>0.92973697273256395</v>
      </c>
      <c r="E5985">
        <v>0.70249924106290995</v>
      </c>
      <c r="F5985">
        <v>0.43298610174157798</v>
      </c>
      <c r="G5985">
        <v>0.183865712739926</v>
      </c>
      <c r="H5985">
        <v>0.110924277764927</v>
      </c>
      <c r="I5985">
        <v>0.148144548731801</v>
      </c>
      <c r="J5985">
        <v>0.17663893600754299</v>
      </c>
      <c r="K5985">
        <v>0.18398092221729001</v>
      </c>
      <c r="L5985">
        <v>1163.4467621716201</v>
      </c>
      <c r="M5985">
        <v>22.754299133437499</v>
      </c>
      <c r="N5985">
        <v>51.898446342429999</v>
      </c>
      <c r="O5985">
        <v>50.740837042927197</v>
      </c>
      <c r="P5985">
        <v>-9.6094092749707996E-2</v>
      </c>
      <c r="Q5985">
        <v>0.14287834239676001</v>
      </c>
      <c r="R5985">
        <v>0.99295466214882</v>
      </c>
      <c r="S5985" t="s">
        <v>12655</v>
      </c>
      <c r="T5985" t="s">
        <v>13338</v>
      </c>
      <c r="U5985" t="s">
        <v>13338</v>
      </c>
      <c r="V5985" t="s">
        <v>13338</v>
      </c>
      <c r="W5985" t="s">
        <v>19263</v>
      </c>
      <c r="X5985">
        <v>8</v>
      </c>
      <c r="Y5985" t="s">
        <v>25753</v>
      </c>
      <c r="Z5985" t="s">
        <v>32400</v>
      </c>
      <c r="AA5985">
        <v>0.47020756913807588</v>
      </c>
      <c r="AB5985" t="str">
        <f>HYPERLINK("Melting_Curves/meltCurve_Q9NVG8_TBC1D13.pdf", "Melting_Curves/meltCurve_Q9NVG8_TBC1D13.pdf")</f>
        <v>Melting_Curves/meltCurve_Q9NVG8_TBC1D13.pdf</v>
      </c>
    </row>
    <row r="5986" spans="1:28" x14ac:dyDescent="0.25">
      <c r="A5986" t="s">
        <v>5990</v>
      </c>
      <c r="B5986">
        <v>0.99193492352474899</v>
      </c>
      <c r="C5986">
        <v>0.93791878161282505</v>
      </c>
      <c r="D5986">
        <v>0.98362045344290805</v>
      </c>
      <c r="E5986">
        <v>0.78271958526961005</v>
      </c>
      <c r="F5986">
        <v>0.441824550440094</v>
      </c>
      <c r="G5986">
        <v>0.18343303511376999</v>
      </c>
      <c r="H5986">
        <v>0.102287589396084</v>
      </c>
      <c r="I5986">
        <v>0.107896562681684</v>
      </c>
      <c r="J5986">
        <v>0.110447464601409</v>
      </c>
      <c r="K5986">
        <v>0.11987818544906199</v>
      </c>
      <c r="L5986">
        <v>1307.59110508603</v>
      </c>
      <c r="M5986">
        <v>25.143474299233201</v>
      </c>
      <c r="N5986">
        <v>52.472308430810799</v>
      </c>
      <c r="O5986">
        <v>51.679570516772202</v>
      </c>
      <c r="P5986">
        <v>-0.109436222445151</v>
      </c>
      <c r="Q5986">
        <v>0.10027666468571</v>
      </c>
      <c r="R5986">
        <v>0.99653564716228105</v>
      </c>
      <c r="S5986" t="s">
        <v>12656</v>
      </c>
      <c r="T5986" t="s">
        <v>13338</v>
      </c>
      <c r="U5986" t="s">
        <v>13338</v>
      </c>
      <c r="V5986" t="s">
        <v>13338</v>
      </c>
      <c r="W5986" t="s">
        <v>19264</v>
      </c>
      <c r="X5986">
        <v>21</v>
      </c>
      <c r="Y5986" t="s">
        <v>25754</v>
      </c>
      <c r="Z5986" t="s">
        <v>32401</v>
      </c>
      <c r="AA5986">
        <v>0.46844556552806138</v>
      </c>
      <c r="AB5986" t="str">
        <f>HYPERLINK("Melting_Curves/meltCurve_Q9NVH1_DNAJC11.pdf", "Melting_Curves/meltCurve_Q9NVH1_DNAJC11.pdf")</f>
        <v>Melting_Curves/meltCurve_Q9NVH1_DNAJC11.pdf</v>
      </c>
    </row>
    <row r="5987" spans="1:28" x14ac:dyDescent="0.25">
      <c r="A5987" t="s">
        <v>5991</v>
      </c>
      <c r="B5987">
        <v>0.99193492352474899</v>
      </c>
      <c r="C5987">
        <v>0.93495730503297103</v>
      </c>
      <c r="D5987">
        <v>1.06746702480839</v>
      </c>
      <c r="E5987">
        <v>0.65220554586166302</v>
      </c>
      <c r="F5987">
        <v>0.29363759589093602</v>
      </c>
      <c r="G5987">
        <v>0.18681236009148</v>
      </c>
      <c r="H5987">
        <v>9.2946264414764307E-2</v>
      </c>
      <c r="I5987">
        <v>0.18749424531261699</v>
      </c>
      <c r="J5987">
        <v>0.13573200599617899</v>
      </c>
      <c r="K5987">
        <v>0.105662400718321</v>
      </c>
      <c r="L5987">
        <v>1673.47523673213</v>
      </c>
      <c r="M5987">
        <v>33.194841220592103</v>
      </c>
      <c r="N5987">
        <v>50.915716163931201</v>
      </c>
      <c r="O5987">
        <v>50.231812999560198</v>
      </c>
      <c r="P5987">
        <v>-0.142152408324632</v>
      </c>
      <c r="Q5987">
        <v>0.13956012979641899</v>
      </c>
      <c r="R5987">
        <v>0.98451081858572798</v>
      </c>
      <c r="S5987" t="s">
        <v>12657</v>
      </c>
      <c r="T5987" t="s">
        <v>13338</v>
      </c>
      <c r="U5987" t="s">
        <v>13338</v>
      </c>
      <c r="V5987" t="s">
        <v>13338</v>
      </c>
      <c r="W5987" t="s">
        <v>19265</v>
      </c>
      <c r="X5987">
        <v>9</v>
      </c>
      <c r="Y5987" t="s">
        <v>25755</v>
      </c>
      <c r="Z5987" t="s">
        <v>32402</v>
      </c>
      <c r="AA5987">
        <v>0.44260818304048938</v>
      </c>
      <c r="AB5987" t="str">
        <f>HYPERLINK("Melting_Curves/meltCurve_Q9NVH2_3_INTS7.pdf", "Melting_Curves/meltCurve_Q9NVH2_3_INTS7.pdf")</f>
        <v>Melting_Curves/meltCurve_Q9NVH2_3_INTS7.pdf</v>
      </c>
    </row>
    <row r="5988" spans="1:28" x14ac:dyDescent="0.25">
      <c r="A5988" t="s">
        <v>5992</v>
      </c>
      <c r="B5988">
        <v>0.99193492352474899</v>
      </c>
      <c r="C5988">
        <v>0.98153865681853103</v>
      </c>
      <c r="D5988">
        <v>0.97211567849258596</v>
      </c>
      <c r="E5988">
        <v>0.79819879952643402</v>
      </c>
      <c r="F5988">
        <v>0.69270036003448898</v>
      </c>
      <c r="G5988">
        <v>0.43702599543730503</v>
      </c>
      <c r="H5988">
        <v>0.29390969282247298</v>
      </c>
      <c r="I5988">
        <v>0.28003018229775201</v>
      </c>
      <c r="J5988">
        <v>0.31321449902263099</v>
      </c>
      <c r="K5988">
        <v>0.27535121154371001</v>
      </c>
      <c r="L5988">
        <v>943.61175727030002</v>
      </c>
      <c r="M5988">
        <v>17.672636021912201</v>
      </c>
      <c r="N5988">
        <v>55.667299956848503</v>
      </c>
      <c r="O5988">
        <v>52.724365045107199</v>
      </c>
      <c r="P5988">
        <v>-6.2261177770849101E-2</v>
      </c>
      <c r="Q5988">
        <v>0.257041983532036</v>
      </c>
      <c r="R5988">
        <v>0.99018552612623201</v>
      </c>
      <c r="S5988" t="s">
        <v>12658</v>
      </c>
      <c r="T5988" t="s">
        <v>13338</v>
      </c>
      <c r="U5988" t="s">
        <v>13338</v>
      </c>
      <c r="V5988" t="s">
        <v>13338</v>
      </c>
      <c r="W5988" t="s">
        <v>19266</v>
      </c>
      <c r="X5988">
        <v>2</v>
      </c>
      <c r="Y5988" t="s">
        <v>25756</v>
      </c>
      <c r="Z5988" t="s">
        <v>32403</v>
      </c>
      <c r="AA5988">
        <v>0.6011611256216417</v>
      </c>
      <c r="AB5988" t="str">
        <f>HYPERLINK("Melting_Curves/meltCurve_Q9NVH6_7_TMLHE.pdf", "Melting_Curves/meltCurve_Q9NVH6_7_TMLHE.pdf")</f>
        <v>Melting_Curves/meltCurve_Q9NVH6_7_TMLHE.pdf</v>
      </c>
    </row>
    <row r="5989" spans="1:28" x14ac:dyDescent="0.25">
      <c r="A5989" t="s">
        <v>5993</v>
      </c>
      <c r="B5989">
        <v>0.99193492352474899</v>
      </c>
      <c r="C5989">
        <v>0.799204305253991</v>
      </c>
      <c r="D5989">
        <v>0.62680509648663996</v>
      </c>
      <c r="E5989">
        <v>0.21980142880438699</v>
      </c>
      <c r="F5989">
        <v>0.15899285370321001</v>
      </c>
      <c r="G5989">
        <v>8.9489709249265498E-2</v>
      </c>
      <c r="H5989">
        <v>5.4871474907126697E-2</v>
      </c>
      <c r="I5989">
        <v>6.8889770043838394E-2</v>
      </c>
      <c r="J5989">
        <v>7.3722777881819301E-2</v>
      </c>
      <c r="K5989">
        <v>7.0906415592619496E-2</v>
      </c>
      <c r="L5989">
        <v>937.55950939741001</v>
      </c>
      <c r="M5989">
        <v>20.189557010538302</v>
      </c>
      <c r="N5989">
        <v>46.759464682631197</v>
      </c>
      <c r="O5989">
        <v>45.989460448884202</v>
      </c>
      <c r="P5989">
        <v>-0.102639238896451</v>
      </c>
      <c r="Q5989">
        <v>6.4828376638490101E-2</v>
      </c>
      <c r="R5989">
        <v>0.99171825275859504</v>
      </c>
      <c r="S5989" t="s">
        <v>12659</v>
      </c>
      <c r="T5989" t="s">
        <v>13338</v>
      </c>
      <c r="U5989" t="s">
        <v>13338</v>
      </c>
      <c r="V5989" t="s">
        <v>13338</v>
      </c>
      <c r="W5989" t="s">
        <v>19267</v>
      </c>
      <c r="X5989">
        <v>26</v>
      </c>
      <c r="Y5989" t="s">
        <v>25757</v>
      </c>
      <c r="Z5989" t="s">
        <v>32404</v>
      </c>
      <c r="AA5989">
        <v>0.27927782410523089</v>
      </c>
      <c r="AB5989" t="str">
        <f>HYPERLINK("Melting_Curves/meltCurve_Q9NVI1_FANCI.pdf", "Melting_Curves/meltCurve_Q9NVI1_FANCI.pdf")</f>
        <v>Melting_Curves/meltCurve_Q9NVI1_FANCI.pdf</v>
      </c>
    </row>
    <row r="5990" spans="1:28" x14ac:dyDescent="0.25">
      <c r="A5990" t="s">
        <v>5994</v>
      </c>
      <c r="B5990">
        <v>0.99193492352474899</v>
      </c>
      <c r="C5990">
        <v>0.74673073783796695</v>
      </c>
      <c r="D5990">
        <v>1.0480025608724799</v>
      </c>
      <c r="E5990">
        <v>0.54864254607423901</v>
      </c>
      <c r="F5990">
        <v>0.222199528574198</v>
      </c>
      <c r="G5990">
        <v>0.137528255827122</v>
      </c>
      <c r="H5990">
        <v>0.104814030157504</v>
      </c>
      <c r="I5990">
        <v>0.15261316588679699</v>
      </c>
      <c r="J5990">
        <v>0.18383802652624401</v>
      </c>
      <c r="K5990">
        <v>0.19524091838697399</v>
      </c>
      <c r="L5990">
        <v>2876.45986464729</v>
      </c>
      <c r="M5990">
        <v>58.123796318126402</v>
      </c>
      <c r="N5990">
        <v>49.8269055018364</v>
      </c>
      <c r="O5990">
        <v>49.430029533814597</v>
      </c>
      <c r="P5990">
        <v>-0.246032505234967</v>
      </c>
      <c r="Q5990">
        <v>0.16306996070638699</v>
      </c>
      <c r="R5990">
        <v>0.93929587183825003</v>
      </c>
      <c r="S5990" t="s">
        <v>12660</v>
      </c>
      <c r="T5990" t="s">
        <v>13338</v>
      </c>
      <c r="U5990" t="s">
        <v>13338</v>
      </c>
      <c r="V5990" t="s">
        <v>13338</v>
      </c>
      <c r="W5990" t="s">
        <v>19268</v>
      </c>
      <c r="X5990">
        <v>18</v>
      </c>
      <c r="Y5990" t="s">
        <v>25758</v>
      </c>
      <c r="Z5990" t="s">
        <v>32405</v>
      </c>
      <c r="AA5990">
        <v>0.42912716933998812</v>
      </c>
      <c r="AB5990" t="str">
        <f>HYPERLINK("Melting_Curves/meltCurve_Q9NVI7_2_ATAD3A.pdf", "Melting_Curves/meltCurve_Q9NVI7_2_ATAD3A.pdf")</f>
        <v>Melting_Curves/meltCurve_Q9NVI7_2_ATAD3A.pdf</v>
      </c>
    </row>
    <row r="5991" spans="1:28" x14ac:dyDescent="0.25">
      <c r="A5991" t="s">
        <v>5995</v>
      </c>
      <c r="B5991">
        <v>0.99193492352474899</v>
      </c>
      <c r="C5991">
        <v>0.88566623590056504</v>
      </c>
      <c r="D5991">
        <v>0.98695549505351299</v>
      </c>
      <c r="E5991">
        <v>0.83322094137634894</v>
      </c>
      <c r="F5991">
        <v>0.67326770000849101</v>
      </c>
      <c r="G5991">
        <v>0.54389359333847598</v>
      </c>
      <c r="H5991">
        <v>0.46232937360580001</v>
      </c>
      <c r="I5991">
        <v>0.47400330853404099</v>
      </c>
      <c r="J5991">
        <v>0.52468385540296902</v>
      </c>
      <c r="K5991">
        <v>0.35152750066258998</v>
      </c>
      <c r="L5991">
        <v>813.24816962226203</v>
      </c>
      <c r="M5991">
        <v>15.520272642115801</v>
      </c>
      <c r="N5991">
        <v>59.435116001932599</v>
      </c>
      <c r="O5991">
        <v>51.552284027756798</v>
      </c>
      <c r="P5991">
        <v>-4.3628951296857399E-2</v>
      </c>
      <c r="Q5991">
        <v>0.42037772692261</v>
      </c>
      <c r="R5991">
        <v>0.94734496798824197</v>
      </c>
      <c r="S5991" t="s">
        <v>12661</v>
      </c>
      <c r="T5991" t="s">
        <v>13338</v>
      </c>
      <c r="U5991" t="s">
        <v>13338</v>
      </c>
      <c r="V5991" t="s">
        <v>13338</v>
      </c>
      <c r="W5991" t="s">
        <v>19269</v>
      </c>
      <c r="X5991">
        <v>6</v>
      </c>
      <c r="Y5991" t="s">
        <v>25759</v>
      </c>
      <c r="Z5991" t="s">
        <v>32406</v>
      </c>
      <c r="AA5991">
        <v>0.67207620662142487</v>
      </c>
      <c r="AB5991" t="str">
        <f>HYPERLINK("Melting_Curves/meltCurve_Q9NVJ2_ARL8B.pdf", "Melting_Curves/meltCurve_Q9NVJ2_ARL8B.pdf")</f>
        <v>Melting_Curves/meltCurve_Q9NVJ2_ARL8B.pdf</v>
      </c>
    </row>
    <row r="5992" spans="1:28" x14ac:dyDescent="0.25">
      <c r="A5992" t="s">
        <v>5996</v>
      </c>
      <c r="B5992">
        <v>0.99193492352474899</v>
      </c>
      <c r="C5992">
        <v>0.87767133193617997</v>
      </c>
      <c r="D5992">
        <v>0.88362892394714798</v>
      </c>
      <c r="E5992">
        <v>0.59658213240212499</v>
      </c>
      <c r="F5992">
        <v>0.55252379376135496</v>
      </c>
      <c r="G5992">
        <v>0.30822660470232599</v>
      </c>
      <c r="H5992">
        <v>0.20835721033660301</v>
      </c>
      <c r="I5992">
        <v>0.30188813817749099</v>
      </c>
      <c r="J5992">
        <v>0.40603028947351</v>
      </c>
      <c r="K5992">
        <v>0.58500653649438095</v>
      </c>
      <c r="L5992">
        <v>982.38291962414701</v>
      </c>
      <c r="M5992">
        <v>20.2004589817222</v>
      </c>
      <c r="N5992">
        <v>52.025509957996498</v>
      </c>
      <c r="O5992">
        <v>48.162647984379198</v>
      </c>
      <c r="P5992">
        <v>-6.6466731037895299E-2</v>
      </c>
      <c r="Q5992">
        <v>0.36613056998524601</v>
      </c>
      <c r="R5992">
        <v>0.84006564535514405</v>
      </c>
      <c r="S5992" t="s">
        <v>12662</v>
      </c>
      <c r="T5992" t="s">
        <v>13338</v>
      </c>
      <c r="U5992" t="s">
        <v>13338</v>
      </c>
      <c r="V5992" t="s">
        <v>13338</v>
      </c>
      <c r="W5992" t="s">
        <v>19270</v>
      </c>
      <c r="X5992">
        <v>7</v>
      </c>
      <c r="Y5992" t="s">
        <v>25760</v>
      </c>
      <c r="Z5992" t="s">
        <v>32407</v>
      </c>
      <c r="AA5992">
        <v>0.55724306515823252</v>
      </c>
      <c r="AB5992" t="str">
        <f>HYPERLINK("Melting_Curves/meltCurve_Q9NVK5_2_FGFR1OP2.pdf", "Melting_Curves/meltCurve_Q9NVK5_2_FGFR1OP2.pdf")</f>
        <v>Melting_Curves/meltCurve_Q9NVK5_2_FGFR1OP2.pdf</v>
      </c>
    </row>
    <row r="5993" spans="1:28" x14ac:dyDescent="0.25">
      <c r="A5993" t="s">
        <v>5997</v>
      </c>
      <c r="B5993">
        <v>0.99193492352474899</v>
      </c>
      <c r="C5993">
        <v>1.47411388580137</v>
      </c>
      <c r="D5993">
        <v>0.68488366805237999</v>
      </c>
      <c r="E5993">
        <v>0.62939587208196102</v>
      </c>
      <c r="F5993">
        <v>0.30916869376407302</v>
      </c>
      <c r="G5993">
        <v>0.15626272363650001</v>
      </c>
      <c r="H5993">
        <v>0.10020412452077899</v>
      </c>
      <c r="I5993">
        <v>9.1566469535867306E-2</v>
      </c>
      <c r="J5993">
        <v>9.5170306220467196E-2</v>
      </c>
      <c r="K5993">
        <v>0.118936859923243</v>
      </c>
      <c r="L5993">
        <v>1104.54232346404</v>
      </c>
      <c r="M5993">
        <v>22.0521872601776</v>
      </c>
      <c r="N5993">
        <v>50.582086873563803</v>
      </c>
      <c r="O5993">
        <v>49.681223410731697</v>
      </c>
      <c r="P5993">
        <v>-0.10021189864935701</v>
      </c>
      <c r="Q5993">
        <v>9.6953136210612703E-2</v>
      </c>
      <c r="R5993">
        <v>0.85660331370036102</v>
      </c>
      <c r="S5993" t="s">
        <v>12663</v>
      </c>
      <c r="T5993" t="s">
        <v>13338</v>
      </c>
      <c r="U5993" t="s">
        <v>13338</v>
      </c>
      <c r="V5993" t="s">
        <v>13338</v>
      </c>
      <c r="W5993" t="s">
        <v>19271</v>
      </c>
      <c r="X5993">
        <v>3</v>
      </c>
      <c r="Y5993" t="s">
        <v>25761</v>
      </c>
      <c r="Z5993" t="s">
        <v>32408</v>
      </c>
      <c r="AA5993">
        <v>0.41098255435793429</v>
      </c>
      <c r="AB5993" t="str">
        <f>HYPERLINK("Melting_Curves/meltCurve_Q9NVM4_3_PRMT7.pdf", "Melting_Curves/meltCurve_Q9NVM4_3_PRMT7.pdf")</f>
        <v>Melting_Curves/meltCurve_Q9NVM4_3_PRMT7.pdf</v>
      </c>
    </row>
    <row r="5994" spans="1:28" x14ac:dyDescent="0.25">
      <c r="A5994" t="s">
        <v>5998</v>
      </c>
      <c r="B5994">
        <v>0.99193492352474899</v>
      </c>
      <c r="C5994">
        <v>0.65016133395369702</v>
      </c>
      <c r="D5994">
        <v>0.91374290986229101</v>
      </c>
      <c r="E5994">
        <v>0.49913121344529499</v>
      </c>
      <c r="F5994">
        <v>0.28300397047679399</v>
      </c>
      <c r="G5994">
        <v>0.12615211814509</v>
      </c>
      <c r="H5994">
        <v>7.9550791841535504E-2</v>
      </c>
      <c r="I5994">
        <v>8.5978676690938505E-2</v>
      </c>
      <c r="J5994">
        <v>0.101883540365311</v>
      </c>
      <c r="K5994">
        <v>0.11073041234351599</v>
      </c>
      <c r="L5994">
        <v>702.13113922167997</v>
      </c>
      <c r="M5994">
        <v>14.260690083441</v>
      </c>
      <c r="N5994">
        <v>49.631184171829901</v>
      </c>
      <c r="O5994">
        <v>48.297614396419497</v>
      </c>
      <c r="P5994">
        <v>-6.9858155090612106E-2</v>
      </c>
      <c r="Q5994">
        <v>5.3743728061483198E-2</v>
      </c>
      <c r="R5994">
        <v>0.91595964673560504</v>
      </c>
      <c r="S5994" t="s">
        <v>12664</v>
      </c>
      <c r="T5994" t="s">
        <v>13338</v>
      </c>
      <c r="U5994" t="s">
        <v>13338</v>
      </c>
      <c r="V5994" t="s">
        <v>13338</v>
      </c>
      <c r="W5994" t="s">
        <v>19272</v>
      </c>
      <c r="X5994">
        <v>11</v>
      </c>
      <c r="Y5994" t="s">
        <v>25762</v>
      </c>
      <c r="Z5994" t="s">
        <v>32409</v>
      </c>
      <c r="AA5994">
        <v>0.37045186821067039</v>
      </c>
      <c r="AB5994" t="str">
        <f>HYPERLINK("Melting_Curves/meltCurve_Q9NVM6_DNAJC17.pdf", "Melting_Curves/meltCurve_Q9NVM6_DNAJC17.pdf")</f>
        <v>Melting_Curves/meltCurve_Q9NVM6_DNAJC17.pdf</v>
      </c>
    </row>
    <row r="5995" spans="1:28" x14ac:dyDescent="0.25">
      <c r="A5995" t="s">
        <v>5999</v>
      </c>
      <c r="B5995">
        <v>0.99193492352474899</v>
      </c>
      <c r="C5995">
        <v>0.87425561866050105</v>
      </c>
      <c r="D5995">
        <v>0.74378807063306296</v>
      </c>
      <c r="E5995">
        <v>0.52716693775040602</v>
      </c>
      <c r="F5995">
        <v>0.208346813439902</v>
      </c>
      <c r="G5995">
        <v>0.16023050800600799</v>
      </c>
      <c r="H5995">
        <v>9.8600198857368093E-2</v>
      </c>
      <c r="I5995">
        <v>0.12560416099023</v>
      </c>
      <c r="J5995">
        <v>0.13529402205829</v>
      </c>
      <c r="K5995">
        <v>0.12807819279652699</v>
      </c>
      <c r="L5995">
        <v>851.48831300971199</v>
      </c>
      <c r="M5995">
        <v>17.542803024510899</v>
      </c>
      <c r="N5995">
        <v>49.189975769965201</v>
      </c>
      <c r="O5995">
        <v>47.920219969708199</v>
      </c>
      <c r="P5995">
        <v>-8.2028608770220196E-2</v>
      </c>
      <c r="Q5995">
        <v>0.103765977176303</v>
      </c>
      <c r="R5995">
        <v>0.99043515412413796</v>
      </c>
      <c r="S5995" t="s">
        <v>12665</v>
      </c>
      <c r="T5995" t="s">
        <v>13338</v>
      </c>
      <c r="U5995" t="s">
        <v>13338</v>
      </c>
      <c r="V5995" t="s">
        <v>13338</v>
      </c>
      <c r="W5995" t="s">
        <v>19273</v>
      </c>
      <c r="X5995">
        <v>15</v>
      </c>
      <c r="Y5995" t="s">
        <v>25763</v>
      </c>
      <c r="Z5995" t="s">
        <v>32410</v>
      </c>
      <c r="AA5995">
        <v>0.37534317883034979</v>
      </c>
      <c r="AB5995" t="str">
        <f>HYPERLINK("Melting_Curves/meltCurve_Q9NVM9_ASUN.pdf", "Melting_Curves/meltCurve_Q9NVM9_ASUN.pdf")</f>
        <v>Melting_Curves/meltCurve_Q9NVM9_ASUN.pdf</v>
      </c>
    </row>
    <row r="5996" spans="1:28" x14ac:dyDescent="0.25">
      <c r="A5996" t="s">
        <v>6000</v>
      </c>
      <c r="B5996">
        <v>0.99193492352474899</v>
      </c>
      <c r="C5996">
        <v>0.35772492482981999</v>
      </c>
      <c r="D5996">
        <v>0.36557375355969202</v>
      </c>
      <c r="E5996">
        <v>0.145101840113155</v>
      </c>
      <c r="F5996">
        <v>0.110548573391576</v>
      </c>
      <c r="G5996">
        <v>5.4202310883649601E-2</v>
      </c>
      <c r="H5996">
        <v>3.2821278586764598E-2</v>
      </c>
      <c r="I5996">
        <v>3.6127202325522099E-2</v>
      </c>
      <c r="J5996">
        <v>4.101200379824E-2</v>
      </c>
      <c r="K5996">
        <v>3.3126771268067803E-2</v>
      </c>
      <c r="L5996">
        <v>915.99993129066297</v>
      </c>
      <c r="M5996">
        <v>21.338742708626</v>
      </c>
      <c r="N5996">
        <v>43.183042348979498</v>
      </c>
      <c r="O5996">
        <v>42.554949239582697</v>
      </c>
      <c r="P5996">
        <v>-0.117903090964916</v>
      </c>
      <c r="Q5996">
        <v>5.9507186009417401E-2</v>
      </c>
      <c r="R5996">
        <v>0.90798074824364705</v>
      </c>
      <c r="S5996" t="s">
        <v>12666</v>
      </c>
      <c r="T5996" t="s">
        <v>13338</v>
      </c>
      <c r="U5996" t="s">
        <v>13338</v>
      </c>
      <c r="V5996" t="s">
        <v>13338</v>
      </c>
      <c r="W5996" t="s">
        <v>19274</v>
      </c>
      <c r="X5996">
        <v>7</v>
      </c>
      <c r="Y5996" t="s">
        <v>25764</v>
      </c>
      <c r="Z5996" t="s">
        <v>32411</v>
      </c>
      <c r="AA5996">
        <v>0.17083119754298359</v>
      </c>
      <c r="AB5996" t="str">
        <f>HYPERLINK("Melting_Curves/meltCurve_Q9NVN8_GNL3L.pdf", "Melting_Curves/meltCurve_Q9NVN8_GNL3L.pdf")</f>
        <v>Melting_Curves/meltCurve_Q9NVN8_GNL3L.pdf</v>
      </c>
    </row>
    <row r="5997" spans="1:28" x14ac:dyDescent="0.25">
      <c r="A5997" t="s">
        <v>6001</v>
      </c>
      <c r="B5997">
        <v>0.99193492352474899</v>
      </c>
      <c r="C5997">
        <v>0.38397867303160399</v>
      </c>
      <c r="D5997">
        <v>0.79646788212905795</v>
      </c>
      <c r="E5997">
        <v>0.27809232264230499</v>
      </c>
      <c r="F5997">
        <v>0.166577705495603</v>
      </c>
      <c r="G5997">
        <v>9.3137747405760293E-2</v>
      </c>
      <c r="H5997">
        <v>6.3972238654645894E-2</v>
      </c>
      <c r="I5997">
        <v>8.2830611199063306E-2</v>
      </c>
      <c r="J5997">
        <v>0.128902308435317</v>
      </c>
      <c r="K5997">
        <v>0.10447876456427201</v>
      </c>
      <c r="L5997">
        <v>534.34338327150294</v>
      </c>
      <c r="M5997">
        <v>11.668901670036901</v>
      </c>
      <c r="N5997">
        <v>46.232616298576403</v>
      </c>
      <c r="O5997">
        <v>44.509259323458402</v>
      </c>
      <c r="P5997">
        <v>-6.2110254438229602E-2</v>
      </c>
      <c r="Q5997">
        <v>5.2614336788739703E-2</v>
      </c>
      <c r="R5997">
        <v>0.77805319379933602</v>
      </c>
      <c r="S5997" t="s">
        <v>12667</v>
      </c>
      <c r="T5997" t="s">
        <v>13338</v>
      </c>
      <c r="U5997" t="s">
        <v>13338</v>
      </c>
      <c r="V5997" t="s">
        <v>13338</v>
      </c>
      <c r="W5997" t="s">
        <v>19275</v>
      </c>
      <c r="X5997">
        <v>5</v>
      </c>
      <c r="Y5997" t="s">
        <v>25765</v>
      </c>
      <c r="Z5997" t="s">
        <v>32412</v>
      </c>
      <c r="AA5997">
        <v>0.28175526173782312</v>
      </c>
      <c r="AB5997" t="str">
        <f>HYPERLINK("Melting_Curves/meltCurve_Q9NVP1_DDX18.pdf", "Melting_Curves/meltCurve_Q9NVP1_DDX18.pdf")</f>
        <v>Melting_Curves/meltCurve_Q9NVP1_DDX18.pdf</v>
      </c>
    </row>
    <row r="5998" spans="1:28" x14ac:dyDescent="0.25">
      <c r="A5998" t="s">
        <v>6002</v>
      </c>
      <c r="B5998">
        <v>0.99193492352474899</v>
      </c>
      <c r="C5998">
        <v>0.68403431988803398</v>
      </c>
      <c r="D5998">
        <v>0.63266246758871703</v>
      </c>
      <c r="E5998">
        <v>0.24715148322033501</v>
      </c>
      <c r="F5998">
        <v>0.128071785571201</v>
      </c>
      <c r="G5998">
        <v>7.9078848091493001E-2</v>
      </c>
      <c r="H5998">
        <v>6.0875232576258202E-2</v>
      </c>
      <c r="I5998">
        <v>7.0977413590913294E-2</v>
      </c>
      <c r="J5998">
        <v>8.9605629514538099E-2</v>
      </c>
      <c r="K5998">
        <v>9.1598337563347093E-2</v>
      </c>
      <c r="L5998">
        <v>782.00616806985897</v>
      </c>
      <c r="M5998">
        <v>16.9633689727684</v>
      </c>
      <c r="N5998">
        <v>46.458255078367301</v>
      </c>
      <c r="O5998">
        <v>45.473341606303201</v>
      </c>
      <c r="P5998">
        <v>-8.7543313606689502E-2</v>
      </c>
      <c r="Q5998">
        <v>6.1356531524428E-2</v>
      </c>
      <c r="R5998">
        <v>0.97297905720281097</v>
      </c>
      <c r="S5998" t="s">
        <v>12668</v>
      </c>
      <c r="T5998" t="s">
        <v>13338</v>
      </c>
      <c r="U5998" t="s">
        <v>13338</v>
      </c>
      <c r="V5998" t="s">
        <v>13338</v>
      </c>
      <c r="W5998" t="s">
        <v>19276</v>
      </c>
      <c r="X5998">
        <v>4</v>
      </c>
      <c r="Y5998" t="s">
        <v>25766</v>
      </c>
      <c r="Z5998" t="s">
        <v>32413</v>
      </c>
      <c r="AA5998">
        <v>0.27306864793420399</v>
      </c>
      <c r="AB5998" t="str">
        <f>HYPERLINK("Melting_Curves/meltCurve_Q9NVP2_ASF1B.pdf", "Melting_Curves/meltCurve_Q9NVP2_ASF1B.pdf")</f>
        <v>Melting_Curves/meltCurve_Q9NVP2_ASF1B.pdf</v>
      </c>
    </row>
    <row r="5999" spans="1:28" x14ac:dyDescent="0.25">
      <c r="A5999" t="s">
        <v>6003</v>
      </c>
      <c r="B5999">
        <v>0.99193492352474899</v>
      </c>
      <c r="C5999">
        <v>0.93296534655253605</v>
      </c>
      <c r="D5999">
        <v>0.81406304876452096</v>
      </c>
      <c r="E5999">
        <v>0.52596449894116504</v>
      </c>
      <c r="F5999">
        <v>0.29301584825954702</v>
      </c>
      <c r="G5999">
        <v>0.15396811001769001</v>
      </c>
      <c r="H5999">
        <v>8.62444118465307E-2</v>
      </c>
      <c r="I5999">
        <v>0.134543168675723</v>
      </c>
      <c r="J5999">
        <v>0.13917128386466601</v>
      </c>
      <c r="K5999">
        <v>0.16280921334048201</v>
      </c>
      <c r="L5999">
        <v>968.13287611814201</v>
      </c>
      <c r="M5999">
        <v>19.707240095339799</v>
      </c>
      <c r="N5999">
        <v>49.819416130635702</v>
      </c>
      <c r="O5999">
        <v>48.628306325419302</v>
      </c>
      <c r="P5999">
        <v>-8.9162433977995004E-2</v>
      </c>
      <c r="Q5999">
        <v>0.119984714777033</v>
      </c>
      <c r="R5999">
        <v>0.99500981537486499</v>
      </c>
      <c r="S5999" t="s">
        <v>12669</v>
      </c>
      <c r="T5999" t="s">
        <v>13338</v>
      </c>
      <c r="U5999" t="s">
        <v>13338</v>
      </c>
      <c r="V5999" t="s">
        <v>13338</v>
      </c>
      <c r="W5999" t="s">
        <v>19277</v>
      </c>
      <c r="X5999">
        <v>5</v>
      </c>
      <c r="Y5999" t="s">
        <v>25767</v>
      </c>
      <c r="Z5999" t="s">
        <v>32414</v>
      </c>
      <c r="AA5999">
        <v>0.40036351723617691</v>
      </c>
      <c r="AB5999" t="str">
        <f>HYPERLINK("Melting_Curves/meltCurve_Q9NVR0_KLHL11.pdf", "Melting_Curves/meltCurve_Q9NVR0_KLHL11.pdf")</f>
        <v>Melting_Curves/meltCurve_Q9NVR0_KLHL11.pdf</v>
      </c>
    </row>
    <row r="6000" spans="1:28" x14ac:dyDescent="0.25">
      <c r="A6000" t="s">
        <v>6004</v>
      </c>
      <c r="B6000">
        <v>0.99193492352474899</v>
      </c>
      <c r="C6000">
        <v>0.825697120369426</v>
      </c>
      <c r="D6000">
        <v>0.85448715351497695</v>
      </c>
      <c r="E6000">
        <v>0.51077082721349898</v>
      </c>
      <c r="F6000">
        <v>0.26543704388235201</v>
      </c>
      <c r="G6000">
        <v>0.14800185889862999</v>
      </c>
      <c r="H6000">
        <v>0.101945714498101</v>
      </c>
      <c r="I6000">
        <v>9.2410496188453595E-2</v>
      </c>
      <c r="J6000">
        <v>9.8324994633624901E-2</v>
      </c>
      <c r="K6000">
        <v>0.10131114206899999</v>
      </c>
      <c r="L6000">
        <v>867.074646017232</v>
      </c>
      <c r="M6000">
        <v>17.601330954294799</v>
      </c>
      <c r="N6000">
        <v>49.752048483227199</v>
      </c>
      <c r="O6000">
        <v>48.639202308175797</v>
      </c>
      <c r="P6000">
        <v>-8.32716056572574E-2</v>
      </c>
      <c r="Q6000">
        <v>7.9604557514712307E-2</v>
      </c>
      <c r="R6000">
        <v>0.98597881608893301</v>
      </c>
      <c r="S6000" t="s">
        <v>12670</v>
      </c>
      <c r="T6000" t="s">
        <v>13338</v>
      </c>
      <c r="U6000" t="s">
        <v>13338</v>
      </c>
      <c r="V6000" t="s">
        <v>13338</v>
      </c>
      <c r="W6000" t="s">
        <v>19278</v>
      </c>
      <c r="X6000">
        <v>11</v>
      </c>
      <c r="Y6000" t="s">
        <v>25768</v>
      </c>
      <c r="Z6000" t="s">
        <v>32415</v>
      </c>
      <c r="AA6000">
        <v>0.38033873245915489</v>
      </c>
      <c r="AB6000" t="str">
        <f>HYPERLINK("Melting_Curves/meltCurve_Q9NVR2_INTS10.pdf", "Melting_Curves/meltCurve_Q9NVR2_INTS10.pdf")</f>
        <v>Melting_Curves/meltCurve_Q9NVR2_INTS10.pdf</v>
      </c>
    </row>
    <row r="6001" spans="1:28" x14ac:dyDescent="0.25">
      <c r="A6001" t="s">
        <v>6005</v>
      </c>
      <c r="B6001">
        <v>0.99193492352474899</v>
      </c>
      <c r="C6001">
        <v>1.13146543071177</v>
      </c>
      <c r="D6001">
        <v>0.74489367865889999</v>
      </c>
      <c r="E6001">
        <v>0.50954153985886796</v>
      </c>
      <c r="F6001">
        <v>0.245557538347943</v>
      </c>
      <c r="G6001">
        <v>0.13654447278492399</v>
      </c>
      <c r="H6001">
        <v>8.1730557969793893E-2</v>
      </c>
      <c r="I6001">
        <v>9.3563450396171005E-2</v>
      </c>
      <c r="J6001">
        <v>9.4846987212142395E-2</v>
      </c>
      <c r="K6001">
        <v>0.111395829518647</v>
      </c>
      <c r="L6001">
        <v>1074.3494946313001</v>
      </c>
      <c r="M6001">
        <v>21.9069771951748</v>
      </c>
      <c r="N6001">
        <v>49.5080430767688</v>
      </c>
      <c r="O6001">
        <v>48.638268778561198</v>
      </c>
      <c r="P6001">
        <v>-0.10210088340036499</v>
      </c>
      <c r="Q6001">
        <v>9.3275642073381099E-2</v>
      </c>
      <c r="R6001">
        <v>0.975052348239276</v>
      </c>
      <c r="S6001" t="s">
        <v>12671</v>
      </c>
      <c r="T6001" t="s">
        <v>13338</v>
      </c>
      <c r="U6001" t="s">
        <v>13338</v>
      </c>
      <c r="V6001" t="s">
        <v>13338</v>
      </c>
      <c r="W6001" t="s">
        <v>19279</v>
      </c>
      <c r="X6001">
        <v>5</v>
      </c>
      <c r="Y6001" t="s">
        <v>25769</v>
      </c>
      <c r="Z6001" t="s">
        <v>32416</v>
      </c>
      <c r="AA6001">
        <v>0.37708856935918322</v>
      </c>
      <c r="AB6001" t="str">
        <f>HYPERLINK("Melting_Curves/meltCurve_Q9NVR5_DNAAF2.pdf", "Melting_Curves/meltCurve_Q9NVR5_DNAAF2.pdf")</f>
        <v>Melting_Curves/meltCurve_Q9NVR5_DNAAF2.pdf</v>
      </c>
    </row>
    <row r="6002" spans="1:28" x14ac:dyDescent="0.25">
      <c r="A6002" t="s">
        <v>6006</v>
      </c>
      <c r="B6002">
        <v>0.99193492352474899</v>
      </c>
      <c r="C6002">
        <v>0.94198561245292101</v>
      </c>
      <c r="D6002">
        <v>0.92861059753980901</v>
      </c>
      <c r="E6002">
        <v>0.73870469022712804</v>
      </c>
      <c r="F6002">
        <v>0.52005622332976498</v>
      </c>
      <c r="G6002">
        <v>0.19788315576363</v>
      </c>
      <c r="H6002">
        <v>0.13682415980155499</v>
      </c>
      <c r="I6002">
        <v>0.210572983949225</v>
      </c>
      <c r="J6002">
        <v>0.261720699198635</v>
      </c>
      <c r="K6002">
        <v>0.30804888348228299</v>
      </c>
      <c r="L6002">
        <v>1231.33760536712</v>
      </c>
      <c r="M6002">
        <v>24.004870055373999</v>
      </c>
      <c r="N6002">
        <v>52.515176812366903</v>
      </c>
      <c r="O6002">
        <v>50.943317184458103</v>
      </c>
      <c r="P6002">
        <v>-9.2627958808504801E-2</v>
      </c>
      <c r="Q6002">
        <v>0.213709397503694</v>
      </c>
      <c r="R6002">
        <v>0.96635734413700602</v>
      </c>
      <c r="S6002" t="s">
        <v>12672</v>
      </c>
      <c r="T6002" t="s">
        <v>13338</v>
      </c>
      <c r="U6002" t="s">
        <v>13338</v>
      </c>
      <c r="V6002" t="s">
        <v>13338</v>
      </c>
      <c r="W6002" t="s">
        <v>19280</v>
      </c>
      <c r="X6002">
        <v>7</v>
      </c>
      <c r="Y6002" t="s">
        <v>25770</v>
      </c>
      <c r="Z6002" t="s">
        <v>32417</v>
      </c>
      <c r="AA6002">
        <v>0.51746917329170938</v>
      </c>
      <c r="AB6002" t="str">
        <f>HYPERLINK("Melting_Curves/meltCurve_Q9NVS9_PNPO.pdf", "Melting_Curves/meltCurve_Q9NVS9_PNPO.pdf")</f>
        <v>Melting_Curves/meltCurve_Q9NVS9_PNPO.pdf</v>
      </c>
    </row>
    <row r="6003" spans="1:28" x14ac:dyDescent="0.25">
      <c r="A6003" t="s">
        <v>6007</v>
      </c>
      <c r="B6003">
        <v>0.99193492352474899</v>
      </c>
      <c r="C6003">
        <v>0.91331087798467903</v>
      </c>
      <c r="D6003">
        <v>0.91014359357496499</v>
      </c>
      <c r="E6003">
        <v>0.54004615826017299</v>
      </c>
      <c r="F6003">
        <v>0.24356923206127901</v>
      </c>
      <c r="G6003">
        <v>0.18027821083367301</v>
      </c>
      <c r="H6003">
        <v>0.117063602831877</v>
      </c>
      <c r="I6003">
        <v>0.148626279774003</v>
      </c>
      <c r="J6003">
        <v>0.11549182386508999</v>
      </c>
      <c r="K6003">
        <v>0.20488724588252299</v>
      </c>
      <c r="L6003">
        <v>1332.04881110472</v>
      </c>
      <c r="M6003">
        <v>27.010989569124099</v>
      </c>
      <c r="N6003">
        <v>49.953474245279303</v>
      </c>
      <c r="O6003">
        <v>49.047155543303901</v>
      </c>
      <c r="P6003">
        <v>-0.117583779081009</v>
      </c>
      <c r="Q6003">
        <v>0.14596369012073099</v>
      </c>
      <c r="R6003">
        <v>0.99076564624800301</v>
      </c>
      <c r="S6003" t="s">
        <v>12673</v>
      </c>
      <c r="T6003" t="s">
        <v>13338</v>
      </c>
      <c r="U6003" t="s">
        <v>13338</v>
      </c>
      <c r="V6003" t="s">
        <v>13338</v>
      </c>
      <c r="W6003" t="s">
        <v>19281</v>
      </c>
      <c r="X6003">
        <v>7</v>
      </c>
      <c r="Y6003" t="s">
        <v>25771</v>
      </c>
      <c r="Z6003" t="s">
        <v>32418</v>
      </c>
      <c r="AA6003">
        <v>0.41761937006832173</v>
      </c>
      <c r="AB6003" t="str">
        <f>HYPERLINK("Melting_Curves/meltCurve_Q9NVT9_ARMC1.pdf", "Melting_Curves/meltCurve_Q9NVT9_ARMC1.pdf")</f>
        <v>Melting_Curves/meltCurve_Q9NVT9_ARMC1.pdf</v>
      </c>
    </row>
    <row r="6004" spans="1:28" x14ac:dyDescent="0.25">
      <c r="A6004" t="s">
        <v>6008</v>
      </c>
      <c r="B6004">
        <v>0.99193492352474899</v>
      </c>
      <c r="C6004">
        <v>0.48992033894085402</v>
      </c>
      <c r="D6004">
        <v>0.66552498471617305</v>
      </c>
      <c r="E6004">
        <v>0.21562406664790401</v>
      </c>
      <c r="F6004">
        <v>0.16958641180533501</v>
      </c>
      <c r="G6004">
        <v>0.146014417055391</v>
      </c>
      <c r="H6004">
        <v>7.7625725584534899E-2</v>
      </c>
      <c r="I6004">
        <v>0.123741585647893</v>
      </c>
      <c r="J6004">
        <v>8.8215993914403101E-2</v>
      </c>
      <c r="K6004">
        <v>0.160894762130318</v>
      </c>
      <c r="L6004">
        <v>643.98802569413795</v>
      </c>
      <c r="M6004">
        <v>14.312106367059</v>
      </c>
      <c r="N6004">
        <v>45.690504991523703</v>
      </c>
      <c r="O6004">
        <v>44.144913836814503</v>
      </c>
      <c r="P6004">
        <v>-7.3137794409205203E-2</v>
      </c>
      <c r="Q6004">
        <v>9.7751049995940698E-2</v>
      </c>
      <c r="R6004">
        <v>0.875187690326937</v>
      </c>
      <c r="S6004" t="s">
        <v>12674</v>
      </c>
      <c r="T6004" t="s">
        <v>13338</v>
      </c>
      <c r="U6004" t="s">
        <v>13338</v>
      </c>
      <c r="V6004" t="s">
        <v>13338</v>
      </c>
      <c r="W6004" t="s">
        <v>19282</v>
      </c>
      <c r="X6004">
        <v>3</v>
      </c>
      <c r="Y6004" t="s">
        <v>25772</v>
      </c>
      <c r="Z6004" t="s">
        <v>32419</v>
      </c>
      <c r="AA6004">
        <v>0.27996836765615019</v>
      </c>
      <c r="AB6004" t="str">
        <f>HYPERLINK("Melting_Curves/meltCurve_Q9NVU0_5_POLR3E.pdf", "Melting_Curves/meltCurve_Q9NVU0_5_POLR3E.pdf")</f>
        <v>Melting_Curves/meltCurve_Q9NVU0_5_POLR3E.pdf</v>
      </c>
    </row>
    <row r="6005" spans="1:28" x14ac:dyDescent="0.25">
      <c r="A6005" t="s">
        <v>6009</v>
      </c>
      <c r="B6005">
        <v>0.99193492352474899</v>
      </c>
      <c r="C6005">
        <v>0.77342441322127398</v>
      </c>
      <c r="D6005">
        <v>0.66799888578045796</v>
      </c>
      <c r="E6005">
        <v>0.25090218563114403</v>
      </c>
      <c r="F6005">
        <v>0.13515900865573899</v>
      </c>
      <c r="G6005">
        <v>7.4793635770290898E-2</v>
      </c>
      <c r="H6005">
        <v>8.3286560178294902E-2</v>
      </c>
      <c r="I6005">
        <v>6.3451204863456498E-2</v>
      </c>
      <c r="J6005">
        <v>8.3465953235423898E-2</v>
      </c>
      <c r="K6005">
        <v>8.0015536682040894E-2</v>
      </c>
      <c r="L6005">
        <v>909.32701982866195</v>
      </c>
      <c r="M6005">
        <v>19.491232770484402</v>
      </c>
      <c r="N6005">
        <v>46.986616130351798</v>
      </c>
      <c r="O6005">
        <v>46.170374997513797</v>
      </c>
      <c r="P6005">
        <v>-9.8725615936387498E-2</v>
      </c>
      <c r="Q6005">
        <v>6.4598018608131094E-2</v>
      </c>
      <c r="R6005">
        <v>0.98650980140097899</v>
      </c>
      <c r="S6005" t="s">
        <v>12675</v>
      </c>
      <c r="T6005" t="s">
        <v>13338</v>
      </c>
      <c r="U6005" t="s">
        <v>13338</v>
      </c>
      <c r="V6005" t="s">
        <v>13338</v>
      </c>
      <c r="W6005" t="s">
        <v>19283</v>
      </c>
      <c r="X6005">
        <v>8</v>
      </c>
      <c r="Y6005" t="s">
        <v>25773</v>
      </c>
      <c r="Z6005" t="s">
        <v>32420</v>
      </c>
      <c r="AA6005">
        <v>0.28677630257324488</v>
      </c>
      <c r="AB6005" t="str">
        <f>HYPERLINK("Melting_Curves/meltCurve_Q9NVU7_SDAD1.pdf", "Melting_Curves/meltCurve_Q9NVU7_SDAD1.pdf")</f>
        <v>Melting_Curves/meltCurve_Q9NVU7_SDAD1.pdf</v>
      </c>
    </row>
    <row r="6006" spans="1:28" x14ac:dyDescent="0.25">
      <c r="A6006" t="s">
        <v>6010</v>
      </c>
      <c r="B6006">
        <v>0.99193492352474899</v>
      </c>
      <c r="C6006">
        <v>0.96735373064317698</v>
      </c>
      <c r="D6006">
        <v>0.94702639783520903</v>
      </c>
      <c r="E6006">
        <v>0.89908764589649504</v>
      </c>
      <c r="F6006">
        <v>0.65624708651255204</v>
      </c>
      <c r="G6006">
        <v>0.63239792298403597</v>
      </c>
      <c r="H6006">
        <v>0.41859994838931303</v>
      </c>
      <c r="I6006">
        <v>0.47834401368249702</v>
      </c>
      <c r="J6006">
        <v>0.52574800645756903</v>
      </c>
      <c r="K6006">
        <v>0.36646727993161898</v>
      </c>
      <c r="L6006">
        <v>859.37979276865804</v>
      </c>
      <c r="M6006">
        <v>16.1765914167683</v>
      </c>
      <c r="N6006">
        <v>60.031169856453701</v>
      </c>
      <c r="O6006">
        <v>52.332946330958997</v>
      </c>
      <c r="P6006">
        <v>-4.4650792703303403E-2</v>
      </c>
      <c r="Q6006">
        <v>0.42224367274464703</v>
      </c>
      <c r="R6006">
        <v>0.95260274586195404</v>
      </c>
      <c r="S6006" t="s">
        <v>12676</v>
      </c>
      <c r="T6006" t="s">
        <v>13338</v>
      </c>
      <c r="U6006" t="s">
        <v>13338</v>
      </c>
      <c r="V6006" t="s">
        <v>13338</v>
      </c>
      <c r="W6006" t="s">
        <v>19284</v>
      </c>
      <c r="X6006">
        <v>3</v>
      </c>
      <c r="Y6006" t="s">
        <v>25774</v>
      </c>
      <c r="Z6006" t="s">
        <v>32421</v>
      </c>
      <c r="AA6006">
        <v>0.68611914593152101</v>
      </c>
      <c r="AB6006" t="str">
        <f>HYPERLINK("Melting_Curves/meltCurve_Q9NVV0_TMEM38B.pdf", "Melting_Curves/meltCurve_Q9NVV0_TMEM38B.pdf")</f>
        <v>Melting_Curves/meltCurve_Q9NVV0_TMEM38B.pdf</v>
      </c>
    </row>
    <row r="6007" spans="1:28" x14ac:dyDescent="0.25">
      <c r="A6007" t="s">
        <v>6011</v>
      </c>
      <c r="B6007">
        <v>0.99193492352474899</v>
      </c>
      <c r="C6007">
        <v>0.69830852495455797</v>
      </c>
      <c r="D6007">
        <v>1.0580786849633701</v>
      </c>
      <c r="E6007">
        <v>0.643665866175549</v>
      </c>
      <c r="F6007">
        <v>0.19941455015406401</v>
      </c>
      <c r="G6007">
        <v>9.2238569044043997E-2</v>
      </c>
      <c r="H6007">
        <v>5.4902739687875901E-2</v>
      </c>
      <c r="I6007">
        <v>5.7975484852078901E-2</v>
      </c>
      <c r="J6007">
        <v>7.5052316156890994E-2</v>
      </c>
      <c r="K6007">
        <v>7.0985220763093299E-2</v>
      </c>
      <c r="L6007">
        <v>1833.9935705496</v>
      </c>
      <c r="M6007">
        <v>36.422505910317199</v>
      </c>
      <c r="N6007">
        <v>50.5582206805475</v>
      </c>
      <c r="O6007">
        <v>50.202237597282803</v>
      </c>
      <c r="P6007">
        <v>-0.16893303277027999</v>
      </c>
      <c r="Q6007">
        <v>6.8620843970549295E-2</v>
      </c>
      <c r="R6007">
        <v>0.93498353673165402</v>
      </c>
      <c r="S6007" t="s">
        <v>12677</v>
      </c>
      <c r="T6007" t="s">
        <v>13338</v>
      </c>
      <c r="U6007" t="s">
        <v>13338</v>
      </c>
      <c r="V6007" t="s">
        <v>13338</v>
      </c>
      <c r="W6007" t="s">
        <v>19285</v>
      </c>
      <c r="X6007">
        <v>13</v>
      </c>
      <c r="Y6007" t="s">
        <v>25775</v>
      </c>
      <c r="Z6007" t="s">
        <v>32422</v>
      </c>
      <c r="AA6007">
        <v>0.39396625482537989</v>
      </c>
      <c r="AB6007" t="str">
        <f>HYPERLINK("Melting_Curves/meltCurve_Q9NVV4_MTPAP.pdf", "Melting_Curves/meltCurve_Q9NVV4_MTPAP.pdf")</f>
        <v>Melting_Curves/meltCurve_Q9NVV4_MTPAP.pdf</v>
      </c>
    </row>
    <row r="6008" spans="1:28" x14ac:dyDescent="0.25">
      <c r="A6008" t="s">
        <v>6012</v>
      </c>
      <c r="B6008">
        <v>0.99193492352474899</v>
      </c>
      <c r="C6008">
        <v>0.78574969177840204</v>
      </c>
      <c r="D6008">
        <v>0.50273857217676599</v>
      </c>
      <c r="E6008">
        <v>0.14253031466542801</v>
      </c>
      <c r="F6008">
        <v>0.19422199591254</v>
      </c>
      <c r="G6008">
        <v>0.114676869173757</v>
      </c>
      <c r="H6008">
        <v>6.2825511208920895E-2</v>
      </c>
      <c r="I6008">
        <v>0.10077146048558699</v>
      </c>
      <c r="J6008">
        <v>9.70896217197358E-2</v>
      </c>
      <c r="K6008">
        <v>0.123568689698489</v>
      </c>
      <c r="L6008">
        <v>1093.4498951795699</v>
      </c>
      <c r="M6008">
        <v>24.138232308911299</v>
      </c>
      <c r="N6008">
        <v>45.737321383489501</v>
      </c>
      <c r="O6008">
        <v>44.992028268425003</v>
      </c>
      <c r="P6008">
        <v>-0.12029122014846901</v>
      </c>
      <c r="Q6008">
        <v>0.10315518463854401</v>
      </c>
      <c r="R6008">
        <v>0.98700044812756904</v>
      </c>
      <c r="S6008" t="s">
        <v>12678</v>
      </c>
      <c r="T6008" t="s">
        <v>13338</v>
      </c>
      <c r="U6008" t="s">
        <v>13338</v>
      </c>
      <c r="V6008" t="s">
        <v>13338</v>
      </c>
      <c r="W6008" t="s">
        <v>19286</v>
      </c>
      <c r="X6008">
        <v>1</v>
      </c>
      <c r="Y6008" t="s">
        <v>25776</v>
      </c>
      <c r="Z6008" t="s">
        <v>32423</v>
      </c>
      <c r="AA6008">
        <v>0.27102453542904359</v>
      </c>
      <c r="AB6008" t="str">
        <f>HYPERLINK("Melting_Curves/meltCurve_Q9NVX0_2_HAUS2.pdf", "Melting_Curves/meltCurve_Q9NVX0_2_HAUS2.pdf")</f>
        <v>Melting_Curves/meltCurve_Q9NVX0_2_HAUS2.pdf</v>
      </c>
    </row>
    <row r="6009" spans="1:28" x14ac:dyDescent="0.25">
      <c r="A6009" t="s">
        <v>6013</v>
      </c>
      <c r="B6009">
        <v>0.99193492352474899</v>
      </c>
      <c r="C6009">
        <v>0.90540737891010403</v>
      </c>
      <c r="D6009">
        <v>0.96533259037055497</v>
      </c>
      <c r="E6009">
        <v>0.66863487114984799</v>
      </c>
      <c r="F6009">
        <v>0.53551723478500801</v>
      </c>
      <c r="G6009">
        <v>0.27883952899661602</v>
      </c>
      <c r="H6009">
        <v>0.16367049590477301</v>
      </c>
      <c r="I6009">
        <v>0.15747647338318699</v>
      </c>
      <c r="J6009">
        <v>0.196499004461686</v>
      </c>
      <c r="K6009">
        <v>0.17132093131034801</v>
      </c>
      <c r="L6009">
        <v>876.86393246294006</v>
      </c>
      <c r="M6009">
        <v>16.941108899148301</v>
      </c>
      <c r="N6009">
        <v>52.815685394548403</v>
      </c>
      <c r="O6009">
        <v>51.054472351555901</v>
      </c>
      <c r="P6009">
        <v>-7.1041649407466004E-2</v>
      </c>
      <c r="Q6009">
        <v>0.14367666632565401</v>
      </c>
      <c r="R6009">
        <v>0.98330730033773395</v>
      </c>
      <c r="S6009" t="s">
        <v>12679</v>
      </c>
      <c r="T6009" t="s">
        <v>13338</v>
      </c>
      <c r="U6009" t="s">
        <v>13338</v>
      </c>
      <c r="V6009" t="s">
        <v>13338</v>
      </c>
      <c r="W6009" t="s">
        <v>19287</v>
      </c>
      <c r="X6009">
        <v>9</v>
      </c>
      <c r="Y6009" t="s">
        <v>25777</v>
      </c>
      <c r="Z6009" t="s">
        <v>32424</v>
      </c>
      <c r="AA6009">
        <v>0.49519343041543068</v>
      </c>
      <c r="AB6009" t="str">
        <f>HYPERLINK("Melting_Curves/meltCurve_Q9NVX2_NLE1.pdf", "Melting_Curves/meltCurve_Q9NVX2_NLE1.pdf")</f>
        <v>Melting_Curves/meltCurve_Q9NVX2_NLE1.pdf</v>
      </c>
    </row>
    <row r="6010" spans="1:28" x14ac:dyDescent="0.25">
      <c r="A6010" t="s">
        <v>6014</v>
      </c>
      <c r="B6010">
        <v>0.99193492352474899</v>
      </c>
      <c r="C6010">
        <v>0.96130950855671105</v>
      </c>
      <c r="D6010">
        <v>0.97986353486018196</v>
      </c>
      <c r="E6010">
        <v>0.77302561680214799</v>
      </c>
      <c r="F6010">
        <v>0.461705807212063</v>
      </c>
      <c r="G6010">
        <v>0.21675211064264699</v>
      </c>
      <c r="H6010">
        <v>9.0488526146644405E-2</v>
      </c>
      <c r="I6010">
        <v>8.7297451979525598E-2</v>
      </c>
      <c r="J6010">
        <v>0.114709053352045</v>
      </c>
      <c r="K6010">
        <v>8.0537795865517001E-2</v>
      </c>
      <c r="L6010">
        <v>1162.4173275871899</v>
      </c>
      <c r="M6010">
        <v>22.2347536286814</v>
      </c>
      <c r="N6010">
        <v>52.686825833593304</v>
      </c>
      <c r="O6010">
        <v>51.861930417956998</v>
      </c>
      <c r="P6010">
        <v>-9.8716806985069697E-2</v>
      </c>
      <c r="Q6010">
        <v>7.9003137288296804E-2</v>
      </c>
      <c r="R6010">
        <v>0.99766540601880904</v>
      </c>
      <c r="S6010" t="s">
        <v>12680</v>
      </c>
      <c r="T6010" t="s">
        <v>13338</v>
      </c>
      <c r="U6010" t="s">
        <v>13338</v>
      </c>
      <c r="V6010" t="s">
        <v>13338</v>
      </c>
      <c r="W6010" t="s">
        <v>19288</v>
      </c>
      <c r="X6010">
        <v>4</v>
      </c>
      <c r="Y6010" t="s">
        <v>25778</v>
      </c>
      <c r="Z6010" t="s">
        <v>32425</v>
      </c>
      <c r="AA6010">
        <v>0.46648574056099251</v>
      </c>
      <c r="AB6010" t="str">
        <f>HYPERLINK("Melting_Curves/meltCurve_Q9NVX7_KBTBD4.pdf", "Melting_Curves/meltCurve_Q9NVX7_KBTBD4.pdf")</f>
        <v>Melting_Curves/meltCurve_Q9NVX7_KBTBD4.pdf</v>
      </c>
    </row>
    <row r="6011" spans="1:28" x14ac:dyDescent="0.25">
      <c r="A6011" t="s">
        <v>6015</v>
      </c>
      <c r="B6011">
        <v>0.99193492352474899</v>
      </c>
      <c r="C6011">
        <v>0.931663647687903</v>
      </c>
      <c r="D6011">
        <v>0.81263801483823805</v>
      </c>
      <c r="E6011">
        <v>0.74114098765377101</v>
      </c>
      <c r="F6011">
        <v>0.32886394429187898</v>
      </c>
      <c r="G6011">
        <v>0.17736730725024399</v>
      </c>
      <c r="H6011">
        <v>8.9604867115625E-2</v>
      </c>
      <c r="I6011">
        <v>7.9928216542510297E-2</v>
      </c>
      <c r="J6011">
        <v>9.3695075385180293E-2</v>
      </c>
      <c r="K6011">
        <v>8.5910772330044793E-2</v>
      </c>
      <c r="L6011">
        <v>942.54309017021205</v>
      </c>
      <c r="M6011">
        <v>18.450901476455201</v>
      </c>
      <c r="N6011">
        <v>51.453717841238003</v>
      </c>
      <c r="O6011">
        <v>50.495128271692998</v>
      </c>
      <c r="P6011">
        <v>-8.5680073706235094E-2</v>
      </c>
      <c r="Q6011">
        <v>6.2109200288942998E-2</v>
      </c>
      <c r="R6011">
        <v>0.986947006010503</v>
      </c>
      <c r="S6011" t="s">
        <v>12681</v>
      </c>
      <c r="T6011" t="s">
        <v>13338</v>
      </c>
      <c r="U6011" t="s">
        <v>13338</v>
      </c>
      <c r="V6011" t="s">
        <v>13338</v>
      </c>
      <c r="W6011" t="s">
        <v>19289</v>
      </c>
      <c r="X6011">
        <v>8</v>
      </c>
      <c r="Y6011" t="s">
        <v>25779</v>
      </c>
      <c r="Z6011" t="s">
        <v>32426</v>
      </c>
      <c r="AA6011">
        <v>0.42372197046844412</v>
      </c>
      <c r="AB6011" t="str">
        <f>HYPERLINK("Melting_Curves/meltCurve_Q9NVZ3_NECAP2.pdf", "Melting_Curves/meltCurve_Q9NVZ3_NECAP2.pdf")</f>
        <v>Melting_Curves/meltCurve_Q9NVZ3_NECAP2.pdf</v>
      </c>
    </row>
    <row r="6012" spans="1:28" x14ac:dyDescent="0.25">
      <c r="A6012" t="s">
        <v>6016</v>
      </c>
      <c r="B6012">
        <v>0.99193492352474899</v>
      </c>
      <c r="C6012">
        <v>0.51573080529946302</v>
      </c>
      <c r="D6012">
        <v>0.76058354095579495</v>
      </c>
      <c r="E6012">
        <v>0.30472622736377802</v>
      </c>
      <c r="F6012">
        <v>0.19182047811689901</v>
      </c>
      <c r="G6012">
        <v>0.14423570722599499</v>
      </c>
      <c r="H6012">
        <v>9.9551463519545705E-2</v>
      </c>
      <c r="I6012">
        <v>0.12629939517284899</v>
      </c>
      <c r="J6012">
        <v>0.120015212158608</v>
      </c>
      <c r="K6012">
        <v>0.21729252175494401</v>
      </c>
      <c r="L6012">
        <v>614.79244973946095</v>
      </c>
      <c r="M6012">
        <v>13.399883584094299</v>
      </c>
      <c r="N6012">
        <v>46.765820668685997</v>
      </c>
      <c r="O6012">
        <v>44.894758022103197</v>
      </c>
      <c r="P6012">
        <v>-6.6268900540971704E-2</v>
      </c>
      <c r="Q6012">
        <v>0.11203452829043201</v>
      </c>
      <c r="R6012">
        <v>0.85403032541339097</v>
      </c>
      <c r="S6012" t="s">
        <v>12682</v>
      </c>
      <c r="T6012" t="s">
        <v>13338</v>
      </c>
      <c r="U6012" t="s">
        <v>13338</v>
      </c>
      <c r="V6012" t="s">
        <v>13338</v>
      </c>
      <c r="W6012" t="s">
        <v>19290</v>
      </c>
      <c r="X6012">
        <v>3</v>
      </c>
      <c r="Y6012" t="s">
        <v>25780</v>
      </c>
      <c r="Z6012" t="s">
        <v>32427</v>
      </c>
      <c r="AA6012">
        <v>0.31909805894925902</v>
      </c>
      <c r="AB6012" t="str">
        <f>HYPERLINK("Melting_Curves/meltCurve_Q9NW08_2_POLR3B.pdf", "Melting_Curves/meltCurve_Q9NW08_2_POLR3B.pdf")</f>
        <v>Melting_Curves/meltCurve_Q9NW08_2_POLR3B.pdf</v>
      </c>
    </row>
    <row r="6013" spans="1:28" x14ac:dyDescent="0.25">
      <c r="A6013" t="s">
        <v>6017</v>
      </c>
      <c r="B6013">
        <v>0.99193492352474899</v>
      </c>
      <c r="C6013">
        <v>0.89802609981519599</v>
      </c>
      <c r="D6013">
        <v>0.99001214142899596</v>
      </c>
      <c r="E6013">
        <v>0.62225231117874502</v>
      </c>
      <c r="F6013">
        <v>0.27354458092578599</v>
      </c>
      <c r="G6013">
        <v>0.14809246188153499</v>
      </c>
      <c r="H6013">
        <v>0.11442099186562001</v>
      </c>
      <c r="I6013">
        <v>0.129708291415189</v>
      </c>
      <c r="J6013">
        <v>0.177817800147413</v>
      </c>
      <c r="K6013">
        <v>0.22299557500963901</v>
      </c>
      <c r="L6013">
        <v>1697.9303478424499</v>
      </c>
      <c r="M6013">
        <v>33.974214047346102</v>
      </c>
      <c r="N6013">
        <v>50.543057719488502</v>
      </c>
      <c r="O6013">
        <v>49.804826279930701</v>
      </c>
      <c r="P6013">
        <v>-0.143553178598332</v>
      </c>
      <c r="Q6013">
        <v>0.15823060021913499</v>
      </c>
      <c r="R6013">
        <v>0.98474916418941705</v>
      </c>
      <c r="S6013" t="s">
        <v>12683</v>
      </c>
      <c r="T6013" t="s">
        <v>13338</v>
      </c>
      <c r="U6013" t="s">
        <v>13338</v>
      </c>
      <c r="V6013" t="s">
        <v>13338</v>
      </c>
      <c r="W6013" t="s">
        <v>19291</v>
      </c>
      <c r="X6013">
        <v>2</v>
      </c>
      <c r="Y6013" t="s">
        <v>25781</v>
      </c>
      <c r="Z6013" t="s">
        <v>32428</v>
      </c>
      <c r="AA6013">
        <v>0.44222195268064618</v>
      </c>
      <c r="AB6013" t="str">
        <f>HYPERLINK("Melting_Curves/meltCurve_Q9NW15_2_ANO10.pdf", "Melting_Curves/meltCurve_Q9NW15_2_ANO10.pdf")</f>
        <v>Melting_Curves/meltCurve_Q9NW15_2_ANO10.pdf</v>
      </c>
    </row>
    <row r="6014" spans="1:28" x14ac:dyDescent="0.25">
      <c r="A6014" t="s">
        <v>6018</v>
      </c>
      <c r="B6014">
        <v>0.99193492352474899</v>
      </c>
      <c r="C6014">
        <v>0.80549619929234195</v>
      </c>
      <c r="D6014">
        <v>0.90435242261383197</v>
      </c>
      <c r="E6014">
        <v>0.463497130347238</v>
      </c>
      <c r="F6014">
        <v>0.18840222121263001</v>
      </c>
      <c r="G6014">
        <v>9.7846730881823205E-2</v>
      </c>
      <c r="H6014">
        <v>6.9350037268334802E-2</v>
      </c>
      <c r="I6014">
        <v>8.5718802184384393E-2</v>
      </c>
      <c r="J6014">
        <v>9.3714947369296697E-2</v>
      </c>
      <c r="K6014">
        <v>0.10834885000701</v>
      </c>
      <c r="L6014">
        <v>1215.77552315612</v>
      </c>
      <c r="M6014">
        <v>24.8162845538446</v>
      </c>
      <c r="N6014">
        <v>49.346150198283901</v>
      </c>
      <c r="O6014">
        <v>48.676237380309402</v>
      </c>
      <c r="P6014">
        <v>-0.117034901742543</v>
      </c>
      <c r="Q6014">
        <v>8.17739423251546E-2</v>
      </c>
      <c r="R6014">
        <v>0.97446135952912105</v>
      </c>
      <c r="S6014" t="s">
        <v>12684</v>
      </c>
      <c r="T6014" t="s">
        <v>13338</v>
      </c>
      <c r="U6014" t="s">
        <v>13338</v>
      </c>
      <c r="V6014" t="s">
        <v>13338</v>
      </c>
      <c r="W6014" t="s">
        <v>19292</v>
      </c>
      <c r="X6014">
        <v>15</v>
      </c>
      <c r="Y6014" t="s">
        <v>25782</v>
      </c>
      <c r="Z6014" t="s">
        <v>32429</v>
      </c>
      <c r="AA6014">
        <v>0.36522838856142897</v>
      </c>
      <c r="AB6014" t="str">
        <f>HYPERLINK("Melting_Curves/meltCurve_Q9NW64_RBM22.pdf", "Melting_Curves/meltCurve_Q9NW64_RBM22.pdf")</f>
        <v>Melting_Curves/meltCurve_Q9NW64_RBM22.pdf</v>
      </c>
    </row>
    <row r="6015" spans="1:28" x14ac:dyDescent="0.25">
      <c r="A6015" t="s">
        <v>6019</v>
      </c>
      <c r="B6015">
        <v>0.99193492352474899</v>
      </c>
      <c r="C6015">
        <v>1.5528016851886499</v>
      </c>
      <c r="D6015">
        <v>1.0659557893445999</v>
      </c>
      <c r="E6015">
        <v>2.2392774546125001</v>
      </c>
      <c r="F6015">
        <v>1.05412372567502</v>
      </c>
      <c r="G6015">
        <v>1.24078377731761</v>
      </c>
      <c r="H6015">
        <v>1.5080894642737499</v>
      </c>
      <c r="I6015">
        <v>2.7079025030953598</v>
      </c>
      <c r="J6015">
        <v>3.69294784353839</v>
      </c>
      <c r="K6015">
        <v>6.0820496750839999</v>
      </c>
      <c r="L6015">
        <v>10314.9507808372</v>
      </c>
      <c r="M6015">
        <v>250</v>
      </c>
      <c r="O6015">
        <v>41.257162773183097</v>
      </c>
      <c r="P6015">
        <v>0.75744423365052804</v>
      </c>
      <c r="Q6015">
        <v>1.5</v>
      </c>
      <c r="R6015">
        <v>-0.20628965990085599</v>
      </c>
      <c r="S6015" t="s">
        <v>12685</v>
      </c>
      <c r="T6015" t="s">
        <v>13338</v>
      </c>
      <c r="U6015" t="s">
        <v>13338</v>
      </c>
      <c r="V6015" t="s">
        <v>13338</v>
      </c>
      <c r="W6015" t="s">
        <v>19293</v>
      </c>
      <c r="X6015">
        <v>1</v>
      </c>
      <c r="Y6015" t="s">
        <v>25783</v>
      </c>
      <c r="Z6015" t="s">
        <v>32430</v>
      </c>
      <c r="AA6015">
        <v>1.478966099915392</v>
      </c>
      <c r="AB6015" t="str">
        <f>HYPERLINK("Melting_Curves/meltCurve_Q9NW75_2_GPATCH2.pdf", "Melting_Curves/meltCurve_Q9NW75_2_GPATCH2.pdf")</f>
        <v>Melting_Curves/meltCurve_Q9NW75_2_GPATCH2.pdf</v>
      </c>
    </row>
    <row r="6016" spans="1:28" x14ac:dyDescent="0.25">
      <c r="A6016" t="s">
        <v>6020</v>
      </c>
      <c r="B6016">
        <v>0.99193492352474899</v>
      </c>
      <c r="C6016">
        <v>0.91521051836483003</v>
      </c>
      <c r="D6016">
        <v>0.89086168594826098</v>
      </c>
      <c r="E6016">
        <v>0.492617435810356</v>
      </c>
      <c r="F6016">
        <v>0.26392434687410599</v>
      </c>
      <c r="G6016">
        <v>0.15249510039193701</v>
      </c>
      <c r="H6016">
        <v>7.7913428773173296E-2</v>
      </c>
      <c r="I6016">
        <v>6.9023381488857796E-2</v>
      </c>
      <c r="J6016">
        <v>7.4514761800905299E-2</v>
      </c>
      <c r="K6016">
        <v>7.7431719060188697E-2</v>
      </c>
      <c r="L6016">
        <v>1030.8922983561199</v>
      </c>
      <c r="M6016">
        <v>20.8265918509186</v>
      </c>
      <c r="N6016">
        <v>49.870529037670003</v>
      </c>
      <c r="O6016">
        <v>49.049249495427098</v>
      </c>
      <c r="P6016">
        <v>-9.8523326777381195E-2</v>
      </c>
      <c r="Q6016">
        <v>7.1886022441648101E-2</v>
      </c>
      <c r="R6016">
        <v>0.994995991126566</v>
      </c>
      <c r="S6016" t="s">
        <v>12686</v>
      </c>
      <c r="T6016" t="s">
        <v>13338</v>
      </c>
      <c r="U6016" t="s">
        <v>13338</v>
      </c>
      <c r="V6016" t="s">
        <v>13338</v>
      </c>
      <c r="W6016" t="s">
        <v>19294</v>
      </c>
      <c r="X6016">
        <v>4</v>
      </c>
      <c r="Y6016" t="s">
        <v>25784</v>
      </c>
      <c r="Z6016" t="s">
        <v>32431</v>
      </c>
      <c r="AA6016">
        <v>0.37769834026837368</v>
      </c>
      <c r="AB6016" t="str">
        <f>HYPERLINK("Melting_Curves/meltCurve_Q9NW81_ATP5SL.pdf", "Melting_Curves/meltCurve_Q9NW81_ATP5SL.pdf")</f>
        <v>Melting_Curves/meltCurve_Q9NW81_ATP5SL.pdf</v>
      </c>
    </row>
    <row r="6017" spans="1:28" x14ac:dyDescent="0.25">
      <c r="A6017" t="s">
        <v>6021</v>
      </c>
      <c r="B6017">
        <v>0.99193492352474899</v>
      </c>
      <c r="C6017">
        <v>1.0421726297618601</v>
      </c>
      <c r="D6017">
        <v>1.0972466597594399</v>
      </c>
      <c r="E6017">
        <v>0.96036241727634297</v>
      </c>
      <c r="F6017">
        <v>0.66453395614675903</v>
      </c>
      <c r="G6017">
        <v>0.291139349538998</v>
      </c>
      <c r="H6017">
        <v>0.12054195796553401</v>
      </c>
      <c r="I6017">
        <v>0.13222409184074099</v>
      </c>
      <c r="J6017">
        <v>0.167050029088957</v>
      </c>
      <c r="K6017">
        <v>0.169466225405764</v>
      </c>
      <c r="L6017">
        <v>1861.9948342059599</v>
      </c>
      <c r="M6017">
        <v>34.525962773216001</v>
      </c>
      <c r="N6017">
        <v>54.472253037366002</v>
      </c>
      <c r="O6017">
        <v>53.7503357364089</v>
      </c>
      <c r="P6017">
        <v>-0.13724212000034999</v>
      </c>
      <c r="Q6017">
        <v>0.14536429969516501</v>
      </c>
      <c r="R6017">
        <v>0.99071383918070999</v>
      </c>
      <c r="S6017" t="s">
        <v>12687</v>
      </c>
      <c r="T6017" t="s">
        <v>13338</v>
      </c>
      <c r="U6017" t="s">
        <v>13338</v>
      </c>
      <c r="V6017" t="s">
        <v>13338</v>
      </c>
      <c r="W6017" t="s">
        <v>19295</v>
      </c>
      <c r="X6017">
        <v>18</v>
      </c>
      <c r="Y6017" t="s">
        <v>25785</v>
      </c>
      <c r="Z6017" t="s">
        <v>32432</v>
      </c>
      <c r="AA6017">
        <v>0.54646950728633337</v>
      </c>
      <c r="AB6017" t="str">
        <f>HYPERLINK("Melting_Curves/meltCurve_Q9NW82_WDR70.pdf", "Melting_Curves/meltCurve_Q9NW82_WDR70.pdf")</f>
        <v>Melting_Curves/meltCurve_Q9NW82_WDR70.pdf</v>
      </c>
    </row>
    <row r="6018" spans="1:28" x14ac:dyDescent="0.25">
      <c r="A6018" t="s">
        <v>6022</v>
      </c>
      <c r="B6018">
        <v>0.99193492352474899</v>
      </c>
      <c r="C6018">
        <v>0.96278117236522198</v>
      </c>
      <c r="D6018">
        <v>0.78004709737237599</v>
      </c>
      <c r="E6018">
        <v>0.70192223140722698</v>
      </c>
      <c r="F6018">
        <v>0.58320325521205196</v>
      </c>
      <c r="G6018">
        <v>0.51778507021382503</v>
      </c>
      <c r="H6018">
        <v>0.36254101421427298</v>
      </c>
      <c r="I6018">
        <v>0.322611559224106</v>
      </c>
      <c r="J6018">
        <v>0.35986117992711603</v>
      </c>
      <c r="K6018">
        <v>0.50633677568462998</v>
      </c>
      <c r="L6018">
        <v>651.28351802676502</v>
      </c>
      <c r="M6018">
        <v>13.110677282075001</v>
      </c>
      <c r="N6018">
        <v>55.466992662353803</v>
      </c>
      <c r="O6018">
        <v>48.562752981561601</v>
      </c>
      <c r="P6018">
        <v>-4.2339110808819899E-2</v>
      </c>
      <c r="Q6018">
        <v>0.37280070423070499</v>
      </c>
      <c r="R6018">
        <v>0.93748098021891602</v>
      </c>
      <c r="S6018" t="s">
        <v>12688</v>
      </c>
      <c r="T6018" t="s">
        <v>13338</v>
      </c>
      <c r="U6018" t="s">
        <v>13338</v>
      </c>
      <c r="V6018" t="s">
        <v>13338</v>
      </c>
      <c r="W6018" t="s">
        <v>19296</v>
      </c>
      <c r="X6018">
        <v>3</v>
      </c>
      <c r="Y6018" t="s">
        <v>25786</v>
      </c>
      <c r="Z6018" t="s">
        <v>32433</v>
      </c>
      <c r="AA6018">
        <v>0.594221180471173</v>
      </c>
      <c r="AB6018" t="str">
        <f>HYPERLINK("Melting_Curves/meltCurve_Q9NWA0_MED9.pdf", "Melting_Curves/meltCurve_Q9NWA0_MED9.pdf")</f>
        <v>Melting_Curves/meltCurve_Q9NWA0_MED9.pdf</v>
      </c>
    </row>
    <row r="6019" spans="1:28" x14ac:dyDescent="0.25">
      <c r="A6019" t="s">
        <v>6023</v>
      </c>
      <c r="B6019">
        <v>0.99193492352474899</v>
      </c>
      <c r="C6019">
        <v>0.66736422729206302</v>
      </c>
      <c r="D6019">
        <v>0.72044146756016303</v>
      </c>
      <c r="E6019">
        <v>0.62285229479580395</v>
      </c>
      <c r="F6019">
        <v>0.49075578560548999</v>
      </c>
      <c r="G6019">
        <v>0.30241713553527</v>
      </c>
      <c r="H6019">
        <v>0.32465272236820297</v>
      </c>
      <c r="I6019">
        <v>0.48524628079148402</v>
      </c>
      <c r="J6019">
        <v>0.67254636069239204</v>
      </c>
      <c r="K6019">
        <v>1.0680368493186601</v>
      </c>
      <c r="L6019">
        <v>2417.1239894086498</v>
      </c>
      <c r="M6019">
        <v>57.596900511272302</v>
      </c>
      <c r="O6019">
        <v>41.915709403844303</v>
      </c>
      <c r="P6019">
        <v>-0.14269945083096999</v>
      </c>
      <c r="Q6019">
        <v>0.58460633900896097</v>
      </c>
      <c r="R6019">
        <v>0.25765042886724099</v>
      </c>
      <c r="S6019" t="s">
        <v>12689</v>
      </c>
      <c r="T6019" t="s">
        <v>13338</v>
      </c>
      <c r="U6019" t="s">
        <v>13338</v>
      </c>
      <c r="V6019" t="s">
        <v>13338</v>
      </c>
      <c r="W6019" t="s">
        <v>19297</v>
      </c>
      <c r="X6019">
        <v>13</v>
      </c>
      <c r="Y6019" t="s">
        <v>25787</v>
      </c>
      <c r="Z6019" t="s">
        <v>32434</v>
      </c>
      <c r="AA6019">
        <v>0.6129182695481703</v>
      </c>
      <c r="AB6019" t="str">
        <f>HYPERLINK("Melting_Curves/meltCurve_Q9NWB6_ARGLU1.pdf", "Melting_Curves/meltCurve_Q9NWB6_ARGLU1.pdf")</f>
        <v>Melting_Curves/meltCurve_Q9NWB6_ARGLU1.pdf</v>
      </c>
    </row>
    <row r="6020" spans="1:28" x14ac:dyDescent="0.25">
      <c r="A6020" t="s">
        <v>6024</v>
      </c>
      <c r="B6020">
        <v>0.99193492352474899</v>
      </c>
      <c r="C6020">
        <v>0.51633162103907204</v>
      </c>
      <c r="D6020">
        <v>0.79093453941601199</v>
      </c>
      <c r="E6020">
        <v>0.66890491846789901</v>
      </c>
      <c r="F6020">
        <v>0.772166698193684</v>
      </c>
      <c r="G6020">
        <v>0.39754734157676802</v>
      </c>
      <c r="H6020">
        <v>0.29210648392171601</v>
      </c>
      <c r="I6020">
        <v>0.277198446023384</v>
      </c>
      <c r="J6020">
        <v>0.59779842721958898</v>
      </c>
      <c r="K6020">
        <v>0.53756799758593599</v>
      </c>
      <c r="L6020">
        <v>346.05867751301201</v>
      </c>
      <c r="M6020">
        <v>7.4459903386256103</v>
      </c>
      <c r="N6020">
        <v>57.851354588996998</v>
      </c>
      <c r="O6020">
        <v>43.477282336830399</v>
      </c>
      <c r="P6020">
        <v>-2.6397780890475502E-2</v>
      </c>
      <c r="Q6020">
        <v>0.38436053370029899</v>
      </c>
      <c r="R6020">
        <v>0.45017825065079498</v>
      </c>
      <c r="S6020" t="s">
        <v>12690</v>
      </c>
      <c r="T6020" t="s">
        <v>13338</v>
      </c>
      <c r="U6020" t="s">
        <v>13338</v>
      </c>
      <c r="V6020" t="s">
        <v>13338</v>
      </c>
      <c r="W6020" t="s">
        <v>19298</v>
      </c>
      <c r="X6020">
        <v>1</v>
      </c>
      <c r="Y6020" t="s">
        <v>25788</v>
      </c>
      <c r="Z6020" t="s">
        <v>32435</v>
      </c>
      <c r="AA6020">
        <v>0.5736768055125423</v>
      </c>
      <c r="AB6020" t="str">
        <f>HYPERLINK("Melting_Curves/meltCurve_Q9NWD8_TMEM248.pdf", "Melting_Curves/meltCurve_Q9NWD8_TMEM248.pdf")</f>
        <v>Melting_Curves/meltCurve_Q9NWD8_TMEM248.pdf</v>
      </c>
    </row>
    <row r="6021" spans="1:28" x14ac:dyDescent="0.25">
      <c r="A6021" t="s">
        <v>6025</v>
      </c>
      <c r="B6021">
        <v>0.99193492352474899</v>
      </c>
      <c r="C6021">
        <v>0.96025697979514302</v>
      </c>
      <c r="D6021">
        <v>0.95342335549597601</v>
      </c>
      <c r="E6021">
        <v>0.83689315560919597</v>
      </c>
      <c r="F6021">
        <v>0.73546087335628996</v>
      </c>
      <c r="G6021">
        <v>0.55203723617346401</v>
      </c>
      <c r="H6021">
        <v>0.47043717706910598</v>
      </c>
      <c r="I6021">
        <v>0.60938776573109299</v>
      </c>
      <c r="J6021">
        <v>0.69180161212106295</v>
      </c>
      <c r="K6021">
        <v>0.84473455072849302</v>
      </c>
      <c r="L6021">
        <v>1441.72785144256</v>
      </c>
      <c r="M6021">
        <v>28.8670874462142</v>
      </c>
      <c r="O6021">
        <v>49.705819143748101</v>
      </c>
      <c r="P6021">
        <v>-5.2441064055666703E-2</v>
      </c>
      <c r="Q6021">
        <v>0.63881271591984601</v>
      </c>
      <c r="R6021">
        <v>0.70492255616309496</v>
      </c>
      <c r="S6021" t="s">
        <v>12691</v>
      </c>
      <c r="T6021" t="s">
        <v>13338</v>
      </c>
      <c r="U6021" t="s">
        <v>13338</v>
      </c>
      <c r="V6021" t="s">
        <v>13338</v>
      </c>
      <c r="W6021" t="s">
        <v>19299</v>
      </c>
      <c r="X6021">
        <v>2</v>
      </c>
      <c r="Y6021" t="s">
        <v>25789</v>
      </c>
      <c r="Z6021" t="s">
        <v>32436</v>
      </c>
      <c r="AA6021">
        <v>0.76094298291120133</v>
      </c>
      <c r="AB6021" t="str">
        <f>HYPERLINK("Melting_Curves/meltCurve_Q9NWH2_TMEM242.pdf", "Melting_Curves/meltCurve_Q9NWH2_TMEM242.pdf")</f>
        <v>Melting_Curves/meltCurve_Q9NWH2_TMEM242.pdf</v>
      </c>
    </row>
    <row r="6022" spans="1:28" x14ac:dyDescent="0.25">
      <c r="A6022" t="s">
        <v>6026</v>
      </c>
      <c r="B6022">
        <v>0.99193492352474899</v>
      </c>
      <c r="C6022">
        <v>0.61421914286569201</v>
      </c>
      <c r="D6022">
        <v>1.03420946831842</v>
      </c>
      <c r="E6022">
        <v>0.57348420774688902</v>
      </c>
      <c r="F6022">
        <v>0.69012723052374902</v>
      </c>
      <c r="G6022">
        <v>0.42822723082339598</v>
      </c>
      <c r="H6022">
        <v>0.48753803883171798</v>
      </c>
      <c r="I6022">
        <v>0.39931981884870799</v>
      </c>
      <c r="J6022">
        <v>0.46744846422754799</v>
      </c>
      <c r="K6022">
        <v>0.50436314910409596</v>
      </c>
      <c r="L6022">
        <v>446.25651766659303</v>
      </c>
      <c r="M6022">
        <v>9.1656056813952507</v>
      </c>
      <c r="N6022">
        <v>59.3416081857889</v>
      </c>
      <c r="O6022">
        <v>46.538566166175698</v>
      </c>
      <c r="P6022">
        <v>-2.9387593853674801E-2</v>
      </c>
      <c r="Q6022">
        <v>0.40353976022180899</v>
      </c>
      <c r="R6022">
        <v>0.62382741667452402</v>
      </c>
      <c r="S6022" t="s">
        <v>12692</v>
      </c>
      <c r="T6022" t="s">
        <v>13338</v>
      </c>
      <c r="U6022" t="s">
        <v>13338</v>
      </c>
      <c r="V6022" t="s">
        <v>13338</v>
      </c>
      <c r="W6022" t="s">
        <v>19300</v>
      </c>
      <c r="X6022">
        <v>10</v>
      </c>
      <c r="Y6022" t="s">
        <v>25790</v>
      </c>
      <c r="Z6022" t="s">
        <v>32437</v>
      </c>
      <c r="AA6022">
        <v>0.61021797727478111</v>
      </c>
      <c r="AB6022" t="str">
        <f>HYPERLINK("Melting_Curves/meltCurve_Q9NWH9_SLTM.pdf", "Melting_Curves/meltCurve_Q9NWH9_SLTM.pdf")</f>
        <v>Melting_Curves/meltCurve_Q9NWH9_SLTM.pdf</v>
      </c>
    </row>
    <row r="6023" spans="1:28" x14ac:dyDescent="0.25">
      <c r="A6023" t="s">
        <v>6027</v>
      </c>
      <c r="B6023">
        <v>0.99193492352474899</v>
      </c>
      <c r="C6023">
        <v>0.66763499245036995</v>
      </c>
      <c r="D6023">
        <v>0.49721681268842499</v>
      </c>
      <c r="E6023">
        <v>0.45816085634303799</v>
      </c>
      <c r="F6023">
        <v>0.31712166202584602</v>
      </c>
      <c r="G6023">
        <v>0.199851243463495</v>
      </c>
      <c r="H6023">
        <v>0.16634377336796899</v>
      </c>
      <c r="I6023">
        <v>0.21736157521785199</v>
      </c>
      <c r="J6023">
        <v>0.26978592734683599</v>
      </c>
      <c r="K6023">
        <v>0.29430506861821498</v>
      </c>
      <c r="L6023">
        <v>703.36396470688101</v>
      </c>
      <c r="M6023">
        <v>15.748808903846101</v>
      </c>
      <c r="N6023">
        <v>46.526482852552299</v>
      </c>
      <c r="O6023">
        <v>43.959910880056498</v>
      </c>
      <c r="P6023">
        <v>-6.8606581592452406E-2</v>
      </c>
      <c r="Q6023">
        <v>0.234053122026499</v>
      </c>
      <c r="R6023">
        <v>0.93425555340285404</v>
      </c>
      <c r="S6023" t="s">
        <v>12693</v>
      </c>
      <c r="T6023" t="s">
        <v>13338</v>
      </c>
      <c r="U6023" t="s">
        <v>13338</v>
      </c>
      <c r="V6023" t="s">
        <v>13338</v>
      </c>
      <c r="W6023" t="s">
        <v>19301</v>
      </c>
      <c r="X6023">
        <v>1</v>
      </c>
      <c r="Y6023" t="s">
        <v>25791</v>
      </c>
      <c r="Z6023" t="s">
        <v>32438</v>
      </c>
      <c r="AA6023">
        <v>0.37612967733540098</v>
      </c>
      <c r="AB6023" t="str">
        <f>HYPERLINK("Melting_Curves/meltCurve_Q9NWK9_ZNHIT6.pdf", "Melting_Curves/meltCurve_Q9NWK9_ZNHIT6.pdf")</f>
        <v>Melting_Curves/meltCurve_Q9NWK9_ZNHIT6.pdf</v>
      </c>
    </row>
    <row r="6024" spans="1:28" x14ac:dyDescent="0.25">
      <c r="A6024" t="s">
        <v>6028</v>
      </c>
      <c r="B6024">
        <v>0.99193492352474899</v>
      </c>
      <c r="C6024">
        <v>0.90719207443773597</v>
      </c>
      <c r="D6024">
        <v>0.77891505273009798</v>
      </c>
      <c r="E6024">
        <v>0.60200220927027803</v>
      </c>
      <c r="F6024">
        <v>0.36880374057734699</v>
      </c>
      <c r="G6024">
        <v>0.19964221060124801</v>
      </c>
      <c r="H6024">
        <v>0.14381239975395299</v>
      </c>
      <c r="I6024">
        <v>0.18939144887905801</v>
      </c>
      <c r="J6024">
        <v>0.26116317577137399</v>
      </c>
      <c r="K6024">
        <v>0.313719628018167</v>
      </c>
      <c r="L6024">
        <v>888.15043383283603</v>
      </c>
      <c r="M6024">
        <v>18.170977428628898</v>
      </c>
      <c r="N6024">
        <v>50.376653838760298</v>
      </c>
      <c r="O6024">
        <v>48.296963955222701</v>
      </c>
      <c r="P6024">
        <v>-7.4417755513506198E-2</v>
      </c>
      <c r="Q6024">
        <v>0.20885227548447699</v>
      </c>
      <c r="R6024">
        <v>0.966940728852281</v>
      </c>
      <c r="S6024" t="s">
        <v>12694</v>
      </c>
      <c r="T6024" t="s">
        <v>13338</v>
      </c>
      <c r="U6024" t="s">
        <v>13338</v>
      </c>
      <c r="V6024" t="s">
        <v>13338</v>
      </c>
      <c r="W6024" t="s">
        <v>19302</v>
      </c>
      <c r="X6024">
        <v>1</v>
      </c>
      <c r="Y6024" t="s">
        <v>25792</v>
      </c>
      <c r="Z6024" t="s">
        <v>32439</v>
      </c>
      <c r="AA6024">
        <v>0.45644152540552002</v>
      </c>
      <c r="AB6024" t="str">
        <f>HYPERLINK("Melting_Curves/meltCurve_Q9NWM8_FKBP14.pdf", "Melting_Curves/meltCurve_Q9NWM8_FKBP14.pdf")</f>
        <v>Melting_Curves/meltCurve_Q9NWM8_FKBP14.pdf</v>
      </c>
    </row>
    <row r="6025" spans="1:28" x14ac:dyDescent="0.25">
      <c r="A6025" t="s">
        <v>6029</v>
      </c>
      <c r="B6025">
        <v>0.99193492352474899</v>
      </c>
      <c r="C6025">
        <v>0.91402060424184595</v>
      </c>
      <c r="D6025">
        <v>0.93626507095220002</v>
      </c>
      <c r="E6025">
        <v>0.85016026764772501</v>
      </c>
      <c r="F6025">
        <v>0.73816365321190203</v>
      </c>
      <c r="G6025">
        <v>0.585187151354845</v>
      </c>
      <c r="H6025">
        <v>0.51450804308307796</v>
      </c>
      <c r="I6025">
        <v>0.59020938964896097</v>
      </c>
      <c r="J6025">
        <v>0.65419666644189001</v>
      </c>
      <c r="K6025">
        <v>0.77595443774841699</v>
      </c>
      <c r="L6025">
        <v>1153.29542744944</v>
      </c>
      <c r="M6025">
        <v>23.0009868812508</v>
      </c>
      <c r="O6025">
        <v>49.766729889592497</v>
      </c>
      <c r="P6025">
        <v>-4.3414455228908397E-2</v>
      </c>
      <c r="Q6025">
        <v>0.62426741598832203</v>
      </c>
      <c r="R6025">
        <v>0.79610305641128498</v>
      </c>
      <c r="S6025" t="s">
        <v>12695</v>
      </c>
      <c r="T6025" t="s">
        <v>13338</v>
      </c>
      <c r="U6025" t="s">
        <v>13338</v>
      </c>
      <c r="V6025" t="s">
        <v>13338</v>
      </c>
      <c r="W6025" t="s">
        <v>19303</v>
      </c>
      <c r="X6025">
        <v>6</v>
      </c>
      <c r="Y6025" t="s">
        <v>25793</v>
      </c>
      <c r="Z6025" t="s">
        <v>32440</v>
      </c>
      <c r="AA6025">
        <v>0.75525104213324323</v>
      </c>
      <c r="AB6025" t="str">
        <f>HYPERLINK("Melting_Curves/meltCurve_Q9NWQ8_PAG1.pdf", "Melting_Curves/meltCurve_Q9NWQ8_PAG1.pdf")</f>
        <v>Melting_Curves/meltCurve_Q9NWQ8_PAG1.pdf</v>
      </c>
    </row>
    <row r="6026" spans="1:28" x14ac:dyDescent="0.25">
      <c r="A6026" t="s">
        <v>6030</v>
      </c>
      <c r="B6026">
        <v>0.99193492352474899</v>
      </c>
      <c r="C6026">
        <v>0.646995010662618</v>
      </c>
      <c r="D6026">
        <v>0.63418936345819599</v>
      </c>
      <c r="E6026">
        <v>0.35771538277736398</v>
      </c>
      <c r="F6026">
        <v>0.211854682155283</v>
      </c>
      <c r="G6026">
        <v>0.126112086696193</v>
      </c>
      <c r="H6026">
        <v>8.3588422060622905E-2</v>
      </c>
      <c r="I6026">
        <v>0.10067115166024</v>
      </c>
      <c r="J6026">
        <v>0.132502094388004</v>
      </c>
      <c r="K6026">
        <v>0.154296179530621</v>
      </c>
      <c r="L6026">
        <v>647.94217815707702</v>
      </c>
      <c r="M6026">
        <v>14.0205047283353</v>
      </c>
      <c r="N6026">
        <v>46.932791434428999</v>
      </c>
      <c r="O6026">
        <v>45.304221961922202</v>
      </c>
      <c r="P6026">
        <v>-6.9901559985311904E-2</v>
      </c>
      <c r="Q6026">
        <v>9.6632137849563302E-2</v>
      </c>
      <c r="R6026">
        <v>0.96087777999828405</v>
      </c>
      <c r="S6026" t="s">
        <v>12696</v>
      </c>
      <c r="T6026" t="s">
        <v>13338</v>
      </c>
      <c r="U6026" t="s">
        <v>13338</v>
      </c>
      <c r="V6026" t="s">
        <v>13338</v>
      </c>
      <c r="W6026" t="s">
        <v>19304</v>
      </c>
      <c r="X6026">
        <v>3</v>
      </c>
      <c r="Y6026" t="s">
        <v>25794</v>
      </c>
      <c r="Z6026" t="s">
        <v>32441</v>
      </c>
      <c r="AA6026">
        <v>0.31355989462149642</v>
      </c>
      <c r="AB6026" t="str">
        <f>HYPERLINK("Melting_Curves/meltCurve_Q9NWQ9_C14orf119.pdf", "Melting_Curves/meltCurve_Q9NWQ9_C14orf119.pdf")</f>
        <v>Melting_Curves/meltCurve_Q9NWQ9_C14orf119.pdf</v>
      </c>
    </row>
    <row r="6027" spans="1:28" x14ac:dyDescent="0.25">
      <c r="A6027" t="s">
        <v>6031</v>
      </c>
      <c r="B6027">
        <v>0.99193492352474899</v>
      </c>
      <c r="C6027">
        <v>0.97591267593527897</v>
      </c>
      <c r="D6027">
        <v>0.76335771790963303</v>
      </c>
      <c r="E6027">
        <v>0.72425447542587795</v>
      </c>
      <c r="F6027">
        <v>0.27200170102756299</v>
      </c>
      <c r="G6027">
        <v>0.16586618965420399</v>
      </c>
      <c r="H6027">
        <v>9.9891800823662502E-2</v>
      </c>
      <c r="I6027">
        <v>0.17454675909349299</v>
      </c>
      <c r="J6027">
        <v>0.12992749793491401</v>
      </c>
      <c r="K6027">
        <v>0.22426811293658599</v>
      </c>
      <c r="L6027">
        <v>1071.7396877031499</v>
      </c>
      <c r="M6027">
        <v>21.399292063608399</v>
      </c>
      <c r="N6027">
        <v>50.850230405766702</v>
      </c>
      <c r="O6027">
        <v>49.651741646487999</v>
      </c>
      <c r="P6027">
        <v>-9.2883249214655794E-2</v>
      </c>
      <c r="Q6027">
        <v>0.137971442052778</v>
      </c>
      <c r="R6027">
        <v>0.96386702249878897</v>
      </c>
      <c r="S6027" t="s">
        <v>12697</v>
      </c>
      <c r="T6027" t="s">
        <v>13338</v>
      </c>
      <c r="U6027" t="s">
        <v>13338</v>
      </c>
      <c r="V6027" t="s">
        <v>13338</v>
      </c>
      <c r="W6027" t="s">
        <v>19305</v>
      </c>
      <c r="X6027">
        <v>3</v>
      </c>
      <c r="Y6027" t="s">
        <v>25795</v>
      </c>
      <c r="Z6027" t="s">
        <v>32442</v>
      </c>
      <c r="AA6027">
        <v>0.43820722299172621</v>
      </c>
      <c r="AB6027" t="str">
        <f>HYPERLINK("Melting_Curves/meltCurve_Q9NWR8_CCDC109B.pdf", "Melting_Curves/meltCurve_Q9NWR8_CCDC109B.pdf")</f>
        <v>Melting_Curves/meltCurve_Q9NWR8_CCDC109B.pdf</v>
      </c>
    </row>
    <row r="6028" spans="1:28" x14ac:dyDescent="0.25">
      <c r="A6028" t="s">
        <v>6032</v>
      </c>
      <c r="B6028">
        <v>0.99193492352474899</v>
      </c>
      <c r="C6028">
        <v>0.851570136819226</v>
      </c>
      <c r="D6028">
        <v>0.81693129892172001</v>
      </c>
      <c r="E6028">
        <v>0.48961876798058901</v>
      </c>
      <c r="F6028">
        <v>0.21489187674902999</v>
      </c>
      <c r="G6028">
        <v>0.12404691507719801</v>
      </c>
      <c r="H6028">
        <v>7.8330398957358702E-2</v>
      </c>
      <c r="I6028">
        <v>9.6199198946601699E-2</v>
      </c>
      <c r="J6028">
        <v>0.10932650239503</v>
      </c>
      <c r="K6028">
        <v>0.121321571085962</v>
      </c>
      <c r="L6028">
        <v>951.92236130850802</v>
      </c>
      <c r="M6028">
        <v>19.509047640182999</v>
      </c>
      <c r="N6028">
        <v>49.275087008449702</v>
      </c>
      <c r="O6028">
        <v>48.289896354228603</v>
      </c>
      <c r="P6028">
        <v>-9.2242917211235703E-2</v>
      </c>
      <c r="Q6028">
        <v>8.6733395720713605E-2</v>
      </c>
      <c r="R6028">
        <v>0.98975756279176097</v>
      </c>
      <c r="S6028" t="s">
        <v>12698</v>
      </c>
      <c r="T6028" t="s">
        <v>13338</v>
      </c>
      <c r="U6028" t="s">
        <v>13338</v>
      </c>
      <c r="V6028" t="s">
        <v>13338</v>
      </c>
      <c r="W6028" t="s">
        <v>19306</v>
      </c>
      <c r="X6028">
        <v>11</v>
      </c>
      <c r="Y6028" t="s">
        <v>25796</v>
      </c>
      <c r="Z6028" t="s">
        <v>32443</v>
      </c>
      <c r="AA6028">
        <v>0.36792785010753831</v>
      </c>
      <c r="AB6028" t="str">
        <f>HYPERLINK("Melting_Curves/meltCurve_Q9NWS0_PIH1D1.pdf", "Melting_Curves/meltCurve_Q9NWS0_PIH1D1.pdf")</f>
        <v>Melting_Curves/meltCurve_Q9NWS0_PIH1D1.pdf</v>
      </c>
    </row>
    <row r="6029" spans="1:28" x14ac:dyDescent="0.25">
      <c r="A6029" t="s">
        <v>6033</v>
      </c>
      <c r="B6029">
        <v>0.99193492352474899</v>
      </c>
      <c r="C6029">
        <v>0.73552912920666502</v>
      </c>
      <c r="D6029">
        <v>0.68561848438408701</v>
      </c>
      <c r="E6029">
        <v>0.26235701373294201</v>
      </c>
      <c r="F6029">
        <v>0.240567726047622</v>
      </c>
      <c r="G6029">
        <v>0.18808167135069501</v>
      </c>
      <c r="H6029">
        <v>7.9805990619230396E-2</v>
      </c>
      <c r="I6029">
        <v>6.8340133267741507E-2</v>
      </c>
      <c r="J6029">
        <v>6.6984945347625405E-2</v>
      </c>
      <c r="K6029">
        <v>8.7069028944784299E-2</v>
      </c>
      <c r="L6029">
        <v>710.43596265368706</v>
      </c>
      <c r="M6029">
        <v>15.1672107606335</v>
      </c>
      <c r="N6029">
        <v>47.330333627142998</v>
      </c>
      <c r="O6029">
        <v>46.048637336194901</v>
      </c>
      <c r="P6029">
        <v>-7.6367084477729996E-2</v>
      </c>
      <c r="Q6029">
        <v>7.2667989768956096E-2</v>
      </c>
      <c r="R6029">
        <v>0.97020651153228399</v>
      </c>
      <c r="S6029" t="s">
        <v>12699</v>
      </c>
      <c r="T6029" t="s">
        <v>13338</v>
      </c>
      <c r="U6029" t="s">
        <v>13338</v>
      </c>
      <c r="V6029" t="s">
        <v>13338</v>
      </c>
      <c r="W6029" t="s">
        <v>19307</v>
      </c>
      <c r="X6029">
        <v>3</v>
      </c>
      <c r="Y6029" t="s">
        <v>25797</v>
      </c>
      <c r="Z6029" t="s">
        <v>32444</v>
      </c>
      <c r="AA6029">
        <v>0.30898282708134878</v>
      </c>
      <c r="AB6029" t="str">
        <f>HYPERLINK("Melting_Curves/meltCurve_Q9NWS6_FAM118A.pdf", "Melting_Curves/meltCurve_Q9NWS6_FAM118A.pdf")</f>
        <v>Melting_Curves/meltCurve_Q9NWS6_FAM118A.pdf</v>
      </c>
    </row>
    <row r="6030" spans="1:28" x14ac:dyDescent="0.25">
      <c r="A6030" t="s">
        <v>6034</v>
      </c>
      <c r="B6030">
        <v>0.99193492352474899</v>
      </c>
      <c r="C6030">
        <v>0.91823824141875698</v>
      </c>
      <c r="D6030">
        <v>0.95070645786552599</v>
      </c>
      <c r="E6030">
        <v>0.86101049206681701</v>
      </c>
      <c r="F6030">
        <v>0.26385470160280999</v>
      </c>
      <c r="G6030">
        <v>0.16635915000294699</v>
      </c>
      <c r="H6030">
        <v>0.112479619354118</v>
      </c>
      <c r="I6030">
        <v>0.124143228513704</v>
      </c>
      <c r="J6030">
        <v>0.12358795998819599</v>
      </c>
      <c r="K6030">
        <v>0.120640396422936</v>
      </c>
      <c r="L6030">
        <v>2376.6905998091502</v>
      </c>
      <c r="M6030">
        <v>46.298384868427199</v>
      </c>
      <c r="N6030">
        <v>51.659071816244797</v>
      </c>
      <c r="O6030">
        <v>51.238704840299</v>
      </c>
      <c r="P6030">
        <v>-0.19736580432815001</v>
      </c>
      <c r="Q6030">
        <v>0.126297256018819</v>
      </c>
      <c r="R6030">
        <v>0.99324350669177197</v>
      </c>
      <c r="S6030" t="s">
        <v>12700</v>
      </c>
      <c r="T6030" t="s">
        <v>13338</v>
      </c>
      <c r="U6030" t="s">
        <v>13338</v>
      </c>
      <c r="V6030" t="s">
        <v>13338</v>
      </c>
      <c r="W6030" t="s">
        <v>19308</v>
      </c>
      <c r="X6030">
        <v>3</v>
      </c>
      <c r="Y6030" t="s">
        <v>25798</v>
      </c>
      <c r="Z6030" t="s">
        <v>32445</v>
      </c>
      <c r="AA6030">
        <v>0.45869732415409248</v>
      </c>
      <c r="AB6030" t="str">
        <f>HYPERLINK("Melting_Curves/meltCurve_Q9NWS8_RMND1.pdf", "Melting_Curves/meltCurve_Q9NWS8_RMND1.pdf")</f>
        <v>Melting_Curves/meltCurve_Q9NWS8_RMND1.pdf</v>
      </c>
    </row>
    <row r="6031" spans="1:28" x14ac:dyDescent="0.25">
      <c r="A6031" t="s">
        <v>6035</v>
      </c>
      <c r="B6031">
        <v>0.99193492352474899</v>
      </c>
      <c r="C6031">
        <v>0.62745634097774505</v>
      </c>
      <c r="D6031">
        <v>0.83279447257768502</v>
      </c>
      <c r="E6031">
        <v>0.58245297947850005</v>
      </c>
      <c r="F6031">
        <v>0.561008481246003</v>
      </c>
      <c r="G6031">
        <v>0.355191340013707</v>
      </c>
      <c r="H6031">
        <v>0.29579428702079102</v>
      </c>
      <c r="I6031">
        <v>8.7194110930460395E-2</v>
      </c>
      <c r="J6031">
        <v>8.2256543769297502E-2</v>
      </c>
      <c r="K6031">
        <v>8.1578133587938306E-2</v>
      </c>
      <c r="L6031">
        <v>425.07415031684599</v>
      </c>
      <c r="M6031">
        <v>8.1413486299807492</v>
      </c>
      <c r="N6031">
        <v>52.211759259431403</v>
      </c>
      <c r="O6031">
        <v>49.345085405895396</v>
      </c>
      <c r="P6031">
        <v>-4.1290700919694903E-2</v>
      </c>
      <c r="Q6031">
        <v>0</v>
      </c>
      <c r="R6031">
        <v>0.90399967591864105</v>
      </c>
      <c r="S6031" t="s">
        <v>12701</v>
      </c>
      <c r="T6031" t="s">
        <v>13338</v>
      </c>
      <c r="U6031" t="s">
        <v>13338</v>
      </c>
      <c r="V6031" t="s">
        <v>13338</v>
      </c>
      <c r="W6031" t="s">
        <v>19309</v>
      </c>
      <c r="X6031">
        <v>4</v>
      </c>
      <c r="Y6031" t="s">
        <v>25799</v>
      </c>
      <c r="Z6031" t="s">
        <v>32446</v>
      </c>
      <c r="AA6031">
        <v>0.4521721043847714</v>
      </c>
      <c r="AB6031" t="str">
        <f>HYPERLINK("Melting_Curves/meltCurve_Q9NWT1_PAK1IP1.pdf", "Melting_Curves/meltCurve_Q9NWT1_PAK1IP1.pdf")</f>
        <v>Melting_Curves/meltCurve_Q9NWT1_PAK1IP1.pdf</v>
      </c>
    </row>
    <row r="6032" spans="1:28" x14ac:dyDescent="0.25">
      <c r="A6032" t="s">
        <v>6036</v>
      </c>
      <c r="B6032">
        <v>0.99193492352474899</v>
      </c>
      <c r="C6032">
        <v>0.82924838671977297</v>
      </c>
      <c r="D6032">
        <v>0.77947911833711303</v>
      </c>
      <c r="E6032">
        <v>0.70003972784488999</v>
      </c>
      <c r="F6032">
        <v>0.39372647734413901</v>
      </c>
      <c r="G6032">
        <v>0.21923653930187101</v>
      </c>
      <c r="H6032">
        <v>0.15136626776891099</v>
      </c>
      <c r="I6032">
        <v>0.118027155396714</v>
      </c>
      <c r="J6032">
        <v>0.13887195928090201</v>
      </c>
      <c r="K6032">
        <v>0.16873253612845801</v>
      </c>
      <c r="L6032">
        <v>663.31894473449802</v>
      </c>
      <c r="M6032">
        <v>13.105385199566699</v>
      </c>
      <c r="N6032">
        <v>51.387471631966399</v>
      </c>
      <c r="O6032">
        <v>49.479249052912103</v>
      </c>
      <c r="P6032">
        <v>-6.0301358680682898E-2</v>
      </c>
      <c r="Q6032">
        <v>8.9487203894122E-2</v>
      </c>
      <c r="R6032">
        <v>0.97528801062674597</v>
      </c>
      <c r="S6032" t="s">
        <v>12702</v>
      </c>
      <c r="T6032" t="s">
        <v>13338</v>
      </c>
      <c r="U6032" t="s">
        <v>13338</v>
      </c>
      <c r="V6032" t="s">
        <v>13338</v>
      </c>
      <c r="W6032" t="s">
        <v>19310</v>
      </c>
      <c r="X6032">
        <v>9</v>
      </c>
      <c r="Y6032" t="s">
        <v>25800</v>
      </c>
      <c r="Z6032" t="s">
        <v>32447</v>
      </c>
      <c r="AA6032">
        <v>0.43819774268518741</v>
      </c>
      <c r="AB6032" t="str">
        <f>HYPERLINK("Melting_Curves/meltCurve_Q9NWT6_HIF1AN.pdf", "Melting_Curves/meltCurve_Q9NWT6_HIF1AN.pdf")</f>
        <v>Melting_Curves/meltCurve_Q9NWT6_HIF1AN.pdf</v>
      </c>
    </row>
    <row r="6033" spans="1:28" x14ac:dyDescent="0.25">
      <c r="A6033" t="s">
        <v>6037</v>
      </c>
      <c r="B6033">
        <v>0.99193492352474899</v>
      </c>
      <c r="C6033">
        <v>1.1149927977276799</v>
      </c>
      <c r="D6033">
        <v>0.92974063567086396</v>
      </c>
      <c r="E6033">
        <v>1.0069434396353001</v>
      </c>
      <c r="F6033">
        <v>0.78865393184604404</v>
      </c>
      <c r="G6033">
        <v>0.66284587788204297</v>
      </c>
      <c r="H6033">
        <v>0.50619376294898699</v>
      </c>
      <c r="I6033">
        <v>0.61467918539090605</v>
      </c>
      <c r="J6033">
        <v>0.61929683158344495</v>
      </c>
      <c r="K6033">
        <v>0.679734327786222</v>
      </c>
      <c r="L6033">
        <v>2394.1337503218801</v>
      </c>
      <c r="M6033">
        <v>45.096663526419803</v>
      </c>
      <c r="O6033">
        <v>52.984856409669597</v>
      </c>
      <c r="P6033">
        <v>-8.2673649300424298E-2</v>
      </c>
      <c r="Q6033">
        <v>0.61146165180789602</v>
      </c>
      <c r="R6033">
        <v>0.90607859489634701</v>
      </c>
      <c r="S6033" t="s">
        <v>12703</v>
      </c>
      <c r="T6033" t="s">
        <v>13338</v>
      </c>
      <c r="U6033" t="s">
        <v>13338</v>
      </c>
      <c r="V6033" t="s">
        <v>13338</v>
      </c>
      <c r="W6033" t="s">
        <v>19311</v>
      </c>
      <c r="X6033">
        <v>10</v>
      </c>
      <c r="Y6033" t="s">
        <v>25801</v>
      </c>
      <c r="Z6033" t="s">
        <v>32448</v>
      </c>
      <c r="AA6033">
        <v>0.78209948198202539</v>
      </c>
      <c r="AB6033" t="str">
        <f>HYPERLINK("Melting_Curves/meltCurve_Q9NWU1_OXSM.pdf", "Melting_Curves/meltCurve_Q9NWU1_OXSM.pdf")</f>
        <v>Melting_Curves/meltCurve_Q9NWU1_OXSM.pdf</v>
      </c>
    </row>
    <row r="6034" spans="1:28" x14ac:dyDescent="0.25">
      <c r="A6034" t="s">
        <v>6038</v>
      </c>
      <c r="B6034">
        <v>0.99193492352474899</v>
      </c>
      <c r="C6034">
        <v>0.93291355000705301</v>
      </c>
      <c r="D6034">
        <v>0.80434165376146605</v>
      </c>
      <c r="E6034">
        <v>0.66019158497502095</v>
      </c>
      <c r="F6034">
        <v>0.36365242820157601</v>
      </c>
      <c r="G6034">
        <v>0.226094405019892</v>
      </c>
      <c r="H6034">
        <v>0.15601047304479701</v>
      </c>
      <c r="I6034">
        <v>0.16359387615700699</v>
      </c>
      <c r="J6034">
        <v>0.14224993543032299</v>
      </c>
      <c r="K6034">
        <v>0.181676569398738</v>
      </c>
      <c r="L6034">
        <v>832.39733221952395</v>
      </c>
      <c r="M6034">
        <v>16.588981369797999</v>
      </c>
      <c r="N6034">
        <v>51.1548880291814</v>
      </c>
      <c r="O6034">
        <v>49.465571761754802</v>
      </c>
      <c r="P6034">
        <v>-7.2461063998405503E-2</v>
      </c>
      <c r="Q6034">
        <v>0.13579164889658801</v>
      </c>
      <c r="R6034">
        <v>0.993448540117567</v>
      </c>
      <c r="S6034" t="s">
        <v>12704</v>
      </c>
      <c r="T6034" t="s">
        <v>13338</v>
      </c>
      <c r="U6034" t="s">
        <v>13338</v>
      </c>
      <c r="V6034" t="s">
        <v>13338</v>
      </c>
      <c r="W6034" t="s">
        <v>19312</v>
      </c>
      <c r="X6034">
        <v>5</v>
      </c>
      <c r="Y6034" t="s">
        <v>25802</v>
      </c>
      <c r="Z6034" t="s">
        <v>32449</v>
      </c>
      <c r="AA6034">
        <v>0.44609086781151469</v>
      </c>
      <c r="AB6034" t="str">
        <f>HYPERLINK("Melting_Curves/meltCurve_Q9NWU2_GID8.pdf", "Melting_Curves/meltCurve_Q9NWU2_GID8.pdf")</f>
        <v>Melting_Curves/meltCurve_Q9NWU2_GID8.pdf</v>
      </c>
    </row>
    <row r="6035" spans="1:28" x14ac:dyDescent="0.25">
      <c r="A6035" t="s">
        <v>6039</v>
      </c>
      <c r="B6035">
        <v>0.99193492352474899</v>
      </c>
      <c r="C6035">
        <v>0.88624358238627399</v>
      </c>
      <c r="D6035">
        <v>0.80997233434309401</v>
      </c>
      <c r="E6035">
        <v>0.75777253146048595</v>
      </c>
      <c r="F6035">
        <v>0.25272992648679699</v>
      </c>
      <c r="G6035">
        <v>7.6803587505292897E-2</v>
      </c>
      <c r="H6035">
        <v>4.6837676455790601E-2</v>
      </c>
      <c r="I6035">
        <v>5.2428584276645103E-2</v>
      </c>
      <c r="J6035">
        <v>5.50760875441072E-2</v>
      </c>
      <c r="K6035">
        <v>7.3462376765330697E-2</v>
      </c>
      <c r="L6035">
        <v>1268.25357608935</v>
      </c>
      <c r="M6035">
        <v>24.889425843060401</v>
      </c>
      <c r="N6035">
        <v>51.1292700239092</v>
      </c>
      <c r="O6035">
        <v>50.629995698362201</v>
      </c>
      <c r="P6035">
        <v>-0.11791651660544999</v>
      </c>
      <c r="Q6035">
        <v>4.05514271993433E-2</v>
      </c>
      <c r="R6035">
        <v>0.97451369946644295</v>
      </c>
      <c r="S6035" t="s">
        <v>12705</v>
      </c>
      <c r="T6035" t="s">
        <v>13338</v>
      </c>
      <c r="U6035" t="s">
        <v>13338</v>
      </c>
      <c r="V6035" t="s">
        <v>13338</v>
      </c>
      <c r="W6035" t="s">
        <v>19313</v>
      </c>
      <c r="X6035">
        <v>9</v>
      </c>
      <c r="Y6035" t="s">
        <v>25803</v>
      </c>
      <c r="Z6035" t="s">
        <v>32450</v>
      </c>
      <c r="AA6035">
        <v>0.39966596644798469</v>
      </c>
      <c r="AB6035" t="str">
        <f>HYPERLINK("Melting_Curves/meltCurve_Q9NWV4_C1orf123.pdf", "Melting_Curves/meltCurve_Q9NWV4_C1orf123.pdf")</f>
        <v>Melting_Curves/meltCurve_Q9NWV4_C1orf123.pdf</v>
      </c>
    </row>
    <row r="6036" spans="1:28" x14ac:dyDescent="0.25">
      <c r="A6036" t="s">
        <v>6040</v>
      </c>
      <c r="B6036">
        <v>0.99193492352474899</v>
      </c>
      <c r="C6036">
        <v>0.89006728911551503</v>
      </c>
      <c r="D6036">
        <v>0.932482222980759</v>
      </c>
      <c r="E6036">
        <v>0.71248681475970399</v>
      </c>
      <c r="F6036">
        <v>0.347074613567595</v>
      </c>
      <c r="G6036">
        <v>0.14505520673934699</v>
      </c>
      <c r="H6036">
        <v>9.0701875925035397E-2</v>
      </c>
      <c r="I6036">
        <v>7.7848963409645297E-2</v>
      </c>
      <c r="J6036">
        <v>8.5290286933113996E-2</v>
      </c>
      <c r="K6036">
        <v>7.5814136473955296E-2</v>
      </c>
      <c r="L6036">
        <v>1159.2684133252001</v>
      </c>
      <c r="M6036">
        <v>22.635173326106798</v>
      </c>
      <c r="N6036">
        <v>51.553894038908197</v>
      </c>
      <c r="O6036">
        <v>50.820640851336002</v>
      </c>
      <c r="P6036">
        <v>-0.103661198658256</v>
      </c>
      <c r="Q6036">
        <v>6.9055453432347494E-2</v>
      </c>
      <c r="R6036">
        <v>0.992778120368489</v>
      </c>
      <c r="S6036" t="s">
        <v>12706</v>
      </c>
      <c r="T6036" t="s">
        <v>13338</v>
      </c>
      <c r="U6036" t="s">
        <v>13338</v>
      </c>
      <c r="V6036" t="s">
        <v>13338</v>
      </c>
      <c r="W6036" t="s">
        <v>19314</v>
      </c>
      <c r="X6036">
        <v>3</v>
      </c>
      <c r="Y6036" t="s">
        <v>25804</v>
      </c>
      <c r="Z6036" t="s">
        <v>32451</v>
      </c>
      <c r="AA6036">
        <v>0.4273071826904567</v>
      </c>
      <c r="AB6036" t="str">
        <f>HYPERLINK("Melting_Curves/meltCurve_Q9NWW6_NMRK1.pdf", "Melting_Curves/meltCurve_Q9NWW6_NMRK1.pdf")</f>
        <v>Melting_Curves/meltCurve_Q9NWW6_NMRK1.pdf</v>
      </c>
    </row>
    <row r="6037" spans="1:28" x14ac:dyDescent="0.25">
      <c r="A6037" t="s">
        <v>6041</v>
      </c>
      <c r="B6037">
        <v>0.99193492352474899</v>
      </c>
      <c r="C6037">
        <v>0.83239030562509198</v>
      </c>
      <c r="D6037">
        <v>0.93128579525113597</v>
      </c>
      <c r="E6037">
        <v>0.80987334218631701</v>
      </c>
      <c r="F6037">
        <v>0.63785626060140499</v>
      </c>
      <c r="G6037">
        <v>0.45097520204965702</v>
      </c>
      <c r="H6037">
        <v>0.19453428087299399</v>
      </c>
      <c r="I6037">
        <v>0.15519272728113501</v>
      </c>
      <c r="J6037">
        <v>0.170547042116584</v>
      </c>
      <c r="K6037">
        <v>0.146909100831559</v>
      </c>
      <c r="L6037">
        <v>709.70333493736996</v>
      </c>
      <c r="M6037">
        <v>12.9937071041363</v>
      </c>
      <c r="N6037">
        <v>55.223394799011899</v>
      </c>
      <c r="O6037">
        <v>53.373876684750698</v>
      </c>
      <c r="P6037">
        <v>-5.6837881813538299E-2</v>
      </c>
      <c r="Q6037">
        <v>6.6280021349498203E-2</v>
      </c>
      <c r="R6037">
        <v>0.97329907756602396</v>
      </c>
      <c r="S6037" t="s">
        <v>12707</v>
      </c>
      <c r="T6037" t="s">
        <v>13338</v>
      </c>
      <c r="U6037" t="s">
        <v>13338</v>
      </c>
      <c r="V6037" t="s">
        <v>13338</v>
      </c>
      <c r="W6037" t="s">
        <v>19315</v>
      </c>
      <c r="X6037">
        <v>4</v>
      </c>
      <c r="Y6037" t="s">
        <v>25805</v>
      </c>
      <c r="Z6037" t="s">
        <v>32452</v>
      </c>
      <c r="AA6037">
        <v>0.54267559885952676</v>
      </c>
      <c r="AB6037" t="str">
        <f>HYPERLINK("Melting_Curves/meltCurve_Q9NWX6_THG1L.pdf", "Melting_Curves/meltCurve_Q9NWX6_THG1L.pdf")</f>
        <v>Melting_Curves/meltCurve_Q9NWX6_THG1L.pdf</v>
      </c>
    </row>
    <row r="6038" spans="1:28" x14ac:dyDescent="0.25">
      <c r="A6038" t="s">
        <v>6042</v>
      </c>
      <c r="B6038">
        <v>0.99193492352474899</v>
      </c>
      <c r="C6038">
        <v>0.740084566935302</v>
      </c>
      <c r="D6038">
        <v>0.47980898241595799</v>
      </c>
      <c r="E6038">
        <v>0.26401369198657798</v>
      </c>
      <c r="F6038">
        <v>0.20713892559769001</v>
      </c>
      <c r="G6038">
        <v>0.12505477976901799</v>
      </c>
      <c r="H6038">
        <v>6.5044822171663297E-2</v>
      </c>
      <c r="I6038">
        <v>6.5266437962240603E-2</v>
      </c>
      <c r="J6038">
        <v>6.9182651812753196E-2</v>
      </c>
      <c r="K6038">
        <v>7.4867774339626894E-2</v>
      </c>
      <c r="L6038">
        <v>771.19618332647201</v>
      </c>
      <c r="M6038">
        <v>16.917848362229499</v>
      </c>
      <c r="N6038">
        <v>46.034239034046898</v>
      </c>
      <c r="O6038">
        <v>44.9621523306675</v>
      </c>
      <c r="P6038">
        <v>-8.6911158316401699E-2</v>
      </c>
      <c r="Q6038">
        <v>7.6131672361935701E-2</v>
      </c>
      <c r="R6038">
        <v>0.98897442536732605</v>
      </c>
      <c r="S6038" t="s">
        <v>12708</v>
      </c>
      <c r="T6038" t="s">
        <v>13338</v>
      </c>
      <c r="U6038" t="s">
        <v>13338</v>
      </c>
      <c r="V6038" t="s">
        <v>13338</v>
      </c>
      <c r="W6038" t="s">
        <v>19316</v>
      </c>
      <c r="X6038">
        <v>13</v>
      </c>
      <c r="Y6038" t="s">
        <v>25806</v>
      </c>
      <c r="Z6038" t="s">
        <v>32453</v>
      </c>
      <c r="AA6038">
        <v>0.26968881391305671</v>
      </c>
      <c r="AB6038" t="str">
        <f>HYPERLINK("Melting_Curves/meltCurve_Q9NWY4_C4orf27.pdf", "Melting_Curves/meltCurve_Q9NWY4_C4orf27.pdf")</f>
        <v>Melting_Curves/meltCurve_Q9NWY4_C4orf27.pdf</v>
      </c>
    </row>
    <row r="6039" spans="1:28" x14ac:dyDescent="0.25">
      <c r="A6039" t="s">
        <v>6043</v>
      </c>
      <c r="B6039">
        <v>0.99193492352474899</v>
      </c>
      <c r="C6039">
        <v>0.99185774711639596</v>
      </c>
      <c r="D6039">
        <v>0.84912026198393098</v>
      </c>
      <c r="E6039">
        <v>0.315425501482483</v>
      </c>
      <c r="F6039">
        <v>0.16340809833440401</v>
      </c>
      <c r="G6039">
        <v>0.11783685282332999</v>
      </c>
      <c r="H6039">
        <v>7.6710130255291803E-2</v>
      </c>
      <c r="I6039">
        <v>8.9320509802895506E-2</v>
      </c>
      <c r="J6039">
        <v>8.2188827450991805E-2</v>
      </c>
      <c r="K6039">
        <v>9.8791051389240894E-2</v>
      </c>
      <c r="L6039">
        <v>1665.4648235484101</v>
      </c>
      <c r="M6039">
        <v>34.651051307751601</v>
      </c>
      <c r="N6039">
        <v>48.3657661624989</v>
      </c>
      <c r="O6039">
        <v>47.904672199559798</v>
      </c>
      <c r="P6039">
        <v>-0.163250010476616</v>
      </c>
      <c r="Q6039">
        <v>9.7238494781918206E-2</v>
      </c>
      <c r="R6039">
        <v>0.99823461893862298</v>
      </c>
      <c r="S6039" t="s">
        <v>12709</v>
      </c>
      <c r="T6039" t="s">
        <v>13338</v>
      </c>
      <c r="U6039" t="s">
        <v>13338</v>
      </c>
      <c r="V6039" t="s">
        <v>13338</v>
      </c>
      <c r="W6039" t="s">
        <v>19317</v>
      </c>
      <c r="X6039">
        <v>7</v>
      </c>
      <c r="Y6039" t="s">
        <v>25807</v>
      </c>
      <c r="Z6039" t="s">
        <v>32454</v>
      </c>
      <c r="AA6039">
        <v>0.34393136264721691</v>
      </c>
      <c r="AB6039" t="str">
        <f>HYPERLINK("Melting_Curves/meltCurve_Q9NWZ3_IRAK4.pdf", "Melting_Curves/meltCurve_Q9NWZ3_IRAK4.pdf")</f>
        <v>Melting_Curves/meltCurve_Q9NWZ3_IRAK4.pdf</v>
      </c>
    </row>
    <row r="6040" spans="1:28" x14ac:dyDescent="0.25">
      <c r="A6040" t="s">
        <v>6044</v>
      </c>
      <c r="B6040">
        <v>0.99193492352474899</v>
      </c>
      <c r="C6040">
        <v>0.95979452316735103</v>
      </c>
      <c r="D6040">
        <v>0.90186271226947701</v>
      </c>
      <c r="E6040">
        <v>0.70675012524497105</v>
      </c>
      <c r="F6040">
        <v>0.60643154849668501</v>
      </c>
      <c r="G6040">
        <v>0.34652874059932098</v>
      </c>
      <c r="H6040">
        <v>0.149855446660976</v>
      </c>
      <c r="I6040">
        <v>0.13391076407553501</v>
      </c>
      <c r="J6040">
        <v>0.142001608903877</v>
      </c>
      <c r="K6040">
        <v>0.15177966247533201</v>
      </c>
      <c r="L6040">
        <v>749.58105808848904</v>
      </c>
      <c r="M6040">
        <v>14.1065564703466</v>
      </c>
      <c r="N6040">
        <v>53.810988493615902</v>
      </c>
      <c r="O6040">
        <v>52.103416663855498</v>
      </c>
      <c r="P6040">
        <v>-6.22128049890871E-2</v>
      </c>
      <c r="Q6040">
        <v>8.0971085083821503E-2</v>
      </c>
      <c r="R6040">
        <v>0.98849103898632795</v>
      </c>
      <c r="S6040" t="s">
        <v>12710</v>
      </c>
      <c r="T6040" t="s">
        <v>13338</v>
      </c>
      <c r="U6040" t="s">
        <v>13338</v>
      </c>
      <c r="V6040" t="s">
        <v>13338</v>
      </c>
      <c r="W6040" t="s">
        <v>19318</v>
      </c>
      <c r="X6040">
        <v>6</v>
      </c>
      <c r="Y6040" t="s">
        <v>25808</v>
      </c>
      <c r="Z6040" t="s">
        <v>32455</v>
      </c>
      <c r="AA6040">
        <v>0.50475483550519629</v>
      </c>
      <c r="AB6040" t="str">
        <f>HYPERLINK("Melting_Curves/meltCurve_Q9NWZ5_UCKL1.pdf", "Melting_Curves/meltCurve_Q9NWZ5_UCKL1.pdf")</f>
        <v>Melting_Curves/meltCurve_Q9NWZ5_UCKL1.pdf</v>
      </c>
    </row>
    <row r="6041" spans="1:28" x14ac:dyDescent="0.25">
      <c r="A6041" t="s">
        <v>6045</v>
      </c>
      <c r="B6041">
        <v>0.99193492352474899</v>
      </c>
      <c r="C6041">
        <v>1.3930334928139401</v>
      </c>
      <c r="D6041">
        <v>0.98473290245275802</v>
      </c>
      <c r="E6041">
        <v>0.83961501670646499</v>
      </c>
      <c r="F6041">
        <v>0.40227727608091401</v>
      </c>
      <c r="G6041">
        <v>0.36171687369145</v>
      </c>
      <c r="H6041">
        <v>0.29196829507382699</v>
      </c>
      <c r="I6041">
        <v>0.73630615985257197</v>
      </c>
      <c r="J6041">
        <v>1.06726641293974</v>
      </c>
      <c r="K6041">
        <v>1.24013652252202</v>
      </c>
      <c r="L6041">
        <v>12398.7318563934</v>
      </c>
      <c r="M6041">
        <v>250</v>
      </c>
      <c r="O6041">
        <v>49.591750797037797</v>
      </c>
      <c r="P6041">
        <v>-0.399160877569744</v>
      </c>
      <c r="Q6041">
        <v>0.68327859365358301</v>
      </c>
      <c r="R6041">
        <v>0.26437937085097102</v>
      </c>
      <c r="S6041" t="s">
        <v>12711</v>
      </c>
      <c r="T6041" t="s">
        <v>13338</v>
      </c>
      <c r="U6041" t="s">
        <v>13338</v>
      </c>
      <c r="V6041" t="s">
        <v>13338</v>
      </c>
      <c r="W6041" t="s">
        <v>19319</v>
      </c>
      <c r="X6041">
        <v>2</v>
      </c>
      <c r="Y6041" t="s">
        <v>25809</v>
      </c>
      <c r="Z6041" t="s">
        <v>32456</v>
      </c>
      <c r="AA6041">
        <v>0.78460345748850535</v>
      </c>
      <c r="AB6041" t="str">
        <f>HYPERLINK("Melting_Curves/meltCurve_Q9NWZ8_GEMIN8.pdf", "Melting_Curves/meltCurve_Q9NWZ8_GEMIN8.pdf")</f>
        <v>Melting_Curves/meltCurve_Q9NWZ8_GEMIN8.pdf</v>
      </c>
    </row>
    <row r="6042" spans="1:28" x14ac:dyDescent="0.25">
      <c r="A6042" t="s">
        <v>6046</v>
      </c>
      <c r="B6042">
        <v>0.99193492352474899</v>
      </c>
      <c r="C6042">
        <v>0.89958647844455897</v>
      </c>
      <c r="D6042">
        <v>0.98376089373025899</v>
      </c>
      <c r="E6042">
        <v>0.76297874703039403</v>
      </c>
      <c r="F6042">
        <v>0.75440958298448202</v>
      </c>
      <c r="G6042">
        <v>0.48516930507758299</v>
      </c>
      <c r="H6042">
        <v>0.47764117897311098</v>
      </c>
      <c r="I6042">
        <v>0.50083865330683597</v>
      </c>
      <c r="J6042">
        <v>0.54098659640175795</v>
      </c>
      <c r="K6042">
        <v>0.53672734318567095</v>
      </c>
      <c r="L6042">
        <v>931.49133237686499</v>
      </c>
      <c r="M6042">
        <v>18.253075262394301</v>
      </c>
      <c r="O6042">
        <v>50.431330695221597</v>
      </c>
      <c r="P6042">
        <v>-4.5481502668929502E-2</v>
      </c>
      <c r="Q6042">
        <v>0.497381014834896</v>
      </c>
      <c r="R6042">
        <v>0.91982320736025003</v>
      </c>
      <c r="S6042" t="s">
        <v>12712</v>
      </c>
      <c r="T6042" t="s">
        <v>13338</v>
      </c>
      <c r="U6042" t="s">
        <v>13338</v>
      </c>
      <c r="V6042" t="s">
        <v>13338</v>
      </c>
      <c r="W6042" t="s">
        <v>19320</v>
      </c>
      <c r="X6042">
        <v>2</v>
      </c>
      <c r="Y6042" t="s">
        <v>25810</v>
      </c>
      <c r="Z6042" t="s">
        <v>32457</v>
      </c>
      <c r="AA6042">
        <v>0.69046603913898674</v>
      </c>
      <c r="AB6042" t="str">
        <f>HYPERLINK("Melting_Curves/meltCurve_Q9NX00_TMEM160.pdf", "Melting_Curves/meltCurve_Q9NX00_TMEM160.pdf")</f>
        <v>Melting_Curves/meltCurve_Q9NX00_TMEM160.pdf</v>
      </c>
    </row>
    <row r="6043" spans="1:28" x14ac:dyDescent="0.25">
      <c r="A6043" t="s">
        <v>6047</v>
      </c>
      <c r="B6043">
        <v>0.99193492352474899</v>
      </c>
      <c r="C6043">
        <v>0.88892815491370303</v>
      </c>
      <c r="D6043">
        <v>0.92826598828198004</v>
      </c>
      <c r="E6043">
        <v>0.55533632524300303</v>
      </c>
      <c r="F6043">
        <v>0.23147085778368401</v>
      </c>
      <c r="G6043">
        <v>0.120340185039787</v>
      </c>
      <c r="H6043">
        <v>4.4748501467306002E-2</v>
      </c>
      <c r="I6043">
        <v>6.4719574818277906E-2</v>
      </c>
      <c r="J6043">
        <v>0.10378940481432</v>
      </c>
      <c r="K6043">
        <v>6.5979786023865797E-2</v>
      </c>
      <c r="L6043">
        <v>1228.2733902259499</v>
      </c>
      <c r="M6043">
        <v>24.639437734344099</v>
      </c>
      <c r="N6043">
        <v>50.145428509532799</v>
      </c>
      <c r="O6043">
        <v>49.525014071390402</v>
      </c>
      <c r="P6043">
        <v>-0.115974803554613</v>
      </c>
      <c r="Q6043">
        <v>6.7580717313494798E-2</v>
      </c>
      <c r="R6043">
        <v>0.99127092712100895</v>
      </c>
      <c r="S6043" t="s">
        <v>12713</v>
      </c>
      <c r="T6043" t="s">
        <v>13338</v>
      </c>
      <c r="U6043" t="s">
        <v>13338</v>
      </c>
      <c r="V6043" t="s">
        <v>13338</v>
      </c>
      <c r="W6043" t="s">
        <v>19321</v>
      </c>
      <c r="X6043">
        <v>4</v>
      </c>
      <c r="Y6043" t="s">
        <v>25811</v>
      </c>
      <c r="Z6043" t="s">
        <v>32458</v>
      </c>
      <c r="AA6043">
        <v>0.38229047591931509</v>
      </c>
      <c r="AB6043" t="str">
        <f>HYPERLINK("Melting_Curves/meltCurve_Q9NX01_TXNL4B.pdf", "Melting_Curves/meltCurve_Q9NX01_TXNL4B.pdf")</f>
        <v>Melting_Curves/meltCurve_Q9NX01_TXNL4B.pdf</v>
      </c>
    </row>
    <row r="6044" spans="1:28" x14ac:dyDescent="0.25">
      <c r="A6044" t="s">
        <v>6048</v>
      </c>
      <c r="B6044">
        <v>0.99193492352474899</v>
      </c>
      <c r="C6044">
        <v>0.91288320187863303</v>
      </c>
      <c r="D6044">
        <v>0.91855666479240605</v>
      </c>
      <c r="E6044">
        <v>0.96616618400960796</v>
      </c>
      <c r="F6044">
        <v>0.83201757519714303</v>
      </c>
      <c r="G6044">
        <v>1.24343772288996</v>
      </c>
      <c r="H6044">
        <v>0.26304422615677903</v>
      </c>
      <c r="I6044">
        <v>0.24263136587890999</v>
      </c>
      <c r="J6044">
        <v>0.11464308666784</v>
      </c>
      <c r="K6044">
        <v>0.21612090998601199</v>
      </c>
      <c r="L6044">
        <v>15000</v>
      </c>
      <c r="M6044">
        <v>249.03758120258499</v>
      </c>
      <c r="N6044">
        <v>60.348587489835303</v>
      </c>
      <c r="O6044">
        <v>60.227988878594999</v>
      </c>
      <c r="P6044">
        <v>-0.83615067604271898</v>
      </c>
      <c r="Q6044">
        <v>0.191131341701955</v>
      </c>
      <c r="R6044">
        <v>0.92676655231474503</v>
      </c>
      <c r="S6044" t="s">
        <v>12714</v>
      </c>
      <c r="T6044" t="s">
        <v>13338</v>
      </c>
      <c r="U6044" t="s">
        <v>13338</v>
      </c>
      <c r="V6044" t="s">
        <v>13338</v>
      </c>
      <c r="W6044" t="s">
        <v>19322</v>
      </c>
      <c r="X6044">
        <v>1</v>
      </c>
      <c r="Y6044" t="s">
        <v>25812</v>
      </c>
      <c r="Z6044" t="s">
        <v>32459</v>
      </c>
      <c r="AA6044">
        <v>0.7367151091803551</v>
      </c>
      <c r="AB6044" t="str">
        <f>HYPERLINK("Melting_Curves/meltCurve_Q9NX04_C1orf109.pdf", "Melting_Curves/meltCurve_Q9NX04_C1orf109.pdf")</f>
        <v>Melting_Curves/meltCurve_Q9NX04_C1orf109.pdf</v>
      </c>
    </row>
    <row r="6045" spans="1:28" x14ac:dyDescent="0.25">
      <c r="A6045" t="s">
        <v>6049</v>
      </c>
      <c r="B6045">
        <v>0.99193492352474899</v>
      </c>
      <c r="C6045">
        <v>0.87556146991292705</v>
      </c>
      <c r="D6045">
        <v>0.40353816084000599</v>
      </c>
      <c r="E6045">
        <v>0.17945503455109801</v>
      </c>
      <c r="F6045">
        <v>0.13950341018336301</v>
      </c>
      <c r="G6045">
        <v>0.28215872127730202</v>
      </c>
      <c r="H6045">
        <v>0.11873174143989</v>
      </c>
      <c r="I6045">
        <v>0.17903134894151099</v>
      </c>
      <c r="J6045">
        <v>0.11256832259737599</v>
      </c>
      <c r="K6045">
        <v>1.61640213650679E-2</v>
      </c>
      <c r="L6045">
        <v>1622.04752716348</v>
      </c>
      <c r="M6045">
        <v>36.065878031738002</v>
      </c>
      <c r="N6045">
        <v>45.394431799749597</v>
      </c>
      <c r="O6045">
        <v>44.836980178367099</v>
      </c>
      <c r="P6045">
        <v>-0.17257571912740499</v>
      </c>
      <c r="Q6045">
        <v>0.14182052107255899</v>
      </c>
      <c r="R6045">
        <v>0.96232415452630904</v>
      </c>
      <c r="S6045" t="s">
        <v>12715</v>
      </c>
      <c r="T6045" t="s">
        <v>13338</v>
      </c>
      <c r="U6045" t="s">
        <v>13338</v>
      </c>
      <c r="V6045" t="s">
        <v>13338</v>
      </c>
      <c r="W6045" t="s">
        <v>19323</v>
      </c>
      <c r="X6045">
        <v>1</v>
      </c>
      <c r="Y6045" t="s">
        <v>25813</v>
      </c>
      <c r="Z6045" t="s">
        <v>32460</v>
      </c>
      <c r="AA6045">
        <v>0.28771398930268338</v>
      </c>
      <c r="AB6045" t="str">
        <f>HYPERLINK("Melting_Curves/meltCurve_Q9NX07_TRNAU1AP.pdf", "Melting_Curves/meltCurve_Q9NX07_TRNAU1AP.pdf")</f>
        <v>Melting_Curves/meltCurve_Q9NX07_TRNAU1AP.pdf</v>
      </c>
    </row>
    <row r="6046" spans="1:28" x14ac:dyDescent="0.25">
      <c r="A6046" t="s">
        <v>6050</v>
      </c>
      <c r="B6046">
        <v>0.99193492352474899</v>
      </c>
      <c r="C6046">
        <v>0.90902029931942996</v>
      </c>
      <c r="D6046">
        <v>0.77753187805578405</v>
      </c>
      <c r="E6046">
        <v>0.62546964332389199</v>
      </c>
      <c r="F6046">
        <v>0.24974628585973799</v>
      </c>
      <c r="G6046">
        <v>0.111287050513103</v>
      </c>
      <c r="H6046">
        <v>5.9779530576199898E-2</v>
      </c>
      <c r="I6046">
        <v>5.9724242814143499E-2</v>
      </c>
      <c r="J6046">
        <v>7.42514928015785E-2</v>
      </c>
      <c r="K6046">
        <v>8.3500512106144495E-2</v>
      </c>
      <c r="L6046">
        <v>883.74198910918199</v>
      </c>
      <c r="M6046">
        <v>17.705733367216698</v>
      </c>
      <c r="N6046">
        <v>50.172289443324601</v>
      </c>
      <c r="O6046">
        <v>49.289115991798298</v>
      </c>
      <c r="P6046">
        <v>-8.5880159350776003E-2</v>
      </c>
      <c r="Q6046">
        <v>4.3759576382418203E-2</v>
      </c>
      <c r="R6046">
        <v>0.98940051341431901</v>
      </c>
      <c r="S6046" t="s">
        <v>12716</v>
      </c>
      <c r="T6046" t="s">
        <v>13338</v>
      </c>
      <c r="U6046" t="s">
        <v>13338</v>
      </c>
      <c r="V6046" t="s">
        <v>13338</v>
      </c>
      <c r="W6046" t="s">
        <v>19324</v>
      </c>
      <c r="X6046">
        <v>5</v>
      </c>
      <c r="Y6046" t="s">
        <v>25814</v>
      </c>
      <c r="Z6046" t="s">
        <v>32461</v>
      </c>
      <c r="AA6046">
        <v>0.37657177329934183</v>
      </c>
      <c r="AB6046" t="str">
        <f>HYPERLINK("Melting_Curves/meltCurve_Q9NX08_COMMD8.pdf", "Melting_Curves/meltCurve_Q9NX08_COMMD8.pdf")</f>
        <v>Melting_Curves/meltCurve_Q9NX08_COMMD8.pdf</v>
      </c>
    </row>
    <row r="6047" spans="1:28" x14ac:dyDescent="0.25">
      <c r="A6047" t="s">
        <v>6051</v>
      </c>
      <c r="B6047">
        <v>0.99193492352474899</v>
      </c>
      <c r="C6047">
        <v>0.78298146471993102</v>
      </c>
      <c r="D6047">
        <v>0.93059746102574303</v>
      </c>
      <c r="E6047">
        <v>0.61668711983587798</v>
      </c>
      <c r="F6047">
        <v>0.62052643409076902</v>
      </c>
      <c r="G6047">
        <v>0.43987234904269801</v>
      </c>
      <c r="H6047">
        <v>0.450229950077565</v>
      </c>
      <c r="I6047">
        <v>0.56420135123223003</v>
      </c>
      <c r="J6047">
        <v>0.81520974360859599</v>
      </c>
      <c r="K6047">
        <v>0.77292577429786302</v>
      </c>
      <c r="L6047">
        <v>900.32617894656801</v>
      </c>
      <c r="M6047">
        <v>19.6873803738766</v>
      </c>
      <c r="O6047">
        <v>45.2671427750345</v>
      </c>
      <c r="P6047">
        <v>-4.2969975346841098E-2</v>
      </c>
      <c r="Q6047">
        <v>0.60481068929495496</v>
      </c>
      <c r="R6047">
        <v>0.479991788333405</v>
      </c>
      <c r="S6047" t="s">
        <v>12717</v>
      </c>
      <c r="T6047" t="s">
        <v>13338</v>
      </c>
      <c r="U6047" t="s">
        <v>13338</v>
      </c>
      <c r="V6047" t="s">
        <v>13338</v>
      </c>
      <c r="W6047" t="s">
        <v>19325</v>
      </c>
      <c r="X6047">
        <v>4</v>
      </c>
      <c r="Y6047" t="s">
        <v>25815</v>
      </c>
      <c r="Z6047" t="s">
        <v>32462</v>
      </c>
      <c r="AA6047">
        <v>0.6867718785231125</v>
      </c>
      <c r="AB6047" t="str">
        <f>HYPERLINK("Melting_Curves/meltCurve_Q9NX14_2_NDUFB11.pdf", "Melting_Curves/meltCurve_Q9NX14_2_NDUFB11.pdf")</f>
        <v>Melting_Curves/meltCurve_Q9NX14_2_NDUFB11.pdf</v>
      </c>
    </row>
    <row r="6048" spans="1:28" x14ac:dyDescent="0.25">
      <c r="A6048" t="s">
        <v>6052</v>
      </c>
      <c r="B6048">
        <v>0.99193492352474899</v>
      </c>
      <c r="C6048">
        <v>1.11769375963031</v>
      </c>
      <c r="D6048">
        <v>0.78166920960310904</v>
      </c>
      <c r="E6048">
        <v>0.68454171217468496</v>
      </c>
      <c r="F6048">
        <v>0.39793480242419699</v>
      </c>
      <c r="G6048">
        <v>0.45071360760979101</v>
      </c>
      <c r="H6048">
        <v>0.41609501572552299</v>
      </c>
      <c r="I6048">
        <v>0.54797542258993603</v>
      </c>
      <c r="J6048">
        <v>0.554636919599241</v>
      </c>
      <c r="K6048">
        <v>0.55204323972225</v>
      </c>
      <c r="L6048">
        <v>1414.08387989328</v>
      </c>
      <c r="M6048">
        <v>29.8144788417416</v>
      </c>
      <c r="N6048">
        <v>55.023154826716102</v>
      </c>
      <c r="O6048">
        <v>47.2175944799381</v>
      </c>
      <c r="P6048">
        <v>-8.0217935052213099E-2</v>
      </c>
      <c r="Q6048">
        <v>0.49183448547262998</v>
      </c>
      <c r="R6048">
        <v>0.88323068998245602</v>
      </c>
      <c r="S6048" t="s">
        <v>12718</v>
      </c>
      <c r="T6048" t="s">
        <v>13338</v>
      </c>
      <c r="U6048" t="s">
        <v>13338</v>
      </c>
      <c r="V6048" t="s">
        <v>13338</v>
      </c>
      <c r="W6048" t="s">
        <v>19326</v>
      </c>
      <c r="X6048">
        <v>6</v>
      </c>
      <c r="Y6048" t="s">
        <v>25816</v>
      </c>
      <c r="Z6048" t="s">
        <v>32463</v>
      </c>
      <c r="AA6048">
        <v>0.62076891222804098</v>
      </c>
      <c r="AB6048" t="str">
        <f>HYPERLINK("Melting_Curves/meltCurve_Q9NX24_NHP2.pdf", "Melting_Curves/meltCurve_Q9NX24_NHP2.pdf")</f>
        <v>Melting_Curves/meltCurve_Q9NX24_NHP2.pdf</v>
      </c>
    </row>
    <row r="6049" spans="1:28" x14ac:dyDescent="0.25">
      <c r="A6049" t="s">
        <v>6053</v>
      </c>
      <c r="B6049">
        <v>0.99193492352474899</v>
      </c>
      <c r="C6049">
        <v>1.01643341889525</v>
      </c>
      <c r="D6049">
        <v>0.75737470780851901</v>
      </c>
      <c r="E6049">
        <v>0.53229766452860705</v>
      </c>
      <c r="F6049">
        <v>0.40758164630953603</v>
      </c>
      <c r="G6049">
        <v>0.22065252818196099</v>
      </c>
      <c r="H6049">
        <v>0.15125428622455001</v>
      </c>
      <c r="I6049">
        <v>0.17961036994328999</v>
      </c>
      <c r="J6049">
        <v>0.229674086540336</v>
      </c>
      <c r="K6049">
        <v>0.18234003235986099</v>
      </c>
      <c r="L6049">
        <v>859.07448521516301</v>
      </c>
      <c r="M6049">
        <v>17.512300020020199</v>
      </c>
      <c r="N6049">
        <v>50.305401873677802</v>
      </c>
      <c r="O6049">
        <v>48.429246915219998</v>
      </c>
      <c r="P6049">
        <v>-7.4458254279190603E-2</v>
      </c>
      <c r="Q6049">
        <v>0.17640558853333699</v>
      </c>
      <c r="R6049">
        <v>0.98265775279794099</v>
      </c>
      <c r="S6049" t="s">
        <v>12719</v>
      </c>
      <c r="T6049" t="s">
        <v>13338</v>
      </c>
      <c r="U6049" t="s">
        <v>13338</v>
      </c>
      <c r="V6049" t="s">
        <v>13338</v>
      </c>
      <c r="W6049" t="s">
        <v>19327</v>
      </c>
      <c r="X6049">
        <v>4</v>
      </c>
      <c r="Y6049" t="s">
        <v>25817</v>
      </c>
      <c r="Z6049" t="s">
        <v>32464</v>
      </c>
      <c r="AA6049">
        <v>0.44005526102501052</v>
      </c>
      <c r="AB6049" t="str">
        <f>HYPERLINK("Melting_Curves/meltCurve_Q9NX38_FAM206A.pdf", "Melting_Curves/meltCurve_Q9NX38_FAM206A.pdf")</f>
        <v>Melting_Curves/meltCurve_Q9NX38_FAM206A.pdf</v>
      </c>
    </row>
    <row r="6050" spans="1:28" x14ac:dyDescent="0.25">
      <c r="A6050" t="s">
        <v>6054</v>
      </c>
      <c r="B6050">
        <v>0.99193492352474899</v>
      </c>
      <c r="C6050">
        <v>0.95947525916332499</v>
      </c>
      <c r="D6050">
        <v>0.94222673502694099</v>
      </c>
      <c r="E6050">
        <v>0.75306236289560002</v>
      </c>
      <c r="F6050">
        <v>0.54128118571247996</v>
      </c>
      <c r="G6050">
        <v>0.451354574793567</v>
      </c>
      <c r="H6050">
        <v>0.42316489389047401</v>
      </c>
      <c r="I6050">
        <v>0.57329057417409501</v>
      </c>
      <c r="J6050">
        <v>0.69036702875935696</v>
      </c>
      <c r="K6050">
        <v>0.80407927407166502</v>
      </c>
      <c r="L6050">
        <v>2138.8873622616802</v>
      </c>
      <c r="M6050">
        <v>43.6396219099246</v>
      </c>
      <c r="O6050">
        <v>48.909923123645399</v>
      </c>
      <c r="P6050">
        <v>-9.3707628795994494E-2</v>
      </c>
      <c r="Q6050">
        <v>0.57990229949654304</v>
      </c>
      <c r="R6050">
        <v>0.72779097885159205</v>
      </c>
      <c r="S6050" t="s">
        <v>12720</v>
      </c>
      <c r="T6050" t="s">
        <v>13338</v>
      </c>
      <c r="U6050" t="s">
        <v>13338</v>
      </c>
      <c r="V6050" t="s">
        <v>13338</v>
      </c>
      <c r="W6050" t="s">
        <v>19328</v>
      </c>
      <c r="X6050">
        <v>13</v>
      </c>
      <c r="Y6050" t="s">
        <v>25818</v>
      </c>
      <c r="Z6050" t="s">
        <v>32465</v>
      </c>
      <c r="AA6050">
        <v>0.70730163429347981</v>
      </c>
      <c r="AB6050" t="str">
        <f>HYPERLINK("Melting_Curves/meltCurve_Q9NX40_OCIAD1.pdf", "Melting_Curves/meltCurve_Q9NX40_OCIAD1.pdf")</f>
        <v>Melting_Curves/meltCurve_Q9NX40_OCIAD1.pdf</v>
      </c>
    </row>
    <row r="6051" spans="1:28" x14ac:dyDescent="0.25">
      <c r="A6051" t="s">
        <v>6055</v>
      </c>
      <c r="B6051">
        <v>0.99193492352474899</v>
      </c>
      <c r="C6051">
        <v>0.91616525127951698</v>
      </c>
      <c r="D6051">
        <v>0.92330256798693899</v>
      </c>
      <c r="E6051">
        <v>0.82947978387474497</v>
      </c>
      <c r="F6051">
        <v>0.68410526616664802</v>
      </c>
      <c r="G6051">
        <v>0.47507694435965803</v>
      </c>
      <c r="H6051">
        <v>0.179048590233471</v>
      </c>
      <c r="I6051">
        <v>0.10068732570790399</v>
      </c>
      <c r="J6051">
        <v>0.10517782358104</v>
      </c>
      <c r="K6051">
        <v>0.11732225762700201</v>
      </c>
      <c r="L6051">
        <v>815.79833174109001</v>
      </c>
      <c r="M6051">
        <v>14.7166724462788</v>
      </c>
      <c r="N6051">
        <v>55.639888781084501</v>
      </c>
      <c r="O6051">
        <v>54.440253391049502</v>
      </c>
      <c r="P6051">
        <v>-6.5794648428499705E-2</v>
      </c>
      <c r="Q6051">
        <v>2.6549659200906201E-2</v>
      </c>
      <c r="R6051">
        <v>0.98689607896954001</v>
      </c>
      <c r="S6051" t="s">
        <v>12721</v>
      </c>
      <c r="T6051" t="s">
        <v>13338</v>
      </c>
      <c r="U6051" t="s">
        <v>13338</v>
      </c>
      <c r="V6051" t="s">
        <v>13338</v>
      </c>
      <c r="W6051" t="s">
        <v>19329</v>
      </c>
      <c r="X6051">
        <v>13</v>
      </c>
      <c r="Y6051" t="s">
        <v>25819</v>
      </c>
      <c r="Z6051" t="s">
        <v>32466</v>
      </c>
      <c r="AA6051">
        <v>0.54584111933549373</v>
      </c>
      <c r="AB6051" t="str">
        <f>HYPERLINK("Melting_Curves/meltCurve_Q9NX46_ADPRHL2.pdf", "Melting_Curves/meltCurve_Q9NX46_ADPRHL2.pdf")</f>
        <v>Melting_Curves/meltCurve_Q9NX46_ADPRHL2.pdf</v>
      </c>
    </row>
    <row r="6052" spans="1:28" x14ac:dyDescent="0.25">
      <c r="A6052" t="s">
        <v>6056</v>
      </c>
      <c r="B6052">
        <v>0.99193492352474899</v>
      </c>
      <c r="C6052">
        <v>1.11725420088913</v>
      </c>
      <c r="D6052">
        <v>0.99825366150407102</v>
      </c>
      <c r="E6052">
        <v>0.904652226371218</v>
      </c>
      <c r="F6052">
        <v>0.67208944081581801</v>
      </c>
      <c r="G6052">
        <v>0.45971965273528198</v>
      </c>
      <c r="H6052">
        <v>0.33126470410998299</v>
      </c>
      <c r="I6052">
        <v>0.226142556276825</v>
      </c>
      <c r="J6052">
        <v>0.20041581797885399</v>
      </c>
      <c r="K6052">
        <v>0.14003970719183001</v>
      </c>
      <c r="L6052">
        <v>947.30338548569398</v>
      </c>
      <c r="M6052">
        <v>17.200340025891698</v>
      </c>
      <c r="N6052">
        <v>56.267462693192002</v>
      </c>
      <c r="O6052">
        <v>54.346418934727801</v>
      </c>
      <c r="P6052">
        <v>-6.7039940848368604E-2</v>
      </c>
      <c r="Q6052">
        <v>0.15276890385911401</v>
      </c>
      <c r="R6052">
        <v>0.984480546885803</v>
      </c>
      <c r="S6052" t="s">
        <v>12722</v>
      </c>
      <c r="T6052" t="s">
        <v>13338</v>
      </c>
      <c r="U6052" t="s">
        <v>13338</v>
      </c>
      <c r="V6052" t="s">
        <v>13338</v>
      </c>
      <c r="W6052" t="s">
        <v>19330</v>
      </c>
      <c r="X6052">
        <v>3</v>
      </c>
      <c r="Y6052" t="s">
        <v>25820</v>
      </c>
      <c r="Z6052" t="s">
        <v>32467</v>
      </c>
      <c r="AA6052">
        <v>0.59235767778483739</v>
      </c>
      <c r="AB6052" t="str">
        <f>HYPERLINK("Melting_Curves/meltCurve_Q9NX47_MARCH5.pdf", "Melting_Curves/meltCurve_Q9NX47_MARCH5.pdf")</f>
        <v>Melting_Curves/meltCurve_Q9NX47_MARCH5.pdf</v>
      </c>
    </row>
    <row r="6053" spans="1:28" x14ac:dyDescent="0.25">
      <c r="A6053" t="s">
        <v>6057</v>
      </c>
      <c r="B6053">
        <v>0.99193492352474899</v>
      </c>
      <c r="C6053">
        <v>0.95902187282440299</v>
      </c>
      <c r="D6053">
        <v>0.90546083736276595</v>
      </c>
      <c r="E6053">
        <v>0.83248658444820101</v>
      </c>
      <c r="F6053">
        <v>0.71367547230884598</v>
      </c>
      <c r="G6053">
        <v>0.44728326570245502</v>
      </c>
      <c r="H6053">
        <v>0.38421704978035998</v>
      </c>
      <c r="I6053">
        <v>0.37820653493450601</v>
      </c>
      <c r="J6053">
        <v>0.32582688014350603</v>
      </c>
      <c r="K6053">
        <v>0.670840792611753</v>
      </c>
      <c r="L6053">
        <v>1134.8329843101801</v>
      </c>
      <c r="M6053">
        <v>21.8509174485737</v>
      </c>
      <c r="N6053">
        <v>56.9916030481021</v>
      </c>
      <c r="O6053">
        <v>51.506141444205298</v>
      </c>
      <c r="P6053">
        <v>-6.0662296503388002E-2</v>
      </c>
      <c r="Q6053">
        <v>0.42804980270828302</v>
      </c>
      <c r="R6053">
        <v>0.84937105932303603</v>
      </c>
      <c r="S6053" t="s">
        <v>12723</v>
      </c>
      <c r="T6053" t="s">
        <v>13338</v>
      </c>
      <c r="U6053" t="s">
        <v>13338</v>
      </c>
      <c r="V6053" t="s">
        <v>13338</v>
      </c>
      <c r="W6053" t="s">
        <v>19331</v>
      </c>
      <c r="X6053">
        <v>9</v>
      </c>
      <c r="Y6053" t="s">
        <v>25821</v>
      </c>
      <c r="Z6053" t="s">
        <v>32468</v>
      </c>
      <c r="AA6053">
        <v>0.66232977827462314</v>
      </c>
      <c r="AB6053" t="str">
        <f>HYPERLINK("Melting_Curves/meltCurve_Q9NX55_HYPK.pdf", "Melting_Curves/meltCurve_Q9NX55_HYPK.pdf")</f>
        <v>Melting_Curves/meltCurve_Q9NX55_HYPK.pdf</v>
      </c>
    </row>
    <row r="6054" spans="1:28" x14ac:dyDescent="0.25">
      <c r="A6054" t="s">
        <v>6058</v>
      </c>
      <c r="B6054">
        <v>0.99193492352474899</v>
      </c>
      <c r="C6054">
        <v>0.492025114351479</v>
      </c>
      <c r="D6054">
        <v>0.96408106404905902</v>
      </c>
      <c r="E6054">
        <v>0.51094657020156997</v>
      </c>
      <c r="F6054">
        <v>0.41940032346157902</v>
      </c>
      <c r="G6054">
        <v>0.17320535286914801</v>
      </c>
      <c r="H6054">
        <v>0.131398215718107</v>
      </c>
      <c r="I6054">
        <v>0.17644331779762401</v>
      </c>
      <c r="J6054">
        <v>0.25760617238813399</v>
      </c>
      <c r="K6054">
        <v>0.32203055399029701</v>
      </c>
      <c r="L6054">
        <v>534.75718833880205</v>
      </c>
      <c r="M6054">
        <v>11.111312920216999</v>
      </c>
      <c r="N6054">
        <v>49.965063895707601</v>
      </c>
      <c r="O6054">
        <v>46.647291464362098</v>
      </c>
      <c r="P6054">
        <v>-4.9576833880936803E-2</v>
      </c>
      <c r="Q6054">
        <v>0.167740220567731</v>
      </c>
      <c r="R6054">
        <v>0.718400265228341</v>
      </c>
      <c r="S6054" t="s">
        <v>12724</v>
      </c>
      <c r="T6054" t="s">
        <v>13338</v>
      </c>
      <c r="U6054" t="s">
        <v>13338</v>
      </c>
      <c r="V6054" t="s">
        <v>13338</v>
      </c>
      <c r="W6054" t="s">
        <v>19332</v>
      </c>
      <c r="X6054">
        <v>4</v>
      </c>
      <c r="Y6054" t="s">
        <v>25822</v>
      </c>
      <c r="Z6054" t="s">
        <v>32469</v>
      </c>
      <c r="AA6054">
        <v>0.43005209541749478</v>
      </c>
      <c r="AB6054" t="str">
        <f>HYPERLINK("Melting_Curves/meltCurve_Q9NX58_LYAR.pdf", "Melting_Curves/meltCurve_Q9NX58_LYAR.pdf")</f>
        <v>Melting_Curves/meltCurve_Q9NX58_LYAR.pdf</v>
      </c>
    </row>
    <row r="6055" spans="1:28" x14ac:dyDescent="0.25">
      <c r="A6055" t="s">
        <v>6059</v>
      </c>
      <c r="B6055">
        <v>0.99193492352474899</v>
      </c>
      <c r="C6055">
        <v>0.878857961372704</v>
      </c>
      <c r="D6055">
        <v>0.95205272034778898</v>
      </c>
      <c r="E6055">
        <v>0.75827205642206297</v>
      </c>
      <c r="F6055">
        <v>0.674986947786818</v>
      </c>
      <c r="G6055">
        <v>0.44210181164436102</v>
      </c>
      <c r="H6055">
        <v>0.36449313616176998</v>
      </c>
      <c r="I6055">
        <v>0.237214052752618</v>
      </c>
      <c r="J6055">
        <v>0.212439617442225</v>
      </c>
      <c r="K6055">
        <v>0.162018650453397</v>
      </c>
      <c r="L6055">
        <v>553.67448984556995</v>
      </c>
      <c r="M6055">
        <v>9.9363364268034502</v>
      </c>
      <c r="N6055">
        <v>56.350625397116801</v>
      </c>
      <c r="O6055">
        <v>53.606151154672503</v>
      </c>
      <c r="P6055">
        <v>-4.3931095728386403E-2</v>
      </c>
      <c r="Q6055">
        <v>5.2446148802627102E-2</v>
      </c>
      <c r="R6055">
        <v>0.98518772184991499</v>
      </c>
      <c r="S6055" t="s">
        <v>12725</v>
      </c>
      <c r="T6055" t="s">
        <v>13338</v>
      </c>
      <c r="U6055" t="s">
        <v>13338</v>
      </c>
      <c r="V6055" t="s">
        <v>13338</v>
      </c>
      <c r="W6055" t="s">
        <v>19333</v>
      </c>
      <c r="X6055">
        <v>10</v>
      </c>
      <c r="Y6055" t="s">
        <v>25823</v>
      </c>
      <c r="Z6055" t="s">
        <v>32470</v>
      </c>
      <c r="AA6055">
        <v>0.57034298685882034</v>
      </c>
      <c r="AB6055" t="str">
        <f>HYPERLINK("Melting_Curves/meltCurve_Q9NX62_IMPAD1.pdf", "Melting_Curves/meltCurve_Q9NX62_IMPAD1.pdf")</f>
        <v>Melting_Curves/meltCurve_Q9NX62_IMPAD1.pdf</v>
      </c>
    </row>
    <row r="6056" spans="1:28" x14ac:dyDescent="0.25">
      <c r="A6056" t="s">
        <v>6060</v>
      </c>
      <c r="B6056">
        <v>0.99193492352474899</v>
      </c>
      <c r="C6056">
        <v>0.74727444737012805</v>
      </c>
      <c r="D6056">
        <v>0.61831056852142596</v>
      </c>
      <c r="E6056">
        <v>0.47496239655392503</v>
      </c>
      <c r="F6056">
        <v>0.31312575177881302</v>
      </c>
      <c r="G6056">
        <v>0.170158813066941</v>
      </c>
      <c r="H6056">
        <v>9.4393180615148994E-2</v>
      </c>
      <c r="I6056">
        <v>0.10211579393572</v>
      </c>
      <c r="J6056">
        <v>0.120819001520122</v>
      </c>
      <c r="K6056">
        <v>0.156554159656626</v>
      </c>
      <c r="L6056">
        <v>578.09381920599697</v>
      </c>
      <c r="M6056">
        <v>12.1439091917702</v>
      </c>
      <c r="N6056">
        <v>48.350559798554102</v>
      </c>
      <c r="O6056">
        <v>46.367922177228898</v>
      </c>
      <c r="P6056">
        <v>-5.98893750024906E-2</v>
      </c>
      <c r="Q6056">
        <v>8.5531101316952698E-2</v>
      </c>
      <c r="R6056">
        <v>0.97869466137530903</v>
      </c>
      <c r="S6056" t="s">
        <v>12726</v>
      </c>
      <c r="T6056" t="s">
        <v>13338</v>
      </c>
      <c r="U6056" t="s">
        <v>13338</v>
      </c>
      <c r="V6056" t="s">
        <v>13338</v>
      </c>
      <c r="W6056" t="s">
        <v>19334</v>
      </c>
      <c r="X6056">
        <v>6</v>
      </c>
      <c r="Y6056" t="s">
        <v>25824</v>
      </c>
      <c r="Z6056" t="s">
        <v>32471</v>
      </c>
      <c r="AA6056">
        <v>0.35328355671281603</v>
      </c>
      <c r="AB6056" t="str">
        <f>HYPERLINK("Melting_Curves/meltCurve_Q9NX70_MED29.pdf", "Melting_Curves/meltCurve_Q9NX70_MED29.pdf")</f>
        <v>Melting_Curves/meltCurve_Q9NX70_MED29.pdf</v>
      </c>
    </row>
    <row r="6057" spans="1:28" x14ac:dyDescent="0.25">
      <c r="A6057" t="s">
        <v>6061</v>
      </c>
      <c r="B6057">
        <v>0.99193492352474899</v>
      </c>
      <c r="C6057">
        <v>0.93372392841165897</v>
      </c>
      <c r="D6057">
        <v>0.80694995732700303</v>
      </c>
      <c r="E6057">
        <v>0.46825821904272202</v>
      </c>
      <c r="F6057">
        <v>0.21620307212748399</v>
      </c>
      <c r="G6057">
        <v>9.6250783155463301E-2</v>
      </c>
      <c r="H6057">
        <v>6.5687603034716602E-2</v>
      </c>
      <c r="I6057">
        <v>6.5933005543729994E-2</v>
      </c>
      <c r="J6057">
        <v>8.5546028048819694E-2</v>
      </c>
      <c r="K6057">
        <v>8.9500748664613702E-2</v>
      </c>
      <c r="L6057">
        <v>1028.3864284592801</v>
      </c>
      <c r="M6057">
        <v>21.032062819628599</v>
      </c>
      <c r="N6057">
        <v>49.2345595487878</v>
      </c>
      <c r="O6057">
        <v>48.460533836041201</v>
      </c>
      <c r="P6057">
        <v>-0.10120120760477599</v>
      </c>
      <c r="Q6057">
        <v>6.7303471943598897E-2</v>
      </c>
      <c r="R6057">
        <v>0.99869754922393705</v>
      </c>
      <c r="S6057" t="s">
        <v>12727</v>
      </c>
      <c r="T6057" t="s">
        <v>13338</v>
      </c>
      <c r="U6057" t="s">
        <v>13338</v>
      </c>
      <c r="V6057" t="s">
        <v>13338</v>
      </c>
      <c r="W6057" t="s">
        <v>19335</v>
      </c>
      <c r="X6057">
        <v>12</v>
      </c>
      <c r="Y6057" t="s">
        <v>25825</v>
      </c>
      <c r="Z6057" t="s">
        <v>32472</v>
      </c>
      <c r="AA6057">
        <v>0.3556808199768221</v>
      </c>
      <c r="AB6057" t="str">
        <f>HYPERLINK("Melting_Curves/meltCurve_Q9NX74_DUS2L.pdf", "Melting_Curves/meltCurve_Q9NX74_DUS2L.pdf")</f>
        <v>Melting_Curves/meltCurve_Q9NX74_DUS2L.pdf</v>
      </c>
    </row>
    <row r="6058" spans="1:28" x14ac:dyDescent="0.25">
      <c r="A6058" t="s">
        <v>6062</v>
      </c>
      <c r="B6058">
        <v>0.99193492352474899</v>
      </c>
      <c r="C6058">
        <v>0.86600554084669301</v>
      </c>
      <c r="D6058">
        <v>0.91823606412098202</v>
      </c>
      <c r="E6058">
        <v>0.74164645319126199</v>
      </c>
      <c r="F6058">
        <v>0.43634767952826098</v>
      </c>
      <c r="G6058">
        <v>0.43106612727140903</v>
      </c>
      <c r="H6058">
        <v>0.212659802037275</v>
      </c>
      <c r="I6058">
        <v>0.28058744390840301</v>
      </c>
      <c r="J6058">
        <v>0.37084754245463902</v>
      </c>
      <c r="K6058">
        <v>0.33273436446963001</v>
      </c>
      <c r="L6058">
        <v>1006.15500616791</v>
      </c>
      <c r="M6058">
        <v>19.9599557861773</v>
      </c>
      <c r="N6058">
        <v>52.826845025869197</v>
      </c>
      <c r="O6058">
        <v>49.910876570220097</v>
      </c>
      <c r="P6058">
        <v>-7.0039357322443999E-2</v>
      </c>
      <c r="Q6058">
        <v>0.29947519350592999</v>
      </c>
      <c r="R6058">
        <v>0.94930714141982897</v>
      </c>
      <c r="S6058" t="s">
        <v>12728</v>
      </c>
      <c r="T6058" t="s">
        <v>13338</v>
      </c>
      <c r="U6058" t="s">
        <v>13338</v>
      </c>
      <c r="V6058" t="s">
        <v>13338</v>
      </c>
      <c r="W6058" t="s">
        <v>19336</v>
      </c>
      <c r="X6058">
        <v>1</v>
      </c>
      <c r="Y6058" t="s">
        <v>25826</v>
      </c>
      <c r="Z6058" t="s">
        <v>32473</v>
      </c>
      <c r="AA6058">
        <v>0.55230307237578435</v>
      </c>
      <c r="AB6058" t="str">
        <f>HYPERLINK("Melting_Curves/meltCurve_Q9NX76_CMTM6.pdf", "Melting_Curves/meltCurve_Q9NX76_CMTM6.pdf")</f>
        <v>Melting_Curves/meltCurve_Q9NX76_CMTM6.pdf</v>
      </c>
    </row>
    <row r="6059" spans="1:28" x14ac:dyDescent="0.25">
      <c r="A6059" t="s">
        <v>6063</v>
      </c>
      <c r="B6059">
        <v>0.99193492352474899</v>
      </c>
      <c r="C6059">
        <v>1.0188274680977401</v>
      </c>
      <c r="D6059">
        <v>1.0023510227897401</v>
      </c>
      <c r="E6059">
        <v>0.61393932577866805</v>
      </c>
      <c r="F6059">
        <v>0.21383885547647299</v>
      </c>
      <c r="G6059">
        <v>9.2930264570442303E-2</v>
      </c>
      <c r="H6059">
        <v>4.4160240914764302E-2</v>
      </c>
      <c r="I6059">
        <v>7.1181135344848503E-2</v>
      </c>
      <c r="J6059">
        <v>9.3519996598114705E-2</v>
      </c>
      <c r="K6059">
        <v>0.108217535437029</v>
      </c>
      <c r="L6059">
        <v>1746.44245320141</v>
      </c>
      <c r="M6059">
        <v>34.817465069053299</v>
      </c>
      <c r="N6059">
        <v>50.417036042070798</v>
      </c>
      <c r="O6059">
        <v>49.995326849848198</v>
      </c>
      <c r="P6059">
        <v>-0.15994396989377699</v>
      </c>
      <c r="Q6059">
        <v>8.1331645341059994E-2</v>
      </c>
      <c r="R6059">
        <v>0.99678307318574699</v>
      </c>
      <c r="S6059" t="s">
        <v>12729</v>
      </c>
      <c r="T6059" t="s">
        <v>13338</v>
      </c>
      <c r="U6059" t="s">
        <v>13338</v>
      </c>
      <c r="V6059" t="s">
        <v>13338</v>
      </c>
      <c r="W6059" t="s">
        <v>19337</v>
      </c>
      <c r="X6059">
        <v>7</v>
      </c>
      <c r="Y6059" t="s">
        <v>25827</v>
      </c>
      <c r="Z6059" t="s">
        <v>32474</v>
      </c>
      <c r="AA6059">
        <v>0.39666889778201042</v>
      </c>
      <c r="AB6059" t="str">
        <f>HYPERLINK("Melting_Curves/meltCurve_Q9NXA8_SIRT5.pdf", "Melting_Curves/meltCurve_Q9NXA8_SIRT5.pdf")</f>
        <v>Melting_Curves/meltCurve_Q9NXA8_SIRT5.pdf</v>
      </c>
    </row>
    <row r="6060" spans="1:28" x14ac:dyDescent="0.25">
      <c r="A6060" t="s">
        <v>6064</v>
      </c>
      <c r="B6060">
        <v>0.99193492352474899</v>
      </c>
      <c r="C6060">
        <v>0.88606987898235501</v>
      </c>
      <c r="D6060">
        <v>0.87143142558351605</v>
      </c>
      <c r="E6060">
        <v>0.593353622083171</v>
      </c>
      <c r="F6060">
        <v>0.445612760772233</v>
      </c>
      <c r="G6060">
        <v>0.28526027318003999</v>
      </c>
      <c r="H6060">
        <v>0.19075347293543499</v>
      </c>
      <c r="I6060">
        <v>0.21433353120444701</v>
      </c>
      <c r="J6060">
        <v>0.212975033353132</v>
      </c>
      <c r="K6060">
        <v>0.24533718170622301</v>
      </c>
      <c r="L6060">
        <v>796.89347399035705</v>
      </c>
      <c r="M6060">
        <v>15.9786193845587</v>
      </c>
      <c r="N6060">
        <v>51.480455710678903</v>
      </c>
      <c r="O6060">
        <v>49.110949643019602</v>
      </c>
      <c r="P6060">
        <v>-6.5365019827954798E-2</v>
      </c>
      <c r="Q6060">
        <v>0.19645496218462699</v>
      </c>
      <c r="R6060">
        <v>0.988307253800352</v>
      </c>
      <c r="S6060" t="s">
        <v>12730</v>
      </c>
      <c r="T6060" t="s">
        <v>13338</v>
      </c>
      <c r="U6060" t="s">
        <v>13338</v>
      </c>
      <c r="V6060" t="s">
        <v>13338</v>
      </c>
      <c r="W6060" t="s">
        <v>19338</v>
      </c>
      <c r="X6060">
        <v>2</v>
      </c>
      <c r="Y6060" t="s">
        <v>25828</v>
      </c>
      <c r="Z6060" t="s">
        <v>32475</v>
      </c>
      <c r="AA6060">
        <v>0.47804847600129158</v>
      </c>
      <c r="AB6060" t="str">
        <f>HYPERLINK("Melting_Curves/meltCurve_Q9NXC2_GFOD1.pdf", "Melting_Curves/meltCurve_Q9NXC2_GFOD1.pdf")</f>
        <v>Melting_Curves/meltCurve_Q9NXC2_GFOD1.pdf</v>
      </c>
    </row>
    <row r="6061" spans="1:28" x14ac:dyDescent="0.25">
      <c r="A6061" t="s">
        <v>6065</v>
      </c>
      <c r="B6061">
        <v>0.99193492352474899</v>
      </c>
      <c r="C6061">
        <v>0.92849745483999402</v>
      </c>
      <c r="D6061">
        <v>0.98757500980641499</v>
      </c>
      <c r="E6061">
        <v>0.76738783499031804</v>
      </c>
      <c r="F6061">
        <v>0.76654839553834297</v>
      </c>
      <c r="G6061">
        <v>0.50935349125191098</v>
      </c>
      <c r="H6061">
        <v>0.26843533434252598</v>
      </c>
      <c r="I6061">
        <v>0.28828828324107503</v>
      </c>
      <c r="J6061">
        <v>0.28824416392524399</v>
      </c>
      <c r="K6061">
        <v>0.45013902037778702</v>
      </c>
      <c r="L6061">
        <v>962.27883477712703</v>
      </c>
      <c r="M6061">
        <v>17.947400089591</v>
      </c>
      <c r="N6061">
        <v>56.531470991008099</v>
      </c>
      <c r="O6061">
        <v>52.964254955606698</v>
      </c>
      <c r="P6061">
        <v>-5.9149632950117999E-2</v>
      </c>
      <c r="Q6061">
        <v>0.30181309942363199</v>
      </c>
      <c r="R6061">
        <v>0.92768503913421696</v>
      </c>
      <c r="S6061" t="s">
        <v>12731</v>
      </c>
      <c r="T6061" t="s">
        <v>13338</v>
      </c>
      <c r="U6061" t="s">
        <v>13338</v>
      </c>
      <c r="V6061" t="s">
        <v>13338</v>
      </c>
      <c r="W6061" t="s">
        <v>19339</v>
      </c>
      <c r="X6061">
        <v>9</v>
      </c>
      <c r="Y6061" t="s">
        <v>25829</v>
      </c>
      <c r="Z6061" t="s">
        <v>32476</v>
      </c>
      <c r="AA6061">
        <v>0.63004376505634418</v>
      </c>
      <c r="AB6061" t="str">
        <f>HYPERLINK("Melting_Curves/meltCurve_Q9NXC5_MIOS.pdf", "Melting_Curves/meltCurve_Q9NXC5_MIOS.pdf")</f>
        <v>Melting_Curves/meltCurve_Q9NXC5_MIOS.pdf</v>
      </c>
    </row>
    <row r="6062" spans="1:28" x14ac:dyDescent="0.25">
      <c r="A6062" t="s">
        <v>6066</v>
      </c>
      <c r="B6062">
        <v>0.99193492352474899</v>
      </c>
      <c r="C6062">
        <v>0.43470512351881901</v>
      </c>
      <c r="D6062">
        <v>0.67332132441727499</v>
      </c>
      <c r="E6062">
        <v>0.40370201300462999</v>
      </c>
      <c r="F6062">
        <v>0.36158109428367602</v>
      </c>
      <c r="G6062">
        <v>0.21867473552594999</v>
      </c>
      <c r="H6062">
        <v>0.25022397309042699</v>
      </c>
      <c r="I6062">
        <v>0.34713090183638101</v>
      </c>
      <c r="J6062">
        <v>0.49001465669918298</v>
      </c>
      <c r="K6062">
        <v>0.70781941026697703</v>
      </c>
      <c r="L6062">
        <v>5564.2622036064204</v>
      </c>
      <c r="M6062">
        <v>134.86731902627901</v>
      </c>
      <c r="N6062">
        <v>41.874708376223303</v>
      </c>
      <c r="O6062">
        <v>41.248236937383098</v>
      </c>
      <c r="P6062">
        <v>-0.464658994859174</v>
      </c>
      <c r="Q6062">
        <v>0.43154905926160098</v>
      </c>
      <c r="R6062">
        <v>0.55189728079139599</v>
      </c>
      <c r="S6062" t="s">
        <v>12732</v>
      </c>
      <c r="T6062" t="s">
        <v>13338</v>
      </c>
      <c r="U6062" t="s">
        <v>13338</v>
      </c>
      <c r="V6062" t="s">
        <v>13338</v>
      </c>
      <c r="W6062" t="s">
        <v>19340</v>
      </c>
      <c r="X6062">
        <v>10</v>
      </c>
      <c r="Y6062" t="s">
        <v>25830</v>
      </c>
      <c r="Z6062" t="s">
        <v>32477</v>
      </c>
      <c r="AA6062">
        <v>0.45559134730488121</v>
      </c>
      <c r="AB6062" t="str">
        <f>HYPERLINK("Melting_Curves/meltCurve_Q9NXE8_CWC25.pdf", "Melting_Curves/meltCurve_Q9NXE8_CWC25.pdf")</f>
        <v>Melting_Curves/meltCurve_Q9NXE8_CWC25.pdf</v>
      </c>
    </row>
    <row r="6063" spans="1:28" x14ac:dyDescent="0.25">
      <c r="A6063" t="s">
        <v>6067</v>
      </c>
      <c r="B6063">
        <v>0.99193492352474899</v>
      </c>
      <c r="C6063">
        <v>0.98606094581910397</v>
      </c>
      <c r="D6063">
        <v>0.82132196648353195</v>
      </c>
      <c r="E6063">
        <v>0.44002490200491501</v>
      </c>
      <c r="F6063">
        <v>0.27569812594728499</v>
      </c>
      <c r="G6063">
        <v>0.17003847003595601</v>
      </c>
      <c r="H6063">
        <v>0.10855069664632599</v>
      </c>
      <c r="I6063">
        <v>0.108778883157556</v>
      </c>
      <c r="J6063">
        <v>0.15460974318208501</v>
      </c>
      <c r="K6063">
        <v>0.16831029465779501</v>
      </c>
      <c r="L6063">
        <v>1144.3570497726</v>
      </c>
      <c r="M6063">
        <v>23.573521986106702</v>
      </c>
      <c r="N6063">
        <v>49.223179403725801</v>
      </c>
      <c r="O6063">
        <v>48.198884333653901</v>
      </c>
      <c r="P6063">
        <v>-0.105302151158192</v>
      </c>
      <c r="Q6063">
        <v>0.13880326924504199</v>
      </c>
      <c r="R6063">
        <v>0.99486089647463005</v>
      </c>
      <c r="S6063" t="s">
        <v>12733</v>
      </c>
      <c r="T6063" t="s">
        <v>13338</v>
      </c>
      <c r="U6063" t="s">
        <v>13338</v>
      </c>
      <c r="V6063" t="s">
        <v>13338</v>
      </c>
      <c r="W6063" t="s">
        <v>19341</v>
      </c>
      <c r="X6063">
        <v>3</v>
      </c>
      <c r="Y6063" t="s">
        <v>25831</v>
      </c>
      <c r="Z6063" t="s">
        <v>32478</v>
      </c>
      <c r="AA6063">
        <v>0.39268547079526173</v>
      </c>
      <c r="AB6063" t="str">
        <f>HYPERLINK("Melting_Curves/meltCurve_Q9NXF7_DCAF16.pdf", "Melting_Curves/meltCurve_Q9NXF7_DCAF16.pdf")</f>
        <v>Melting_Curves/meltCurve_Q9NXF7_DCAF16.pdf</v>
      </c>
    </row>
    <row r="6064" spans="1:28" x14ac:dyDescent="0.25">
      <c r="A6064" t="s">
        <v>6068</v>
      </c>
      <c r="B6064">
        <v>0.99193492352474899</v>
      </c>
      <c r="C6064">
        <v>0.954816342967161</v>
      </c>
      <c r="D6064">
        <v>0.88492323987363797</v>
      </c>
      <c r="E6064">
        <v>0.76350563920821601</v>
      </c>
      <c r="F6064">
        <v>0.62858466515893996</v>
      </c>
      <c r="G6064">
        <v>0.517803281717365</v>
      </c>
      <c r="H6064">
        <v>0.245686891519626</v>
      </c>
      <c r="I6064">
        <v>0.20784004958517999</v>
      </c>
      <c r="J6064">
        <v>0.229813325236392</v>
      </c>
      <c r="K6064">
        <v>0.27611468150456903</v>
      </c>
      <c r="L6064">
        <v>668.43306260478005</v>
      </c>
      <c r="M6064">
        <v>12.437778636707201</v>
      </c>
      <c r="N6064">
        <v>55.520744550782503</v>
      </c>
      <c r="O6064">
        <v>52.409620166038302</v>
      </c>
      <c r="P6064">
        <v>-4.9591216119834199E-2</v>
      </c>
      <c r="Q6064">
        <v>0.164316487103495</v>
      </c>
      <c r="R6064">
        <v>0.97763998101040295</v>
      </c>
      <c r="S6064" t="s">
        <v>12734</v>
      </c>
      <c r="T6064" t="s">
        <v>13338</v>
      </c>
      <c r="U6064" t="s">
        <v>13338</v>
      </c>
      <c r="V6064" t="s">
        <v>13338</v>
      </c>
      <c r="W6064" t="s">
        <v>19342</v>
      </c>
      <c r="X6064">
        <v>16</v>
      </c>
      <c r="Y6064" t="s">
        <v>25832</v>
      </c>
      <c r="Z6064" t="s">
        <v>32479</v>
      </c>
      <c r="AA6064">
        <v>0.56868741096486597</v>
      </c>
      <c r="AB6064" t="str">
        <f>HYPERLINK("Melting_Curves/meltCurve_Q9NXH9_TRMT1.pdf", "Melting_Curves/meltCurve_Q9NXH9_TRMT1.pdf")</f>
        <v>Melting_Curves/meltCurve_Q9NXH9_TRMT1.pdf</v>
      </c>
    </row>
    <row r="6065" spans="1:28" x14ac:dyDescent="0.25">
      <c r="A6065" t="s">
        <v>6069</v>
      </c>
      <c r="B6065">
        <v>0.99193492352474899</v>
      </c>
      <c r="C6065">
        <v>0.76906009047118296</v>
      </c>
      <c r="D6065">
        <v>0.82329622272104697</v>
      </c>
      <c r="E6065">
        <v>0.41095995955975001</v>
      </c>
      <c r="F6065">
        <v>0.23323697169523</v>
      </c>
      <c r="G6065">
        <v>0.11035446611965299</v>
      </c>
      <c r="H6065">
        <v>7.3548873401096004E-2</v>
      </c>
      <c r="I6065">
        <v>8.5335018898709605E-2</v>
      </c>
      <c r="J6065">
        <v>0.104865928427918</v>
      </c>
      <c r="K6065">
        <v>6.9564568908149896E-2</v>
      </c>
      <c r="L6065">
        <v>810.79321535628196</v>
      </c>
      <c r="M6065">
        <v>16.747381916680201</v>
      </c>
      <c r="N6065">
        <v>48.802595594226297</v>
      </c>
      <c r="O6065">
        <v>47.738661604536702</v>
      </c>
      <c r="P6065">
        <v>-8.2222806977082105E-2</v>
      </c>
      <c r="Q6065">
        <v>6.2552105000345803E-2</v>
      </c>
      <c r="R6065">
        <v>0.97368903090546499</v>
      </c>
      <c r="S6065" t="s">
        <v>12735</v>
      </c>
      <c r="T6065" t="s">
        <v>13338</v>
      </c>
      <c r="U6065" t="s">
        <v>13338</v>
      </c>
      <c r="V6065" t="s">
        <v>13338</v>
      </c>
      <c r="W6065" t="s">
        <v>19343</v>
      </c>
      <c r="X6065">
        <v>4</v>
      </c>
      <c r="Y6065" t="s">
        <v>25833</v>
      </c>
      <c r="Z6065" t="s">
        <v>32480</v>
      </c>
      <c r="AA6065">
        <v>0.3444897731615324</v>
      </c>
      <c r="AB6065" t="str">
        <f>HYPERLINK("Melting_Curves/meltCurve_Q9NXK8_FBXL12.pdf", "Melting_Curves/meltCurve_Q9NXK8_FBXL12.pdf")</f>
        <v>Melting_Curves/meltCurve_Q9NXK8_FBXL12.pdf</v>
      </c>
    </row>
    <row r="6066" spans="1:28" x14ac:dyDescent="0.25">
      <c r="A6066" t="s">
        <v>6070</v>
      </c>
      <c r="B6066">
        <v>0.99193492352474899</v>
      </c>
      <c r="C6066">
        <v>0.92813891801262505</v>
      </c>
      <c r="D6066">
        <v>0.83608131588610501</v>
      </c>
      <c r="E6066">
        <v>0.65642875826809799</v>
      </c>
      <c r="F6066">
        <v>0.46639225110955701</v>
      </c>
      <c r="G6066">
        <v>0.311674617573168</v>
      </c>
      <c r="H6066">
        <v>0.25811046271004501</v>
      </c>
      <c r="I6066">
        <v>0.38150042522344302</v>
      </c>
      <c r="J6066">
        <v>0.51257943943737505</v>
      </c>
      <c r="K6066">
        <v>0.73308223496702896</v>
      </c>
      <c r="L6066">
        <v>1186.0741154955499</v>
      </c>
      <c r="M6066">
        <v>24.764746005835399</v>
      </c>
      <c r="N6066">
        <v>52.355473492416898</v>
      </c>
      <c r="O6066">
        <v>47.584627581697298</v>
      </c>
      <c r="P6066">
        <v>-7.2938676995904797E-2</v>
      </c>
      <c r="Q6066">
        <v>0.43941087360328102</v>
      </c>
      <c r="R6066">
        <v>0.74960961369633505</v>
      </c>
      <c r="S6066" t="s">
        <v>12736</v>
      </c>
      <c r="T6066" t="s">
        <v>13338</v>
      </c>
      <c r="U6066" t="s">
        <v>13338</v>
      </c>
      <c r="V6066" t="s">
        <v>13338</v>
      </c>
      <c r="W6066" t="s">
        <v>19344</v>
      </c>
      <c r="X6066">
        <v>18</v>
      </c>
      <c r="Y6066" t="s">
        <v>25834</v>
      </c>
      <c r="Z6066" t="s">
        <v>32481</v>
      </c>
      <c r="AA6066">
        <v>0.59197137915850684</v>
      </c>
      <c r="AB6066" t="str">
        <f>HYPERLINK("Melting_Curves/meltCurve_Q9NXR1_2_NDE1.pdf", "Melting_Curves/meltCurve_Q9NXR1_2_NDE1.pdf")</f>
        <v>Melting_Curves/meltCurve_Q9NXR1_2_NDE1.pdf</v>
      </c>
    </row>
    <row r="6067" spans="1:28" x14ac:dyDescent="0.25">
      <c r="A6067" t="s">
        <v>6071</v>
      </c>
      <c r="B6067">
        <v>0.99193492352474899</v>
      </c>
      <c r="C6067">
        <v>0.60284025427228105</v>
      </c>
      <c r="D6067">
        <v>0.45033014036145802</v>
      </c>
      <c r="E6067">
        <v>0.13298628120471101</v>
      </c>
      <c r="F6067">
        <v>0.116772367397957</v>
      </c>
      <c r="G6067">
        <v>5.9961835958874297E-2</v>
      </c>
      <c r="H6067">
        <v>4.3946686854526698E-2</v>
      </c>
      <c r="I6067">
        <v>2.6802877229908699E-2</v>
      </c>
      <c r="J6067">
        <v>3.3895708788210202E-2</v>
      </c>
      <c r="K6067">
        <v>0</v>
      </c>
      <c r="L6067">
        <v>808.23604110786096</v>
      </c>
      <c r="M6067">
        <v>18.0725685221988</v>
      </c>
      <c r="N6067">
        <v>44.871693709727197</v>
      </c>
      <c r="O6067">
        <v>44.184930933369699</v>
      </c>
      <c r="P6067">
        <v>-9.9262578988422695E-2</v>
      </c>
      <c r="Q6067">
        <v>2.9314023265657001E-2</v>
      </c>
      <c r="R6067">
        <v>0.97583587588315401</v>
      </c>
      <c r="S6067" t="s">
        <v>12737</v>
      </c>
      <c r="T6067" t="s">
        <v>13338</v>
      </c>
      <c r="U6067" t="s">
        <v>13338</v>
      </c>
      <c r="V6067" t="s">
        <v>13338</v>
      </c>
      <c r="W6067" t="s">
        <v>19345</v>
      </c>
      <c r="X6067">
        <v>2</v>
      </c>
      <c r="Y6067" t="s">
        <v>25835</v>
      </c>
      <c r="Z6067" t="s">
        <v>32482</v>
      </c>
      <c r="AA6067">
        <v>0.2035299139112258</v>
      </c>
      <c r="AB6067" t="str">
        <f>HYPERLINK("Melting_Curves/meltCurve_Q9NXR5_ANKRD10.pdf", "Melting_Curves/meltCurve_Q9NXR5_ANKRD10.pdf")</f>
        <v>Melting_Curves/meltCurve_Q9NXR5_ANKRD10.pdf</v>
      </c>
    </row>
    <row r="6068" spans="1:28" x14ac:dyDescent="0.25">
      <c r="A6068" t="s">
        <v>6072</v>
      </c>
      <c r="B6068">
        <v>0.99193492352474899</v>
      </c>
      <c r="C6068">
        <v>0.92956604428214396</v>
      </c>
      <c r="D6068">
        <v>0.87127638280950803</v>
      </c>
      <c r="E6068">
        <v>0.78103400939492595</v>
      </c>
      <c r="F6068">
        <v>0.77598963791571096</v>
      </c>
      <c r="G6068">
        <v>0.63657822036868295</v>
      </c>
      <c r="H6068">
        <v>0.32901810300196399</v>
      </c>
      <c r="I6068">
        <v>0.20254745556005799</v>
      </c>
      <c r="J6068">
        <v>0.14217118123196501</v>
      </c>
      <c r="K6068">
        <v>0.151269090697812</v>
      </c>
      <c r="L6068">
        <v>637.80494974363501</v>
      </c>
      <c r="M6068">
        <v>11.0481483364031</v>
      </c>
      <c r="N6068">
        <v>57.729575460129702</v>
      </c>
      <c r="O6068">
        <v>55.934991992669097</v>
      </c>
      <c r="P6068">
        <v>-4.9395793219387703E-2</v>
      </c>
      <c r="Q6068">
        <v>0</v>
      </c>
      <c r="R6068">
        <v>0.970244581185016</v>
      </c>
      <c r="S6068" t="s">
        <v>12738</v>
      </c>
      <c r="T6068" t="s">
        <v>13338</v>
      </c>
      <c r="U6068" t="s">
        <v>13338</v>
      </c>
      <c r="V6068" t="s">
        <v>13338</v>
      </c>
      <c r="W6068" t="s">
        <v>19346</v>
      </c>
      <c r="X6068">
        <v>9</v>
      </c>
      <c r="Y6068" t="s">
        <v>25836</v>
      </c>
      <c r="Z6068" t="s">
        <v>32483</v>
      </c>
      <c r="AA6068">
        <v>0.60407555541423696</v>
      </c>
      <c r="AB6068" t="str">
        <f>HYPERLINK("Melting_Curves/meltCurve_Q9NXR7_BRE.pdf", "Melting_Curves/meltCurve_Q9NXR7_BRE.pdf")</f>
        <v>Melting_Curves/meltCurve_Q9NXR7_BRE.pdf</v>
      </c>
    </row>
    <row r="6069" spans="1:28" x14ac:dyDescent="0.25">
      <c r="A6069" t="s">
        <v>6073</v>
      </c>
      <c r="B6069">
        <v>0.99193492352474899</v>
      </c>
      <c r="C6069">
        <v>0.86401327600826905</v>
      </c>
      <c r="D6069">
        <v>1.1161575794199301</v>
      </c>
      <c r="E6069">
        <v>0.93008481012884803</v>
      </c>
      <c r="F6069">
        <v>0.72485757560626896</v>
      </c>
      <c r="G6069">
        <v>0.36998227468981298</v>
      </c>
      <c r="H6069">
        <v>3.2308849963397501E-2</v>
      </c>
      <c r="I6069">
        <v>0</v>
      </c>
      <c r="J6069">
        <v>0.11796857038972</v>
      </c>
      <c r="K6069">
        <v>0</v>
      </c>
      <c r="L6069">
        <v>1497.4342343875001</v>
      </c>
      <c r="M6069">
        <v>27.115428001567601</v>
      </c>
      <c r="N6069">
        <v>55.292888911277799</v>
      </c>
      <c r="O6069">
        <v>54.926692190676398</v>
      </c>
      <c r="P6069">
        <v>-0.121380655017157</v>
      </c>
      <c r="Q6069">
        <v>1.65048546378051E-2</v>
      </c>
      <c r="R6069">
        <v>0.97342311022000405</v>
      </c>
      <c r="S6069" t="s">
        <v>12739</v>
      </c>
      <c r="T6069" t="s">
        <v>13338</v>
      </c>
      <c r="U6069" t="s">
        <v>13338</v>
      </c>
      <c r="V6069" t="s">
        <v>13338</v>
      </c>
      <c r="W6069" t="s">
        <v>19347</v>
      </c>
      <c r="X6069">
        <v>1</v>
      </c>
      <c r="Y6069" t="s">
        <v>25837</v>
      </c>
      <c r="Z6069" t="s">
        <v>32484</v>
      </c>
      <c r="AA6069">
        <v>0.52348282053006778</v>
      </c>
      <c r="AB6069" t="str">
        <f>HYPERLINK("Melting_Curves/meltCurve_Q9NXS2_QPCTL.pdf", "Melting_Curves/meltCurve_Q9NXS2_QPCTL.pdf")</f>
        <v>Melting_Curves/meltCurve_Q9NXS2_QPCTL.pdf</v>
      </c>
    </row>
    <row r="6070" spans="1:28" x14ac:dyDescent="0.25">
      <c r="A6070" t="s">
        <v>6074</v>
      </c>
      <c r="B6070">
        <v>0.99193492352474899</v>
      </c>
      <c r="C6070">
        <v>0.89126820898150105</v>
      </c>
      <c r="D6070">
        <v>0.91221398485298699</v>
      </c>
      <c r="E6070">
        <v>0.84916810542758303</v>
      </c>
      <c r="F6070">
        <v>0.46461002761173698</v>
      </c>
      <c r="G6070">
        <v>0.108800568618905</v>
      </c>
      <c r="H6070">
        <v>5.1454291861235797E-2</v>
      </c>
      <c r="I6070">
        <v>4.1900919360968798E-2</v>
      </c>
      <c r="J6070">
        <v>4.0888835215723798E-2</v>
      </c>
      <c r="K6070">
        <v>2.1162717249558E-2</v>
      </c>
      <c r="L6070">
        <v>1417.2290841209799</v>
      </c>
      <c r="M6070">
        <v>26.911846539637398</v>
      </c>
      <c r="N6070">
        <v>52.757864518605103</v>
      </c>
      <c r="O6070">
        <v>52.373708692220703</v>
      </c>
      <c r="P6070">
        <v>-0.12539360544002401</v>
      </c>
      <c r="Q6070">
        <v>2.3885403454627901E-2</v>
      </c>
      <c r="R6070">
        <v>0.98908251016543403</v>
      </c>
      <c r="S6070" t="s">
        <v>12740</v>
      </c>
      <c r="T6070" t="s">
        <v>13338</v>
      </c>
      <c r="U6070" t="s">
        <v>13338</v>
      </c>
      <c r="V6070" t="s">
        <v>13338</v>
      </c>
      <c r="W6070" t="s">
        <v>19348</v>
      </c>
      <c r="X6070">
        <v>5</v>
      </c>
      <c r="Y6070" t="s">
        <v>25838</v>
      </c>
      <c r="Z6070" t="s">
        <v>32485</v>
      </c>
      <c r="AA6070">
        <v>0.44365348860027792</v>
      </c>
      <c r="AB6070" t="str">
        <f>HYPERLINK("Melting_Curves/meltCurve_Q9NXU5_ARL15.pdf", "Melting_Curves/meltCurve_Q9NXU5_ARL15.pdf")</f>
        <v>Melting_Curves/meltCurve_Q9NXU5_ARL15.pdf</v>
      </c>
    </row>
    <row r="6071" spans="1:28" x14ac:dyDescent="0.25">
      <c r="A6071" t="s">
        <v>6075</v>
      </c>
      <c r="B6071">
        <v>0.99193492352474899</v>
      </c>
      <c r="C6071">
        <v>0.85783155108681597</v>
      </c>
      <c r="D6071">
        <v>0.75233953630334305</v>
      </c>
      <c r="E6071">
        <v>0.64598751247707198</v>
      </c>
      <c r="F6071">
        <v>0.73935220682283898</v>
      </c>
      <c r="G6071">
        <v>0.34186588096889498</v>
      </c>
      <c r="H6071">
        <v>0.243551155437676</v>
      </c>
      <c r="I6071">
        <v>0.17860866911384601</v>
      </c>
      <c r="J6071">
        <v>3.1622375263116898E-2</v>
      </c>
      <c r="K6071">
        <v>0.12138866135493501</v>
      </c>
      <c r="L6071">
        <v>508.78641385920201</v>
      </c>
      <c r="M6071">
        <v>9.4246388974531197</v>
      </c>
      <c r="N6071">
        <v>53.984711489101699</v>
      </c>
      <c r="O6071">
        <v>51.721637442060903</v>
      </c>
      <c r="P6071">
        <v>-4.5582395589022703E-2</v>
      </c>
      <c r="Q6071">
        <v>0</v>
      </c>
      <c r="R6071">
        <v>0.93470939413674803</v>
      </c>
      <c r="S6071" t="s">
        <v>12741</v>
      </c>
      <c r="T6071" t="s">
        <v>13338</v>
      </c>
      <c r="U6071" t="s">
        <v>13338</v>
      </c>
      <c r="V6071" t="s">
        <v>13338</v>
      </c>
      <c r="W6071" t="s">
        <v>19349</v>
      </c>
      <c r="X6071">
        <v>1</v>
      </c>
      <c r="Y6071" t="s">
        <v>25839</v>
      </c>
      <c r="Z6071" t="s">
        <v>32486</v>
      </c>
      <c r="AA6071">
        <v>0.49760905469424821</v>
      </c>
      <c r="AB6071" t="str">
        <f>HYPERLINK("Melting_Curves/meltCurve_Q9NXV2_KCTD5.pdf", "Melting_Curves/meltCurve_Q9NXV2_KCTD5.pdf")</f>
        <v>Melting_Curves/meltCurve_Q9NXV2_KCTD5.pdf</v>
      </c>
    </row>
    <row r="6072" spans="1:28" x14ac:dyDescent="0.25">
      <c r="A6072" t="s">
        <v>6076</v>
      </c>
      <c r="B6072">
        <v>0.99193492352474899</v>
      </c>
      <c r="C6072">
        <v>0.78679765656088096</v>
      </c>
      <c r="D6072">
        <v>0.81700375477351195</v>
      </c>
      <c r="E6072">
        <v>0.599913118425495</v>
      </c>
      <c r="F6072">
        <v>0.25531982990825097</v>
      </c>
      <c r="G6072">
        <v>0.11244265017555</v>
      </c>
      <c r="H6072">
        <v>5.3744241455912098E-2</v>
      </c>
      <c r="I6072">
        <v>6.8813850861759895E-2</v>
      </c>
      <c r="J6072">
        <v>6.6897658877712998E-2</v>
      </c>
      <c r="K6072">
        <v>9.4520014027574498E-2</v>
      </c>
      <c r="L6072">
        <v>787.84950496629801</v>
      </c>
      <c r="M6072">
        <v>15.837163054004799</v>
      </c>
      <c r="N6072">
        <v>49.987622313411698</v>
      </c>
      <c r="O6072">
        <v>48.973966511660102</v>
      </c>
      <c r="P6072">
        <v>-7.7882708662411398E-2</v>
      </c>
      <c r="Q6072">
        <v>3.6717588956465597E-2</v>
      </c>
      <c r="R6072">
        <v>0.97389105927517905</v>
      </c>
      <c r="S6072" t="s">
        <v>12742</v>
      </c>
      <c r="T6072" t="s">
        <v>13338</v>
      </c>
      <c r="U6072" t="s">
        <v>13338</v>
      </c>
      <c r="V6072" t="s">
        <v>13338</v>
      </c>
      <c r="W6072" t="s">
        <v>19350</v>
      </c>
      <c r="X6072">
        <v>15</v>
      </c>
      <c r="Y6072" t="s">
        <v>25840</v>
      </c>
      <c r="Z6072" t="s">
        <v>32487</v>
      </c>
      <c r="AA6072">
        <v>0.37066469952470299</v>
      </c>
      <c r="AB6072" t="str">
        <f>HYPERLINK("Melting_Curves/meltCurve_Q9NXV6_CDKN2AIP.pdf", "Melting_Curves/meltCurve_Q9NXV6_CDKN2AIP.pdf")</f>
        <v>Melting_Curves/meltCurve_Q9NXV6_CDKN2AIP.pdf</v>
      </c>
    </row>
    <row r="6073" spans="1:28" x14ac:dyDescent="0.25">
      <c r="A6073" t="s">
        <v>6077</v>
      </c>
      <c r="B6073">
        <v>0.99193492352474899</v>
      </c>
      <c r="C6073">
        <v>0.79020175922743496</v>
      </c>
      <c r="D6073">
        <v>0.66528430255902404</v>
      </c>
      <c r="E6073">
        <v>0.31055064156968398</v>
      </c>
      <c r="F6073">
        <v>0.21621709413468401</v>
      </c>
      <c r="G6073">
        <v>0.13935779523967601</v>
      </c>
      <c r="H6073">
        <v>7.1749363841239894E-2</v>
      </c>
      <c r="I6073">
        <v>7.7022476229610698E-2</v>
      </c>
      <c r="J6073">
        <v>7.0742636423520702E-2</v>
      </c>
      <c r="K6073">
        <v>0.119196485899834</v>
      </c>
      <c r="L6073">
        <v>786.46857885377904</v>
      </c>
      <c r="M6073">
        <v>16.742645234967299</v>
      </c>
      <c r="N6073">
        <v>47.461705282939299</v>
      </c>
      <c r="O6073">
        <v>46.3192157715931</v>
      </c>
      <c r="P6073">
        <v>-8.3229482424627299E-2</v>
      </c>
      <c r="Q6073">
        <v>7.9029798746084498E-2</v>
      </c>
      <c r="R6073">
        <v>0.98957439371476397</v>
      </c>
      <c r="S6073" t="s">
        <v>12743</v>
      </c>
      <c r="T6073" t="s">
        <v>13338</v>
      </c>
      <c r="U6073" t="s">
        <v>13338</v>
      </c>
      <c r="V6073" t="s">
        <v>13338</v>
      </c>
      <c r="W6073" t="s">
        <v>19351</v>
      </c>
      <c r="X6073">
        <v>3</v>
      </c>
      <c r="Y6073" t="s">
        <v>25841</v>
      </c>
      <c r="Z6073" t="s">
        <v>32488</v>
      </c>
      <c r="AA6073">
        <v>0.31301768697230969</v>
      </c>
      <c r="AB6073" t="str">
        <f>HYPERLINK("Melting_Curves/meltCurve_Q9NXW9_ALKBH4.pdf", "Melting_Curves/meltCurve_Q9NXW9_ALKBH4.pdf")</f>
        <v>Melting_Curves/meltCurve_Q9NXW9_ALKBH4.pdf</v>
      </c>
    </row>
    <row r="6074" spans="1:28" x14ac:dyDescent="0.25">
      <c r="A6074" t="s">
        <v>6078</v>
      </c>
      <c r="B6074">
        <v>0.99193492352474899</v>
      </c>
      <c r="C6074">
        <v>0.77254291399933595</v>
      </c>
      <c r="D6074">
        <v>1.1060686176644501</v>
      </c>
      <c r="E6074">
        <v>0.44396664580418499</v>
      </c>
      <c r="F6074">
        <v>0</v>
      </c>
      <c r="G6074">
        <v>4.6356186550214E-2</v>
      </c>
      <c r="H6074">
        <v>0</v>
      </c>
      <c r="I6074">
        <v>0</v>
      </c>
      <c r="J6074">
        <v>0.15209063420814301</v>
      </c>
      <c r="K6074">
        <v>0</v>
      </c>
      <c r="L6074">
        <v>12384.9961267214</v>
      </c>
      <c r="M6074">
        <v>250</v>
      </c>
      <c r="N6074">
        <v>49.553550026200298</v>
      </c>
      <c r="O6074">
        <v>49.536817018007802</v>
      </c>
      <c r="P6074">
        <v>-1.21995826510981</v>
      </c>
      <c r="Q6074">
        <v>3.3074465026815401E-2</v>
      </c>
      <c r="R6074">
        <v>0.954381118608988</v>
      </c>
      <c r="S6074" t="s">
        <v>12744</v>
      </c>
      <c r="T6074" t="s">
        <v>13338</v>
      </c>
      <c r="U6074" t="s">
        <v>13338</v>
      </c>
      <c r="V6074" t="s">
        <v>13338</v>
      </c>
      <c r="W6074" t="s">
        <v>19352</v>
      </c>
      <c r="X6074">
        <v>1</v>
      </c>
      <c r="Y6074" t="s">
        <v>25842</v>
      </c>
      <c r="Z6074" t="s">
        <v>32489</v>
      </c>
      <c r="AA6074">
        <v>0.34064035213693061</v>
      </c>
      <c r="AB6074" t="str">
        <f>HYPERLINK("Melting_Curves/meltCurve_Q9NXX6_NSMCE4A.pdf", "Melting_Curves/meltCurve_Q9NXX6_NSMCE4A.pdf")</f>
        <v>Melting_Curves/meltCurve_Q9NXX6_NSMCE4A.pdf</v>
      </c>
    </row>
    <row r="6075" spans="1:28" x14ac:dyDescent="0.25">
      <c r="A6075" t="s">
        <v>6079</v>
      </c>
      <c r="B6075">
        <v>0.99193492352474899</v>
      </c>
      <c r="C6075">
        <v>0.58643052736036905</v>
      </c>
      <c r="D6075">
        <v>0.925222531614457</v>
      </c>
      <c r="E6075">
        <v>0.60900032567380302</v>
      </c>
      <c r="F6075">
        <v>0.88453369965210504</v>
      </c>
      <c r="G6075">
        <v>0.43399656663673097</v>
      </c>
      <c r="H6075">
        <v>0.29531236100631503</v>
      </c>
      <c r="I6075">
        <v>0.28640568910814301</v>
      </c>
      <c r="J6075">
        <v>0.54280755719167995</v>
      </c>
      <c r="K6075">
        <v>0.56461505895792696</v>
      </c>
      <c r="L6075">
        <v>369.40250041845297</v>
      </c>
      <c r="M6075">
        <v>7.4575563583635196</v>
      </c>
      <c r="N6075">
        <v>59.562270539624102</v>
      </c>
      <c r="O6075">
        <v>46.3469741027669</v>
      </c>
      <c r="P6075">
        <v>-2.5881710801411901E-2</v>
      </c>
      <c r="Q6075">
        <v>0.35754781713073203</v>
      </c>
      <c r="R6075">
        <v>0.478088674280783</v>
      </c>
      <c r="S6075" t="s">
        <v>12745</v>
      </c>
      <c r="T6075" t="s">
        <v>13338</v>
      </c>
      <c r="U6075" t="s">
        <v>13338</v>
      </c>
      <c r="V6075" t="s">
        <v>13338</v>
      </c>
      <c r="W6075" t="s">
        <v>19353</v>
      </c>
      <c r="X6075">
        <v>6</v>
      </c>
      <c r="Y6075" t="s">
        <v>25843</v>
      </c>
      <c r="Z6075" t="s">
        <v>32490</v>
      </c>
      <c r="AA6075">
        <v>0.6052404560235326</v>
      </c>
      <c r="AB6075" t="str">
        <f>HYPERLINK("Melting_Curves/meltCurve_Q9NY12_2_GAR1.pdf", "Melting_Curves/meltCurve_Q9NY12_2_GAR1.pdf")</f>
        <v>Melting_Curves/meltCurve_Q9NY12_2_GAR1.pdf</v>
      </c>
    </row>
    <row r="6076" spans="1:28" x14ac:dyDescent="0.25">
      <c r="A6076" t="s">
        <v>6080</v>
      </c>
      <c r="B6076">
        <v>0.99193492352474899</v>
      </c>
      <c r="C6076">
        <v>0.863145350394949</v>
      </c>
      <c r="D6076">
        <v>0.84390346806208005</v>
      </c>
      <c r="E6076">
        <v>0.60542152811668304</v>
      </c>
      <c r="F6076">
        <v>0.324504339593086</v>
      </c>
      <c r="G6076">
        <v>0.149953743712371</v>
      </c>
      <c r="H6076">
        <v>8.8105528595474797E-2</v>
      </c>
      <c r="I6076">
        <v>8.7473213390221002E-2</v>
      </c>
      <c r="J6076">
        <v>9.9354702751287494E-2</v>
      </c>
      <c r="K6076">
        <v>0.10838065884051699</v>
      </c>
      <c r="L6076">
        <v>847.45871649207004</v>
      </c>
      <c r="M6076">
        <v>16.903164127309601</v>
      </c>
      <c r="N6076">
        <v>50.582371492600799</v>
      </c>
      <c r="O6076">
        <v>49.450145892238098</v>
      </c>
      <c r="P6076">
        <v>-7.9540930432417306E-2</v>
      </c>
      <c r="Q6076">
        <v>6.9271922703008304E-2</v>
      </c>
      <c r="R6076">
        <v>0.9908067903526</v>
      </c>
      <c r="S6076" t="s">
        <v>12746</v>
      </c>
      <c r="T6076" t="s">
        <v>13338</v>
      </c>
      <c r="U6076" t="s">
        <v>13338</v>
      </c>
      <c r="V6076" t="s">
        <v>13338</v>
      </c>
      <c r="W6076" t="s">
        <v>19354</v>
      </c>
      <c r="X6076">
        <v>20</v>
      </c>
      <c r="Y6076" t="s">
        <v>25844</v>
      </c>
      <c r="Z6076" t="s">
        <v>32491</v>
      </c>
      <c r="AA6076">
        <v>0.40155427994571008</v>
      </c>
      <c r="AB6076" t="str">
        <f>HYPERLINK("Melting_Curves/meltCurve_Q9NY27_PPP4R2.pdf", "Melting_Curves/meltCurve_Q9NY27_PPP4R2.pdf")</f>
        <v>Melting_Curves/meltCurve_Q9NY27_PPP4R2.pdf</v>
      </c>
    </row>
    <row r="6077" spans="1:28" x14ac:dyDescent="0.25">
      <c r="A6077" t="s">
        <v>6081</v>
      </c>
      <c r="B6077">
        <v>0.99193492352474899</v>
      </c>
      <c r="C6077">
        <v>0.382748717354779</v>
      </c>
      <c r="D6077">
        <v>0.90801552912641903</v>
      </c>
      <c r="E6077">
        <v>0.35370497861967498</v>
      </c>
      <c r="F6077">
        <v>0.139324690778381</v>
      </c>
      <c r="G6077">
        <v>6.5952488426871306E-2</v>
      </c>
      <c r="H6077">
        <v>5.0555872964574498E-2</v>
      </c>
      <c r="I6077">
        <v>5.7661878411838501E-2</v>
      </c>
      <c r="J6077">
        <v>7.1746190403235904E-2</v>
      </c>
      <c r="K6077">
        <v>5.1599249195293601E-2</v>
      </c>
      <c r="L6077">
        <v>528.53393855719901</v>
      </c>
      <c r="M6077">
        <v>11.1953618157515</v>
      </c>
      <c r="N6077">
        <v>47.210083188216799</v>
      </c>
      <c r="O6077">
        <v>45.778956915194101</v>
      </c>
      <c r="P6077">
        <v>-6.1157439342150399E-2</v>
      </c>
      <c r="Q6077">
        <v>0</v>
      </c>
      <c r="R6077">
        <v>0.76433624011864398</v>
      </c>
      <c r="S6077" t="s">
        <v>12747</v>
      </c>
      <c r="T6077" t="s">
        <v>13338</v>
      </c>
      <c r="U6077" t="s">
        <v>13338</v>
      </c>
      <c r="V6077" t="s">
        <v>13338</v>
      </c>
      <c r="W6077" t="s">
        <v>19355</v>
      </c>
      <c r="X6077">
        <v>4</v>
      </c>
      <c r="Y6077" t="s">
        <v>25845</v>
      </c>
      <c r="Z6077" t="s">
        <v>32492</v>
      </c>
      <c r="AA6077">
        <v>0.28710282945411569</v>
      </c>
      <c r="AB6077" t="str">
        <f>HYPERLINK("Melting_Curves/meltCurve_Q9NY93_2_DDX56.pdf", "Melting_Curves/meltCurve_Q9NY93_2_DDX56.pdf")</f>
        <v>Melting_Curves/meltCurve_Q9NY93_2_DDX56.pdf</v>
      </c>
    </row>
    <row r="6078" spans="1:28" x14ac:dyDescent="0.25">
      <c r="A6078" t="s">
        <v>6082</v>
      </c>
      <c r="B6078">
        <v>0.99193492352474899</v>
      </c>
      <c r="C6078">
        <v>0.66105998957401302</v>
      </c>
      <c r="D6078">
        <v>0.783808142968621</v>
      </c>
      <c r="E6078">
        <v>0.34132696863946199</v>
      </c>
      <c r="F6078">
        <v>0.15329279620484601</v>
      </c>
      <c r="G6078">
        <v>8.4226053828110395E-2</v>
      </c>
      <c r="H6078">
        <v>4.81217186475476E-2</v>
      </c>
      <c r="I6078">
        <v>7.3644581576694901E-2</v>
      </c>
      <c r="J6078">
        <v>9.2922400002231897E-2</v>
      </c>
      <c r="K6078">
        <v>0.109092547140552</v>
      </c>
      <c r="L6078">
        <v>745.12358387923598</v>
      </c>
      <c r="M6078">
        <v>15.741499629049599</v>
      </c>
      <c r="N6078">
        <v>47.678225591691501</v>
      </c>
      <c r="O6078">
        <v>46.590843174136602</v>
      </c>
      <c r="P6078">
        <v>-7.9948519647049202E-2</v>
      </c>
      <c r="Q6078">
        <v>5.3570268797752701E-2</v>
      </c>
      <c r="R6078">
        <v>0.93965324126762595</v>
      </c>
      <c r="S6078" t="s">
        <v>12748</v>
      </c>
      <c r="T6078" t="s">
        <v>13338</v>
      </c>
      <c r="U6078" t="s">
        <v>13338</v>
      </c>
      <c r="V6078" t="s">
        <v>13338</v>
      </c>
      <c r="W6078" t="s">
        <v>19356</v>
      </c>
      <c r="X6078">
        <v>14</v>
      </c>
      <c r="Y6078" t="s">
        <v>25846</v>
      </c>
      <c r="Z6078" t="s">
        <v>32493</v>
      </c>
      <c r="AA6078">
        <v>0.30780114835578082</v>
      </c>
      <c r="AB6078" t="str">
        <f>HYPERLINK("Melting_Curves/meltCurve_Q9NYB0_TERF2IP.pdf", "Melting_Curves/meltCurve_Q9NYB0_TERF2IP.pdf")</f>
        <v>Melting_Curves/meltCurve_Q9NYB0_TERF2IP.pdf</v>
      </c>
    </row>
    <row r="6079" spans="1:28" x14ac:dyDescent="0.25">
      <c r="A6079" t="s">
        <v>6083</v>
      </c>
      <c r="B6079">
        <v>0.99193492352474899</v>
      </c>
      <c r="C6079">
        <v>0.62084145315490702</v>
      </c>
      <c r="D6079">
        <v>0.76073379572164801</v>
      </c>
      <c r="E6079">
        <v>0.5106834293668</v>
      </c>
      <c r="F6079">
        <v>0.40039736285744798</v>
      </c>
      <c r="G6079">
        <v>0.24697796525551899</v>
      </c>
      <c r="H6079">
        <v>0.296268254213087</v>
      </c>
      <c r="I6079">
        <v>0.63134683543764603</v>
      </c>
      <c r="J6079">
        <v>0.69224466405256502</v>
      </c>
      <c r="K6079">
        <v>0.86034495769024399</v>
      </c>
      <c r="L6079">
        <v>1048.3269192533601</v>
      </c>
      <c r="M6079">
        <v>24.702589998651099</v>
      </c>
      <c r="O6079">
        <v>42.162752522656</v>
      </c>
      <c r="P6079">
        <v>-6.8631328505073502E-2</v>
      </c>
      <c r="Q6079">
        <v>0.53144264380205497</v>
      </c>
      <c r="R6079">
        <v>0.334210733405987</v>
      </c>
      <c r="S6079" t="s">
        <v>12749</v>
      </c>
      <c r="T6079" t="s">
        <v>13338</v>
      </c>
      <c r="U6079" t="s">
        <v>13338</v>
      </c>
      <c r="V6079" t="s">
        <v>13338</v>
      </c>
      <c r="W6079" t="s">
        <v>19357</v>
      </c>
      <c r="X6079">
        <v>23</v>
      </c>
      <c r="Y6079" t="s">
        <v>20480</v>
      </c>
      <c r="Z6079" t="s">
        <v>32494</v>
      </c>
      <c r="AA6079">
        <v>0.57760653334280976</v>
      </c>
      <c r="AB6079" t="str">
        <f>HYPERLINK("Melting_Curves/meltCurve_Q9NYF8_2_BCLAF1.pdf", "Melting_Curves/meltCurve_Q9NYF8_2_BCLAF1.pdf")</f>
        <v>Melting_Curves/meltCurve_Q9NYF8_2_BCLAF1.pdf</v>
      </c>
    </row>
    <row r="6080" spans="1:28" x14ac:dyDescent="0.25">
      <c r="A6080" t="s">
        <v>6084</v>
      </c>
      <c r="B6080">
        <v>0.99193492352474899</v>
      </c>
      <c r="C6080">
        <v>1.0559655969919799</v>
      </c>
      <c r="D6080">
        <v>0.96073028074926603</v>
      </c>
      <c r="E6080">
        <v>0.69031233360175204</v>
      </c>
      <c r="F6080">
        <v>0.32321563257990299</v>
      </c>
      <c r="G6080">
        <v>0.35121310470699701</v>
      </c>
      <c r="H6080">
        <v>0.17869345860854499</v>
      </c>
      <c r="I6080">
        <v>0.26082312769046401</v>
      </c>
      <c r="J6080">
        <v>0.298100987910351</v>
      </c>
      <c r="K6080">
        <v>0.25843465347920003</v>
      </c>
      <c r="L6080">
        <v>1802.1406874926099</v>
      </c>
      <c r="M6080">
        <v>36.035193904532299</v>
      </c>
      <c r="N6080">
        <v>51.076017489753802</v>
      </c>
      <c r="O6080">
        <v>49.857303454624798</v>
      </c>
      <c r="P6080">
        <v>-0.132950498373686</v>
      </c>
      <c r="Q6080">
        <v>0.26421564557356297</v>
      </c>
      <c r="R6080">
        <v>0.98319291421017596</v>
      </c>
      <c r="S6080" t="s">
        <v>12750</v>
      </c>
      <c r="T6080" t="s">
        <v>13338</v>
      </c>
      <c r="U6080" t="s">
        <v>13338</v>
      </c>
      <c r="V6080" t="s">
        <v>13338</v>
      </c>
      <c r="W6080" t="s">
        <v>19358</v>
      </c>
      <c r="X6080">
        <v>1</v>
      </c>
      <c r="Y6080" t="s">
        <v>25847</v>
      </c>
      <c r="Z6080" t="s">
        <v>32495</v>
      </c>
      <c r="AA6080">
        <v>0.51287790291974533</v>
      </c>
      <c r="AB6080" t="str">
        <f>HYPERLINK("Melting_Curves/meltCurve_Q9NYG2_ZDHHC3.pdf", "Melting_Curves/meltCurve_Q9NYG2_ZDHHC3.pdf")</f>
        <v>Melting_Curves/meltCurve_Q9NYG2_ZDHHC3.pdf</v>
      </c>
    </row>
    <row r="6081" spans="1:28" x14ac:dyDescent="0.25">
      <c r="A6081" t="s">
        <v>6085</v>
      </c>
      <c r="B6081">
        <v>0.99193492352474899</v>
      </c>
      <c r="C6081">
        <v>0.631852720978753</v>
      </c>
      <c r="D6081">
        <v>0.40249416417196698</v>
      </c>
      <c r="E6081">
        <v>0.25156966717965201</v>
      </c>
      <c r="F6081">
        <v>0.15997760358853699</v>
      </c>
      <c r="G6081">
        <v>0.102482723014978</v>
      </c>
      <c r="H6081">
        <v>7.4100522457992701E-2</v>
      </c>
      <c r="I6081">
        <v>8.5118175405422797E-2</v>
      </c>
      <c r="J6081">
        <v>8.8085687405476495E-2</v>
      </c>
      <c r="K6081">
        <v>0.100993588719076</v>
      </c>
      <c r="L6081">
        <v>829.61089489192705</v>
      </c>
      <c r="M6081">
        <v>18.672432931643801</v>
      </c>
      <c r="N6081">
        <v>44.9348882970991</v>
      </c>
      <c r="O6081">
        <v>43.9295441739729</v>
      </c>
      <c r="P6081">
        <v>-9.6206701015490295E-2</v>
      </c>
      <c r="Q6081">
        <v>9.4679308204132603E-2</v>
      </c>
      <c r="R6081">
        <v>0.980900460388757</v>
      </c>
      <c r="S6081" t="s">
        <v>12751</v>
      </c>
      <c r="T6081" t="s">
        <v>13338</v>
      </c>
      <c r="U6081" t="s">
        <v>13338</v>
      </c>
      <c r="V6081" t="s">
        <v>13338</v>
      </c>
      <c r="W6081" t="s">
        <v>19359</v>
      </c>
      <c r="X6081">
        <v>9</v>
      </c>
      <c r="Y6081" t="s">
        <v>25848</v>
      </c>
      <c r="Z6081" t="s">
        <v>32496</v>
      </c>
      <c r="AA6081">
        <v>0.24765063927517059</v>
      </c>
      <c r="AB6081" t="str">
        <f>HYPERLINK("Melting_Curves/meltCurve_Q9NYH9_UTP6.pdf", "Melting_Curves/meltCurve_Q9NYH9_UTP6.pdf")</f>
        <v>Melting_Curves/meltCurve_Q9NYH9_UTP6.pdf</v>
      </c>
    </row>
    <row r="6082" spans="1:28" x14ac:dyDescent="0.25">
      <c r="A6082" t="s">
        <v>6086</v>
      </c>
      <c r="B6082">
        <v>0.99193492352474899</v>
      </c>
      <c r="C6082">
        <v>1.11888570029567</v>
      </c>
      <c r="D6082">
        <v>0.733929893183492</v>
      </c>
      <c r="E6082">
        <v>0.933309190732034</v>
      </c>
      <c r="F6082">
        <v>0.52459232235107001</v>
      </c>
      <c r="G6082">
        <v>0.62179983414738804</v>
      </c>
      <c r="H6082">
        <v>0.49932230599517902</v>
      </c>
      <c r="I6082">
        <v>0.65042424498755702</v>
      </c>
      <c r="J6082">
        <v>0.517571024782984</v>
      </c>
      <c r="K6082">
        <v>0.66476740512590504</v>
      </c>
      <c r="L6082">
        <v>996.20526544346706</v>
      </c>
      <c r="M6082">
        <v>20.244626560837801</v>
      </c>
      <c r="O6082">
        <v>48.735773952183997</v>
      </c>
      <c r="P6082">
        <v>-4.4292602734958601E-2</v>
      </c>
      <c r="Q6082">
        <v>0.57350306776558002</v>
      </c>
      <c r="R6082">
        <v>0.71809349251689603</v>
      </c>
      <c r="S6082" t="s">
        <v>12752</v>
      </c>
      <c r="T6082" t="s">
        <v>13338</v>
      </c>
      <c r="U6082" t="s">
        <v>13338</v>
      </c>
      <c r="V6082" t="s">
        <v>13338</v>
      </c>
      <c r="W6082" t="s">
        <v>19360</v>
      </c>
      <c r="X6082">
        <v>4</v>
      </c>
      <c r="Y6082" t="s">
        <v>25849</v>
      </c>
      <c r="Z6082" t="s">
        <v>32497</v>
      </c>
      <c r="AA6082">
        <v>0.71023374648748705</v>
      </c>
      <c r="AB6082" t="str">
        <f>HYPERLINK("Melting_Curves/meltCurve_Q9NYJ1_COA4.pdf", "Melting_Curves/meltCurve_Q9NYJ1_COA4.pdf")</f>
        <v>Melting_Curves/meltCurve_Q9NYJ1_COA4.pdf</v>
      </c>
    </row>
    <row r="6083" spans="1:28" x14ac:dyDescent="0.25">
      <c r="A6083" t="s">
        <v>6087</v>
      </c>
      <c r="B6083">
        <v>0.99193492352474899</v>
      </c>
      <c r="C6083">
        <v>0.77465050908379096</v>
      </c>
      <c r="D6083">
        <v>0.95590764846170495</v>
      </c>
      <c r="E6083">
        <v>0.653655690817878</v>
      </c>
      <c r="F6083">
        <v>0.18626839192212899</v>
      </c>
      <c r="G6083">
        <v>8.7897446791562001E-2</v>
      </c>
      <c r="H6083">
        <v>5.1226572537803397E-2</v>
      </c>
      <c r="I6083">
        <v>4.8872004570050899E-2</v>
      </c>
      <c r="J6083">
        <v>7.1439556260206094E-2</v>
      </c>
      <c r="K6083">
        <v>5.5500070091521497E-2</v>
      </c>
      <c r="L6083">
        <v>1585.28582223894</v>
      </c>
      <c r="M6083">
        <v>31.471478518970201</v>
      </c>
      <c r="N6083">
        <v>50.557163279637997</v>
      </c>
      <c r="O6083">
        <v>50.170087283924602</v>
      </c>
      <c r="P6083">
        <v>-0.148294572966326</v>
      </c>
      <c r="Q6083">
        <v>5.4393424777965001E-2</v>
      </c>
      <c r="R6083">
        <v>0.96615273488798603</v>
      </c>
      <c r="S6083" t="s">
        <v>12753</v>
      </c>
      <c r="T6083" t="s">
        <v>13338</v>
      </c>
      <c r="U6083" t="s">
        <v>13338</v>
      </c>
      <c r="V6083" t="s">
        <v>13338</v>
      </c>
      <c r="W6083" t="s">
        <v>19361</v>
      </c>
      <c r="X6083">
        <v>7</v>
      </c>
      <c r="Y6083" t="s">
        <v>25850</v>
      </c>
      <c r="Z6083" t="s">
        <v>32498</v>
      </c>
      <c r="AA6083">
        <v>0.38666835181450149</v>
      </c>
      <c r="AB6083" t="str">
        <f>HYPERLINK("Melting_Curves/meltCurve_Q9NYK5_MRPL39.pdf", "Melting_Curves/meltCurve_Q9NYK5_MRPL39.pdf")</f>
        <v>Melting_Curves/meltCurve_Q9NYK5_MRPL39.pdf</v>
      </c>
    </row>
    <row r="6084" spans="1:28" x14ac:dyDescent="0.25">
      <c r="A6084" t="s">
        <v>6088</v>
      </c>
      <c r="B6084">
        <v>0.99193492352474899</v>
      </c>
      <c r="C6084">
        <v>1.09066052114111</v>
      </c>
      <c r="D6084">
        <v>1.1760524772363099</v>
      </c>
      <c r="E6084">
        <v>0.88231689901791399</v>
      </c>
      <c r="F6084">
        <v>0.50299927450015403</v>
      </c>
      <c r="G6084">
        <v>0.21287466132333299</v>
      </c>
      <c r="H6084">
        <v>0.130921510488096</v>
      </c>
      <c r="I6084">
        <v>0.20714832085444801</v>
      </c>
      <c r="J6084">
        <v>0.204434225849042</v>
      </c>
      <c r="K6084">
        <v>0.278655842458083</v>
      </c>
      <c r="L6084">
        <v>2031.9825918818699</v>
      </c>
      <c r="M6084">
        <v>38.783860643042502</v>
      </c>
      <c r="N6084">
        <v>53.093167059912297</v>
      </c>
      <c r="O6084">
        <v>52.253769485263803</v>
      </c>
      <c r="P6084">
        <v>-0.148387982166474</v>
      </c>
      <c r="Q6084">
        <v>0.20030517700171599</v>
      </c>
      <c r="R6084">
        <v>0.96576204236504903</v>
      </c>
      <c r="S6084" t="s">
        <v>12754</v>
      </c>
      <c r="T6084" t="s">
        <v>13338</v>
      </c>
      <c r="U6084" t="s">
        <v>13338</v>
      </c>
      <c r="V6084" t="s">
        <v>13338</v>
      </c>
      <c r="W6084" t="s">
        <v>19362</v>
      </c>
      <c r="X6084">
        <v>4</v>
      </c>
      <c r="Y6084" t="s">
        <v>25851</v>
      </c>
      <c r="Z6084" t="s">
        <v>32499</v>
      </c>
      <c r="AA6084">
        <v>0.53372454288072413</v>
      </c>
      <c r="AB6084" t="str">
        <f>HYPERLINK("Melting_Curves/meltCurve_Q9NYL2_MLTK.pdf", "Melting_Curves/meltCurve_Q9NYL2_MLTK.pdf")</f>
        <v>Melting_Curves/meltCurve_Q9NYL2_MLTK.pdf</v>
      </c>
    </row>
    <row r="6085" spans="1:28" x14ac:dyDescent="0.25">
      <c r="A6085" t="s">
        <v>6089</v>
      </c>
      <c r="B6085">
        <v>0.99193492352474899</v>
      </c>
      <c r="C6085">
        <v>0.75043276948833304</v>
      </c>
      <c r="D6085">
        <v>0.57128945760234995</v>
      </c>
      <c r="E6085">
        <v>0.20131738849724101</v>
      </c>
      <c r="F6085">
        <v>0.134862509320894</v>
      </c>
      <c r="G6085">
        <v>7.9147236981403801E-2</v>
      </c>
      <c r="H6085">
        <v>5.7862805896924101E-2</v>
      </c>
      <c r="I6085">
        <v>8.5620156650145704E-2</v>
      </c>
      <c r="J6085">
        <v>0.11646017779578501</v>
      </c>
      <c r="K6085">
        <v>0.145877684087902</v>
      </c>
      <c r="L6085">
        <v>949.88378347942205</v>
      </c>
      <c r="M6085">
        <v>20.7851200467429</v>
      </c>
      <c r="N6085">
        <v>46.138887408255599</v>
      </c>
      <c r="O6085">
        <v>45.283469229872999</v>
      </c>
      <c r="P6085">
        <v>-0.104463953683206</v>
      </c>
      <c r="Q6085">
        <v>8.9664531728072594E-2</v>
      </c>
      <c r="R6085">
        <v>0.98421971779762696</v>
      </c>
      <c r="S6085" t="s">
        <v>12755</v>
      </c>
      <c r="T6085" t="s">
        <v>13338</v>
      </c>
      <c r="U6085" t="s">
        <v>13338</v>
      </c>
      <c r="V6085" t="s">
        <v>13338</v>
      </c>
      <c r="W6085" t="s">
        <v>19363</v>
      </c>
      <c r="X6085">
        <v>9</v>
      </c>
      <c r="Y6085" t="s">
        <v>25852</v>
      </c>
      <c r="Z6085" t="s">
        <v>32500</v>
      </c>
      <c r="AA6085">
        <v>0.275804220254521</v>
      </c>
      <c r="AB6085" t="str">
        <f>HYPERLINK("Melting_Curves/meltCurve_Q9NYL9_TMOD3.pdf", "Melting_Curves/meltCurve_Q9NYL9_TMOD3.pdf")</f>
        <v>Melting_Curves/meltCurve_Q9NYL9_TMOD3.pdf</v>
      </c>
    </row>
    <row r="6086" spans="1:28" x14ac:dyDescent="0.25">
      <c r="A6086" t="s">
        <v>6090</v>
      </c>
      <c r="B6086">
        <v>0.99193492352474899</v>
      </c>
      <c r="C6086">
        <v>0.77457167783291103</v>
      </c>
      <c r="D6086">
        <v>1.0644028032233299</v>
      </c>
      <c r="E6086">
        <v>0.62237758965226497</v>
      </c>
      <c r="F6086">
        <v>0.83864046304523499</v>
      </c>
      <c r="G6086">
        <v>0.47292331725298298</v>
      </c>
      <c r="H6086">
        <v>0.49235800713913502</v>
      </c>
      <c r="I6086">
        <v>0.46172750538683499</v>
      </c>
      <c r="J6086">
        <v>0.75837230953944201</v>
      </c>
      <c r="K6086">
        <v>0.85505404805174001</v>
      </c>
      <c r="L6086">
        <v>11961.030106471901</v>
      </c>
      <c r="M6086">
        <v>250</v>
      </c>
      <c r="O6086">
        <v>47.841058790720901</v>
      </c>
      <c r="P6086">
        <v>-0.46631196106818701</v>
      </c>
      <c r="Q6086">
        <v>0.64305827384110803</v>
      </c>
      <c r="R6086">
        <v>0.43243532698237303</v>
      </c>
      <c r="S6086" t="s">
        <v>12756</v>
      </c>
      <c r="T6086" t="s">
        <v>13338</v>
      </c>
      <c r="U6086" t="s">
        <v>13338</v>
      </c>
      <c r="V6086" t="s">
        <v>13338</v>
      </c>
      <c r="W6086" t="s">
        <v>19364</v>
      </c>
      <c r="X6086">
        <v>3</v>
      </c>
      <c r="Y6086" t="s">
        <v>25853</v>
      </c>
      <c r="Z6086" t="s">
        <v>32501</v>
      </c>
      <c r="AA6086">
        <v>0.7364180408654184</v>
      </c>
      <c r="AB6086" t="str">
        <f>HYPERLINK("Melting_Curves/meltCurve_Q9NYM9_BET1L.pdf", "Melting_Curves/meltCurve_Q9NYM9_BET1L.pdf")</f>
        <v>Melting_Curves/meltCurve_Q9NYM9_BET1L.pdf</v>
      </c>
    </row>
    <row r="6087" spans="1:28" x14ac:dyDescent="0.25">
      <c r="A6087" t="s">
        <v>6091</v>
      </c>
      <c r="B6087">
        <v>0.99193492352474899</v>
      </c>
      <c r="C6087">
        <v>0.99635704524077195</v>
      </c>
      <c r="D6087">
        <v>0.87764483964974505</v>
      </c>
      <c r="E6087">
        <v>0.84890926843623005</v>
      </c>
      <c r="F6087">
        <v>0.357816249532108</v>
      </c>
      <c r="G6087">
        <v>0.18548708190271501</v>
      </c>
      <c r="H6087">
        <v>9.1913724873472297E-2</v>
      </c>
      <c r="I6087">
        <v>0.118310640991646</v>
      </c>
      <c r="J6087">
        <v>0.161736740254528</v>
      </c>
      <c r="K6087">
        <v>0.132370537068835</v>
      </c>
      <c r="L6087">
        <v>1697.33619014177</v>
      </c>
      <c r="M6087">
        <v>32.8463079834765</v>
      </c>
      <c r="N6087">
        <v>52.137188293045</v>
      </c>
      <c r="O6087">
        <v>51.484694811413803</v>
      </c>
      <c r="P6087">
        <v>-0.13935405584355801</v>
      </c>
      <c r="Q6087">
        <v>0.126286315912367</v>
      </c>
      <c r="R6087">
        <v>0.98899993887803495</v>
      </c>
      <c r="S6087" t="s">
        <v>12757</v>
      </c>
      <c r="T6087" t="s">
        <v>13338</v>
      </c>
      <c r="U6087" t="s">
        <v>13338</v>
      </c>
      <c r="V6087" t="s">
        <v>13338</v>
      </c>
      <c r="W6087" t="s">
        <v>19365</v>
      </c>
      <c r="X6087">
        <v>6</v>
      </c>
      <c r="Y6087" t="s">
        <v>25854</v>
      </c>
      <c r="Z6087" t="s">
        <v>32502</v>
      </c>
      <c r="AA6087">
        <v>0.47094399705025758</v>
      </c>
      <c r="AB6087" t="str">
        <f>HYPERLINK("Melting_Curves/meltCurve_Q9NYP9_MIS18A.pdf", "Melting_Curves/meltCurve_Q9NYP9_MIS18A.pdf")</f>
        <v>Melting_Curves/meltCurve_Q9NYP9_MIS18A.pdf</v>
      </c>
    </row>
    <row r="6088" spans="1:28" x14ac:dyDescent="0.25">
      <c r="A6088" t="s">
        <v>6092</v>
      </c>
      <c r="B6088">
        <v>0.99193492352474899</v>
      </c>
      <c r="C6088">
        <v>1.02070057431126</v>
      </c>
      <c r="D6088">
        <v>0.89847716756961205</v>
      </c>
      <c r="E6088">
        <v>0.53626239844469203</v>
      </c>
      <c r="F6088">
        <v>0.38431161370655598</v>
      </c>
      <c r="G6088">
        <v>0.28651983112282398</v>
      </c>
      <c r="H6088">
        <v>0.17345277672429199</v>
      </c>
      <c r="I6088">
        <v>0.24065744233801201</v>
      </c>
      <c r="J6088">
        <v>0.24417980562081501</v>
      </c>
      <c r="K6088">
        <v>0.26486898527352398</v>
      </c>
      <c r="L6088">
        <v>1227.3186725200801</v>
      </c>
      <c r="M6088">
        <v>24.999060017351599</v>
      </c>
      <c r="N6088">
        <v>50.414190550709101</v>
      </c>
      <c r="O6088">
        <v>48.783691921991398</v>
      </c>
      <c r="P6088">
        <v>-9.7352023287051906E-2</v>
      </c>
      <c r="Q6088">
        <v>0.240111330785542</v>
      </c>
      <c r="R6088">
        <v>0.98838023799976604</v>
      </c>
      <c r="S6088" t="s">
        <v>12758</v>
      </c>
      <c r="T6088" t="s">
        <v>13338</v>
      </c>
      <c r="U6088" t="s">
        <v>13338</v>
      </c>
      <c r="V6088" t="s">
        <v>13338</v>
      </c>
      <c r="W6088" t="s">
        <v>19366</v>
      </c>
      <c r="X6088">
        <v>2</v>
      </c>
      <c r="Y6088" t="s">
        <v>25855</v>
      </c>
      <c r="Z6088" t="s">
        <v>32503</v>
      </c>
      <c r="AA6088">
        <v>0.47721239279861288</v>
      </c>
      <c r="AB6088" t="str">
        <f>HYPERLINK("Melting_Curves/meltCurve_Q9NYS0_NKIRAS1.pdf", "Melting_Curves/meltCurve_Q9NYS0_NKIRAS1.pdf")</f>
        <v>Melting_Curves/meltCurve_Q9NYS0_NKIRAS1.pdf</v>
      </c>
    </row>
    <row r="6089" spans="1:28" x14ac:dyDescent="0.25">
      <c r="A6089" t="s">
        <v>6093</v>
      </c>
      <c r="B6089">
        <v>0.99193492352474899</v>
      </c>
      <c r="C6089">
        <v>1.1046673857896401</v>
      </c>
      <c r="D6089">
        <v>1.00393347867623</v>
      </c>
      <c r="E6089">
        <v>0.933496165351412</v>
      </c>
      <c r="F6089">
        <v>0.49431825672658802</v>
      </c>
      <c r="G6089">
        <v>0.228351837739941</v>
      </c>
      <c r="H6089">
        <v>0.13997998777912801</v>
      </c>
      <c r="I6089">
        <v>0.15979507987143701</v>
      </c>
      <c r="J6089">
        <v>0.16088839495553001</v>
      </c>
      <c r="K6089">
        <v>0.18008928021034801</v>
      </c>
      <c r="L6089">
        <v>2018.19407756994</v>
      </c>
      <c r="M6089">
        <v>38.329420573310401</v>
      </c>
      <c r="N6089">
        <v>53.198426893421001</v>
      </c>
      <c r="O6089">
        <v>52.511203962514401</v>
      </c>
      <c r="P6089">
        <v>-0.152873669753469</v>
      </c>
      <c r="Q6089">
        <v>0.162255986109996</v>
      </c>
      <c r="R6089">
        <v>0.99200398899559605</v>
      </c>
      <c r="S6089" t="s">
        <v>12759</v>
      </c>
      <c r="T6089" t="s">
        <v>13338</v>
      </c>
      <c r="U6089" t="s">
        <v>13338</v>
      </c>
      <c r="V6089" t="s">
        <v>13338</v>
      </c>
      <c r="W6089" t="s">
        <v>19367</v>
      </c>
      <c r="X6089">
        <v>53</v>
      </c>
      <c r="Y6089" t="s">
        <v>25856</v>
      </c>
      <c r="Z6089" t="s">
        <v>32504</v>
      </c>
      <c r="AA6089">
        <v>0.51893291087943372</v>
      </c>
      <c r="AB6089" t="str">
        <f>HYPERLINK("Melting_Curves/meltCurve_Q9NYU2_2_UGGT1.pdf", "Melting_Curves/meltCurve_Q9NYU2_2_UGGT1.pdf")</f>
        <v>Melting_Curves/meltCurve_Q9NYU2_2_UGGT1.pdf</v>
      </c>
    </row>
    <row r="6090" spans="1:28" x14ac:dyDescent="0.25">
      <c r="A6090" t="s">
        <v>6094</v>
      </c>
      <c r="B6090">
        <v>0.99193492352474899</v>
      </c>
      <c r="C6090">
        <v>0.59708461834929205</v>
      </c>
      <c r="D6090">
        <v>0.928881416717388</v>
      </c>
      <c r="E6090">
        <v>0.61517380785092002</v>
      </c>
      <c r="F6090">
        <v>0.39398920770095402</v>
      </c>
      <c r="G6090">
        <v>0.15913586913786601</v>
      </c>
      <c r="H6090">
        <v>7.5440055532534397E-2</v>
      </c>
      <c r="I6090">
        <v>7.3834477539867494E-2</v>
      </c>
      <c r="J6090">
        <v>9.7048219328976504E-2</v>
      </c>
      <c r="K6090">
        <v>0.103691080818621</v>
      </c>
      <c r="L6090">
        <v>576.78852583770902</v>
      </c>
      <c r="M6090">
        <v>11.3567132967114</v>
      </c>
      <c r="N6090">
        <v>50.8206531485461</v>
      </c>
      <c r="O6090">
        <v>49.290075851304898</v>
      </c>
      <c r="P6090">
        <v>-5.7411431625549202E-2</v>
      </c>
      <c r="Q6090">
        <v>3.5960094815011799E-3</v>
      </c>
      <c r="R6090">
        <v>0.88814480437593601</v>
      </c>
      <c r="S6090" t="s">
        <v>12760</v>
      </c>
      <c r="T6090" t="s">
        <v>13338</v>
      </c>
      <c r="U6090" t="s">
        <v>13338</v>
      </c>
      <c r="V6090" t="s">
        <v>13338</v>
      </c>
      <c r="W6090" t="s">
        <v>19368</v>
      </c>
      <c r="X6090">
        <v>14</v>
      </c>
      <c r="Y6090" t="s">
        <v>25857</v>
      </c>
      <c r="Z6090" t="s">
        <v>32505</v>
      </c>
      <c r="AA6090">
        <v>0.39753004903937028</v>
      </c>
      <c r="AB6090" t="str">
        <f>HYPERLINK("Melting_Curves/meltCurve_Q9NYV4_2_CDK12.pdf", "Melting_Curves/meltCurve_Q9NYV4_2_CDK12.pdf")</f>
        <v>Melting_Curves/meltCurve_Q9NYV4_2_CDK12.pdf</v>
      </c>
    </row>
    <row r="6091" spans="1:28" x14ac:dyDescent="0.25">
      <c r="A6091" t="s">
        <v>6095</v>
      </c>
      <c r="B6091">
        <v>0.99193492352474899</v>
      </c>
      <c r="C6091">
        <v>1.3132255207715</v>
      </c>
      <c r="D6091">
        <v>0.80793978319979398</v>
      </c>
      <c r="E6091">
        <v>0.75007139993848104</v>
      </c>
      <c r="F6091">
        <v>0.46293218915377898</v>
      </c>
      <c r="G6091">
        <v>0.32765034117504699</v>
      </c>
      <c r="H6091">
        <v>0.241164897067772</v>
      </c>
      <c r="I6091">
        <v>0.33658087134852699</v>
      </c>
      <c r="J6091">
        <v>0.44345976125590802</v>
      </c>
      <c r="K6091">
        <v>0.27778575898505797</v>
      </c>
      <c r="L6091">
        <v>1277.5568734037099</v>
      </c>
      <c r="M6091">
        <v>25.397558330873402</v>
      </c>
      <c r="N6091">
        <v>52.390935821743199</v>
      </c>
      <c r="O6091">
        <v>49.993604092910601</v>
      </c>
      <c r="P6091">
        <v>-8.6574554392118502E-2</v>
      </c>
      <c r="Q6091">
        <v>0.31834091836498002</v>
      </c>
      <c r="R6091">
        <v>0.87122590881075201</v>
      </c>
      <c r="S6091" t="s">
        <v>12761</v>
      </c>
      <c r="T6091" t="s">
        <v>13338</v>
      </c>
      <c r="U6091" t="s">
        <v>13338</v>
      </c>
      <c r="V6091" t="s">
        <v>13338</v>
      </c>
      <c r="W6091" t="s">
        <v>19369</v>
      </c>
      <c r="X6091">
        <v>6</v>
      </c>
      <c r="Y6091" t="s">
        <v>25858</v>
      </c>
      <c r="Z6091" t="s">
        <v>32506</v>
      </c>
      <c r="AA6091">
        <v>0.55835254302122228</v>
      </c>
      <c r="AB6091" t="str">
        <f>HYPERLINK("Melting_Curves/meltCurve_Q9NYY8_FASTKD2.pdf", "Melting_Curves/meltCurve_Q9NYY8_FASTKD2.pdf")</f>
        <v>Melting_Curves/meltCurve_Q9NYY8_FASTKD2.pdf</v>
      </c>
    </row>
    <row r="6092" spans="1:28" x14ac:dyDescent="0.25">
      <c r="A6092" t="s">
        <v>6096</v>
      </c>
      <c r="B6092">
        <v>0.99193492352474899</v>
      </c>
      <c r="C6092">
        <v>0.51346141566217995</v>
      </c>
      <c r="D6092">
        <v>0.54059658673387201</v>
      </c>
      <c r="E6092">
        <v>0.338028347402342</v>
      </c>
      <c r="F6092">
        <v>0.34746083811698197</v>
      </c>
      <c r="G6092">
        <v>0.19981204382199799</v>
      </c>
      <c r="H6092">
        <v>0.133674672770043</v>
      </c>
      <c r="I6092">
        <v>0.163874303932422</v>
      </c>
      <c r="J6092">
        <v>0.18248591898302599</v>
      </c>
      <c r="K6092">
        <v>0.24324460298865899</v>
      </c>
      <c r="L6092">
        <v>614.84666927041997</v>
      </c>
      <c r="M6092">
        <v>13.901389045767999</v>
      </c>
      <c r="N6092">
        <v>45.761290544129203</v>
      </c>
      <c r="O6092">
        <v>43.344041923424903</v>
      </c>
      <c r="P6092">
        <v>-6.5270392716861594E-2</v>
      </c>
      <c r="Q6092">
        <v>0.186067520273662</v>
      </c>
      <c r="R6092">
        <v>0.88847616985300004</v>
      </c>
      <c r="S6092" t="s">
        <v>12762</v>
      </c>
      <c r="T6092" t="s">
        <v>13338</v>
      </c>
      <c r="U6092" t="s">
        <v>13338</v>
      </c>
      <c r="V6092" t="s">
        <v>13338</v>
      </c>
      <c r="W6092" t="s">
        <v>19370</v>
      </c>
      <c r="X6092">
        <v>1</v>
      </c>
      <c r="Y6092" t="s">
        <v>25859</v>
      </c>
      <c r="Z6092" t="s">
        <v>32507</v>
      </c>
      <c r="AA6092">
        <v>0.33419522817400782</v>
      </c>
      <c r="AB6092" t="str">
        <f>HYPERLINK("Melting_Curves/meltCurve_Q9NYZ3_GTSE1.pdf", "Melting_Curves/meltCurve_Q9NYZ3_GTSE1.pdf")</f>
        <v>Melting_Curves/meltCurve_Q9NYZ3_GTSE1.pdf</v>
      </c>
    </row>
    <row r="6093" spans="1:28" x14ac:dyDescent="0.25">
      <c r="A6093" t="s">
        <v>6097</v>
      </c>
      <c r="B6093">
        <v>0.99193492352474899</v>
      </c>
      <c r="C6093">
        <v>1.20437815603251</v>
      </c>
      <c r="D6093">
        <v>0.72242937326978995</v>
      </c>
      <c r="E6093">
        <v>0.87251590462304596</v>
      </c>
      <c r="F6093">
        <v>0.30406184302842898</v>
      </c>
      <c r="G6093">
        <v>0.16819764362350401</v>
      </c>
      <c r="H6093">
        <v>0.10232041469283</v>
      </c>
      <c r="I6093">
        <v>0.14620571847776401</v>
      </c>
      <c r="J6093">
        <v>0.13271701891932999</v>
      </c>
      <c r="K6093">
        <v>0.17142209654103099</v>
      </c>
      <c r="L6093">
        <v>2037.6444909425099</v>
      </c>
      <c r="M6093">
        <v>39.609642092922797</v>
      </c>
      <c r="N6093">
        <v>51.865010437255002</v>
      </c>
      <c r="O6093">
        <v>51.312542607376102</v>
      </c>
      <c r="P6093">
        <v>-0.16640683300619299</v>
      </c>
      <c r="Q6093">
        <v>0.13771103574698301</v>
      </c>
      <c r="R6093">
        <v>0.92561271196816297</v>
      </c>
      <c r="S6093" t="s">
        <v>12763</v>
      </c>
      <c r="T6093" t="s">
        <v>13338</v>
      </c>
      <c r="U6093" t="s">
        <v>13338</v>
      </c>
      <c r="V6093" t="s">
        <v>13338</v>
      </c>
      <c r="W6093" t="s">
        <v>19371</v>
      </c>
      <c r="X6093">
        <v>4</v>
      </c>
      <c r="Y6093" t="s">
        <v>25860</v>
      </c>
      <c r="Z6093" t="s">
        <v>32508</v>
      </c>
      <c r="AA6093">
        <v>0.4697475167253839</v>
      </c>
      <c r="AB6093" t="str">
        <f>HYPERLINK("Melting_Curves/meltCurve_Q9NZ01_TECR.pdf", "Melting_Curves/meltCurve_Q9NZ01_TECR.pdf")</f>
        <v>Melting_Curves/meltCurve_Q9NZ01_TECR.pdf</v>
      </c>
    </row>
    <row r="6094" spans="1:28" x14ac:dyDescent="0.25">
      <c r="A6094" t="s">
        <v>6098</v>
      </c>
      <c r="B6094">
        <v>0.99193492352474899</v>
      </c>
      <c r="C6094">
        <v>1.0790311666222601</v>
      </c>
      <c r="D6094">
        <v>1.0157885863615499</v>
      </c>
      <c r="E6094">
        <v>0.86766941250422303</v>
      </c>
      <c r="F6094">
        <v>0.359120796570501</v>
      </c>
      <c r="G6094">
        <v>0.176098095494166</v>
      </c>
      <c r="H6094">
        <v>0.107855399592135</v>
      </c>
      <c r="I6094">
        <v>0.11532092616362601</v>
      </c>
      <c r="J6094">
        <v>0.149036757985714</v>
      </c>
      <c r="K6094">
        <v>0.157976070874152</v>
      </c>
      <c r="L6094">
        <v>2028.27112368696</v>
      </c>
      <c r="M6094">
        <v>39.166500574597102</v>
      </c>
      <c r="N6094">
        <v>52.205376046569498</v>
      </c>
      <c r="O6094">
        <v>51.651425713642801</v>
      </c>
      <c r="P6094">
        <v>-0.16397797537556999</v>
      </c>
      <c r="Q6094">
        <v>0.13500819641246101</v>
      </c>
      <c r="R6094">
        <v>0.99448757606244398</v>
      </c>
      <c r="S6094" t="s">
        <v>12764</v>
      </c>
      <c r="T6094" t="s">
        <v>13338</v>
      </c>
      <c r="U6094" t="s">
        <v>13338</v>
      </c>
      <c r="V6094" t="s">
        <v>13338</v>
      </c>
      <c r="W6094" t="s">
        <v>19372</v>
      </c>
      <c r="X6094">
        <v>28</v>
      </c>
      <c r="Y6094" t="s">
        <v>25861</v>
      </c>
      <c r="Z6094" t="s">
        <v>32509</v>
      </c>
      <c r="AA6094">
        <v>0.47805983051454071</v>
      </c>
      <c r="AB6094" t="str">
        <f>HYPERLINK("Melting_Curves/meltCurve_Q9NZ08_ERAP1.pdf", "Melting_Curves/meltCurve_Q9NZ08_ERAP1.pdf")</f>
        <v>Melting_Curves/meltCurve_Q9NZ08_ERAP1.pdf</v>
      </c>
    </row>
    <row r="6095" spans="1:28" x14ac:dyDescent="0.25">
      <c r="A6095" t="s">
        <v>6099</v>
      </c>
      <c r="B6095">
        <v>0.99193492352474899</v>
      </c>
      <c r="C6095">
        <v>0.76042971447353103</v>
      </c>
      <c r="D6095">
        <v>0.71883091178542102</v>
      </c>
      <c r="E6095">
        <v>0.35412579005698702</v>
      </c>
      <c r="F6095">
        <v>0.24584255590142001</v>
      </c>
      <c r="G6095">
        <v>0.13466088301564799</v>
      </c>
      <c r="H6095">
        <v>9.0609965119872696E-2</v>
      </c>
      <c r="I6095">
        <v>9.0495909580214903E-2</v>
      </c>
      <c r="J6095">
        <v>0.123672863915127</v>
      </c>
      <c r="K6095">
        <v>0.12424976922911</v>
      </c>
      <c r="L6095">
        <v>743.20431497346101</v>
      </c>
      <c r="M6095">
        <v>15.705954729749299</v>
      </c>
      <c r="N6095">
        <v>47.934487641414698</v>
      </c>
      <c r="O6095">
        <v>46.572722814772597</v>
      </c>
      <c r="P6095">
        <v>-7.6626751190974701E-2</v>
      </c>
      <c r="Q6095">
        <v>9.1194678446148397E-2</v>
      </c>
      <c r="R6095">
        <v>0.98113859741982601</v>
      </c>
      <c r="S6095" t="s">
        <v>12765</v>
      </c>
      <c r="T6095" t="s">
        <v>13338</v>
      </c>
      <c r="U6095" t="s">
        <v>13338</v>
      </c>
      <c r="V6095" t="s">
        <v>13338</v>
      </c>
      <c r="W6095" t="s">
        <v>19373</v>
      </c>
      <c r="X6095">
        <v>3</v>
      </c>
      <c r="Y6095" t="s">
        <v>25862</v>
      </c>
      <c r="Z6095" t="s">
        <v>32510</v>
      </c>
      <c r="AA6095">
        <v>0.33498275122604559</v>
      </c>
      <c r="AB6095" t="str">
        <f>HYPERLINK("Melting_Curves/meltCurve_Q9NZ09_UBAP1.pdf", "Melting_Curves/meltCurve_Q9NZ09_UBAP1.pdf")</f>
        <v>Melting_Curves/meltCurve_Q9NZ09_UBAP1.pdf</v>
      </c>
    </row>
    <row r="6096" spans="1:28" x14ac:dyDescent="0.25">
      <c r="A6096" t="s">
        <v>6100</v>
      </c>
      <c r="B6096">
        <v>0.99193492352474899</v>
      </c>
      <c r="C6096">
        <v>0.86655554820332403</v>
      </c>
      <c r="D6096">
        <v>0.99184190958928797</v>
      </c>
      <c r="E6096">
        <v>0.66261082328062204</v>
      </c>
      <c r="F6096">
        <v>0.66803328842100995</v>
      </c>
      <c r="G6096">
        <v>0.49823525249776801</v>
      </c>
      <c r="H6096">
        <v>0.33505101986438002</v>
      </c>
      <c r="I6096">
        <v>0.25546319013853402</v>
      </c>
      <c r="J6096">
        <v>0.172831996450968</v>
      </c>
      <c r="K6096">
        <v>9.3699902433872106E-2</v>
      </c>
      <c r="L6096">
        <v>521.395281124451</v>
      </c>
      <c r="M6096">
        <v>9.2822527279389693</v>
      </c>
      <c r="N6096">
        <v>56.171200720595003</v>
      </c>
      <c r="O6096">
        <v>53.7488010592267</v>
      </c>
      <c r="P6096">
        <v>-4.3202126753245397E-2</v>
      </c>
      <c r="Q6096">
        <v>0</v>
      </c>
      <c r="R6096">
        <v>0.96554378200842295</v>
      </c>
      <c r="S6096" t="s">
        <v>12766</v>
      </c>
      <c r="T6096" t="s">
        <v>13338</v>
      </c>
      <c r="U6096" t="s">
        <v>13338</v>
      </c>
      <c r="V6096" t="s">
        <v>13338</v>
      </c>
      <c r="W6096" t="s">
        <v>19374</v>
      </c>
      <c r="X6096">
        <v>14</v>
      </c>
      <c r="Y6096" t="s">
        <v>25863</v>
      </c>
      <c r="Z6096" t="s">
        <v>32511</v>
      </c>
      <c r="AA6096">
        <v>0.55897431067209036</v>
      </c>
      <c r="AB6096" t="str">
        <f>HYPERLINK("Melting_Curves/meltCurve_Q9NZ32_ACTR10.pdf", "Melting_Curves/meltCurve_Q9NZ32_ACTR10.pdf")</f>
        <v>Melting_Curves/meltCurve_Q9NZ32_ACTR10.pdf</v>
      </c>
    </row>
    <row r="6097" spans="1:28" x14ac:dyDescent="0.25">
      <c r="A6097" t="s">
        <v>6101</v>
      </c>
      <c r="B6097">
        <v>0.99193492352474899</v>
      </c>
      <c r="C6097">
        <v>0.93716898680570104</v>
      </c>
      <c r="D6097">
        <v>0.84471394752163098</v>
      </c>
      <c r="E6097">
        <v>0.36324718030601999</v>
      </c>
      <c r="F6097">
        <v>0.20999443851416699</v>
      </c>
      <c r="G6097">
        <v>0.137002939654639</v>
      </c>
      <c r="H6097">
        <v>0.10775638794728799</v>
      </c>
      <c r="I6097">
        <v>0.21257989919658099</v>
      </c>
      <c r="J6097">
        <v>0.25797433523648</v>
      </c>
      <c r="K6097">
        <v>0.25008902426907598</v>
      </c>
      <c r="L6097">
        <v>1703.3282963696699</v>
      </c>
      <c r="M6097">
        <v>35.651508193183098</v>
      </c>
      <c r="N6097">
        <v>48.4353511239201</v>
      </c>
      <c r="O6097">
        <v>47.627604752874497</v>
      </c>
      <c r="P6097">
        <v>-0.15120898182919801</v>
      </c>
      <c r="Q6097">
        <v>0.19198960186191899</v>
      </c>
      <c r="R6097">
        <v>0.98070122081670097</v>
      </c>
      <c r="S6097" t="s">
        <v>12767</v>
      </c>
      <c r="T6097" t="s">
        <v>13338</v>
      </c>
      <c r="U6097" t="s">
        <v>13338</v>
      </c>
      <c r="V6097" t="s">
        <v>13338</v>
      </c>
      <c r="W6097" t="s">
        <v>19375</v>
      </c>
      <c r="X6097">
        <v>4</v>
      </c>
      <c r="Y6097" t="s">
        <v>25864</v>
      </c>
      <c r="Z6097" t="s">
        <v>32512</v>
      </c>
      <c r="AA6097">
        <v>0.40484794664816731</v>
      </c>
      <c r="AB6097" t="str">
        <f>HYPERLINK("Melting_Curves/meltCurve_Q9NZ43_USE1.pdf", "Melting_Curves/meltCurve_Q9NZ43_USE1.pdf")</f>
        <v>Melting_Curves/meltCurve_Q9NZ43_USE1.pdf</v>
      </c>
    </row>
    <row r="6098" spans="1:28" x14ac:dyDescent="0.25">
      <c r="A6098" t="s">
        <v>6102</v>
      </c>
      <c r="B6098">
        <v>0.99193492352474899</v>
      </c>
      <c r="C6098">
        <v>0.89057299640700105</v>
      </c>
      <c r="D6098">
        <v>0.903685064331744</v>
      </c>
      <c r="E6098">
        <v>0.76193662879745905</v>
      </c>
      <c r="F6098">
        <v>0.70383201700432496</v>
      </c>
      <c r="G6098">
        <v>0.54803118719021304</v>
      </c>
      <c r="H6098">
        <v>0.47586453974355297</v>
      </c>
      <c r="I6098">
        <v>0.53760680662470295</v>
      </c>
      <c r="J6098">
        <v>0.52208679713279205</v>
      </c>
      <c r="K6098">
        <v>0.81826295499693003</v>
      </c>
      <c r="L6098">
        <v>849.09555159502304</v>
      </c>
      <c r="M6098">
        <v>17.488231285593901</v>
      </c>
      <c r="O6098">
        <v>47.930893984456802</v>
      </c>
      <c r="P6098">
        <v>-3.8299790453240501E-2</v>
      </c>
      <c r="Q6098">
        <v>0.58014240433888198</v>
      </c>
      <c r="R6098">
        <v>0.71821794789117299</v>
      </c>
      <c r="S6098" t="s">
        <v>12768</v>
      </c>
      <c r="T6098" t="s">
        <v>13338</v>
      </c>
      <c r="U6098" t="s">
        <v>13338</v>
      </c>
      <c r="V6098" t="s">
        <v>13338</v>
      </c>
      <c r="W6098" t="s">
        <v>19376</v>
      </c>
      <c r="X6098">
        <v>9</v>
      </c>
      <c r="Y6098" t="s">
        <v>25865</v>
      </c>
      <c r="Z6098" t="s">
        <v>32513</v>
      </c>
      <c r="AA6098">
        <v>0.70761873088701155</v>
      </c>
      <c r="AB6098" t="str">
        <f>HYPERLINK("Melting_Curves/meltCurve_Q9NZ45_CISD1.pdf", "Melting_Curves/meltCurve_Q9NZ45_CISD1.pdf")</f>
        <v>Melting_Curves/meltCurve_Q9NZ45_CISD1.pdf</v>
      </c>
    </row>
    <row r="6099" spans="1:28" x14ac:dyDescent="0.25">
      <c r="A6099" t="s">
        <v>6103</v>
      </c>
      <c r="B6099">
        <v>0.99193492352474899</v>
      </c>
      <c r="C6099">
        <v>0.82951547887492505</v>
      </c>
      <c r="D6099">
        <v>0.71040766136215405</v>
      </c>
      <c r="E6099">
        <v>0.35902007554975601</v>
      </c>
      <c r="F6099">
        <v>0.212152707584669</v>
      </c>
      <c r="G6099">
        <v>0.124420833496682</v>
      </c>
      <c r="H6099">
        <v>6.8336874197973504E-2</v>
      </c>
      <c r="I6099">
        <v>8.4561061645813798E-2</v>
      </c>
      <c r="J6099">
        <v>7.8978587571322395E-2</v>
      </c>
      <c r="K6099">
        <v>8.7442599727463197E-2</v>
      </c>
      <c r="L6099">
        <v>820.63165546621303</v>
      </c>
      <c r="M6099">
        <v>17.231613499238399</v>
      </c>
      <c r="N6099">
        <v>48.043793524484599</v>
      </c>
      <c r="O6099">
        <v>46.9961091693649</v>
      </c>
      <c r="P6099">
        <v>-8.5258210272351906E-2</v>
      </c>
      <c r="Q6099">
        <v>6.9949233742211195E-2</v>
      </c>
      <c r="R6099">
        <v>0.99479441958880299</v>
      </c>
      <c r="S6099" t="s">
        <v>12769</v>
      </c>
      <c r="T6099" t="s">
        <v>13338</v>
      </c>
      <c r="U6099" t="s">
        <v>13338</v>
      </c>
      <c r="V6099" t="s">
        <v>13338</v>
      </c>
      <c r="W6099" t="s">
        <v>19377</v>
      </c>
      <c r="X6099">
        <v>6</v>
      </c>
      <c r="Y6099" t="s">
        <v>25866</v>
      </c>
      <c r="Z6099" t="s">
        <v>32514</v>
      </c>
      <c r="AA6099">
        <v>0.32461743471948812</v>
      </c>
      <c r="AB6099" t="str">
        <f>HYPERLINK("Melting_Curves/meltCurve_Q9NZ52_GGA3.pdf", "Melting_Curves/meltCurve_Q9NZ52_GGA3.pdf")</f>
        <v>Melting_Curves/meltCurve_Q9NZ52_GGA3.pdf</v>
      </c>
    </row>
    <row r="6100" spans="1:28" x14ac:dyDescent="0.25">
      <c r="A6100" t="s">
        <v>6104</v>
      </c>
      <c r="B6100">
        <v>0.99193492352474899</v>
      </c>
      <c r="C6100">
        <v>0.82883815998480104</v>
      </c>
      <c r="D6100">
        <v>0.92937037688184299</v>
      </c>
      <c r="E6100">
        <v>0.73767847884947102</v>
      </c>
      <c r="F6100">
        <v>0.67079689673786802</v>
      </c>
      <c r="G6100">
        <v>0.46434578977798302</v>
      </c>
      <c r="H6100">
        <v>0.40212196189559501</v>
      </c>
      <c r="I6100">
        <v>0.47463447210262999</v>
      </c>
      <c r="J6100">
        <v>0.65366776200955801</v>
      </c>
      <c r="K6100">
        <v>0.81670497970315004</v>
      </c>
      <c r="L6100">
        <v>958.00600555302299</v>
      </c>
      <c r="M6100">
        <v>19.870550503471399</v>
      </c>
      <c r="O6100">
        <v>47.732018193279202</v>
      </c>
      <c r="P6100">
        <v>-4.5023148214490001E-2</v>
      </c>
      <c r="Q6100">
        <v>0.56740525574300205</v>
      </c>
      <c r="R6100">
        <v>0.60138674937208803</v>
      </c>
      <c r="S6100" t="s">
        <v>12770</v>
      </c>
      <c r="T6100" t="s">
        <v>13338</v>
      </c>
      <c r="U6100" t="s">
        <v>13338</v>
      </c>
      <c r="V6100" t="s">
        <v>13338</v>
      </c>
      <c r="W6100" t="s">
        <v>19378</v>
      </c>
      <c r="X6100">
        <v>23</v>
      </c>
      <c r="Y6100" t="s">
        <v>25867</v>
      </c>
      <c r="Z6100" t="s">
        <v>32515</v>
      </c>
      <c r="AA6100">
        <v>0.69203286103955997</v>
      </c>
      <c r="AB6100" t="str">
        <f>HYPERLINK("Melting_Curves/meltCurve_Q9NZ63_C9orf78.pdf", "Melting_Curves/meltCurve_Q9NZ63_C9orf78.pdf")</f>
        <v>Melting_Curves/meltCurve_Q9NZ63_C9orf78.pdf</v>
      </c>
    </row>
    <row r="6101" spans="1:28" x14ac:dyDescent="0.25">
      <c r="A6101" t="s">
        <v>6105</v>
      </c>
      <c r="B6101">
        <v>0.99193492352474899</v>
      </c>
      <c r="C6101">
        <v>0.54577396682350898</v>
      </c>
      <c r="D6101">
        <v>0.81020580618457205</v>
      </c>
      <c r="E6101">
        <v>0.53534931194063995</v>
      </c>
      <c r="F6101">
        <v>0.498020763986191</v>
      </c>
      <c r="G6101">
        <v>0.16513893094836499</v>
      </c>
      <c r="H6101">
        <v>8.5994399674823294E-2</v>
      </c>
      <c r="I6101">
        <v>0.104225856618336</v>
      </c>
      <c r="J6101">
        <v>0.13917799802397801</v>
      </c>
      <c r="K6101">
        <v>0.142233804688809</v>
      </c>
      <c r="L6101">
        <v>424.86872248023502</v>
      </c>
      <c r="M6101">
        <v>8.4905218625103291</v>
      </c>
      <c r="N6101">
        <v>50.040354352306899</v>
      </c>
      <c r="O6101">
        <v>47.495970872590597</v>
      </c>
      <c r="P6101">
        <v>-4.4731186335588001E-2</v>
      </c>
      <c r="Q6101">
        <v>0</v>
      </c>
      <c r="R6101">
        <v>0.85756652848336901</v>
      </c>
      <c r="S6101" t="s">
        <v>12771</v>
      </c>
      <c r="T6101" t="s">
        <v>13338</v>
      </c>
      <c r="U6101" t="s">
        <v>13338</v>
      </c>
      <c r="V6101" t="s">
        <v>13338</v>
      </c>
      <c r="W6101" t="s">
        <v>19379</v>
      </c>
      <c r="X6101">
        <v>19</v>
      </c>
      <c r="Y6101" t="s">
        <v>25868</v>
      </c>
      <c r="Z6101" t="s">
        <v>32516</v>
      </c>
      <c r="AA6101">
        <v>0.39014253943123972</v>
      </c>
      <c r="AB6101" t="str">
        <f>HYPERLINK("Melting_Curves/meltCurve_Q9NZB2_FAM120A.pdf", "Melting_Curves/meltCurve_Q9NZB2_FAM120A.pdf")</f>
        <v>Melting_Curves/meltCurve_Q9NZB2_FAM120A.pdf</v>
      </c>
    </row>
    <row r="6102" spans="1:28" x14ac:dyDescent="0.25">
      <c r="A6102" t="s">
        <v>6106</v>
      </c>
      <c r="B6102">
        <v>0.99193492352474899</v>
      </c>
      <c r="C6102">
        <v>0.84857950530633797</v>
      </c>
      <c r="D6102">
        <v>0.80067227077562197</v>
      </c>
      <c r="E6102">
        <v>0.555402638594506</v>
      </c>
      <c r="F6102">
        <v>0.41740815258838498</v>
      </c>
      <c r="G6102">
        <v>0.28867740776071699</v>
      </c>
      <c r="H6102">
        <v>0.156621995183514</v>
      </c>
      <c r="I6102">
        <v>0.15529697231826201</v>
      </c>
      <c r="J6102">
        <v>0.13294832964683501</v>
      </c>
      <c r="K6102">
        <v>0.24217556028960499</v>
      </c>
      <c r="L6102">
        <v>652.69246753703101</v>
      </c>
      <c r="M6102">
        <v>13.1587530404177</v>
      </c>
      <c r="N6102">
        <v>50.868601502660098</v>
      </c>
      <c r="O6102">
        <v>48.497822747969401</v>
      </c>
      <c r="P6102">
        <v>-5.8362222791337202E-2</v>
      </c>
      <c r="Q6102">
        <v>0.139747519234349</v>
      </c>
      <c r="R6102">
        <v>0.98146229713335598</v>
      </c>
      <c r="S6102" t="s">
        <v>12772</v>
      </c>
      <c r="T6102" t="s">
        <v>13338</v>
      </c>
      <c r="U6102" t="s">
        <v>13338</v>
      </c>
      <c r="V6102" t="s">
        <v>13338</v>
      </c>
      <c r="W6102" t="s">
        <v>19380</v>
      </c>
      <c r="X6102">
        <v>9</v>
      </c>
      <c r="Y6102" t="s">
        <v>25869</v>
      </c>
      <c r="Z6102" t="s">
        <v>32517</v>
      </c>
      <c r="AA6102">
        <v>0.44124127071929498</v>
      </c>
      <c r="AB6102" t="str">
        <f>HYPERLINK("Melting_Curves/meltCurve_Q9NZB8_2_MOCS1.pdf", "Melting_Curves/meltCurve_Q9NZB8_2_MOCS1.pdf")</f>
        <v>Melting_Curves/meltCurve_Q9NZB8_2_MOCS1.pdf</v>
      </c>
    </row>
    <row r="6103" spans="1:28" x14ac:dyDescent="0.25">
      <c r="A6103" t="s">
        <v>6107</v>
      </c>
      <c r="B6103">
        <v>0.99193492352474899</v>
      </c>
      <c r="C6103">
        <v>1.0081133147228101</v>
      </c>
      <c r="D6103">
        <v>0.97263346071199297</v>
      </c>
      <c r="E6103">
        <v>0.86421590116925595</v>
      </c>
      <c r="F6103">
        <v>0.73040183549510396</v>
      </c>
      <c r="G6103">
        <v>0.56272194327305303</v>
      </c>
      <c r="H6103">
        <v>0.35411228994138699</v>
      </c>
      <c r="I6103">
        <v>0.13386453625988901</v>
      </c>
      <c r="J6103">
        <v>0.13037483157576399</v>
      </c>
      <c r="K6103">
        <v>0.117487039781521</v>
      </c>
      <c r="L6103">
        <v>764.51762945115104</v>
      </c>
      <c r="M6103">
        <v>13.3213519648725</v>
      </c>
      <c r="N6103">
        <v>57.420620432901401</v>
      </c>
      <c r="O6103">
        <v>56.143373123724601</v>
      </c>
      <c r="P6103">
        <v>-5.9120736228604399E-2</v>
      </c>
      <c r="Q6103">
        <v>3.4932095036904801E-3</v>
      </c>
      <c r="R6103">
        <v>0.993070694834154</v>
      </c>
      <c r="S6103" t="s">
        <v>12773</v>
      </c>
      <c r="T6103" t="s">
        <v>13338</v>
      </c>
      <c r="U6103" t="s">
        <v>13338</v>
      </c>
      <c r="V6103" t="s">
        <v>13338</v>
      </c>
      <c r="W6103" t="s">
        <v>19381</v>
      </c>
      <c r="X6103">
        <v>7</v>
      </c>
      <c r="Y6103" t="s">
        <v>25870</v>
      </c>
      <c r="Z6103" t="s">
        <v>32518</v>
      </c>
      <c r="AA6103">
        <v>0.59652138164842894</v>
      </c>
      <c r="AB6103" t="str">
        <f>HYPERLINK("Melting_Curves/meltCurve_Q9NZC3_GDE1.pdf", "Melting_Curves/meltCurve_Q9NZC3_GDE1.pdf")</f>
        <v>Melting_Curves/meltCurve_Q9NZC3_GDE1.pdf</v>
      </c>
    </row>
    <row r="6104" spans="1:28" x14ac:dyDescent="0.25">
      <c r="A6104" t="s">
        <v>6108</v>
      </c>
      <c r="B6104">
        <v>0.99193492352474899</v>
      </c>
      <c r="C6104">
        <v>0.74731627885324503</v>
      </c>
      <c r="D6104">
        <v>0.61261267496080896</v>
      </c>
      <c r="E6104">
        <v>0.38430027370018399</v>
      </c>
      <c r="F6104">
        <v>0.30181689435206899</v>
      </c>
      <c r="G6104">
        <v>0.16485719335902599</v>
      </c>
      <c r="H6104">
        <v>0.103815838295388</v>
      </c>
      <c r="I6104">
        <v>0.109087378229623</v>
      </c>
      <c r="J6104">
        <v>0.113279220597351</v>
      </c>
      <c r="K6104">
        <v>0.136641468422949</v>
      </c>
      <c r="L6104">
        <v>626.79873545613702</v>
      </c>
      <c r="M6104">
        <v>13.3548277285301</v>
      </c>
      <c r="N6104">
        <v>47.709468377521198</v>
      </c>
      <c r="O6104">
        <v>45.919356426134897</v>
      </c>
      <c r="P6104">
        <v>-6.5626717561260997E-2</v>
      </c>
      <c r="Q6104">
        <v>9.7537846604965894E-2</v>
      </c>
      <c r="R6104">
        <v>0.98548488068947104</v>
      </c>
      <c r="S6104" t="s">
        <v>12774</v>
      </c>
      <c r="T6104" t="s">
        <v>13338</v>
      </c>
      <c r="U6104" t="s">
        <v>13338</v>
      </c>
      <c r="V6104" t="s">
        <v>13338</v>
      </c>
      <c r="W6104" t="s">
        <v>19382</v>
      </c>
      <c r="X6104">
        <v>6</v>
      </c>
      <c r="Y6104" t="s">
        <v>25871</v>
      </c>
      <c r="Z6104" t="s">
        <v>32519</v>
      </c>
      <c r="AA6104">
        <v>0.33722698374246218</v>
      </c>
      <c r="AB6104" t="str">
        <f>HYPERLINK("Melting_Curves/meltCurve_Q9NZC7_WWOX.pdf", "Melting_Curves/meltCurve_Q9NZC7_WWOX.pdf")</f>
        <v>Melting_Curves/meltCurve_Q9NZC7_WWOX.pdf</v>
      </c>
    </row>
    <row r="6105" spans="1:28" x14ac:dyDescent="0.25">
      <c r="A6105" t="s">
        <v>6109</v>
      </c>
      <c r="B6105">
        <v>0.99193492352474899</v>
      </c>
      <c r="C6105">
        <v>0.75637794413847004</v>
      </c>
      <c r="D6105">
        <v>0.81240456109999803</v>
      </c>
      <c r="E6105">
        <v>0.434834024618871</v>
      </c>
      <c r="F6105">
        <v>0.215447451388113</v>
      </c>
      <c r="G6105">
        <v>0.10108479234883801</v>
      </c>
      <c r="H6105">
        <v>6.5781935289411106E-2</v>
      </c>
      <c r="I6105">
        <v>6.3642749320459699E-2</v>
      </c>
      <c r="J6105">
        <v>5.6078204651108403E-2</v>
      </c>
      <c r="K6105">
        <v>5.50190144602054E-2</v>
      </c>
      <c r="L6105">
        <v>758.26316647204897</v>
      </c>
      <c r="M6105">
        <v>15.5929871367729</v>
      </c>
      <c r="N6105">
        <v>48.836877865346402</v>
      </c>
      <c r="O6105">
        <v>47.849757533172301</v>
      </c>
      <c r="P6105">
        <v>-7.8853080058973193E-2</v>
      </c>
      <c r="Q6105">
        <v>3.2187597673388697E-2</v>
      </c>
      <c r="R6105">
        <v>0.97577071421873396</v>
      </c>
      <c r="S6105" t="s">
        <v>12775</v>
      </c>
      <c r="T6105" t="s">
        <v>13338</v>
      </c>
      <c r="U6105" t="s">
        <v>13338</v>
      </c>
      <c r="V6105" t="s">
        <v>13338</v>
      </c>
      <c r="W6105" t="s">
        <v>19383</v>
      </c>
      <c r="X6105">
        <v>6</v>
      </c>
      <c r="Y6105" t="s">
        <v>25872</v>
      </c>
      <c r="Z6105" t="s">
        <v>32520</v>
      </c>
      <c r="AA6105">
        <v>0.33302795964687121</v>
      </c>
      <c r="AB6105" t="str">
        <f>HYPERLINK("Melting_Curves/meltCurve_Q9NZD2_GLTP.pdf", "Melting_Curves/meltCurve_Q9NZD2_GLTP.pdf")</f>
        <v>Melting_Curves/meltCurve_Q9NZD2_GLTP.pdf</v>
      </c>
    </row>
    <row r="6106" spans="1:28" x14ac:dyDescent="0.25">
      <c r="A6106" t="s">
        <v>6110</v>
      </c>
      <c r="B6106">
        <v>0.99193492352474899</v>
      </c>
      <c r="C6106">
        <v>0.84101863656486198</v>
      </c>
      <c r="D6106">
        <v>0.89909298821962103</v>
      </c>
      <c r="E6106">
        <v>0.46200775266282101</v>
      </c>
      <c r="F6106">
        <v>0.18820154407143799</v>
      </c>
      <c r="G6106">
        <v>8.4273180168147305E-2</v>
      </c>
      <c r="H6106">
        <v>5.6641419418156203E-2</v>
      </c>
      <c r="I6106">
        <v>7.5170487422704504E-2</v>
      </c>
      <c r="J6106">
        <v>0.13125303134913499</v>
      </c>
      <c r="K6106">
        <v>5.7990158082788602E-2</v>
      </c>
      <c r="L6106">
        <v>1243.30647185931</v>
      </c>
      <c r="M6106">
        <v>25.352526274367101</v>
      </c>
      <c r="N6106">
        <v>49.350426698959502</v>
      </c>
      <c r="O6106">
        <v>48.738646896204003</v>
      </c>
      <c r="P6106">
        <v>-0.12048096919873399</v>
      </c>
      <c r="Q6106">
        <v>7.3542852215617793E-2</v>
      </c>
      <c r="R6106">
        <v>0.98169418401035602</v>
      </c>
      <c r="S6106" t="s">
        <v>12776</v>
      </c>
      <c r="T6106" t="s">
        <v>13338</v>
      </c>
      <c r="U6106" t="s">
        <v>13338</v>
      </c>
      <c r="V6106" t="s">
        <v>13338</v>
      </c>
      <c r="W6106" t="s">
        <v>19384</v>
      </c>
      <c r="X6106">
        <v>2</v>
      </c>
      <c r="Y6106" t="s">
        <v>25873</v>
      </c>
      <c r="Z6106" t="s">
        <v>32521</v>
      </c>
      <c r="AA6106">
        <v>0.36071650861899018</v>
      </c>
      <c r="AB6106" t="str">
        <f>HYPERLINK("Melting_Curves/meltCurve_Q9NZD8_2_SPG21.pdf", "Melting_Curves/meltCurve_Q9NZD8_2_SPG21.pdf")</f>
        <v>Melting_Curves/meltCurve_Q9NZD8_2_SPG21.pdf</v>
      </c>
    </row>
    <row r="6107" spans="1:28" x14ac:dyDescent="0.25">
      <c r="A6107" t="s">
        <v>6111</v>
      </c>
      <c r="B6107">
        <v>0.99193492352474899</v>
      </c>
      <c r="C6107">
        <v>0.95603105512215503</v>
      </c>
      <c r="D6107">
        <v>1.3889525770167599</v>
      </c>
      <c r="E6107">
        <v>0.71447364280053105</v>
      </c>
      <c r="F6107">
        <v>0.89951870409239798</v>
      </c>
      <c r="G6107">
        <v>0.38477062232819598</v>
      </c>
      <c r="H6107">
        <v>0.229228660529645</v>
      </c>
      <c r="I6107">
        <v>0.26898637265495301</v>
      </c>
      <c r="J6107">
        <v>0.29772035776176098</v>
      </c>
      <c r="K6107">
        <v>0.30087982888604797</v>
      </c>
      <c r="L6107">
        <v>2776.74596218022</v>
      </c>
      <c r="M6107">
        <v>50.537483334494297</v>
      </c>
      <c r="N6107">
        <v>55.812181954051802</v>
      </c>
      <c r="O6107">
        <v>54.858460630019401</v>
      </c>
      <c r="P6107">
        <v>-0.16763272284981201</v>
      </c>
      <c r="Q6107">
        <v>0.27213902658570799</v>
      </c>
      <c r="R6107">
        <v>0.83767460852099396</v>
      </c>
      <c r="S6107" t="s">
        <v>12777</v>
      </c>
      <c r="T6107" t="s">
        <v>13338</v>
      </c>
      <c r="U6107" t="s">
        <v>13338</v>
      </c>
      <c r="V6107" t="s">
        <v>13338</v>
      </c>
      <c r="W6107" t="s">
        <v>19385</v>
      </c>
      <c r="X6107">
        <v>1</v>
      </c>
      <c r="Y6107" t="s">
        <v>25874</v>
      </c>
      <c r="Z6107" t="s">
        <v>32522</v>
      </c>
      <c r="AA6107">
        <v>0.63644345816296921</v>
      </c>
      <c r="AB6107" t="str">
        <f>HYPERLINK("Melting_Curves/meltCurve_Q9NZG7_NINJ2.pdf", "Melting_Curves/meltCurve_Q9NZG7_NINJ2.pdf")</f>
        <v>Melting_Curves/meltCurve_Q9NZG7_NINJ2.pdf</v>
      </c>
    </row>
    <row r="6108" spans="1:28" x14ac:dyDescent="0.25">
      <c r="A6108" t="s">
        <v>6112</v>
      </c>
      <c r="B6108">
        <v>0.99193492352474899</v>
      </c>
      <c r="C6108">
        <v>0.68122654396794002</v>
      </c>
      <c r="D6108">
        <v>0.40697071067914198</v>
      </c>
      <c r="E6108">
        <v>0.25338157080979701</v>
      </c>
      <c r="F6108">
        <v>0.206947407113656</v>
      </c>
      <c r="G6108">
        <v>0.15763945481855501</v>
      </c>
      <c r="H6108">
        <v>8.6354197276264005E-2</v>
      </c>
      <c r="I6108">
        <v>4.4689253139639597E-2</v>
      </c>
      <c r="J6108">
        <v>3.5803324894510699E-2</v>
      </c>
      <c r="K6108">
        <v>0</v>
      </c>
      <c r="L6108">
        <v>710.37198203343803</v>
      </c>
      <c r="M6108">
        <v>15.741918080445799</v>
      </c>
      <c r="N6108">
        <v>45.491516181410901</v>
      </c>
      <c r="O6108">
        <v>44.4167420972949</v>
      </c>
      <c r="P6108">
        <v>-8.3348799016206399E-2</v>
      </c>
      <c r="Q6108">
        <v>5.9384604108903803E-2</v>
      </c>
      <c r="R6108">
        <v>0.96961466676711905</v>
      </c>
      <c r="S6108" t="s">
        <v>12778</v>
      </c>
      <c r="T6108" t="s">
        <v>13338</v>
      </c>
      <c r="U6108" t="s">
        <v>13338</v>
      </c>
      <c r="V6108" t="s">
        <v>13338</v>
      </c>
      <c r="W6108" t="s">
        <v>19386</v>
      </c>
      <c r="X6108">
        <v>1</v>
      </c>
      <c r="Y6108" t="s">
        <v>25875</v>
      </c>
      <c r="Z6108" t="s">
        <v>32523</v>
      </c>
      <c r="AA6108">
        <v>0.24701087687504211</v>
      </c>
      <c r="AB6108" t="str">
        <f>HYPERLINK("Melting_Curves/meltCurve_Q9NZI7_UBP1.pdf", "Melting_Curves/meltCurve_Q9NZI7_UBP1.pdf")</f>
        <v>Melting_Curves/meltCurve_Q9NZI7_UBP1.pdf</v>
      </c>
    </row>
    <row r="6109" spans="1:28" x14ac:dyDescent="0.25">
      <c r="A6109" t="s">
        <v>6113</v>
      </c>
      <c r="B6109">
        <v>0.99193492352474899</v>
      </c>
      <c r="C6109">
        <v>0.473892015226754</v>
      </c>
      <c r="D6109">
        <v>0.53659770220437197</v>
      </c>
      <c r="E6109">
        <v>0.18731971350486701</v>
      </c>
      <c r="F6109">
        <v>0.210726027150346</v>
      </c>
      <c r="G6109">
        <v>0.11221520986212299</v>
      </c>
      <c r="H6109">
        <v>7.2520219305721598E-2</v>
      </c>
      <c r="I6109">
        <v>8.1044941222363401E-2</v>
      </c>
      <c r="J6109">
        <v>9.9170082279629507E-2</v>
      </c>
      <c r="K6109">
        <v>9.0312415838275803E-2</v>
      </c>
      <c r="L6109">
        <v>669.04862935767198</v>
      </c>
      <c r="M6109">
        <v>15.096547911014</v>
      </c>
      <c r="N6109">
        <v>44.8791515042684</v>
      </c>
      <c r="O6109">
        <v>43.562175890537198</v>
      </c>
      <c r="P6109">
        <v>-7.9194319298650798E-2</v>
      </c>
      <c r="Q6109">
        <v>8.60065136119086E-2</v>
      </c>
      <c r="R6109">
        <v>0.90868221133705196</v>
      </c>
      <c r="S6109" t="s">
        <v>12779</v>
      </c>
      <c r="T6109" t="s">
        <v>13338</v>
      </c>
      <c r="U6109" t="s">
        <v>13338</v>
      </c>
      <c r="V6109" t="s">
        <v>13338</v>
      </c>
      <c r="W6109" t="s">
        <v>19387</v>
      </c>
      <c r="X6109">
        <v>7</v>
      </c>
      <c r="Y6109" t="s">
        <v>25876</v>
      </c>
      <c r="Z6109" t="s">
        <v>32524</v>
      </c>
      <c r="AA6109">
        <v>0.24894439142256181</v>
      </c>
      <c r="AB6109" t="str">
        <f>HYPERLINK("Melting_Curves/meltCurve_Q9NZI8_IGF2BP1.pdf", "Melting_Curves/meltCurve_Q9NZI8_IGF2BP1.pdf")</f>
        <v>Melting_Curves/meltCurve_Q9NZI8_IGF2BP1.pdf</v>
      </c>
    </row>
    <row r="6110" spans="1:28" x14ac:dyDescent="0.25">
      <c r="A6110" t="s">
        <v>6114</v>
      </c>
      <c r="B6110">
        <v>0.99193492352474899</v>
      </c>
      <c r="C6110">
        <v>0.87526897849391405</v>
      </c>
      <c r="D6110">
        <v>0.97799732818304297</v>
      </c>
      <c r="E6110">
        <v>0.74379386037914497</v>
      </c>
      <c r="F6110">
        <v>0.56766184412812304</v>
      </c>
      <c r="G6110">
        <v>0.29894691893356801</v>
      </c>
      <c r="H6110">
        <v>0.10549516452666299</v>
      </c>
      <c r="I6110">
        <v>7.2272674881758606E-2</v>
      </c>
      <c r="J6110">
        <v>0.117775808963864</v>
      </c>
      <c r="K6110">
        <v>7.8461031008650206E-2</v>
      </c>
      <c r="L6110">
        <v>879.28448436523195</v>
      </c>
      <c r="M6110">
        <v>16.5106510028935</v>
      </c>
      <c r="N6110">
        <v>53.562142237658897</v>
      </c>
      <c r="O6110">
        <v>52.492737398588503</v>
      </c>
      <c r="P6110">
        <v>-7.5092908041253903E-2</v>
      </c>
      <c r="Q6110">
        <v>4.5086942321338697E-2</v>
      </c>
      <c r="R6110">
        <v>0.98415544006344302</v>
      </c>
      <c r="S6110" t="s">
        <v>12780</v>
      </c>
      <c r="T6110" t="s">
        <v>13338</v>
      </c>
      <c r="U6110" t="s">
        <v>13338</v>
      </c>
      <c r="V6110" t="s">
        <v>13338</v>
      </c>
      <c r="W6110" t="s">
        <v>19388</v>
      </c>
      <c r="X6110">
        <v>4</v>
      </c>
      <c r="Y6110" t="s">
        <v>25877</v>
      </c>
      <c r="Z6110" t="s">
        <v>32525</v>
      </c>
      <c r="AA6110">
        <v>0.48476123227503248</v>
      </c>
      <c r="AB6110" t="str">
        <f>HYPERLINK("Melting_Curves/meltCurve_Q9NZJ6_COQ3.pdf", "Melting_Curves/meltCurve_Q9NZJ6_COQ3.pdf")</f>
        <v>Melting_Curves/meltCurve_Q9NZJ6_COQ3.pdf</v>
      </c>
    </row>
    <row r="6111" spans="1:28" x14ac:dyDescent="0.25">
      <c r="A6111" t="s">
        <v>6115</v>
      </c>
      <c r="B6111">
        <v>0.99193492352474899</v>
      </c>
      <c r="C6111">
        <v>1.1269368562017099</v>
      </c>
      <c r="D6111">
        <v>1.02888799956473</v>
      </c>
      <c r="E6111">
        <v>0.91548708297792902</v>
      </c>
      <c r="F6111">
        <v>0.37310629306707899</v>
      </c>
      <c r="G6111">
        <v>0.13202163369661801</v>
      </c>
      <c r="H6111">
        <v>6.3903786771037502E-2</v>
      </c>
      <c r="I6111">
        <v>5.4598426321747703E-2</v>
      </c>
      <c r="J6111">
        <v>6.6496790802967304E-2</v>
      </c>
      <c r="K6111">
        <v>8.1619264483693499E-2</v>
      </c>
      <c r="L6111">
        <v>2151.0458241502602</v>
      </c>
      <c r="M6111">
        <v>41.131309392945496</v>
      </c>
      <c r="N6111">
        <v>52.493087143506102</v>
      </c>
      <c r="O6111">
        <v>52.173877888568299</v>
      </c>
      <c r="P6111">
        <v>-0.183055846478548</v>
      </c>
      <c r="Q6111">
        <v>7.1197506522296103E-2</v>
      </c>
      <c r="R6111">
        <v>0.99066962834802397</v>
      </c>
      <c r="S6111" t="s">
        <v>12781</v>
      </c>
      <c r="T6111" t="s">
        <v>13338</v>
      </c>
      <c r="U6111" t="s">
        <v>13338</v>
      </c>
      <c r="V6111" t="s">
        <v>13338</v>
      </c>
      <c r="W6111" t="s">
        <v>19389</v>
      </c>
      <c r="X6111">
        <v>4</v>
      </c>
      <c r="Y6111" t="s">
        <v>25878</v>
      </c>
      <c r="Z6111" t="s">
        <v>32526</v>
      </c>
      <c r="AA6111">
        <v>0.45508750253416652</v>
      </c>
      <c r="AB6111" t="str">
        <f>HYPERLINK("Melting_Curves/meltCurve_Q9NZJ7_2_MTCH1.pdf", "Melting_Curves/meltCurve_Q9NZJ7_2_MTCH1.pdf")</f>
        <v>Melting_Curves/meltCurve_Q9NZJ7_2_MTCH1.pdf</v>
      </c>
    </row>
    <row r="6112" spans="1:28" x14ac:dyDescent="0.25">
      <c r="A6112" t="s">
        <v>6116</v>
      </c>
      <c r="B6112">
        <v>0.99193492352474899</v>
      </c>
      <c r="C6112">
        <v>0.89340647520780603</v>
      </c>
      <c r="D6112">
        <v>0.77803907446178899</v>
      </c>
      <c r="E6112">
        <v>0.59281645446968301</v>
      </c>
      <c r="F6112">
        <v>0.27903125643606302</v>
      </c>
      <c r="G6112">
        <v>9.2770707059634597E-2</v>
      </c>
      <c r="H6112">
        <v>7.2646314395697603E-2</v>
      </c>
      <c r="I6112">
        <v>7.1602524344326304E-2</v>
      </c>
      <c r="J6112">
        <v>5.6967009748517997E-2</v>
      </c>
      <c r="K6112">
        <v>5.0125936050605599E-2</v>
      </c>
      <c r="L6112">
        <v>813.62584127306604</v>
      </c>
      <c r="M6112">
        <v>16.307904044588501</v>
      </c>
      <c r="N6112">
        <v>50.076018754737298</v>
      </c>
      <c r="O6112">
        <v>49.159397281977597</v>
      </c>
      <c r="P6112">
        <v>-8.0521319431826902E-2</v>
      </c>
      <c r="Q6112">
        <v>2.9160102527835199E-2</v>
      </c>
      <c r="R6112">
        <v>0.993070453630853</v>
      </c>
      <c r="S6112" t="s">
        <v>12782</v>
      </c>
      <c r="T6112" t="s">
        <v>13338</v>
      </c>
      <c r="U6112" t="s">
        <v>13338</v>
      </c>
      <c r="V6112" t="s">
        <v>13338</v>
      </c>
      <c r="W6112" t="s">
        <v>19390</v>
      </c>
      <c r="X6112">
        <v>7</v>
      </c>
      <c r="Y6112" t="s">
        <v>25879</v>
      </c>
      <c r="Z6112" t="s">
        <v>32527</v>
      </c>
      <c r="AA6112">
        <v>0.36922226603267078</v>
      </c>
      <c r="AB6112" t="str">
        <f>HYPERLINK("Melting_Curves/meltCurve_Q9NZJ9_NUDT4.pdf", "Melting_Curves/meltCurve_Q9NZJ9_NUDT4.pdf")</f>
        <v>Melting_Curves/meltCurve_Q9NZJ9_NUDT4.pdf</v>
      </c>
    </row>
    <row r="6113" spans="1:28" x14ac:dyDescent="0.25">
      <c r="A6113" t="s">
        <v>6117</v>
      </c>
      <c r="B6113">
        <v>0.99193492352474899</v>
      </c>
      <c r="C6113">
        <v>0.68742141044796001</v>
      </c>
      <c r="D6113">
        <v>0.55674491804567805</v>
      </c>
      <c r="E6113">
        <v>0.20378914394998399</v>
      </c>
      <c r="F6113">
        <v>0.12726445161973801</v>
      </c>
      <c r="G6113">
        <v>6.8578242251702407E-2</v>
      </c>
      <c r="H6113">
        <v>4.2344650381110703E-2</v>
      </c>
      <c r="I6113">
        <v>4.5348614438455802E-2</v>
      </c>
      <c r="J6113">
        <v>4.95613818035638E-2</v>
      </c>
      <c r="K6113">
        <v>5.7318284199916997E-2</v>
      </c>
      <c r="L6113">
        <v>792.40648533419403</v>
      </c>
      <c r="M6113">
        <v>17.329324780505502</v>
      </c>
      <c r="N6113">
        <v>45.953014705143602</v>
      </c>
      <c r="O6113">
        <v>45.130453758781201</v>
      </c>
      <c r="P6113">
        <v>-9.2068450809923999E-2</v>
      </c>
      <c r="Q6113">
        <v>4.0966009920403397E-2</v>
      </c>
      <c r="R6113">
        <v>0.98441960074746804</v>
      </c>
      <c r="S6113" t="s">
        <v>12783</v>
      </c>
      <c r="T6113" t="s">
        <v>13338</v>
      </c>
      <c r="U6113" t="s">
        <v>13338</v>
      </c>
      <c r="V6113" t="s">
        <v>13338</v>
      </c>
      <c r="W6113" t="s">
        <v>19391</v>
      </c>
      <c r="X6113">
        <v>10</v>
      </c>
      <c r="Y6113" t="s">
        <v>25880</v>
      </c>
      <c r="Z6113" t="s">
        <v>32528</v>
      </c>
      <c r="AA6113">
        <v>0.2449850198481634</v>
      </c>
      <c r="AB6113" t="str">
        <f>HYPERLINK("Melting_Curves/meltCurve_Q9NZL4_HSPBP1.pdf", "Melting_Curves/meltCurve_Q9NZL4_HSPBP1.pdf")</f>
        <v>Melting_Curves/meltCurve_Q9NZL4_HSPBP1.pdf</v>
      </c>
    </row>
    <row r="6114" spans="1:28" x14ac:dyDescent="0.25">
      <c r="A6114" t="s">
        <v>6118</v>
      </c>
      <c r="B6114">
        <v>0.99193492352474899</v>
      </c>
      <c r="C6114">
        <v>1.2006381885745501</v>
      </c>
      <c r="D6114">
        <v>1.0238091595635099</v>
      </c>
      <c r="E6114">
        <v>1.0564828038252401</v>
      </c>
      <c r="F6114">
        <v>0.88949520312095498</v>
      </c>
      <c r="G6114">
        <v>0.57972170169377801</v>
      </c>
      <c r="H6114">
        <v>0.33133536862635099</v>
      </c>
      <c r="I6114">
        <v>0.14708097261138001</v>
      </c>
      <c r="J6114">
        <v>0.14980949784797501</v>
      </c>
      <c r="K6114">
        <v>0.129953014447382</v>
      </c>
      <c r="L6114">
        <v>1446.5255853240701</v>
      </c>
      <c r="M6114">
        <v>25.2617864393026</v>
      </c>
      <c r="N6114">
        <v>57.906276533597399</v>
      </c>
      <c r="O6114">
        <v>56.906191564783299</v>
      </c>
      <c r="P6114">
        <v>-9.7374157405163198E-2</v>
      </c>
      <c r="Q6114">
        <v>0.122608071190067</v>
      </c>
      <c r="R6114">
        <v>0.969726926751733</v>
      </c>
      <c r="S6114" t="s">
        <v>12784</v>
      </c>
      <c r="T6114" t="s">
        <v>13338</v>
      </c>
      <c r="U6114" t="s">
        <v>13338</v>
      </c>
      <c r="V6114" t="s">
        <v>13338</v>
      </c>
      <c r="W6114" t="s">
        <v>19392</v>
      </c>
      <c r="X6114">
        <v>18</v>
      </c>
      <c r="Y6114" t="s">
        <v>25881</v>
      </c>
      <c r="Z6114" t="s">
        <v>32529</v>
      </c>
      <c r="AA6114">
        <v>0.63516548404435713</v>
      </c>
      <c r="AB6114" t="str">
        <f>HYPERLINK("Melting_Curves/meltCurve_Q9NZL9_MAT2B.pdf", "Melting_Curves/meltCurve_Q9NZL9_MAT2B.pdf")</f>
        <v>Melting_Curves/meltCurve_Q9NZL9_MAT2B.pdf</v>
      </c>
    </row>
    <row r="6115" spans="1:28" x14ac:dyDescent="0.25">
      <c r="A6115" t="s">
        <v>6119</v>
      </c>
      <c r="B6115">
        <v>0.99193492352474899</v>
      </c>
      <c r="C6115">
        <v>1.0467500527545599</v>
      </c>
      <c r="D6115">
        <v>0.98102101479569404</v>
      </c>
      <c r="E6115">
        <v>0.88299893736969803</v>
      </c>
      <c r="F6115">
        <v>0.68174288883318401</v>
      </c>
      <c r="G6115">
        <v>0.45816414911902997</v>
      </c>
      <c r="H6115">
        <v>0.206729121805902</v>
      </c>
      <c r="I6115">
        <v>0.21570490279796001</v>
      </c>
      <c r="J6115">
        <v>0.28592469610309801</v>
      </c>
      <c r="K6115">
        <v>0.47443447914495002</v>
      </c>
      <c r="L6115">
        <v>1423.8000808884799</v>
      </c>
      <c r="M6115">
        <v>26.640453571662899</v>
      </c>
      <c r="N6115">
        <v>55.305514070138599</v>
      </c>
      <c r="O6115">
        <v>53.146618957569302</v>
      </c>
      <c r="P6115">
        <v>-8.8231083900684903E-2</v>
      </c>
      <c r="Q6115">
        <v>0.29593770424013899</v>
      </c>
      <c r="R6115">
        <v>0.94229140111026899</v>
      </c>
      <c r="S6115" t="s">
        <v>12785</v>
      </c>
      <c r="T6115" t="s">
        <v>13338</v>
      </c>
      <c r="U6115" t="s">
        <v>13338</v>
      </c>
      <c r="V6115" t="s">
        <v>13338</v>
      </c>
      <c r="W6115" t="s">
        <v>19393</v>
      </c>
      <c r="X6115">
        <v>17</v>
      </c>
      <c r="Y6115" t="s">
        <v>25881</v>
      </c>
      <c r="Z6115" t="s">
        <v>32530</v>
      </c>
      <c r="AA6115">
        <v>0.61724656666303879</v>
      </c>
      <c r="AB6115" t="str">
        <f>HYPERLINK("Melting_Curves/meltCurve_Q9NZL9_2_MAT2B.pdf", "Melting_Curves/meltCurve_Q9NZL9_2_MAT2B.pdf")</f>
        <v>Melting_Curves/meltCurve_Q9NZL9_2_MAT2B.pdf</v>
      </c>
    </row>
    <row r="6116" spans="1:28" x14ac:dyDescent="0.25">
      <c r="A6116" t="s">
        <v>6120</v>
      </c>
      <c r="B6116">
        <v>0.99193492352474899</v>
      </c>
      <c r="C6116">
        <v>0.70719076535428305</v>
      </c>
      <c r="D6116">
        <v>0.40650285259122998</v>
      </c>
      <c r="E6116">
        <v>0.16498168876276001</v>
      </c>
      <c r="F6116">
        <v>0.125002190734706</v>
      </c>
      <c r="G6116">
        <v>8.2576721664169794E-2</v>
      </c>
      <c r="H6116">
        <v>5.8187467552236603E-2</v>
      </c>
      <c r="I6116">
        <v>7.9583289996529097E-2</v>
      </c>
      <c r="J6116">
        <v>9.6729328691721003E-2</v>
      </c>
      <c r="K6116">
        <v>0.101666614791838</v>
      </c>
      <c r="L6116">
        <v>1023.8059505802</v>
      </c>
      <c r="M6116">
        <v>22.944326166196099</v>
      </c>
      <c r="N6116">
        <v>44.9885003412872</v>
      </c>
      <c r="O6116">
        <v>44.286508801829903</v>
      </c>
      <c r="P6116">
        <v>-0.118464961286364</v>
      </c>
      <c r="Q6116">
        <v>8.5386117371091905E-2</v>
      </c>
      <c r="R6116">
        <v>0.99392596372675301</v>
      </c>
      <c r="S6116" t="s">
        <v>12786</v>
      </c>
      <c r="T6116" t="s">
        <v>13338</v>
      </c>
      <c r="U6116" t="s">
        <v>13338</v>
      </c>
      <c r="V6116" t="s">
        <v>13338</v>
      </c>
      <c r="W6116" t="s">
        <v>19394</v>
      </c>
      <c r="X6116">
        <v>12</v>
      </c>
      <c r="Y6116" t="s">
        <v>25882</v>
      </c>
      <c r="Z6116" t="s">
        <v>32531</v>
      </c>
      <c r="AA6116">
        <v>0.23799242887216371</v>
      </c>
      <c r="AB6116" t="str">
        <f>HYPERLINK("Melting_Curves/meltCurve_Q9NZM3_2_ITSN2.pdf", "Melting_Curves/meltCurve_Q9NZM3_2_ITSN2.pdf")</f>
        <v>Melting_Curves/meltCurve_Q9NZM3_2_ITSN2.pdf</v>
      </c>
    </row>
    <row r="6117" spans="1:28" x14ac:dyDescent="0.25">
      <c r="A6117" t="s">
        <v>6121</v>
      </c>
      <c r="B6117">
        <v>0.99193492352474899</v>
      </c>
      <c r="C6117">
        <v>0.87922429353853604</v>
      </c>
      <c r="D6117">
        <v>0.59672222721690305</v>
      </c>
      <c r="E6117">
        <v>0.25316290024092297</v>
      </c>
      <c r="F6117">
        <v>0.146620970602173</v>
      </c>
      <c r="G6117">
        <v>0.101937684053658</v>
      </c>
      <c r="H6117">
        <v>6.06788218249611E-2</v>
      </c>
      <c r="I6117">
        <v>8.0010855897111904E-2</v>
      </c>
      <c r="J6117">
        <v>9.2503101755423506E-2</v>
      </c>
      <c r="K6117">
        <v>0.28347311200786302</v>
      </c>
      <c r="L6117">
        <v>1183.9092746762799</v>
      </c>
      <c r="M6117">
        <v>25.607711432895801</v>
      </c>
      <c r="N6117">
        <v>46.739781783412703</v>
      </c>
      <c r="O6117">
        <v>45.9533524178524</v>
      </c>
      <c r="P6117">
        <v>-0.12241380616188099</v>
      </c>
      <c r="Q6117">
        <v>0.121318432387933</v>
      </c>
      <c r="R6117">
        <v>0.96901295414477895</v>
      </c>
      <c r="S6117" t="s">
        <v>12787</v>
      </c>
      <c r="T6117" t="s">
        <v>13338</v>
      </c>
      <c r="U6117" t="s">
        <v>13338</v>
      </c>
      <c r="V6117" t="s">
        <v>13338</v>
      </c>
      <c r="W6117" t="s">
        <v>19395</v>
      </c>
      <c r="X6117">
        <v>6</v>
      </c>
      <c r="Y6117" t="s">
        <v>25883</v>
      </c>
      <c r="Z6117" t="s">
        <v>32532</v>
      </c>
      <c r="AA6117">
        <v>0.31146703370120737</v>
      </c>
      <c r="AB6117" t="str">
        <f>HYPERLINK("Melting_Curves/meltCurve_Q9NZQ3_3_NCKIPSD.pdf", "Melting_Curves/meltCurve_Q9NZQ3_3_NCKIPSD.pdf")</f>
        <v>Melting_Curves/meltCurve_Q9NZQ3_3_NCKIPSD.pdf</v>
      </c>
    </row>
    <row r="6118" spans="1:28" x14ac:dyDescent="0.25">
      <c r="A6118" t="s">
        <v>6122</v>
      </c>
      <c r="B6118">
        <v>0.99193492352474899</v>
      </c>
      <c r="C6118">
        <v>0.67253394173029202</v>
      </c>
      <c r="D6118">
        <v>0.36318756651643502</v>
      </c>
      <c r="E6118">
        <v>0.18910118778049601</v>
      </c>
      <c r="F6118">
        <v>9.6764898327293902E-2</v>
      </c>
      <c r="G6118">
        <v>5.6733639764090703E-2</v>
      </c>
      <c r="H6118">
        <v>4.6648619936616301E-2</v>
      </c>
      <c r="I6118">
        <v>7.8310222307884397E-2</v>
      </c>
      <c r="J6118">
        <v>8.5687217720518793E-2</v>
      </c>
      <c r="K6118">
        <v>9.5444915127162494E-2</v>
      </c>
      <c r="L6118">
        <v>1003.69056974802</v>
      </c>
      <c r="M6118">
        <v>22.626638888028602</v>
      </c>
      <c r="N6118">
        <v>44.684936246625497</v>
      </c>
      <c r="O6118">
        <v>44.016655950654297</v>
      </c>
      <c r="P6118">
        <v>-0.118732134879587</v>
      </c>
      <c r="Q6118">
        <v>7.6117511608390601E-2</v>
      </c>
      <c r="R6118">
        <v>0.99056343190941498</v>
      </c>
      <c r="S6118" t="s">
        <v>12788</v>
      </c>
      <c r="T6118" t="s">
        <v>13338</v>
      </c>
      <c r="U6118" t="s">
        <v>13338</v>
      </c>
      <c r="V6118" t="s">
        <v>13338</v>
      </c>
      <c r="W6118" t="s">
        <v>19396</v>
      </c>
      <c r="X6118">
        <v>14</v>
      </c>
      <c r="Y6118" t="s">
        <v>25884</v>
      </c>
      <c r="Z6118" t="s">
        <v>32533</v>
      </c>
      <c r="AA6118">
        <v>0.2230499418824671</v>
      </c>
      <c r="AB6118" t="str">
        <f>HYPERLINK("Melting_Curves/meltCurve_Q9NZT2_2_OGFR.pdf", "Melting_Curves/meltCurve_Q9NZT2_2_OGFR.pdf")</f>
        <v>Melting_Curves/meltCurve_Q9NZT2_2_OGFR.pdf</v>
      </c>
    </row>
    <row r="6119" spans="1:28" x14ac:dyDescent="0.25">
      <c r="A6119" t="s">
        <v>6123</v>
      </c>
      <c r="B6119">
        <v>0.99193492352474899</v>
      </c>
      <c r="C6119">
        <v>0.81267644908579595</v>
      </c>
      <c r="D6119">
        <v>0.85524077483273298</v>
      </c>
      <c r="E6119">
        <v>0.34941175821320197</v>
      </c>
      <c r="F6119">
        <v>0.17466187110535999</v>
      </c>
      <c r="G6119">
        <v>0.103313084648768</v>
      </c>
      <c r="H6119">
        <v>6.9684595174235503E-2</v>
      </c>
      <c r="I6119">
        <v>9.2964170284357203E-2</v>
      </c>
      <c r="J6119">
        <v>9.54322744140923E-2</v>
      </c>
      <c r="K6119">
        <v>9.3000853162036295E-2</v>
      </c>
      <c r="L6119">
        <v>1198.22021957283</v>
      </c>
      <c r="M6119">
        <v>24.8809384598412</v>
      </c>
      <c r="N6119">
        <v>48.519979231940702</v>
      </c>
      <c r="O6119">
        <v>47.850302681224498</v>
      </c>
      <c r="P6119">
        <v>-0.118988418766983</v>
      </c>
      <c r="Q6119">
        <v>8.4672203955060296E-2</v>
      </c>
      <c r="R6119">
        <v>0.97717330866983898</v>
      </c>
      <c r="S6119" t="s">
        <v>12789</v>
      </c>
      <c r="T6119" t="s">
        <v>13338</v>
      </c>
      <c r="U6119" t="s">
        <v>13338</v>
      </c>
      <c r="V6119" t="s">
        <v>13338</v>
      </c>
      <c r="W6119" t="s">
        <v>19397</v>
      </c>
      <c r="X6119">
        <v>14</v>
      </c>
      <c r="Y6119" t="s">
        <v>25885</v>
      </c>
      <c r="Z6119" t="s">
        <v>32534</v>
      </c>
      <c r="AA6119">
        <v>0.34175566224815113</v>
      </c>
      <c r="AB6119" t="str">
        <f>HYPERLINK("Melting_Curves/meltCurve_Q9NZW5_MPP6.pdf", "Melting_Curves/meltCurve_Q9NZW5_MPP6.pdf")</f>
        <v>Melting_Curves/meltCurve_Q9NZW5_MPP6.pdf</v>
      </c>
    </row>
    <row r="6120" spans="1:28" x14ac:dyDescent="0.25">
      <c r="A6120" t="s">
        <v>6124</v>
      </c>
      <c r="B6120">
        <v>0.99193492352474899</v>
      </c>
      <c r="C6120">
        <v>1.29005757515648</v>
      </c>
      <c r="D6120">
        <v>0.84612926241741504</v>
      </c>
      <c r="E6120">
        <v>1.1003374057212301</v>
      </c>
      <c r="F6120">
        <v>0.62971521838259903</v>
      </c>
      <c r="G6120">
        <v>0.641040407726302</v>
      </c>
      <c r="H6120">
        <v>0.411248165422608</v>
      </c>
      <c r="I6120">
        <v>0.41125737274752799</v>
      </c>
      <c r="J6120">
        <v>0.37708784464870798</v>
      </c>
      <c r="K6120">
        <v>0.54783851270870099</v>
      </c>
      <c r="L6120">
        <v>8258.7491703899796</v>
      </c>
      <c r="M6120">
        <v>156.12955411640399</v>
      </c>
      <c r="N6120">
        <v>53.971676182365997</v>
      </c>
      <c r="O6120">
        <v>52.888100354253197</v>
      </c>
      <c r="P6120">
        <v>-0.38547628551537899</v>
      </c>
      <c r="Q6120">
        <v>0.47768747625528701</v>
      </c>
      <c r="R6120">
        <v>0.81515109269095998</v>
      </c>
      <c r="S6120" t="s">
        <v>12790</v>
      </c>
      <c r="T6120" t="s">
        <v>13338</v>
      </c>
      <c r="U6120" t="s">
        <v>13338</v>
      </c>
      <c r="V6120" t="s">
        <v>13338</v>
      </c>
      <c r="W6120" t="s">
        <v>19398</v>
      </c>
      <c r="X6120">
        <v>13</v>
      </c>
      <c r="Y6120" t="s">
        <v>25886</v>
      </c>
      <c r="Z6120" t="s">
        <v>32535</v>
      </c>
      <c r="AA6120">
        <v>0.70234999559413891</v>
      </c>
      <c r="AB6120" t="str">
        <f>HYPERLINK("Melting_Curves/meltCurve_Q9NZZ3_CHMP5.pdf", "Melting_Curves/meltCurve_Q9NZZ3_CHMP5.pdf")</f>
        <v>Melting_Curves/meltCurve_Q9NZZ3_CHMP5.pdf</v>
      </c>
    </row>
    <row r="6121" spans="1:28" x14ac:dyDescent="0.25">
      <c r="A6121" t="s">
        <v>6125</v>
      </c>
      <c r="B6121">
        <v>0.99193492352474899</v>
      </c>
      <c r="C6121">
        <v>0.72953172956505097</v>
      </c>
      <c r="D6121">
        <v>0.74036188286453397</v>
      </c>
      <c r="E6121">
        <v>0.46716012969993498</v>
      </c>
      <c r="F6121">
        <v>0.25937168905864899</v>
      </c>
      <c r="G6121">
        <v>0.11517375517714799</v>
      </c>
      <c r="H6121">
        <v>7.5996312012603595E-2</v>
      </c>
      <c r="I6121">
        <v>7.0167558578571598E-2</v>
      </c>
      <c r="J6121">
        <v>8.0350531244518103E-2</v>
      </c>
      <c r="K6121">
        <v>9.3941222434669999E-2</v>
      </c>
      <c r="L6121">
        <v>635.14523023576305</v>
      </c>
      <c r="M6121">
        <v>13.1227576136456</v>
      </c>
      <c r="N6121">
        <v>48.703112435271002</v>
      </c>
      <c r="O6121">
        <v>47.317742329225503</v>
      </c>
      <c r="P6121">
        <v>-6.6628286351478105E-2</v>
      </c>
      <c r="Q6121">
        <v>3.91770343495376E-2</v>
      </c>
      <c r="R6121">
        <v>0.97612699076018095</v>
      </c>
      <c r="S6121" t="s">
        <v>12791</v>
      </c>
      <c r="T6121" t="s">
        <v>13338</v>
      </c>
      <c r="U6121" t="s">
        <v>13338</v>
      </c>
      <c r="V6121" t="s">
        <v>13338</v>
      </c>
      <c r="W6121" t="s">
        <v>19399</v>
      </c>
      <c r="X6121">
        <v>7</v>
      </c>
      <c r="Y6121" t="s">
        <v>25887</v>
      </c>
      <c r="Z6121" t="s">
        <v>32536</v>
      </c>
      <c r="AA6121">
        <v>0.33946450788151711</v>
      </c>
      <c r="AB6121" t="str">
        <f>HYPERLINK("Melting_Curves/meltCurve_Q9P000_COMMD9.pdf", "Melting_Curves/meltCurve_Q9P000_COMMD9.pdf")</f>
        <v>Melting_Curves/meltCurve_Q9P000_COMMD9.pdf</v>
      </c>
    </row>
    <row r="6122" spans="1:28" x14ac:dyDescent="0.25">
      <c r="A6122" t="s">
        <v>6126</v>
      </c>
      <c r="B6122">
        <v>0.99193492352474899</v>
      </c>
      <c r="C6122">
        <v>0.9927983098823</v>
      </c>
      <c r="D6122">
        <v>0.86939084777200104</v>
      </c>
      <c r="E6122">
        <v>0.86969401013020198</v>
      </c>
      <c r="F6122">
        <v>0.61572261836822895</v>
      </c>
      <c r="G6122">
        <v>0.57297982494995703</v>
      </c>
      <c r="H6122">
        <v>0.50195054688765794</v>
      </c>
      <c r="I6122">
        <v>0.69895048112024005</v>
      </c>
      <c r="J6122">
        <v>0.66640547956976304</v>
      </c>
      <c r="K6122">
        <v>0.98804156364553897</v>
      </c>
      <c r="L6122">
        <v>1272.3635684149799</v>
      </c>
      <c r="M6122">
        <v>26.379543029632501</v>
      </c>
      <c r="O6122">
        <v>47.958343267871697</v>
      </c>
      <c r="P6122">
        <v>-4.43289791298715E-2</v>
      </c>
      <c r="Q6122">
        <v>0.67764092078111204</v>
      </c>
      <c r="R6122">
        <v>0.49581392946798802</v>
      </c>
      <c r="S6122" t="s">
        <v>12792</v>
      </c>
      <c r="T6122" t="s">
        <v>13338</v>
      </c>
      <c r="U6122" t="s">
        <v>13338</v>
      </c>
      <c r="V6122" t="s">
        <v>13338</v>
      </c>
      <c r="W6122" t="s">
        <v>19400</v>
      </c>
      <c r="X6122">
        <v>13</v>
      </c>
      <c r="Y6122" t="s">
        <v>25888</v>
      </c>
      <c r="Z6122" t="s">
        <v>32537</v>
      </c>
      <c r="AA6122">
        <v>0.7686507540338281</v>
      </c>
      <c r="AB6122" t="str">
        <f>HYPERLINK("Melting_Curves/meltCurve_Q9P013_CWC15.pdf", "Melting_Curves/meltCurve_Q9P013_CWC15.pdf")</f>
        <v>Melting_Curves/meltCurve_Q9P013_CWC15.pdf</v>
      </c>
    </row>
    <row r="6123" spans="1:28" x14ac:dyDescent="0.25">
      <c r="A6123" t="s">
        <v>6127</v>
      </c>
      <c r="B6123">
        <v>0.99193492352474899</v>
      </c>
      <c r="C6123">
        <v>0.67991404874196304</v>
      </c>
      <c r="D6123">
        <v>0.80323511325525099</v>
      </c>
      <c r="E6123">
        <v>0.55095485631456997</v>
      </c>
      <c r="F6123">
        <v>0.17751129078720401</v>
      </c>
      <c r="G6123">
        <v>0.110330253775113</v>
      </c>
      <c r="H6123">
        <v>7.89548673957646E-2</v>
      </c>
      <c r="I6123">
        <v>8.0780244742530802E-2</v>
      </c>
      <c r="J6123">
        <v>9.1562060116431004E-2</v>
      </c>
      <c r="K6123">
        <v>9.3538794571552897E-2</v>
      </c>
      <c r="L6123">
        <v>683.011833641267</v>
      </c>
      <c r="M6123">
        <v>14.0137409139344</v>
      </c>
      <c r="N6123">
        <v>49.042282936115299</v>
      </c>
      <c r="O6123">
        <v>47.778460925686304</v>
      </c>
      <c r="P6123">
        <v>-7.0289747648089193E-2</v>
      </c>
      <c r="Q6123">
        <v>4.1543066548059802E-2</v>
      </c>
      <c r="R6123">
        <v>0.93870769553048605</v>
      </c>
      <c r="S6123" t="s">
        <v>12793</v>
      </c>
      <c r="T6123" t="s">
        <v>13338</v>
      </c>
      <c r="U6123" t="s">
        <v>13338</v>
      </c>
      <c r="V6123" t="s">
        <v>13338</v>
      </c>
      <c r="W6123" t="s">
        <v>19401</v>
      </c>
      <c r="X6123">
        <v>23</v>
      </c>
      <c r="Y6123" t="s">
        <v>25889</v>
      </c>
      <c r="Z6123" t="s">
        <v>32538</v>
      </c>
      <c r="AA6123">
        <v>0.34788556551078031</v>
      </c>
      <c r="AB6123" t="str">
        <f>HYPERLINK("Melting_Curves/meltCurve_Q9P016_THYN1.pdf", "Melting_Curves/meltCurve_Q9P016_THYN1.pdf")</f>
        <v>Melting_Curves/meltCurve_Q9P016_THYN1.pdf</v>
      </c>
    </row>
    <row r="6124" spans="1:28" x14ac:dyDescent="0.25">
      <c r="A6124" t="s">
        <v>6128</v>
      </c>
      <c r="B6124">
        <v>0.99193492352474899</v>
      </c>
      <c r="C6124">
        <v>0.76754415108392304</v>
      </c>
      <c r="D6124">
        <v>0.90021426161375395</v>
      </c>
      <c r="E6124">
        <v>0.60522073774292495</v>
      </c>
      <c r="F6124">
        <v>0.60883269675076002</v>
      </c>
      <c r="G6124">
        <v>0.40695731070367402</v>
      </c>
      <c r="H6124">
        <v>0.37948696247698199</v>
      </c>
      <c r="I6124">
        <v>0.75372293024270498</v>
      </c>
      <c r="J6124">
        <v>0.97712322918017702</v>
      </c>
      <c r="K6124">
        <v>1.1591851091326599</v>
      </c>
      <c r="L6124">
        <v>1048.80202126222</v>
      </c>
      <c r="M6124">
        <v>24.625420458095299</v>
      </c>
      <c r="O6124">
        <v>42.312332800368402</v>
      </c>
      <c r="P6124">
        <v>-4.2027779436183403E-2</v>
      </c>
      <c r="Q6124">
        <v>0.71114920196067499</v>
      </c>
      <c r="R6124">
        <v>0.111107963922595</v>
      </c>
      <c r="S6124" t="s">
        <v>12794</v>
      </c>
      <c r="T6124" t="s">
        <v>13338</v>
      </c>
      <c r="U6124" t="s">
        <v>13338</v>
      </c>
      <c r="V6124" t="s">
        <v>13338</v>
      </c>
      <c r="W6124" t="s">
        <v>19402</v>
      </c>
      <c r="X6124">
        <v>2</v>
      </c>
      <c r="Y6124" t="s">
        <v>25890</v>
      </c>
      <c r="Z6124" t="s">
        <v>32539</v>
      </c>
      <c r="AA6124">
        <v>0.74088341938764846</v>
      </c>
      <c r="AB6124" t="str">
        <f>HYPERLINK("Melting_Curves/meltCurve_Q9P021_CRIPT.pdf", "Melting_Curves/meltCurve_Q9P021_CRIPT.pdf")</f>
        <v>Melting_Curves/meltCurve_Q9P021_CRIPT.pdf</v>
      </c>
    </row>
    <row r="6125" spans="1:28" x14ac:dyDescent="0.25">
      <c r="A6125" t="s">
        <v>6129</v>
      </c>
      <c r="B6125">
        <v>0.99193492352474899</v>
      </c>
      <c r="C6125">
        <v>0.76797722888909004</v>
      </c>
      <c r="D6125">
        <v>1.10788131266078</v>
      </c>
      <c r="E6125">
        <v>0.80429697355862395</v>
      </c>
      <c r="F6125">
        <v>0.58229630606811</v>
      </c>
      <c r="G6125">
        <v>0.218784598008778</v>
      </c>
      <c r="H6125">
        <v>8.2060471274593594E-2</v>
      </c>
      <c r="I6125">
        <v>8.5273612853396297E-2</v>
      </c>
      <c r="J6125">
        <v>8.3058799367073999E-2</v>
      </c>
      <c r="K6125">
        <v>7.8363193024954605E-2</v>
      </c>
      <c r="L6125">
        <v>1282.83943317598</v>
      </c>
      <c r="M6125">
        <v>24.061646394212101</v>
      </c>
      <c r="N6125">
        <v>53.617468862566497</v>
      </c>
      <c r="O6125">
        <v>52.950548040759699</v>
      </c>
      <c r="P6125">
        <v>-0.10638951918082901</v>
      </c>
      <c r="Q6125">
        <v>6.3523071487156094E-2</v>
      </c>
      <c r="R6125">
        <v>0.95123115183376905</v>
      </c>
      <c r="S6125" t="s">
        <v>12795</v>
      </c>
      <c r="T6125" t="s">
        <v>13338</v>
      </c>
      <c r="U6125" t="s">
        <v>13338</v>
      </c>
      <c r="V6125" t="s">
        <v>13338</v>
      </c>
      <c r="W6125" t="s">
        <v>19403</v>
      </c>
      <c r="X6125">
        <v>7</v>
      </c>
      <c r="Y6125" t="s">
        <v>25891</v>
      </c>
      <c r="Z6125" t="s">
        <v>32540</v>
      </c>
      <c r="AA6125">
        <v>0.48842631447197032</v>
      </c>
      <c r="AB6125" t="str">
        <f>HYPERLINK("Melting_Curves/meltCurve_Q9P032_NDUFAF4.pdf", "Melting_Curves/meltCurve_Q9P032_NDUFAF4.pdf")</f>
        <v>Melting_Curves/meltCurve_Q9P032_NDUFAF4.pdf</v>
      </c>
    </row>
    <row r="6126" spans="1:28" x14ac:dyDescent="0.25">
      <c r="A6126" t="s">
        <v>6130</v>
      </c>
      <c r="B6126">
        <v>0.99193492352474899</v>
      </c>
      <c r="C6126">
        <v>0.87497934147961498</v>
      </c>
      <c r="D6126">
        <v>0.95336738354260697</v>
      </c>
      <c r="E6126">
        <v>0.73367832824526502</v>
      </c>
      <c r="F6126">
        <v>0.51677170317649102</v>
      </c>
      <c r="G6126">
        <v>0.23692853214003401</v>
      </c>
      <c r="H6126">
        <v>8.9934513632157403E-2</v>
      </c>
      <c r="I6126">
        <v>0.14777130266526101</v>
      </c>
      <c r="J6126">
        <v>0.25801499431669001</v>
      </c>
      <c r="K6126">
        <v>0.12589220926900599</v>
      </c>
      <c r="L6126">
        <v>1048.0970675598301</v>
      </c>
      <c r="M6126">
        <v>20.198349014627901</v>
      </c>
      <c r="N6126">
        <v>52.733121090239997</v>
      </c>
      <c r="O6126">
        <v>51.389651330008398</v>
      </c>
      <c r="P6126">
        <v>-8.47075055050171E-2</v>
      </c>
      <c r="Q6126">
        <v>0.137958968315881</v>
      </c>
      <c r="R6126">
        <v>0.968389883457907</v>
      </c>
      <c r="S6126" t="s">
        <v>12796</v>
      </c>
      <c r="T6126" t="s">
        <v>13338</v>
      </c>
      <c r="U6126" t="s">
        <v>13338</v>
      </c>
      <c r="V6126" t="s">
        <v>13338</v>
      </c>
      <c r="W6126" t="s">
        <v>19404</v>
      </c>
      <c r="X6126">
        <v>6</v>
      </c>
      <c r="Y6126" t="s">
        <v>25892</v>
      </c>
      <c r="Z6126" t="s">
        <v>32541</v>
      </c>
      <c r="AA6126">
        <v>0.49134546502385462</v>
      </c>
      <c r="AB6126" t="str">
        <f>HYPERLINK("Melting_Curves/meltCurve_Q9P035_PTPLAD1.pdf", "Melting_Curves/meltCurve_Q9P035_PTPLAD1.pdf")</f>
        <v>Melting_Curves/meltCurve_Q9P035_PTPLAD1.pdf</v>
      </c>
    </row>
    <row r="6127" spans="1:28" x14ac:dyDescent="0.25">
      <c r="A6127" t="s">
        <v>6131</v>
      </c>
      <c r="B6127">
        <v>0.99193492352474899</v>
      </c>
      <c r="C6127">
        <v>0.91860850488714296</v>
      </c>
      <c r="D6127">
        <v>0.83465200855063404</v>
      </c>
      <c r="E6127">
        <v>0.54263218179383199</v>
      </c>
      <c r="F6127">
        <v>0.24598879802117499</v>
      </c>
      <c r="G6127">
        <v>0.161182241576241</v>
      </c>
      <c r="H6127">
        <v>8.3448358552594401E-2</v>
      </c>
      <c r="I6127">
        <v>0.13491677022083401</v>
      </c>
      <c r="J6127">
        <v>0.139037752740403</v>
      </c>
      <c r="K6127">
        <v>0.211295773932347</v>
      </c>
      <c r="L6127">
        <v>1092.8779350577499</v>
      </c>
      <c r="M6127">
        <v>22.265873527728999</v>
      </c>
      <c r="N6127">
        <v>49.776741068042398</v>
      </c>
      <c r="O6127">
        <v>48.692319284990901</v>
      </c>
      <c r="P6127">
        <v>-9.9073642913107704E-2</v>
      </c>
      <c r="Q6127">
        <v>0.13337818192825401</v>
      </c>
      <c r="R6127">
        <v>0.98876284294084704</v>
      </c>
      <c r="S6127" t="s">
        <v>12797</v>
      </c>
      <c r="T6127" t="s">
        <v>13338</v>
      </c>
      <c r="U6127" t="s">
        <v>13338</v>
      </c>
      <c r="V6127" t="s">
        <v>13338</v>
      </c>
      <c r="W6127" t="s">
        <v>19405</v>
      </c>
      <c r="X6127">
        <v>4</v>
      </c>
      <c r="Y6127" t="s">
        <v>25893</v>
      </c>
      <c r="Z6127" t="s">
        <v>32542</v>
      </c>
      <c r="AA6127">
        <v>0.40551177733894889</v>
      </c>
      <c r="AB6127" t="str">
        <f>HYPERLINK("Melting_Curves/meltCurve_Q9P086_MED11.pdf", "Melting_Curves/meltCurve_Q9P086_MED11.pdf")</f>
        <v>Melting_Curves/meltCurve_Q9P086_MED11.pdf</v>
      </c>
    </row>
    <row r="6128" spans="1:28" x14ac:dyDescent="0.25">
      <c r="A6128" t="s">
        <v>6132</v>
      </c>
      <c r="B6128">
        <v>0.99193492352474899</v>
      </c>
      <c r="C6128">
        <v>1.24874637081027</v>
      </c>
      <c r="D6128">
        <v>0.80388430228012298</v>
      </c>
      <c r="E6128">
        <v>0.87237153155218095</v>
      </c>
      <c r="F6128">
        <v>0.24228357826848901</v>
      </c>
      <c r="G6128">
        <v>0.19699112012664</v>
      </c>
      <c r="H6128">
        <v>0.195588546239918</v>
      </c>
      <c r="I6128">
        <v>0.3420572547913</v>
      </c>
      <c r="J6128">
        <v>0.35290940505664398</v>
      </c>
      <c r="K6128">
        <v>0.54177981675542497</v>
      </c>
      <c r="L6128">
        <v>12473.3877588245</v>
      </c>
      <c r="M6128">
        <v>250</v>
      </c>
      <c r="N6128">
        <v>50.0894689113276</v>
      </c>
      <c r="O6128">
        <v>49.890358292058998</v>
      </c>
      <c r="P6128">
        <v>-0.86197149157183195</v>
      </c>
      <c r="Q6128">
        <v>0.311934937533206</v>
      </c>
      <c r="R6128">
        <v>0.85250643011121296</v>
      </c>
      <c r="S6128" t="s">
        <v>12798</v>
      </c>
      <c r="T6128" t="s">
        <v>13338</v>
      </c>
      <c r="U6128" t="s">
        <v>13338</v>
      </c>
      <c r="V6128" t="s">
        <v>13338</v>
      </c>
      <c r="W6128" t="s">
        <v>19406</v>
      </c>
      <c r="X6128">
        <v>4</v>
      </c>
      <c r="Y6128" t="s">
        <v>25894</v>
      </c>
      <c r="Z6128" t="s">
        <v>32543</v>
      </c>
      <c r="AA6128">
        <v>0.53890874653594278</v>
      </c>
      <c r="AB6128" t="str">
        <f>HYPERLINK("Melting_Curves/meltCurve_Q9P0B6_CCDC167.pdf", "Melting_Curves/meltCurve_Q9P0B6_CCDC167.pdf")</f>
        <v>Melting_Curves/meltCurve_Q9P0B6_CCDC167.pdf</v>
      </c>
    </row>
    <row r="6129" spans="1:28" x14ac:dyDescent="0.25">
      <c r="A6129" t="s">
        <v>6133</v>
      </c>
      <c r="B6129">
        <v>0.99193492352474899</v>
      </c>
      <c r="C6129">
        <v>1.0541232662706299</v>
      </c>
      <c r="D6129">
        <v>0.71366924219778305</v>
      </c>
      <c r="E6129">
        <v>1.0000551980617201</v>
      </c>
      <c r="F6129">
        <v>0.66518993294523898</v>
      </c>
      <c r="G6129">
        <v>0.15511402978418401</v>
      </c>
      <c r="H6129">
        <v>0.102627798780251</v>
      </c>
      <c r="I6129">
        <v>9.7224246320892896E-2</v>
      </c>
      <c r="J6129">
        <v>0.104233124568469</v>
      </c>
      <c r="K6129">
        <v>0.109258150779268</v>
      </c>
      <c r="L6129">
        <v>2800.2864237323802</v>
      </c>
      <c r="M6129">
        <v>52.115331618335397</v>
      </c>
      <c r="N6129">
        <v>53.971464195546901</v>
      </c>
      <c r="O6129">
        <v>53.653547413320503</v>
      </c>
      <c r="P6129">
        <v>-0.21781277814233099</v>
      </c>
      <c r="Q6129">
        <v>0.103034031860393</v>
      </c>
      <c r="R6129">
        <v>0.94747201545953197</v>
      </c>
      <c r="S6129" t="s">
        <v>12799</v>
      </c>
      <c r="T6129" t="s">
        <v>13338</v>
      </c>
      <c r="U6129" t="s">
        <v>13338</v>
      </c>
      <c r="V6129" t="s">
        <v>13338</v>
      </c>
      <c r="W6129" t="s">
        <v>19407</v>
      </c>
      <c r="X6129">
        <v>7</v>
      </c>
      <c r="Y6129" t="s">
        <v>25895</v>
      </c>
      <c r="Z6129" t="s">
        <v>32544</v>
      </c>
      <c r="AA6129">
        <v>0.51557553773680698</v>
      </c>
      <c r="AB6129" t="str">
        <f>HYPERLINK("Melting_Curves/meltCurve_Q9P0I2_EMC3.pdf", "Melting_Curves/meltCurve_Q9P0I2_EMC3.pdf")</f>
        <v>Melting_Curves/meltCurve_Q9P0I2_EMC3.pdf</v>
      </c>
    </row>
    <row r="6130" spans="1:28" x14ac:dyDescent="0.25">
      <c r="A6130" t="s">
        <v>6134</v>
      </c>
      <c r="B6130">
        <v>0.99193492352474899</v>
      </c>
      <c r="C6130">
        <v>0.88735888094837301</v>
      </c>
      <c r="D6130">
        <v>0.92190708739326299</v>
      </c>
      <c r="E6130">
        <v>0.77168195498923797</v>
      </c>
      <c r="F6130">
        <v>0.23397904518625601</v>
      </c>
      <c r="G6130">
        <v>9.7359847799247098E-2</v>
      </c>
      <c r="H6130">
        <v>3.71388959832935E-2</v>
      </c>
      <c r="I6130">
        <v>4.1436450995779799E-2</v>
      </c>
      <c r="J6130">
        <v>5.7761194386260803E-2</v>
      </c>
      <c r="K6130">
        <v>4.2458354932742498E-2</v>
      </c>
      <c r="L6130">
        <v>1715.8036460616499</v>
      </c>
      <c r="M6130">
        <v>33.544471407855198</v>
      </c>
      <c r="N6130">
        <v>51.295544382201498</v>
      </c>
      <c r="O6130">
        <v>50.9693589738689</v>
      </c>
      <c r="P6130">
        <v>-0.15707006273240301</v>
      </c>
      <c r="Q6130">
        <v>4.5359617007259503E-2</v>
      </c>
      <c r="R6130">
        <v>0.98954088839767196</v>
      </c>
      <c r="S6130" t="s">
        <v>12800</v>
      </c>
      <c r="T6130" t="s">
        <v>13338</v>
      </c>
      <c r="U6130" t="s">
        <v>13338</v>
      </c>
      <c r="V6130" t="s">
        <v>13338</v>
      </c>
      <c r="W6130" t="s">
        <v>19408</v>
      </c>
      <c r="X6130">
        <v>4</v>
      </c>
      <c r="Y6130" t="s">
        <v>25896</v>
      </c>
      <c r="Z6130" t="s">
        <v>32545</v>
      </c>
      <c r="AA6130">
        <v>0.40498095186275751</v>
      </c>
      <c r="AB6130" t="str">
        <f>HYPERLINK("Melting_Curves/meltCurve_Q9P0J1_PDP1.pdf", "Melting_Curves/meltCurve_Q9P0J1_PDP1.pdf")</f>
        <v>Melting_Curves/meltCurve_Q9P0J1_PDP1.pdf</v>
      </c>
    </row>
    <row r="6131" spans="1:28" x14ac:dyDescent="0.25">
      <c r="A6131" t="s">
        <v>6135</v>
      </c>
      <c r="B6131">
        <v>0.99193492352474899</v>
      </c>
      <c r="C6131">
        <v>1.2634070327293101</v>
      </c>
      <c r="D6131">
        <v>0.94981929652951202</v>
      </c>
      <c r="E6131">
        <v>0.81982139635473295</v>
      </c>
      <c r="F6131">
        <v>0.26788059076464898</v>
      </c>
      <c r="G6131">
        <v>0.152576416218351</v>
      </c>
      <c r="H6131">
        <v>0.16313878601745399</v>
      </c>
      <c r="I6131">
        <v>0.18540621217202399</v>
      </c>
      <c r="J6131">
        <v>0.24221005867532</v>
      </c>
      <c r="K6131">
        <v>0.38252538525801599</v>
      </c>
      <c r="L6131">
        <v>2989.4930515333399</v>
      </c>
      <c r="M6131">
        <v>59.0843787128996</v>
      </c>
      <c r="N6131">
        <v>51.115168079846903</v>
      </c>
      <c r="O6131">
        <v>50.5391480500383</v>
      </c>
      <c r="P6131">
        <v>-0.226420909221907</v>
      </c>
      <c r="Q6131">
        <v>0.22530353099161499</v>
      </c>
      <c r="R6131">
        <v>0.93179459950779897</v>
      </c>
      <c r="S6131" t="s">
        <v>12801</v>
      </c>
      <c r="T6131" t="s">
        <v>13338</v>
      </c>
      <c r="U6131" t="s">
        <v>13338</v>
      </c>
      <c r="V6131" t="s">
        <v>13338</v>
      </c>
      <c r="W6131" t="s">
        <v>19409</v>
      </c>
      <c r="X6131">
        <v>2</v>
      </c>
      <c r="Y6131" t="s">
        <v>25897</v>
      </c>
      <c r="Z6131" t="s">
        <v>32546</v>
      </c>
      <c r="AA6131">
        <v>0.5001887005523975</v>
      </c>
      <c r="AB6131" t="str">
        <f>HYPERLINK("Melting_Curves/meltCurve_Q9P0J7_KCMF1.pdf", "Melting_Curves/meltCurve_Q9P0J7_KCMF1.pdf")</f>
        <v>Melting_Curves/meltCurve_Q9P0J7_KCMF1.pdf</v>
      </c>
    </row>
    <row r="6132" spans="1:28" x14ac:dyDescent="0.25">
      <c r="A6132" t="s">
        <v>6136</v>
      </c>
      <c r="B6132">
        <v>0.99193492352474899</v>
      </c>
      <c r="C6132">
        <v>1.00236839367375</v>
      </c>
      <c r="D6132">
        <v>0.91807007997334</v>
      </c>
      <c r="E6132">
        <v>0.86549313240110903</v>
      </c>
      <c r="F6132">
        <v>0.57388176358980503</v>
      </c>
      <c r="G6132">
        <v>0.35730139294604302</v>
      </c>
      <c r="H6132">
        <v>0.135342290419008</v>
      </c>
      <c r="I6132">
        <v>0.10408020118744001</v>
      </c>
      <c r="J6132">
        <v>0.11565586206857</v>
      </c>
      <c r="K6132">
        <v>0.124340273469771</v>
      </c>
      <c r="L6132">
        <v>1034.3450791172199</v>
      </c>
      <c r="M6132">
        <v>19.248955148896901</v>
      </c>
      <c r="N6132">
        <v>54.268994122268701</v>
      </c>
      <c r="O6132">
        <v>53.165266072368503</v>
      </c>
      <c r="P6132">
        <v>-8.2710635262236598E-2</v>
      </c>
      <c r="Q6132">
        <v>8.6253708661183606E-2</v>
      </c>
      <c r="R6132">
        <v>0.99514220901765804</v>
      </c>
      <c r="S6132" t="s">
        <v>12802</v>
      </c>
      <c r="T6132" t="s">
        <v>13338</v>
      </c>
      <c r="U6132" t="s">
        <v>13338</v>
      </c>
      <c r="V6132" t="s">
        <v>13338</v>
      </c>
      <c r="W6132" t="s">
        <v>19410</v>
      </c>
      <c r="X6132">
        <v>21</v>
      </c>
      <c r="Y6132" t="s">
        <v>25898</v>
      </c>
      <c r="Z6132" t="s">
        <v>32547</v>
      </c>
      <c r="AA6132">
        <v>0.51786388873422973</v>
      </c>
      <c r="AB6132" t="str">
        <f>HYPERLINK("Melting_Curves/meltCurve_Q9P0L0_VAPA.pdf", "Melting_Curves/meltCurve_Q9P0L0_VAPA.pdf")</f>
        <v>Melting_Curves/meltCurve_Q9P0L0_VAPA.pdf</v>
      </c>
    </row>
    <row r="6133" spans="1:28" x14ac:dyDescent="0.25">
      <c r="A6133" t="s">
        <v>6137</v>
      </c>
      <c r="B6133">
        <v>0.99193492352474899</v>
      </c>
      <c r="C6133">
        <v>0.89927483826935495</v>
      </c>
      <c r="D6133">
        <v>0.69864601110957003</v>
      </c>
      <c r="E6133">
        <v>0.34572851800170801</v>
      </c>
      <c r="F6133">
        <v>0.245668935886315</v>
      </c>
      <c r="G6133">
        <v>0.11648164446708099</v>
      </c>
      <c r="H6133">
        <v>7.1620134744279695E-2</v>
      </c>
      <c r="I6133">
        <v>8.5223412866251999E-2</v>
      </c>
      <c r="J6133">
        <v>8.5651313620720301E-2</v>
      </c>
      <c r="K6133">
        <v>9.9356566616947903E-2</v>
      </c>
      <c r="L6133">
        <v>901.67457067061696</v>
      </c>
      <c r="M6133">
        <v>18.928079520002701</v>
      </c>
      <c r="N6133">
        <v>48.099711478056498</v>
      </c>
      <c r="O6133">
        <v>47.114719485862601</v>
      </c>
      <c r="P6133">
        <v>-9.2078034663451797E-2</v>
      </c>
      <c r="Q6133">
        <v>8.3255182726018298E-2</v>
      </c>
      <c r="R6133">
        <v>0.99580507512108896</v>
      </c>
      <c r="S6133" t="s">
        <v>12803</v>
      </c>
      <c r="T6133" t="s">
        <v>13338</v>
      </c>
      <c r="U6133" t="s">
        <v>13338</v>
      </c>
      <c r="V6133" t="s">
        <v>13338</v>
      </c>
      <c r="W6133" t="s">
        <v>19411</v>
      </c>
      <c r="X6133">
        <v>3</v>
      </c>
      <c r="Y6133" t="s">
        <v>25899</v>
      </c>
      <c r="Z6133" t="s">
        <v>32548</v>
      </c>
      <c r="AA6133">
        <v>0.3314141124273598</v>
      </c>
      <c r="AB6133" t="str">
        <f>HYPERLINK("Melting_Curves/meltCurve_Q9P0N9_3_TBC1D7.pdf", "Melting_Curves/meltCurve_Q9P0N9_3_TBC1D7.pdf")</f>
        <v>Melting_Curves/meltCurve_Q9P0N9_3_TBC1D7.pdf</v>
      </c>
    </row>
    <row r="6134" spans="1:28" x14ac:dyDescent="0.25">
      <c r="A6134" t="s">
        <v>6138</v>
      </c>
      <c r="B6134">
        <v>0.99193492352474899</v>
      </c>
      <c r="C6134">
        <v>0.95987573961489003</v>
      </c>
      <c r="D6134">
        <v>0.906954221090294</v>
      </c>
      <c r="E6134">
        <v>0.79522726317588699</v>
      </c>
      <c r="F6134">
        <v>0.58801682136224998</v>
      </c>
      <c r="G6134">
        <v>0.43979391597515699</v>
      </c>
      <c r="H6134">
        <v>0.354728612971417</v>
      </c>
      <c r="I6134">
        <v>0.37472282860481898</v>
      </c>
      <c r="J6134">
        <v>0.381745113813861</v>
      </c>
      <c r="K6134">
        <v>0.53222504639535495</v>
      </c>
      <c r="L6134">
        <v>1090.4723764637399</v>
      </c>
      <c r="M6134">
        <v>21.451912179814499</v>
      </c>
      <c r="N6134">
        <v>55.0504104138085</v>
      </c>
      <c r="O6134">
        <v>50.397787385406097</v>
      </c>
      <c r="P6134">
        <v>-6.3495070119266306E-2</v>
      </c>
      <c r="Q6134">
        <v>0.40332927446987399</v>
      </c>
      <c r="R6134">
        <v>0.95683679411483802</v>
      </c>
      <c r="S6134" t="s">
        <v>12804</v>
      </c>
      <c r="T6134" t="s">
        <v>13338</v>
      </c>
      <c r="U6134" t="s">
        <v>13338</v>
      </c>
      <c r="V6134" t="s">
        <v>13338</v>
      </c>
      <c r="W6134" t="s">
        <v>19412</v>
      </c>
      <c r="X6134">
        <v>9</v>
      </c>
      <c r="Y6134" t="s">
        <v>25900</v>
      </c>
      <c r="Z6134" t="s">
        <v>32549</v>
      </c>
      <c r="AA6134">
        <v>0.62604539370582546</v>
      </c>
      <c r="AB6134" t="str">
        <f>HYPERLINK("Melting_Curves/meltCurve_Q9P0P0_RNF181.pdf", "Melting_Curves/meltCurve_Q9P0P0_RNF181.pdf")</f>
        <v>Melting_Curves/meltCurve_Q9P0P0_RNF181.pdf</v>
      </c>
    </row>
    <row r="6135" spans="1:28" x14ac:dyDescent="0.25">
      <c r="A6135" t="s">
        <v>6139</v>
      </c>
      <c r="B6135">
        <v>0.99193492352474899</v>
      </c>
      <c r="C6135">
        <v>1.08550796620607</v>
      </c>
      <c r="D6135">
        <v>0.82956220408851</v>
      </c>
      <c r="E6135">
        <v>0.86063017883205495</v>
      </c>
      <c r="F6135">
        <v>0.356909820911744</v>
      </c>
      <c r="G6135">
        <v>0.161869568525285</v>
      </c>
      <c r="H6135">
        <v>7.8824992432879201E-2</v>
      </c>
      <c r="I6135">
        <v>9.7982354908188199E-2</v>
      </c>
      <c r="J6135">
        <v>0.11249347768415099</v>
      </c>
      <c r="K6135">
        <v>0.157505238956959</v>
      </c>
      <c r="L6135">
        <v>1715.2865030073999</v>
      </c>
      <c r="M6135">
        <v>33.135370152851898</v>
      </c>
      <c r="N6135">
        <v>52.157371504728602</v>
      </c>
      <c r="O6135">
        <v>51.578583940432601</v>
      </c>
      <c r="P6135">
        <v>-0.142930322046085</v>
      </c>
      <c r="Q6135">
        <v>0.11006156242233101</v>
      </c>
      <c r="R6135">
        <v>0.97623242508142805</v>
      </c>
      <c r="S6135" t="s">
        <v>12805</v>
      </c>
      <c r="T6135" t="s">
        <v>13338</v>
      </c>
      <c r="U6135" t="s">
        <v>13338</v>
      </c>
      <c r="V6135" t="s">
        <v>13338</v>
      </c>
      <c r="W6135" t="s">
        <v>19413</v>
      </c>
      <c r="X6135">
        <v>4</v>
      </c>
      <c r="Y6135" t="s">
        <v>25901</v>
      </c>
      <c r="Z6135" t="s">
        <v>32550</v>
      </c>
      <c r="AA6135">
        <v>0.463742185345217</v>
      </c>
      <c r="AB6135" t="str">
        <f>HYPERLINK("Melting_Curves/meltCurve_Q9P0R6_GSKIP.pdf", "Melting_Curves/meltCurve_Q9P0R6_GSKIP.pdf")</f>
        <v>Melting_Curves/meltCurve_Q9P0R6_GSKIP.pdf</v>
      </c>
    </row>
    <row r="6136" spans="1:28" x14ac:dyDescent="0.25">
      <c r="A6136" t="s">
        <v>6140</v>
      </c>
      <c r="B6136">
        <v>0.99193492352474899</v>
      </c>
      <c r="C6136">
        <v>0.83908449285897202</v>
      </c>
      <c r="D6136">
        <v>0.94627617498328598</v>
      </c>
      <c r="E6136">
        <v>0.72356503620416102</v>
      </c>
      <c r="F6136">
        <v>0.61167211201167904</v>
      </c>
      <c r="G6136">
        <v>0.388330566515241</v>
      </c>
      <c r="H6136">
        <v>0.35920806718804799</v>
      </c>
      <c r="I6136">
        <v>0.47069938563098601</v>
      </c>
      <c r="J6136">
        <v>0.57718761480652703</v>
      </c>
      <c r="K6136">
        <v>0.691919207697413</v>
      </c>
      <c r="L6136">
        <v>1236.5144907091999</v>
      </c>
      <c r="M6136">
        <v>25.176018842694699</v>
      </c>
      <c r="O6136">
        <v>48.808041157304103</v>
      </c>
      <c r="P6136">
        <v>-6.4162786272092195E-2</v>
      </c>
      <c r="Q6136">
        <v>0.50244413476835104</v>
      </c>
      <c r="R6136">
        <v>0.759048578233678</v>
      </c>
      <c r="S6136" t="s">
        <v>12806</v>
      </c>
      <c r="T6136" t="s">
        <v>13338</v>
      </c>
      <c r="U6136" t="s">
        <v>13338</v>
      </c>
      <c r="V6136" t="s">
        <v>13338</v>
      </c>
      <c r="W6136" t="s">
        <v>19414</v>
      </c>
      <c r="X6136">
        <v>5</v>
      </c>
      <c r="Y6136" t="s">
        <v>25902</v>
      </c>
      <c r="Z6136" t="s">
        <v>32551</v>
      </c>
      <c r="AA6136">
        <v>0.65796376433325476</v>
      </c>
      <c r="AB6136" t="str">
        <f>HYPERLINK("Melting_Curves/meltCurve_Q9P0S2_COX16.pdf", "Melting_Curves/meltCurve_Q9P0S2_COX16.pdf")</f>
        <v>Melting_Curves/meltCurve_Q9P0S2_COX16.pdf</v>
      </c>
    </row>
    <row r="6137" spans="1:28" x14ac:dyDescent="0.25">
      <c r="A6137" t="s">
        <v>6141</v>
      </c>
      <c r="B6137">
        <v>0.99193492352474899</v>
      </c>
      <c r="C6137">
        <v>1.09133142058998</v>
      </c>
      <c r="D6137">
        <v>0.88480299447389599</v>
      </c>
      <c r="E6137">
        <v>1.1237906097386099</v>
      </c>
      <c r="F6137">
        <v>0.71738206764582402</v>
      </c>
      <c r="G6137">
        <v>0.36825894233333001</v>
      </c>
      <c r="H6137">
        <v>0.195421265287956</v>
      </c>
      <c r="I6137">
        <v>0.134073652203092</v>
      </c>
      <c r="J6137">
        <v>0.10043997453478699</v>
      </c>
      <c r="K6137">
        <v>0.166269097825991</v>
      </c>
      <c r="L6137">
        <v>1776.9833837009901</v>
      </c>
      <c r="M6137">
        <v>32.435201017001603</v>
      </c>
      <c r="N6137">
        <v>55.345824940850797</v>
      </c>
      <c r="O6137">
        <v>54.578652365135397</v>
      </c>
      <c r="P6137">
        <v>-0.12778282262478699</v>
      </c>
      <c r="Q6137">
        <v>0.13992443240678701</v>
      </c>
      <c r="R6137">
        <v>0.96937207899578504</v>
      </c>
      <c r="S6137" t="s">
        <v>12807</v>
      </c>
      <c r="T6137" t="s">
        <v>13338</v>
      </c>
      <c r="U6137" t="s">
        <v>13338</v>
      </c>
      <c r="V6137" t="s">
        <v>13338</v>
      </c>
      <c r="W6137" t="s">
        <v>19415</v>
      </c>
      <c r="X6137">
        <v>4</v>
      </c>
      <c r="Y6137" t="s">
        <v>25903</v>
      </c>
      <c r="Z6137" t="s">
        <v>32552</v>
      </c>
      <c r="AA6137">
        <v>0.56872042117824673</v>
      </c>
      <c r="AB6137" t="str">
        <f>HYPERLINK("Melting_Curves/meltCurve_Q9P1F3_ABRACL.pdf", "Melting_Curves/meltCurve_Q9P1F3_ABRACL.pdf")</f>
        <v>Melting_Curves/meltCurve_Q9P1F3_ABRACL.pdf</v>
      </c>
    </row>
    <row r="6138" spans="1:28" x14ac:dyDescent="0.25">
      <c r="A6138" t="s">
        <v>6142</v>
      </c>
      <c r="B6138">
        <v>0.99193492352474899</v>
      </c>
      <c r="C6138">
        <v>0.45690273961565703</v>
      </c>
      <c r="D6138">
        <v>0.73067574449753203</v>
      </c>
      <c r="E6138">
        <v>0.35329424830490902</v>
      </c>
      <c r="F6138">
        <v>0.40722107210740499</v>
      </c>
      <c r="G6138">
        <v>0.27583269984308301</v>
      </c>
      <c r="H6138">
        <v>0.31569268171773801</v>
      </c>
      <c r="I6138">
        <v>0.52153116216879203</v>
      </c>
      <c r="J6138">
        <v>0.50178678635018803</v>
      </c>
      <c r="K6138">
        <v>0.79659808158669398</v>
      </c>
      <c r="L6138">
        <v>10165.6632319031</v>
      </c>
      <c r="M6138">
        <v>250</v>
      </c>
      <c r="N6138">
        <v>41.234492977075703</v>
      </c>
      <c r="O6138">
        <v>40.6600507898563</v>
      </c>
      <c r="P6138">
        <v>-0.79255820596815996</v>
      </c>
      <c r="Q6138">
        <v>0.484392690096483</v>
      </c>
      <c r="R6138">
        <v>0.47556395636778698</v>
      </c>
      <c r="S6138" t="s">
        <v>12808</v>
      </c>
      <c r="T6138" t="s">
        <v>13338</v>
      </c>
      <c r="U6138" t="s">
        <v>13338</v>
      </c>
      <c r="V6138" t="s">
        <v>13338</v>
      </c>
      <c r="W6138" t="s">
        <v>19416</v>
      </c>
      <c r="X6138">
        <v>1</v>
      </c>
      <c r="Y6138" t="s">
        <v>25904</v>
      </c>
      <c r="Z6138" t="s">
        <v>32553</v>
      </c>
      <c r="AA6138">
        <v>0.49586077479668272</v>
      </c>
      <c r="AB6138" t="str">
        <f>HYPERLINK("Melting_Curves/meltCurve_Q9P1U0_ZNRD1.pdf", "Melting_Curves/meltCurve_Q9P1U0_ZNRD1.pdf")</f>
        <v>Melting_Curves/meltCurve_Q9P1U0_ZNRD1.pdf</v>
      </c>
    </row>
    <row r="6139" spans="1:28" x14ac:dyDescent="0.25">
      <c r="A6139" t="s">
        <v>6143</v>
      </c>
      <c r="B6139">
        <v>0.99193492352474899</v>
      </c>
      <c r="C6139">
        <v>0.84763148961229895</v>
      </c>
      <c r="D6139">
        <v>0.82619394003026103</v>
      </c>
      <c r="E6139">
        <v>0.62622588737373797</v>
      </c>
      <c r="F6139">
        <v>0.46810466857634098</v>
      </c>
      <c r="G6139">
        <v>0.37427709327266601</v>
      </c>
      <c r="H6139">
        <v>0.21017078928415001</v>
      </c>
      <c r="I6139">
        <v>0.18972604678169799</v>
      </c>
      <c r="J6139">
        <v>0.20201813670291599</v>
      </c>
      <c r="K6139">
        <v>0.30766190816901301</v>
      </c>
      <c r="L6139">
        <v>627.96095897992495</v>
      </c>
      <c r="M6139">
        <v>12.520430913821301</v>
      </c>
      <c r="N6139">
        <v>52.160402457278302</v>
      </c>
      <c r="O6139">
        <v>48.9270131769158</v>
      </c>
      <c r="P6139">
        <v>-5.1763901352268403E-2</v>
      </c>
      <c r="Q6139">
        <v>0.19103891203054699</v>
      </c>
      <c r="R6139">
        <v>0.97224166412519597</v>
      </c>
      <c r="S6139" t="s">
        <v>12809</v>
      </c>
      <c r="T6139" t="s">
        <v>13338</v>
      </c>
      <c r="U6139" t="s">
        <v>13338</v>
      </c>
      <c r="V6139" t="s">
        <v>13338</v>
      </c>
      <c r="W6139" t="s">
        <v>19417</v>
      </c>
      <c r="X6139">
        <v>7</v>
      </c>
      <c r="Y6139" t="s">
        <v>25905</v>
      </c>
      <c r="Z6139" t="s">
        <v>32554</v>
      </c>
      <c r="AA6139">
        <v>0.49083581020069028</v>
      </c>
      <c r="AB6139" t="str">
        <f>HYPERLINK("Melting_Curves/meltCurve_Q9P1U1_ACTR3B.pdf", "Melting_Curves/meltCurve_Q9P1U1_ACTR3B.pdf")</f>
        <v>Melting_Curves/meltCurve_Q9P1U1_ACTR3B.pdf</v>
      </c>
    </row>
    <row r="6140" spans="1:28" x14ac:dyDescent="0.25">
      <c r="A6140" t="s">
        <v>6144</v>
      </c>
      <c r="B6140">
        <v>0.99193492352474899</v>
      </c>
      <c r="C6140">
        <v>0.92996979312095995</v>
      </c>
      <c r="D6140">
        <v>0.90994079771167402</v>
      </c>
      <c r="E6140">
        <v>0.79573780934473504</v>
      </c>
      <c r="F6140">
        <v>0.59452855340246702</v>
      </c>
      <c r="G6140">
        <v>0.43734288372109698</v>
      </c>
      <c r="H6140">
        <v>0.282512255722915</v>
      </c>
      <c r="I6140">
        <v>0.388232865605877</v>
      </c>
      <c r="J6140">
        <v>0.41329138441159502</v>
      </c>
      <c r="K6140">
        <v>0.42777282804490102</v>
      </c>
      <c r="L6140">
        <v>1024.2797856914201</v>
      </c>
      <c r="M6140">
        <v>20.015959121320801</v>
      </c>
      <c r="N6140">
        <v>54.866445612774797</v>
      </c>
      <c r="O6140">
        <v>50.670580334626401</v>
      </c>
      <c r="P6140">
        <v>-6.2214321368800299E-2</v>
      </c>
      <c r="Q6140">
        <v>0.37003597317057901</v>
      </c>
      <c r="R6140">
        <v>0.96465185048190705</v>
      </c>
      <c r="S6140" t="s">
        <v>12810</v>
      </c>
      <c r="T6140" t="s">
        <v>13338</v>
      </c>
      <c r="U6140" t="s">
        <v>13338</v>
      </c>
      <c r="V6140" t="s">
        <v>13338</v>
      </c>
      <c r="W6140" t="s">
        <v>19418</v>
      </c>
      <c r="X6140">
        <v>4</v>
      </c>
      <c r="Y6140" t="s">
        <v>25906</v>
      </c>
      <c r="Z6140" t="s">
        <v>32555</v>
      </c>
      <c r="AA6140">
        <v>0.61338698277616144</v>
      </c>
      <c r="AB6140" t="str">
        <f>HYPERLINK("Melting_Curves/meltCurve_Q9P1W8_4_SIRPG.pdf", "Melting_Curves/meltCurve_Q9P1W8_4_SIRPG.pdf")</f>
        <v>Melting_Curves/meltCurve_Q9P1W8_4_SIRPG.pdf</v>
      </c>
    </row>
    <row r="6141" spans="1:28" x14ac:dyDescent="0.25">
      <c r="A6141" t="s">
        <v>6145</v>
      </c>
      <c r="B6141">
        <v>0.99193492352474899</v>
      </c>
      <c r="C6141">
        <v>0.394375230123164</v>
      </c>
      <c r="D6141">
        <v>0.48323198288865599</v>
      </c>
      <c r="E6141">
        <v>0.225935234657197</v>
      </c>
      <c r="F6141">
        <v>0.192372438092279</v>
      </c>
      <c r="G6141">
        <v>9.7167376823654894E-2</v>
      </c>
      <c r="H6141">
        <v>8.8739398588643298E-2</v>
      </c>
      <c r="I6141">
        <v>9.3967515511966096E-2</v>
      </c>
      <c r="J6141">
        <v>7.4745413133444696E-2</v>
      </c>
      <c r="K6141">
        <v>0.10545476325007599</v>
      </c>
      <c r="L6141">
        <v>680.80590018315297</v>
      </c>
      <c r="M6141">
        <v>15.606531726110401</v>
      </c>
      <c r="N6141">
        <v>44.228079549391097</v>
      </c>
      <c r="O6141">
        <v>42.925737454418801</v>
      </c>
      <c r="P6141">
        <v>-8.2164163253546696E-2</v>
      </c>
      <c r="Q6141">
        <v>9.6108675739014604E-2</v>
      </c>
      <c r="R6141">
        <v>0.88090880133988303</v>
      </c>
      <c r="S6141" t="s">
        <v>12811</v>
      </c>
      <c r="T6141" t="s">
        <v>13338</v>
      </c>
      <c r="U6141" t="s">
        <v>13338</v>
      </c>
      <c r="V6141" t="s">
        <v>13338</v>
      </c>
      <c r="W6141" t="s">
        <v>19419</v>
      </c>
      <c r="X6141">
        <v>2</v>
      </c>
      <c r="Y6141" t="s">
        <v>25907</v>
      </c>
      <c r="Z6141" t="s">
        <v>32556</v>
      </c>
      <c r="AA6141">
        <v>0.23719672676595899</v>
      </c>
      <c r="AB6141" t="str">
        <f>HYPERLINK("Melting_Curves/meltCurve_Q9P1Y5_CAMSAP3.pdf", "Melting_Curves/meltCurve_Q9P1Y5_CAMSAP3.pdf")</f>
        <v>Melting_Curves/meltCurve_Q9P1Y5_CAMSAP3.pdf</v>
      </c>
    </row>
    <row r="6142" spans="1:28" x14ac:dyDescent="0.25">
      <c r="A6142" t="s">
        <v>6146</v>
      </c>
      <c r="B6142">
        <v>0.99193492352474899</v>
      </c>
      <c r="C6142">
        <v>0.74791397499967305</v>
      </c>
      <c r="D6142">
        <v>0.29225473966854199</v>
      </c>
      <c r="E6142">
        <v>0.20895732709437201</v>
      </c>
      <c r="F6142">
        <v>0.12061709712766901</v>
      </c>
      <c r="G6142">
        <v>8.9574147175501606E-2</v>
      </c>
      <c r="H6142">
        <v>5.0559574822299898E-2</v>
      </c>
      <c r="I6142">
        <v>5.8217634047129201E-2</v>
      </c>
      <c r="J6142">
        <v>7.59944083401492E-2</v>
      </c>
      <c r="K6142">
        <v>7.7037514031382495E-2</v>
      </c>
      <c r="L6142">
        <v>1260.99188655133</v>
      </c>
      <c r="M6142">
        <v>28.456714729242002</v>
      </c>
      <c r="N6142">
        <v>44.609661170834599</v>
      </c>
      <c r="O6142">
        <v>44.095513718064403</v>
      </c>
      <c r="P6142">
        <v>-0.14741320677306299</v>
      </c>
      <c r="Q6142">
        <v>8.6301951236516294E-2</v>
      </c>
      <c r="R6142">
        <v>0.98810053033066703</v>
      </c>
      <c r="S6142" t="s">
        <v>12812</v>
      </c>
      <c r="T6142" t="s">
        <v>13338</v>
      </c>
      <c r="U6142" t="s">
        <v>13338</v>
      </c>
      <c r="V6142" t="s">
        <v>13338</v>
      </c>
      <c r="W6142" t="s">
        <v>19420</v>
      </c>
      <c r="X6142">
        <v>13</v>
      </c>
      <c r="Y6142" t="s">
        <v>25908</v>
      </c>
      <c r="Z6142" t="s">
        <v>32557</v>
      </c>
      <c r="AA6142">
        <v>0.2248802455736871</v>
      </c>
      <c r="AB6142" t="str">
        <f>HYPERLINK("Melting_Curves/meltCurve_Q9P219_CCDC88C.pdf", "Melting_Curves/meltCurve_Q9P219_CCDC88C.pdf")</f>
        <v>Melting_Curves/meltCurve_Q9P219_CCDC88C.pdf</v>
      </c>
    </row>
    <row r="6143" spans="1:28" x14ac:dyDescent="0.25">
      <c r="A6143" t="s">
        <v>6147</v>
      </c>
      <c r="B6143">
        <v>0.99193492352474899</v>
      </c>
      <c r="C6143">
        <v>0.88311513055426405</v>
      </c>
      <c r="D6143">
        <v>1.0086386701682999</v>
      </c>
      <c r="E6143">
        <v>0.71776005866825299</v>
      </c>
      <c r="F6143">
        <v>0.60889342312529005</v>
      </c>
      <c r="G6143">
        <v>0.36407129491582502</v>
      </c>
      <c r="H6143">
        <v>0.27818680583356997</v>
      </c>
      <c r="I6143">
        <v>0.211727055294605</v>
      </c>
      <c r="J6143">
        <v>0.29932582633163601</v>
      </c>
      <c r="K6143">
        <v>0.27161529946440599</v>
      </c>
      <c r="L6143">
        <v>910.77318795090196</v>
      </c>
      <c r="M6143">
        <v>17.478862844647701</v>
      </c>
      <c r="N6143">
        <v>54.124087717933797</v>
      </c>
      <c r="O6143">
        <v>51.439412072555903</v>
      </c>
      <c r="P6143">
        <v>-6.4621389310099905E-2</v>
      </c>
      <c r="Q6143">
        <v>0.239332177262605</v>
      </c>
      <c r="R6143">
        <v>0.96802843966701602</v>
      </c>
      <c r="S6143" t="s">
        <v>12813</v>
      </c>
      <c r="T6143" t="s">
        <v>13338</v>
      </c>
      <c r="U6143" t="s">
        <v>13338</v>
      </c>
      <c r="V6143" t="s">
        <v>13338</v>
      </c>
      <c r="W6143" t="s">
        <v>19421</v>
      </c>
      <c r="X6143">
        <v>1</v>
      </c>
      <c r="Y6143" t="s">
        <v>25909</v>
      </c>
      <c r="Z6143" t="s">
        <v>32558</v>
      </c>
      <c r="AA6143">
        <v>0.55959468041468385</v>
      </c>
      <c r="AB6143" t="str">
        <f>HYPERLINK("Melting_Curves/meltCurve_Q9P244_LRFN1.pdf", "Melting_Curves/meltCurve_Q9P244_LRFN1.pdf")</f>
        <v>Melting_Curves/meltCurve_Q9P244_LRFN1.pdf</v>
      </c>
    </row>
    <row r="6144" spans="1:28" x14ac:dyDescent="0.25">
      <c r="A6144" t="s">
        <v>6148</v>
      </c>
      <c r="B6144">
        <v>0.99193492352474899</v>
      </c>
      <c r="C6144">
        <v>1.0736452566246799</v>
      </c>
      <c r="D6144">
        <v>0.787028198063634</v>
      </c>
      <c r="E6144">
        <v>0.48756788803543399</v>
      </c>
      <c r="F6144">
        <v>0.206474174769019</v>
      </c>
      <c r="G6144">
        <v>0.14906009466770601</v>
      </c>
      <c r="H6144">
        <v>9.6662895568130305E-2</v>
      </c>
      <c r="I6144">
        <v>0.11035021833563401</v>
      </c>
      <c r="J6144">
        <v>0.11076790761821401</v>
      </c>
      <c r="K6144">
        <v>9.8947844121276399E-2</v>
      </c>
      <c r="L6144">
        <v>1173.2066907130099</v>
      </c>
      <c r="M6144">
        <v>24.021133882364001</v>
      </c>
      <c r="N6144">
        <v>49.320402471279102</v>
      </c>
      <c r="O6144">
        <v>48.505903540721597</v>
      </c>
      <c r="P6144">
        <v>-0.110907347333997</v>
      </c>
      <c r="Q6144">
        <v>0.104193018599936</v>
      </c>
      <c r="R6144">
        <v>0.99001195413445298</v>
      </c>
      <c r="S6144" t="s">
        <v>12814</v>
      </c>
      <c r="T6144" t="s">
        <v>13338</v>
      </c>
      <c r="U6144" t="s">
        <v>13338</v>
      </c>
      <c r="V6144" t="s">
        <v>13338</v>
      </c>
      <c r="W6144" t="s">
        <v>19422</v>
      </c>
      <c r="X6144">
        <v>10</v>
      </c>
      <c r="Y6144" t="s">
        <v>25910</v>
      </c>
      <c r="Z6144" t="s">
        <v>32559</v>
      </c>
      <c r="AA6144">
        <v>0.37678966247346363</v>
      </c>
      <c r="AB6144" t="str">
        <f>HYPERLINK("Melting_Curves/meltCurve_Q9P253_VPS18.pdf", "Melting_Curves/meltCurve_Q9P253_VPS18.pdf")</f>
        <v>Melting_Curves/meltCurve_Q9P253_VPS18.pdf</v>
      </c>
    </row>
    <row r="6145" spans="1:28" x14ac:dyDescent="0.25">
      <c r="A6145" t="s">
        <v>6149</v>
      </c>
      <c r="B6145">
        <v>0.99193492352474899</v>
      </c>
      <c r="C6145">
        <v>0.85504680436129199</v>
      </c>
      <c r="D6145">
        <v>0.92062332206893804</v>
      </c>
      <c r="E6145">
        <v>0.70725960193087001</v>
      </c>
      <c r="F6145">
        <v>0.26961998413428001</v>
      </c>
      <c r="G6145">
        <v>0.11846952457431099</v>
      </c>
      <c r="H6145">
        <v>6.9351549539544893E-2</v>
      </c>
      <c r="I6145">
        <v>7.7706258391665506E-2</v>
      </c>
      <c r="J6145">
        <v>7.8865265762853604E-2</v>
      </c>
      <c r="K6145">
        <v>7.8864203439320907E-2</v>
      </c>
      <c r="L6145">
        <v>1341.2980870571</v>
      </c>
      <c r="M6145">
        <v>26.3921936138969</v>
      </c>
      <c r="N6145">
        <v>51.108120691111097</v>
      </c>
      <c r="O6145">
        <v>50.5326725900117</v>
      </c>
      <c r="P6145">
        <v>-0.121597439063727</v>
      </c>
      <c r="Q6145">
        <v>6.8727853407555398E-2</v>
      </c>
      <c r="R6145">
        <v>0.98535088490337197</v>
      </c>
      <c r="S6145" t="s">
        <v>12815</v>
      </c>
      <c r="T6145" t="s">
        <v>13338</v>
      </c>
      <c r="U6145" t="s">
        <v>13338</v>
      </c>
      <c r="V6145" t="s">
        <v>13338</v>
      </c>
      <c r="W6145" t="s">
        <v>19423</v>
      </c>
      <c r="X6145">
        <v>32</v>
      </c>
      <c r="Y6145" t="s">
        <v>25911</v>
      </c>
      <c r="Z6145" t="s">
        <v>32560</v>
      </c>
      <c r="AA6145">
        <v>0.41220346153707599</v>
      </c>
      <c r="AB6145" t="str">
        <f>HYPERLINK("Melting_Curves/meltCurve_Q9P258_RCC2.pdf", "Melting_Curves/meltCurve_Q9P258_RCC2.pdf")</f>
        <v>Melting_Curves/meltCurve_Q9P258_RCC2.pdf</v>
      </c>
    </row>
    <row r="6146" spans="1:28" x14ac:dyDescent="0.25">
      <c r="A6146" t="s">
        <v>6150</v>
      </c>
      <c r="B6146">
        <v>0.99193492352474899</v>
      </c>
      <c r="C6146">
        <v>1.0417460169453101</v>
      </c>
      <c r="D6146">
        <v>0.82870715235119796</v>
      </c>
      <c r="E6146">
        <v>0.383716684916239</v>
      </c>
      <c r="F6146">
        <v>0.24370945090002599</v>
      </c>
      <c r="G6146">
        <v>0.184599108456144</v>
      </c>
      <c r="H6146">
        <v>8.1468615731608698E-2</v>
      </c>
      <c r="I6146">
        <v>0.132713637504286</v>
      </c>
      <c r="J6146">
        <v>0.102321328523482</v>
      </c>
      <c r="K6146">
        <v>0.232293402540865</v>
      </c>
      <c r="L6146">
        <v>1456.80465747685</v>
      </c>
      <c r="M6146">
        <v>30.258157804272301</v>
      </c>
      <c r="N6146">
        <v>48.726581322915798</v>
      </c>
      <c r="O6146">
        <v>47.937026098510799</v>
      </c>
      <c r="P6146">
        <v>-0.13391456129049401</v>
      </c>
      <c r="Q6146">
        <v>0.151379309638666</v>
      </c>
      <c r="R6146">
        <v>0.98354024066247503</v>
      </c>
      <c r="S6146" t="s">
        <v>12816</v>
      </c>
      <c r="T6146" t="s">
        <v>13338</v>
      </c>
      <c r="U6146" t="s">
        <v>13338</v>
      </c>
      <c r="V6146" t="s">
        <v>13338</v>
      </c>
      <c r="W6146" t="s">
        <v>19424</v>
      </c>
      <c r="X6146">
        <v>4</v>
      </c>
      <c r="Y6146" t="s">
        <v>25912</v>
      </c>
      <c r="Z6146" t="s">
        <v>32561</v>
      </c>
      <c r="AA6146">
        <v>0.38682787218560333</v>
      </c>
      <c r="AB6146" t="str">
        <f>HYPERLINK("Melting_Curves/meltCurve_Q9P260_KIAA1468.pdf", "Melting_Curves/meltCurve_Q9P260_KIAA1468.pdf")</f>
        <v>Melting_Curves/meltCurve_Q9P260_KIAA1468.pdf</v>
      </c>
    </row>
    <row r="6147" spans="1:28" x14ac:dyDescent="0.25">
      <c r="A6147" t="s">
        <v>6151</v>
      </c>
      <c r="B6147">
        <v>0.99193492352474899</v>
      </c>
      <c r="C6147">
        <v>1.0999954772058</v>
      </c>
      <c r="D6147">
        <v>0.97399051950700799</v>
      </c>
      <c r="E6147">
        <v>0.83760478662478699</v>
      </c>
      <c r="F6147">
        <v>0.64058251507683395</v>
      </c>
      <c r="G6147">
        <v>0.20495154969608401</v>
      </c>
      <c r="H6147">
        <v>0.105324875582877</v>
      </c>
      <c r="I6147">
        <v>0.124150146626652</v>
      </c>
      <c r="J6147">
        <v>0.139916294115739</v>
      </c>
      <c r="K6147">
        <v>0.16210129481070601</v>
      </c>
      <c r="L6147">
        <v>1550.1739225972899</v>
      </c>
      <c r="M6147">
        <v>29.021581808713801</v>
      </c>
      <c r="N6147">
        <v>53.9191964789567</v>
      </c>
      <c r="O6147">
        <v>53.162831539160699</v>
      </c>
      <c r="P6147">
        <v>-0.12024444271746899</v>
      </c>
      <c r="Q6147">
        <v>0.118933178678505</v>
      </c>
      <c r="R6147">
        <v>0.98396393233012802</v>
      </c>
      <c r="S6147" t="s">
        <v>12817</v>
      </c>
      <c r="T6147" t="s">
        <v>13338</v>
      </c>
      <c r="U6147" t="s">
        <v>13338</v>
      </c>
      <c r="V6147" t="s">
        <v>13338</v>
      </c>
      <c r="W6147" t="s">
        <v>19425</v>
      </c>
      <c r="X6147">
        <v>30</v>
      </c>
      <c r="Y6147" t="s">
        <v>25913</v>
      </c>
      <c r="Z6147" t="s">
        <v>32562</v>
      </c>
      <c r="AA6147">
        <v>0.51903074272818261</v>
      </c>
      <c r="AB6147" t="str">
        <f>HYPERLINK("Melting_Curves/meltCurve_Q9P265_DIP2B.pdf", "Melting_Curves/meltCurve_Q9P265_DIP2B.pdf")</f>
        <v>Melting_Curves/meltCurve_Q9P265_DIP2B.pdf</v>
      </c>
    </row>
    <row r="6148" spans="1:28" x14ac:dyDescent="0.25">
      <c r="A6148" t="s">
        <v>6152</v>
      </c>
      <c r="B6148">
        <v>0.99193492352474899</v>
      </c>
      <c r="C6148">
        <v>0.68928051348116004</v>
      </c>
      <c r="D6148">
        <v>0.84763074620067402</v>
      </c>
      <c r="E6148">
        <v>0.655172014798303</v>
      </c>
      <c r="F6148">
        <v>0.59494377883442096</v>
      </c>
      <c r="G6148">
        <v>0.35835565788421497</v>
      </c>
      <c r="H6148">
        <v>0.34341166686559499</v>
      </c>
      <c r="I6148">
        <v>0.46950450043325098</v>
      </c>
      <c r="J6148">
        <v>0.543549857764414</v>
      </c>
      <c r="K6148">
        <v>0.88395896466611001</v>
      </c>
      <c r="L6148">
        <v>664.77571669908195</v>
      </c>
      <c r="M6148">
        <v>14.819013048695099</v>
      </c>
      <c r="O6148">
        <v>44.066504853284101</v>
      </c>
      <c r="P6148">
        <v>-3.9542144750304903E-2</v>
      </c>
      <c r="Q6148">
        <v>0.52971230480906695</v>
      </c>
      <c r="R6148">
        <v>0.43386097811181801</v>
      </c>
      <c r="S6148" t="s">
        <v>12818</v>
      </c>
      <c r="T6148" t="s">
        <v>13338</v>
      </c>
      <c r="U6148" t="s">
        <v>13338</v>
      </c>
      <c r="V6148" t="s">
        <v>13338</v>
      </c>
      <c r="W6148" t="s">
        <v>19426</v>
      </c>
      <c r="X6148">
        <v>11</v>
      </c>
      <c r="Y6148" t="s">
        <v>25914</v>
      </c>
      <c r="Z6148" t="s">
        <v>32563</v>
      </c>
      <c r="AA6148">
        <v>0.62162864995633815</v>
      </c>
      <c r="AB6148" t="str">
        <f>HYPERLINK("Melting_Curves/meltCurve_Q9P270_SLAIN2.pdf", "Melting_Curves/meltCurve_Q9P270_SLAIN2.pdf")</f>
        <v>Melting_Curves/meltCurve_Q9P270_SLAIN2.pdf</v>
      </c>
    </row>
    <row r="6149" spans="1:28" x14ac:dyDescent="0.25">
      <c r="A6149" t="s">
        <v>6153</v>
      </c>
      <c r="B6149">
        <v>0.99193492352474899</v>
      </c>
      <c r="C6149">
        <v>1.00306353199731</v>
      </c>
      <c r="D6149">
        <v>0.83435936777531094</v>
      </c>
      <c r="E6149">
        <v>0.70974729346823795</v>
      </c>
      <c r="F6149">
        <v>0.32919703674098399</v>
      </c>
      <c r="G6149">
        <v>0.134122880527067</v>
      </c>
      <c r="H6149">
        <v>8.6025564443769006E-2</v>
      </c>
      <c r="I6149">
        <v>0.111168963067849</v>
      </c>
      <c r="J6149">
        <v>9.1646172167472201E-2</v>
      </c>
      <c r="K6149">
        <v>0.207946595489099</v>
      </c>
      <c r="L6149">
        <v>1181.3331941132899</v>
      </c>
      <c r="M6149">
        <v>23.315083227687101</v>
      </c>
      <c r="N6149">
        <v>51.211701068302901</v>
      </c>
      <c r="O6149">
        <v>50.299870062070497</v>
      </c>
      <c r="P6149">
        <v>-0.10318167965287101</v>
      </c>
      <c r="Q6149">
        <v>0.109600856600454</v>
      </c>
      <c r="R6149">
        <v>0.98263934887013105</v>
      </c>
      <c r="S6149" t="s">
        <v>12819</v>
      </c>
      <c r="T6149" t="s">
        <v>13338</v>
      </c>
      <c r="U6149" t="s">
        <v>13338</v>
      </c>
      <c r="V6149" t="s">
        <v>13338</v>
      </c>
      <c r="W6149" t="s">
        <v>19427</v>
      </c>
      <c r="X6149">
        <v>8</v>
      </c>
      <c r="Y6149" t="s">
        <v>25915</v>
      </c>
      <c r="Z6149" t="s">
        <v>32564</v>
      </c>
      <c r="AA6149">
        <v>0.4354298067127178</v>
      </c>
      <c r="AB6149" t="str">
        <f>HYPERLINK("Melting_Curves/meltCurve_Q9P287_BCCIP.pdf", "Melting_Curves/meltCurve_Q9P287_BCCIP.pdf")</f>
        <v>Melting_Curves/meltCurve_Q9P287_BCCIP.pdf</v>
      </c>
    </row>
    <row r="6150" spans="1:28" x14ac:dyDescent="0.25">
      <c r="A6150" t="s">
        <v>6154</v>
      </c>
      <c r="B6150">
        <v>0.99193492352474899</v>
      </c>
      <c r="C6150">
        <v>0.87385635822902996</v>
      </c>
      <c r="D6150">
        <v>0.80439211866358595</v>
      </c>
      <c r="E6150">
        <v>0.60323339433377698</v>
      </c>
      <c r="F6150">
        <v>0.26425068626148501</v>
      </c>
      <c r="G6150">
        <v>0.113442303443602</v>
      </c>
      <c r="H6150">
        <v>8.7835739568995694E-2</v>
      </c>
      <c r="I6150">
        <v>7.3707323816098902E-2</v>
      </c>
      <c r="J6150">
        <v>9.0870100531373593E-2</v>
      </c>
      <c r="K6150">
        <v>6.0442849459815103E-2</v>
      </c>
      <c r="L6150">
        <v>853.62473042092995</v>
      </c>
      <c r="M6150">
        <v>17.1222411527711</v>
      </c>
      <c r="N6150">
        <v>50.158352621353799</v>
      </c>
      <c r="O6150">
        <v>49.189591625640098</v>
      </c>
      <c r="P6150">
        <v>-8.2742780555217499E-2</v>
      </c>
      <c r="Q6150">
        <v>4.9227486100404401E-2</v>
      </c>
      <c r="R6150">
        <v>0.99093065635334499</v>
      </c>
      <c r="S6150" t="s">
        <v>12820</v>
      </c>
      <c r="T6150" t="s">
        <v>13338</v>
      </c>
      <c r="U6150" t="s">
        <v>13338</v>
      </c>
      <c r="V6150" t="s">
        <v>13338</v>
      </c>
      <c r="W6150" t="s">
        <v>19428</v>
      </c>
      <c r="X6150">
        <v>10</v>
      </c>
      <c r="Y6150" t="s">
        <v>25915</v>
      </c>
      <c r="Z6150" t="s">
        <v>32565</v>
      </c>
      <c r="AA6150">
        <v>0.37941041409932258</v>
      </c>
      <c r="AB6150" t="str">
        <f>HYPERLINK("Melting_Curves/meltCurve_Q9P287_2_BCCIP.pdf", "Melting_Curves/meltCurve_Q9P287_2_BCCIP.pdf")</f>
        <v>Melting_Curves/meltCurve_Q9P287_2_BCCIP.pdf</v>
      </c>
    </row>
    <row r="6151" spans="1:28" x14ac:dyDescent="0.25">
      <c r="A6151" t="s">
        <v>6155</v>
      </c>
      <c r="B6151">
        <v>0.99193492352474899</v>
      </c>
      <c r="C6151">
        <v>0.645679308592643</v>
      </c>
      <c r="D6151">
        <v>0.85043613720702005</v>
      </c>
      <c r="E6151">
        <v>0.62386666076311803</v>
      </c>
      <c r="F6151">
        <v>0.44941634076091702</v>
      </c>
      <c r="G6151">
        <v>0.228944722599487</v>
      </c>
      <c r="H6151">
        <v>0.119385661361294</v>
      </c>
      <c r="I6151">
        <v>0.118968321363269</v>
      </c>
      <c r="J6151">
        <v>0.16165990470220901</v>
      </c>
      <c r="K6151">
        <v>0.16409877808732001</v>
      </c>
      <c r="L6151">
        <v>505.10867291020901</v>
      </c>
      <c r="M6151">
        <v>9.9717322447979608</v>
      </c>
      <c r="N6151">
        <v>51.151852731700799</v>
      </c>
      <c r="O6151">
        <v>48.7432559591645</v>
      </c>
      <c r="P6151">
        <v>-4.88031748449907E-2</v>
      </c>
      <c r="Q6151">
        <v>4.6241302534847803E-2</v>
      </c>
      <c r="R6151">
        <v>0.91376286581644395</v>
      </c>
      <c r="S6151" t="s">
        <v>12821</v>
      </c>
      <c r="T6151" t="s">
        <v>13338</v>
      </c>
      <c r="U6151" t="s">
        <v>13338</v>
      </c>
      <c r="V6151" t="s">
        <v>13338</v>
      </c>
      <c r="W6151" t="s">
        <v>19429</v>
      </c>
      <c r="X6151">
        <v>4</v>
      </c>
      <c r="Y6151" t="s">
        <v>25916</v>
      </c>
      <c r="Z6151" t="s">
        <v>32566</v>
      </c>
      <c r="AA6151">
        <v>0.42595862262206019</v>
      </c>
      <c r="AB6151" t="str">
        <f>HYPERLINK("Melting_Curves/meltCurve_Q9P2A4_2_ABI3.pdf", "Melting_Curves/meltCurve_Q9P2A4_2_ABI3.pdf")</f>
        <v>Melting_Curves/meltCurve_Q9P2A4_2_ABI3.pdf</v>
      </c>
    </row>
    <row r="6152" spans="1:28" x14ac:dyDescent="0.25">
      <c r="A6152" t="s">
        <v>6156</v>
      </c>
      <c r="B6152">
        <v>0.99193492352474899</v>
      </c>
      <c r="C6152">
        <v>0.69538305193133298</v>
      </c>
      <c r="D6152">
        <v>0.752575414353713</v>
      </c>
      <c r="E6152">
        <v>0.28944671140829997</v>
      </c>
      <c r="F6152">
        <v>0.22318592791164399</v>
      </c>
      <c r="G6152">
        <v>7.9606676323599607E-2</v>
      </c>
      <c r="H6152">
        <v>2.2275842469420201E-2</v>
      </c>
      <c r="I6152">
        <v>0.13417295738815699</v>
      </c>
      <c r="J6152">
        <v>0.19181127936970399</v>
      </c>
      <c r="K6152">
        <v>0.38916468701099299</v>
      </c>
      <c r="L6152">
        <v>891.89982017454201</v>
      </c>
      <c r="M6152">
        <v>19.2250281142442</v>
      </c>
      <c r="N6152">
        <v>47.308689258210002</v>
      </c>
      <c r="O6152">
        <v>45.899437251137897</v>
      </c>
      <c r="P6152">
        <v>-8.8442807998825104E-2</v>
      </c>
      <c r="Q6152">
        <v>0.155409290703382</v>
      </c>
      <c r="R6152">
        <v>0.85959773762457903</v>
      </c>
      <c r="S6152" t="s">
        <v>12822</v>
      </c>
      <c r="T6152" t="s">
        <v>13338</v>
      </c>
      <c r="U6152" t="s">
        <v>13338</v>
      </c>
      <c r="V6152" t="s">
        <v>13338</v>
      </c>
      <c r="W6152" t="s">
        <v>19430</v>
      </c>
      <c r="X6152">
        <v>1</v>
      </c>
      <c r="Y6152" t="s">
        <v>25917</v>
      </c>
      <c r="Z6152" t="s">
        <v>32567</v>
      </c>
      <c r="AA6152">
        <v>0.34930199417014413</v>
      </c>
      <c r="AB6152" t="str">
        <f>HYPERLINK("Melting_Curves/meltCurve_Q9P2B4_CTTNBP2NL.pdf", "Melting_Curves/meltCurve_Q9P2B4_CTTNBP2NL.pdf")</f>
        <v>Melting_Curves/meltCurve_Q9P2B4_CTTNBP2NL.pdf</v>
      </c>
    </row>
    <row r="6153" spans="1:28" x14ac:dyDescent="0.25">
      <c r="A6153" t="s">
        <v>6157</v>
      </c>
      <c r="B6153">
        <v>0.99193492352474899</v>
      </c>
      <c r="C6153">
        <v>0.66808467266558202</v>
      </c>
      <c r="D6153">
        <v>0.73403341384322895</v>
      </c>
      <c r="E6153">
        <v>0.48940755387204599</v>
      </c>
      <c r="F6153">
        <v>0.54557968466986295</v>
      </c>
      <c r="G6153">
        <v>0.45445783278414198</v>
      </c>
      <c r="H6153">
        <v>0.47600599531524501</v>
      </c>
      <c r="I6153">
        <v>0.52240273833637396</v>
      </c>
      <c r="J6153">
        <v>0.79008385815900295</v>
      </c>
      <c r="K6153">
        <v>1.0367895183806599</v>
      </c>
      <c r="L6153">
        <v>3389.6848170284102</v>
      </c>
      <c r="M6153">
        <v>81.168406173504707</v>
      </c>
      <c r="O6153">
        <v>41.735791834165497</v>
      </c>
      <c r="P6153">
        <v>-0.17944070806660101</v>
      </c>
      <c r="Q6153">
        <v>0.63093513283219604</v>
      </c>
      <c r="R6153">
        <v>0.28194273352306698</v>
      </c>
      <c r="S6153" t="s">
        <v>12823</v>
      </c>
      <c r="T6153" t="s">
        <v>13338</v>
      </c>
      <c r="U6153" t="s">
        <v>13338</v>
      </c>
      <c r="V6153" t="s">
        <v>13338</v>
      </c>
      <c r="W6153" t="s">
        <v>19431</v>
      </c>
      <c r="X6153">
        <v>3</v>
      </c>
      <c r="Y6153" t="s">
        <v>25918</v>
      </c>
      <c r="Z6153" t="s">
        <v>32568</v>
      </c>
      <c r="AA6153">
        <v>0.65301495142903443</v>
      </c>
      <c r="AB6153" t="str">
        <f>HYPERLINK("Melting_Curves/meltCurve_Q9P2B7_KIAA1430.pdf", "Melting_Curves/meltCurve_Q9P2B7_KIAA1430.pdf")</f>
        <v>Melting_Curves/meltCurve_Q9P2B7_KIAA1430.pdf</v>
      </c>
    </row>
    <row r="6154" spans="1:28" x14ac:dyDescent="0.25">
      <c r="A6154" t="s">
        <v>6158</v>
      </c>
      <c r="B6154">
        <v>0.99193492352474899</v>
      </c>
      <c r="C6154">
        <v>0.928157990522813</v>
      </c>
      <c r="D6154">
        <v>0.87983212804176003</v>
      </c>
      <c r="E6154">
        <v>0.61145585847815498</v>
      </c>
      <c r="F6154">
        <v>0.46255269156947099</v>
      </c>
      <c r="G6154">
        <v>0.33145690518619297</v>
      </c>
      <c r="H6154">
        <v>0.13491331005778401</v>
      </c>
      <c r="I6154">
        <v>0.170138569561916</v>
      </c>
      <c r="J6154">
        <v>0.19265852529968</v>
      </c>
      <c r="K6154">
        <v>0.107921015853035</v>
      </c>
      <c r="L6154">
        <v>703.05080401731595</v>
      </c>
      <c r="M6154">
        <v>13.7226626600931</v>
      </c>
      <c r="N6154">
        <v>52.1760564725246</v>
      </c>
      <c r="O6154">
        <v>50.181607827327703</v>
      </c>
      <c r="P6154">
        <v>-6.0863896236209601E-2</v>
      </c>
      <c r="Q6154">
        <v>0.109849078135315</v>
      </c>
      <c r="R6154">
        <v>0.98856843393711502</v>
      </c>
      <c r="S6154" t="s">
        <v>12824</v>
      </c>
      <c r="T6154" t="s">
        <v>13338</v>
      </c>
      <c r="U6154" t="s">
        <v>13338</v>
      </c>
      <c r="V6154" t="s">
        <v>13338</v>
      </c>
      <c r="W6154" t="s">
        <v>19432</v>
      </c>
      <c r="X6154">
        <v>1</v>
      </c>
      <c r="Y6154" t="s">
        <v>25919</v>
      </c>
      <c r="Z6154" t="s">
        <v>32569</v>
      </c>
      <c r="AA6154">
        <v>0.46664805893745631</v>
      </c>
      <c r="AB6154" t="str">
        <f>HYPERLINK("Melting_Curves/meltCurve_Q9P2C4_TMEM181.pdf", "Melting_Curves/meltCurve_Q9P2C4_TMEM181.pdf")</f>
        <v>Melting_Curves/meltCurve_Q9P2C4_TMEM181.pdf</v>
      </c>
    </row>
    <row r="6155" spans="1:28" x14ac:dyDescent="0.25">
      <c r="A6155" t="s">
        <v>6159</v>
      </c>
      <c r="B6155">
        <v>0.99193492352474899</v>
      </c>
      <c r="C6155">
        <v>0.94059103642891695</v>
      </c>
      <c r="D6155">
        <v>1.2967221101174899</v>
      </c>
      <c r="E6155">
        <v>0.91172947739246402</v>
      </c>
      <c r="F6155">
        <v>1.0928707976374099</v>
      </c>
      <c r="G6155">
        <v>0.25227892457273798</v>
      </c>
      <c r="H6155">
        <v>0.134037987036211</v>
      </c>
      <c r="I6155">
        <v>0.14639997040186301</v>
      </c>
      <c r="J6155">
        <v>0.17987163399789499</v>
      </c>
      <c r="K6155">
        <v>0.16269393584182101</v>
      </c>
      <c r="L6155">
        <v>14083.719546025</v>
      </c>
      <c r="M6155">
        <v>250</v>
      </c>
      <c r="N6155">
        <v>56.419108349813499</v>
      </c>
      <c r="O6155">
        <v>56.331273589280698</v>
      </c>
      <c r="P6155">
        <v>-0.93670126475694504</v>
      </c>
      <c r="Q6155">
        <v>0.15575080447546899</v>
      </c>
      <c r="R6155">
        <v>0.94552694654204394</v>
      </c>
      <c r="S6155" t="s">
        <v>12825</v>
      </c>
      <c r="T6155" t="s">
        <v>13338</v>
      </c>
      <c r="U6155" t="s">
        <v>13338</v>
      </c>
      <c r="V6155" t="s">
        <v>13338</v>
      </c>
      <c r="W6155" t="s">
        <v>19433</v>
      </c>
      <c r="X6155">
        <v>1</v>
      </c>
      <c r="Y6155" t="s">
        <v>25920</v>
      </c>
      <c r="Z6155" t="s">
        <v>32570</v>
      </c>
      <c r="AA6155">
        <v>0.61552453158483766</v>
      </c>
      <c r="AB6155" t="str">
        <f>HYPERLINK("Melting_Curves/meltCurve_Q9P2D1_CHD7.pdf", "Melting_Curves/meltCurve_Q9P2D1_CHD7.pdf")</f>
        <v>Melting_Curves/meltCurve_Q9P2D1_CHD7.pdf</v>
      </c>
    </row>
    <row r="6156" spans="1:28" x14ac:dyDescent="0.25">
      <c r="A6156" t="s">
        <v>6160</v>
      </c>
      <c r="B6156">
        <v>0.99193492352474899</v>
      </c>
      <c r="C6156">
        <v>0.99642063683252302</v>
      </c>
      <c r="D6156">
        <v>0.96871032517922095</v>
      </c>
      <c r="E6156">
        <v>0.62030861351475397</v>
      </c>
      <c r="F6156">
        <v>0.22856399156068599</v>
      </c>
      <c r="G6156">
        <v>0.15380668543338</v>
      </c>
      <c r="H6156">
        <v>9.1094263914759901E-2</v>
      </c>
      <c r="I6156">
        <v>0.124527218812869</v>
      </c>
      <c r="J6156">
        <v>0.153523010452388</v>
      </c>
      <c r="K6156">
        <v>7.6553239350720906E-2</v>
      </c>
      <c r="L6156">
        <v>1650.7340768318199</v>
      </c>
      <c r="M6156">
        <v>32.972758748920803</v>
      </c>
      <c r="N6156">
        <v>50.466501048765601</v>
      </c>
      <c r="O6156">
        <v>49.880502294199097</v>
      </c>
      <c r="P6156">
        <v>-0.14613434816565701</v>
      </c>
      <c r="Q6156">
        <v>0.115727988606997</v>
      </c>
      <c r="R6156">
        <v>0.99698513210461603</v>
      </c>
      <c r="S6156" t="s">
        <v>12826</v>
      </c>
      <c r="T6156" t="s">
        <v>13338</v>
      </c>
      <c r="U6156" t="s">
        <v>13338</v>
      </c>
      <c r="V6156" t="s">
        <v>13338</v>
      </c>
      <c r="W6156" t="s">
        <v>19434</v>
      </c>
      <c r="X6156">
        <v>7</v>
      </c>
      <c r="Y6156" t="s">
        <v>25921</v>
      </c>
      <c r="Z6156" t="s">
        <v>32571</v>
      </c>
      <c r="AA6156">
        <v>0.41688175262436372</v>
      </c>
      <c r="AB6156" t="str">
        <f>HYPERLINK("Melting_Curves/meltCurve_Q9P2D3_3_HEATR5B.pdf", "Melting_Curves/meltCurve_Q9P2D3_3_HEATR5B.pdf")</f>
        <v>Melting_Curves/meltCurve_Q9P2D3_3_HEATR5B.pdf</v>
      </c>
    </row>
    <row r="6157" spans="1:28" x14ac:dyDescent="0.25">
      <c r="A6157" t="s">
        <v>6161</v>
      </c>
      <c r="B6157">
        <v>0.99193492352474899</v>
      </c>
      <c r="C6157">
        <v>0.86529347579518001</v>
      </c>
      <c r="D6157">
        <v>0.65092616165801898</v>
      </c>
      <c r="E6157">
        <v>0.678266302340501</v>
      </c>
      <c r="F6157">
        <v>0.47002033674202198</v>
      </c>
      <c r="G6157">
        <v>0.42860500603799501</v>
      </c>
      <c r="H6157">
        <v>0.191309898677749</v>
      </c>
      <c r="I6157">
        <v>0.13857459244831899</v>
      </c>
      <c r="J6157">
        <v>0.14334398361379999</v>
      </c>
      <c r="K6157">
        <v>0.19612368449169501</v>
      </c>
      <c r="L6157">
        <v>438.24306244381501</v>
      </c>
      <c r="M6157">
        <v>8.41206206256504</v>
      </c>
      <c r="N6157">
        <v>52.482436197004603</v>
      </c>
      <c r="O6157">
        <v>49.402553101156997</v>
      </c>
      <c r="P6157">
        <v>-4.1332447391233998E-2</v>
      </c>
      <c r="Q6157">
        <v>2.9956303518731599E-2</v>
      </c>
      <c r="R6157">
        <v>0.95724319557573001</v>
      </c>
      <c r="S6157" t="s">
        <v>12827</v>
      </c>
      <c r="T6157" t="s">
        <v>13338</v>
      </c>
      <c r="U6157" t="s">
        <v>13338</v>
      </c>
      <c r="V6157" t="s">
        <v>13338</v>
      </c>
      <c r="W6157" t="s">
        <v>19435</v>
      </c>
      <c r="X6157">
        <v>1</v>
      </c>
      <c r="Y6157" t="s">
        <v>25922</v>
      </c>
      <c r="Z6157" t="s">
        <v>32572</v>
      </c>
      <c r="AA6157">
        <v>0.46430037200446572</v>
      </c>
      <c r="AB6157" t="str">
        <f>HYPERLINK("Melting_Curves/meltCurve_Q9P2E3_ZNFX1.pdf", "Melting_Curves/meltCurve_Q9P2E3_ZNFX1.pdf")</f>
        <v>Melting_Curves/meltCurve_Q9P2E3_ZNFX1.pdf</v>
      </c>
    </row>
    <row r="6158" spans="1:28" x14ac:dyDescent="0.25">
      <c r="A6158" t="s">
        <v>6162</v>
      </c>
      <c r="B6158">
        <v>0.99193492352474899</v>
      </c>
      <c r="C6158">
        <v>0.36139269860611201</v>
      </c>
      <c r="D6158">
        <v>0.83660250264617197</v>
      </c>
      <c r="E6158">
        <v>0.353484664423099</v>
      </c>
      <c r="F6158">
        <v>0.349014354481957</v>
      </c>
      <c r="G6158">
        <v>0.13072131947584401</v>
      </c>
      <c r="H6158">
        <v>0.195941855803131</v>
      </c>
      <c r="I6158">
        <v>0.14896696929595199</v>
      </c>
      <c r="J6158">
        <v>0.231406345491314</v>
      </c>
      <c r="K6158">
        <v>0.237816764113183</v>
      </c>
      <c r="L6158">
        <v>472.69054559567098</v>
      </c>
      <c r="M6158">
        <v>10.3882943057462</v>
      </c>
      <c r="N6158">
        <v>47.177270859099103</v>
      </c>
      <c r="O6158">
        <v>43.912955947932602</v>
      </c>
      <c r="P6158">
        <v>-5.0041005577639297E-2</v>
      </c>
      <c r="Q6158">
        <v>0.15423066235051799</v>
      </c>
      <c r="R6158">
        <v>0.67783931177954604</v>
      </c>
      <c r="S6158" t="s">
        <v>12828</v>
      </c>
      <c r="T6158" t="s">
        <v>13338</v>
      </c>
      <c r="U6158" t="s">
        <v>13338</v>
      </c>
      <c r="V6158" t="s">
        <v>13338</v>
      </c>
      <c r="W6158" t="s">
        <v>19436</v>
      </c>
      <c r="X6158">
        <v>45</v>
      </c>
      <c r="Y6158" t="s">
        <v>25923</v>
      </c>
      <c r="Z6158" t="s">
        <v>32573</v>
      </c>
      <c r="AA6158">
        <v>0.36130845333971418</v>
      </c>
      <c r="AB6158" t="str">
        <f>HYPERLINK("Melting_Curves/meltCurve_Q9P2E9_RRBP1.pdf", "Melting_Curves/meltCurve_Q9P2E9_RRBP1.pdf")</f>
        <v>Melting_Curves/meltCurve_Q9P2E9_RRBP1.pdf</v>
      </c>
    </row>
    <row r="6159" spans="1:28" x14ac:dyDescent="0.25">
      <c r="A6159" t="s">
        <v>6163</v>
      </c>
      <c r="B6159">
        <v>0.99193492352474899</v>
      </c>
      <c r="C6159">
        <v>0.74533226097719396</v>
      </c>
      <c r="D6159">
        <v>0.61410217871858297</v>
      </c>
      <c r="E6159">
        <v>0.238715893259804</v>
      </c>
      <c r="F6159">
        <v>0.13534351497885899</v>
      </c>
      <c r="G6159">
        <v>8.2887348347667394E-2</v>
      </c>
      <c r="H6159">
        <v>5.5039016438448801E-2</v>
      </c>
      <c r="I6159">
        <v>7.0819114737392996E-2</v>
      </c>
      <c r="J6159">
        <v>8.4449522201874197E-2</v>
      </c>
      <c r="K6159">
        <v>8.9920785882717694E-2</v>
      </c>
      <c r="L6159">
        <v>856.79253885990204</v>
      </c>
      <c r="M6159">
        <v>18.542703552474801</v>
      </c>
      <c r="N6159">
        <v>46.5543628504373</v>
      </c>
      <c r="O6159">
        <v>45.679100150719997</v>
      </c>
      <c r="P6159">
        <v>-9.4921650869199903E-2</v>
      </c>
      <c r="Q6159">
        <v>6.4700506685530706E-2</v>
      </c>
      <c r="R6159">
        <v>0.98725442291043497</v>
      </c>
      <c r="S6159" t="s">
        <v>12829</v>
      </c>
      <c r="T6159" t="s">
        <v>13338</v>
      </c>
      <c r="U6159" t="s">
        <v>13338</v>
      </c>
      <c r="V6159" t="s">
        <v>13338</v>
      </c>
      <c r="W6159" t="s">
        <v>19437</v>
      </c>
      <c r="X6159">
        <v>19</v>
      </c>
      <c r="Y6159" t="s">
        <v>25924</v>
      </c>
      <c r="Z6159" t="s">
        <v>32574</v>
      </c>
      <c r="AA6159">
        <v>0.27511895289540672</v>
      </c>
      <c r="AB6159" t="str">
        <f>HYPERLINK("Melting_Curves/meltCurve_Q9P2I0_CPSF2.pdf", "Melting_Curves/meltCurve_Q9P2I0_CPSF2.pdf")</f>
        <v>Melting_Curves/meltCurve_Q9P2I0_CPSF2.pdf</v>
      </c>
    </row>
    <row r="6160" spans="1:28" x14ac:dyDescent="0.25">
      <c r="A6160" t="s">
        <v>6164</v>
      </c>
      <c r="B6160">
        <v>0.99193492352474899</v>
      </c>
      <c r="C6160">
        <v>0.77661676812208302</v>
      </c>
      <c r="D6160">
        <v>0.834096239843378</v>
      </c>
      <c r="E6160">
        <v>0.34592906971167198</v>
      </c>
      <c r="F6160">
        <v>0.18478093942658999</v>
      </c>
      <c r="G6160">
        <v>0.100077306660194</v>
      </c>
      <c r="H6160">
        <v>6.5684573270113206E-2</v>
      </c>
      <c r="I6160">
        <v>6.6905895838885301E-2</v>
      </c>
      <c r="J6160">
        <v>8.0001369914046994E-2</v>
      </c>
      <c r="K6160">
        <v>7.7777062394659202E-2</v>
      </c>
      <c r="L6160">
        <v>962.07094552873104</v>
      </c>
      <c r="M6160">
        <v>20.010533720182298</v>
      </c>
      <c r="N6160">
        <v>48.403443872767802</v>
      </c>
      <c r="O6160">
        <v>47.6057948423909</v>
      </c>
      <c r="P6160">
        <v>-9.8477412636665498E-2</v>
      </c>
      <c r="Q6160">
        <v>6.2904910585686299E-2</v>
      </c>
      <c r="R6160">
        <v>0.97142636304469898</v>
      </c>
      <c r="S6160" t="s">
        <v>12830</v>
      </c>
      <c r="T6160" t="s">
        <v>13338</v>
      </c>
      <c r="U6160" t="s">
        <v>13338</v>
      </c>
      <c r="V6160" t="s">
        <v>13338</v>
      </c>
      <c r="W6160" t="s">
        <v>19438</v>
      </c>
      <c r="X6160">
        <v>37</v>
      </c>
      <c r="Y6160" t="s">
        <v>25925</v>
      </c>
      <c r="Z6160" t="s">
        <v>32575</v>
      </c>
      <c r="AA6160">
        <v>0.32852209243586877</v>
      </c>
      <c r="AB6160" t="str">
        <f>HYPERLINK("Melting_Curves/meltCurve_Q9P2J5_LARS.pdf", "Melting_Curves/meltCurve_Q9P2J5_LARS.pdf")</f>
        <v>Melting_Curves/meltCurve_Q9P2J5_LARS.pdf</v>
      </c>
    </row>
    <row r="6161" spans="1:28" x14ac:dyDescent="0.25">
      <c r="A6161" t="s">
        <v>6165</v>
      </c>
      <c r="B6161">
        <v>0.99193492352474899</v>
      </c>
      <c r="C6161">
        <v>0.65824742509348999</v>
      </c>
      <c r="D6161">
        <v>0.80088488772872002</v>
      </c>
      <c r="E6161">
        <v>0.38022499419773198</v>
      </c>
      <c r="F6161">
        <v>0.213171564050888</v>
      </c>
      <c r="G6161">
        <v>0.13343828743468999</v>
      </c>
      <c r="H6161">
        <v>0.19767128632113301</v>
      </c>
      <c r="I6161">
        <v>0.33730026320621898</v>
      </c>
      <c r="J6161">
        <v>0.27866845119254802</v>
      </c>
      <c r="K6161">
        <v>0.32588038903702099</v>
      </c>
      <c r="L6161">
        <v>830.41391768290896</v>
      </c>
      <c r="M6161">
        <v>17.9960705782864</v>
      </c>
      <c r="N6161">
        <v>47.843062758238602</v>
      </c>
      <c r="O6161">
        <v>45.585710800156498</v>
      </c>
      <c r="P6161">
        <v>-7.5395933953438798E-2</v>
      </c>
      <c r="Q6161">
        <v>0.23609823888492901</v>
      </c>
      <c r="R6161">
        <v>0.84971015311433395</v>
      </c>
      <c r="S6161" t="s">
        <v>12831</v>
      </c>
      <c r="T6161" t="s">
        <v>13338</v>
      </c>
      <c r="U6161" t="s">
        <v>13338</v>
      </c>
      <c r="V6161" t="s">
        <v>13338</v>
      </c>
      <c r="W6161" t="s">
        <v>19439</v>
      </c>
      <c r="X6161">
        <v>2</v>
      </c>
      <c r="Y6161" t="s">
        <v>25926</v>
      </c>
      <c r="Z6161" t="s">
        <v>32576</v>
      </c>
      <c r="AA6161">
        <v>0.40739436570998372</v>
      </c>
      <c r="AB6161" t="str">
        <f>HYPERLINK("Melting_Curves/meltCurve_Q9P2J9_PDP2.pdf", "Melting_Curves/meltCurve_Q9P2J9_PDP2.pdf")</f>
        <v>Melting_Curves/meltCurve_Q9P2J9_PDP2.pdf</v>
      </c>
    </row>
    <row r="6162" spans="1:28" x14ac:dyDescent="0.25">
      <c r="A6162" t="s">
        <v>6166</v>
      </c>
      <c r="B6162">
        <v>0.99193492352474899</v>
      </c>
      <c r="C6162">
        <v>0.80319393248575699</v>
      </c>
      <c r="D6162">
        <v>0.731675002799278</v>
      </c>
      <c r="E6162">
        <v>0.59506756768884905</v>
      </c>
      <c r="F6162">
        <v>0.415778365711994</v>
      </c>
      <c r="G6162">
        <v>1.9500112876607001</v>
      </c>
      <c r="H6162">
        <v>0.21347752517138199</v>
      </c>
      <c r="I6162">
        <v>9.6664649882097095E-2</v>
      </c>
      <c r="J6162">
        <v>5.4040261155148102E-2</v>
      </c>
      <c r="K6162">
        <v>6.3008645863421794E-2</v>
      </c>
      <c r="L6162">
        <v>15000</v>
      </c>
      <c r="M6162">
        <v>248.42061912796299</v>
      </c>
      <c r="N6162">
        <v>60.418850318415203</v>
      </c>
      <c r="O6162">
        <v>60.377536153826497</v>
      </c>
      <c r="P6162">
        <v>-0.95533779476519498</v>
      </c>
      <c r="Q6162">
        <v>7.1237263145518107E-2</v>
      </c>
      <c r="R6162">
        <v>0.50293711462589197</v>
      </c>
      <c r="S6162" t="s">
        <v>12832</v>
      </c>
      <c r="T6162" t="s">
        <v>13338</v>
      </c>
      <c r="U6162" t="s">
        <v>13338</v>
      </c>
      <c r="V6162" t="s">
        <v>13338</v>
      </c>
      <c r="W6162" t="s">
        <v>19440</v>
      </c>
      <c r="X6162">
        <v>1</v>
      </c>
      <c r="Y6162" t="s">
        <v>25927</v>
      </c>
      <c r="Z6162" t="s">
        <v>32577</v>
      </c>
      <c r="AA6162">
        <v>0.7023216644010335</v>
      </c>
      <c r="AB6162" t="str">
        <f>HYPERLINK("Melting_Curves/meltCurve_Q9P2K2_TXNDC16.pdf", "Melting_Curves/meltCurve_Q9P2K2_TXNDC16.pdf")</f>
        <v>Melting_Curves/meltCurve_Q9P2K2_TXNDC16.pdf</v>
      </c>
    </row>
    <row r="6163" spans="1:28" x14ac:dyDescent="0.25">
      <c r="A6163" t="s">
        <v>6167</v>
      </c>
      <c r="B6163">
        <v>0.99193492352474899</v>
      </c>
      <c r="C6163">
        <v>0.80126828733680699</v>
      </c>
      <c r="D6163">
        <v>0.66394066689405495</v>
      </c>
      <c r="E6163">
        <v>0.47288728192826801</v>
      </c>
      <c r="F6163">
        <v>0.23110283924267999</v>
      </c>
      <c r="G6163">
        <v>0.16174837557164501</v>
      </c>
      <c r="H6163">
        <v>0.100312799983011</v>
      </c>
      <c r="I6163">
        <v>0.112471578558713</v>
      </c>
      <c r="J6163">
        <v>0.10451730115685</v>
      </c>
      <c r="K6163">
        <v>0.113299409650296</v>
      </c>
      <c r="L6163">
        <v>676.91324504963097</v>
      </c>
      <c r="M6163">
        <v>14.151778041244199</v>
      </c>
      <c r="N6163">
        <v>48.446206338720103</v>
      </c>
      <c r="O6163">
        <v>46.907666885001198</v>
      </c>
      <c r="P6163">
        <v>-6.9241892180185796E-2</v>
      </c>
      <c r="Q6163">
        <v>8.2076166813457294E-2</v>
      </c>
      <c r="R6163">
        <v>0.99157746736154995</v>
      </c>
      <c r="S6163" t="s">
        <v>12833</v>
      </c>
      <c r="T6163" t="s">
        <v>13338</v>
      </c>
      <c r="U6163" t="s">
        <v>13338</v>
      </c>
      <c r="V6163" t="s">
        <v>13338</v>
      </c>
      <c r="W6163" t="s">
        <v>19441</v>
      </c>
      <c r="X6163">
        <v>7</v>
      </c>
      <c r="Y6163" t="s">
        <v>25928</v>
      </c>
      <c r="Z6163" t="s">
        <v>32578</v>
      </c>
      <c r="AA6163">
        <v>0.34843374722764159</v>
      </c>
      <c r="AB6163" t="str">
        <f>HYPERLINK("Melting_Curves/meltCurve_Q9P2K3_4_RCOR3.pdf", "Melting_Curves/meltCurve_Q9P2K3_4_RCOR3.pdf")</f>
        <v>Melting_Curves/meltCurve_Q9P2K3_4_RCOR3.pdf</v>
      </c>
    </row>
    <row r="6164" spans="1:28" x14ac:dyDescent="0.25">
      <c r="A6164" t="s">
        <v>6168</v>
      </c>
      <c r="B6164">
        <v>0.99193492352474899</v>
      </c>
      <c r="C6164">
        <v>0.46449697967319498</v>
      </c>
      <c r="D6164">
        <v>0.40072515863415298</v>
      </c>
      <c r="E6164">
        <v>0.21876921365635399</v>
      </c>
      <c r="F6164">
        <v>0.121414453911765</v>
      </c>
      <c r="G6164">
        <v>9.9731821786814001E-2</v>
      </c>
      <c r="H6164">
        <v>7.8636647905217405E-2</v>
      </c>
      <c r="I6164">
        <v>0.11817486652183</v>
      </c>
      <c r="J6164">
        <v>0.13951878880714999</v>
      </c>
      <c r="K6164">
        <v>0.178985773122117</v>
      </c>
      <c r="L6164">
        <v>944.02121379225503</v>
      </c>
      <c r="M6164">
        <v>21.874501912431199</v>
      </c>
      <c r="N6164">
        <v>43.762893578253802</v>
      </c>
      <c r="O6164">
        <v>42.800424787199901</v>
      </c>
      <c r="P6164">
        <v>-0.11106256433242</v>
      </c>
      <c r="Q6164">
        <v>0.130784208946568</v>
      </c>
      <c r="R6164">
        <v>0.93121559188772596</v>
      </c>
      <c r="S6164" t="s">
        <v>12834</v>
      </c>
      <c r="T6164" t="s">
        <v>13338</v>
      </c>
      <c r="U6164" t="s">
        <v>13338</v>
      </c>
      <c r="V6164" t="s">
        <v>13338</v>
      </c>
      <c r="W6164" t="s">
        <v>19442</v>
      </c>
      <c r="X6164">
        <v>4</v>
      </c>
      <c r="Y6164" t="s">
        <v>25929</v>
      </c>
      <c r="Z6164" t="s">
        <v>32579</v>
      </c>
      <c r="AA6164">
        <v>0.23846879110423519</v>
      </c>
      <c r="AB6164" t="str">
        <f>HYPERLINK("Melting_Curves/meltCurve_Q9P2K5_MYEF2.pdf", "Melting_Curves/meltCurve_Q9P2K5_MYEF2.pdf")</f>
        <v>Melting_Curves/meltCurve_Q9P2K5_MYEF2.pdf</v>
      </c>
    </row>
    <row r="6165" spans="1:28" x14ac:dyDescent="0.25">
      <c r="A6165" t="s">
        <v>6169</v>
      </c>
      <c r="B6165">
        <v>0.99193492352474899</v>
      </c>
      <c r="C6165">
        <v>0.87477076135032406</v>
      </c>
      <c r="D6165">
        <v>0.84869557235465398</v>
      </c>
      <c r="E6165">
        <v>0.29916900877866698</v>
      </c>
      <c r="F6165">
        <v>0.16904769671682501</v>
      </c>
      <c r="G6165">
        <v>0.12743566159870601</v>
      </c>
      <c r="H6165">
        <v>7.4107416559594005E-2</v>
      </c>
      <c r="I6165">
        <v>0.113619725862468</v>
      </c>
      <c r="J6165">
        <v>0.11015761611618501</v>
      </c>
      <c r="K6165">
        <v>0.115527497222829</v>
      </c>
      <c r="L6165">
        <v>1595.49032225677</v>
      </c>
      <c r="M6165">
        <v>33.334117298331499</v>
      </c>
      <c r="N6165">
        <v>48.223179517682098</v>
      </c>
      <c r="O6165">
        <v>47.692310479331603</v>
      </c>
      <c r="P6165">
        <v>-0.15550707800675401</v>
      </c>
      <c r="Q6165">
        <v>0.11004573272214201</v>
      </c>
      <c r="R6165">
        <v>0.98783923576923405</v>
      </c>
      <c r="S6165" t="s">
        <v>12835</v>
      </c>
      <c r="T6165" t="s">
        <v>13338</v>
      </c>
      <c r="U6165" t="s">
        <v>13338</v>
      </c>
      <c r="V6165" t="s">
        <v>13338</v>
      </c>
      <c r="W6165" t="s">
        <v>19443</v>
      </c>
      <c r="X6165">
        <v>5</v>
      </c>
      <c r="Y6165" t="s">
        <v>25930</v>
      </c>
      <c r="Z6165" t="s">
        <v>32580</v>
      </c>
      <c r="AA6165">
        <v>0.34761554303340769</v>
      </c>
      <c r="AB6165" t="str">
        <f>HYPERLINK("Melting_Curves/meltCurve_Q9P2K8_2_EIF2AK4.pdf", "Melting_Curves/meltCurve_Q9P2K8_2_EIF2AK4.pdf")</f>
        <v>Melting_Curves/meltCurve_Q9P2K8_2_EIF2AK4.pdf</v>
      </c>
    </row>
    <row r="6166" spans="1:28" x14ac:dyDescent="0.25">
      <c r="A6166" t="s">
        <v>6170</v>
      </c>
      <c r="B6166">
        <v>0.99193492352474899</v>
      </c>
      <c r="C6166">
        <v>0.79964710269717698</v>
      </c>
      <c r="D6166">
        <v>0.78832816736079003</v>
      </c>
      <c r="E6166">
        <v>0.53336261458476097</v>
      </c>
      <c r="F6166">
        <v>0.41640570363093798</v>
      </c>
      <c r="G6166">
        <v>0.25291096013263198</v>
      </c>
      <c r="H6166">
        <v>0.22059824275533599</v>
      </c>
      <c r="I6166">
        <v>0.341544272762763</v>
      </c>
      <c r="J6166">
        <v>0.44323870976255397</v>
      </c>
      <c r="K6166">
        <v>0.63198887417502403</v>
      </c>
      <c r="L6166">
        <v>915.24236157493999</v>
      </c>
      <c r="M6166">
        <v>19.671389999259301</v>
      </c>
      <c r="N6166">
        <v>50.090230267006902</v>
      </c>
      <c r="O6166">
        <v>46.053757532513501</v>
      </c>
      <c r="P6166">
        <v>-6.6567571711828505E-2</v>
      </c>
      <c r="Q6166">
        <v>0.376641860470945</v>
      </c>
      <c r="R6166">
        <v>0.777033854296593</v>
      </c>
      <c r="S6166" t="s">
        <v>12836</v>
      </c>
      <c r="T6166" t="s">
        <v>13338</v>
      </c>
      <c r="U6166" t="s">
        <v>13338</v>
      </c>
      <c r="V6166" t="s">
        <v>13338</v>
      </c>
      <c r="W6166" t="s">
        <v>19444</v>
      </c>
      <c r="X6166">
        <v>40</v>
      </c>
      <c r="Y6166" t="s">
        <v>25931</v>
      </c>
      <c r="Z6166" t="s">
        <v>32581</v>
      </c>
      <c r="AA6166">
        <v>0.52193775582217605</v>
      </c>
      <c r="AB6166" t="str">
        <f>HYPERLINK("Melting_Curves/meltCurve_Q9P2M7_CGN.pdf", "Melting_Curves/meltCurve_Q9P2M7_CGN.pdf")</f>
        <v>Melting_Curves/meltCurve_Q9P2M7_CGN.pdf</v>
      </c>
    </row>
    <row r="6167" spans="1:28" x14ac:dyDescent="0.25">
      <c r="A6167" t="s">
        <v>6171</v>
      </c>
      <c r="B6167">
        <v>0.99193492352474899</v>
      </c>
      <c r="C6167">
        <v>0.36875415604775902</v>
      </c>
      <c r="D6167">
        <v>0.56794747120963696</v>
      </c>
      <c r="E6167">
        <v>0.235861033971145</v>
      </c>
      <c r="F6167">
        <v>0.14776740501587801</v>
      </c>
      <c r="G6167">
        <v>9.5479204262424705E-2</v>
      </c>
      <c r="H6167">
        <v>6.18861788960402E-2</v>
      </c>
      <c r="I6167">
        <v>7.1088631776135905E-2</v>
      </c>
      <c r="J6167">
        <v>0.100331764294809</v>
      </c>
      <c r="K6167">
        <v>0.13045660658553401</v>
      </c>
      <c r="L6167">
        <v>620.42047461572997</v>
      </c>
      <c r="M6167">
        <v>14.095961501941</v>
      </c>
      <c r="N6167">
        <v>44.5778356493826</v>
      </c>
      <c r="O6167">
        <v>43.156626312157599</v>
      </c>
      <c r="P6167">
        <v>-7.4999097059507094E-2</v>
      </c>
      <c r="Q6167">
        <v>8.1640220489905505E-2</v>
      </c>
      <c r="R6167">
        <v>0.84241605629667804</v>
      </c>
      <c r="S6167" t="s">
        <v>12837</v>
      </c>
      <c r="T6167" t="s">
        <v>13338</v>
      </c>
      <c r="U6167" t="s">
        <v>13338</v>
      </c>
      <c r="V6167" t="s">
        <v>13338</v>
      </c>
      <c r="W6167" t="s">
        <v>19445</v>
      </c>
      <c r="X6167">
        <v>12</v>
      </c>
      <c r="Y6167" t="s">
        <v>25932</v>
      </c>
      <c r="Z6167" t="s">
        <v>32582</v>
      </c>
      <c r="AA6167">
        <v>0.24217270758806539</v>
      </c>
      <c r="AB6167" t="str">
        <f>HYPERLINK("Melting_Curves/meltCurve_Q9P2N5_RBM27.pdf", "Melting_Curves/meltCurve_Q9P2N5_RBM27.pdf")</f>
        <v>Melting_Curves/meltCurve_Q9P2N5_RBM27.pdf</v>
      </c>
    </row>
    <row r="6168" spans="1:28" x14ac:dyDescent="0.25">
      <c r="A6168" t="s">
        <v>6172</v>
      </c>
      <c r="B6168">
        <v>0.99193492352474899</v>
      </c>
      <c r="C6168">
        <v>0.40605949313296902</v>
      </c>
      <c r="D6168">
        <v>0.45663137705895201</v>
      </c>
      <c r="E6168">
        <v>0.22690160138059501</v>
      </c>
      <c r="F6168">
        <v>7.5455355222007095E-2</v>
      </c>
      <c r="G6168">
        <v>8.13084389209182E-2</v>
      </c>
      <c r="H6168">
        <v>3.7389358683479097E-2</v>
      </c>
      <c r="I6168">
        <v>7.3448481042105801E-2</v>
      </c>
      <c r="J6168">
        <v>8.1764613888682294E-2</v>
      </c>
      <c r="K6168">
        <v>0.10302068154270599</v>
      </c>
      <c r="L6168">
        <v>732.38410309287701</v>
      </c>
      <c r="M6168">
        <v>16.783714380461099</v>
      </c>
      <c r="N6168">
        <v>44.049245546433603</v>
      </c>
      <c r="O6168">
        <v>43.0312358832049</v>
      </c>
      <c r="P6168">
        <v>-9.0421148012740704E-2</v>
      </c>
      <c r="Q6168">
        <v>7.2748562235715505E-2</v>
      </c>
      <c r="R6168">
        <v>0.89808454231057799</v>
      </c>
      <c r="S6168" t="s">
        <v>12838</v>
      </c>
      <c r="T6168" t="s">
        <v>13338</v>
      </c>
      <c r="U6168" t="s">
        <v>13338</v>
      </c>
      <c r="V6168" t="s">
        <v>13338</v>
      </c>
      <c r="W6168" t="s">
        <v>19446</v>
      </c>
      <c r="X6168">
        <v>1</v>
      </c>
      <c r="Y6168" t="s">
        <v>25933</v>
      </c>
      <c r="Z6168" t="s">
        <v>32583</v>
      </c>
      <c r="AA6168">
        <v>0.21327917884874081</v>
      </c>
      <c r="AB6168" t="str">
        <f>HYPERLINK("Melting_Curves/meltCurve_Q9P2N6_3_KANSL3.pdf", "Melting_Curves/meltCurve_Q9P2N6_3_KANSL3.pdf")</f>
        <v>Melting_Curves/meltCurve_Q9P2N6_3_KANSL3.pdf</v>
      </c>
    </row>
    <row r="6169" spans="1:28" x14ac:dyDescent="0.25">
      <c r="A6169" t="s">
        <v>6173</v>
      </c>
      <c r="B6169">
        <v>0.99193492352474899</v>
      </c>
      <c r="C6169">
        <v>1.5825721084839901</v>
      </c>
      <c r="D6169">
        <v>1.0881423172321301</v>
      </c>
      <c r="E6169">
        <v>1.0044627879063699</v>
      </c>
      <c r="F6169">
        <v>0.71660894977129097</v>
      </c>
      <c r="G6169">
        <v>0.91592576425512195</v>
      </c>
      <c r="H6169">
        <v>0.533403125273199</v>
      </c>
      <c r="I6169">
        <v>0.39394352819946499</v>
      </c>
      <c r="J6169">
        <v>0.17757684397165199</v>
      </c>
      <c r="K6169">
        <v>0.133313910125513</v>
      </c>
      <c r="L6169">
        <v>984.813918793624</v>
      </c>
      <c r="M6169">
        <v>15.954883906067799</v>
      </c>
      <c r="N6169">
        <v>61.724919236120101</v>
      </c>
      <c r="O6169">
        <v>60.7796709844066</v>
      </c>
      <c r="P6169">
        <v>-6.5631118260922605E-2</v>
      </c>
      <c r="Q6169">
        <v>0</v>
      </c>
      <c r="R6169">
        <v>0.776603036021006</v>
      </c>
      <c r="S6169" t="s">
        <v>12839</v>
      </c>
      <c r="T6169" t="s">
        <v>13338</v>
      </c>
      <c r="U6169" t="s">
        <v>13338</v>
      </c>
      <c r="V6169" t="s">
        <v>13338</v>
      </c>
      <c r="W6169" t="s">
        <v>19447</v>
      </c>
      <c r="X6169">
        <v>1</v>
      </c>
      <c r="Y6169" t="s">
        <v>25934</v>
      </c>
      <c r="Z6169" t="s">
        <v>32584</v>
      </c>
      <c r="AA6169">
        <v>0.72446539893837936</v>
      </c>
      <c r="AB6169" t="str">
        <f>HYPERLINK("Melting_Curves/meltCurve_Q9P2N7_2_KLHL13.pdf", "Melting_Curves/meltCurve_Q9P2N7_2_KLHL13.pdf")</f>
        <v>Melting_Curves/meltCurve_Q9P2N7_2_KLHL13.pdf</v>
      </c>
    </row>
    <row r="6170" spans="1:28" x14ac:dyDescent="0.25">
      <c r="A6170" t="s">
        <v>6174</v>
      </c>
      <c r="B6170">
        <v>0.99193492352474899</v>
      </c>
      <c r="C6170">
        <v>1.32686673492781</v>
      </c>
      <c r="D6170">
        <v>0.67218651075084501</v>
      </c>
      <c r="E6170">
        <v>0.239094180144478</v>
      </c>
      <c r="F6170">
        <v>0.1581493384862</v>
      </c>
      <c r="G6170">
        <v>9.9351627612908805E-2</v>
      </c>
      <c r="H6170">
        <v>5.7765229241250798E-2</v>
      </c>
      <c r="I6170">
        <v>7.4083621107714201E-2</v>
      </c>
      <c r="J6170">
        <v>9.8867962924388694E-2</v>
      </c>
      <c r="K6170">
        <v>0.101303275104216</v>
      </c>
      <c r="L6170">
        <v>2241.2969820522399</v>
      </c>
      <c r="M6170">
        <v>47.9732483967557</v>
      </c>
      <c r="N6170">
        <v>46.959644572873003</v>
      </c>
      <c r="O6170">
        <v>46.6387596395694</v>
      </c>
      <c r="P6170">
        <v>-0.22920457891131299</v>
      </c>
      <c r="Q6170">
        <v>0.108686057756448</v>
      </c>
      <c r="R6170">
        <v>0.93044673524951504</v>
      </c>
      <c r="S6170" t="s">
        <v>12840</v>
      </c>
      <c r="T6170" t="s">
        <v>13338</v>
      </c>
      <c r="U6170" t="s">
        <v>13338</v>
      </c>
      <c r="V6170" t="s">
        <v>13338</v>
      </c>
      <c r="W6170" t="s">
        <v>19448</v>
      </c>
      <c r="X6170">
        <v>9</v>
      </c>
      <c r="Y6170" t="s">
        <v>25935</v>
      </c>
      <c r="Z6170" t="s">
        <v>32585</v>
      </c>
      <c r="AA6170">
        <v>0.31033498527801251</v>
      </c>
      <c r="AB6170" t="str">
        <f>HYPERLINK("Melting_Curves/meltCurve_Q9P2R3_ANKFY1.pdf", "Melting_Curves/meltCurve_Q9P2R3_ANKFY1.pdf")</f>
        <v>Melting_Curves/meltCurve_Q9P2R3_ANKFY1.pdf</v>
      </c>
    </row>
    <row r="6171" spans="1:28" x14ac:dyDescent="0.25">
      <c r="A6171" t="s">
        <v>6175</v>
      </c>
      <c r="B6171">
        <v>0.99193492352474899</v>
      </c>
      <c r="C6171">
        <v>0.86700562568664596</v>
      </c>
      <c r="D6171">
        <v>0.49378058369413502</v>
      </c>
      <c r="E6171">
        <v>0.39954718210081402</v>
      </c>
      <c r="F6171">
        <v>0.24205958819998799</v>
      </c>
      <c r="G6171">
        <v>0.31778891771374101</v>
      </c>
      <c r="H6171">
        <v>0.620371089950567</v>
      </c>
      <c r="I6171">
        <v>0.765943069962843</v>
      </c>
      <c r="J6171">
        <v>0.91319817659970604</v>
      </c>
      <c r="K6171">
        <v>1.23856848755008</v>
      </c>
      <c r="L6171">
        <v>10750.8755345144</v>
      </c>
      <c r="M6171">
        <v>250</v>
      </c>
      <c r="O6171">
        <v>43.000769727729697</v>
      </c>
      <c r="P6171">
        <v>-0.54663706613972596</v>
      </c>
      <c r="Q6171">
        <v>0.62390713633891703</v>
      </c>
      <c r="R6171">
        <v>0.16615694311134199</v>
      </c>
      <c r="S6171" t="s">
        <v>12841</v>
      </c>
      <c r="T6171" t="s">
        <v>13338</v>
      </c>
      <c r="U6171" t="s">
        <v>13338</v>
      </c>
      <c r="V6171" t="s">
        <v>13338</v>
      </c>
      <c r="W6171" t="s">
        <v>19449</v>
      </c>
      <c r="X6171">
        <v>1</v>
      </c>
      <c r="Y6171" t="s">
        <v>25936</v>
      </c>
      <c r="Z6171" t="s">
        <v>32586</v>
      </c>
      <c r="AA6171">
        <v>0.66158871093023319</v>
      </c>
      <c r="AB6171" t="str">
        <f>HYPERLINK("Melting_Curves/meltCurve_Q9P2R6_RERE.pdf", "Melting_Curves/meltCurve_Q9P2R6_RERE.pdf")</f>
        <v>Melting_Curves/meltCurve_Q9P2R6_RERE.pdf</v>
      </c>
    </row>
    <row r="6172" spans="1:28" x14ac:dyDescent="0.25">
      <c r="A6172" t="s">
        <v>6176</v>
      </c>
      <c r="B6172">
        <v>0.99193492352474899</v>
      </c>
      <c r="C6172">
        <v>0.77549616810045097</v>
      </c>
      <c r="D6172">
        <v>0.65840968632570596</v>
      </c>
      <c r="E6172">
        <v>0.20123552423300101</v>
      </c>
      <c r="F6172">
        <v>0.171361868075012</v>
      </c>
      <c r="G6172">
        <v>9.9241500677321806E-2</v>
      </c>
      <c r="H6172">
        <v>7.3658133407492096E-2</v>
      </c>
      <c r="I6172">
        <v>7.1666813219731701E-2</v>
      </c>
      <c r="J6172">
        <v>7.7065539529698801E-2</v>
      </c>
      <c r="K6172">
        <v>9.9155349249387403E-2</v>
      </c>
      <c r="L6172">
        <v>945.54368172849195</v>
      </c>
      <c r="M6172">
        <v>20.374591486863299</v>
      </c>
      <c r="N6172">
        <v>46.7895848560144</v>
      </c>
      <c r="O6172">
        <v>45.9678591894953</v>
      </c>
      <c r="P6172">
        <v>-0.102329751700537</v>
      </c>
      <c r="Q6172">
        <v>7.6548349274917799E-2</v>
      </c>
      <c r="R6172">
        <v>0.98201321837601896</v>
      </c>
      <c r="S6172" t="s">
        <v>12842</v>
      </c>
      <c r="T6172" t="s">
        <v>13338</v>
      </c>
      <c r="U6172" t="s">
        <v>13338</v>
      </c>
      <c r="V6172" t="s">
        <v>13338</v>
      </c>
      <c r="W6172" t="s">
        <v>19450</v>
      </c>
      <c r="X6172">
        <v>5</v>
      </c>
      <c r="Y6172" t="s">
        <v>25937</v>
      </c>
      <c r="Z6172" t="s">
        <v>32587</v>
      </c>
      <c r="AA6172">
        <v>0.28713527679858059</v>
      </c>
      <c r="AB6172" t="str">
        <f>HYPERLINK("Melting_Curves/meltCurve_Q9P2W1_PSMC3IP.pdf", "Melting_Curves/meltCurve_Q9P2W1_PSMC3IP.pdf")</f>
        <v>Melting_Curves/meltCurve_Q9P2W1_PSMC3IP.pdf</v>
      </c>
    </row>
    <row r="6173" spans="1:28" x14ac:dyDescent="0.25">
      <c r="A6173" t="s">
        <v>6177</v>
      </c>
      <c r="B6173">
        <v>0.99193492352474899</v>
      </c>
      <c r="C6173">
        <v>0.72779093700119202</v>
      </c>
      <c r="D6173">
        <v>0.77283585368368601</v>
      </c>
      <c r="E6173">
        <v>0.54107844173495301</v>
      </c>
      <c r="F6173">
        <v>0.365901948068653</v>
      </c>
      <c r="G6173">
        <v>0.41177202916450401</v>
      </c>
      <c r="H6173">
        <v>0.17789240338221099</v>
      </c>
      <c r="I6173">
        <v>0.33646313979050801</v>
      </c>
      <c r="J6173">
        <v>0.53147799922869499</v>
      </c>
      <c r="K6173">
        <v>0.59033907393486496</v>
      </c>
      <c r="L6173">
        <v>775.29925889198</v>
      </c>
      <c r="M6173">
        <v>17.0041113430382</v>
      </c>
      <c r="N6173">
        <v>50.256066640123798</v>
      </c>
      <c r="O6173">
        <v>44.978230439508899</v>
      </c>
      <c r="P6173">
        <v>-5.70216548833304E-2</v>
      </c>
      <c r="Q6173">
        <v>0.39671674591873202</v>
      </c>
      <c r="R6173">
        <v>0.72402586492517496</v>
      </c>
      <c r="S6173" t="s">
        <v>12843</v>
      </c>
      <c r="T6173" t="s">
        <v>13338</v>
      </c>
      <c r="U6173" t="s">
        <v>13338</v>
      </c>
      <c r="V6173" t="s">
        <v>13338</v>
      </c>
      <c r="W6173" t="s">
        <v>19451</v>
      </c>
      <c r="X6173">
        <v>1</v>
      </c>
      <c r="Y6173" t="s">
        <v>25938</v>
      </c>
      <c r="Z6173" t="s">
        <v>32588</v>
      </c>
      <c r="AA6173">
        <v>0.52314028320406902</v>
      </c>
      <c r="AB6173" t="str">
        <f>HYPERLINK("Melting_Curves/meltCurve_Q9P2X0_DPM3.pdf", "Melting_Curves/meltCurve_Q9P2X0_DPM3.pdf")</f>
        <v>Melting_Curves/meltCurve_Q9P2X0_DPM3.pdf</v>
      </c>
    </row>
    <row r="6174" spans="1:28" x14ac:dyDescent="0.25">
      <c r="A6174" t="s">
        <v>6178</v>
      </c>
      <c r="B6174">
        <v>0.99193492352474899</v>
      </c>
      <c r="C6174">
        <v>1.18383071697193</v>
      </c>
      <c r="D6174">
        <v>1.01627492614957</v>
      </c>
      <c r="E6174">
        <v>0.52050682894181999</v>
      </c>
      <c r="F6174">
        <v>0</v>
      </c>
      <c r="G6174">
        <v>1.15624319581343</v>
      </c>
      <c r="H6174">
        <v>0.48113995080303401</v>
      </c>
      <c r="I6174">
        <v>0.801481535766431</v>
      </c>
      <c r="J6174">
        <v>0.70893239973324196</v>
      </c>
      <c r="K6174">
        <v>1.5792633110054299</v>
      </c>
      <c r="L6174">
        <v>15000</v>
      </c>
      <c r="M6174">
        <v>218.301693105287</v>
      </c>
      <c r="O6174">
        <v>68.706481154373805</v>
      </c>
      <c r="P6174">
        <v>0.39716357583942802</v>
      </c>
      <c r="Q6174">
        <v>1.5</v>
      </c>
      <c r="R6174">
        <v>4.66585114280718E-2</v>
      </c>
      <c r="S6174" t="s">
        <v>12844</v>
      </c>
      <c r="T6174" t="s">
        <v>13338</v>
      </c>
      <c r="U6174" t="s">
        <v>13338</v>
      </c>
      <c r="V6174" t="s">
        <v>13338</v>
      </c>
      <c r="W6174" t="s">
        <v>19452</v>
      </c>
      <c r="X6174">
        <v>2</v>
      </c>
      <c r="Y6174" t="s">
        <v>25939</v>
      </c>
      <c r="Z6174" t="s">
        <v>32589</v>
      </c>
      <c r="AA6174">
        <v>1.0214816465696701</v>
      </c>
      <c r="AB6174" t="str">
        <f>HYPERLINK("Melting_Curves/meltCurve_Q9P2Y4_ZNF219.pdf", "Melting_Curves/meltCurve_Q9P2Y4_ZNF219.pdf")</f>
        <v>Melting_Curves/meltCurve_Q9P2Y4_ZNF219.pdf</v>
      </c>
    </row>
    <row r="6175" spans="1:28" x14ac:dyDescent="0.25">
      <c r="A6175" t="s">
        <v>6179</v>
      </c>
      <c r="B6175">
        <v>0.99193492352474899</v>
      </c>
      <c r="C6175">
        <v>0.93405018246073601</v>
      </c>
      <c r="D6175">
        <v>0.88762558049900098</v>
      </c>
      <c r="E6175">
        <v>0.73758936784932905</v>
      </c>
      <c r="F6175">
        <v>0.36314311414831202</v>
      </c>
      <c r="G6175">
        <v>0.13633904167253499</v>
      </c>
      <c r="H6175">
        <v>8.3289571219084105E-2</v>
      </c>
      <c r="I6175">
        <v>7.0559097064154697E-2</v>
      </c>
      <c r="J6175">
        <v>9.0866317207633093E-2</v>
      </c>
      <c r="K6175">
        <v>9.1360393893107794E-2</v>
      </c>
      <c r="L6175">
        <v>1151.94322934106</v>
      </c>
      <c r="M6175">
        <v>22.435095175106699</v>
      </c>
      <c r="N6175">
        <v>51.682269459912597</v>
      </c>
      <c r="O6175">
        <v>50.942887046015997</v>
      </c>
      <c r="P6175">
        <v>-0.102616490883279</v>
      </c>
      <c r="Q6175">
        <v>6.7983339642465404E-2</v>
      </c>
      <c r="R6175">
        <v>0.99444434029793505</v>
      </c>
      <c r="S6175" t="s">
        <v>12845</v>
      </c>
      <c r="T6175" t="s">
        <v>13338</v>
      </c>
      <c r="U6175" t="s">
        <v>13338</v>
      </c>
      <c r="V6175" t="s">
        <v>13338</v>
      </c>
      <c r="W6175" t="s">
        <v>19453</v>
      </c>
      <c r="X6175">
        <v>7</v>
      </c>
      <c r="Y6175" t="s">
        <v>25940</v>
      </c>
      <c r="Z6175" t="s">
        <v>32590</v>
      </c>
      <c r="AA6175">
        <v>0.43087673513323133</v>
      </c>
      <c r="AB6175" t="str">
        <f>HYPERLINK("Melting_Curves/meltCurve_Q9P2Y5_UVRAG.pdf", "Melting_Curves/meltCurve_Q9P2Y5_UVRAG.pdf")</f>
        <v>Melting_Curves/meltCurve_Q9P2Y5_UVRAG.pdf</v>
      </c>
    </row>
    <row r="6176" spans="1:28" x14ac:dyDescent="0.25">
      <c r="A6176" t="s">
        <v>6180</v>
      </c>
      <c r="B6176">
        <v>0.99193492352474899</v>
      </c>
      <c r="C6176">
        <v>0.84174631078542494</v>
      </c>
      <c r="D6176">
        <v>0.87556118051099996</v>
      </c>
      <c r="E6176">
        <v>0.68600767156440501</v>
      </c>
      <c r="F6176">
        <v>0.22159306932337</v>
      </c>
      <c r="G6176">
        <v>9.4125260278782305E-2</v>
      </c>
      <c r="H6176">
        <v>6.3746272915833999E-2</v>
      </c>
      <c r="I6176">
        <v>7.6237988539450699E-2</v>
      </c>
      <c r="J6176">
        <v>8.4950370785082704E-2</v>
      </c>
      <c r="K6176">
        <v>8.9389929334906706E-2</v>
      </c>
      <c r="L6176">
        <v>1318.21473824485</v>
      </c>
      <c r="M6176">
        <v>26.134029159994999</v>
      </c>
      <c r="N6176">
        <v>50.716447626664802</v>
      </c>
      <c r="O6176">
        <v>50.147988976241699</v>
      </c>
      <c r="P6176">
        <v>-0.121652820822979</v>
      </c>
      <c r="Q6176">
        <v>6.6263324185957304E-2</v>
      </c>
      <c r="R6176">
        <v>0.97803965805050797</v>
      </c>
      <c r="S6176" t="s">
        <v>12846</v>
      </c>
      <c r="T6176" t="s">
        <v>13338</v>
      </c>
      <c r="U6176" t="s">
        <v>13338</v>
      </c>
      <c r="V6176" t="s">
        <v>13338</v>
      </c>
      <c r="W6176" t="s">
        <v>19454</v>
      </c>
      <c r="X6176">
        <v>21</v>
      </c>
      <c r="Y6176" t="s">
        <v>25941</v>
      </c>
      <c r="Z6176" t="s">
        <v>32591</v>
      </c>
      <c r="AA6176">
        <v>0.39889453044473389</v>
      </c>
      <c r="AB6176" t="str">
        <f>HYPERLINK("Melting_Curves/meltCurve_Q9UBB4_ATXN10.pdf", "Melting_Curves/meltCurve_Q9UBB4_ATXN10.pdf")</f>
        <v>Melting_Curves/meltCurve_Q9UBB4_ATXN10.pdf</v>
      </c>
    </row>
    <row r="6177" spans="1:28" x14ac:dyDescent="0.25">
      <c r="A6177" t="s">
        <v>6181</v>
      </c>
      <c r="B6177">
        <v>0.99193492352474899</v>
      </c>
      <c r="C6177">
        <v>0.58576717752864305</v>
      </c>
      <c r="D6177">
        <v>0.93587627675537399</v>
      </c>
      <c r="E6177">
        <v>0.363913559004862</v>
      </c>
      <c r="F6177">
        <v>0.306541506495625</v>
      </c>
      <c r="G6177">
        <v>0.110513154864521</v>
      </c>
      <c r="H6177">
        <v>0.20371823795619701</v>
      </c>
      <c r="I6177">
        <v>0.49517389760888197</v>
      </c>
      <c r="J6177">
        <v>1.0584810806342</v>
      </c>
      <c r="K6177">
        <v>1.6060523002101299</v>
      </c>
      <c r="L6177">
        <v>10152.190047768099</v>
      </c>
      <c r="M6177">
        <v>250</v>
      </c>
      <c r="O6177">
        <v>40.606161615386704</v>
      </c>
      <c r="P6177">
        <v>-0.57017264918606503</v>
      </c>
      <c r="Q6177">
        <v>0.62955963762453104</v>
      </c>
      <c r="R6177">
        <v>5.9235390242205997E-2</v>
      </c>
      <c r="S6177" t="s">
        <v>12847</v>
      </c>
      <c r="T6177" t="s">
        <v>13338</v>
      </c>
      <c r="U6177" t="s">
        <v>13338</v>
      </c>
      <c r="V6177" t="s">
        <v>13338</v>
      </c>
      <c r="W6177" t="s">
        <v>19455</v>
      </c>
      <c r="X6177">
        <v>1</v>
      </c>
      <c r="Y6177" t="s">
        <v>25942</v>
      </c>
      <c r="Z6177" t="s">
        <v>32592</v>
      </c>
      <c r="AA6177">
        <v>0.63714553398733176</v>
      </c>
      <c r="AB6177" t="str">
        <f>HYPERLINK("Melting_Curves/meltCurve_Q9UBB5_MBD2.pdf", "Melting_Curves/meltCurve_Q9UBB5_MBD2.pdf")</f>
        <v>Melting_Curves/meltCurve_Q9UBB5_MBD2.pdf</v>
      </c>
    </row>
    <row r="6178" spans="1:28" x14ac:dyDescent="0.25">
      <c r="A6178" t="s">
        <v>6182</v>
      </c>
      <c r="B6178">
        <v>0.99193492352474899</v>
      </c>
      <c r="C6178">
        <v>0.80349192887231002</v>
      </c>
      <c r="D6178">
        <v>0.76114760537959603</v>
      </c>
      <c r="E6178">
        <v>0.23444567932143701</v>
      </c>
      <c r="F6178">
        <v>0.17042625882569401</v>
      </c>
      <c r="G6178">
        <v>9.0367516053121003E-2</v>
      </c>
      <c r="H6178">
        <v>5.61739152993775E-2</v>
      </c>
      <c r="I6178">
        <v>6.5416875560664597E-2</v>
      </c>
      <c r="J6178">
        <v>6.6585098443680796E-2</v>
      </c>
      <c r="K6178">
        <v>3.8144652877329502E-2</v>
      </c>
      <c r="L6178">
        <v>1033.5746987693101</v>
      </c>
      <c r="M6178">
        <v>21.845616585307901</v>
      </c>
      <c r="N6178">
        <v>47.5722825394298</v>
      </c>
      <c r="O6178">
        <v>46.921573507349798</v>
      </c>
      <c r="P6178">
        <v>-0.10985699758439001</v>
      </c>
      <c r="Q6178">
        <v>5.6186884007876303E-2</v>
      </c>
      <c r="R6178">
        <v>0.97815873263627295</v>
      </c>
      <c r="S6178" t="s">
        <v>12848</v>
      </c>
      <c r="T6178" t="s">
        <v>13338</v>
      </c>
      <c r="U6178" t="s">
        <v>13338</v>
      </c>
      <c r="V6178" t="s">
        <v>13338</v>
      </c>
      <c r="W6178" t="s">
        <v>19456</v>
      </c>
      <c r="X6178">
        <v>6</v>
      </c>
      <c r="Y6178" t="s">
        <v>25943</v>
      </c>
      <c r="Z6178" t="s">
        <v>32593</v>
      </c>
      <c r="AA6178">
        <v>0.29750739246768659</v>
      </c>
      <c r="AB6178" t="str">
        <f>HYPERLINK("Melting_Curves/meltCurve_Q9UBB6_2_NCDN.pdf", "Melting_Curves/meltCurve_Q9UBB6_2_NCDN.pdf")</f>
        <v>Melting_Curves/meltCurve_Q9UBB6_2_NCDN.pdf</v>
      </c>
    </row>
    <row r="6179" spans="1:28" x14ac:dyDescent="0.25">
      <c r="A6179" t="s">
        <v>6183</v>
      </c>
      <c r="B6179">
        <v>0.99193492352474899</v>
      </c>
      <c r="C6179">
        <v>0.62416871850522804</v>
      </c>
      <c r="D6179">
        <v>0.56643178664979599</v>
      </c>
      <c r="E6179">
        <v>0.21352604875673301</v>
      </c>
      <c r="F6179">
        <v>0.20071084753012899</v>
      </c>
      <c r="G6179">
        <v>9.8244500451468597E-2</v>
      </c>
      <c r="H6179">
        <v>6.4375805229216002E-2</v>
      </c>
      <c r="I6179">
        <v>7.0724203138814001E-2</v>
      </c>
      <c r="J6179">
        <v>8.0855623921758699E-2</v>
      </c>
      <c r="K6179">
        <v>0.11795628107056701</v>
      </c>
      <c r="L6179">
        <v>722.73695046048999</v>
      </c>
      <c r="M6179">
        <v>15.9408191006483</v>
      </c>
      <c r="N6179">
        <v>45.8214638535473</v>
      </c>
      <c r="O6179">
        <v>44.643246452467402</v>
      </c>
      <c r="P6179">
        <v>-8.2374572853730094E-2</v>
      </c>
      <c r="Q6179">
        <v>7.7293156859540593E-2</v>
      </c>
      <c r="R6179">
        <v>0.96242410326976502</v>
      </c>
      <c r="S6179" t="s">
        <v>12849</v>
      </c>
      <c r="T6179" t="s">
        <v>13338</v>
      </c>
      <c r="U6179" t="s">
        <v>13338</v>
      </c>
      <c r="V6179" t="s">
        <v>13338</v>
      </c>
      <c r="W6179" t="s">
        <v>19457</v>
      </c>
      <c r="X6179">
        <v>15</v>
      </c>
      <c r="Y6179" t="s">
        <v>25944</v>
      </c>
      <c r="Z6179" t="s">
        <v>32594</v>
      </c>
      <c r="AA6179">
        <v>0.26662587550113181</v>
      </c>
      <c r="AB6179" t="str">
        <f>HYPERLINK("Melting_Curves/meltCurve_Q9UBB9_TFIP11.pdf", "Melting_Curves/meltCurve_Q9UBB9_TFIP11.pdf")</f>
        <v>Melting_Curves/meltCurve_Q9UBB9_TFIP11.pdf</v>
      </c>
    </row>
    <row r="6180" spans="1:28" x14ac:dyDescent="0.25">
      <c r="A6180" t="s">
        <v>6184</v>
      </c>
      <c r="B6180">
        <v>0.99193492352474899</v>
      </c>
      <c r="C6180">
        <v>0.76623274860405</v>
      </c>
      <c r="D6180">
        <v>0.74086465804771495</v>
      </c>
      <c r="E6180">
        <v>0.37615124886739298</v>
      </c>
      <c r="F6180">
        <v>0.20372650193299799</v>
      </c>
      <c r="G6180">
        <v>0.115266981378539</v>
      </c>
      <c r="H6180">
        <v>0.103529293190095</v>
      </c>
      <c r="I6180">
        <v>0.12503017184481099</v>
      </c>
      <c r="J6180">
        <v>0.164030369237851</v>
      </c>
      <c r="K6180">
        <v>0.18415409693775101</v>
      </c>
      <c r="L6180">
        <v>851.51294258308303</v>
      </c>
      <c r="M6180">
        <v>18.038082062061999</v>
      </c>
      <c r="N6180">
        <v>47.960341723291201</v>
      </c>
      <c r="O6180">
        <v>46.637681488813499</v>
      </c>
      <c r="P6180">
        <v>-8.4759978355208099E-2</v>
      </c>
      <c r="Q6180">
        <v>0.123451053508531</v>
      </c>
      <c r="R6180">
        <v>0.97187637054890996</v>
      </c>
      <c r="S6180" t="s">
        <v>12850</v>
      </c>
      <c r="T6180" t="s">
        <v>13338</v>
      </c>
      <c r="U6180" t="s">
        <v>13338</v>
      </c>
      <c r="V6180" t="s">
        <v>13338</v>
      </c>
      <c r="W6180" t="s">
        <v>19458</v>
      </c>
      <c r="X6180">
        <v>28</v>
      </c>
      <c r="Y6180" t="s">
        <v>21107</v>
      </c>
      <c r="Z6180" t="s">
        <v>32595</v>
      </c>
      <c r="AA6180">
        <v>0.3499531804002195</v>
      </c>
      <c r="AB6180" t="str">
        <f>HYPERLINK("Melting_Curves/meltCurve_Q9UBC2_2_EPS15L1.pdf", "Melting_Curves/meltCurve_Q9UBC2_2_EPS15L1.pdf")</f>
        <v>Melting_Curves/meltCurve_Q9UBC2_2_EPS15L1.pdf</v>
      </c>
    </row>
    <row r="6181" spans="1:28" x14ac:dyDescent="0.25">
      <c r="A6181" t="s">
        <v>6185</v>
      </c>
      <c r="B6181">
        <v>0.99193492352474899</v>
      </c>
      <c r="C6181">
        <v>0.61933975426345</v>
      </c>
      <c r="D6181">
        <v>0.66959634887272401</v>
      </c>
      <c r="E6181">
        <v>0.29929170111216102</v>
      </c>
      <c r="F6181">
        <v>0.16832519407983201</v>
      </c>
      <c r="G6181">
        <v>0.12548139394514801</v>
      </c>
      <c r="H6181">
        <v>0.109207550093154</v>
      </c>
      <c r="I6181">
        <v>0.13282673713493301</v>
      </c>
      <c r="J6181">
        <v>7.1882896508392094E-2</v>
      </c>
      <c r="K6181">
        <v>0.22699523674642799</v>
      </c>
      <c r="L6181">
        <v>705.76793066554399</v>
      </c>
      <c r="M6181">
        <v>15.403639200013201</v>
      </c>
      <c r="N6181">
        <v>46.593663468644998</v>
      </c>
      <c r="O6181">
        <v>45.066867142145902</v>
      </c>
      <c r="P6181">
        <v>-7.5794644280572199E-2</v>
      </c>
      <c r="Q6181">
        <v>0.113062556997455</v>
      </c>
      <c r="R6181">
        <v>0.92818406354814298</v>
      </c>
      <c r="S6181" t="s">
        <v>12851</v>
      </c>
      <c r="T6181" t="s">
        <v>13338</v>
      </c>
      <c r="U6181" t="s">
        <v>13338</v>
      </c>
      <c r="V6181" t="s">
        <v>13338</v>
      </c>
      <c r="W6181" t="s">
        <v>19459</v>
      </c>
      <c r="X6181">
        <v>4</v>
      </c>
      <c r="Y6181" t="s">
        <v>25945</v>
      </c>
      <c r="Z6181" t="s">
        <v>32596</v>
      </c>
      <c r="AA6181">
        <v>0.30994434468162468</v>
      </c>
      <c r="AB6181" t="str">
        <f>HYPERLINK("Melting_Curves/meltCurve_Q9UBC3_7_DNMT3B.pdf", "Melting_Curves/meltCurve_Q9UBC3_7_DNMT3B.pdf")</f>
        <v>Melting_Curves/meltCurve_Q9UBC3_7_DNMT3B.pdf</v>
      </c>
    </row>
    <row r="6182" spans="1:28" x14ac:dyDescent="0.25">
      <c r="A6182" t="s">
        <v>6186</v>
      </c>
      <c r="B6182">
        <v>0.99193492352474899</v>
      </c>
      <c r="C6182">
        <v>0.86590793287127499</v>
      </c>
      <c r="D6182">
        <v>0.77501347275981902</v>
      </c>
      <c r="E6182">
        <v>0.41659382835442699</v>
      </c>
      <c r="F6182">
        <v>0.22969298133150301</v>
      </c>
      <c r="G6182">
        <v>9.5734271921740693E-2</v>
      </c>
      <c r="H6182">
        <v>6.5777593209760302E-2</v>
      </c>
      <c r="I6182">
        <v>7.6501749304864405E-2</v>
      </c>
      <c r="J6182">
        <v>9.7350227647685694E-2</v>
      </c>
      <c r="K6182">
        <v>0.10280918541331301</v>
      </c>
      <c r="L6182">
        <v>910.22850301852395</v>
      </c>
      <c r="M6182">
        <v>18.8314677582669</v>
      </c>
      <c r="N6182">
        <v>48.742261348622101</v>
      </c>
      <c r="O6182">
        <v>47.800335197643903</v>
      </c>
      <c r="P6182">
        <v>-9.1332614650727104E-2</v>
      </c>
      <c r="Q6182">
        <v>7.2711832758270603E-2</v>
      </c>
      <c r="R6182">
        <v>0.99392013439756199</v>
      </c>
      <c r="S6182" t="s">
        <v>12852</v>
      </c>
      <c r="T6182" t="s">
        <v>13338</v>
      </c>
      <c r="U6182" t="s">
        <v>13338</v>
      </c>
      <c r="V6182" t="s">
        <v>13338</v>
      </c>
      <c r="W6182" t="s">
        <v>19460</v>
      </c>
      <c r="X6182">
        <v>7</v>
      </c>
      <c r="Y6182" t="s">
        <v>25946</v>
      </c>
      <c r="Z6182" t="s">
        <v>32597</v>
      </c>
      <c r="AA6182">
        <v>0.34520601120051031</v>
      </c>
      <c r="AB6182" t="str">
        <f>HYPERLINK("Melting_Curves/meltCurve_Q9UBD5_2_ORC3.pdf", "Melting_Curves/meltCurve_Q9UBD5_2_ORC3.pdf")</f>
        <v>Melting_Curves/meltCurve_Q9UBD5_2_ORC3.pdf</v>
      </c>
    </row>
    <row r="6183" spans="1:28" x14ac:dyDescent="0.25">
      <c r="A6183" t="s">
        <v>6187</v>
      </c>
      <c r="B6183">
        <v>0.99193492352474899</v>
      </c>
      <c r="C6183">
        <v>0.71714562921311298</v>
      </c>
      <c r="D6183">
        <v>0.84380233088637602</v>
      </c>
      <c r="E6183">
        <v>0.66288710583339605</v>
      </c>
      <c r="F6183">
        <v>0.59645454762442496</v>
      </c>
      <c r="G6183">
        <v>0.40854576809241</v>
      </c>
      <c r="H6183">
        <v>0.33302455495800998</v>
      </c>
      <c r="I6183">
        <v>0.37651445650340898</v>
      </c>
      <c r="J6183">
        <v>0.25127367650224403</v>
      </c>
      <c r="K6183">
        <v>0.56241892884956701</v>
      </c>
      <c r="L6183">
        <v>504.99152445614902</v>
      </c>
      <c r="M6183">
        <v>10.3585400801355</v>
      </c>
      <c r="N6183">
        <v>54.728705487241101</v>
      </c>
      <c r="O6183">
        <v>47.039252243832301</v>
      </c>
      <c r="P6183">
        <v>-3.6421617372043899E-2</v>
      </c>
      <c r="Q6183">
        <v>0.33870316559335201</v>
      </c>
      <c r="R6183">
        <v>0.80179634430257796</v>
      </c>
      <c r="S6183" t="s">
        <v>12853</v>
      </c>
      <c r="T6183" t="s">
        <v>13338</v>
      </c>
      <c r="U6183" t="s">
        <v>13338</v>
      </c>
      <c r="V6183" t="s">
        <v>13338</v>
      </c>
      <c r="W6183" t="s">
        <v>19461</v>
      </c>
      <c r="X6183">
        <v>2</v>
      </c>
      <c r="Y6183" t="s">
        <v>25947</v>
      </c>
      <c r="Z6183" t="s">
        <v>32598</v>
      </c>
      <c r="AA6183">
        <v>0.56290291032853268</v>
      </c>
      <c r="AB6183" t="str">
        <f>HYPERLINK("Melting_Curves/meltCurve_Q9UBD8_CLN3.pdf", "Melting_Curves/meltCurve_Q9UBD8_CLN3.pdf")</f>
        <v>Melting_Curves/meltCurve_Q9UBD8_CLN3.pdf</v>
      </c>
    </row>
    <row r="6184" spans="1:28" x14ac:dyDescent="0.25">
      <c r="A6184" t="s">
        <v>6188</v>
      </c>
      <c r="B6184">
        <v>0.99193492352474899</v>
      </c>
      <c r="C6184">
        <v>0.85105835938179497</v>
      </c>
      <c r="D6184">
        <v>0.91788068654956301</v>
      </c>
      <c r="E6184">
        <v>0.68211144253469302</v>
      </c>
      <c r="F6184">
        <v>0.36809533544019002</v>
      </c>
      <c r="G6184">
        <v>0.16211291724232699</v>
      </c>
      <c r="H6184">
        <v>7.5569608917229497E-2</v>
      </c>
      <c r="I6184">
        <v>8.6202699322219495E-2</v>
      </c>
      <c r="J6184">
        <v>9.2138849451011695E-2</v>
      </c>
      <c r="K6184">
        <v>8.0903094099214104E-2</v>
      </c>
      <c r="L6184">
        <v>982.41582278364899</v>
      </c>
      <c r="M6184">
        <v>19.2138689411013</v>
      </c>
      <c r="N6184">
        <v>51.486953619646798</v>
      </c>
      <c r="O6184">
        <v>50.586356437633</v>
      </c>
      <c r="P6184">
        <v>-8.9046637346972504E-2</v>
      </c>
      <c r="Q6184">
        <v>6.2266291537458697E-2</v>
      </c>
      <c r="R6184">
        <v>0.98645335490073505</v>
      </c>
      <c r="S6184" t="s">
        <v>12854</v>
      </c>
      <c r="T6184" t="s">
        <v>13338</v>
      </c>
      <c r="U6184" t="s">
        <v>13338</v>
      </c>
      <c r="V6184" t="s">
        <v>13338</v>
      </c>
      <c r="W6184" t="s">
        <v>19462</v>
      </c>
      <c r="X6184">
        <v>29</v>
      </c>
      <c r="Y6184" t="s">
        <v>25948</v>
      </c>
      <c r="Z6184" t="s">
        <v>32599</v>
      </c>
      <c r="AA6184">
        <v>0.42419750019945862</v>
      </c>
      <c r="AB6184" t="str">
        <f>HYPERLINK("Melting_Curves/meltCurve_Q9UBE0_SAE1.pdf", "Melting_Curves/meltCurve_Q9UBE0_SAE1.pdf")</f>
        <v>Melting_Curves/meltCurve_Q9UBE0_SAE1.pdf</v>
      </c>
    </row>
    <row r="6185" spans="1:28" x14ac:dyDescent="0.25">
      <c r="A6185" t="s">
        <v>6189</v>
      </c>
      <c r="B6185">
        <v>0.99193492352474899</v>
      </c>
      <c r="C6185">
        <v>0.94595731035522002</v>
      </c>
      <c r="D6185">
        <v>1.08830307465499</v>
      </c>
      <c r="E6185">
        <v>0.85617533541450597</v>
      </c>
      <c r="F6185">
        <v>0.61385310112213298</v>
      </c>
      <c r="G6185">
        <v>0.17281344833238799</v>
      </c>
      <c r="H6185">
        <v>8.4227830382928803E-2</v>
      </c>
      <c r="I6185">
        <v>8.1336012195139001E-2</v>
      </c>
      <c r="J6185">
        <v>9.3754025748360004E-2</v>
      </c>
      <c r="K6185">
        <v>7.6697889611914802E-2</v>
      </c>
      <c r="L6185">
        <v>1644.2840315835099</v>
      </c>
      <c r="M6185">
        <v>30.7250210774923</v>
      </c>
      <c r="N6185">
        <v>53.787841135475702</v>
      </c>
      <c r="O6185">
        <v>53.290956425378198</v>
      </c>
      <c r="P6185">
        <v>-0.13377770691971599</v>
      </c>
      <c r="Q6185">
        <v>7.1883522213192302E-2</v>
      </c>
      <c r="R6185">
        <v>0.98872798685502905</v>
      </c>
      <c r="S6185" t="s">
        <v>12855</v>
      </c>
      <c r="T6185" t="s">
        <v>13338</v>
      </c>
      <c r="U6185" t="s">
        <v>13338</v>
      </c>
      <c r="V6185" t="s">
        <v>13338</v>
      </c>
      <c r="W6185" t="s">
        <v>19463</v>
      </c>
      <c r="X6185">
        <v>25</v>
      </c>
      <c r="Y6185" t="s">
        <v>25949</v>
      </c>
      <c r="Z6185" t="s">
        <v>32600</v>
      </c>
      <c r="AA6185">
        <v>0.49581991208831028</v>
      </c>
      <c r="AB6185" t="str">
        <f>HYPERLINK("Melting_Curves/meltCurve_Q9UBF2_COPG2.pdf", "Melting_Curves/meltCurve_Q9UBF2_COPG2.pdf")</f>
        <v>Melting_Curves/meltCurve_Q9UBF2_COPG2.pdf</v>
      </c>
    </row>
    <row r="6186" spans="1:28" x14ac:dyDescent="0.25">
      <c r="A6186" t="s">
        <v>6190</v>
      </c>
      <c r="B6186">
        <v>0.99193492352474899</v>
      </c>
      <c r="C6186">
        <v>1.0999005579643</v>
      </c>
      <c r="D6186">
        <v>1.06381901095951</v>
      </c>
      <c r="E6186">
        <v>1.08026764535474</v>
      </c>
      <c r="F6186">
        <v>1.08904803426823</v>
      </c>
      <c r="G6186">
        <v>0.728362935803888</v>
      </c>
      <c r="H6186">
        <v>0.35565532473661199</v>
      </c>
      <c r="I6186">
        <v>0.45714131968454302</v>
      </c>
      <c r="J6186">
        <v>0.45885578160211998</v>
      </c>
      <c r="K6186">
        <v>0.57669376168126596</v>
      </c>
      <c r="L6186">
        <v>14198.8678573999</v>
      </c>
      <c r="M6186">
        <v>250</v>
      </c>
      <c r="N6186">
        <v>57.387551666796199</v>
      </c>
      <c r="O6186">
        <v>56.791816466436998</v>
      </c>
      <c r="P6186">
        <v>-0.59197928655605003</v>
      </c>
      <c r="Q6186">
        <v>0.46208654213377198</v>
      </c>
      <c r="R6186">
        <v>0.93720953952592201</v>
      </c>
      <c r="S6186" t="s">
        <v>12856</v>
      </c>
      <c r="T6186" t="s">
        <v>13338</v>
      </c>
      <c r="U6186" t="s">
        <v>13338</v>
      </c>
      <c r="V6186" t="s">
        <v>13338</v>
      </c>
      <c r="W6186" t="s">
        <v>19464</v>
      </c>
      <c r="X6186">
        <v>2</v>
      </c>
      <c r="Y6186" t="s">
        <v>25950</v>
      </c>
      <c r="Z6186" t="s">
        <v>32601</v>
      </c>
      <c r="AA6186">
        <v>0.76329049585459563</v>
      </c>
      <c r="AB6186" t="str">
        <f>HYPERLINK("Melting_Curves/meltCurve_Q9UBF6_RNF7.pdf", "Melting_Curves/meltCurve_Q9UBF6_RNF7.pdf")</f>
        <v>Melting_Curves/meltCurve_Q9UBF6_RNF7.pdf</v>
      </c>
    </row>
    <row r="6187" spans="1:28" x14ac:dyDescent="0.25">
      <c r="A6187" t="s">
        <v>6191</v>
      </c>
      <c r="B6187">
        <v>0.99193492352474899</v>
      </c>
      <c r="C6187">
        <v>0.95462137904243205</v>
      </c>
      <c r="D6187">
        <v>1.0037322161448501</v>
      </c>
      <c r="E6187">
        <v>0.80933126241464104</v>
      </c>
      <c r="F6187">
        <v>0.50951943849854098</v>
      </c>
      <c r="G6187">
        <v>0.18996535271235199</v>
      </c>
      <c r="H6187">
        <v>0.108918854882453</v>
      </c>
      <c r="I6187">
        <v>0.136016931830341</v>
      </c>
      <c r="J6187">
        <v>0.134867665390076</v>
      </c>
      <c r="K6187">
        <v>9.7605291628388199E-2</v>
      </c>
      <c r="L6187">
        <v>1347.9402335714601</v>
      </c>
      <c r="M6187">
        <v>25.669575082876399</v>
      </c>
      <c r="N6187">
        <v>53.005189476844102</v>
      </c>
      <c r="O6187">
        <v>52.195632559409503</v>
      </c>
      <c r="P6187">
        <v>-0.109870842765989</v>
      </c>
      <c r="Q6187">
        <v>0.106380608029949</v>
      </c>
      <c r="R6187">
        <v>0.995349845854403</v>
      </c>
      <c r="S6187" t="s">
        <v>12857</v>
      </c>
      <c r="T6187" t="s">
        <v>13338</v>
      </c>
      <c r="U6187" t="s">
        <v>13338</v>
      </c>
      <c r="V6187" t="s">
        <v>13338</v>
      </c>
      <c r="W6187" t="s">
        <v>19465</v>
      </c>
      <c r="X6187">
        <v>6</v>
      </c>
      <c r="Y6187" t="s">
        <v>25951</v>
      </c>
      <c r="Z6187" t="s">
        <v>32602</v>
      </c>
      <c r="AA6187">
        <v>0.48684887377156932</v>
      </c>
      <c r="AB6187" t="str">
        <f>HYPERLINK("Melting_Curves/meltCurve_Q9UBF8_2_PI4KB.pdf", "Melting_Curves/meltCurve_Q9UBF8_2_PI4KB.pdf")</f>
        <v>Melting_Curves/meltCurve_Q9UBF8_2_PI4KB.pdf</v>
      </c>
    </row>
    <row r="6188" spans="1:28" x14ac:dyDescent="0.25">
      <c r="A6188" t="s">
        <v>6192</v>
      </c>
      <c r="B6188">
        <v>0.99193492352474899</v>
      </c>
      <c r="C6188">
        <v>0.97194085413431996</v>
      </c>
      <c r="D6188">
        <v>0.91732488857825201</v>
      </c>
      <c r="E6188">
        <v>0.65478018744922994</v>
      </c>
      <c r="F6188">
        <v>0.45220309817848398</v>
      </c>
      <c r="G6188">
        <v>0.25237214847682898</v>
      </c>
      <c r="H6188">
        <v>0.17508637730188101</v>
      </c>
      <c r="I6188">
        <v>0.18930227391535701</v>
      </c>
      <c r="J6188">
        <v>0.19234831857096499</v>
      </c>
      <c r="K6188">
        <v>0.28834472612977702</v>
      </c>
      <c r="L6188">
        <v>1048.0180914729899</v>
      </c>
      <c r="M6188">
        <v>20.7428786246955</v>
      </c>
      <c r="N6188">
        <v>51.817763129197601</v>
      </c>
      <c r="O6188">
        <v>50.061685624722699</v>
      </c>
      <c r="P6188">
        <v>-8.2655484798223697E-2</v>
      </c>
      <c r="Q6188">
        <v>0.20208640196754701</v>
      </c>
      <c r="R6188">
        <v>0.98757019666601198</v>
      </c>
      <c r="S6188" t="s">
        <v>12858</v>
      </c>
      <c r="T6188" t="s">
        <v>13338</v>
      </c>
      <c r="U6188" t="s">
        <v>13338</v>
      </c>
      <c r="V6188" t="s">
        <v>13338</v>
      </c>
      <c r="W6188" t="s">
        <v>19466</v>
      </c>
      <c r="X6188">
        <v>4</v>
      </c>
      <c r="Y6188" t="s">
        <v>25952</v>
      </c>
      <c r="Z6188" t="s">
        <v>32603</v>
      </c>
      <c r="AA6188">
        <v>0.49234109384394981</v>
      </c>
      <c r="AB6188" t="str">
        <f>HYPERLINK("Melting_Curves/meltCurve_Q9UBG0_MRC2.pdf", "Melting_Curves/meltCurve_Q9UBG0_MRC2.pdf")</f>
        <v>Melting_Curves/meltCurve_Q9UBG0_MRC2.pdf</v>
      </c>
    </row>
    <row r="6189" spans="1:28" x14ac:dyDescent="0.25">
      <c r="A6189" t="s">
        <v>6193</v>
      </c>
      <c r="B6189">
        <v>0.99193492352474899</v>
      </c>
      <c r="C6189">
        <v>0.895278856140449</v>
      </c>
      <c r="D6189">
        <v>0.81360860926835699</v>
      </c>
      <c r="E6189">
        <v>0.50535893767838003</v>
      </c>
      <c r="F6189">
        <v>0.26744098207492001</v>
      </c>
      <c r="G6189">
        <v>0.15733749990471099</v>
      </c>
      <c r="H6189">
        <v>7.7717578451175703E-2</v>
      </c>
      <c r="I6189">
        <v>8.8593853915498205E-2</v>
      </c>
      <c r="J6189">
        <v>0.11606498079413199</v>
      </c>
      <c r="K6189">
        <v>0.13084759521380701</v>
      </c>
      <c r="L6189">
        <v>909.32712570272395</v>
      </c>
      <c r="M6189">
        <v>18.526978978658899</v>
      </c>
      <c r="N6189">
        <v>49.626756617977001</v>
      </c>
      <c r="O6189">
        <v>48.520146612760797</v>
      </c>
      <c r="P6189">
        <v>-8.6669480277444297E-2</v>
      </c>
      <c r="Q6189">
        <v>9.2128140500757696E-2</v>
      </c>
      <c r="R6189">
        <v>0.99521873266452598</v>
      </c>
      <c r="S6189" t="s">
        <v>12859</v>
      </c>
      <c r="T6189" t="s">
        <v>13338</v>
      </c>
      <c r="U6189" t="s">
        <v>13338</v>
      </c>
      <c r="V6189" t="s">
        <v>13338</v>
      </c>
      <c r="W6189" t="s">
        <v>19467</v>
      </c>
      <c r="X6189">
        <v>10</v>
      </c>
      <c r="Y6189" t="s">
        <v>25953</v>
      </c>
      <c r="Z6189" t="s">
        <v>32604</v>
      </c>
      <c r="AA6189">
        <v>0.38177228622758358</v>
      </c>
      <c r="AB6189" t="str">
        <f>HYPERLINK("Melting_Curves/meltCurve_Q9UBK8_2_MTRR.pdf", "Melting_Curves/meltCurve_Q9UBK8_2_MTRR.pdf")</f>
        <v>Melting_Curves/meltCurve_Q9UBK8_2_MTRR.pdf</v>
      </c>
    </row>
    <row r="6190" spans="1:28" x14ac:dyDescent="0.25">
      <c r="A6190" t="s">
        <v>6194</v>
      </c>
      <c r="B6190">
        <v>0.99193492352474899</v>
      </c>
      <c r="C6190">
        <v>0.79489804856122104</v>
      </c>
      <c r="D6190">
        <v>0.82462858895153401</v>
      </c>
      <c r="E6190">
        <v>0.64618520234285803</v>
      </c>
      <c r="F6190">
        <v>0.70965783229471202</v>
      </c>
      <c r="G6190">
        <v>0.399564758323324</v>
      </c>
      <c r="H6190">
        <v>0.136612680216006</v>
      </c>
      <c r="I6190">
        <v>0.152961613151127</v>
      </c>
      <c r="J6190">
        <v>0.153751884609649</v>
      </c>
      <c r="K6190">
        <v>0.222209487849304</v>
      </c>
      <c r="L6190">
        <v>478.60803708178702</v>
      </c>
      <c r="M6190">
        <v>8.8642908875219906</v>
      </c>
      <c r="N6190">
        <v>54.089183289361699</v>
      </c>
      <c r="O6190">
        <v>51.456795469643097</v>
      </c>
      <c r="P6190">
        <v>-4.27621340134553E-2</v>
      </c>
      <c r="Q6190">
        <v>7.8343730417733196E-3</v>
      </c>
      <c r="R6190">
        <v>0.91856922097787397</v>
      </c>
      <c r="S6190" t="s">
        <v>12860</v>
      </c>
      <c r="T6190" t="s">
        <v>13338</v>
      </c>
      <c r="U6190" t="s">
        <v>13338</v>
      </c>
      <c r="V6190" t="s">
        <v>13338</v>
      </c>
      <c r="W6190" t="s">
        <v>19468</v>
      </c>
      <c r="X6190">
        <v>5</v>
      </c>
      <c r="Y6190" t="s">
        <v>25954</v>
      </c>
      <c r="Z6190" t="s">
        <v>32605</v>
      </c>
      <c r="AA6190">
        <v>0.50287940849554236</v>
      </c>
      <c r="AB6190" t="str">
        <f>HYPERLINK("Melting_Curves/meltCurve_Q9UBK9_UXT.pdf", "Melting_Curves/meltCurve_Q9UBK9_UXT.pdf")</f>
        <v>Melting_Curves/meltCurve_Q9UBK9_UXT.pdf</v>
      </c>
    </row>
    <row r="6191" spans="1:28" x14ac:dyDescent="0.25">
      <c r="A6191" t="s">
        <v>6195</v>
      </c>
      <c r="B6191">
        <v>0.99193492352474899</v>
      </c>
      <c r="C6191">
        <v>0.92261909280018395</v>
      </c>
      <c r="D6191">
        <v>0.779478300354287</v>
      </c>
      <c r="E6191">
        <v>0.43728108420109801</v>
      </c>
      <c r="F6191">
        <v>0.27057012385856</v>
      </c>
      <c r="G6191">
        <v>0.20637291733036001</v>
      </c>
      <c r="H6191">
        <v>0.12304518887612099</v>
      </c>
      <c r="I6191">
        <v>0.132986787982419</v>
      </c>
      <c r="J6191">
        <v>0.14558681298603099</v>
      </c>
      <c r="K6191">
        <v>0.18398605717831901</v>
      </c>
      <c r="L6191">
        <v>977.30085614162601</v>
      </c>
      <c r="M6191">
        <v>20.278986479887301</v>
      </c>
      <c r="N6191">
        <v>49.035053779488699</v>
      </c>
      <c r="O6191">
        <v>47.731486954479401</v>
      </c>
      <c r="P6191">
        <v>-9.0596146359617699E-2</v>
      </c>
      <c r="Q6191">
        <v>0.147066734360141</v>
      </c>
      <c r="R6191">
        <v>0.99599108578448903</v>
      </c>
      <c r="S6191" t="s">
        <v>12861</v>
      </c>
      <c r="T6191" t="s">
        <v>13338</v>
      </c>
      <c r="U6191" t="s">
        <v>13338</v>
      </c>
      <c r="V6191" t="s">
        <v>13338</v>
      </c>
      <c r="W6191" t="s">
        <v>19469</v>
      </c>
      <c r="X6191">
        <v>4</v>
      </c>
      <c r="Y6191" t="s">
        <v>25955</v>
      </c>
      <c r="Z6191" t="s">
        <v>32606</v>
      </c>
      <c r="AA6191">
        <v>0.3917260842435471</v>
      </c>
      <c r="AB6191" t="str">
        <f>HYPERLINK("Melting_Curves/meltCurve_Q9UBL0_ARPP21.pdf", "Melting_Curves/meltCurve_Q9UBL0_ARPP21.pdf")</f>
        <v>Melting_Curves/meltCurve_Q9UBL0_ARPP21.pdf</v>
      </c>
    </row>
    <row r="6192" spans="1:28" x14ac:dyDescent="0.25">
      <c r="A6192" t="s">
        <v>6196</v>
      </c>
      <c r="B6192">
        <v>0.99193492352474899</v>
      </c>
      <c r="C6192">
        <v>0.680188706374796</v>
      </c>
      <c r="D6192">
        <v>0.88304660323955397</v>
      </c>
      <c r="E6192">
        <v>0.52182563757379996</v>
      </c>
      <c r="F6192">
        <v>0.19019573239947299</v>
      </c>
      <c r="G6192">
        <v>0.100914864011724</v>
      </c>
      <c r="H6192">
        <v>5.7718909249643499E-2</v>
      </c>
      <c r="I6192">
        <v>5.9462387841683798E-2</v>
      </c>
      <c r="J6192">
        <v>7.3310105955254903E-2</v>
      </c>
      <c r="K6192">
        <v>7.9347221587063005E-2</v>
      </c>
      <c r="L6192">
        <v>800.66190210265404</v>
      </c>
      <c r="M6192">
        <v>16.286165346798999</v>
      </c>
      <c r="N6192">
        <v>49.384677296514099</v>
      </c>
      <c r="O6192">
        <v>48.438798451233403</v>
      </c>
      <c r="P6192">
        <v>-8.1086742044224502E-2</v>
      </c>
      <c r="Q6192">
        <v>3.5388119662562001E-2</v>
      </c>
      <c r="R6192">
        <v>0.93546290852352498</v>
      </c>
      <c r="S6192" t="s">
        <v>12862</v>
      </c>
      <c r="T6192" t="s">
        <v>13338</v>
      </c>
      <c r="U6192" t="s">
        <v>13338</v>
      </c>
      <c r="V6192" t="s">
        <v>13338</v>
      </c>
      <c r="W6192" t="s">
        <v>19470</v>
      </c>
      <c r="X6192">
        <v>14</v>
      </c>
      <c r="Y6192" t="s">
        <v>25956</v>
      </c>
      <c r="Z6192" t="s">
        <v>32607</v>
      </c>
      <c r="AA6192">
        <v>0.35023484545826949</v>
      </c>
      <c r="AB6192" t="str">
        <f>HYPERLINK("Melting_Curves/meltCurve_Q9UBL3_3_ASH2L.pdf", "Melting_Curves/meltCurve_Q9UBL3_3_ASH2L.pdf")</f>
        <v>Melting_Curves/meltCurve_Q9UBL3_3_ASH2L.pdf</v>
      </c>
    </row>
    <row r="6193" spans="1:28" x14ac:dyDescent="0.25">
      <c r="A6193" t="s">
        <v>6197</v>
      </c>
      <c r="B6193">
        <v>0.99193492352474899</v>
      </c>
      <c r="C6193">
        <v>1.24564752247985</v>
      </c>
      <c r="D6193">
        <v>1.1219747878936699</v>
      </c>
      <c r="E6193">
        <v>1.0010052017968301</v>
      </c>
      <c r="F6193">
        <v>0.25841520077316099</v>
      </c>
      <c r="G6193">
        <v>0.200411350230916</v>
      </c>
      <c r="H6193">
        <v>0.103613910029732</v>
      </c>
      <c r="I6193">
        <v>0.156540322758425</v>
      </c>
      <c r="J6193">
        <v>0.15921260950899099</v>
      </c>
      <c r="K6193">
        <v>0.12844371094595</v>
      </c>
      <c r="L6193">
        <v>5975.6598668670003</v>
      </c>
      <c r="M6193">
        <v>114.24257032902</v>
      </c>
      <c r="N6193">
        <v>52.470078055208198</v>
      </c>
      <c r="O6193">
        <v>52.290747330531701</v>
      </c>
      <c r="P6193">
        <v>-0.46447581908965102</v>
      </c>
      <c r="Q6193">
        <v>0.149606426292133</v>
      </c>
      <c r="R6193">
        <v>0.96163026440426402</v>
      </c>
      <c r="S6193" t="s">
        <v>12863</v>
      </c>
      <c r="T6193" t="s">
        <v>13338</v>
      </c>
      <c r="U6193" t="s">
        <v>13338</v>
      </c>
      <c r="V6193" t="s">
        <v>13338</v>
      </c>
      <c r="W6193" t="s">
        <v>19471</v>
      </c>
      <c r="X6193">
        <v>4</v>
      </c>
      <c r="Y6193" t="s">
        <v>25957</v>
      </c>
      <c r="Z6193" t="s">
        <v>32608</v>
      </c>
      <c r="AA6193">
        <v>0.49883384597497221</v>
      </c>
      <c r="AB6193" t="str">
        <f>HYPERLINK("Melting_Curves/meltCurve_Q9UBM7_DHCR7.pdf", "Melting_Curves/meltCurve_Q9UBM7_DHCR7.pdf")</f>
        <v>Melting_Curves/meltCurve_Q9UBM7_DHCR7.pdf</v>
      </c>
    </row>
    <row r="6194" spans="1:28" x14ac:dyDescent="0.25">
      <c r="A6194" t="s">
        <v>6198</v>
      </c>
      <c r="B6194">
        <v>0.99193492352474899</v>
      </c>
      <c r="C6194">
        <v>0.85886899988245502</v>
      </c>
      <c r="D6194">
        <v>0.79938408442327102</v>
      </c>
      <c r="E6194">
        <v>0.39325809476543799</v>
      </c>
      <c r="F6194">
        <v>0.153621214402967</v>
      </c>
      <c r="G6194">
        <v>0.10516020733206501</v>
      </c>
      <c r="H6194">
        <v>5.5711207928291602E-2</v>
      </c>
      <c r="I6194">
        <v>8.2320400243209704E-2</v>
      </c>
      <c r="J6194">
        <v>9.8876736488562003E-2</v>
      </c>
      <c r="K6194">
        <v>0.111574725947116</v>
      </c>
      <c r="L6194">
        <v>1085.7104662161901</v>
      </c>
      <c r="M6194">
        <v>22.548884421582098</v>
      </c>
      <c r="N6194">
        <v>48.519966743151699</v>
      </c>
      <c r="O6194">
        <v>47.775289920728298</v>
      </c>
      <c r="P6194">
        <v>-0.108658810154227</v>
      </c>
      <c r="Q6194">
        <v>7.9138289794768293E-2</v>
      </c>
      <c r="R6194">
        <v>0.99063613217184099</v>
      </c>
      <c r="S6194" t="s">
        <v>12864</v>
      </c>
      <c r="T6194" t="s">
        <v>13338</v>
      </c>
      <c r="U6194" t="s">
        <v>13338</v>
      </c>
      <c r="V6194" t="s">
        <v>13338</v>
      </c>
      <c r="W6194" t="s">
        <v>19472</v>
      </c>
      <c r="X6194">
        <v>8</v>
      </c>
      <c r="Y6194" t="s">
        <v>25958</v>
      </c>
      <c r="Z6194" t="s">
        <v>32609</v>
      </c>
      <c r="AA6194">
        <v>0.33940518656860008</v>
      </c>
      <c r="AB6194" t="str">
        <f>HYPERLINK("Melting_Curves/meltCurve_Q9UBP0_3_SPAST.pdf", "Melting_Curves/meltCurve_Q9UBP0_3_SPAST.pdf")</f>
        <v>Melting_Curves/meltCurve_Q9UBP0_3_SPAST.pdf</v>
      </c>
    </row>
    <row r="6195" spans="1:28" x14ac:dyDescent="0.25">
      <c r="A6195" t="s">
        <v>6199</v>
      </c>
      <c r="B6195">
        <v>0.99193492352474899</v>
      </c>
      <c r="C6195">
        <v>1.01128260075834</v>
      </c>
      <c r="D6195">
        <v>0.73518863883873098</v>
      </c>
      <c r="E6195">
        <v>0.81857981211312103</v>
      </c>
      <c r="F6195">
        <v>0.43228497374973701</v>
      </c>
      <c r="G6195">
        <v>0.521537444888304</v>
      </c>
      <c r="H6195">
        <v>0.136310367477812</v>
      </c>
      <c r="I6195">
        <v>0.18391455936630799</v>
      </c>
      <c r="J6195">
        <v>0.143331578986021</v>
      </c>
      <c r="K6195">
        <v>0.115124702571455</v>
      </c>
      <c r="L6195">
        <v>570.28148665266099</v>
      </c>
      <c r="M6195">
        <v>10.6043958671551</v>
      </c>
      <c r="N6195">
        <v>54.043288150507898</v>
      </c>
      <c r="O6195">
        <v>51.971126618806601</v>
      </c>
      <c r="P6195">
        <v>-4.9735812215600299E-2</v>
      </c>
      <c r="Q6195">
        <v>2.53767976901168E-2</v>
      </c>
      <c r="R6195">
        <v>0.93473418382802997</v>
      </c>
      <c r="S6195" t="s">
        <v>12865</v>
      </c>
      <c r="T6195" t="s">
        <v>13338</v>
      </c>
      <c r="U6195" t="s">
        <v>13338</v>
      </c>
      <c r="V6195" t="s">
        <v>13338</v>
      </c>
      <c r="W6195" t="s">
        <v>19473</v>
      </c>
      <c r="X6195">
        <v>3</v>
      </c>
      <c r="Y6195" t="s">
        <v>25959</v>
      </c>
      <c r="Z6195" t="s">
        <v>32610</v>
      </c>
      <c r="AA6195">
        <v>0.50198178934599846</v>
      </c>
      <c r="AB6195" t="str">
        <f>HYPERLINK("Melting_Curves/meltCurve_Q9UBP6_METTL1.pdf", "Melting_Curves/meltCurve_Q9UBP6_METTL1.pdf")</f>
        <v>Melting_Curves/meltCurve_Q9UBP6_METTL1.pdf</v>
      </c>
    </row>
    <row r="6196" spans="1:28" x14ac:dyDescent="0.25">
      <c r="A6196" t="s">
        <v>6200</v>
      </c>
      <c r="B6196">
        <v>0.99193492352474899</v>
      </c>
      <c r="C6196">
        <v>0.89293675542421602</v>
      </c>
      <c r="D6196">
        <v>0.96267100116770299</v>
      </c>
      <c r="E6196">
        <v>0.84198628128795605</v>
      </c>
      <c r="F6196">
        <v>0.67383259350435398</v>
      </c>
      <c r="G6196">
        <v>0.36873055386948</v>
      </c>
      <c r="H6196">
        <v>0.124535556424478</v>
      </c>
      <c r="I6196">
        <v>8.5459716837793506E-2</v>
      </c>
      <c r="J6196">
        <v>7.9639757608844897E-2</v>
      </c>
      <c r="K6196">
        <v>8.2726875911921904E-2</v>
      </c>
      <c r="L6196">
        <v>1013.93476430898</v>
      </c>
      <c r="M6196">
        <v>18.5415970457566</v>
      </c>
      <c r="N6196">
        <v>54.923755773670301</v>
      </c>
      <c r="O6196">
        <v>54.060145176614803</v>
      </c>
      <c r="P6196">
        <v>-8.2419882217493703E-2</v>
      </c>
      <c r="Q6196">
        <v>3.8823851498646499E-2</v>
      </c>
      <c r="R6196">
        <v>0.98917743313651196</v>
      </c>
      <c r="S6196" t="s">
        <v>12866</v>
      </c>
      <c r="T6196" t="s">
        <v>13338</v>
      </c>
      <c r="U6196" t="s">
        <v>13338</v>
      </c>
      <c r="V6196" t="s">
        <v>13338</v>
      </c>
      <c r="W6196" t="s">
        <v>19474</v>
      </c>
      <c r="X6196">
        <v>9</v>
      </c>
      <c r="Y6196" t="s">
        <v>25960</v>
      </c>
      <c r="Z6196" t="s">
        <v>32611</v>
      </c>
      <c r="AA6196">
        <v>0.52372931637746301</v>
      </c>
      <c r="AB6196" t="str">
        <f>HYPERLINK("Melting_Curves/meltCurve_Q9UBQ0_VPS29.pdf", "Melting_Curves/meltCurve_Q9UBQ0_VPS29.pdf")</f>
        <v>Melting_Curves/meltCurve_Q9UBQ0_VPS29.pdf</v>
      </c>
    </row>
    <row r="6197" spans="1:28" x14ac:dyDescent="0.25">
      <c r="A6197" t="s">
        <v>6201</v>
      </c>
      <c r="B6197">
        <v>0.99193492352474899</v>
      </c>
      <c r="C6197">
        <v>0.87935838016706502</v>
      </c>
      <c r="D6197">
        <v>0.97686362983628405</v>
      </c>
      <c r="E6197">
        <v>0.81037082331142296</v>
      </c>
      <c r="F6197">
        <v>0.467700723914169</v>
      </c>
      <c r="G6197">
        <v>0.13398975174120201</v>
      </c>
      <c r="H6197">
        <v>6.1003421296840298E-2</v>
      </c>
      <c r="I6197">
        <v>5.1063757659814198E-2</v>
      </c>
      <c r="J6197">
        <v>4.6708785793817001E-2</v>
      </c>
      <c r="K6197">
        <v>5.88231883057765E-2</v>
      </c>
      <c r="L6197">
        <v>1329.0412766463601</v>
      </c>
      <c r="M6197">
        <v>25.301945458972401</v>
      </c>
      <c r="N6197">
        <v>52.697880813123597</v>
      </c>
      <c r="O6197">
        <v>52.2024153077245</v>
      </c>
      <c r="P6197">
        <v>-0.11640776642019</v>
      </c>
      <c r="Q6197">
        <v>3.9332581184113299E-2</v>
      </c>
      <c r="R6197">
        <v>0.99013369787060601</v>
      </c>
      <c r="S6197" t="s">
        <v>12867</v>
      </c>
      <c r="T6197" t="s">
        <v>13338</v>
      </c>
      <c r="U6197" t="s">
        <v>13338</v>
      </c>
      <c r="V6197" t="s">
        <v>13338</v>
      </c>
      <c r="W6197" t="s">
        <v>19475</v>
      </c>
      <c r="X6197">
        <v>11</v>
      </c>
      <c r="Y6197" t="s">
        <v>25961</v>
      </c>
      <c r="Z6197" t="s">
        <v>32612</v>
      </c>
      <c r="AA6197">
        <v>0.44909617353037218</v>
      </c>
      <c r="AB6197" t="str">
        <f>HYPERLINK("Melting_Curves/meltCurve_Q9UBQ7_GRHPR.pdf", "Melting_Curves/meltCurve_Q9UBQ7_GRHPR.pdf")</f>
        <v>Melting_Curves/meltCurve_Q9UBQ7_GRHPR.pdf</v>
      </c>
    </row>
    <row r="6198" spans="1:28" x14ac:dyDescent="0.25">
      <c r="A6198" t="s">
        <v>6202</v>
      </c>
      <c r="B6198">
        <v>0.99193492352474899</v>
      </c>
      <c r="C6198">
        <v>0.64046576245766296</v>
      </c>
      <c r="D6198">
        <v>0.41193085079026798</v>
      </c>
      <c r="E6198">
        <v>0.15629502352698699</v>
      </c>
      <c r="F6198">
        <v>0.12565423240248599</v>
      </c>
      <c r="G6198">
        <v>6.9954796514259399E-2</v>
      </c>
      <c r="H6198">
        <v>5.10520692851495E-2</v>
      </c>
      <c r="I6198">
        <v>4.5385668259327903E-2</v>
      </c>
      <c r="J6198">
        <v>5.0329640840000897E-2</v>
      </c>
      <c r="K6198">
        <v>4.1919792061137003E-2</v>
      </c>
      <c r="L6198">
        <v>881.70202976156997</v>
      </c>
      <c r="M6198">
        <v>19.779696444966401</v>
      </c>
      <c r="N6198">
        <v>44.832206323522101</v>
      </c>
      <c r="O6198">
        <v>44.1279858335024</v>
      </c>
      <c r="P6198">
        <v>-0.106075924991457</v>
      </c>
      <c r="Q6198">
        <v>5.3421725778166299E-2</v>
      </c>
      <c r="R6198">
        <v>0.98673831358529496</v>
      </c>
      <c r="S6198" t="s">
        <v>12868</v>
      </c>
      <c r="T6198" t="s">
        <v>13338</v>
      </c>
      <c r="U6198" t="s">
        <v>13338</v>
      </c>
      <c r="V6198" t="s">
        <v>13338</v>
      </c>
      <c r="W6198" t="s">
        <v>19476</v>
      </c>
      <c r="X6198">
        <v>4</v>
      </c>
      <c r="Y6198" t="s">
        <v>25962</v>
      </c>
      <c r="Z6198" t="s">
        <v>32613</v>
      </c>
      <c r="AA6198">
        <v>0.2151351848210806</v>
      </c>
      <c r="AB6198" t="str">
        <f>HYPERLINK("Melting_Curves/meltCurve_Q9UBS0_RPS6KB2.pdf", "Melting_Curves/meltCurve_Q9UBS0_RPS6KB2.pdf")</f>
        <v>Melting_Curves/meltCurve_Q9UBS0_RPS6KB2.pdf</v>
      </c>
    </row>
    <row r="6199" spans="1:28" x14ac:dyDescent="0.25">
      <c r="A6199" t="s">
        <v>6203</v>
      </c>
      <c r="B6199">
        <v>0.99193492352474899</v>
      </c>
      <c r="C6199">
        <v>0.91878093871944999</v>
      </c>
      <c r="D6199">
        <v>1.0424957759314999</v>
      </c>
      <c r="E6199">
        <v>0.86258782448238702</v>
      </c>
      <c r="F6199">
        <v>0.693523313094357</v>
      </c>
      <c r="G6199">
        <v>0.41917319426016603</v>
      </c>
      <c r="H6199">
        <v>0.23492938759478199</v>
      </c>
      <c r="I6199">
        <v>0.129486052754719</v>
      </c>
      <c r="J6199">
        <v>0.12368512583902599</v>
      </c>
      <c r="K6199">
        <v>0.12711389592632599</v>
      </c>
      <c r="L6199">
        <v>1016.59658965764</v>
      </c>
      <c r="M6199">
        <v>18.480383539895499</v>
      </c>
      <c r="N6199">
        <v>55.630089524386399</v>
      </c>
      <c r="O6199">
        <v>54.377515214394997</v>
      </c>
      <c r="P6199">
        <v>-7.7052537600143398E-2</v>
      </c>
      <c r="Q6199">
        <v>9.31488647037957E-2</v>
      </c>
      <c r="R6199">
        <v>0.990820352980471</v>
      </c>
      <c r="S6199" t="s">
        <v>12869</v>
      </c>
      <c r="T6199" t="s">
        <v>13338</v>
      </c>
      <c r="U6199" t="s">
        <v>13338</v>
      </c>
      <c r="V6199" t="s">
        <v>13338</v>
      </c>
      <c r="W6199" t="s">
        <v>13944</v>
      </c>
      <c r="X6199">
        <v>14</v>
      </c>
      <c r="Y6199" t="s">
        <v>20549</v>
      </c>
      <c r="Z6199" t="s">
        <v>32614</v>
      </c>
      <c r="AA6199">
        <v>0.56038935790308331</v>
      </c>
      <c r="AB6199" t="str">
        <f>HYPERLINK("Melting_Curves/meltCurve_Q9UBS4_DNAJB11.pdf", "Melting_Curves/meltCurve_Q9UBS4_DNAJB11.pdf")</f>
        <v>Melting_Curves/meltCurve_Q9UBS4_DNAJB11.pdf</v>
      </c>
    </row>
    <row r="6200" spans="1:28" x14ac:dyDescent="0.25">
      <c r="A6200" t="s">
        <v>6204</v>
      </c>
      <c r="B6200">
        <v>0.99193492352474899</v>
      </c>
      <c r="C6200">
        <v>1.0521342213134599</v>
      </c>
      <c r="D6200">
        <v>0.92334729753813205</v>
      </c>
      <c r="E6200">
        <v>0.49876291496750003</v>
      </c>
      <c r="F6200">
        <v>0.19296977381845001</v>
      </c>
      <c r="G6200">
        <v>9.4139435253330503E-2</v>
      </c>
      <c r="H6200">
        <v>6.5926209774308395E-2</v>
      </c>
      <c r="I6200">
        <v>8.5293809090500494E-2</v>
      </c>
      <c r="J6200">
        <v>9.9059269731065297E-2</v>
      </c>
      <c r="K6200">
        <v>8.5631843358818405E-2</v>
      </c>
      <c r="L6200">
        <v>1564.99287866087</v>
      </c>
      <c r="M6200">
        <v>31.698798076230499</v>
      </c>
      <c r="N6200">
        <v>49.665191698670299</v>
      </c>
      <c r="O6200">
        <v>49.175489658762103</v>
      </c>
      <c r="P6200">
        <v>-0.147345857599091</v>
      </c>
      <c r="Q6200">
        <v>8.5672993516814094E-2</v>
      </c>
      <c r="R6200">
        <v>0.996884347397476</v>
      </c>
      <c r="S6200" t="s">
        <v>12870</v>
      </c>
      <c r="T6200" t="s">
        <v>13338</v>
      </c>
      <c r="U6200" t="s">
        <v>13338</v>
      </c>
      <c r="V6200" t="s">
        <v>13338</v>
      </c>
      <c r="W6200" t="s">
        <v>19477</v>
      </c>
      <c r="X6200">
        <v>6</v>
      </c>
      <c r="Y6200" t="s">
        <v>25963</v>
      </c>
      <c r="Z6200" t="s">
        <v>32615</v>
      </c>
      <c r="AA6200">
        <v>0.37627507845181851</v>
      </c>
      <c r="AB6200" t="str">
        <f>HYPERLINK("Melting_Curves/meltCurve_Q9UBS8_RNF14.pdf", "Melting_Curves/meltCurve_Q9UBS8_RNF14.pdf")</f>
        <v>Melting_Curves/meltCurve_Q9UBS8_RNF14.pdf</v>
      </c>
    </row>
    <row r="6201" spans="1:28" x14ac:dyDescent="0.25">
      <c r="A6201" t="s">
        <v>6205</v>
      </c>
      <c r="B6201">
        <v>0.99193492352474899</v>
      </c>
      <c r="C6201">
        <v>1.0059629968945001</v>
      </c>
      <c r="D6201">
        <v>0.914769905650201</v>
      </c>
      <c r="E6201">
        <v>0.73387273626162997</v>
      </c>
      <c r="F6201">
        <v>0.22306579721682601</v>
      </c>
      <c r="G6201">
        <v>0.117917382276682</v>
      </c>
      <c r="H6201">
        <v>6.2174357584683801E-2</v>
      </c>
      <c r="I6201">
        <v>6.3547247734457205E-2</v>
      </c>
      <c r="J6201">
        <v>8.0636550446197205E-2</v>
      </c>
      <c r="K6201">
        <v>7.1553074081304402E-2</v>
      </c>
      <c r="L6201">
        <v>1688.78257440993</v>
      </c>
      <c r="M6201">
        <v>33.230126341216597</v>
      </c>
      <c r="N6201">
        <v>51.053515912961998</v>
      </c>
      <c r="O6201">
        <v>50.637842608030901</v>
      </c>
      <c r="P6201">
        <v>-0.15253062450462801</v>
      </c>
      <c r="Q6201">
        <v>7.0266811847504704E-2</v>
      </c>
      <c r="R6201">
        <v>0.99703254357412097</v>
      </c>
      <c r="S6201" t="s">
        <v>12871</v>
      </c>
      <c r="T6201" t="s">
        <v>13338</v>
      </c>
      <c r="U6201" t="s">
        <v>13338</v>
      </c>
      <c r="V6201" t="s">
        <v>13338</v>
      </c>
      <c r="W6201" t="s">
        <v>19478</v>
      </c>
      <c r="X6201">
        <v>30</v>
      </c>
      <c r="Y6201" t="s">
        <v>25964</v>
      </c>
      <c r="Z6201" t="s">
        <v>32616</v>
      </c>
      <c r="AA6201">
        <v>0.41036168218094088</v>
      </c>
      <c r="AB6201" t="str">
        <f>HYPERLINK("Melting_Curves/meltCurve_Q9UBT2_UBA2.pdf", "Melting_Curves/meltCurve_Q9UBT2_UBA2.pdf")</f>
        <v>Melting_Curves/meltCurve_Q9UBT2_UBA2.pdf</v>
      </c>
    </row>
    <row r="6202" spans="1:28" x14ac:dyDescent="0.25">
      <c r="A6202" t="s">
        <v>6206</v>
      </c>
      <c r="B6202">
        <v>0.99193492352474899</v>
      </c>
      <c r="C6202">
        <v>0.29595937608309703</v>
      </c>
      <c r="D6202">
        <v>0.52507985382195099</v>
      </c>
      <c r="E6202">
        <v>0.176317217982733</v>
      </c>
      <c r="F6202">
        <v>0.19392590924724701</v>
      </c>
      <c r="G6202">
        <v>9.91741840894695E-2</v>
      </c>
      <c r="H6202">
        <v>8.0629384781494895E-2</v>
      </c>
      <c r="I6202">
        <v>7.9201678499909195E-2</v>
      </c>
      <c r="J6202">
        <v>7.2911694385460898E-2</v>
      </c>
      <c r="K6202">
        <v>5.6741029524202097E-2</v>
      </c>
      <c r="L6202">
        <v>648.17520970604596</v>
      </c>
      <c r="M6202">
        <v>14.954389148949</v>
      </c>
      <c r="N6202">
        <v>43.861173023584598</v>
      </c>
      <c r="O6202">
        <v>42.5905621644538</v>
      </c>
      <c r="P6202">
        <v>-8.0686201965921897E-2</v>
      </c>
      <c r="Q6202">
        <v>8.0906763804328305E-2</v>
      </c>
      <c r="R6202">
        <v>0.80679224342914002</v>
      </c>
      <c r="S6202" t="s">
        <v>12872</v>
      </c>
      <c r="T6202" t="s">
        <v>13338</v>
      </c>
      <c r="U6202" t="s">
        <v>13338</v>
      </c>
      <c r="V6202" t="s">
        <v>13338</v>
      </c>
      <c r="W6202" t="s">
        <v>19479</v>
      </c>
      <c r="X6202">
        <v>9</v>
      </c>
      <c r="Y6202" t="s">
        <v>25965</v>
      </c>
      <c r="Z6202" t="s">
        <v>32617</v>
      </c>
      <c r="AA6202">
        <v>0.22020234400789679</v>
      </c>
      <c r="AB6202" t="str">
        <f>HYPERLINK("Melting_Curves/meltCurve_Q9UBU9_NXF1.pdf", "Melting_Curves/meltCurve_Q9UBU9_NXF1.pdf")</f>
        <v>Melting_Curves/meltCurve_Q9UBU9_NXF1.pdf</v>
      </c>
    </row>
    <row r="6203" spans="1:28" x14ac:dyDescent="0.25">
      <c r="A6203" t="s">
        <v>6207</v>
      </c>
      <c r="B6203">
        <v>0.99193492352474899</v>
      </c>
      <c r="C6203">
        <v>1.03901706039911</v>
      </c>
      <c r="D6203">
        <v>0.98372977897946001</v>
      </c>
      <c r="E6203">
        <v>0.74916171773728701</v>
      </c>
      <c r="F6203">
        <v>0.50889359707633997</v>
      </c>
      <c r="G6203">
        <v>0.23492397864839701</v>
      </c>
      <c r="H6203">
        <v>0.119539877001126</v>
      </c>
      <c r="I6203">
        <v>0.11475140576967501</v>
      </c>
      <c r="J6203">
        <v>0.129554694185645</v>
      </c>
      <c r="K6203">
        <v>0.112972667877925</v>
      </c>
      <c r="L6203">
        <v>1113.3026146960001</v>
      </c>
      <c r="M6203">
        <v>21.260817542960901</v>
      </c>
      <c r="N6203">
        <v>52.9279148538077</v>
      </c>
      <c r="O6203">
        <v>51.907404730982599</v>
      </c>
      <c r="P6203">
        <v>-9.2023289075962494E-2</v>
      </c>
      <c r="Q6203">
        <v>0.10133888376502501</v>
      </c>
      <c r="R6203">
        <v>0.99521934178063198</v>
      </c>
      <c r="S6203" t="s">
        <v>12873</v>
      </c>
      <c r="T6203" t="s">
        <v>13338</v>
      </c>
      <c r="U6203" t="s">
        <v>13338</v>
      </c>
      <c r="V6203" t="s">
        <v>13338</v>
      </c>
      <c r="W6203" t="s">
        <v>19480</v>
      </c>
      <c r="X6203">
        <v>10</v>
      </c>
      <c r="Y6203" t="s">
        <v>25966</v>
      </c>
      <c r="Z6203" t="s">
        <v>32618</v>
      </c>
      <c r="AA6203">
        <v>0.48283922994281159</v>
      </c>
      <c r="AB6203" t="str">
        <f>HYPERLINK("Melting_Curves/meltCurve_Q9UBV2_SEL1L.pdf", "Melting_Curves/meltCurve_Q9UBV2_SEL1L.pdf")</f>
        <v>Melting_Curves/meltCurve_Q9UBV2_SEL1L.pdf</v>
      </c>
    </row>
    <row r="6204" spans="1:28" x14ac:dyDescent="0.25">
      <c r="A6204" t="s">
        <v>6208</v>
      </c>
      <c r="B6204">
        <v>0.99193492352474899</v>
      </c>
      <c r="C6204">
        <v>0.70426094549345597</v>
      </c>
      <c r="D6204">
        <v>1.0851646790482501</v>
      </c>
      <c r="E6204">
        <v>0.54539857407411096</v>
      </c>
      <c r="F6204">
        <v>0.35795298742854798</v>
      </c>
      <c r="G6204">
        <v>0.111655360922049</v>
      </c>
      <c r="H6204">
        <v>0.12411785172841699</v>
      </c>
      <c r="I6204">
        <v>0.18195327295383101</v>
      </c>
      <c r="J6204">
        <v>0.20077361490388501</v>
      </c>
      <c r="K6204">
        <v>0.15804460465123099</v>
      </c>
      <c r="L6204">
        <v>1524.58510145799</v>
      </c>
      <c r="M6204">
        <v>30.600014420062902</v>
      </c>
      <c r="N6204">
        <v>50.4709451194718</v>
      </c>
      <c r="O6204">
        <v>49.611685263313603</v>
      </c>
      <c r="P6204">
        <v>-0.129152318987693</v>
      </c>
      <c r="Q6204">
        <v>0.162428418291796</v>
      </c>
      <c r="R6204">
        <v>0.89648360286731399</v>
      </c>
      <c r="S6204" t="s">
        <v>12874</v>
      </c>
      <c r="T6204" t="s">
        <v>13338</v>
      </c>
      <c r="U6204" t="s">
        <v>13338</v>
      </c>
      <c r="V6204" t="s">
        <v>13338</v>
      </c>
      <c r="W6204" t="s">
        <v>19481</v>
      </c>
      <c r="X6204">
        <v>1</v>
      </c>
      <c r="Y6204" t="s">
        <v>25967</v>
      </c>
      <c r="Z6204" t="s">
        <v>32619</v>
      </c>
      <c r="AA6204">
        <v>0.44164026500582593</v>
      </c>
      <c r="AB6204" t="str">
        <f>HYPERLINK("Melting_Curves/meltCurve_Q9UBV7_B4GALT7.pdf", "Melting_Curves/meltCurve_Q9UBV7_B4GALT7.pdf")</f>
        <v>Melting_Curves/meltCurve_Q9UBV7_B4GALT7.pdf</v>
      </c>
    </row>
    <row r="6205" spans="1:28" x14ac:dyDescent="0.25">
      <c r="A6205" t="s">
        <v>6209</v>
      </c>
      <c r="B6205">
        <v>0.99193492352474899</v>
      </c>
      <c r="C6205">
        <v>0.93286530547965196</v>
      </c>
      <c r="D6205">
        <v>0.93596145423132604</v>
      </c>
      <c r="E6205">
        <v>0.85771986770833097</v>
      </c>
      <c r="F6205">
        <v>0.23036534208887999</v>
      </c>
      <c r="G6205">
        <v>0.10673281344529</v>
      </c>
      <c r="H6205">
        <v>6.3673444854346506E-2</v>
      </c>
      <c r="I6205">
        <v>0.115431616962599</v>
      </c>
      <c r="J6205">
        <v>0.12227264673495999</v>
      </c>
      <c r="K6205">
        <v>0.59288209908701595</v>
      </c>
      <c r="L6205">
        <v>3527.2812349779501</v>
      </c>
      <c r="M6205">
        <v>69.587932854239</v>
      </c>
      <c r="N6205">
        <v>51.063840924821903</v>
      </c>
      <c r="O6205">
        <v>50.646304668307302</v>
      </c>
      <c r="P6205">
        <v>-0.27467943280228901</v>
      </c>
      <c r="Q6205">
        <v>0.200350151725735</v>
      </c>
      <c r="R6205">
        <v>0.86099938963970102</v>
      </c>
      <c r="S6205" t="s">
        <v>12875</v>
      </c>
      <c r="T6205" t="s">
        <v>13338</v>
      </c>
      <c r="U6205" t="s">
        <v>13338</v>
      </c>
      <c r="V6205" t="s">
        <v>13338</v>
      </c>
      <c r="W6205" t="s">
        <v>19482</v>
      </c>
      <c r="X6205">
        <v>4</v>
      </c>
      <c r="Y6205" t="s">
        <v>25968</v>
      </c>
      <c r="Z6205" t="s">
        <v>32620</v>
      </c>
      <c r="AA6205">
        <v>0.48616237431866799</v>
      </c>
      <c r="AB6205" t="str">
        <f>HYPERLINK("Melting_Curves/meltCurve_Q9UBV8_PEF1.pdf", "Melting_Curves/meltCurve_Q9UBV8_PEF1.pdf")</f>
        <v>Melting_Curves/meltCurve_Q9UBV8_PEF1.pdf</v>
      </c>
    </row>
    <row r="6206" spans="1:28" x14ac:dyDescent="0.25">
      <c r="A6206" t="s">
        <v>6210</v>
      </c>
      <c r="B6206">
        <v>0.99193492352474899</v>
      </c>
      <c r="C6206">
        <v>0.75446646975791598</v>
      </c>
      <c r="D6206">
        <v>0.67771510158112003</v>
      </c>
      <c r="E6206">
        <v>0.43277793243570301</v>
      </c>
      <c r="F6206">
        <v>0.22272436195072601</v>
      </c>
      <c r="G6206">
        <v>9.9369608084252395E-2</v>
      </c>
      <c r="H6206">
        <v>6.2492477483733801E-2</v>
      </c>
      <c r="I6206">
        <v>4.28442435806747E-2</v>
      </c>
      <c r="J6206">
        <v>4.9090825964581003E-2</v>
      </c>
      <c r="K6206">
        <v>4.6063616307159098E-2</v>
      </c>
      <c r="L6206">
        <v>634.81286903854698</v>
      </c>
      <c r="M6206">
        <v>13.199433136621</v>
      </c>
      <c r="N6206">
        <v>48.188211392328803</v>
      </c>
      <c r="O6206">
        <v>47.030237947351701</v>
      </c>
      <c r="P6206">
        <v>-6.9281921484083103E-2</v>
      </c>
      <c r="Q6206">
        <v>1.27445450255982E-2</v>
      </c>
      <c r="R6206">
        <v>0.98915203190670398</v>
      </c>
      <c r="S6206" t="s">
        <v>12876</v>
      </c>
      <c r="T6206" t="s">
        <v>13338</v>
      </c>
      <c r="U6206" t="s">
        <v>13338</v>
      </c>
      <c r="V6206" t="s">
        <v>13338</v>
      </c>
      <c r="W6206" t="s">
        <v>19483</v>
      </c>
      <c r="X6206">
        <v>9</v>
      </c>
      <c r="Y6206" t="s">
        <v>25969</v>
      </c>
      <c r="Z6206" t="s">
        <v>32621</v>
      </c>
      <c r="AA6206">
        <v>0.31142264285367682</v>
      </c>
      <c r="AB6206" t="str">
        <f>HYPERLINK("Melting_Curves/meltCurve_Q9UBW5_BIN2.pdf", "Melting_Curves/meltCurve_Q9UBW5_BIN2.pdf")</f>
        <v>Melting_Curves/meltCurve_Q9UBW5_BIN2.pdf</v>
      </c>
    </row>
    <row r="6207" spans="1:28" x14ac:dyDescent="0.25">
      <c r="A6207" t="s">
        <v>6211</v>
      </c>
      <c r="B6207">
        <v>0.99193492352474899</v>
      </c>
      <c r="C6207">
        <v>0.71386635365486095</v>
      </c>
      <c r="D6207">
        <v>0.61961334029589998</v>
      </c>
      <c r="E6207">
        <v>0.35957320215261002</v>
      </c>
      <c r="F6207">
        <v>0.224930582891534</v>
      </c>
      <c r="G6207">
        <v>0.19269434285019901</v>
      </c>
      <c r="H6207">
        <v>0.18111510124688299</v>
      </c>
      <c r="I6207">
        <v>0.255580931994283</v>
      </c>
      <c r="J6207">
        <v>0.251963205607038</v>
      </c>
      <c r="K6207">
        <v>0.38735527487865901</v>
      </c>
      <c r="L6207">
        <v>869.26982206513696</v>
      </c>
      <c r="M6207">
        <v>19.2669070956558</v>
      </c>
      <c r="N6207">
        <v>46.734664694437697</v>
      </c>
      <c r="O6207">
        <v>44.639646934609097</v>
      </c>
      <c r="P6207">
        <v>-8.1650262591896797E-2</v>
      </c>
      <c r="Q6207">
        <v>0.24332410262830401</v>
      </c>
      <c r="R6207">
        <v>0.92955566359404596</v>
      </c>
      <c r="S6207" t="s">
        <v>12877</v>
      </c>
      <c r="T6207" t="s">
        <v>13338</v>
      </c>
      <c r="U6207" t="s">
        <v>13338</v>
      </c>
      <c r="V6207" t="s">
        <v>13338</v>
      </c>
      <c r="W6207" t="s">
        <v>19484</v>
      </c>
      <c r="X6207">
        <v>3</v>
      </c>
      <c r="Y6207" t="s">
        <v>25970</v>
      </c>
      <c r="Z6207" t="s">
        <v>32622</v>
      </c>
      <c r="AA6207">
        <v>0.38618318582505912</v>
      </c>
      <c r="AB6207" t="str">
        <f>HYPERLINK("Melting_Curves/meltCurve_Q9UBW7_ZMYM2.pdf", "Melting_Curves/meltCurve_Q9UBW7_ZMYM2.pdf")</f>
        <v>Melting_Curves/meltCurve_Q9UBW7_ZMYM2.pdf</v>
      </c>
    </row>
    <row r="6208" spans="1:28" x14ac:dyDescent="0.25">
      <c r="A6208" t="s">
        <v>6212</v>
      </c>
      <c r="B6208">
        <v>0.99193492352474899</v>
      </c>
      <c r="C6208">
        <v>0.86139163973599797</v>
      </c>
      <c r="D6208">
        <v>0.94469584943416096</v>
      </c>
      <c r="E6208">
        <v>0.72557854799626897</v>
      </c>
      <c r="F6208">
        <v>0.42374524847131001</v>
      </c>
      <c r="G6208">
        <v>0.16987611657371099</v>
      </c>
      <c r="H6208">
        <v>0.111236139125098</v>
      </c>
      <c r="I6208">
        <v>0.117701365974378</v>
      </c>
      <c r="J6208">
        <v>0.13861650895743599</v>
      </c>
      <c r="K6208">
        <v>0.14473575273992101</v>
      </c>
      <c r="L6208">
        <v>1137.6738482128001</v>
      </c>
      <c r="M6208">
        <v>22.1317440490505</v>
      </c>
      <c r="N6208">
        <v>52.000789605153003</v>
      </c>
      <c r="O6208">
        <v>50.990465073631697</v>
      </c>
      <c r="P6208">
        <v>-9.6352830803926301E-2</v>
      </c>
      <c r="Q6208">
        <v>0.112050541274492</v>
      </c>
      <c r="R6208">
        <v>0.98367991709379099</v>
      </c>
      <c r="S6208" t="s">
        <v>12878</v>
      </c>
      <c r="T6208" t="s">
        <v>13338</v>
      </c>
      <c r="U6208" t="s">
        <v>13338</v>
      </c>
      <c r="V6208" t="s">
        <v>13338</v>
      </c>
      <c r="W6208" t="s">
        <v>19485</v>
      </c>
      <c r="X6208">
        <v>6</v>
      </c>
      <c r="Y6208" t="s">
        <v>25971</v>
      </c>
      <c r="Z6208" t="s">
        <v>32623</v>
      </c>
      <c r="AA6208">
        <v>0.45979629265126643</v>
      </c>
      <c r="AB6208" t="str">
        <f>HYPERLINK("Melting_Curves/meltCurve_Q9UBW8_COPS7A.pdf", "Melting_Curves/meltCurve_Q9UBW8_COPS7A.pdf")</f>
        <v>Melting_Curves/meltCurve_Q9UBW8_COPS7A.pdf</v>
      </c>
    </row>
    <row r="6209" spans="1:28" x14ac:dyDescent="0.25">
      <c r="A6209" t="s">
        <v>6213</v>
      </c>
      <c r="B6209">
        <v>0.99193492352474899</v>
      </c>
      <c r="C6209">
        <v>1.0246860305483201</v>
      </c>
      <c r="D6209">
        <v>0.61073849330111196</v>
      </c>
      <c r="E6209">
        <v>1.04713605853164</v>
      </c>
      <c r="F6209">
        <v>0.69456798668247999</v>
      </c>
      <c r="G6209">
        <v>0.69142261931253102</v>
      </c>
      <c r="H6209">
        <v>0.42052759048479299</v>
      </c>
      <c r="I6209">
        <v>0.38021368646368497</v>
      </c>
      <c r="J6209">
        <v>0.17217781380907299</v>
      </c>
      <c r="K6209">
        <v>0.22274978618057301</v>
      </c>
      <c r="L6209">
        <v>548.432076297555</v>
      </c>
      <c r="M6209">
        <v>9.2134483306137795</v>
      </c>
      <c r="N6209">
        <v>59.525167159836499</v>
      </c>
      <c r="O6209">
        <v>56.922374133183503</v>
      </c>
      <c r="P6209">
        <v>-4.0491851498023299E-2</v>
      </c>
      <c r="Q6209">
        <v>0</v>
      </c>
      <c r="R6209">
        <v>0.827708927383072</v>
      </c>
      <c r="S6209" t="s">
        <v>12879</v>
      </c>
      <c r="T6209" t="s">
        <v>13338</v>
      </c>
      <c r="U6209" t="s">
        <v>13338</v>
      </c>
      <c r="V6209" t="s">
        <v>13338</v>
      </c>
      <c r="W6209" t="s">
        <v>13494</v>
      </c>
      <c r="X6209">
        <v>8</v>
      </c>
      <c r="Y6209" t="s">
        <v>20095</v>
      </c>
      <c r="Z6209" t="s">
        <v>32624</v>
      </c>
      <c r="AA6209">
        <v>0.6471552276862903</v>
      </c>
      <c r="AB6209" t="str">
        <f>HYPERLINK("Melting_Curves/meltCurve_Q9UBX3_SLC25A10.pdf", "Melting_Curves/meltCurve_Q9UBX3_SLC25A10.pdf")</f>
        <v>Melting_Curves/meltCurve_Q9UBX3_SLC25A10.pdf</v>
      </c>
    </row>
    <row r="6210" spans="1:28" x14ac:dyDescent="0.25">
      <c r="A6210" t="s">
        <v>6214</v>
      </c>
      <c r="B6210">
        <v>0.99193492352474899</v>
      </c>
      <c r="C6210">
        <v>1.0997507225671199</v>
      </c>
      <c r="D6210">
        <v>1.06963951714632</v>
      </c>
      <c r="E6210">
        <v>0.89591172352777504</v>
      </c>
      <c r="F6210">
        <v>0.27042190234410601</v>
      </c>
      <c r="G6210">
        <v>0.116802876041654</v>
      </c>
      <c r="H6210">
        <v>7.2705979840211807E-2</v>
      </c>
      <c r="I6210">
        <v>8.5928682187557906E-2</v>
      </c>
      <c r="J6210">
        <v>9.9546254283810504E-2</v>
      </c>
      <c r="K6210">
        <v>0.129782182880224</v>
      </c>
      <c r="L6210">
        <v>2579.4604334411201</v>
      </c>
      <c r="M6210">
        <v>49.9370878278432</v>
      </c>
      <c r="N6210">
        <v>51.883283653746503</v>
      </c>
      <c r="O6210">
        <v>51.5715711880528</v>
      </c>
      <c r="P6210">
        <v>-0.218128909009809</v>
      </c>
      <c r="Q6210">
        <v>9.8927011314907207E-2</v>
      </c>
      <c r="R6210">
        <v>0.99116658175152195</v>
      </c>
      <c r="S6210" t="s">
        <v>12880</v>
      </c>
      <c r="T6210" t="s">
        <v>13338</v>
      </c>
      <c r="U6210" t="s">
        <v>13338</v>
      </c>
      <c r="V6210" t="s">
        <v>13338</v>
      </c>
      <c r="W6210" t="s">
        <v>19486</v>
      </c>
      <c r="X6210">
        <v>13</v>
      </c>
      <c r="Y6210" t="s">
        <v>25972</v>
      </c>
      <c r="Z6210" t="s">
        <v>32625</v>
      </c>
      <c r="AA6210">
        <v>0.45102808069289668</v>
      </c>
      <c r="AB6210" t="str">
        <f>HYPERLINK("Melting_Curves/meltCurve_Q9UDR5_AASS.pdf", "Melting_Curves/meltCurve_Q9UDR5_AASS.pdf")</f>
        <v>Melting_Curves/meltCurve_Q9UDR5_AASS.pdf</v>
      </c>
    </row>
    <row r="6211" spans="1:28" x14ac:dyDescent="0.25">
      <c r="A6211" t="s">
        <v>6215</v>
      </c>
      <c r="B6211">
        <v>0.99193492352474899</v>
      </c>
      <c r="C6211">
        <v>0.88410198784489702</v>
      </c>
      <c r="D6211">
        <v>0.63771621748621699</v>
      </c>
      <c r="E6211">
        <v>0.27489980368936101</v>
      </c>
      <c r="F6211">
        <v>0.19173750021245001</v>
      </c>
      <c r="G6211">
        <v>9.3781092267784694E-2</v>
      </c>
      <c r="H6211">
        <v>6.5046158290008801E-2</v>
      </c>
      <c r="I6211">
        <v>9.4259053378979898E-2</v>
      </c>
      <c r="J6211">
        <v>0.104329518266902</v>
      </c>
      <c r="K6211">
        <v>0.14367306205182201</v>
      </c>
      <c r="L6211">
        <v>1056.28851499281</v>
      </c>
      <c r="M6211">
        <v>22.607514969333401</v>
      </c>
      <c r="N6211">
        <v>47.190971601478601</v>
      </c>
      <c r="O6211">
        <v>46.361936058176198</v>
      </c>
      <c r="P6211">
        <v>-0.109665843298533</v>
      </c>
      <c r="Q6211">
        <v>0.100437540331037</v>
      </c>
      <c r="R6211">
        <v>0.99466695389820403</v>
      </c>
      <c r="S6211" t="s">
        <v>12881</v>
      </c>
      <c r="T6211" t="s">
        <v>13338</v>
      </c>
      <c r="U6211" t="s">
        <v>13338</v>
      </c>
      <c r="V6211" t="s">
        <v>13338</v>
      </c>
      <c r="W6211" t="s">
        <v>19487</v>
      </c>
      <c r="X6211">
        <v>11</v>
      </c>
      <c r="Y6211" t="s">
        <v>25973</v>
      </c>
      <c r="Z6211" t="s">
        <v>32626</v>
      </c>
      <c r="AA6211">
        <v>0.31215291691919922</v>
      </c>
      <c r="AB6211" t="str">
        <f>HYPERLINK("Melting_Curves/meltCurve_Q9UDT6_2_CLIP2.pdf", "Melting_Curves/meltCurve_Q9UDT6_2_CLIP2.pdf")</f>
        <v>Melting_Curves/meltCurve_Q9UDT6_2_CLIP2.pdf</v>
      </c>
    </row>
    <row r="6212" spans="1:28" x14ac:dyDescent="0.25">
      <c r="A6212" t="s">
        <v>6216</v>
      </c>
      <c r="B6212">
        <v>0.99193492352474899</v>
      </c>
      <c r="C6212">
        <v>0.238330982095845</v>
      </c>
      <c r="D6212">
        <v>0.169243699565015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2867.85789245047</v>
      </c>
      <c r="M6212">
        <v>68.070242708787006</v>
      </c>
      <c r="N6212">
        <v>42.156465070135802</v>
      </c>
      <c r="O6212">
        <v>42.094542797256501</v>
      </c>
      <c r="P6212">
        <v>-0.39608326176969</v>
      </c>
      <c r="Q6212">
        <v>2.02509130271303E-2</v>
      </c>
      <c r="R6212">
        <v>0.97199911403252903</v>
      </c>
      <c r="S6212" t="s">
        <v>12882</v>
      </c>
      <c r="T6212" t="s">
        <v>13338</v>
      </c>
      <c r="U6212" t="s">
        <v>13338</v>
      </c>
      <c r="V6212" t="s">
        <v>13338</v>
      </c>
      <c r="W6212" t="s">
        <v>19488</v>
      </c>
      <c r="X6212">
        <v>1</v>
      </c>
      <c r="Y6212" t="s">
        <v>25974</v>
      </c>
      <c r="Z6212" t="s">
        <v>32627</v>
      </c>
      <c r="AA6212">
        <v>9.1286771407157061E-2</v>
      </c>
      <c r="AB6212" t="str">
        <f>HYPERLINK("Melting_Curves/meltCurve_Q9UDW1_UQCR10.pdf", "Melting_Curves/meltCurve_Q9UDW1_UQCR10.pdf")</f>
        <v>Melting_Curves/meltCurve_Q9UDW1_UQCR10.pdf</v>
      </c>
    </row>
    <row r="6213" spans="1:28" x14ac:dyDescent="0.25">
      <c r="A6213" t="s">
        <v>6217</v>
      </c>
      <c r="B6213">
        <v>0.99193492352474899</v>
      </c>
      <c r="C6213">
        <v>0.93329934724390096</v>
      </c>
      <c r="D6213">
        <v>1.0713440003160699</v>
      </c>
      <c r="E6213">
        <v>0.87639843656357796</v>
      </c>
      <c r="F6213">
        <v>0.74936796663083105</v>
      </c>
      <c r="G6213">
        <v>0.60887700403030498</v>
      </c>
      <c r="H6213">
        <v>0.57794364436001999</v>
      </c>
      <c r="I6213">
        <v>0.56210337720751102</v>
      </c>
      <c r="J6213">
        <v>0.45044439395198499</v>
      </c>
      <c r="K6213">
        <v>0.57494527952990304</v>
      </c>
      <c r="L6213">
        <v>1150.1175505911301</v>
      </c>
      <c r="M6213">
        <v>21.797107838180299</v>
      </c>
      <c r="O6213">
        <v>52.3265992552152</v>
      </c>
      <c r="P6213">
        <v>-4.8950710555042597E-2</v>
      </c>
      <c r="Q6213">
        <v>0.529962490648482</v>
      </c>
      <c r="R6213">
        <v>0.94471086217908995</v>
      </c>
      <c r="S6213" t="s">
        <v>12883</v>
      </c>
      <c r="T6213" t="s">
        <v>13338</v>
      </c>
      <c r="U6213" t="s">
        <v>13338</v>
      </c>
      <c r="V6213" t="s">
        <v>13338</v>
      </c>
      <c r="W6213" t="s">
        <v>19489</v>
      </c>
      <c r="X6213">
        <v>7</v>
      </c>
      <c r="Y6213" t="s">
        <v>25975</v>
      </c>
      <c r="Z6213" t="s">
        <v>32628</v>
      </c>
      <c r="AA6213">
        <v>0.73552324107560474</v>
      </c>
      <c r="AB6213" t="str">
        <f>HYPERLINK("Melting_Curves/meltCurve_Q9UDX5_MTFP1.pdf", "Melting_Curves/meltCurve_Q9UDX5_MTFP1.pdf")</f>
        <v>Melting_Curves/meltCurve_Q9UDX5_MTFP1.pdf</v>
      </c>
    </row>
    <row r="6214" spans="1:28" x14ac:dyDescent="0.25">
      <c r="A6214" t="s">
        <v>6218</v>
      </c>
      <c r="B6214">
        <v>0.99193492352474899</v>
      </c>
      <c r="C6214">
        <v>0.84495266319553697</v>
      </c>
      <c r="D6214">
        <v>0.64388240211852699</v>
      </c>
      <c r="E6214">
        <v>0.279920693421703</v>
      </c>
      <c r="F6214">
        <v>0.189070434708526</v>
      </c>
      <c r="G6214">
        <v>0.120497763054673</v>
      </c>
      <c r="H6214">
        <v>9.0572404197073603E-2</v>
      </c>
      <c r="I6214">
        <v>0.150678303489407</v>
      </c>
      <c r="J6214">
        <v>0.19090060111212301</v>
      </c>
      <c r="K6214">
        <v>0.26398300317742701</v>
      </c>
      <c r="L6214">
        <v>1120.26153348612</v>
      </c>
      <c r="M6214">
        <v>24.206185894329</v>
      </c>
      <c r="N6214">
        <v>47.022634213572402</v>
      </c>
      <c r="O6214">
        <v>45.967579959450902</v>
      </c>
      <c r="P6214">
        <v>-0.110736578546341</v>
      </c>
      <c r="Q6214">
        <v>0.15885719543400501</v>
      </c>
      <c r="R6214">
        <v>0.97592552533480703</v>
      </c>
      <c r="S6214" t="s">
        <v>12884</v>
      </c>
      <c r="T6214" t="s">
        <v>13338</v>
      </c>
      <c r="U6214" t="s">
        <v>13338</v>
      </c>
      <c r="V6214" t="s">
        <v>13338</v>
      </c>
      <c r="W6214" t="s">
        <v>19490</v>
      </c>
      <c r="X6214">
        <v>4</v>
      </c>
      <c r="Y6214" t="s">
        <v>25976</v>
      </c>
      <c r="Z6214" t="s">
        <v>32629</v>
      </c>
      <c r="AA6214">
        <v>0.34319239048731881</v>
      </c>
      <c r="AB6214" t="str">
        <f>HYPERLINK("Melting_Curves/meltCurve_Q9UDY2_6_TJP2.pdf", "Melting_Curves/meltCurve_Q9UDY2_6_TJP2.pdf")</f>
        <v>Melting_Curves/meltCurve_Q9UDY2_6_TJP2.pdf</v>
      </c>
    </row>
    <row r="6215" spans="1:28" x14ac:dyDescent="0.25">
      <c r="A6215" t="s">
        <v>6219</v>
      </c>
      <c r="B6215">
        <v>0.99193492352474899</v>
      </c>
      <c r="C6215">
        <v>1.0083404934092799</v>
      </c>
      <c r="D6215">
        <v>0.920462020736875</v>
      </c>
      <c r="E6215">
        <v>0.68261059946484304</v>
      </c>
      <c r="F6215">
        <v>0.34276688189556898</v>
      </c>
      <c r="G6215">
        <v>0.175851988644044</v>
      </c>
      <c r="H6215">
        <v>0.11764968818711</v>
      </c>
      <c r="I6215">
        <v>0.15097489006496401</v>
      </c>
      <c r="J6215">
        <v>0.12551871625042199</v>
      </c>
      <c r="K6215">
        <v>0.13222425073440799</v>
      </c>
      <c r="L6215">
        <v>1237.41142656836</v>
      </c>
      <c r="M6215">
        <v>24.395466837963401</v>
      </c>
      <c r="N6215">
        <v>51.3263608438007</v>
      </c>
      <c r="O6215">
        <v>50.385860750813798</v>
      </c>
      <c r="P6215">
        <v>-0.105955991116013</v>
      </c>
      <c r="Q6215">
        <v>0.12465626283360499</v>
      </c>
      <c r="R6215">
        <v>0.99880160619541802</v>
      </c>
      <c r="S6215" t="s">
        <v>12885</v>
      </c>
      <c r="T6215" t="s">
        <v>13338</v>
      </c>
      <c r="U6215" t="s">
        <v>13338</v>
      </c>
      <c r="V6215" t="s">
        <v>13338</v>
      </c>
      <c r="W6215" t="s">
        <v>19491</v>
      </c>
      <c r="X6215">
        <v>4</v>
      </c>
      <c r="Y6215" t="s">
        <v>25977</v>
      </c>
      <c r="Z6215" t="s">
        <v>32630</v>
      </c>
      <c r="AA6215">
        <v>0.44580815306099641</v>
      </c>
      <c r="AB6215" t="str">
        <f>HYPERLINK("Melting_Curves/meltCurve_Q9UDY4_DNAJB4.pdf", "Melting_Curves/meltCurve_Q9UDY4_DNAJB4.pdf")</f>
        <v>Melting_Curves/meltCurve_Q9UDY4_DNAJB4.pdf</v>
      </c>
    </row>
    <row r="6216" spans="1:28" x14ac:dyDescent="0.25">
      <c r="A6216" t="s">
        <v>6220</v>
      </c>
      <c r="B6216">
        <v>0.99193492352474899</v>
      </c>
      <c r="C6216">
        <v>0.87479517954005703</v>
      </c>
      <c r="D6216">
        <v>0.76130200535070802</v>
      </c>
      <c r="E6216">
        <v>0.23877077348711201</v>
      </c>
      <c r="F6216">
        <v>0.236765182939914</v>
      </c>
      <c r="G6216">
        <v>0.14532331791718001</v>
      </c>
      <c r="H6216">
        <v>8.5642717361008397E-2</v>
      </c>
      <c r="I6216">
        <v>8.2445807735396504E-2</v>
      </c>
      <c r="J6216">
        <v>8.8092172068044497E-2</v>
      </c>
      <c r="K6216">
        <v>9.8976019294514606E-2</v>
      </c>
      <c r="L6216">
        <v>1222.0390776957499</v>
      </c>
      <c r="M6216">
        <v>25.849378762059899</v>
      </c>
      <c r="N6216">
        <v>47.708509452429197</v>
      </c>
      <c r="O6216">
        <v>46.995178260870802</v>
      </c>
      <c r="P6216">
        <v>-0.123130298079658</v>
      </c>
      <c r="Q6216">
        <v>0.10458814128973599</v>
      </c>
      <c r="R6216">
        <v>0.98184084642121305</v>
      </c>
      <c r="S6216" t="s">
        <v>12886</v>
      </c>
      <c r="T6216" t="s">
        <v>13338</v>
      </c>
      <c r="U6216" t="s">
        <v>13338</v>
      </c>
      <c r="V6216" t="s">
        <v>13338</v>
      </c>
      <c r="W6216" t="s">
        <v>19492</v>
      </c>
      <c r="X6216">
        <v>3</v>
      </c>
      <c r="Y6216" t="s">
        <v>25978</v>
      </c>
      <c r="Z6216" t="s">
        <v>32631</v>
      </c>
      <c r="AA6216">
        <v>0.32913618281730778</v>
      </c>
      <c r="AB6216" t="str">
        <f>HYPERLINK("Melting_Curves/meltCurve_Q9UDY8_2_MALT1.pdf", "Melting_Curves/meltCurve_Q9UDY8_2_MALT1.pdf")</f>
        <v>Melting_Curves/meltCurve_Q9UDY8_2_MALT1.pdf</v>
      </c>
    </row>
    <row r="6217" spans="1:28" x14ac:dyDescent="0.25">
      <c r="A6217" t="s">
        <v>6221</v>
      </c>
      <c r="B6217">
        <v>0.99193492352474899</v>
      </c>
      <c r="C6217">
        <v>0.85391300757658795</v>
      </c>
      <c r="D6217">
        <v>0.59557584131722996</v>
      </c>
      <c r="E6217">
        <v>0.66848322973079499</v>
      </c>
      <c r="F6217">
        <v>0.42005056323255702</v>
      </c>
      <c r="G6217">
        <v>0.23090096942707</v>
      </c>
      <c r="H6217">
        <v>0.12723532898368101</v>
      </c>
      <c r="I6217">
        <v>0.13237815512399101</v>
      </c>
      <c r="J6217">
        <v>0.191520892856053</v>
      </c>
      <c r="K6217">
        <v>0</v>
      </c>
      <c r="L6217">
        <v>478.83438233253702</v>
      </c>
      <c r="M6217">
        <v>9.4177552731728493</v>
      </c>
      <c r="N6217">
        <v>50.843779282961499</v>
      </c>
      <c r="O6217">
        <v>48.709485341790497</v>
      </c>
      <c r="P6217">
        <v>-4.8365904065709002E-2</v>
      </c>
      <c r="Q6217">
        <v>0</v>
      </c>
      <c r="R6217">
        <v>0.94865608468395402</v>
      </c>
      <c r="S6217" t="s">
        <v>12887</v>
      </c>
      <c r="T6217" t="s">
        <v>13338</v>
      </c>
      <c r="U6217" t="s">
        <v>13338</v>
      </c>
      <c r="V6217" t="s">
        <v>13338</v>
      </c>
      <c r="W6217" t="s">
        <v>19493</v>
      </c>
      <c r="X6217">
        <v>2</v>
      </c>
      <c r="Y6217" t="s">
        <v>25979</v>
      </c>
      <c r="Z6217" t="s">
        <v>32632</v>
      </c>
      <c r="AA6217">
        <v>0.40682833733496121</v>
      </c>
      <c r="AB6217" t="str">
        <f>HYPERLINK("Melting_Curves/meltCurve_Q9UEE5_STK17A.pdf", "Melting_Curves/meltCurve_Q9UEE5_STK17A.pdf")</f>
        <v>Melting_Curves/meltCurve_Q9UEE5_STK17A.pdf</v>
      </c>
    </row>
    <row r="6218" spans="1:28" x14ac:dyDescent="0.25">
      <c r="A6218" t="s">
        <v>6222</v>
      </c>
      <c r="B6218">
        <v>0.99193492352474899</v>
      </c>
      <c r="C6218">
        <v>1.2126381670107</v>
      </c>
      <c r="D6218">
        <v>0.75916629903231003</v>
      </c>
      <c r="E6218">
        <v>0.939303504104404</v>
      </c>
      <c r="F6218">
        <v>0.58476589697366399</v>
      </c>
      <c r="G6218">
        <v>0.54848115191173696</v>
      </c>
      <c r="H6218">
        <v>0.47094578435293599</v>
      </c>
      <c r="I6218">
        <v>0.64394173648373598</v>
      </c>
      <c r="J6218">
        <v>0.438574968589305</v>
      </c>
      <c r="K6218">
        <v>0.81878137852391697</v>
      </c>
      <c r="L6218">
        <v>4687.0874430412296</v>
      </c>
      <c r="M6218">
        <v>92.737735443854802</v>
      </c>
      <c r="O6218">
        <v>50.5178169684647</v>
      </c>
      <c r="P6218">
        <v>-0.191105629371397</v>
      </c>
      <c r="Q6218">
        <v>0.58358952903935002</v>
      </c>
      <c r="R6218">
        <v>0.65187549068861395</v>
      </c>
      <c r="S6218" t="s">
        <v>12888</v>
      </c>
      <c r="T6218" t="s">
        <v>13338</v>
      </c>
      <c r="U6218" t="s">
        <v>13338</v>
      </c>
      <c r="V6218" t="s">
        <v>13338</v>
      </c>
      <c r="W6218" t="s">
        <v>19494</v>
      </c>
      <c r="X6218">
        <v>14</v>
      </c>
      <c r="Y6218" t="s">
        <v>25980</v>
      </c>
      <c r="Z6218" t="s">
        <v>32633</v>
      </c>
      <c r="AA6218">
        <v>0.73017550136497456</v>
      </c>
      <c r="AB6218" t="str">
        <f>HYPERLINK("Melting_Curves/meltCurve_Q9UEE9_CFDP1.pdf", "Melting_Curves/meltCurve_Q9UEE9_CFDP1.pdf")</f>
        <v>Melting_Curves/meltCurve_Q9UEE9_CFDP1.pdf</v>
      </c>
    </row>
    <row r="6219" spans="1:28" x14ac:dyDescent="0.25">
      <c r="A6219" t="s">
        <v>6223</v>
      </c>
      <c r="B6219">
        <v>0.99193492352474899</v>
      </c>
      <c r="C6219">
        <v>1.0669134556059101</v>
      </c>
      <c r="D6219">
        <v>1.36534471176498</v>
      </c>
      <c r="E6219">
        <v>1.4263209535647099</v>
      </c>
      <c r="F6219">
        <v>1.48840250605129</v>
      </c>
      <c r="G6219">
        <v>0.76948964075134396</v>
      </c>
      <c r="H6219">
        <v>0.56955242951942398</v>
      </c>
      <c r="I6219">
        <v>0.67986802748675002</v>
      </c>
      <c r="J6219">
        <v>0.676892487252856</v>
      </c>
      <c r="K6219">
        <v>0.66794665639470596</v>
      </c>
      <c r="L6219">
        <v>14163.356912309901</v>
      </c>
      <c r="M6219">
        <v>250</v>
      </c>
      <c r="O6219">
        <v>56.649802306816099</v>
      </c>
      <c r="P6219">
        <v>-0.387727661099947</v>
      </c>
      <c r="Q6219">
        <v>0.64856487543641295</v>
      </c>
      <c r="R6219">
        <v>0.487155964928698</v>
      </c>
      <c r="S6219" t="s">
        <v>12889</v>
      </c>
      <c r="T6219" t="s">
        <v>13338</v>
      </c>
      <c r="U6219" t="s">
        <v>13338</v>
      </c>
      <c r="V6219" t="s">
        <v>13338</v>
      </c>
      <c r="W6219" t="s">
        <v>19495</v>
      </c>
      <c r="X6219">
        <v>4</v>
      </c>
      <c r="Y6219" t="s">
        <v>21640</v>
      </c>
      <c r="Z6219" t="s">
        <v>32634</v>
      </c>
      <c r="AA6219">
        <v>0.84368646452831209</v>
      </c>
      <c r="AB6219" t="str">
        <f>HYPERLINK("Melting_Curves/meltCurve_Q9UEL6_MPZL1.pdf", "Melting_Curves/meltCurve_Q9UEL6_MPZL1.pdf")</f>
        <v>Melting_Curves/meltCurve_Q9UEL6_MPZL1.pdf</v>
      </c>
    </row>
    <row r="6220" spans="1:28" x14ac:dyDescent="0.25">
      <c r="A6220" t="s">
        <v>6224</v>
      </c>
      <c r="B6220">
        <v>0.99193492352474899</v>
      </c>
      <c r="C6220">
        <v>0.825343161844455</v>
      </c>
      <c r="D6220">
        <v>0.49481882268361699</v>
      </c>
      <c r="E6220">
        <v>0.30973078334012</v>
      </c>
      <c r="F6220">
        <v>0.18793823373358301</v>
      </c>
      <c r="G6220">
        <v>0.19067378874992</v>
      </c>
      <c r="H6220">
        <v>0.13413517417958801</v>
      </c>
      <c r="I6220">
        <v>0.18503593091951401</v>
      </c>
      <c r="J6220">
        <v>0.17517207027659901</v>
      </c>
      <c r="K6220">
        <v>0.224984811706781</v>
      </c>
      <c r="L6220">
        <v>1069.5063856087199</v>
      </c>
      <c r="M6220">
        <v>23.633862242210899</v>
      </c>
      <c r="N6220">
        <v>46.132815390862703</v>
      </c>
      <c r="O6220">
        <v>44.932892185055898</v>
      </c>
      <c r="P6220">
        <v>-0.107644432253162</v>
      </c>
      <c r="Q6220">
        <v>0.181396054975201</v>
      </c>
      <c r="R6220">
        <v>0.99146629767828798</v>
      </c>
      <c r="S6220" t="s">
        <v>12890</v>
      </c>
      <c r="T6220" t="s">
        <v>13338</v>
      </c>
      <c r="U6220" t="s">
        <v>13338</v>
      </c>
      <c r="V6220" t="s">
        <v>13338</v>
      </c>
      <c r="W6220" t="s">
        <v>19496</v>
      </c>
      <c r="X6220">
        <v>6</v>
      </c>
      <c r="Y6220" t="s">
        <v>25981</v>
      </c>
      <c r="Z6220" t="s">
        <v>32635</v>
      </c>
      <c r="AA6220">
        <v>0.33383707749668262</v>
      </c>
      <c r="AB6220" t="str">
        <f>HYPERLINK("Melting_Curves/meltCurve_Q9UER7_2_DAXX.pdf", "Melting_Curves/meltCurve_Q9UER7_2_DAXX.pdf")</f>
        <v>Melting_Curves/meltCurve_Q9UER7_2_DAXX.pdf</v>
      </c>
    </row>
    <row r="6221" spans="1:28" x14ac:dyDescent="0.25">
      <c r="A6221" t="s">
        <v>6225</v>
      </c>
      <c r="B6221">
        <v>0.99193492352474899</v>
      </c>
      <c r="C6221">
        <v>0.83078265485069602</v>
      </c>
      <c r="D6221">
        <v>0.79280174438930195</v>
      </c>
      <c r="E6221">
        <v>0.51746030872793103</v>
      </c>
      <c r="F6221">
        <v>0.19787394605299</v>
      </c>
      <c r="G6221">
        <v>8.0305265447755E-2</v>
      </c>
      <c r="H6221">
        <v>3.8846415564815599E-2</v>
      </c>
      <c r="I6221">
        <v>5.40863425702615E-2</v>
      </c>
      <c r="J6221">
        <v>5.7620422814748697E-2</v>
      </c>
      <c r="K6221">
        <v>2.99688880393452E-2</v>
      </c>
      <c r="L6221">
        <v>838.13018089403602</v>
      </c>
      <c r="M6221">
        <v>17.0384044269606</v>
      </c>
      <c r="N6221">
        <v>49.3035238233171</v>
      </c>
      <c r="O6221">
        <v>48.528044465595499</v>
      </c>
      <c r="P6221">
        <v>-8.6102359064615802E-2</v>
      </c>
      <c r="Q6221">
        <v>1.91281551423713E-2</v>
      </c>
      <c r="R6221">
        <v>0.988903700087719</v>
      </c>
      <c r="S6221" t="s">
        <v>12891</v>
      </c>
      <c r="T6221" t="s">
        <v>13338</v>
      </c>
      <c r="U6221" t="s">
        <v>13338</v>
      </c>
      <c r="V6221" t="s">
        <v>13338</v>
      </c>
      <c r="W6221" t="s">
        <v>19497</v>
      </c>
      <c r="X6221">
        <v>5</v>
      </c>
      <c r="Y6221" t="s">
        <v>25982</v>
      </c>
      <c r="Z6221" t="s">
        <v>32636</v>
      </c>
      <c r="AA6221">
        <v>0.33847953686147181</v>
      </c>
      <c r="AB6221" t="str">
        <f>HYPERLINK("Melting_Curves/meltCurve_Q9UET6_2_FTSJ1.pdf", "Melting_Curves/meltCurve_Q9UET6_2_FTSJ1.pdf")</f>
        <v>Melting_Curves/meltCurve_Q9UET6_2_FTSJ1.pdf</v>
      </c>
    </row>
    <row r="6222" spans="1:28" x14ac:dyDescent="0.25">
      <c r="A6222" t="s">
        <v>6226</v>
      </c>
      <c r="B6222">
        <v>0.99193492352474899</v>
      </c>
      <c r="C6222">
        <v>0.88073933849189601</v>
      </c>
      <c r="D6222">
        <v>0.89717947961511402</v>
      </c>
      <c r="E6222">
        <v>0.71639245606145097</v>
      </c>
      <c r="F6222">
        <v>0.70473166197886306</v>
      </c>
      <c r="G6222">
        <v>0.46920604191696602</v>
      </c>
      <c r="H6222">
        <v>0.36026572936039197</v>
      </c>
      <c r="I6222">
        <v>0.42769006075017801</v>
      </c>
      <c r="J6222">
        <v>0.55082519125631701</v>
      </c>
      <c r="K6222">
        <v>0.77153805127360697</v>
      </c>
      <c r="L6222">
        <v>864.07788128174298</v>
      </c>
      <c r="M6222">
        <v>17.734035837892801</v>
      </c>
      <c r="O6222">
        <v>48.117376693813398</v>
      </c>
      <c r="P6222">
        <v>-4.4181112812843801E-2</v>
      </c>
      <c r="Q6222">
        <v>0.52052243736086901</v>
      </c>
      <c r="R6222">
        <v>0.70021330031029405</v>
      </c>
      <c r="S6222" t="s">
        <v>12892</v>
      </c>
      <c r="T6222" t="s">
        <v>13338</v>
      </c>
      <c r="U6222" t="s">
        <v>13338</v>
      </c>
      <c r="V6222" t="s">
        <v>13338</v>
      </c>
      <c r="W6222" t="s">
        <v>19498</v>
      </c>
      <c r="X6222">
        <v>10</v>
      </c>
      <c r="Y6222" t="s">
        <v>25983</v>
      </c>
      <c r="Z6222" t="s">
        <v>32637</v>
      </c>
      <c r="AA6222">
        <v>0.66856434152413036</v>
      </c>
      <c r="AB6222" t="str">
        <f>HYPERLINK("Melting_Curves/meltCurve_Q9UEU0_VTI1B.pdf", "Melting_Curves/meltCurve_Q9UEU0_VTI1B.pdf")</f>
        <v>Melting_Curves/meltCurve_Q9UEU0_VTI1B.pdf</v>
      </c>
    </row>
    <row r="6223" spans="1:28" x14ac:dyDescent="0.25">
      <c r="A6223" t="s">
        <v>6227</v>
      </c>
      <c r="B6223">
        <v>0.99193492352474899</v>
      </c>
      <c r="C6223">
        <v>0.80626748794619696</v>
      </c>
      <c r="D6223">
        <v>0.59314384502495898</v>
      </c>
      <c r="E6223">
        <v>0.27361446351239899</v>
      </c>
      <c r="F6223">
        <v>0.19373224637870101</v>
      </c>
      <c r="G6223">
        <v>0.14318922419345301</v>
      </c>
      <c r="H6223">
        <v>0.102624346866063</v>
      </c>
      <c r="I6223">
        <v>8.9965075775256503E-2</v>
      </c>
      <c r="J6223">
        <v>0.10484820683454101</v>
      </c>
      <c r="K6223">
        <v>5.7923820091681198E-2</v>
      </c>
      <c r="L6223">
        <v>848.10672704795695</v>
      </c>
      <c r="M6223">
        <v>18.296800092007299</v>
      </c>
      <c r="N6223">
        <v>46.862700054363799</v>
      </c>
      <c r="O6223">
        <v>45.809653570188402</v>
      </c>
      <c r="P6223">
        <v>-9.0842877862663499E-2</v>
      </c>
      <c r="Q6223">
        <v>9.0269268679098097E-2</v>
      </c>
      <c r="R6223">
        <v>0.99455184168552402</v>
      </c>
      <c r="S6223" t="s">
        <v>12893</v>
      </c>
      <c r="T6223" t="s">
        <v>13338</v>
      </c>
      <c r="U6223" t="s">
        <v>13338</v>
      </c>
      <c r="V6223" t="s">
        <v>13338</v>
      </c>
      <c r="W6223" t="s">
        <v>19499</v>
      </c>
      <c r="X6223">
        <v>13</v>
      </c>
      <c r="Y6223" t="s">
        <v>25984</v>
      </c>
      <c r="Z6223" t="s">
        <v>32638</v>
      </c>
      <c r="AA6223">
        <v>0.29970622506241729</v>
      </c>
      <c r="AB6223" t="str">
        <f>HYPERLINK("Melting_Curves/meltCurve_Q9UEW8_STK39.pdf", "Melting_Curves/meltCurve_Q9UEW8_STK39.pdf")</f>
        <v>Melting_Curves/meltCurve_Q9UEW8_STK39.pdf</v>
      </c>
    </row>
    <row r="6224" spans="1:28" x14ac:dyDescent="0.25">
      <c r="A6224" t="s">
        <v>6228</v>
      </c>
      <c r="B6224">
        <v>0.99193492352474899</v>
      </c>
      <c r="C6224">
        <v>0.91054190449015904</v>
      </c>
      <c r="D6224">
        <v>0.87509802798905201</v>
      </c>
      <c r="E6224">
        <v>0.76989253580955297</v>
      </c>
      <c r="F6224">
        <v>0.67494648127311296</v>
      </c>
      <c r="G6224">
        <v>0.47684377241221099</v>
      </c>
      <c r="H6224">
        <v>0.38191294596078501</v>
      </c>
      <c r="I6224">
        <v>0.37296262279201398</v>
      </c>
      <c r="J6224">
        <v>0.44317874629202297</v>
      </c>
      <c r="K6224">
        <v>0.35222510552985598</v>
      </c>
      <c r="L6224">
        <v>632.72945150994497</v>
      </c>
      <c r="M6224">
        <v>12.1646420171133</v>
      </c>
      <c r="N6224">
        <v>57.162517883438198</v>
      </c>
      <c r="O6224">
        <v>50.668059892366301</v>
      </c>
      <c r="P6224">
        <v>-4.0052652014191101E-2</v>
      </c>
      <c r="Q6224">
        <v>0.33284474149586202</v>
      </c>
      <c r="R6224">
        <v>0.97509286829112995</v>
      </c>
      <c r="S6224" t="s">
        <v>12894</v>
      </c>
      <c r="T6224" t="s">
        <v>13338</v>
      </c>
      <c r="U6224" t="s">
        <v>13338</v>
      </c>
      <c r="V6224" t="s">
        <v>13338</v>
      </c>
      <c r="W6224" t="s">
        <v>19500</v>
      </c>
      <c r="X6224">
        <v>22</v>
      </c>
      <c r="Y6224" t="s">
        <v>25985</v>
      </c>
      <c r="Z6224" t="s">
        <v>32639</v>
      </c>
      <c r="AA6224">
        <v>0.62005718741899707</v>
      </c>
      <c r="AB6224" t="str">
        <f>HYPERLINK("Melting_Curves/meltCurve_Q9UEY8_2_ADD3.pdf", "Melting_Curves/meltCurve_Q9UEY8_2_ADD3.pdf")</f>
        <v>Melting_Curves/meltCurve_Q9UEY8_2_ADD3.pdf</v>
      </c>
    </row>
    <row r="6225" spans="1:28" x14ac:dyDescent="0.25">
      <c r="A6225" t="s">
        <v>6229</v>
      </c>
      <c r="B6225">
        <v>0.99193492352474899</v>
      </c>
      <c r="C6225">
        <v>0.72074734360081505</v>
      </c>
      <c r="D6225">
        <v>0.54969354183145402</v>
      </c>
      <c r="E6225">
        <v>0.23672792937939499</v>
      </c>
      <c r="F6225">
        <v>0.164540878056606</v>
      </c>
      <c r="G6225">
        <v>0.106599236120481</v>
      </c>
      <c r="H6225">
        <v>7.2264522234289294E-2</v>
      </c>
      <c r="I6225">
        <v>7.9972359049667097E-2</v>
      </c>
      <c r="J6225">
        <v>8.5564277291351298E-2</v>
      </c>
      <c r="K6225">
        <v>7.5061652037907794E-2</v>
      </c>
      <c r="L6225">
        <v>805.15719632197602</v>
      </c>
      <c r="M6225">
        <v>17.609354231082101</v>
      </c>
      <c r="N6225">
        <v>46.148343808409898</v>
      </c>
      <c r="O6225">
        <v>45.145833318380099</v>
      </c>
      <c r="P6225">
        <v>-9.0218184286523395E-2</v>
      </c>
      <c r="Q6225">
        <v>7.4865335582689402E-2</v>
      </c>
      <c r="R6225">
        <v>0.99010233290298</v>
      </c>
      <c r="S6225" t="s">
        <v>12895</v>
      </c>
      <c r="T6225" t="s">
        <v>13338</v>
      </c>
      <c r="U6225" t="s">
        <v>13338</v>
      </c>
      <c r="V6225" t="s">
        <v>13338</v>
      </c>
      <c r="W6225" t="s">
        <v>19501</v>
      </c>
      <c r="X6225">
        <v>10</v>
      </c>
      <c r="Y6225" t="s">
        <v>25986</v>
      </c>
      <c r="Z6225" t="s">
        <v>32640</v>
      </c>
      <c r="AA6225">
        <v>0.27087206855905932</v>
      </c>
      <c r="AB6225" t="str">
        <f>HYPERLINK("Melting_Curves/meltCurve_Q9UFC0_LRWD1.pdf", "Melting_Curves/meltCurve_Q9UFC0_LRWD1.pdf")</f>
        <v>Melting_Curves/meltCurve_Q9UFC0_LRWD1.pdf</v>
      </c>
    </row>
    <row r="6226" spans="1:28" x14ac:dyDescent="0.25">
      <c r="A6226" t="s">
        <v>6230</v>
      </c>
      <c r="B6226">
        <v>0.99193492352474899</v>
      </c>
      <c r="C6226">
        <v>1.0474057213502399</v>
      </c>
      <c r="D6226">
        <v>0.57753056346115905</v>
      </c>
      <c r="E6226">
        <v>0.62176950038332701</v>
      </c>
      <c r="F6226">
        <v>0.52085284405233001</v>
      </c>
      <c r="G6226">
        <v>0.25017465041632803</v>
      </c>
      <c r="H6226">
        <v>0.23740563905578399</v>
      </c>
      <c r="I6226">
        <v>0.279738171774637</v>
      </c>
      <c r="J6226">
        <v>0.31848219096995101</v>
      </c>
      <c r="K6226">
        <v>0.50708230278636202</v>
      </c>
      <c r="L6226">
        <v>826.97074514108795</v>
      </c>
      <c r="M6226">
        <v>17.470902572697099</v>
      </c>
      <c r="N6226">
        <v>50.438247712145497</v>
      </c>
      <c r="O6226">
        <v>46.727076896521503</v>
      </c>
      <c r="P6226">
        <v>-6.2688014345208806E-2</v>
      </c>
      <c r="Q6226">
        <v>0.32938421684740798</v>
      </c>
      <c r="R6226">
        <v>0.83468907944959003</v>
      </c>
      <c r="S6226" t="s">
        <v>12896</v>
      </c>
      <c r="T6226" t="s">
        <v>13338</v>
      </c>
      <c r="U6226" t="s">
        <v>13338</v>
      </c>
      <c r="V6226" t="s">
        <v>13338</v>
      </c>
      <c r="W6226" t="s">
        <v>19502</v>
      </c>
      <c r="X6226">
        <v>6</v>
      </c>
      <c r="Y6226" t="s">
        <v>25987</v>
      </c>
      <c r="Z6226" t="s">
        <v>32641</v>
      </c>
      <c r="AA6226">
        <v>0.50632129143167148</v>
      </c>
      <c r="AB6226" t="str">
        <f>HYPERLINK("Melting_Curves/meltCurve_Q9UFN0_NIPSNAP3A.pdf", "Melting_Curves/meltCurve_Q9UFN0_NIPSNAP3A.pdf")</f>
        <v>Melting_Curves/meltCurve_Q9UFN0_NIPSNAP3A.pdf</v>
      </c>
    </row>
    <row r="6227" spans="1:28" x14ac:dyDescent="0.25">
      <c r="A6227" t="s">
        <v>6231</v>
      </c>
      <c r="B6227">
        <v>0.99193492352474899</v>
      </c>
      <c r="C6227">
        <v>0.63375750642307505</v>
      </c>
      <c r="D6227">
        <v>0.89000656716361304</v>
      </c>
      <c r="E6227">
        <v>0.60846532702630496</v>
      </c>
      <c r="F6227">
        <v>0.38993316813678203</v>
      </c>
      <c r="G6227">
        <v>0.173549634475472</v>
      </c>
      <c r="H6227">
        <v>0.16543446741021001</v>
      </c>
      <c r="I6227">
        <v>0.18596473856611101</v>
      </c>
      <c r="J6227">
        <v>0.24768241788640299</v>
      </c>
      <c r="K6227">
        <v>0.42854717483598798</v>
      </c>
      <c r="L6227">
        <v>686.37752523574898</v>
      </c>
      <c r="M6227">
        <v>14.1680093641172</v>
      </c>
      <c r="N6227">
        <v>50.4862735566537</v>
      </c>
      <c r="O6227">
        <v>47.511093757458198</v>
      </c>
      <c r="P6227">
        <v>-5.8306741702565397E-2</v>
      </c>
      <c r="Q6227">
        <v>0.21799395975015701</v>
      </c>
      <c r="R6227">
        <v>0.80216800730779902</v>
      </c>
      <c r="S6227" t="s">
        <v>12897</v>
      </c>
      <c r="T6227" t="s">
        <v>13338</v>
      </c>
      <c r="U6227" t="s">
        <v>13338</v>
      </c>
      <c r="V6227" t="s">
        <v>13338</v>
      </c>
      <c r="W6227" t="s">
        <v>19503</v>
      </c>
      <c r="X6227">
        <v>10</v>
      </c>
      <c r="Y6227" t="s">
        <v>25988</v>
      </c>
      <c r="Z6227" t="s">
        <v>32642</v>
      </c>
      <c r="AA6227">
        <v>0.46014938486955542</v>
      </c>
      <c r="AB6227" t="str">
        <f>HYPERLINK("Melting_Curves/meltCurve_Q9UFW8_CGGBP1.pdf", "Melting_Curves/meltCurve_Q9UFW8_CGGBP1.pdf")</f>
        <v>Melting_Curves/meltCurve_Q9UFW8_CGGBP1.pdf</v>
      </c>
    </row>
    <row r="6228" spans="1:28" x14ac:dyDescent="0.25">
      <c r="A6228" t="s">
        <v>6232</v>
      </c>
      <c r="B6228">
        <v>0.99193492352474899</v>
      </c>
      <c r="C6228">
        <v>0.79427522257560101</v>
      </c>
      <c r="D6228">
        <v>0.93462887390097005</v>
      </c>
      <c r="E6228">
        <v>0.68995416557494105</v>
      </c>
      <c r="F6228">
        <v>0.404846958288609</v>
      </c>
      <c r="G6228">
        <v>0.15108400733367</v>
      </c>
      <c r="H6228">
        <v>7.7725876757635107E-2</v>
      </c>
      <c r="I6228">
        <v>8.1871446173574294E-2</v>
      </c>
      <c r="J6228">
        <v>8.8961436840055697E-2</v>
      </c>
      <c r="K6228">
        <v>9.7245584844947996E-2</v>
      </c>
      <c r="L6228">
        <v>958.83835054539895</v>
      </c>
      <c r="M6228">
        <v>18.6767989476606</v>
      </c>
      <c r="N6228">
        <v>51.690653619068499</v>
      </c>
      <c r="O6228">
        <v>50.760777138272097</v>
      </c>
      <c r="P6228">
        <v>-8.6492726761872599E-2</v>
      </c>
      <c r="Q6228">
        <v>5.97423475182021E-2</v>
      </c>
      <c r="R6228">
        <v>0.97050040870515797</v>
      </c>
      <c r="S6228" t="s">
        <v>12898</v>
      </c>
      <c r="T6228" t="s">
        <v>13338</v>
      </c>
      <c r="U6228" t="s">
        <v>13338</v>
      </c>
      <c r="V6228" t="s">
        <v>13338</v>
      </c>
      <c r="W6228" t="s">
        <v>19504</v>
      </c>
      <c r="X6228">
        <v>29</v>
      </c>
      <c r="Y6228" t="s">
        <v>25989</v>
      </c>
      <c r="Z6228" t="s">
        <v>32643</v>
      </c>
      <c r="AA6228">
        <v>0.42988538249970137</v>
      </c>
      <c r="AB6228" t="str">
        <f>HYPERLINK("Melting_Curves/meltCurve_Q9UG63_ABCF2.pdf", "Melting_Curves/meltCurve_Q9UG63_ABCF2.pdf")</f>
        <v>Melting_Curves/meltCurve_Q9UG63_ABCF2.pdf</v>
      </c>
    </row>
    <row r="6229" spans="1:28" x14ac:dyDescent="0.25">
      <c r="A6229" t="s">
        <v>6233</v>
      </c>
      <c r="B6229">
        <v>0.99193492352474899</v>
      </c>
      <c r="C6229">
        <v>0.74228327420232398</v>
      </c>
      <c r="D6229">
        <v>0.73409910056848404</v>
      </c>
      <c r="E6229">
        <v>0.54850458720523398</v>
      </c>
      <c r="F6229">
        <v>0.61535518851368298</v>
      </c>
      <c r="G6229">
        <v>0.37738101955804798</v>
      </c>
      <c r="H6229">
        <v>0.13163122271033101</v>
      </c>
      <c r="I6229">
        <v>7.2062346407075303E-2</v>
      </c>
      <c r="J6229">
        <v>8.25008822862002E-2</v>
      </c>
      <c r="K6229">
        <v>7.1636622499062497E-2</v>
      </c>
      <c r="L6229">
        <v>461.89833837285403</v>
      </c>
      <c r="M6229">
        <v>8.9112008531396505</v>
      </c>
      <c r="N6229">
        <v>51.833451013475504</v>
      </c>
      <c r="O6229">
        <v>49.4224889782856</v>
      </c>
      <c r="P6229">
        <v>-4.51106373301772E-2</v>
      </c>
      <c r="Q6229">
        <v>0</v>
      </c>
      <c r="R6229">
        <v>0.931592250176701</v>
      </c>
      <c r="S6229" t="s">
        <v>12899</v>
      </c>
      <c r="T6229" t="s">
        <v>13338</v>
      </c>
      <c r="U6229" t="s">
        <v>13338</v>
      </c>
      <c r="V6229" t="s">
        <v>13338</v>
      </c>
      <c r="W6229" t="s">
        <v>19505</v>
      </c>
      <c r="X6229">
        <v>7</v>
      </c>
      <c r="Y6229" t="s">
        <v>25990</v>
      </c>
      <c r="Z6229" t="s">
        <v>32644</v>
      </c>
      <c r="AA6229">
        <v>0.43798513153315111</v>
      </c>
      <c r="AB6229" t="str">
        <f>HYPERLINK("Melting_Curves/meltCurve_Q9UGJ1_2_TUBGCP4.pdf", "Melting_Curves/meltCurve_Q9UGJ1_2_TUBGCP4.pdf")</f>
        <v>Melting_Curves/meltCurve_Q9UGJ1_2_TUBGCP4.pdf</v>
      </c>
    </row>
    <row r="6230" spans="1:28" x14ac:dyDescent="0.25">
      <c r="A6230" t="s">
        <v>6234</v>
      </c>
      <c r="B6230">
        <v>0.99193492352474899</v>
      </c>
      <c r="C6230">
        <v>0.785387043312328</v>
      </c>
      <c r="D6230">
        <v>0.87048290378724302</v>
      </c>
      <c r="E6230">
        <v>0.57062582108948201</v>
      </c>
      <c r="F6230">
        <v>0.412967064915299</v>
      </c>
      <c r="G6230">
        <v>0.183909125520203</v>
      </c>
      <c r="H6230">
        <v>0.12216005757520899</v>
      </c>
      <c r="I6230">
        <v>0.12750594286764999</v>
      </c>
      <c r="J6230">
        <v>0.161888839430468</v>
      </c>
      <c r="K6230">
        <v>0.165013415210776</v>
      </c>
      <c r="L6230">
        <v>719.746481370016</v>
      </c>
      <c r="M6230">
        <v>14.406922848805101</v>
      </c>
      <c r="N6230">
        <v>50.806288652095503</v>
      </c>
      <c r="O6230">
        <v>49.025422557282397</v>
      </c>
      <c r="P6230">
        <v>-6.5623825975744204E-2</v>
      </c>
      <c r="Q6230">
        <v>0.106858489654577</v>
      </c>
      <c r="R6230">
        <v>0.96628568061245701</v>
      </c>
      <c r="S6230" t="s">
        <v>12900</v>
      </c>
      <c r="T6230" t="s">
        <v>13338</v>
      </c>
      <c r="U6230" t="s">
        <v>13338</v>
      </c>
      <c r="V6230" t="s">
        <v>13338</v>
      </c>
      <c r="W6230" t="s">
        <v>19506</v>
      </c>
      <c r="X6230">
        <v>5</v>
      </c>
      <c r="Y6230" t="s">
        <v>25991</v>
      </c>
      <c r="Z6230" t="s">
        <v>32645</v>
      </c>
      <c r="AA6230">
        <v>0.42622835743667259</v>
      </c>
      <c r="AB6230" t="str">
        <f>HYPERLINK("Melting_Curves/meltCurve_Q9UGK8_SERGEF.pdf", "Melting_Curves/meltCurve_Q9UGK8_SERGEF.pdf")</f>
        <v>Melting_Curves/meltCurve_Q9UGK8_SERGEF.pdf</v>
      </c>
    </row>
    <row r="6231" spans="1:28" x14ac:dyDescent="0.25">
      <c r="A6231" t="s">
        <v>6235</v>
      </c>
      <c r="B6231">
        <v>0.99193492352474899</v>
      </c>
      <c r="C6231">
        <v>1.06044367170645</v>
      </c>
      <c r="D6231">
        <v>0.82596777825244205</v>
      </c>
      <c r="E6231">
        <v>0.88410767972216697</v>
      </c>
      <c r="F6231">
        <v>0.75929998451245995</v>
      </c>
      <c r="G6231">
        <v>0.97197427206131704</v>
      </c>
      <c r="H6231">
        <v>0.32988960833685299</v>
      </c>
      <c r="I6231">
        <v>0.353460666872078</v>
      </c>
      <c r="J6231">
        <v>0.179703670084639</v>
      </c>
      <c r="K6231">
        <v>0.13218499128715799</v>
      </c>
      <c r="L6231">
        <v>905.78492474923598</v>
      </c>
      <c r="M6231">
        <v>14.9471857060365</v>
      </c>
      <c r="N6231">
        <v>60.599028045384898</v>
      </c>
      <c r="O6231">
        <v>59.545385762778302</v>
      </c>
      <c r="P6231">
        <v>-6.27618605238595E-2</v>
      </c>
      <c r="Q6231">
        <v>0</v>
      </c>
      <c r="R6231">
        <v>0.88025968758811002</v>
      </c>
      <c r="S6231" t="s">
        <v>12901</v>
      </c>
      <c r="T6231" t="s">
        <v>13338</v>
      </c>
      <c r="U6231" t="s">
        <v>13338</v>
      </c>
      <c r="V6231" t="s">
        <v>13338</v>
      </c>
      <c r="W6231" t="s">
        <v>19507</v>
      </c>
      <c r="X6231">
        <v>1</v>
      </c>
      <c r="Y6231" t="s">
        <v>25992</v>
      </c>
      <c r="Z6231" t="s">
        <v>32646</v>
      </c>
      <c r="AA6231">
        <v>0.69091441978088097</v>
      </c>
      <c r="AB6231" t="str">
        <f>HYPERLINK("Melting_Curves/meltCurve_Q9UGM1_CHRNA9.pdf", "Melting_Curves/meltCurve_Q9UGM1_CHRNA9.pdf")</f>
        <v>Melting_Curves/meltCurve_Q9UGM1_CHRNA9.pdf</v>
      </c>
    </row>
    <row r="6232" spans="1:28" x14ac:dyDescent="0.25">
      <c r="A6232" t="s">
        <v>6236</v>
      </c>
      <c r="B6232">
        <v>0.99193492352474899</v>
      </c>
      <c r="C6232">
        <v>0.88748866917621505</v>
      </c>
      <c r="D6232">
        <v>0.81442672309789199</v>
      </c>
      <c r="E6232">
        <v>0.36639210656156601</v>
      </c>
      <c r="F6232">
        <v>0.167792747655056</v>
      </c>
      <c r="G6232">
        <v>8.1965435334957204E-2</v>
      </c>
      <c r="H6232">
        <v>5.1971893386900399E-2</v>
      </c>
      <c r="I6232">
        <v>7.0168541944709603E-2</v>
      </c>
      <c r="J6232">
        <v>6.8726840559014402E-2</v>
      </c>
      <c r="K6232">
        <v>5.4018306288499601E-2</v>
      </c>
      <c r="L6232">
        <v>1131.7121866920299</v>
      </c>
      <c r="M6232">
        <v>23.4368060253273</v>
      </c>
      <c r="N6232">
        <v>48.543802653455003</v>
      </c>
      <c r="O6232">
        <v>47.940386535505603</v>
      </c>
      <c r="P6232">
        <v>-0.115116094736066</v>
      </c>
      <c r="Q6232">
        <v>5.8128679834562401E-2</v>
      </c>
      <c r="R6232">
        <v>0.99503101066869104</v>
      </c>
      <c r="S6232" t="s">
        <v>12902</v>
      </c>
      <c r="T6232" t="s">
        <v>13338</v>
      </c>
      <c r="U6232" t="s">
        <v>13338</v>
      </c>
      <c r="V6232" t="s">
        <v>13338</v>
      </c>
      <c r="W6232" t="s">
        <v>19508</v>
      </c>
      <c r="X6232">
        <v>4</v>
      </c>
      <c r="Y6232" t="s">
        <v>25993</v>
      </c>
      <c r="Z6232" t="s">
        <v>32647</v>
      </c>
      <c r="AA6232">
        <v>0.32786629911151111</v>
      </c>
      <c r="AB6232" t="str">
        <f>HYPERLINK("Melting_Curves/meltCurve_Q9UGM6_WARS2.pdf", "Melting_Curves/meltCurve_Q9UGM6_WARS2.pdf")</f>
        <v>Melting_Curves/meltCurve_Q9UGM6_WARS2.pdf</v>
      </c>
    </row>
    <row r="6233" spans="1:28" x14ac:dyDescent="0.25">
      <c r="A6233" t="s">
        <v>6237</v>
      </c>
      <c r="B6233">
        <v>0.99193492352474899</v>
      </c>
      <c r="C6233">
        <v>0.95446604113673505</v>
      </c>
      <c r="D6233">
        <v>0.75471800004477496</v>
      </c>
      <c r="E6233">
        <v>0.42884972895185802</v>
      </c>
      <c r="F6233">
        <v>0.233624125335404</v>
      </c>
      <c r="G6233">
        <v>9.6828985170270901E-2</v>
      </c>
      <c r="H6233">
        <v>8.4255943967626701E-2</v>
      </c>
      <c r="I6233">
        <v>0.118893224480971</v>
      </c>
      <c r="J6233">
        <v>0.12822577220039499</v>
      </c>
      <c r="K6233">
        <v>0.18131730614823599</v>
      </c>
      <c r="L6233">
        <v>1069.37244279988</v>
      </c>
      <c r="M6233">
        <v>22.213520605527599</v>
      </c>
      <c r="N6233">
        <v>48.730361357189999</v>
      </c>
      <c r="O6233">
        <v>47.755557054411597</v>
      </c>
      <c r="P6233">
        <v>-0.102583530818743</v>
      </c>
      <c r="Q6233">
        <v>0.117865455878073</v>
      </c>
      <c r="R6233">
        <v>0.99248035588060401</v>
      </c>
      <c r="S6233" t="s">
        <v>12903</v>
      </c>
      <c r="T6233" t="s">
        <v>13338</v>
      </c>
      <c r="U6233" t="s">
        <v>13338</v>
      </c>
      <c r="V6233" t="s">
        <v>13338</v>
      </c>
      <c r="W6233" t="s">
        <v>19509</v>
      </c>
      <c r="X6233">
        <v>9</v>
      </c>
      <c r="Y6233" t="s">
        <v>25994</v>
      </c>
      <c r="Z6233" t="s">
        <v>32648</v>
      </c>
      <c r="AA6233">
        <v>0.3672482721414585</v>
      </c>
      <c r="AB6233" t="str">
        <f>HYPERLINK("Melting_Curves/meltCurve_Q9UGP4_LIMD1.pdf", "Melting_Curves/meltCurve_Q9UGP4_LIMD1.pdf")</f>
        <v>Melting_Curves/meltCurve_Q9UGP4_LIMD1.pdf</v>
      </c>
    </row>
    <row r="6234" spans="1:28" x14ac:dyDescent="0.25">
      <c r="A6234" t="s">
        <v>6238</v>
      </c>
      <c r="B6234">
        <v>0.99193492352474899</v>
      </c>
      <c r="C6234">
        <v>0.91895203555570204</v>
      </c>
      <c r="D6234">
        <v>1.0783795289338201</v>
      </c>
      <c r="E6234">
        <v>0.79140573553522298</v>
      </c>
      <c r="F6234">
        <v>0.56106901353472405</v>
      </c>
      <c r="G6234">
        <v>0.23694522730364601</v>
      </c>
      <c r="H6234">
        <v>7.8658431181374999E-2</v>
      </c>
      <c r="I6234">
        <v>8.9512021046207896E-2</v>
      </c>
      <c r="J6234">
        <v>0.12301813719546199</v>
      </c>
      <c r="K6234">
        <v>0.12911972210427999</v>
      </c>
      <c r="L6234">
        <v>1282.1077198662099</v>
      </c>
      <c r="M6234">
        <v>24.195179473208899</v>
      </c>
      <c r="N6234">
        <v>53.440575445295899</v>
      </c>
      <c r="O6234">
        <v>52.632210182265801</v>
      </c>
      <c r="P6234">
        <v>-0.104327897799319</v>
      </c>
      <c r="Q6234">
        <v>9.2228495314533199E-2</v>
      </c>
      <c r="R6234">
        <v>0.98277706530894604</v>
      </c>
      <c r="S6234" t="s">
        <v>12904</v>
      </c>
      <c r="T6234" t="s">
        <v>13338</v>
      </c>
      <c r="U6234" t="s">
        <v>13338</v>
      </c>
      <c r="V6234" t="s">
        <v>13338</v>
      </c>
      <c r="W6234" t="s">
        <v>19510</v>
      </c>
      <c r="X6234">
        <v>15</v>
      </c>
      <c r="Y6234" t="s">
        <v>25995</v>
      </c>
      <c r="Z6234" t="s">
        <v>32649</v>
      </c>
      <c r="AA6234">
        <v>0.49418427016179578</v>
      </c>
      <c r="AB6234" t="str">
        <f>HYPERLINK("Melting_Curves/meltCurve_Q9UGP8_SEC63.pdf", "Melting_Curves/meltCurve_Q9UGP8_SEC63.pdf")</f>
        <v>Melting_Curves/meltCurve_Q9UGP8_SEC63.pdf</v>
      </c>
    </row>
    <row r="6235" spans="1:28" x14ac:dyDescent="0.25">
      <c r="A6235" t="s">
        <v>6239</v>
      </c>
      <c r="B6235">
        <v>0.99193492352474899</v>
      </c>
      <c r="C6235">
        <v>1.0615000127916501</v>
      </c>
      <c r="D6235">
        <v>0.92520538386512796</v>
      </c>
      <c r="E6235">
        <v>0.99831325028796603</v>
      </c>
      <c r="F6235">
        <v>0.71074768183134496</v>
      </c>
      <c r="G6235">
        <v>0.69065050616258805</v>
      </c>
      <c r="H6235">
        <v>0.63285681882756095</v>
      </c>
      <c r="I6235">
        <v>0.73421473307491902</v>
      </c>
      <c r="J6235">
        <v>0.87194177567905196</v>
      </c>
      <c r="K6235">
        <v>0.87953582631118199</v>
      </c>
      <c r="L6235">
        <v>12646.151852320199</v>
      </c>
      <c r="M6235">
        <v>250</v>
      </c>
      <c r="O6235">
        <v>50.581388696883003</v>
      </c>
      <c r="P6235">
        <v>-0.30480042216843101</v>
      </c>
      <c r="Q6235">
        <v>0.75332443129469595</v>
      </c>
      <c r="R6235">
        <v>0.69853330810516701</v>
      </c>
      <c r="S6235" t="s">
        <v>12905</v>
      </c>
      <c r="T6235" t="s">
        <v>13338</v>
      </c>
      <c r="U6235" t="s">
        <v>13338</v>
      </c>
      <c r="V6235" t="s">
        <v>13338</v>
      </c>
      <c r="W6235" t="s">
        <v>19511</v>
      </c>
      <c r="X6235">
        <v>2</v>
      </c>
      <c r="Y6235" t="s">
        <v>25996</v>
      </c>
      <c r="Z6235" t="s">
        <v>32650</v>
      </c>
      <c r="AA6235">
        <v>0.84037846504088731</v>
      </c>
      <c r="AB6235" t="str">
        <f>HYPERLINK("Melting_Curves/meltCurve_Q9UGQ2_2_CACFD1.pdf", "Melting_Curves/meltCurve_Q9UGQ2_2_CACFD1.pdf")</f>
        <v>Melting_Curves/meltCurve_Q9UGQ2_2_CACFD1.pdf</v>
      </c>
    </row>
    <row r="6236" spans="1:28" x14ac:dyDescent="0.25">
      <c r="A6236" t="s">
        <v>6240</v>
      </c>
      <c r="B6236">
        <v>0.99193492352474899</v>
      </c>
      <c r="C6236">
        <v>0.78716076971024596</v>
      </c>
      <c r="D6236">
        <v>0.84501797094828202</v>
      </c>
      <c r="E6236">
        <v>1.0933632617565501</v>
      </c>
      <c r="F6236">
        <v>0.754567595756654</v>
      </c>
      <c r="G6236">
        <v>0.52273609201333304</v>
      </c>
      <c r="H6236">
        <v>0.52079214985308397</v>
      </c>
      <c r="I6236">
        <v>0.56879007910665003</v>
      </c>
      <c r="J6236">
        <v>0.69800429695336697</v>
      </c>
      <c r="K6236">
        <v>0.58856644011010495</v>
      </c>
      <c r="L6236">
        <v>13281.9419169619</v>
      </c>
      <c r="M6236">
        <v>250</v>
      </c>
      <c r="O6236">
        <v>53.124367729253898</v>
      </c>
      <c r="P6236">
        <v>-0.49438493479384499</v>
      </c>
      <c r="Q6236">
        <v>0.57977780637927501</v>
      </c>
      <c r="R6236">
        <v>0.71790481502344194</v>
      </c>
      <c r="S6236" t="s">
        <v>12906</v>
      </c>
      <c r="T6236" t="s">
        <v>13338</v>
      </c>
      <c r="U6236" t="s">
        <v>13338</v>
      </c>
      <c r="V6236" t="s">
        <v>13338</v>
      </c>
      <c r="W6236" t="s">
        <v>19512</v>
      </c>
      <c r="X6236">
        <v>1</v>
      </c>
      <c r="Y6236" t="s">
        <v>25997</v>
      </c>
      <c r="Z6236" t="s">
        <v>32651</v>
      </c>
      <c r="AA6236">
        <v>0.76370296478406285</v>
      </c>
      <c r="AB6236" t="str">
        <f>HYPERLINK("Melting_Curves/meltCurve_Q9UGQ3_2_SLC2A6.pdf", "Melting_Curves/meltCurve_Q9UGQ3_2_SLC2A6.pdf")</f>
        <v>Melting_Curves/meltCurve_Q9UGQ3_2_SLC2A6.pdf</v>
      </c>
    </row>
    <row r="6237" spans="1:28" x14ac:dyDescent="0.25">
      <c r="A6237" t="s">
        <v>6241</v>
      </c>
      <c r="B6237">
        <v>0.99193492352474899</v>
      </c>
      <c r="C6237">
        <v>0.97825782096757397</v>
      </c>
      <c r="D6237">
        <v>0.60593183060218103</v>
      </c>
      <c r="E6237">
        <v>0.49505355024576497</v>
      </c>
      <c r="F6237">
        <v>0.38828622815459701</v>
      </c>
      <c r="G6237">
        <v>0.26412251586568503</v>
      </c>
      <c r="H6237">
        <v>0.169590208682249</v>
      </c>
      <c r="I6237">
        <v>0.28908131740787701</v>
      </c>
      <c r="J6237">
        <v>0.22590433969600399</v>
      </c>
      <c r="K6237">
        <v>0.22605302479648801</v>
      </c>
      <c r="L6237">
        <v>810.88689961412399</v>
      </c>
      <c r="M6237">
        <v>17.149665958219</v>
      </c>
      <c r="N6237">
        <v>49.041854082616901</v>
      </c>
      <c r="O6237">
        <v>46.654088755613202</v>
      </c>
      <c r="P6237">
        <v>-7.0793191141907102E-2</v>
      </c>
      <c r="Q6237">
        <v>0.229700355204842</v>
      </c>
      <c r="R6237">
        <v>0.96220595981570201</v>
      </c>
      <c r="S6237" t="s">
        <v>12907</v>
      </c>
      <c r="T6237" t="s">
        <v>13338</v>
      </c>
      <c r="U6237" t="s">
        <v>13338</v>
      </c>
      <c r="V6237" t="s">
        <v>13338</v>
      </c>
      <c r="W6237" t="s">
        <v>19513</v>
      </c>
      <c r="X6237">
        <v>3</v>
      </c>
      <c r="Y6237" t="s">
        <v>25998</v>
      </c>
      <c r="Z6237" t="s">
        <v>32652</v>
      </c>
      <c r="AA6237">
        <v>0.43226183805838142</v>
      </c>
      <c r="AB6237" t="str">
        <f>HYPERLINK("Melting_Curves/meltCurve_Q9UGR2_2_ZC3H7B.pdf", "Melting_Curves/meltCurve_Q9UGR2_2_ZC3H7B.pdf")</f>
        <v>Melting_Curves/meltCurve_Q9UGR2_2_ZC3H7B.pdf</v>
      </c>
    </row>
    <row r="6238" spans="1:28" x14ac:dyDescent="0.25">
      <c r="A6238" t="s">
        <v>6242</v>
      </c>
      <c r="B6238">
        <v>0.99193492352474899</v>
      </c>
      <c r="C6238">
        <v>0.737965356474372</v>
      </c>
      <c r="D6238">
        <v>0.806326223316569</v>
      </c>
      <c r="E6238">
        <v>0.50396782287678499</v>
      </c>
      <c r="F6238">
        <v>0.45223731239211701</v>
      </c>
      <c r="G6238">
        <v>0.49517840852365502</v>
      </c>
      <c r="H6238">
        <v>0.88505954936906694</v>
      </c>
      <c r="I6238">
        <v>1.3760759583254401</v>
      </c>
      <c r="J6238">
        <v>1.8117785901966099</v>
      </c>
      <c r="K6238">
        <v>2.6231586895462198</v>
      </c>
      <c r="L6238">
        <v>15000</v>
      </c>
      <c r="M6238">
        <v>235.485151445859</v>
      </c>
      <c r="O6238">
        <v>63.693693182979203</v>
      </c>
      <c r="P6238">
        <v>0.462143803773789</v>
      </c>
      <c r="Q6238">
        <v>1.5</v>
      </c>
      <c r="R6238">
        <v>0.471052196529885</v>
      </c>
      <c r="S6238" t="s">
        <v>12908</v>
      </c>
      <c r="T6238" t="s">
        <v>13338</v>
      </c>
      <c r="U6238" t="s">
        <v>13338</v>
      </c>
      <c r="V6238" t="s">
        <v>13338</v>
      </c>
      <c r="W6238" t="s">
        <v>19514</v>
      </c>
      <c r="X6238">
        <v>6</v>
      </c>
      <c r="Y6238" t="s">
        <v>25999</v>
      </c>
      <c r="Z6238" t="s">
        <v>32653</v>
      </c>
      <c r="AA6238">
        <v>1.104965604500622</v>
      </c>
      <c r="AB6238" t="str">
        <f>HYPERLINK("Melting_Curves/meltCurve_Q9UGU0_2_TCF20.pdf", "Melting_Curves/meltCurve_Q9UGU0_2_TCF20.pdf")</f>
        <v>Melting_Curves/meltCurve_Q9UGU0_2_TCF20.pdf</v>
      </c>
    </row>
    <row r="6239" spans="1:28" x14ac:dyDescent="0.25">
      <c r="A6239" t="s">
        <v>6243</v>
      </c>
      <c r="B6239">
        <v>0.99193492352474899</v>
      </c>
      <c r="C6239">
        <v>0.87678886587466098</v>
      </c>
      <c r="D6239">
        <v>0.79816751756092497</v>
      </c>
      <c r="E6239">
        <v>0.63136513958560903</v>
      </c>
      <c r="F6239">
        <v>0.19253680759337299</v>
      </c>
      <c r="G6239">
        <v>0.110687132322931</v>
      </c>
      <c r="H6239">
        <v>9.7013061727630898E-2</v>
      </c>
      <c r="I6239">
        <v>8.1902428772090599E-2</v>
      </c>
      <c r="J6239">
        <v>8.3128442015984905E-2</v>
      </c>
      <c r="K6239">
        <v>6.1452724048846101E-2</v>
      </c>
      <c r="L6239">
        <v>955.03289264926298</v>
      </c>
      <c r="M6239">
        <v>19.205077877576901</v>
      </c>
      <c r="N6239">
        <v>50.041109424018302</v>
      </c>
      <c r="O6239">
        <v>49.198384143621297</v>
      </c>
      <c r="P6239">
        <v>-9.2070946207759005E-2</v>
      </c>
      <c r="Q6239">
        <v>5.6589161510788001E-2</v>
      </c>
      <c r="R6239">
        <v>0.98258667662203003</v>
      </c>
      <c r="S6239" t="s">
        <v>12909</v>
      </c>
      <c r="T6239" t="s">
        <v>13338</v>
      </c>
      <c r="U6239" t="s">
        <v>13338</v>
      </c>
      <c r="V6239" t="s">
        <v>13338</v>
      </c>
      <c r="W6239" t="s">
        <v>19515</v>
      </c>
      <c r="X6239">
        <v>11</v>
      </c>
      <c r="Y6239" t="s">
        <v>26000</v>
      </c>
      <c r="Z6239" t="s">
        <v>32654</v>
      </c>
      <c r="AA6239">
        <v>0.37674993242450638</v>
      </c>
      <c r="AB6239" t="str">
        <f>HYPERLINK("Melting_Curves/meltCurve_Q9UGV2_NDRG3.pdf", "Melting_Curves/meltCurve_Q9UGV2_NDRG3.pdf")</f>
        <v>Melting_Curves/meltCurve_Q9UGV2_NDRG3.pdf</v>
      </c>
    </row>
    <row r="6240" spans="1:28" x14ac:dyDescent="0.25">
      <c r="A6240" t="s">
        <v>6244</v>
      </c>
      <c r="B6240">
        <v>0.99193492352474899</v>
      </c>
      <c r="C6240">
        <v>0.85351924794142098</v>
      </c>
      <c r="D6240">
        <v>0.94854015660759405</v>
      </c>
      <c r="E6240">
        <v>0.745278190264132</v>
      </c>
      <c r="F6240">
        <v>0.56540106982607996</v>
      </c>
      <c r="G6240">
        <v>0.16660643542058301</v>
      </c>
      <c r="H6240">
        <v>0.102935032105527</v>
      </c>
      <c r="I6240">
        <v>9.3453691038148004E-2</v>
      </c>
      <c r="J6240">
        <v>9.3440072406134195E-2</v>
      </c>
      <c r="K6240">
        <v>8.1940821454885099E-2</v>
      </c>
      <c r="L6240">
        <v>1008.9437376227301</v>
      </c>
      <c r="M6240">
        <v>19.157971227051</v>
      </c>
      <c r="N6240">
        <v>52.994985027032001</v>
      </c>
      <c r="O6240">
        <v>52.100691618412597</v>
      </c>
      <c r="P6240">
        <v>-8.6753686748672093E-2</v>
      </c>
      <c r="Q6240">
        <v>5.6319138109951997E-2</v>
      </c>
      <c r="R6240">
        <v>0.97608959874355306</v>
      </c>
      <c r="S6240" t="s">
        <v>12910</v>
      </c>
      <c r="T6240" t="s">
        <v>13338</v>
      </c>
      <c r="U6240" t="s">
        <v>13338</v>
      </c>
      <c r="V6240" t="s">
        <v>13338</v>
      </c>
      <c r="W6240" t="s">
        <v>19516</v>
      </c>
      <c r="X6240">
        <v>11</v>
      </c>
      <c r="Y6240" t="s">
        <v>26001</v>
      </c>
      <c r="Z6240" t="s">
        <v>32655</v>
      </c>
      <c r="AA6240">
        <v>0.4687020905497708</v>
      </c>
      <c r="AB6240" t="str">
        <f>HYPERLINK("Melting_Curves/meltCurve_Q9UH03_2_SEPT3.pdf", "Melting_Curves/meltCurve_Q9UH03_2_SEPT3.pdf")</f>
        <v>Melting_Curves/meltCurve_Q9UH03_2_SEPT3.pdf</v>
      </c>
    </row>
    <row r="6241" spans="1:28" x14ac:dyDescent="0.25">
      <c r="A6241" t="s">
        <v>6245</v>
      </c>
      <c r="B6241">
        <v>0.99193492352474899</v>
      </c>
      <c r="C6241">
        <v>0.85712378818285495</v>
      </c>
      <c r="D6241">
        <v>0.82296701351472701</v>
      </c>
      <c r="E6241">
        <v>0.17692667163691</v>
      </c>
      <c r="F6241">
        <v>5.5873331965352102E-2</v>
      </c>
      <c r="G6241">
        <v>2.5763023677120502E-2</v>
      </c>
      <c r="H6241">
        <v>8.6981617604206304E-3</v>
      </c>
      <c r="I6241">
        <v>1.00192859619935E-2</v>
      </c>
      <c r="J6241">
        <v>7.2736458046382003E-3</v>
      </c>
      <c r="K6241">
        <v>2.83284960463226E-2</v>
      </c>
      <c r="L6241">
        <v>1818.25336464257</v>
      </c>
      <c r="M6241">
        <v>38.174391472344801</v>
      </c>
      <c r="N6241">
        <v>47.6744207575017</v>
      </c>
      <c r="O6241">
        <v>47.500046733802797</v>
      </c>
      <c r="P6241">
        <v>-0.197422178815467</v>
      </c>
      <c r="Q6241">
        <v>1.7400049257323899E-2</v>
      </c>
      <c r="R6241">
        <v>0.98811908471048404</v>
      </c>
      <c r="S6241" t="s">
        <v>12911</v>
      </c>
      <c r="T6241" t="s">
        <v>13338</v>
      </c>
      <c r="U6241" t="s">
        <v>13338</v>
      </c>
      <c r="V6241" t="s">
        <v>13338</v>
      </c>
      <c r="W6241" t="s">
        <v>19517</v>
      </c>
      <c r="X6241">
        <v>5</v>
      </c>
      <c r="Y6241" t="s">
        <v>26002</v>
      </c>
      <c r="Z6241" t="s">
        <v>32656</v>
      </c>
      <c r="AA6241">
        <v>0.2708885740521314</v>
      </c>
      <c r="AB6241" t="str">
        <f>HYPERLINK("Melting_Curves/meltCurve_Q9UH62_ARMCX3.pdf", "Melting_Curves/meltCurve_Q9UH62_ARMCX3.pdf")</f>
        <v>Melting_Curves/meltCurve_Q9UH62_ARMCX3.pdf</v>
      </c>
    </row>
    <row r="6242" spans="1:28" x14ac:dyDescent="0.25">
      <c r="A6242" t="s">
        <v>6246</v>
      </c>
      <c r="B6242">
        <v>0.99193492352474899</v>
      </c>
      <c r="C6242">
        <v>0.84003558635892295</v>
      </c>
      <c r="D6242">
        <v>0.89179414089773001</v>
      </c>
      <c r="E6242">
        <v>0.69795790932676505</v>
      </c>
      <c r="F6242">
        <v>0.39851257628995801</v>
      </c>
      <c r="G6242">
        <v>0.15365654588067101</v>
      </c>
      <c r="H6242">
        <v>0.100680756545747</v>
      </c>
      <c r="I6242">
        <v>0.12105716987852599</v>
      </c>
      <c r="J6242">
        <v>0.14476907758242999</v>
      </c>
      <c r="K6242">
        <v>0.139607505281265</v>
      </c>
      <c r="L6242">
        <v>989.468741715536</v>
      </c>
      <c r="M6242">
        <v>19.4165308064619</v>
      </c>
      <c r="N6242">
        <v>51.572072377526403</v>
      </c>
      <c r="O6242">
        <v>50.428803063477197</v>
      </c>
      <c r="P6242">
        <v>-8.6356387010741803E-2</v>
      </c>
      <c r="Q6242">
        <v>0.10289024250480799</v>
      </c>
      <c r="R6242">
        <v>0.97760136750364501</v>
      </c>
      <c r="S6242" t="s">
        <v>12912</v>
      </c>
      <c r="T6242" t="s">
        <v>13338</v>
      </c>
      <c r="U6242" t="s">
        <v>13338</v>
      </c>
      <c r="V6242" t="s">
        <v>13338</v>
      </c>
      <c r="W6242" t="s">
        <v>19518</v>
      </c>
      <c r="X6242">
        <v>17</v>
      </c>
      <c r="Y6242" t="s">
        <v>26003</v>
      </c>
      <c r="Z6242" t="s">
        <v>32657</v>
      </c>
      <c r="AA6242">
        <v>0.4437999932714688</v>
      </c>
      <c r="AB6242" t="str">
        <f>HYPERLINK("Melting_Curves/meltCurve_Q9UH65_SWAP70.pdf", "Melting_Curves/meltCurve_Q9UH65_SWAP70.pdf")</f>
        <v>Melting_Curves/meltCurve_Q9UH65_SWAP70.pdf</v>
      </c>
    </row>
    <row r="6243" spans="1:28" x14ac:dyDescent="0.25">
      <c r="A6243" t="s">
        <v>6247</v>
      </c>
      <c r="B6243">
        <v>0.99193492352474899</v>
      </c>
      <c r="C6243">
        <v>0.85742626499871</v>
      </c>
      <c r="D6243">
        <v>0.73555774582034195</v>
      </c>
      <c r="E6243">
        <v>0.52015641414680802</v>
      </c>
      <c r="F6243">
        <v>0.26809911201403602</v>
      </c>
      <c r="G6243">
        <v>0.13775729063432801</v>
      </c>
      <c r="H6243">
        <v>7.4628638969493899E-2</v>
      </c>
      <c r="I6243">
        <v>9.5641489173356395E-2</v>
      </c>
      <c r="J6243">
        <v>9.6892524836494298E-2</v>
      </c>
      <c r="K6243">
        <v>9.4423780343310296E-2</v>
      </c>
      <c r="L6243">
        <v>741.20174844536496</v>
      </c>
      <c r="M6243">
        <v>15.1525761039427</v>
      </c>
      <c r="N6243">
        <v>49.352847870888702</v>
      </c>
      <c r="O6243">
        <v>48.087644462058201</v>
      </c>
      <c r="P6243">
        <v>-7.3837951642169997E-2</v>
      </c>
      <c r="Q6243">
        <v>6.2773650514748799E-2</v>
      </c>
      <c r="R6243">
        <v>0.99425645641475202</v>
      </c>
      <c r="S6243" t="s">
        <v>12913</v>
      </c>
      <c r="T6243" t="s">
        <v>13338</v>
      </c>
      <c r="U6243" t="s">
        <v>13338</v>
      </c>
      <c r="V6243" t="s">
        <v>13338</v>
      </c>
      <c r="W6243" t="s">
        <v>19519</v>
      </c>
      <c r="X6243">
        <v>13</v>
      </c>
      <c r="Y6243" t="s">
        <v>26004</v>
      </c>
      <c r="Z6243" t="s">
        <v>32658</v>
      </c>
      <c r="AA6243">
        <v>0.36407787378627737</v>
      </c>
      <c r="AB6243" t="str">
        <f>HYPERLINK("Melting_Curves/meltCurve_Q9UH99_SUN2.pdf", "Melting_Curves/meltCurve_Q9UH99_SUN2.pdf")</f>
        <v>Melting_Curves/meltCurve_Q9UH99_SUN2.pdf</v>
      </c>
    </row>
    <row r="6244" spans="1:28" x14ac:dyDescent="0.25">
      <c r="A6244" t="s">
        <v>6248</v>
      </c>
      <c r="B6244">
        <v>0.99193492352474899</v>
      </c>
      <c r="C6244">
        <v>0.85556781614865296</v>
      </c>
      <c r="D6244">
        <v>0.73818583687068196</v>
      </c>
      <c r="E6244">
        <v>0.33301785645233301</v>
      </c>
      <c r="F6244">
        <v>0.19722029487136999</v>
      </c>
      <c r="G6244">
        <v>0.113736183289371</v>
      </c>
      <c r="H6244">
        <v>7.7592540960894907E-2</v>
      </c>
      <c r="I6244">
        <v>0.115053635925444</v>
      </c>
      <c r="J6244">
        <v>0.14535702941867501</v>
      </c>
      <c r="K6244">
        <v>0.177327527023832</v>
      </c>
      <c r="L6244">
        <v>1058.96957782443</v>
      </c>
      <c r="M6244">
        <v>22.376573308757401</v>
      </c>
      <c r="N6244">
        <v>47.913591172385701</v>
      </c>
      <c r="O6244">
        <v>46.951817557951202</v>
      </c>
      <c r="P6244">
        <v>-0.10482921044150199</v>
      </c>
      <c r="Q6244">
        <v>0.1201835655638</v>
      </c>
      <c r="R6244">
        <v>0.98782751066250996</v>
      </c>
      <c r="S6244" t="s">
        <v>12914</v>
      </c>
      <c r="T6244" t="s">
        <v>13338</v>
      </c>
      <c r="U6244" t="s">
        <v>13338</v>
      </c>
      <c r="V6244" t="s">
        <v>13338</v>
      </c>
      <c r="W6244" t="s">
        <v>19520</v>
      </c>
      <c r="X6244">
        <v>5</v>
      </c>
      <c r="Y6244" t="s">
        <v>26005</v>
      </c>
      <c r="Z6244" t="s">
        <v>32659</v>
      </c>
      <c r="AA6244">
        <v>0.34495905895732509</v>
      </c>
      <c r="AB6244" t="str">
        <f>HYPERLINK("Melting_Curves/meltCurve_Q9UHA2_SS18L2.pdf", "Melting_Curves/meltCurve_Q9UHA2_SS18L2.pdf")</f>
        <v>Melting_Curves/meltCurve_Q9UHA2_SS18L2.pdf</v>
      </c>
    </row>
    <row r="6245" spans="1:28" x14ac:dyDescent="0.25">
      <c r="A6245" t="s">
        <v>6249</v>
      </c>
      <c r="B6245">
        <v>0.99193492352474899</v>
      </c>
      <c r="C6245">
        <v>0.866190621023612</v>
      </c>
      <c r="D6245">
        <v>1.0383058229562601</v>
      </c>
      <c r="E6245">
        <v>1.0284181072934799</v>
      </c>
      <c r="F6245">
        <v>0.895398896664788</v>
      </c>
      <c r="G6245">
        <v>0.76673191853616096</v>
      </c>
      <c r="H6245">
        <v>0.82972146075182096</v>
      </c>
      <c r="I6245">
        <v>0.70713827038550703</v>
      </c>
      <c r="J6245">
        <v>0.80175321980686798</v>
      </c>
      <c r="K6245">
        <v>0.45012537434025202</v>
      </c>
      <c r="L6245">
        <v>484.40382982511898</v>
      </c>
      <c r="M6245">
        <v>6.6322180940545401</v>
      </c>
      <c r="O6245">
        <v>67.254491795849802</v>
      </c>
      <c r="P6245">
        <v>-2.4709096630612201E-2</v>
      </c>
      <c r="Q6245">
        <v>0</v>
      </c>
      <c r="R6245">
        <v>0.72436096795230098</v>
      </c>
      <c r="S6245" t="s">
        <v>12915</v>
      </c>
      <c r="T6245" t="s">
        <v>13338</v>
      </c>
      <c r="U6245" t="s">
        <v>13338</v>
      </c>
      <c r="V6245" t="s">
        <v>13338</v>
      </c>
      <c r="W6245" t="s">
        <v>19521</v>
      </c>
      <c r="X6245">
        <v>3</v>
      </c>
      <c r="Y6245" t="s">
        <v>26006</v>
      </c>
      <c r="Z6245" t="s">
        <v>32660</v>
      </c>
      <c r="AA6245">
        <v>0.85556467141958126</v>
      </c>
      <c r="AB6245" t="str">
        <f>HYPERLINK("Melting_Curves/meltCurve_Q9UHA4_LAMTOR3.pdf", "Melting_Curves/meltCurve_Q9UHA4_LAMTOR3.pdf")</f>
        <v>Melting_Curves/meltCurve_Q9UHA4_LAMTOR3.pdf</v>
      </c>
    </row>
    <row r="6246" spans="1:28" x14ac:dyDescent="0.25">
      <c r="A6246" t="s">
        <v>6250</v>
      </c>
      <c r="B6246">
        <v>0.99193492352474899</v>
      </c>
      <c r="C6246">
        <v>0.76691279003033297</v>
      </c>
      <c r="D6246">
        <v>0.77128778404762499</v>
      </c>
      <c r="E6246">
        <v>0.66785621269551898</v>
      </c>
      <c r="F6246">
        <v>0.63641206550401297</v>
      </c>
      <c r="G6246">
        <v>0.364813105680237</v>
      </c>
      <c r="H6246">
        <v>0.27771571299104503</v>
      </c>
      <c r="I6246">
        <v>0.41963269568852402</v>
      </c>
      <c r="J6246">
        <v>0.55021605111796201</v>
      </c>
      <c r="K6246">
        <v>0.768401715941612</v>
      </c>
      <c r="L6246">
        <v>664.20007274489797</v>
      </c>
      <c r="M6246">
        <v>14.498981328551301</v>
      </c>
      <c r="N6246">
        <v>62.4429451289258</v>
      </c>
      <c r="O6246">
        <v>44.965151427669298</v>
      </c>
      <c r="P6246">
        <v>-4.1158345211180503E-2</v>
      </c>
      <c r="Q6246">
        <v>0.48948775462507799</v>
      </c>
      <c r="R6246">
        <v>0.58091702559997704</v>
      </c>
      <c r="S6246" t="s">
        <v>12916</v>
      </c>
      <c r="T6246" t="s">
        <v>13338</v>
      </c>
      <c r="U6246" t="s">
        <v>13338</v>
      </c>
      <c r="V6246" t="s">
        <v>13338</v>
      </c>
      <c r="W6246" t="s">
        <v>19522</v>
      </c>
      <c r="X6246">
        <v>19</v>
      </c>
      <c r="Y6246" t="s">
        <v>26007</v>
      </c>
      <c r="Z6246" t="s">
        <v>32661</v>
      </c>
      <c r="AA6246">
        <v>0.60462712862113188</v>
      </c>
      <c r="AB6246" t="str">
        <f>HYPERLINK("Melting_Curves/meltCurve_Q9UHB6_LIMA1.pdf", "Melting_Curves/meltCurve_Q9UHB6_LIMA1.pdf")</f>
        <v>Melting_Curves/meltCurve_Q9UHB6_LIMA1.pdf</v>
      </c>
    </row>
    <row r="6247" spans="1:28" x14ac:dyDescent="0.25">
      <c r="A6247" t="s">
        <v>6251</v>
      </c>
      <c r="B6247">
        <v>0.99193492352474899</v>
      </c>
      <c r="C6247">
        <v>0.61974219040374701</v>
      </c>
      <c r="D6247">
        <v>0.73168207817630204</v>
      </c>
      <c r="E6247">
        <v>0.39012645032396798</v>
      </c>
      <c r="F6247">
        <v>0.26784667924872302</v>
      </c>
      <c r="G6247">
        <v>0.16025401528505301</v>
      </c>
      <c r="H6247">
        <v>0.12096873093911099</v>
      </c>
      <c r="I6247">
        <v>0.14335544560517099</v>
      </c>
      <c r="J6247">
        <v>0.22812570142407701</v>
      </c>
      <c r="K6247">
        <v>0.22464063099794801</v>
      </c>
      <c r="L6247">
        <v>636.73934194154697</v>
      </c>
      <c r="M6247">
        <v>13.7307922520605</v>
      </c>
      <c r="N6247">
        <v>47.637283648535998</v>
      </c>
      <c r="O6247">
        <v>45.4226638667377</v>
      </c>
      <c r="P6247">
        <v>-6.4042505275283101E-2</v>
      </c>
      <c r="Q6247">
        <v>0.152688083175574</v>
      </c>
      <c r="R6247">
        <v>0.91284622269786098</v>
      </c>
      <c r="S6247" t="s">
        <v>12917</v>
      </c>
      <c r="T6247" t="s">
        <v>13338</v>
      </c>
      <c r="U6247" t="s">
        <v>13338</v>
      </c>
      <c r="V6247" t="s">
        <v>13338</v>
      </c>
      <c r="W6247" t="s">
        <v>19523</v>
      </c>
      <c r="X6247">
        <v>4</v>
      </c>
      <c r="Y6247" t="s">
        <v>26008</v>
      </c>
      <c r="Z6247" t="s">
        <v>32662</v>
      </c>
      <c r="AA6247">
        <v>0.36149025083596148</v>
      </c>
      <c r="AB6247" t="str">
        <f>HYPERLINK("Melting_Curves/meltCurve_Q9UHB7_AFF4.pdf", "Melting_Curves/meltCurve_Q9UHB7_AFF4.pdf")</f>
        <v>Melting_Curves/meltCurve_Q9UHB7_AFF4.pdf</v>
      </c>
    </row>
    <row r="6248" spans="1:28" x14ac:dyDescent="0.25">
      <c r="A6248" t="s">
        <v>6252</v>
      </c>
      <c r="B6248">
        <v>0.99193492352474899</v>
      </c>
      <c r="C6248">
        <v>0.79078618994356198</v>
      </c>
      <c r="D6248">
        <v>0.87993960045125896</v>
      </c>
      <c r="E6248">
        <v>0.268862807594202</v>
      </c>
      <c r="F6248">
        <v>0.143535274638108</v>
      </c>
      <c r="G6248">
        <v>8.99080294302015E-2</v>
      </c>
      <c r="H6248">
        <v>6.5427314285349897E-2</v>
      </c>
      <c r="I6248">
        <v>7.5644578325034295E-2</v>
      </c>
      <c r="J6248">
        <v>8.5414772049125398E-2</v>
      </c>
      <c r="K6248">
        <v>8.9213735451380505E-2</v>
      </c>
      <c r="L6248">
        <v>1748.55328613958</v>
      </c>
      <c r="M6248">
        <v>36.471750927756503</v>
      </c>
      <c r="N6248">
        <v>48.186809786846702</v>
      </c>
      <c r="O6248">
        <v>47.799210146002302</v>
      </c>
      <c r="P6248">
        <v>-0.174663919099912</v>
      </c>
      <c r="Q6248">
        <v>8.4357097248940596E-2</v>
      </c>
      <c r="R6248">
        <v>0.96702687333522097</v>
      </c>
      <c r="S6248" t="s">
        <v>12918</v>
      </c>
      <c r="T6248" t="s">
        <v>13338</v>
      </c>
      <c r="U6248" t="s">
        <v>13338</v>
      </c>
      <c r="V6248" t="s">
        <v>13338</v>
      </c>
      <c r="W6248" t="s">
        <v>19524</v>
      </c>
      <c r="X6248">
        <v>27</v>
      </c>
      <c r="Y6248" t="s">
        <v>26009</v>
      </c>
      <c r="Z6248" t="s">
        <v>32663</v>
      </c>
      <c r="AA6248">
        <v>0.33045460639654561</v>
      </c>
      <c r="AB6248" t="str">
        <f>HYPERLINK("Melting_Curves/meltCurve_Q9UHB9_SRP68.pdf", "Melting_Curves/meltCurve_Q9UHB9_SRP68.pdf")</f>
        <v>Melting_Curves/meltCurve_Q9UHB9_SRP68.pdf</v>
      </c>
    </row>
    <row r="6249" spans="1:28" x14ac:dyDescent="0.25">
      <c r="A6249" t="s">
        <v>6253</v>
      </c>
      <c r="B6249">
        <v>0.99193492352474899</v>
      </c>
      <c r="C6249">
        <v>0.99602415203287298</v>
      </c>
      <c r="D6249">
        <v>0.78549439790840703</v>
      </c>
      <c r="E6249">
        <v>0.52657033413744003</v>
      </c>
      <c r="F6249">
        <v>0.37682840149289598</v>
      </c>
      <c r="G6249">
        <v>0.30850028188353501</v>
      </c>
      <c r="H6249">
        <v>0.175132632438008</v>
      </c>
      <c r="I6249">
        <v>0.29520698022237002</v>
      </c>
      <c r="J6249">
        <v>0.34128620543660898</v>
      </c>
      <c r="K6249">
        <v>0.46736693635967902</v>
      </c>
      <c r="L6249">
        <v>1198.16507896641</v>
      </c>
      <c r="M6249">
        <v>25.095714230482699</v>
      </c>
      <c r="N6249">
        <v>49.7440006859498</v>
      </c>
      <c r="O6249">
        <v>47.443750334110099</v>
      </c>
      <c r="P6249">
        <v>-9.0224954065599799E-2</v>
      </c>
      <c r="Q6249">
        <v>0.31772358913076598</v>
      </c>
      <c r="R6249">
        <v>0.94008196041956105</v>
      </c>
      <c r="S6249" t="s">
        <v>12919</v>
      </c>
      <c r="T6249" t="s">
        <v>13338</v>
      </c>
      <c r="U6249" t="s">
        <v>13338</v>
      </c>
      <c r="V6249" t="s">
        <v>13338</v>
      </c>
      <c r="W6249" t="s">
        <v>19525</v>
      </c>
      <c r="X6249">
        <v>2</v>
      </c>
      <c r="Y6249" t="s">
        <v>26010</v>
      </c>
      <c r="Z6249" t="s">
        <v>32664</v>
      </c>
      <c r="AA6249">
        <v>0.49982494512329401</v>
      </c>
      <c r="AB6249" t="str">
        <f>HYPERLINK("Melting_Curves/meltCurve_Q9UHC7_4_MKRN1.pdf", "Melting_Curves/meltCurve_Q9UHC7_4_MKRN1.pdf")</f>
        <v>Melting_Curves/meltCurve_Q9UHC7_4_MKRN1.pdf</v>
      </c>
    </row>
    <row r="6250" spans="1:28" x14ac:dyDescent="0.25">
      <c r="A6250" t="s">
        <v>6254</v>
      </c>
      <c r="B6250">
        <v>0.99193492352474899</v>
      </c>
      <c r="C6250">
        <v>0.79625788102942996</v>
      </c>
      <c r="D6250">
        <v>0.86879480402086995</v>
      </c>
      <c r="E6250">
        <v>0.692673297549943</v>
      </c>
      <c r="F6250">
        <v>0.31089760833783198</v>
      </c>
      <c r="G6250">
        <v>0.138167762836854</v>
      </c>
      <c r="H6250">
        <v>7.3908696715180994E-2</v>
      </c>
      <c r="I6250">
        <v>8.6129518666370697E-2</v>
      </c>
      <c r="J6250">
        <v>8.9864809552493194E-2</v>
      </c>
      <c r="K6250">
        <v>0.10131399005166999</v>
      </c>
      <c r="L6250">
        <v>937.47819594634802</v>
      </c>
      <c r="M6250">
        <v>18.4973397538071</v>
      </c>
      <c r="N6250">
        <v>51.043550494022199</v>
      </c>
      <c r="O6250">
        <v>50.1005698025103</v>
      </c>
      <c r="P6250">
        <v>-8.6634459026425095E-2</v>
      </c>
      <c r="Q6250">
        <v>6.1434023630627201E-2</v>
      </c>
      <c r="R6250">
        <v>0.96967850137506995</v>
      </c>
      <c r="S6250" t="s">
        <v>12920</v>
      </c>
      <c r="T6250" t="s">
        <v>13338</v>
      </c>
      <c r="U6250" t="s">
        <v>13338</v>
      </c>
      <c r="V6250" t="s">
        <v>13338</v>
      </c>
      <c r="W6250" t="s">
        <v>19526</v>
      </c>
      <c r="X6250">
        <v>15</v>
      </c>
      <c r="Y6250" t="s">
        <v>26011</v>
      </c>
      <c r="Z6250" t="s">
        <v>32665</v>
      </c>
      <c r="AA6250">
        <v>0.41071471988021269</v>
      </c>
      <c r="AB6250" t="str">
        <f>HYPERLINK("Melting_Curves/meltCurve_Q9UHD1_CHORDC1.pdf", "Melting_Curves/meltCurve_Q9UHD1_CHORDC1.pdf")</f>
        <v>Melting_Curves/meltCurve_Q9UHD1_CHORDC1.pdf</v>
      </c>
    </row>
    <row r="6251" spans="1:28" x14ac:dyDescent="0.25">
      <c r="A6251" t="s">
        <v>6255</v>
      </c>
      <c r="B6251">
        <v>0.99193492352474899</v>
      </c>
      <c r="C6251">
        <v>0.89351933411344497</v>
      </c>
      <c r="D6251">
        <v>0.75217763471707499</v>
      </c>
      <c r="E6251">
        <v>0.39692773799692899</v>
      </c>
      <c r="F6251">
        <v>0.13686070378760401</v>
      </c>
      <c r="G6251">
        <v>0.189939068590497</v>
      </c>
      <c r="H6251">
        <v>4.5042018537685101E-2</v>
      </c>
      <c r="I6251">
        <v>0.10730363402955199</v>
      </c>
      <c r="J6251">
        <v>4.3698500889461998E-2</v>
      </c>
      <c r="K6251">
        <v>0.22759895997726201</v>
      </c>
      <c r="L6251">
        <v>1076.79240356994</v>
      </c>
      <c r="M6251">
        <v>22.529398130727699</v>
      </c>
      <c r="N6251">
        <v>48.316843584508803</v>
      </c>
      <c r="O6251">
        <v>47.4232295602622</v>
      </c>
      <c r="P6251">
        <v>-0.105943994022935</v>
      </c>
      <c r="Q6251">
        <v>0.10799174081011099</v>
      </c>
      <c r="R6251">
        <v>0.97335507740511296</v>
      </c>
      <c r="S6251" t="s">
        <v>12921</v>
      </c>
      <c r="T6251" t="s">
        <v>13338</v>
      </c>
      <c r="U6251" t="s">
        <v>13338</v>
      </c>
      <c r="V6251" t="s">
        <v>13338</v>
      </c>
      <c r="W6251" t="s">
        <v>19527</v>
      </c>
      <c r="X6251">
        <v>2</v>
      </c>
      <c r="Y6251" t="s">
        <v>26012</v>
      </c>
      <c r="Z6251" t="s">
        <v>32666</v>
      </c>
      <c r="AA6251">
        <v>0.3496278692792032</v>
      </c>
      <c r="AB6251" t="str">
        <f>HYPERLINK("Melting_Curves/meltCurve_Q9UHD2_TBK1.pdf", "Melting_Curves/meltCurve_Q9UHD2_TBK1.pdf")</f>
        <v>Melting_Curves/meltCurve_Q9UHD2_TBK1.pdf</v>
      </c>
    </row>
    <row r="6252" spans="1:28" x14ac:dyDescent="0.25">
      <c r="A6252" t="s">
        <v>6256</v>
      </c>
      <c r="B6252">
        <v>0.99193492352474899</v>
      </c>
      <c r="C6252">
        <v>1.04317969372607</v>
      </c>
      <c r="D6252">
        <v>0.95769888431658501</v>
      </c>
      <c r="E6252">
        <v>0.83711795465802197</v>
      </c>
      <c r="F6252">
        <v>0.51577897272417095</v>
      </c>
      <c r="G6252">
        <v>0.13376455965244399</v>
      </c>
      <c r="H6252">
        <v>8.0337304037215604E-2</v>
      </c>
      <c r="I6252">
        <v>8.7705678065287201E-2</v>
      </c>
      <c r="J6252">
        <v>9.8606524322858699E-2</v>
      </c>
      <c r="K6252">
        <v>9.0658455199136206E-2</v>
      </c>
      <c r="L6252">
        <v>1503.8329677264601</v>
      </c>
      <c r="M6252">
        <v>28.525898570077</v>
      </c>
      <c r="N6252">
        <v>53.023147834439698</v>
      </c>
      <c r="O6252">
        <v>52.461126864614499</v>
      </c>
      <c r="P6252">
        <v>-0.12565388047148299</v>
      </c>
      <c r="Q6252">
        <v>7.5662272226923302E-2</v>
      </c>
      <c r="R6252">
        <v>0.99498645978971301</v>
      </c>
      <c r="S6252" t="s">
        <v>12922</v>
      </c>
      <c r="T6252" t="s">
        <v>13338</v>
      </c>
      <c r="U6252" t="s">
        <v>13338</v>
      </c>
      <c r="V6252" t="s">
        <v>13338</v>
      </c>
      <c r="W6252" t="s">
        <v>19528</v>
      </c>
      <c r="X6252">
        <v>35</v>
      </c>
      <c r="Y6252" t="s">
        <v>26013</v>
      </c>
      <c r="Z6252" t="s">
        <v>32667</v>
      </c>
      <c r="AA6252">
        <v>0.47411433402438041</v>
      </c>
      <c r="AB6252" t="str">
        <f>HYPERLINK("Melting_Curves/meltCurve_Q9UHD8_SEPT9.pdf", "Melting_Curves/meltCurve_Q9UHD8_SEPT9.pdf")</f>
        <v>Melting_Curves/meltCurve_Q9UHD8_SEPT9.pdf</v>
      </c>
    </row>
    <row r="6253" spans="1:28" x14ac:dyDescent="0.25">
      <c r="A6253" t="s">
        <v>6257</v>
      </c>
      <c r="B6253">
        <v>0.99193492352474899</v>
      </c>
      <c r="C6253">
        <v>0.83358388443520404</v>
      </c>
      <c r="D6253">
        <v>0.86682930292043403</v>
      </c>
      <c r="E6253">
        <v>0.71748209578097799</v>
      </c>
      <c r="F6253">
        <v>0.70989196042490899</v>
      </c>
      <c r="G6253">
        <v>0.45632259643131701</v>
      </c>
      <c r="H6253">
        <v>0.24149629439616199</v>
      </c>
      <c r="I6253">
        <v>0.30455226951694297</v>
      </c>
      <c r="J6253">
        <v>0.37462409049247603</v>
      </c>
      <c r="K6253">
        <v>0.552040191300047</v>
      </c>
      <c r="L6253">
        <v>651.48766246340597</v>
      </c>
      <c r="M6253">
        <v>12.8297148681281</v>
      </c>
      <c r="N6253">
        <v>55.924181138570802</v>
      </c>
      <c r="O6253">
        <v>49.593347451598902</v>
      </c>
      <c r="P6253">
        <v>-4.2279350521447899E-2</v>
      </c>
      <c r="Q6253">
        <v>0.34639710684479902</v>
      </c>
      <c r="R6253">
        <v>0.82770735701338805</v>
      </c>
      <c r="S6253" t="s">
        <v>12923</v>
      </c>
      <c r="T6253" t="s">
        <v>13338</v>
      </c>
      <c r="U6253" t="s">
        <v>13338</v>
      </c>
      <c r="V6253" t="s">
        <v>13338</v>
      </c>
      <c r="W6253" t="s">
        <v>19529</v>
      </c>
      <c r="X6253">
        <v>11</v>
      </c>
      <c r="Y6253" t="s">
        <v>26014</v>
      </c>
      <c r="Z6253" t="s">
        <v>32668</v>
      </c>
      <c r="AA6253">
        <v>0.60079676852625596</v>
      </c>
      <c r="AB6253" t="str">
        <f>HYPERLINK("Melting_Curves/meltCurve_Q9UHD9_UBQLN2.pdf", "Melting_Curves/meltCurve_Q9UHD9_UBQLN2.pdf")</f>
        <v>Melting_Curves/meltCurve_Q9UHD9_UBQLN2.pdf</v>
      </c>
    </row>
    <row r="6254" spans="1:28" x14ac:dyDescent="0.25">
      <c r="A6254" t="s">
        <v>6258</v>
      </c>
      <c r="B6254">
        <v>0.99193492352474899</v>
      </c>
      <c r="C6254">
        <v>2.4435132892035498</v>
      </c>
      <c r="D6254">
        <v>0.77090476928841301</v>
      </c>
      <c r="E6254">
        <v>1.0299374341470999</v>
      </c>
      <c r="F6254">
        <v>0.48124792686870199</v>
      </c>
      <c r="G6254">
        <v>0.359525971778766</v>
      </c>
      <c r="H6254">
        <v>0.23660408063674401</v>
      </c>
      <c r="I6254">
        <v>0.212862045043792</v>
      </c>
      <c r="J6254">
        <v>0.26203907261543102</v>
      </c>
      <c r="K6254">
        <v>0.26195886026203602</v>
      </c>
      <c r="L6254">
        <v>4789.6667226667696</v>
      </c>
      <c r="M6254">
        <v>90.904444356557903</v>
      </c>
      <c r="N6254">
        <v>53.133401072741798</v>
      </c>
      <c r="O6254">
        <v>52.663548304989597</v>
      </c>
      <c r="P6254">
        <v>-0.31664772725492102</v>
      </c>
      <c r="Q6254">
        <v>0.26622773345335998</v>
      </c>
      <c r="R6254">
        <v>0.49280038206944798</v>
      </c>
      <c r="S6254" t="s">
        <v>12924</v>
      </c>
      <c r="T6254" t="s">
        <v>13338</v>
      </c>
      <c r="U6254" t="s">
        <v>13338</v>
      </c>
      <c r="V6254" t="s">
        <v>13338</v>
      </c>
      <c r="W6254" t="s">
        <v>19530</v>
      </c>
      <c r="X6254">
        <v>2</v>
      </c>
      <c r="Y6254" t="s">
        <v>26015</v>
      </c>
      <c r="Z6254" t="s">
        <v>32669</v>
      </c>
      <c r="AA6254">
        <v>0.57710352491289052</v>
      </c>
      <c r="AB6254" t="str">
        <f>HYPERLINK("Melting_Curves/meltCurve_Q9UHE8_STEAP1.pdf", "Melting_Curves/meltCurve_Q9UHE8_STEAP1.pdf")</f>
        <v>Melting_Curves/meltCurve_Q9UHE8_STEAP1.pdf</v>
      </c>
    </row>
    <row r="6255" spans="1:28" x14ac:dyDescent="0.25">
      <c r="A6255" t="s">
        <v>6259</v>
      </c>
      <c r="B6255">
        <v>0.99193492352474899</v>
      </c>
      <c r="C6255">
        <v>0.91884370053095199</v>
      </c>
      <c r="D6255">
        <v>0.99276880985313298</v>
      </c>
      <c r="E6255">
        <v>0.89532817316983004</v>
      </c>
      <c r="F6255">
        <v>0.83142488239980505</v>
      </c>
      <c r="G6255">
        <v>0.701114296035101</v>
      </c>
      <c r="H6255">
        <v>0.36110969058491499</v>
      </c>
      <c r="I6255">
        <v>0.15111741447325699</v>
      </c>
      <c r="J6255">
        <v>0.165054095955527</v>
      </c>
      <c r="K6255">
        <v>0.154099036782059</v>
      </c>
      <c r="L6255">
        <v>1085.55962589878</v>
      </c>
      <c r="M6255">
        <v>18.6654635576276</v>
      </c>
      <c r="N6255">
        <v>58.715190973484603</v>
      </c>
      <c r="O6255">
        <v>57.503505862334798</v>
      </c>
      <c r="P6255">
        <v>-7.4573898236417996E-2</v>
      </c>
      <c r="Q6255">
        <v>8.1067080175976206E-2</v>
      </c>
      <c r="R6255">
        <v>0.9814251453524</v>
      </c>
      <c r="S6255" t="s">
        <v>12925</v>
      </c>
      <c r="T6255" t="s">
        <v>13338</v>
      </c>
      <c r="U6255" t="s">
        <v>13338</v>
      </c>
      <c r="V6255" t="s">
        <v>13338</v>
      </c>
      <c r="W6255" t="s">
        <v>19531</v>
      </c>
      <c r="X6255">
        <v>13</v>
      </c>
      <c r="Y6255" t="s">
        <v>26016</v>
      </c>
      <c r="Z6255" t="s">
        <v>32670</v>
      </c>
      <c r="AA6255">
        <v>0.6481453743935659</v>
      </c>
      <c r="AB6255" t="str">
        <f>HYPERLINK("Melting_Curves/meltCurve_Q9UHG3_PCYOX1.pdf", "Melting_Curves/meltCurve_Q9UHG3_PCYOX1.pdf")</f>
        <v>Melting_Curves/meltCurve_Q9UHG3_PCYOX1.pdf</v>
      </c>
    </row>
    <row r="6256" spans="1:28" x14ac:dyDescent="0.25">
      <c r="A6256" t="s">
        <v>6260</v>
      </c>
      <c r="B6256">
        <v>0.99193492352474899</v>
      </c>
      <c r="C6256">
        <v>0.54749054078078796</v>
      </c>
      <c r="D6256">
        <v>0.41762314601588901</v>
      </c>
      <c r="E6256">
        <v>0.22423581758788</v>
      </c>
      <c r="F6256">
        <v>0.102912940400362</v>
      </c>
      <c r="G6256">
        <v>9.7028091367550501E-2</v>
      </c>
      <c r="H6256">
        <v>7.6844764300335697E-2</v>
      </c>
      <c r="I6256">
        <v>7.2676170626036707E-2</v>
      </c>
      <c r="J6256">
        <v>0.11333274005217001</v>
      </c>
      <c r="K6256">
        <v>0.105232135768622</v>
      </c>
      <c r="L6256">
        <v>830.08864113519496</v>
      </c>
      <c r="M6256">
        <v>18.8634883940584</v>
      </c>
      <c r="N6256">
        <v>44.4845544815688</v>
      </c>
      <c r="O6256">
        <v>43.519430126471001</v>
      </c>
      <c r="P6256">
        <v>-9.8397408013058393E-2</v>
      </c>
      <c r="Q6256">
        <v>9.1997256246883694E-2</v>
      </c>
      <c r="R6256">
        <v>0.96372495180598094</v>
      </c>
      <c r="S6256" t="s">
        <v>12926</v>
      </c>
      <c r="T6256" t="s">
        <v>13338</v>
      </c>
      <c r="U6256" t="s">
        <v>13338</v>
      </c>
      <c r="V6256" t="s">
        <v>13338</v>
      </c>
      <c r="W6256" t="s">
        <v>19532</v>
      </c>
      <c r="X6256">
        <v>1</v>
      </c>
      <c r="Y6256" t="s">
        <v>26017</v>
      </c>
      <c r="Z6256" t="s">
        <v>32671</v>
      </c>
      <c r="AA6256">
        <v>0.23335899473789351</v>
      </c>
      <c r="AB6256" t="str">
        <f>HYPERLINK("Melting_Curves/meltCurve_Q9UHI6_DDX20.pdf", "Melting_Curves/meltCurve_Q9UHI6_DDX20.pdf")</f>
        <v>Melting_Curves/meltCurve_Q9UHI6_DDX20.pdf</v>
      </c>
    </row>
    <row r="6257" spans="1:28" x14ac:dyDescent="0.25">
      <c r="A6257" t="s">
        <v>6261</v>
      </c>
      <c r="B6257">
        <v>0.99193492352474899</v>
      </c>
      <c r="C6257">
        <v>0.89776902007165504</v>
      </c>
      <c r="D6257">
        <v>0.86662346430568504</v>
      </c>
      <c r="E6257">
        <v>0.68205110538807301</v>
      </c>
      <c r="F6257">
        <v>0.25113847502654701</v>
      </c>
      <c r="G6257">
        <v>0.149704950903398</v>
      </c>
      <c r="H6257">
        <v>9.7229719527259506E-2</v>
      </c>
      <c r="I6257">
        <v>0.112358643478412</v>
      </c>
      <c r="J6257">
        <v>0.138816341937473</v>
      </c>
      <c r="K6257">
        <v>0.16003258719650901</v>
      </c>
      <c r="L6257">
        <v>1277.84147721216</v>
      </c>
      <c r="M6257">
        <v>25.4326828817977</v>
      </c>
      <c r="N6257">
        <v>50.7738274498519</v>
      </c>
      <c r="O6257">
        <v>49.936521123627301</v>
      </c>
      <c r="P6257">
        <v>-0.11248819981719101</v>
      </c>
      <c r="Q6257">
        <v>0.116538550703661</v>
      </c>
      <c r="R6257">
        <v>0.98505171838290095</v>
      </c>
      <c r="S6257" t="s">
        <v>12927</v>
      </c>
      <c r="T6257" t="s">
        <v>13338</v>
      </c>
      <c r="U6257" t="s">
        <v>13338</v>
      </c>
      <c r="V6257" t="s">
        <v>13338</v>
      </c>
      <c r="W6257" t="s">
        <v>19533</v>
      </c>
      <c r="X6257">
        <v>6</v>
      </c>
      <c r="Y6257" t="s">
        <v>26018</v>
      </c>
      <c r="Z6257" t="s">
        <v>32672</v>
      </c>
      <c r="AA6257">
        <v>0.42586209742999048</v>
      </c>
      <c r="AB6257" t="str">
        <f>HYPERLINK("Melting_Curves/meltCurve_Q9UHJ6_SHPK.pdf", "Melting_Curves/meltCurve_Q9UHJ6_SHPK.pdf")</f>
        <v>Melting_Curves/meltCurve_Q9UHJ6_SHPK.pdf</v>
      </c>
    </row>
    <row r="6258" spans="1:28" x14ac:dyDescent="0.25">
      <c r="A6258" t="s">
        <v>6262</v>
      </c>
      <c r="B6258">
        <v>0.99193492352474899</v>
      </c>
      <c r="C6258">
        <v>0.98085491586305495</v>
      </c>
      <c r="D6258">
        <v>0.82128169065450995</v>
      </c>
      <c r="E6258">
        <v>0.68953910429800902</v>
      </c>
      <c r="F6258">
        <v>0.69151114904842703</v>
      </c>
      <c r="G6258">
        <v>0.50167706572703397</v>
      </c>
      <c r="H6258">
        <v>0.36042833600844498</v>
      </c>
      <c r="I6258">
        <v>0.30104286110470402</v>
      </c>
      <c r="J6258">
        <v>0.22748941673933201</v>
      </c>
      <c r="K6258">
        <v>0.28555152530268901</v>
      </c>
      <c r="L6258">
        <v>492.84423907863697</v>
      </c>
      <c r="M6258">
        <v>9.0300533915478098</v>
      </c>
      <c r="N6258">
        <v>56.5319813300001</v>
      </c>
      <c r="O6258">
        <v>52.101087043174502</v>
      </c>
      <c r="P6258">
        <v>-3.7548566322523097E-2</v>
      </c>
      <c r="Q6258">
        <v>0.13403908305896201</v>
      </c>
      <c r="R6258">
        <v>0.97520207429970596</v>
      </c>
      <c r="S6258" t="s">
        <v>12928</v>
      </c>
      <c r="T6258" t="s">
        <v>13338</v>
      </c>
      <c r="U6258" t="s">
        <v>13338</v>
      </c>
      <c r="V6258" t="s">
        <v>13338</v>
      </c>
      <c r="W6258" t="s">
        <v>19534</v>
      </c>
      <c r="X6258">
        <v>4</v>
      </c>
      <c r="Y6258" t="s">
        <v>26019</v>
      </c>
      <c r="Z6258" t="s">
        <v>32673</v>
      </c>
      <c r="AA6258">
        <v>0.58000327352299541</v>
      </c>
      <c r="AB6258" t="str">
        <f>HYPERLINK("Melting_Curves/meltCurve_Q9UHL4_DPP7.pdf", "Melting_Curves/meltCurve_Q9UHL4_DPP7.pdf")</f>
        <v>Melting_Curves/meltCurve_Q9UHL4_DPP7.pdf</v>
      </c>
    </row>
    <row r="6259" spans="1:28" x14ac:dyDescent="0.25">
      <c r="A6259" t="s">
        <v>6263</v>
      </c>
      <c r="B6259">
        <v>0.99193492352474899</v>
      </c>
      <c r="C6259">
        <v>0.54921742931154904</v>
      </c>
      <c r="D6259">
        <v>0.89969172963505395</v>
      </c>
      <c r="E6259">
        <v>0.58090537703229495</v>
      </c>
      <c r="F6259">
        <v>0.65650849801198596</v>
      </c>
      <c r="G6259">
        <v>0.356782016385982</v>
      </c>
      <c r="H6259">
        <v>0.39296023294092097</v>
      </c>
      <c r="I6259">
        <v>0.33635419550127099</v>
      </c>
      <c r="J6259">
        <v>0.55123826656827701</v>
      </c>
      <c r="K6259">
        <v>0.76257787221435702</v>
      </c>
      <c r="L6259">
        <v>526.115689856931</v>
      </c>
      <c r="M6259">
        <v>11.870495826977701</v>
      </c>
      <c r="N6259">
        <v>67.262019052511704</v>
      </c>
      <c r="O6259">
        <v>43.119593406817799</v>
      </c>
      <c r="P6259">
        <v>-3.5020714921992498E-2</v>
      </c>
      <c r="Q6259">
        <v>0.49127670827061398</v>
      </c>
      <c r="R6259">
        <v>0.40118144770866199</v>
      </c>
      <c r="S6259" t="s">
        <v>12929</v>
      </c>
      <c r="T6259" t="s">
        <v>13338</v>
      </c>
      <c r="U6259" t="s">
        <v>13338</v>
      </c>
      <c r="V6259" t="s">
        <v>13338</v>
      </c>
      <c r="W6259" t="s">
        <v>19535</v>
      </c>
      <c r="X6259">
        <v>5</v>
      </c>
      <c r="Y6259" t="s">
        <v>26020</v>
      </c>
      <c r="Z6259" t="s">
        <v>32674</v>
      </c>
      <c r="AA6259">
        <v>0.5923807334795953</v>
      </c>
      <c r="AB6259" t="str">
        <f>HYPERLINK("Melting_Curves/meltCurve_Q9UHN1_POLG2.pdf", "Melting_Curves/meltCurve_Q9UHN1_POLG2.pdf")</f>
        <v>Melting_Curves/meltCurve_Q9UHN1_POLG2.pdf</v>
      </c>
    </row>
    <row r="6260" spans="1:28" x14ac:dyDescent="0.25">
      <c r="A6260" t="s">
        <v>6264</v>
      </c>
      <c r="B6260">
        <v>0.99193492352474899</v>
      </c>
      <c r="C6260">
        <v>1.2054956380191699</v>
      </c>
      <c r="D6260">
        <v>1.0107631035364499</v>
      </c>
      <c r="E6260">
        <v>0.95889289532890298</v>
      </c>
      <c r="F6260">
        <v>0.75006987134358905</v>
      </c>
      <c r="G6260">
        <v>0.63903820095727204</v>
      </c>
      <c r="H6260">
        <v>0.33734431017994398</v>
      </c>
      <c r="I6260">
        <v>0.30399506497297402</v>
      </c>
      <c r="J6260">
        <v>0.32365640915393101</v>
      </c>
      <c r="K6260">
        <v>0.25406627054616598</v>
      </c>
      <c r="L6260">
        <v>1100.8329330845199</v>
      </c>
      <c r="M6260">
        <v>19.654056466341402</v>
      </c>
      <c r="N6260">
        <v>58.112928055148799</v>
      </c>
      <c r="O6260">
        <v>55.440288480042</v>
      </c>
      <c r="P6260">
        <v>-6.6079345482267696E-2</v>
      </c>
      <c r="Q6260">
        <v>0.25443783020987498</v>
      </c>
      <c r="R6260">
        <v>0.95161328450276494</v>
      </c>
      <c r="S6260" t="s">
        <v>12930</v>
      </c>
      <c r="T6260" t="s">
        <v>13338</v>
      </c>
      <c r="U6260" t="s">
        <v>13338</v>
      </c>
      <c r="V6260" t="s">
        <v>13338</v>
      </c>
      <c r="W6260" t="s">
        <v>19536</v>
      </c>
      <c r="X6260">
        <v>4</v>
      </c>
      <c r="Y6260" t="s">
        <v>26021</v>
      </c>
      <c r="Z6260" t="s">
        <v>32675</v>
      </c>
      <c r="AA6260">
        <v>0.6621587286767141</v>
      </c>
      <c r="AB6260" t="str">
        <f>HYPERLINK("Melting_Curves/meltCurve_Q9UHN6_2_TMEM2.pdf", "Melting_Curves/meltCurve_Q9UHN6_2_TMEM2.pdf")</f>
        <v>Melting_Curves/meltCurve_Q9UHN6_2_TMEM2.pdf</v>
      </c>
    </row>
    <row r="6261" spans="1:28" x14ac:dyDescent="0.25">
      <c r="A6261" t="s">
        <v>6265</v>
      </c>
      <c r="B6261">
        <v>0.99193492352474899</v>
      </c>
      <c r="C6261">
        <v>0.82540497597268303</v>
      </c>
      <c r="D6261">
        <v>0.86326584676180596</v>
      </c>
      <c r="E6261">
        <v>0.48451518390503001</v>
      </c>
      <c r="F6261">
        <v>0.242781603773847</v>
      </c>
      <c r="G6261">
        <v>0.13288489505154799</v>
      </c>
      <c r="H6261">
        <v>8.8693958563882805E-2</v>
      </c>
      <c r="I6261">
        <v>0.12548729547910101</v>
      </c>
      <c r="J6261">
        <v>0.14370373265488101</v>
      </c>
      <c r="K6261">
        <v>0.109271061529429</v>
      </c>
      <c r="L6261">
        <v>993.32425479456595</v>
      </c>
      <c r="M6261">
        <v>20.311628374007899</v>
      </c>
      <c r="N6261">
        <v>49.471670926560698</v>
      </c>
      <c r="O6261">
        <v>48.437587521492603</v>
      </c>
      <c r="P6261">
        <v>-9.3943030986956902E-2</v>
      </c>
      <c r="Q6261">
        <v>0.103915396427818</v>
      </c>
      <c r="R6261">
        <v>0.98115305016073895</v>
      </c>
      <c r="S6261" t="s">
        <v>12931</v>
      </c>
      <c r="T6261" t="s">
        <v>13338</v>
      </c>
      <c r="U6261" t="s">
        <v>13338</v>
      </c>
      <c r="V6261" t="s">
        <v>13338</v>
      </c>
      <c r="W6261" t="s">
        <v>19537</v>
      </c>
      <c r="X6261">
        <v>8</v>
      </c>
      <c r="Y6261" t="s">
        <v>26022</v>
      </c>
      <c r="Z6261" t="s">
        <v>32676</v>
      </c>
      <c r="AA6261">
        <v>0.38205289251624319</v>
      </c>
      <c r="AB6261" t="str">
        <f>HYPERLINK("Melting_Curves/meltCurve_Q9UHQ1_NARF.pdf", "Melting_Curves/meltCurve_Q9UHQ1_NARF.pdf")</f>
        <v>Melting_Curves/meltCurve_Q9UHQ1_NARF.pdf</v>
      </c>
    </row>
    <row r="6262" spans="1:28" x14ac:dyDescent="0.25">
      <c r="A6262" t="s">
        <v>6266</v>
      </c>
      <c r="B6262">
        <v>0.99193492352474899</v>
      </c>
      <c r="C6262">
        <v>1.0562576908747801</v>
      </c>
      <c r="D6262">
        <v>0.76197700676862601</v>
      </c>
      <c r="E6262">
        <v>0.81534778791609397</v>
      </c>
      <c r="F6262">
        <v>0.47152706102196701</v>
      </c>
      <c r="G6262">
        <v>0.35877067388469802</v>
      </c>
      <c r="H6262">
        <v>0.26256423256931</v>
      </c>
      <c r="I6262">
        <v>0.27825677633442297</v>
      </c>
      <c r="J6262">
        <v>0.23099460696826901</v>
      </c>
      <c r="K6262">
        <v>0.29562500038052297</v>
      </c>
      <c r="L6262">
        <v>864.84698229133005</v>
      </c>
      <c r="M6262">
        <v>16.896146864880699</v>
      </c>
      <c r="N6262">
        <v>53.275329368966403</v>
      </c>
      <c r="O6262">
        <v>50.485165275593097</v>
      </c>
      <c r="P6262">
        <v>-6.3404246981818596E-2</v>
      </c>
      <c r="Q6262">
        <v>0.242248247095947</v>
      </c>
      <c r="R6262">
        <v>0.95687140907008705</v>
      </c>
      <c r="S6262" t="s">
        <v>12932</v>
      </c>
      <c r="T6262" t="s">
        <v>13338</v>
      </c>
      <c r="U6262" t="s">
        <v>13338</v>
      </c>
      <c r="V6262" t="s">
        <v>13338</v>
      </c>
      <c r="W6262" t="s">
        <v>19538</v>
      </c>
      <c r="X6262">
        <v>12</v>
      </c>
      <c r="Y6262" t="s">
        <v>26023</v>
      </c>
      <c r="Z6262" t="s">
        <v>32677</v>
      </c>
      <c r="AA6262">
        <v>0.53903186777304513</v>
      </c>
      <c r="AB6262" t="str">
        <f>HYPERLINK("Melting_Curves/meltCurve_Q9UHQ4_BCAP29.pdf", "Melting_Curves/meltCurve_Q9UHQ4_BCAP29.pdf")</f>
        <v>Melting_Curves/meltCurve_Q9UHQ4_BCAP29.pdf</v>
      </c>
    </row>
    <row r="6263" spans="1:28" x14ac:dyDescent="0.25">
      <c r="A6263" t="s">
        <v>6267</v>
      </c>
      <c r="B6263">
        <v>0.99193492352474899</v>
      </c>
      <c r="C6263">
        <v>0.79895204541910103</v>
      </c>
      <c r="D6263">
        <v>0.97485856290300199</v>
      </c>
      <c r="E6263">
        <v>0.84410023118066502</v>
      </c>
      <c r="F6263">
        <v>0.69456059925490099</v>
      </c>
      <c r="G6263">
        <v>0.36557119383007802</v>
      </c>
      <c r="H6263">
        <v>0.12891091710527899</v>
      </c>
      <c r="I6263">
        <v>0.10086521556458</v>
      </c>
      <c r="J6263">
        <v>0.10811192499365301</v>
      </c>
      <c r="K6263">
        <v>0.102510875812205</v>
      </c>
      <c r="L6263">
        <v>1065.95621989092</v>
      </c>
      <c r="M6263">
        <v>19.517158278070699</v>
      </c>
      <c r="N6263">
        <v>55.003443311285899</v>
      </c>
      <c r="O6263">
        <v>54.052681982047602</v>
      </c>
      <c r="P6263">
        <v>-8.4479893372965006E-2</v>
      </c>
      <c r="Q6263">
        <v>6.4166813866640193E-2</v>
      </c>
      <c r="R6263">
        <v>0.96570637771237899</v>
      </c>
      <c r="S6263" t="s">
        <v>12933</v>
      </c>
      <c r="T6263" t="s">
        <v>13338</v>
      </c>
      <c r="U6263" t="s">
        <v>13338</v>
      </c>
      <c r="V6263" t="s">
        <v>13338</v>
      </c>
      <c r="W6263" t="s">
        <v>19539</v>
      </c>
      <c r="X6263">
        <v>11</v>
      </c>
      <c r="Y6263" t="s">
        <v>26024</v>
      </c>
      <c r="Z6263" t="s">
        <v>32678</v>
      </c>
      <c r="AA6263">
        <v>0.53316898933128076</v>
      </c>
      <c r="AB6263" t="str">
        <f>HYPERLINK("Melting_Curves/meltCurve_Q9UHQ9_CYB5R1.pdf", "Melting_Curves/meltCurve_Q9UHQ9_CYB5R1.pdf")</f>
        <v>Melting_Curves/meltCurve_Q9UHQ9_CYB5R1.pdf</v>
      </c>
    </row>
    <row r="6264" spans="1:28" x14ac:dyDescent="0.25">
      <c r="A6264" t="s">
        <v>6268</v>
      </c>
      <c r="B6264">
        <v>0.99193492352474899</v>
      </c>
      <c r="C6264">
        <v>0.80530703028989103</v>
      </c>
      <c r="D6264">
        <v>0.36253168871253399</v>
      </c>
      <c r="E6264">
        <v>0.14171637064958201</v>
      </c>
      <c r="F6264">
        <v>8.8367120647634703E-2</v>
      </c>
      <c r="G6264">
        <v>3.8705988974227098E-2</v>
      </c>
      <c r="H6264">
        <v>0</v>
      </c>
      <c r="I6264">
        <v>9.7039504070580401E-2</v>
      </c>
      <c r="J6264">
        <v>0.172623673396961</v>
      </c>
      <c r="K6264">
        <v>0.12506499984886299</v>
      </c>
      <c r="L6264">
        <v>1377.3546646538</v>
      </c>
      <c r="M6264">
        <v>30.7780391711159</v>
      </c>
      <c r="N6264">
        <v>45.031770123536603</v>
      </c>
      <c r="O6264">
        <v>44.5635692347239</v>
      </c>
      <c r="P6264">
        <v>-0.157600721263981</v>
      </c>
      <c r="Q6264">
        <v>8.7244088462444705E-2</v>
      </c>
      <c r="R6264">
        <v>0.98158473800269697</v>
      </c>
      <c r="S6264" t="s">
        <v>12934</v>
      </c>
      <c r="T6264" t="s">
        <v>13338</v>
      </c>
      <c r="U6264" t="s">
        <v>13338</v>
      </c>
      <c r="V6264" t="s">
        <v>13338</v>
      </c>
      <c r="W6264" t="s">
        <v>19540</v>
      </c>
      <c r="X6264">
        <v>1</v>
      </c>
      <c r="Y6264" t="s">
        <v>26025</v>
      </c>
      <c r="Z6264" t="s">
        <v>32679</v>
      </c>
      <c r="AA6264">
        <v>0.23745205410007411</v>
      </c>
      <c r="AB6264" t="str">
        <f>HYPERLINK("Melting_Curves/meltCurve_Q9UHR6_ZNHIT2.pdf", "Melting_Curves/meltCurve_Q9UHR6_ZNHIT2.pdf")</f>
        <v>Melting_Curves/meltCurve_Q9UHR6_ZNHIT2.pdf</v>
      </c>
    </row>
    <row r="6265" spans="1:28" x14ac:dyDescent="0.25">
      <c r="A6265" t="s">
        <v>6269</v>
      </c>
      <c r="B6265">
        <v>0.99193492352474899</v>
      </c>
      <c r="C6265">
        <v>1.1233936045214701</v>
      </c>
      <c r="D6265">
        <v>0.84544102159003998</v>
      </c>
      <c r="E6265">
        <v>0.879099291080919</v>
      </c>
      <c r="F6265">
        <v>0.64970011344012102</v>
      </c>
      <c r="G6265">
        <v>0.54187412880214603</v>
      </c>
      <c r="H6265">
        <v>0.31239853539791701</v>
      </c>
      <c r="I6265">
        <v>0.29085926477193802</v>
      </c>
      <c r="J6265">
        <v>0.29025078658291598</v>
      </c>
      <c r="K6265">
        <v>0.39200925276089699</v>
      </c>
      <c r="L6265">
        <v>921.02664002913696</v>
      </c>
      <c r="M6265">
        <v>17.222030498753799</v>
      </c>
      <c r="N6265">
        <v>56.399097365076202</v>
      </c>
      <c r="O6265">
        <v>52.774128056857599</v>
      </c>
      <c r="P6265">
        <v>-5.75213573786751E-2</v>
      </c>
      <c r="Q6265">
        <v>0.29498183435891401</v>
      </c>
      <c r="R6265">
        <v>0.944747414125236</v>
      </c>
      <c r="S6265" t="s">
        <v>12935</v>
      </c>
      <c r="T6265" t="s">
        <v>13338</v>
      </c>
      <c r="U6265" t="s">
        <v>13338</v>
      </c>
      <c r="V6265" t="s">
        <v>13338</v>
      </c>
      <c r="W6265" t="s">
        <v>19541</v>
      </c>
      <c r="X6265">
        <v>15</v>
      </c>
      <c r="Y6265" t="s">
        <v>26026</v>
      </c>
      <c r="Z6265" t="s">
        <v>32680</v>
      </c>
      <c r="AA6265">
        <v>0.62398307672671227</v>
      </c>
      <c r="AB6265" t="str">
        <f>HYPERLINK("Melting_Curves/meltCurve_Q9UHV9_PFDN2.pdf", "Melting_Curves/meltCurve_Q9UHV9_PFDN2.pdf")</f>
        <v>Melting_Curves/meltCurve_Q9UHV9_PFDN2.pdf</v>
      </c>
    </row>
    <row r="6266" spans="1:28" x14ac:dyDescent="0.25">
      <c r="A6266" t="s">
        <v>6270</v>
      </c>
      <c r="B6266">
        <v>0.99193492352474899</v>
      </c>
      <c r="C6266">
        <v>1.0287316294961899</v>
      </c>
      <c r="D6266">
        <v>1.0154263097070599</v>
      </c>
      <c r="E6266">
        <v>1.0341653449711301</v>
      </c>
      <c r="F6266">
        <v>0.98733769866796595</v>
      </c>
      <c r="G6266">
        <v>0.82653282828219798</v>
      </c>
      <c r="H6266">
        <v>0.68981643929752001</v>
      </c>
      <c r="I6266">
        <v>0.72776803966641102</v>
      </c>
      <c r="J6266">
        <v>0.69335756885639799</v>
      </c>
      <c r="K6266">
        <v>0.51020821148360296</v>
      </c>
      <c r="L6266">
        <v>945.55597558737702</v>
      </c>
      <c r="M6266">
        <v>15.8194001363225</v>
      </c>
      <c r="O6266">
        <v>58.841234597741703</v>
      </c>
      <c r="P6266">
        <v>-3.0223872531623501E-2</v>
      </c>
      <c r="Q6266">
        <v>0.55035863054802203</v>
      </c>
      <c r="R6266">
        <v>0.91697982192389604</v>
      </c>
      <c r="S6266" t="s">
        <v>12936</v>
      </c>
      <c r="T6266" t="s">
        <v>13338</v>
      </c>
      <c r="U6266" t="s">
        <v>13338</v>
      </c>
      <c r="V6266" t="s">
        <v>13338</v>
      </c>
      <c r="W6266" t="s">
        <v>19542</v>
      </c>
      <c r="X6266">
        <v>5</v>
      </c>
      <c r="Y6266" t="s">
        <v>26027</v>
      </c>
      <c r="Z6266" t="s">
        <v>32681</v>
      </c>
      <c r="AA6266">
        <v>0.8504147321738571</v>
      </c>
      <c r="AB6266" t="str">
        <f>HYPERLINK("Melting_Curves/meltCurve_Q9UHW5_GPN3.pdf", "Melting_Curves/meltCurve_Q9UHW5_GPN3.pdf")</f>
        <v>Melting_Curves/meltCurve_Q9UHW5_GPN3.pdf</v>
      </c>
    </row>
    <row r="6267" spans="1:28" x14ac:dyDescent="0.25">
      <c r="A6267" t="s">
        <v>6271</v>
      </c>
      <c r="B6267">
        <v>0.99193492352474899</v>
      </c>
      <c r="C6267">
        <v>0.72222639808239397</v>
      </c>
      <c r="D6267">
        <v>0.82574751027524096</v>
      </c>
      <c r="E6267">
        <v>0.37244854873216798</v>
      </c>
      <c r="F6267">
        <v>0.153795309808615</v>
      </c>
      <c r="G6267">
        <v>7.7562387859020102E-2</v>
      </c>
      <c r="H6267">
        <v>5.1045250427521699E-2</v>
      </c>
      <c r="I6267">
        <v>4.6879757804619997E-2</v>
      </c>
      <c r="J6267">
        <v>5.39417275490384E-2</v>
      </c>
      <c r="K6267">
        <v>4.8607719351797002E-2</v>
      </c>
      <c r="L6267">
        <v>830.51323739568898</v>
      </c>
      <c r="M6267">
        <v>17.245304085017398</v>
      </c>
      <c r="N6267">
        <v>48.321015907700001</v>
      </c>
      <c r="O6267">
        <v>47.525230025520997</v>
      </c>
      <c r="P6267">
        <v>-8.8170085119197605E-2</v>
      </c>
      <c r="Q6267">
        <v>2.8127585230754901E-2</v>
      </c>
      <c r="R6267">
        <v>0.96113036422392695</v>
      </c>
      <c r="S6267" t="s">
        <v>12937</v>
      </c>
      <c r="T6267" t="s">
        <v>13338</v>
      </c>
      <c r="U6267" t="s">
        <v>13338</v>
      </c>
      <c r="V6267" t="s">
        <v>13338</v>
      </c>
      <c r="W6267" t="s">
        <v>19543</v>
      </c>
      <c r="X6267">
        <v>23</v>
      </c>
      <c r="Y6267" t="s">
        <v>26028</v>
      </c>
      <c r="Z6267" t="s">
        <v>32682</v>
      </c>
      <c r="AA6267">
        <v>0.31118846366245462</v>
      </c>
      <c r="AB6267" t="str">
        <f>HYPERLINK("Melting_Curves/meltCurve_Q9UHX1_PUF60.pdf", "Melting_Curves/meltCurve_Q9UHX1_PUF60.pdf")</f>
        <v>Melting_Curves/meltCurve_Q9UHX1_PUF60.pdf</v>
      </c>
    </row>
    <row r="6268" spans="1:28" x14ac:dyDescent="0.25">
      <c r="A6268" t="s">
        <v>6272</v>
      </c>
      <c r="B6268">
        <v>0.99193492352474899</v>
      </c>
      <c r="C6268">
        <v>1.1229101457944299</v>
      </c>
      <c r="D6268">
        <v>0.85477025817698604</v>
      </c>
      <c r="E6268">
        <v>0.60793953956241698</v>
      </c>
      <c r="F6268">
        <v>0.199579365796068</v>
      </c>
      <c r="G6268">
        <v>0.103039933725251</v>
      </c>
      <c r="H6268">
        <v>6.5733222213752995E-2</v>
      </c>
      <c r="I6268">
        <v>7.1232343459538106E-2</v>
      </c>
      <c r="J6268">
        <v>6.7787690414019303E-2</v>
      </c>
      <c r="K6268">
        <v>6.9649338397403199E-2</v>
      </c>
      <c r="L6268">
        <v>1350.69964677282</v>
      </c>
      <c r="M6268">
        <v>27.012489004734</v>
      </c>
      <c r="N6268">
        <v>50.258862163383696</v>
      </c>
      <c r="O6268">
        <v>49.7311520116236</v>
      </c>
      <c r="P6268">
        <v>-0.127063622799472</v>
      </c>
      <c r="Q6268">
        <v>6.4290910806780704E-2</v>
      </c>
      <c r="R6268">
        <v>0.98637734757774098</v>
      </c>
      <c r="S6268" t="s">
        <v>12938</v>
      </c>
      <c r="T6268" t="s">
        <v>13338</v>
      </c>
      <c r="U6268" t="s">
        <v>13338</v>
      </c>
      <c r="V6268" t="s">
        <v>13338</v>
      </c>
      <c r="W6268" t="s">
        <v>19544</v>
      </c>
      <c r="X6268">
        <v>5</v>
      </c>
      <c r="Y6268" t="s">
        <v>26029</v>
      </c>
      <c r="Z6268" t="s">
        <v>32683</v>
      </c>
      <c r="AA6268">
        <v>0.38343590709583703</v>
      </c>
      <c r="AB6268" t="str">
        <f>HYPERLINK("Melting_Curves/meltCurve_Q9UHY1_NRBP1.pdf", "Melting_Curves/meltCurve_Q9UHY1_NRBP1.pdf")</f>
        <v>Melting_Curves/meltCurve_Q9UHY1_NRBP1.pdf</v>
      </c>
    </row>
    <row r="6269" spans="1:28" x14ac:dyDescent="0.25">
      <c r="A6269" t="s">
        <v>6273</v>
      </c>
      <c r="B6269">
        <v>0.99193492352474899</v>
      </c>
      <c r="C6269">
        <v>0.75470295334508097</v>
      </c>
      <c r="D6269">
        <v>0.76081563996545698</v>
      </c>
      <c r="E6269">
        <v>0.33718925944801298</v>
      </c>
      <c r="F6269">
        <v>0.130502361509508</v>
      </c>
      <c r="G6269">
        <v>7.0391743770763807E-2</v>
      </c>
      <c r="H6269">
        <v>4.7274366180978002E-2</v>
      </c>
      <c r="I6269">
        <v>4.4133567793153701E-2</v>
      </c>
      <c r="J6269">
        <v>6.15620878134885E-2</v>
      </c>
      <c r="K6269">
        <v>5.2346176100944802E-2</v>
      </c>
      <c r="L6269">
        <v>851.87963089768596</v>
      </c>
      <c r="M6269">
        <v>17.873643166242999</v>
      </c>
      <c r="N6269">
        <v>47.843063081367902</v>
      </c>
      <c r="O6269">
        <v>47.076623861956499</v>
      </c>
      <c r="P6269">
        <v>-9.1805436072201596E-2</v>
      </c>
      <c r="Q6269">
        <v>3.2839467371559197E-2</v>
      </c>
      <c r="R6269">
        <v>0.97700105961130801</v>
      </c>
      <c r="S6269" t="s">
        <v>12939</v>
      </c>
      <c r="T6269" t="s">
        <v>13338</v>
      </c>
      <c r="U6269" t="s">
        <v>13338</v>
      </c>
      <c r="V6269" t="s">
        <v>13338</v>
      </c>
      <c r="W6269" t="s">
        <v>19545</v>
      </c>
      <c r="X6269">
        <v>10</v>
      </c>
      <c r="Y6269" t="s">
        <v>26030</v>
      </c>
      <c r="Z6269" t="s">
        <v>32684</v>
      </c>
      <c r="AA6269">
        <v>0.29744080177564891</v>
      </c>
      <c r="AB6269" t="str">
        <f>HYPERLINK("Melting_Curves/meltCurve_Q9UHY7_ENOPH1.pdf", "Melting_Curves/meltCurve_Q9UHY7_ENOPH1.pdf")</f>
        <v>Melting_Curves/meltCurve_Q9UHY7_ENOPH1.pdf</v>
      </c>
    </row>
    <row r="6270" spans="1:28" x14ac:dyDescent="0.25">
      <c r="A6270" t="s">
        <v>6274</v>
      </c>
      <c r="B6270">
        <v>0.99193492352474899</v>
      </c>
      <c r="C6270">
        <v>0.76293214832745604</v>
      </c>
      <c r="D6270">
        <v>0.85226176473905202</v>
      </c>
      <c r="E6270">
        <v>0.58679482994013299</v>
      </c>
      <c r="F6270">
        <v>0.34982278870605699</v>
      </c>
      <c r="G6270">
        <v>0.161288483102633</v>
      </c>
      <c r="H6270">
        <v>8.0525969912991893E-2</v>
      </c>
      <c r="I6270">
        <v>0.141000299866403</v>
      </c>
      <c r="J6270">
        <v>0.18520366918496101</v>
      </c>
      <c r="K6270">
        <v>0.238022903586593</v>
      </c>
      <c r="L6270">
        <v>801.49961344370104</v>
      </c>
      <c r="M6270">
        <v>16.243143265518899</v>
      </c>
      <c r="N6270">
        <v>50.317846042954699</v>
      </c>
      <c r="O6270">
        <v>48.6141568638538</v>
      </c>
      <c r="P6270">
        <v>-7.2268831083153601E-2</v>
      </c>
      <c r="Q6270">
        <v>0.13488950843169301</v>
      </c>
      <c r="R6270">
        <v>0.94387171789336399</v>
      </c>
      <c r="S6270" t="s">
        <v>12940</v>
      </c>
      <c r="T6270" t="s">
        <v>13338</v>
      </c>
      <c r="U6270" t="s">
        <v>13338</v>
      </c>
      <c r="V6270" t="s">
        <v>13338</v>
      </c>
      <c r="W6270" t="s">
        <v>19546</v>
      </c>
      <c r="X6270">
        <v>13</v>
      </c>
      <c r="Y6270" t="s">
        <v>26031</v>
      </c>
      <c r="Z6270" t="s">
        <v>32685</v>
      </c>
      <c r="AA6270">
        <v>0.4225040556722236</v>
      </c>
      <c r="AB6270" t="str">
        <f>HYPERLINK("Melting_Curves/meltCurve_Q9UI08_2_EVL.pdf", "Melting_Curves/meltCurve_Q9UI08_2_EVL.pdf")</f>
        <v>Melting_Curves/meltCurve_Q9UI08_2_EVL.pdf</v>
      </c>
    </row>
    <row r="6271" spans="1:28" x14ac:dyDescent="0.25">
      <c r="A6271" t="s">
        <v>6275</v>
      </c>
      <c r="B6271">
        <v>0.99193492352474899</v>
      </c>
      <c r="C6271">
        <v>0.65304356116698004</v>
      </c>
      <c r="D6271">
        <v>0.97656414736466701</v>
      </c>
      <c r="E6271">
        <v>0.40377405328576099</v>
      </c>
      <c r="F6271">
        <v>0.235856037368427</v>
      </c>
      <c r="G6271">
        <v>0.17001901216892301</v>
      </c>
      <c r="H6271">
        <v>0.12434879458860799</v>
      </c>
      <c r="I6271">
        <v>0.20770210654306301</v>
      </c>
      <c r="J6271">
        <v>0.350108591936097</v>
      </c>
      <c r="K6271">
        <v>0.44758514487565898</v>
      </c>
      <c r="L6271">
        <v>2945.6794334998599</v>
      </c>
      <c r="M6271">
        <v>60.784795970322897</v>
      </c>
      <c r="N6271">
        <v>49.037827567504102</v>
      </c>
      <c r="O6271">
        <v>48.408424103786402</v>
      </c>
      <c r="P6271">
        <v>-0.233720645923157</v>
      </c>
      <c r="Q6271">
        <v>0.25546883852708002</v>
      </c>
      <c r="R6271">
        <v>0.78810175829748896</v>
      </c>
      <c r="S6271" t="s">
        <v>12941</v>
      </c>
      <c r="T6271" t="s">
        <v>13338</v>
      </c>
      <c r="U6271" t="s">
        <v>13338</v>
      </c>
      <c r="V6271" t="s">
        <v>13338</v>
      </c>
      <c r="W6271" t="s">
        <v>19547</v>
      </c>
      <c r="X6271">
        <v>2</v>
      </c>
      <c r="Y6271" t="s">
        <v>26032</v>
      </c>
      <c r="Z6271" t="s">
        <v>32686</v>
      </c>
      <c r="AA6271">
        <v>0.46652126683630157</v>
      </c>
      <c r="AB6271" t="str">
        <f>HYPERLINK("Melting_Curves/meltCurve_Q9UI09_NDUFA12.pdf", "Melting_Curves/meltCurve_Q9UI09_NDUFA12.pdf")</f>
        <v>Melting_Curves/meltCurve_Q9UI09_NDUFA12.pdf</v>
      </c>
    </row>
    <row r="6272" spans="1:28" x14ac:dyDescent="0.25">
      <c r="A6272" t="s">
        <v>6276</v>
      </c>
      <c r="B6272">
        <v>0.99193492352474899</v>
      </c>
      <c r="C6272">
        <v>0.67359341518808902</v>
      </c>
      <c r="D6272">
        <v>1.09570372005324</v>
      </c>
      <c r="E6272">
        <v>0.64190164610185596</v>
      </c>
      <c r="F6272">
        <v>0.33808428393024897</v>
      </c>
      <c r="G6272">
        <v>5.9563098598619697E-2</v>
      </c>
      <c r="H6272">
        <v>9.7937026509514902E-3</v>
      </c>
      <c r="I6272">
        <v>4.8479826039514298E-2</v>
      </c>
      <c r="J6272">
        <v>4.4550340325016903E-2</v>
      </c>
      <c r="K6272">
        <v>6.77925804674476E-2</v>
      </c>
      <c r="L6272">
        <v>1325.6868086280299</v>
      </c>
      <c r="M6272">
        <v>25.9464768991587</v>
      </c>
      <c r="N6272">
        <v>51.231390997078798</v>
      </c>
      <c r="O6272">
        <v>50.792531120870699</v>
      </c>
      <c r="P6272">
        <v>-0.12339159932690601</v>
      </c>
      <c r="Q6272">
        <v>3.3811187769648601E-2</v>
      </c>
      <c r="R6272">
        <v>0.91634138906647999</v>
      </c>
      <c r="S6272" t="s">
        <v>12942</v>
      </c>
      <c r="T6272" t="s">
        <v>13338</v>
      </c>
      <c r="U6272" t="s">
        <v>13338</v>
      </c>
      <c r="V6272" t="s">
        <v>13338</v>
      </c>
      <c r="W6272" t="s">
        <v>19548</v>
      </c>
      <c r="X6272">
        <v>7</v>
      </c>
      <c r="Y6272" t="s">
        <v>26033</v>
      </c>
      <c r="Z6272" t="s">
        <v>32687</v>
      </c>
      <c r="AA6272">
        <v>0.39920081773488869</v>
      </c>
      <c r="AB6272" t="str">
        <f>HYPERLINK("Melting_Curves/meltCurve_Q9UI10_EIF2B4.pdf", "Melting_Curves/meltCurve_Q9UI10_EIF2B4.pdf")</f>
        <v>Melting_Curves/meltCurve_Q9UI10_EIF2B4.pdf</v>
      </c>
    </row>
    <row r="6273" spans="1:28" x14ac:dyDescent="0.25">
      <c r="A6273" t="s">
        <v>6277</v>
      </c>
      <c r="B6273">
        <v>0.99193492352474899</v>
      </c>
      <c r="C6273">
        <v>0.76697114326897398</v>
      </c>
      <c r="D6273">
        <v>1.0455862372901701</v>
      </c>
      <c r="E6273">
        <v>0.75134789558467996</v>
      </c>
      <c r="F6273">
        <v>0.32909038583036598</v>
      </c>
      <c r="G6273">
        <v>0.137125273305546</v>
      </c>
      <c r="H6273">
        <v>5.45272057136909E-2</v>
      </c>
      <c r="I6273">
        <v>8.2299551042334496E-2</v>
      </c>
      <c r="J6273">
        <v>0.103271551518371</v>
      </c>
      <c r="K6273">
        <v>9.4196174539064204E-2</v>
      </c>
      <c r="L6273">
        <v>1544.7273359788301</v>
      </c>
      <c r="M6273">
        <v>30.0752167593593</v>
      </c>
      <c r="N6273">
        <v>51.672722913190597</v>
      </c>
      <c r="O6273">
        <v>51.136639709216098</v>
      </c>
      <c r="P6273">
        <v>-0.13487659326274401</v>
      </c>
      <c r="Q6273">
        <v>8.2687393776539997E-2</v>
      </c>
      <c r="R6273">
        <v>0.95927824872402501</v>
      </c>
      <c r="S6273" t="s">
        <v>12943</v>
      </c>
      <c r="T6273" t="s">
        <v>13338</v>
      </c>
      <c r="U6273" t="s">
        <v>13338</v>
      </c>
      <c r="V6273" t="s">
        <v>13338</v>
      </c>
      <c r="W6273" t="s">
        <v>19549</v>
      </c>
      <c r="X6273">
        <v>6</v>
      </c>
      <c r="Y6273" t="s">
        <v>26033</v>
      </c>
      <c r="Z6273" t="s">
        <v>32688</v>
      </c>
      <c r="AA6273">
        <v>0.43588118697497402</v>
      </c>
      <c r="AB6273" t="str">
        <f>HYPERLINK("Melting_Curves/meltCurve_Q9UI10_3_EIF2B4.pdf", "Melting_Curves/meltCurve_Q9UI10_3_EIF2B4.pdf")</f>
        <v>Melting_Curves/meltCurve_Q9UI10_3_EIF2B4.pdf</v>
      </c>
    </row>
    <row r="6274" spans="1:28" x14ac:dyDescent="0.25">
      <c r="A6274" t="s">
        <v>6278</v>
      </c>
      <c r="B6274">
        <v>0.99193492352474899</v>
      </c>
      <c r="C6274">
        <v>0.965178228733379</v>
      </c>
      <c r="D6274">
        <v>0.95648372542961901</v>
      </c>
      <c r="E6274">
        <v>0.79008602276819995</v>
      </c>
      <c r="F6274">
        <v>0.41900013646916601</v>
      </c>
      <c r="G6274">
        <v>0.14356454090217</v>
      </c>
      <c r="H6274">
        <v>6.1611958409422601E-2</v>
      </c>
      <c r="I6274">
        <v>7.4128097028418702E-2</v>
      </c>
      <c r="J6274">
        <v>9.24952662350743E-2</v>
      </c>
      <c r="K6274">
        <v>8.5633507941672696E-2</v>
      </c>
      <c r="L6274">
        <v>1356.19421388612</v>
      </c>
      <c r="M6274">
        <v>26.072963426882801</v>
      </c>
      <c r="N6274">
        <v>52.311757276373299</v>
      </c>
      <c r="O6274">
        <v>51.7122346481299</v>
      </c>
      <c r="P6274">
        <v>-0.117393934073867</v>
      </c>
      <c r="Q6274">
        <v>6.8669654044625494E-2</v>
      </c>
      <c r="R6274">
        <v>0.99788404804095598</v>
      </c>
      <c r="S6274" t="s">
        <v>12944</v>
      </c>
      <c r="T6274" t="s">
        <v>13338</v>
      </c>
      <c r="U6274" t="s">
        <v>13338</v>
      </c>
      <c r="V6274" t="s">
        <v>13338</v>
      </c>
      <c r="W6274" t="s">
        <v>19550</v>
      </c>
      <c r="X6274">
        <v>11</v>
      </c>
      <c r="Y6274" t="s">
        <v>26034</v>
      </c>
      <c r="Z6274" t="s">
        <v>32689</v>
      </c>
      <c r="AA6274">
        <v>0.44951821518568852</v>
      </c>
      <c r="AB6274" t="str">
        <f>HYPERLINK("Melting_Curves/meltCurve_Q9UI12_2_ATP6V1H.pdf", "Melting_Curves/meltCurve_Q9UI12_2_ATP6V1H.pdf")</f>
        <v>Melting_Curves/meltCurve_Q9UI12_2_ATP6V1H.pdf</v>
      </c>
    </row>
    <row r="6275" spans="1:28" x14ac:dyDescent="0.25">
      <c r="A6275" t="s">
        <v>6279</v>
      </c>
      <c r="B6275">
        <v>0.99193492352474899</v>
      </c>
      <c r="C6275">
        <v>0.76589748772791399</v>
      </c>
      <c r="D6275">
        <v>0.92663477987369902</v>
      </c>
      <c r="E6275">
        <v>0.54048360026509101</v>
      </c>
      <c r="F6275">
        <v>0.27359923836677302</v>
      </c>
      <c r="G6275">
        <v>0.150931417719567</v>
      </c>
      <c r="H6275">
        <v>8.6248926531022702E-2</v>
      </c>
      <c r="I6275">
        <v>8.8217282511166201E-2</v>
      </c>
      <c r="J6275">
        <v>9.4213470456503107E-2</v>
      </c>
      <c r="K6275">
        <v>0.108302792426718</v>
      </c>
      <c r="L6275">
        <v>937.26054412377596</v>
      </c>
      <c r="M6275">
        <v>18.857428423166599</v>
      </c>
      <c r="N6275">
        <v>50.1551637834907</v>
      </c>
      <c r="O6275">
        <v>49.153636459323103</v>
      </c>
      <c r="P6275">
        <v>-8.8408720675592398E-2</v>
      </c>
      <c r="Q6275">
        <v>7.8255671085742606E-2</v>
      </c>
      <c r="R6275">
        <v>0.96265423618274304</v>
      </c>
      <c r="S6275" t="s">
        <v>12945</v>
      </c>
      <c r="T6275" t="s">
        <v>13338</v>
      </c>
      <c r="U6275" t="s">
        <v>13338</v>
      </c>
      <c r="V6275" t="s">
        <v>13338</v>
      </c>
      <c r="W6275" t="s">
        <v>19551</v>
      </c>
      <c r="X6275">
        <v>11</v>
      </c>
      <c r="Y6275" t="s">
        <v>26035</v>
      </c>
      <c r="Z6275" t="s">
        <v>32690</v>
      </c>
      <c r="AA6275">
        <v>0.39078310990582371</v>
      </c>
      <c r="AB6275" t="str">
        <f>HYPERLINK("Melting_Curves/meltCurve_Q9UI26_IPO11.pdf", "Melting_Curves/meltCurve_Q9UI26_IPO11.pdf")</f>
        <v>Melting_Curves/meltCurve_Q9UI26_IPO11.pdf</v>
      </c>
    </row>
    <row r="6276" spans="1:28" x14ac:dyDescent="0.25">
      <c r="A6276" t="s">
        <v>6280</v>
      </c>
      <c r="B6276">
        <v>0.99193492352474899</v>
      </c>
      <c r="C6276">
        <v>2.8316993098076799</v>
      </c>
      <c r="D6276">
        <v>0.77549966682968996</v>
      </c>
      <c r="E6276">
        <v>1.67602572564212</v>
      </c>
      <c r="F6276">
        <v>0.60357140130078901</v>
      </c>
      <c r="G6276">
        <v>0.56930237514392701</v>
      </c>
      <c r="H6276">
        <v>0.374389218749829</v>
      </c>
      <c r="I6276">
        <v>0.56949694659865302</v>
      </c>
      <c r="J6276">
        <v>0.305822596078205</v>
      </c>
      <c r="K6276">
        <v>0.33186971209867699</v>
      </c>
      <c r="L6276">
        <v>13256.007802190999</v>
      </c>
      <c r="M6276">
        <v>250</v>
      </c>
      <c r="N6276">
        <v>53.444884248546003</v>
      </c>
      <c r="O6276">
        <v>53.020636991024801</v>
      </c>
      <c r="P6276">
        <v>-0.67170053827401899</v>
      </c>
      <c r="Q6276">
        <v>0.430176143075302</v>
      </c>
      <c r="R6276">
        <v>0.30029537719557903</v>
      </c>
      <c r="S6276" t="s">
        <v>12946</v>
      </c>
      <c r="T6276" t="s">
        <v>13338</v>
      </c>
      <c r="U6276" t="s">
        <v>13338</v>
      </c>
      <c r="V6276" t="s">
        <v>13338</v>
      </c>
      <c r="W6276" t="s">
        <v>19552</v>
      </c>
      <c r="X6276">
        <v>6</v>
      </c>
      <c r="Y6276" t="s">
        <v>26036</v>
      </c>
      <c r="Z6276" t="s">
        <v>32691</v>
      </c>
      <c r="AA6276">
        <v>0.67760929200615649</v>
      </c>
      <c r="AB6276" t="str">
        <f>HYPERLINK("Melting_Curves/meltCurve_Q9UI30_TRMT112.pdf", "Melting_Curves/meltCurve_Q9UI30_TRMT112.pdf")</f>
        <v>Melting_Curves/meltCurve_Q9UI30_TRMT112.pdf</v>
      </c>
    </row>
    <row r="6277" spans="1:28" x14ac:dyDescent="0.25">
      <c r="A6277" t="s">
        <v>6281</v>
      </c>
      <c r="B6277">
        <v>0.99193492352474899</v>
      </c>
      <c r="C6277">
        <v>0.59578986942485601</v>
      </c>
      <c r="D6277">
        <v>0.860065494691855</v>
      </c>
      <c r="E6277">
        <v>0.29308603345884998</v>
      </c>
      <c r="F6277">
        <v>0.10904467258742701</v>
      </c>
      <c r="G6277">
        <v>8.9007543117862298E-2</v>
      </c>
      <c r="H6277">
        <v>5.1545333679167499E-2</v>
      </c>
      <c r="I6277">
        <v>4.67678994887262E-2</v>
      </c>
      <c r="J6277">
        <v>3.8903402524534302E-2</v>
      </c>
      <c r="K6277">
        <v>8.7931653793554304E-2</v>
      </c>
      <c r="L6277">
        <v>751.31589709775596</v>
      </c>
      <c r="M6277">
        <v>15.8357019512053</v>
      </c>
      <c r="N6277">
        <v>47.616672310226598</v>
      </c>
      <c r="O6277">
        <v>46.707193179150401</v>
      </c>
      <c r="P6277">
        <v>-8.2408182713976999E-2</v>
      </c>
      <c r="Q6277">
        <v>2.78324413185785E-2</v>
      </c>
      <c r="R6277">
        <v>0.8933419530908</v>
      </c>
      <c r="S6277" t="s">
        <v>12947</v>
      </c>
      <c r="T6277" t="s">
        <v>13338</v>
      </c>
      <c r="U6277" t="s">
        <v>13338</v>
      </c>
      <c r="V6277" t="s">
        <v>13338</v>
      </c>
      <c r="W6277" t="s">
        <v>19553</v>
      </c>
      <c r="X6277">
        <v>2</v>
      </c>
      <c r="Y6277" t="s">
        <v>26037</v>
      </c>
      <c r="Z6277" t="s">
        <v>32692</v>
      </c>
      <c r="AA6277">
        <v>0.2921052293239691</v>
      </c>
      <c r="AB6277" t="str">
        <f>HYPERLINK("Melting_Curves/meltCurve_Q9UI43_FTSJ2.pdf", "Melting_Curves/meltCurve_Q9UI43_FTSJ2.pdf")</f>
        <v>Melting_Curves/meltCurve_Q9UI43_FTSJ2.pdf</v>
      </c>
    </row>
    <row r="6278" spans="1:28" x14ac:dyDescent="0.25">
      <c r="A6278" t="s">
        <v>6282</v>
      </c>
      <c r="B6278">
        <v>0.99193492352474899</v>
      </c>
      <c r="C6278">
        <v>0.86889879024910199</v>
      </c>
      <c r="D6278">
        <v>0.96717697003354897</v>
      </c>
      <c r="E6278">
        <v>0.79491316695673397</v>
      </c>
      <c r="F6278">
        <v>0.64287875600251299</v>
      </c>
      <c r="G6278">
        <v>0.41366955372680903</v>
      </c>
      <c r="H6278">
        <v>0.263876415249996</v>
      </c>
      <c r="I6278">
        <v>0.32730362346542102</v>
      </c>
      <c r="J6278">
        <v>0.372851725891089</v>
      </c>
      <c r="K6278">
        <v>0.35933263956327499</v>
      </c>
      <c r="L6278">
        <v>1029.1089843233799</v>
      </c>
      <c r="M6278">
        <v>19.7335992109637</v>
      </c>
      <c r="N6278">
        <v>54.948907267315398</v>
      </c>
      <c r="O6278">
        <v>51.6234075344125</v>
      </c>
      <c r="P6278">
        <v>-6.5273001266535194E-2</v>
      </c>
      <c r="Q6278">
        <v>0.31700262765772202</v>
      </c>
      <c r="R6278">
        <v>0.95832796374692997</v>
      </c>
      <c r="S6278" t="s">
        <v>12948</v>
      </c>
      <c r="T6278" t="s">
        <v>13338</v>
      </c>
      <c r="U6278" t="s">
        <v>13338</v>
      </c>
      <c r="V6278" t="s">
        <v>13338</v>
      </c>
      <c r="W6278" t="s">
        <v>19554</v>
      </c>
      <c r="X6278">
        <v>5</v>
      </c>
      <c r="Y6278" t="s">
        <v>26038</v>
      </c>
      <c r="Z6278" t="s">
        <v>32693</v>
      </c>
      <c r="AA6278">
        <v>0.60329163738421843</v>
      </c>
      <c r="AB6278" t="str">
        <f>HYPERLINK("Melting_Curves/meltCurve_Q9UIB8_3_CD84.pdf", "Melting_Curves/meltCurve_Q9UIB8_3_CD84.pdf")</f>
        <v>Melting_Curves/meltCurve_Q9UIB8_3_CD84.pdf</v>
      </c>
    </row>
    <row r="6279" spans="1:28" x14ac:dyDescent="0.25">
      <c r="A6279" t="s">
        <v>6283</v>
      </c>
      <c r="B6279">
        <v>0.99193492352474899</v>
      </c>
      <c r="C6279">
        <v>0.78046958870647798</v>
      </c>
      <c r="D6279">
        <v>0.928193451644999</v>
      </c>
      <c r="E6279">
        <v>0.70403280049501205</v>
      </c>
      <c r="F6279">
        <v>0.226979462070378</v>
      </c>
      <c r="G6279">
        <v>0.12548704133253699</v>
      </c>
      <c r="H6279">
        <v>6.5822956647791406E-2</v>
      </c>
      <c r="I6279">
        <v>8.7066890951572398E-2</v>
      </c>
      <c r="J6279">
        <v>7.98555345516445E-2</v>
      </c>
      <c r="K6279">
        <v>9.2582251575622096E-2</v>
      </c>
      <c r="L6279">
        <v>1504.31184505086</v>
      </c>
      <c r="M6279">
        <v>29.714375489388701</v>
      </c>
      <c r="N6279">
        <v>50.917140633165197</v>
      </c>
      <c r="O6279">
        <v>50.398090760540398</v>
      </c>
      <c r="P6279">
        <v>-0.13587347997923799</v>
      </c>
      <c r="Q6279">
        <v>7.8194590205642997E-2</v>
      </c>
      <c r="R6279">
        <v>0.96412742817188302</v>
      </c>
      <c r="S6279" t="s">
        <v>12949</v>
      </c>
      <c r="T6279" t="s">
        <v>13338</v>
      </c>
      <c r="U6279" t="s">
        <v>13338</v>
      </c>
      <c r="V6279" t="s">
        <v>13338</v>
      </c>
      <c r="W6279" t="s">
        <v>19555</v>
      </c>
      <c r="X6279">
        <v>9</v>
      </c>
      <c r="Y6279" t="s">
        <v>26039</v>
      </c>
      <c r="Z6279" t="s">
        <v>32694</v>
      </c>
      <c r="AA6279">
        <v>0.41056171795014279</v>
      </c>
      <c r="AB6279" t="str">
        <f>HYPERLINK("Melting_Curves/meltCurve_Q9UIC8_LCMT1.pdf", "Melting_Curves/meltCurve_Q9UIC8_LCMT1.pdf")</f>
        <v>Melting_Curves/meltCurve_Q9UIC8_LCMT1.pdf</v>
      </c>
    </row>
    <row r="6280" spans="1:28" x14ac:dyDescent="0.25">
      <c r="A6280" t="s">
        <v>6284</v>
      </c>
      <c r="B6280">
        <v>0.99193492352474899</v>
      </c>
      <c r="C6280">
        <v>0.90485000603946697</v>
      </c>
      <c r="D6280">
        <v>0.81155113767516995</v>
      </c>
      <c r="E6280">
        <v>0.36890364668713299</v>
      </c>
      <c r="F6280">
        <v>0.190567927471122</v>
      </c>
      <c r="G6280">
        <v>9.92655290235748E-2</v>
      </c>
      <c r="H6280">
        <v>7.54683999041207E-2</v>
      </c>
      <c r="I6280">
        <v>9.5239157982118794E-2</v>
      </c>
      <c r="J6280">
        <v>0.106159719871256</v>
      </c>
      <c r="K6280">
        <v>0.11172426826827001</v>
      </c>
      <c r="L6280">
        <v>1198.39944160458</v>
      </c>
      <c r="M6280">
        <v>24.898969714621</v>
      </c>
      <c r="N6280">
        <v>48.536595152277698</v>
      </c>
      <c r="O6280">
        <v>47.823248667520502</v>
      </c>
      <c r="P6280">
        <v>-0.11792376249799499</v>
      </c>
      <c r="Q6280">
        <v>9.4031664225752404E-2</v>
      </c>
      <c r="R6280">
        <v>0.99558233954366404</v>
      </c>
      <c r="S6280" t="s">
        <v>12950</v>
      </c>
      <c r="T6280" t="s">
        <v>13338</v>
      </c>
      <c r="U6280" t="s">
        <v>13338</v>
      </c>
      <c r="V6280" t="s">
        <v>13338</v>
      </c>
      <c r="W6280" t="s">
        <v>19556</v>
      </c>
      <c r="X6280">
        <v>11</v>
      </c>
      <c r="Y6280" t="s">
        <v>26040</v>
      </c>
      <c r="Z6280" t="s">
        <v>32695</v>
      </c>
      <c r="AA6280">
        <v>0.34763839725544587</v>
      </c>
      <c r="AB6280" t="str">
        <f>HYPERLINK("Melting_Curves/meltCurve_Q9UID3_VPS51.pdf", "Melting_Curves/meltCurve_Q9UID3_VPS51.pdf")</f>
        <v>Melting_Curves/meltCurve_Q9UID3_VPS51.pdf</v>
      </c>
    </row>
    <row r="6281" spans="1:28" x14ac:dyDescent="0.25">
      <c r="A6281" t="s">
        <v>6285</v>
      </c>
      <c r="B6281">
        <v>0.99193492352474899</v>
      </c>
      <c r="C6281">
        <v>0.66539261657136906</v>
      </c>
      <c r="D6281">
        <v>0.68331969311275997</v>
      </c>
      <c r="E6281">
        <v>0.37854782288676497</v>
      </c>
      <c r="F6281">
        <v>0.26174062122638603</v>
      </c>
      <c r="G6281">
        <v>0.109657741986334</v>
      </c>
      <c r="H6281">
        <v>6.6737003909456305E-2</v>
      </c>
      <c r="I6281">
        <v>0.12813058365455099</v>
      </c>
      <c r="J6281">
        <v>0.200847524942074</v>
      </c>
      <c r="K6281">
        <v>0.17451184947881801</v>
      </c>
      <c r="L6281">
        <v>663.95906512249701</v>
      </c>
      <c r="M6281">
        <v>14.263132625990901</v>
      </c>
      <c r="N6281">
        <v>47.444212143352097</v>
      </c>
      <c r="O6281">
        <v>45.664338287642401</v>
      </c>
      <c r="P6281">
        <v>-6.8898264360838402E-2</v>
      </c>
      <c r="Q6281">
        <v>0.117779618748167</v>
      </c>
      <c r="R6281">
        <v>0.94301013621028096</v>
      </c>
      <c r="S6281" t="s">
        <v>12951</v>
      </c>
      <c r="T6281" t="s">
        <v>13338</v>
      </c>
      <c r="U6281" t="s">
        <v>13338</v>
      </c>
      <c r="V6281" t="s">
        <v>13338</v>
      </c>
      <c r="W6281" t="s">
        <v>19557</v>
      </c>
      <c r="X6281">
        <v>1</v>
      </c>
      <c r="Y6281" t="s">
        <v>26041</v>
      </c>
      <c r="Z6281" t="s">
        <v>32696</v>
      </c>
      <c r="AA6281">
        <v>0.33781738221220331</v>
      </c>
      <c r="AB6281" t="str">
        <f>HYPERLINK("Melting_Curves/meltCurve_Q9UIG0_2_BAZ1B.pdf", "Melting_Curves/meltCurve_Q9UIG0_2_BAZ1B.pdf")</f>
        <v>Melting_Curves/meltCurve_Q9UIG0_2_BAZ1B.pdf</v>
      </c>
    </row>
    <row r="6282" spans="1:28" x14ac:dyDescent="0.25">
      <c r="A6282" t="s">
        <v>6286</v>
      </c>
      <c r="B6282">
        <v>0.99193492352474899</v>
      </c>
      <c r="C6282">
        <v>0.75273554754023697</v>
      </c>
      <c r="D6282">
        <v>0.53418313253415195</v>
      </c>
      <c r="E6282">
        <v>0.53367660781580395</v>
      </c>
      <c r="F6282">
        <v>0.26107080615561301</v>
      </c>
      <c r="G6282">
        <v>0.35896975114299301</v>
      </c>
      <c r="H6282">
        <v>0.31918653495364202</v>
      </c>
      <c r="I6282">
        <v>0.45187868843708401</v>
      </c>
      <c r="J6282">
        <v>0.26500024941684802</v>
      </c>
      <c r="K6282">
        <v>0.51130320241587901</v>
      </c>
      <c r="L6282">
        <v>983.26279464332003</v>
      </c>
      <c r="M6282">
        <v>22.305514458040399</v>
      </c>
      <c r="N6282">
        <v>46.965798090727098</v>
      </c>
      <c r="O6282">
        <v>43.7319012094448</v>
      </c>
      <c r="P6282">
        <v>-7.9962427946696807E-2</v>
      </c>
      <c r="Q6282">
        <v>0.37292039870275501</v>
      </c>
      <c r="R6282">
        <v>0.84821887950992203</v>
      </c>
      <c r="S6282" t="s">
        <v>12952</v>
      </c>
      <c r="T6282" t="s">
        <v>13338</v>
      </c>
      <c r="U6282" t="s">
        <v>13338</v>
      </c>
      <c r="V6282" t="s">
        <v>13338</v>
      </c>
      <c r="W6282" t="s">
        <v>19558</v>
      </c>
      <c r="X6282">
        <v>10</v>
      </c>
      <c r="Y6282" t="s">
        <v>26042</v>
      </c>
      <c r="Z6282" t="s">
        <v>32697</v>
      </c>
      <c r="AA6282">
        <v>0.46755599380953289</v>
      </c>
      <c r="AB6282" t="str">
        <f>HYPERLINK("Melting_Curves/meltCurve_Q9UII2_ATPIF1.pdf", "Melting_Curves/meltCurve_Q9UII2_ATPIF1.pdf")</f>
        <v>Melting_Curves/meltCurve_Q9UII2_ATPIF1.pdf</v>
      </c>
    </row>
    <row r="6283" spans="1:28" x14ac:dyDescent="0.25">
      <c r="A6283" t="s">
        <v>6287</v>
      </c>
      <c r="B6283">
        <v>0.99193492352474899</v>
      </c>
      <c r="C6283">
        <v>0.826236767649557</v>
      </c>
      <c r="D6283">
        <v>0.98975568484369103</v>
      </c>
      <c r="E6283">
        <v>0.80319559799211504</v>
      </c>
      <c r="F6283">
        <v>0.81427351369832701</v>
      </c>
      <c r="G6283">
        <v>0.45244662495013199</v>
      </c>
      <c r="H6283">
        <v>0.12567235781509201</v>
      </c>
      <c r="I6283">
        <v>0.103130427063114</v>
      </c>
      <c r="J6283">
        <v>0.120017543854273</v>
      </c>
      <c r="K6283">
        <v>0.12880746047910999</v>
      </c>
      <c r="L6283">
        <v>1259.2600503546701</v>
      </c>
      <c r="M6283">
        <v>22.6477475375357</v>
      </c>
      <c r="N6283">
        <v>56.0299821081978</v>
      </c>
      <c r="O6283">
        <v>55.173952725512301</v>
      </c>
      <c r="P6283">
        <v>-9.4470702706577897E-2</v>
      </c>
      <c r="Q6283">
        <v>7.9428577687598201E-2</v>
      </c>
      <c r="R6283">
        <v>0.95477708551766205</v>
      </c>
      <c r="S6283" t="s">
        <v>12953</v>
      </c>
      <c r="T6283" t="s">
        <v>13338</v>
      </c>
      <c r="U6283" t="s">
        <v>13338</v>
      </c>
      <c r="V6283" t="s">
        <v>13338</v>
      </c>
      <c r="W6283" t="s">
        <v>19559</v>
      </c>
      <c r="X6283">
        <v>13</v>
      </c>
      <c r="Y6283" t="s">
        <v>26043</v>
      </c>
      <c r="Z6283" t="s">
        <v>32698</v>
      </c>
      <c r="AA6283">
        <v>0.56817094934905177</v>
      </c>
      <c r="AB6283" t="str">
        <f>HYPERLINK("Melting_Curves/meltCurve_Q9UIJ7_AK3.pdf", "Melting_Curves/meltCurve_Q9UIJ7_AK3.pdf")</f>
        <v>Melting_Curves/meltCurve_Q9UIJ7_AK3.pdf</v>
      </c>
    </row>
    <row r="6284" spans="1:28" x14ac:dyDescent="0.25">
      <c r="A6284" t="s">
        <v>6288</v>
      </c>
      <c r="B6284">
        <v>0.99193492352474899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10192.4845627659</v>
      </c>
      <c r="M6284">
        <v>250</v>
      </c>
      <c r="N6284">
        <v>40.7699514368731</v>
      </c>
      <c r="O6284">
        <v>40.767329674844298</v>
      </c>
      <c r="P6284">
        <v>-1.5330903748164999</v>
      </c>
      <c r="Q6284">
        <v>0</v>
      </c>
      <c r="R6284">
        <v>0.99999999998133404</v>
      </c>
      <c r="S6284" t="s">
        <v>12954</v>
      </c>
      <c r="T6284" t="s">
        <v>13338</v>
      </c>
      <c r="U6284" t="s">
        <v>13338</v>
      </c>
      <c r="V6284" t="s">
        <v>13338</v>
      </c>
      <c r="W6284" t="s">
        <v>19560</v>
      </c>
      <c r="X6284">
        <v>1</v>
      </c>
      <c r="Y6284" t="s">
        <v>26044</v>
      </c>
      <c r="Z6284" t="s">
        <v>32699</v>
      </c>
      <c r="AA6284">
        <v>2.577820212876281E-2</v>
      </c>
      <c r="AB6284" t="str">
        <f>HYPERLINK("Melting_Curves/meltCurve_Q9UIL1_3_SCOC.pdf", "Melting_Curves/meltCurve_Q9UIL1_3_SCOC.pdf")</f>
        <v>Melting_Curves/meltCurve_Q9UIL1_3_SCOC.pdf</v>
      </c>
    </row>
    <row r="6285" spans="1:28" x14ac:dyDescent="0.25">
      <c r="A6285" t="s">
        <v>6289</v>
      </c>
      <c r="B6285">
        <v>0.99193492352474899</v>
      </c>
      <c r="C6285">
        <v>0.99661964050355301</v>
      </c>
      <c r="D6285">
        <v>0.86606916564525305</v>
      </c>
      <c r="E6285">
        <v>0.71040943901121301</v>
      </c>
      <c r="F6285">
        <v>0.48662826705408502</v>
      </c>
      <c r="G6285">
        <v>0.204319114784664</v>
      </c>
      <c r="H6285">
        <v>0.10404402862545301</v>
      </c>
      <c r="I6285">
        <v>0.16060603889393901</v>
      </c>
      <c r="J6285">
        <v>0.28633793246761002</v>
      </c>
      <c r="K6285">
        <v>0.23130054394235</v>
      </c>
      <c r="L6285">
        <v>1069.27116686047</v>
      </c>
      <c r="M6285">
        <v>20.962713401126098</v>
      </c>
      <c r="N6285">
        <v>52.122452511820597</v>
      </c>
      <c r="O6285">
        <v>50.5508580900946</v>
      </c>
      <c r="P6285">
        <v>-8.4952252625719593E-2</v>
      </c>
      <c r="Q6285">
        <v>0.18058446962289901</v>
      </c>
      <c r="R6285">
        <v>0.96892160191168197</v>
      </c>
      <c r="S6285" t="s">
        <v>12955</v>
      </c>
      <c r="T6285" t="s">
        <v>13338</v>
      </c>
      <c r="U6285" t="s">
        <v>13338</v>
      </c>
      <c r="V6285" t="s">
        <v>13338</v>
      </c>
      <c r="W6285" t="s">
        <v>19561</v>
      </c>
      <c r="X6285">
        <v>7</v>
      </c>
      <c r="Y6285" t="s">
        <v>26045</v>
      </c>
      <c r="Z6285" t="s">
        <v>32700</v>
      </c>
      <c r="AA6285">
        <v>0.49167221503476699</v>
      </c>
      <c r="AB6285" t="str">
        <f>HYPERLINK("Melting_Curves/meltCurve_Q9UIM3_FKBPL.pdf", "Melting_Curves/meltCurve_Q9UIM3_FKBPL.pdf")</f>
        <v>Melting_Curves/meltCurve_Q9UIM3_FKBPL.pdf</v>
      </c>
    </row>
    <row r="6286" spans="1:28" x14ac:dyDescent="0.25">
      <c r="A6286" t="s">
        <v>6290</v>
      </c>
      <c r="B6286">
        <v>0.99193492352474899</v>
      </c>
      <c r="C6286">
        <v>0.97002124711544502</v>
      </c>
      <c r="D6286">
        <v>0.98947894434972306</v>
      </c>
      <c r="E6286">
        <v>0.84942522851873004</v>
      </c>
      <c r="F6286">
        <v>0.86709654836652295</v>
      </c>
      <c r="G6286">
        <v>0.71723716803459403</v>
      </c>
      <c r="H6286">
        <v>0.54032000688863102</v>
      </c>
      <c r="I6286">
        <v>0.58702594047051904</v>
      </c>
      <c r="J6286">
        <v>0.60819729539379297</v>
      </c>
      <c r="K6286">
        <v>0.45483868003461098</v>
      </c>
      <c r="L6286">
        <v>660.67449967283005</v>
      </c>
      <c r="M6286">
        <v>11.7840377853832</v>
      </c>
      <c r="O6286">
        <v>54.523716296092402</v>
      </c>
      <c r="P6286">
        <v>-2.9102349217769798E-2</v>
      </c>
      <c r="Q6286">
        <v>0.46152312520531702</v>
      </c>
      <c r="R6286">
        <v>0.93910644740899296</v>
      </c>
      <c r="S6286" t="s">
        <v>12956</v>
      </c>
      <c r="T6286" t="s">
        <v>13338</v>
      </c>
      <c r="U6286" t="s">
        <v>13338</v>
      </c>
      <c r="V6286" t="s">
        <v>13338</v>
      </c>
      <c r="W6286" t="s">
        <v>19562</v>
      </c>
      <c r="X6286">
        <v>21</v>
      </c>
      <c r="Y6286" t="s">
        <v>26046</v>
      </c>
      <c r="Z6286" t="s">
        <v>32701</v>
      </c>
      <c r="AA6286">
        <v>0.76080996121277267</v>
      </c>
      <c r="AB6286" t="str">
        <f>HYPERLINK("Melting_Curves/meltCurve_Q9UIQ6_3_LNPEP.pdf", "Melting_Curves/meltCurve_Q9UIQ6_3_LNPEP.pdf")</f>
        <v>Melting_Curves/meltCurve_Q9UIQ6_3_LNPEP.pdf</v>
      </c>
    </row>
    <row r="6287" spans="1:28" x14ac:dyDescent="0.25">
      <c r="A6287" t="s">
        <v>6291</v>
      </c>
      <c r="B6287">
        <v>0.99193492352474899</v>
      </c>
      <c r="C6287">
        <v>1.1603273432047401</v>
      </c>
      <c r="D6287">
        <v>1.0254796645766</v>
      </c>
      <c r="E6287">
        <v>0.67534789100351</v>
      </c>
      <c r="F6287">
        <v>0.310812295185806</v>
      </c>
      <c r="G6287">
        <v>0.17316108103243</v>
      </c>
      <c r="H6287">
        <v>9.9689195310171203E-2</v>
      </c>
      <c r="I6287">
        <v>6.4212500970625294E-2</v>
      </c>
      <c r="J6287">
        <v>9.1497530132093302E-2</v>
      </c>
      <c r="K6287">
        <v>9.12360522327786E-2</v>
      </c>
      <c r="L6287">
        <v>1456.9535830508901</v>
      </c>
      <c r="M6287">
        <v>28.619492660254199</v>
      </c>
      <c r="N6287">
        <v>51.275937213946101</v>
      </c>
      <c r="O6287">
        <v>50.661131802692999</v>
      </c>
      <c r="P6287">
        <v>-0.12811302851946499</v>
      </c>
      <c r="Q6287">
        <v>9.2884015055536798E-2</v>
      </c>
      <c r="R6287">
        <v>0.98044911571738402</v>
      </c>
      <c r="S6287" t="s">
        <v>12957</v>
      </c>
      <c r="T6287" t="s">
        <v>13338</v>
      </c>
      <c r="U6287" t="s">
        <v>13338</v>
      </c>
      <c r="V6287" t="s">
        <v>13338</v>
      </c>
      <c r="W6287" t="s">
        <v>19563</v>
      </c>
      <c r="X6287">
        <v>4</v>
      </c>
      <c r="Y6287" t="s">
        <v>26047</v>
      </c>
      <c r="Z6287" t="s">
        <v>32702</v>
      </c>
      <c r="AA6287">
        <v>0.42896146177183653</v>
      </c>
      <c r="AB6287" t="str">
        <f>HYPERLINK("Melting_Curves/meltCurve_Q9UIV1_CNOT7.pdf", "Melting_Curves/meltCurve_Q9UIV1_CNOT7.pdf")</f>
        <v>Melting_Curves/meltCurve_Q9UIV1_CNOT7.pdf</v>
      </c>
    </row>
    <row r="6288" spans="1:28" x14ac:dyDescent="0.25">
      <c r="A6288" t="s">
        <v>6292</v>
      </c>
      <c r="B6288">
        <v>0.99193492352474899</v>
      </c>
      <c r="C6288">
        <v>1.3260347820255201</v>
      </c>
      <c r="D6288">
        <v>0.97065323311690199</v>
      </c>
      <c r="E6288">
        <v>0.87458954909098996</v>
      </c>
      <c r="F6288">
        <v>0.63250575125667197</v>
      </c>
      <c r="G6288">
        <v>0.40549561837328901</v>
      </c>
      <c r="H6288">
        <v>0.29552140618317002</v>
      </c>
      <c r="I6288">
        <v>0.43302158135351398</v>
      </c>
      <c r="J6288">
        <v>0.474485688830458</v>
      </c>
      <c r="K6288">
        <v>0.37994260286522602</v>
      </c>
      <c r="L6288">
        <v>1650.6661621153</v>
      </c>
      <c r="M6288">
        <v>31.6394825787423</v>
      </c>
      <c r="N6288">
        <v>54.802714818738998</v>
      </c>
      <c r="O6288">
        <v>51.963996990407203</v>
      </c>
      <c r="P6288">
        <v>-9.2766771059281106E-2</v>
      </c>
      <c r="Q6288">
        <v>0.39057068620152902</v>
      </c>
      <c r="R6288">
        <v>0.87822209909632398</v>
      </c>
      <c r="S6288" t="s">
        <v>12958</v>
      </c>
      <c r="T6288" t="s">
        <v>13338</v>
      </c>
      <c r="U6288" t="s">
        <v>13338</v>
      </c>
      <c r="V6288" t="s">
        <v>13338</v>
      </c>
      <c r="W6288" t="s">
        <v>19564</v>
      </c>
      <c r="X6288">
        <v>5</v>
      </c>
      <c r="Y6288" t="s">
        <v>26048</v>
      </c>
      <c r="Z6288" t="s">
        <v>32703</v>
      </c>
      <c r="AA6288">
        <v>0.64133085085365404</v>
      </c>
      <c r="AB6288" t="str">
        <f>HYPERLINK("Melting_Curves/meltCurve_Q9UJ14_GGT7.pdf", "Melting_Curves/meltCurve_Q9UJ14_GGT7.pdf")</f>
        <v>Melting_Curves/meltCurve_Q9UJ14_GGT7.pdf</v>
      </c>
    </row>
    <row r="6289" spans="1:28" x14ac:dyDescent="0.25">
      <c r="A6289" t="s">
        <v>6293</v>
      </c>
      <c r="B6289">
        <v>0.99193492352474899</v>
      </c>
      <c r="C6289">
        <v>0.57900664798890999</v>
      </c>
      <c r="D6289">
        <v>0.77951922538642504</v>
      </c>
      <c r="E6289">
        <v>0.364825118759249</v>
      </c>
      <c r="F6289">
        <v>0.29251518719251501</v>
      </c>
      <c r="G6289">
        <v>0.116395971727989</v>
      </c>
      <c r="H6289">
        <v>0.16998276921820499</v>
      </c>
      <c r="I6289">
        <v>0.24313618478767299</v>
      </c>
      <c r="J6289">
        <v>0.24458076950586299</v>
      </c>
      <c r="K6289">
        <v>0.442176539184095</v>
      </c>
      <c r="L6289">
        <v>700.62011245854399</v>
      </c>
      <c r="M6289">
        <v>15.4075378754718</v>
      </c>
      <c r="N6289">
        <v>47.418773185250302</v>
      </c>
      <c r="O6289">
        <v>44.727197988480697</v>
      </c>
      <c r="P6289">
        <v>-6.5944632531356601E-2</v>
      </c>
      <c r="Q6289">
        <v>0.23433570767012299</v>
      </c>
      <c r="R6289">
        <v>0.77973319800746099</v>
      </c>
      <c r="S6289" t="s">
        <v>12959</v>
      </c>
      <c r="T6289" t="s">
        <v>13338</v>
      </c>
      <c r="U6289" t="s">
        <v>13338</v>
      </c>
      <c r="V6289" t="s">
        <v>13338</v>
      </c>
      <c r="W6289" t="s">
        <v>19565</v>
      </c>
      <c r="X6289">
        <v>2</v>
      </c>
      <c r="Y6289" t="s">
        <v>26049</v>
      </c>
      <c r="Z6289" t="s">
        <v>32704</v>
      </c>
      <c r="AA6289">
        <v>0.39615049796377111</v>
      </c>
      <c r="AB6289" t="str">
        <f>HYPERLINK("Melting_Curves/meltCurve_Q9UJ68_2_MSRA.pdf", "Melting_Curves/meltCurve_Q9UJ68_2_MSRA.pdf")</f>
        <v>Melting_Curves/meltCurve_Q9UJ68_2_MSRA.pdf</v>
      </c>
    </row>
    <row r="6290" spans="1:28" x14ac:dyDescent="0.25">
      <c r="A6290" t="s">
        <v>6294</v>
      </c>
      <c r="B6290">
        <v>0.99193492352474899</v>
      </c>
      <c r="C6290">
        <v>1.03308141695891</v>
      </c>
      <c r="D6290">
        <v>1.2000227906717</v>
      </c>
      <c r="E6290">
        <v>0.97896641471462797</v>
      </c>
      <c r="F6290">
        <v>0.96164427762800497</v>
      </c>
      <c r="G6290">
        <v>0.45659250891522701</v>
      </c>
      <c r="H6290">
        <v>0.19879127871170099</v>
      </c>
      <c r="I6290">
        <v>0.14957769024022699</v>
      </c>
      <c r="J6290">
        <v>0.19147522612794199</v>
      </c>
      <c r="K6290">
        <v>0.198486184429397</v>
      </c>
      <c r="L6290">
        <v>3073.6441148641102</v>
      </c>
      <c r="M6290">
        <v>54.791664794939997</v>
      </c>
      <c r="N6290">
        <v>56.561980916486299</v>
      </c>
      <c r="O6290">
        <v>56.022329475281801</v>
      </c>
      <c r="P6290">
        <v>-0.20016813624665999</v>
      </c>
      <c r="Q6290">
        <v>0.181343871333459</v>
      </c>
      <c r="R6290">
        <v>0.97427904342781002</v>
      </c>
      <c r="S6290" t="s">
        <v>12960</v>
      </c>
      <c r="T6290" t="s">
        <v>13338</v>
      </c>
      <c r="U6290" t="s">
        <v>13338</v>
      </c>
      <c r="V6290" t="s">
        <v>13338</v>
      </c>
      <c r="W6290" t="s">
        <v>19566</v>
      </c>
      <c r="X6290">
        <v>10</v>
      </c>
      <c r="Y6290" t="s">
        <v>26050</v>
      </c>
      <c r="Z6290" t="s">
        <v>32705</v>
      </c>
      <c r="AA6290">
        <v>0.62228998644598321</v>
      </c>
      <c r="AB6290" t="str">
        <f>HYPERLINK("Melting_Curves/meltCurve_Q9UJ70_NAGK.pdf", "Melting_Curves/meltCurve_Q9UJ70_NAGK.pdf")</f>
        <v>Melting_Curves/meltCurve_Q9UJ70_NAGK.pdf</v>
      </c>
    </row>
    <row r="6291" spans="1:28" x14ac:dyDescent="0.25">
      <c r="A6291" t="s">
        <v>6295</v>
      </c>
      <c r="B6291">
        <v>0.99193492352474899</v>
      </c>
      <c r="C6291">
        <v>0.85144143141152395</v>
      </c>
      <c r="D6291">
        <v>0.85887320736779005</v>
      </c>
      <c r="E6291">
        <v>0.65397707032713503</v>
      </c>
      <c r="F6291">
        <v>0.56388972649315305</v>
      </c>
      <c r="G6291">
        <v>0.40716377758579397</v>
      </c>
      <c r="H6291">
        <v>0.12708634040340999</v>
      </c>
      <c r="I6291">
        <v>8.9778999789134104E-2</v>
      </c>
      <c r="J6291">
        <v>8.5965210564018693E-2</v>
      </c>
      <c r="K6291">
        <v>8.6474804001242606E-2</v>
      </c>
      <c r="L6291">
        <v>582.69828524829802</v>
      </c>
      <c r="M6291">
        <v>10.932760614043</v>
      </c>
      <c r="N6291">
        <v>53.298365567065602</v>
      </c>
      <c r="O6291">
        <v>51.608195507115902</v>
      </c>
      <c r="P6291">
        <v>-5.2978678301694997E-2</v>
      </c>
      <c r="Q6291">
        <v>0</v>
      </c>
      <c r="R6291">
        <v>0.97777096312178802</v>
      </c>
      <c r="S6291" t="s">
        <v>12961</v>
      </c>
      <c r="T6291" t="s">
        <v>13338</v>
      </c>
      <c r="U6291" t="s">
        <v>13338</v>
      </c>
      <c r="V6291" t="s">
        <v>13338</v>
      </c>
      <c r="W6291" t="s">
        <v>19567</v>
      </c>
      <c r="X6291">
        <v>17</v>
      </c>
      <c r="Y6291" t="s">
        <v>26051</v>
      </c>
      <c r="Z6291" t="s">
        <v>32706</v>
      </c>
      <c r="AA6291">
        <v>0.47379885766444702</v>
      </c>
      <c r="AB6291" t="str">
        <f>HYPERLINK("Melting_Curves/meltCurve_Q9UJA5_TRMT6.pdf", "Melting_Curves/meltCurve_Q9UJA5_TRMT6.pdf")</f>
        <v>Melting_Curves/meltCurve_Q9UJA5_TRMT6.pdf</v>
      </c>
    </row>
    <row r="6292" spans="1:28" x14ac:dyDescent="0.25">
      <c r="A6292" t="s">
        <v>6296</v>
      </c>
      <c r="B6292">
        <v>0.99193492352474899</v>
      </c>
      <c r="C6292">
        <v>0.50313993198095697</v>
      </c>
      <c r="D6292">
        <v>0.80588582744000403</v>
      </c>
      <c r="E6292">
        <v>0.40701122838242298</v>
      </c>
      <c r="F6292">
        <v>0.18728935640706501</v>
      </c>
      <c r="G6292">
        <v>8.0404890499833306E-2</v>
      </c>
      <c r="H6292">
        <v>5.1401313952425198E-2</v>
      </c>
      <c r="I6292">
        <v>0</v>
      </c>
      <c r="J6292">
        <v>0</v>
      </c>
      <c r="K6292">
        <v>0</v>
      </c>
      <c r="L6292">
        <v>572.92907133859001</v>
      </c>
      <c r="M6292">
        <v>12.0386263410245</v>
      </c>
      <c r="N6292">
        <v>47.590901995926799</v>
      </c>
      <c r="O6292">
        <v>46.3347803602868</v>
      </c>
      <c r="P6292">
        <v>-6.4970038269897099E-2</v>
      </c>
      <c r="Q6292">
        <v>0</v>
      </c>
      <c r="R6292">
        <v>0.88386106289703603</v>
      </c>
      <c r="S6292" t="s">
        <v>12962</v>
      </c>
      <c r="T6292" t="s">
        <v>13338</v>
      </c>
      <c r="U6292" t="s">
        <v>13338</v>
      </c>
      <c r="V6292" t="s">
        <v>13338</v>
      </c>
      <c r="W6292" t="s">
        <v>19568</v>
      </c>
      <c r="X6292">
        <v>2</v>
      </c>
      <c r="Y6292" t="s">
        <v>26052</v>
      </c>
      <c r="Z6292" t="s">
        <v>32707</v>
      </c>
      <c r="AA6292">
        <v>0.29302996858623781</v>
      </c>
      <c r="AB6292" t="str">
        <f>HYPERLINK("Melting_Curves/meltCurve_Q9UJG1_2_MOSPD1.pdf", "Melting_Curves/meltCurve_Q9UJG1_2_MOSPD1.pdf")</f>
        <v>Melting_Curves/meltCurve_Q9UJG1_2_MOSPD1.pdf</v>
      </c>
    </row>
    <row r="6293" spans="1:28" x14ac:dyDescent="0.25">
      <c r="A6293" t="s">
        <v>6297</v>
      </c>
      <c r="B6293">
        <v>0.99193492352474899</v>
      </c>
      <c r="C6293">
        <v>0.77211513737668003</v>
      </c>
      <c r="D6293">
        <v>1.16366320929546</v>
      </c>
      <c r="E6293">
        <v>1.03658737515405</v>
      </c>
      <c r="F6293">
        <v>1.0478120996626601</v>
      </c>
      <c r="G6293">
        <v>0.78337446857309001</v>
      </c>
      <c r="H6293">
        <v>0.69038809875434004</v>
      </c>
      <c r="I6293">
        <v>0.60827340920072703</v>
      </c>
      <c r="J6293">
        <v>0.52004402118999704</v>
      </c>
      <c r="K6293">
        <v>0.32473807744389699</v>
      </c>
      <c r="L6293">
        <v>833.50688313647197</v>
      </c>
      <c r="M6293">
        <v>12.9684385086574</v>
      </c>
      <c r="N6293">
        <v>66.072967377209807</v>
      </c>
      <c r="O6293">
        <v>62.801267928382799</v>
      </c>
      <c r="P6293">
        <v>-4.3946592922125598E-2</v>
      </c>
      <c r="Q6293">
        <v>0.148884543178498</v>
      </c>
      <c r="R6293">
        <v>0.83211759125235296</v>
      </c>
      <c r="S6293" t="s">
        <v>12963</v>
      </c>
      <c r="T6293" t="s">
        <v>13338</v>
      </c>
      <c r="U6293" t="s">
        <v>13338</v>
      </c>
      <c r="V6293" t="s">
        <v>13338</v>
      </c>
      <c r="W6293" t="s">
        <v>19569</v>
      </c>
      <c r="X6293">
        <v>3</v>
      </c>
      <c r="Y6293" t="s">
        <v>26053</v>
      </c>
      <c r="Z6293" t="s">
        <v>32708</v>
      </c>
      <c r="AA6293">
        <v>0.8145017325922782</v>
      </c>
      <c r="AB6293" t="str">
        <f>HYPERLINK("Melting_Curves/meltCurve_Q9UJK0_TSR3.pdf", "Melting_Curves/meltCurve_Q9UJK0_TSR3.pdf")</f>
        <v>Melting_Curves/meltCurve_Q9UJK0_TSR3.pdf</v>
      </c>
    </row>
    <row r="6294" spans="1:28" x14ac:dyDescent="0.25">
      <c r="A6294" t="s">
        <v>6298</v>
      </c>
      <c r="B6294">
        <v>0.99193492352474899</v>
      </c>
      <c r="C6294">
        <v>1.16469959951143</v>
      </c>
      <c r="D6294">
        <v>1.22793904694277</v>
      </c>
      <c r="E6294">
        <v>1.0314415529742</v>
      </c>
      <c r="F6294">
        <v>1.1159698035441801</v>
      </c>
      <c r="G6294">
        <v>0.82996854618542004</v>
      </c>
      <c r="H6294">
        <v>0.56611601418291801</v>
      </c>
      <c r="I6294">
        <v>0.37721603004732102</v>
      </c>
      <c r="J6294">
        <v>0.28956135328971</v>
      </c>
      <c r="K6294">
        <v>0.15556148078641099</v>
      </c>
      <c r="L6294">
        <v>1471.9698642139499</v>
      </c>
      <c r="M6294">
        <v>24.2142787272089</v>
      </c>
      <c r="N6294">
        <v>61.836631160251699</v>
      </c>
      <c r="O6294">
        <v>60.379284548909901</v>
      </c>
      <c r="P6294">
        <v>-8.3395764326894398E-2</v>
      </c>
      <c r="Q6294">
        <v>0.168209923694978</v>
      </c>
      <c r="R6294">
        <v>0.92417470728931095</v>
      </c>
      <c r="S6294" t="s">
        <v>12964</v>
      </c>
      <c r="T6294" t="s">
        <v>13338</v>
      </c>
      <c r="U6294" t="s">
        <v>13338</v>
      </c>
      <c r="V6294" t="s">
        <v>13338</v>
      </c>
      <c r="W6294" t="s">
        <v>19570</v>
      </c>
      <c r="X6294">
        <v>10</v>
      </c>
      <c r="Y6294" t="s">
        <v>26054</v>
      </c>
      <c r="Z6294" t="s">
        <v>32709</v>
      </c>
      <c r="AA6294">
        <v>0.75015333155264796</v>
      </c>
      <c r="AB6294" t="str">
        <f>HYPERLINK("Melting_Curves/meltCurve_Q9UJS0_SLC25A13.pdf", "Melting_Curves/meltCurve_Q9UJS0_SLC25A13.pdf")</f>
        <v>Melting_Curves/meltCurve_Q9UJS0_SLC25A13.pdf</v>
      </c>
    </row>
    <row r="6295" spans="1:28" x14ac:dyDescent="0.25">
      <c r="A6295" t="s">
        <v>6299</v>
      </c>
      <c r="B6295">
        <v>0.99193492352474899</v>
      </c>
      <c r="C6295">
        <v>1.1317629350905301</v>
      </c>
      <c r="D6295">
        <v>0.96471191257714595</v>
      </c>
      <c r="E6295">
        <v>1.5650238385216899</v>
      </c>
      <c r="F6295">
        <v>1.0737625570263101</v>
      </c>
      <c r="G6295">
        <v>0.86154715095429202</v>
      </c>
      <c r="H6295">
        <v>0.505241831675872</v>
      </c>
      <c r="I6295">
        <v>0.32832875763432101</v>
      </c>
      <c r="J6295">
        <v>0.27664904304558002</v>
      </c>
      <c r="K6295">
        <v>0</v>
      </c>
      <c r="L6295">
        <v>1486.2495750210101</v>
      </c>
      <c r="M6295">
        <v>24.3068823554188</v>
      </c>
      <c r="N6295">
        <v>61.489610881640203</v>
      </c>
      <c r="O6295">
        <v>60.735874155819197</v>
      </c>
      <c r="P6295">
        <v>-9.3686009425307706E-2</v>
      </c>
      <c r="Q6295">
        <v>6.3637218466516807E-2</v>
      </c>
      <c r="R6295">
        <v>0.81480642888714305</v>
      </c>
      <c r="S6295" t="s">
        <v>12965</v>
      </c>
      <c r="T6295" t="s">
        <v>13338</v>
      </c>
      <c r="U6295" t="s">
        <v>13338</v>
      </c>
      <c r="V6295" t="s">
        <v>13338</v>
      </c>
      <c r="W6295" t="s">
        <v>19571</v>
      </c>
      <c r="X6295">
        <v>4</v>
      </c>
      <c r="Y6295" t="s">
        <v>26055</v>
      </c>
      <c r="Z6295" t="s">
        <v>32710</v>
      </c>
      <c r="AA6295">
        <v>0.72934448647184913</v>
      </c>
      <c r="AB6295" t="str">
        <f>HYPERLINK("Melting_Curves/meltCurve_Q9UJT0_TUBE1.pdf", "Melting_Curves/meltCurve_Q9UJT0_TUBE1.pdf")</f>
        <v>Melting_Curves/meltCurve_Q9UJT0_TUBE1.pdf</v>
      </c>
    </row>
    <row r="6296" spans="1:28" x14ac:dyDescent="0.25">
      <c r="A6296" t="s">
        <v>6300</v>
      </c>
      <c r="B6296">
        <v>0.99193492352474899</v>
      </c>
      <c r="C6296">
        <v>0.60509421656915097</v>
      </c>
      <c r="D6296">
        <v>0.45879867749863601</v>
      </c>
      <c r="E6296">
        <v>0.278655848866661</v>
      </c>
      <c r="F6296">
        <v>0.205187324334938</v>
      </c>
      <c r="G6296">
        <v>0.164853295752246</v>
      </c>
      <c r="H6296">
        <v>0.19901570623485701</v>
      </c>
      <c r="I6296">
        <v>0.286309930002907</v>
      </c>
      <c r="J6296">
        <v>0.345180628336899</v>
      </c>
      <c r="K6296">
        <v>0.50280641071500498</v>
      </c>
      <c r="L6296">
        <v>1236.40539082996</v>
      </c>
      <c r="M6296">
        <v>28.728575892083999</v>
      </c>
      <c r="N6296">
        <v>44.3546705059046</v>
      </c>
      <c r="O6296">
        <v>42.830570208984199</v>
      </c>
      <c r="P6296">
        <v>-0.119568546524891</v>
      </c>
      <c r="Q6296">
        <v>0.286961043076087</v>
      </c>
      <c r="R6296">
        <v>0.83648358843396398</v>
      </c>
      <c r="S6296" t="s">
        <v>12966</v>
      </c>
      <c r="T6296" t="s">
        <v>13338</v>
      </c>
      <c r="U6296" t="s">
        <v>13338</v>
      </c>
      <c r="V6296" t="s">
        <v>13338</v>
      </c>
      <c r="W6296" t="s">
        <v>19572</v>
      </c>
      <c r="X6296">
        <v>5</v>
      </c>
      <c r="Y6296" t="s">
        <v>26056</v>
      </c>
      <c r="Z6296" t="s">
        <v>32711</v>
      </c>
      <c r="AA6296">
        <v>0.36639214309033591</v>
      </c>
      <c r="AB6296" t="str">
        <f>HYPERLINK("Melting_Curves/meltCurve_Q9UJU2_LEF1.pdf", "Melting_Curves/meltCurve_Q9UJU2_LEF1.pdf")</f>
        <v>Melting_Curves/meltCurve_Q9UJU2_LEF1.pdf</v>
      </c>
    </row>
    <row r="6297" spans="1:28" x14ac:dyDescent="0.25">
      <c r="A6297" t="s">
        <v>6301</v>
      </c>
      <c r="B6297">
        <v>0.99193492352474899</v>
      </c>
      <c r="C6297">
        <v>0.89995925889712902</v>
      </c>
      <c r="D6297">
        <v>0.82280582580289297</v>
      </c>
      <c r="E6297">
        <v>0.423515842766929</v>
      </c>
      <c r="F6297">
        <v>0.20763803587653401</v>
      </c>
      <c r="G6297">
        <v>0.125494515717231</v>
      </c>
      <c r="H6297">
        <v>9.57790217826512E-2</v>
      </c>
      <c r="I6297">
        <v>0.12787337645177899</v>
      </c>
      <c r="J6297">
        <v>0.135841767772724</v>
      </c>
      <c r="K6297">
        <v>0.196509719429275</v>
      </c>
      <c r="L6297">
        <v>1200.14949705342</v>
      </c>
      <c r="M6297">
        <v>24.870344246236801</v>
      </c>
      <c r="N6297">
        <v>48.852016468094497</v>
      </c>
      <c r="O6297">
        <v>47.947494140035403</v>
      </c>
      <c r="P6297">
        <v>-0.112713338787216</v>
      </c>
      <c r="Q6297">
        <v>0.13081238212545701</v>
      </c>
      <c r="R6297">
        <v>0.990633599619269</v>
      </c>
      <c r="S6297" t="s">
        <v>12967</v>
      </c>
      <c r="T6297" t="s">
        <v>13338</v>
      </c>
      <c r="U6297" t="s">
        <v>13338</v>
      </c>
      <c r="V6297" t="s">
        <v>13338</v>
      </c>
      <c r="W6297" t="s">
        <v>19573</v>
      </c>
      <c r="X6297">
        <v>17</v>
      </c>
      <c r="Y6297" t="s">
        <v>26057</v>
      </c>
      <c r="Z6297" t="s">
        <v>32712</v>
      </c>
      <c r="AA6297">
        <v>0.37778531653535741</v>
      </c>
      <c r="AB6297" t="str">
        <f>HYPERLINK("Melting_Curves/meltCurve_Q9UJU6_DBNL.pdf", "Melting_Curves/meltCurve_Q9UJU6_DBNL.pdf")</f>
        <v>Melting_Curves/meltCurve_Q9UJU6_DBNL.pdf</v>
      </c>
    </row>
    <row r="6298" spans="1:28" x14ac:dyDescent="0.25">
      <c r="A6298" t="s">
        <v>6302</v>
      </c>
      <c r="B6298">
        <v>0.99193492352474899</v>
      </c>
      <c r="C6298">
        <v>0.91821534535298399</v>
      </c>
      <c r="D6298">
        <v>0.65582942823747004</v>
      </c>
      <c r="E6298">
        <v>0.33652441610517297</v>
      </c>
      <c r="F6298">
        <v>3.7927267601001201E-2</v>
      </c>
      <c r="G6298">
        <v>4.0585257925081102E-2</v>
      </c>
      <c r="H6298">
        <v>5.1336795853346398E-2</v>
      </c>
      <c r="I6298">
        <v>0.101308831349098</v>
      </c>
      <c r="J6298">
        <v>0.12296507836272499</v>
      </c>
      <c r="K6298">
        <v>0.28290001544959498</v>
      </c>
      <c r="L6298">
        <v>1245.91085524659</v>
      </c>
      <c r="M6298">
        <v>26.551795741409901</v>
      </c>
      <c r="N6298">
        <v>47.347209428244398</v>
      </c>
      <c r="O6298">
        <v>46.660044185487997</v>
      </c>
      <c r="P6298">
        <v>-0.12722903734456001</v>
      </c>
      <c r="Q6298">
        <v>0.105680125173091</v>
      </c>
      <c r="R6298">
        <v>0.95512000906468797</v>
      </c>
      <c r="S6298" t="s">
        <v>12968</v>
      </c>
      <c r="T6298" t="s">
        <v>13338</v>
      </c>
      <c r="U6298" t="s">
        <v>13338</v>
      </c>
      <c r="V6298" t="s">
        <v>13338</v>
      </c>
      <c r="W6298" t="s">
        <v>19574</v>
      </c>
      <c r="X6298">
        <v>17</v>
      </c>
      <c r="Y6298" t="s">
        <v>26057</v>
      </c>
      <c r="Z6298" t="s">
        <v>32713</v>
      </c>
      <c r="AA6298">
        <v>0.31908535204901112</v>
      </c>
      <c r="AB6298" t="str">
        <f>HYPERLINK("Melting_Curves/meltCurve_Q9UJU6_2_DBNL.pdf", "Melting_Curves/meltCurve_Q9UJU6_2_DBNL.pdf")</f>
        <v>Melting_Curves/meltCurve_Q9UJU6_2_DBNL.pdf</v>
      </c>
    </row>
    <row r="6299" spans="1:28" x14ac:dyDescent="0.25">
      <c r="A6299" t="s">
        <v>6303</v>
      </c>
      <c r="B6299">
        <v>0.99193492352474899</v>
      </c>
      <c r="C6299">
        <v>0.81089452020119901</v>
      </c>
      <c r="D6299">
        <v>0.94340857070166095</v>
      </c>
      <c r="E6299">
        <v>0.66085306621692297</v>
      </c>
      <c r="F6299">
        <v>0.69610063361965502</v>
      </c>
      <c r="G6299">
        <v>0.50572732661413</v>
      </c>
      <c r="H6299">
        <v>0.28418533124161299</v>
      </c>
      <c r="I6299">
        <v>0.216651695299724</v>
      </c>
      <c r="J6299">
        <v>0.17741233502207501</v>
      </c>
      <c r="K6299">
        <v>0.116238343757796</v>
      </c>
      <c r="L6299">
        <v>505.34556046063602</v>
      </c>
      <c r="M6299">
        <v>9.0547160399640401</v>
      </c>
      <c r="N6299">
        <v>55.810205224561898</v>
      </c>
      <c r="O6299">
        <v>53.2898987033713</v>
      </c>
      <c r="P6299">
        <v>-4.2508724975942401E-2</v>
      </c>
      <c r="Q6299">
        <v>0</v>
      </c>
      <c r="R6299">
        <v>0.95561277013580703</v>
      </c>
      <c r="S6299" t="s">
        <v>12969</v>
      </c>
      <c r="T6299" t="s">
        <v>13338</v>
      </c>
      <c r="U6299" t="s">
        <v>13338</v>
      </c>
      <c r="V6299" t="s">
        <v>13338</v>
      </c>
      <c r="W6299" t="s">
        <v>19575</v>
      </c>
      <c r="X6299">
        <v>13</v>
      </c>
      <c r="Y6299" t="s">
        <v>26058</v>
      </c>
      <c r="Z6299" t="s">
        <v>32714</v>
      </c>
      <c r="AA6299">
        <v>0.54898126669670655</v>
      </c>
      <c r="AB6299" t="str">
        <f>HYPERLINK("Melting_Curves/meltCurve_Q9UJW0_DCTN4.pdf", "Melting_Curves/meltCurve_Q9UJW0_DCTN4.pdf")</f>
        <v>Melting_Curves/meltCurve_Q9UJW0_DCTN4.pdf</v>
      </c>
    </row>
    <row r="6300" spans="1:28" x14ac:dyDescent="0.25">
      <c r="A6300" t="s">
        <v>6304</v>
      </c>
      <c r="B6300">
        <v>0.99193492352474899</v>
      </c>
      <c r="C6300">
        <v>0.89374780810523902</v>
      </c>
      <c r="D6300">
        <v>0.89726637964978095</v>
      </c>
      <c r="E6300">
        <v>0.63798166450239202</v>
      </c>
      <c r="F6300">
        <v>0.40278523460384402</v>
      </c>
      <c r="G6300">
        <v>0.18082756598944399</v>
      </c>
      <c r="H6300">
        <v>0.13296094121837501</v>
      </c>
      <c r="I6300">
        <v>0.15215652489200701</v>
      </c>
      <c r="J6300">
        <v>0.220510214144293</v>
      </c>
      <c r="K6300">
        <v>0.27825963489338801</v>
      </c>
      <c r="L6300">
        <v>1074.4093960262401</v>
      </c>
      <c r="M6300">
        <v>21.446304237131699</v>
      </c>
      <c r="N6300">
        <v>51.175673489393603</v>
      </c>
      <c r="O6300">
        <v>49.668174346626003</v>
      </c>
      <c r="P6300">
        <v>-8.8330573834127596E-2</v>
      </c>
      <c r="Q6300">
        <v>0.18174992543260199</v>
      </c>
      <c r="R6300">
        <v>0.97317478485509801</v>
      </c>
      <c r="S6300" t="s">
        <v>12970</v>
      </c>
      <c r="T6300" t="s">
        <v>13338</v>
      </c>
      <c r="U6300" t="s">
        <v>13338</v>
      </c>
      <c r="V6300" t="s">
        <v>13338</v>
      </c>
      <c r="W6300" t="s">
        <v>19576</v>
      </c>
      <c r="X6300">
        <v>6</v>
      </c>
      <c r="Y6300" t="s">
        <v>26059</v>
      </c>
      <c r="Z6300" t="s">
        <v>32715</v>
      </c>
      <c r="AA6300">
        <v>0.46709616878771149</v>
      </c>
      <c r="AB6300" t="str">
        <f>HYPERLINK("Melting_Curves/meltCurve_Q9UJX2_CDC23.pdf", "Melting_Curves/meltCurve_Q9UJX2_CDC23.pdf")</f>
        <v>Melting_Curves/meltCurve_Q9UJX2_CDC23.pdf</v>
      </c>
    </row>
    <row r="6301" spans="1:28" x14ac:dyDescent="0.25">
      <c r="A6301" t="s">
        <v>6305</v>
      </c>
      <c r="B6301">
        <v>0.99193492352474899</v>
      </c>
      <c r="C6301">
        <v>0.86648594679159596</v>
      </c>
      <c r="D6301">
        <v>0.80655410326118404</v>
      </c>
      <c r="E6301">
        <v>0.57159781129734999</v>
      </c>
      <c r="F6301">
        <v>0.35758978186395401</v>
      </c>
      <c r="G6301">
        <v>9.7927054408685099E-2</v>
      </c>
      <c r="H6301">
        <v>4.7322361875307903E-2</v>
      </c>
      <c r="I6301">
        <v>5.44472464386749E-2</v>
      </c>
      <c r="J6301">
        <v>6.4873279914139895E-2</v>
      </c>
      <c r="K6301">
        <v>6.7281321732418894E-2</v>
      </c>
      <c r="L6301">
        <v>762.24696796204205</v>
      </c>
      <c r="M6301">
        <v>15.179946076327701</v>
      </c>
      <c r="N6301">
        <v>50.3473950142292</v>
      </c>
      <c r="O6301">
        <v>49.366812438286701</v>
      </c>
      <c r="P6301">
        <v>-7.5366111917061093E-2</v>
      </c>
      <c r="Q6301">
        <v>1.9699518679101101E-2</v>
      </c>
      <c r="R6301">
        <v>0.98933414216200699</v>
      </c>
      <c r="S6301" t="s">
        <v>12971</v>
      </c>
      <c r="T6301" t="s">
        <v>13338</v>
      </c>
      <c r="U6301" t="s">
        <v>13338</v>
      </c>
      <c r="V6301" t="s">
        <v>13338</v>
      </c>
      <c r="W6301" t="s">
        <v>19577</v>
      </c>
      <c r="X6301">
        <v>13</v>
      </c>
      <c r="Y6301" t="s">
        <v>26060</v>
      </c>
      <c r="Z6301" t="s">
        <v>32716</v>
      </c>
      <c r="AA6301">
        <v>0.37619862232633278</v>
      </c>
      <c r="AB6301" t="str">
        <f>HYPERLINK("Melting_Curves/meltCurve_Q9UJX3_ANAPC7.pdf", "Melting_Curves/meltCurve_Q9UJX3_ANAPC7.pdf")</f>
        <v>Melting_Curves/meltCurve_Q9UJX3_ANAPC7.pdf</v>
      </c>
    </row>
    <row r="6302" spans="1:28" x14ac:dyDescent="0.25">
      <c r="A6302" t="s">
        <v>6306</v>
      </c>
      <c r="B6302">
        <v>0.99193492352474899</v>
      </c>
      <c r="C6302">
        <v>0.80566935770075498</v>
      </c>
      <c r="D6302">
        <v>0.82864263013538197</v>
      </c>
      <c r="E6302">
        <v>0.58125239832884801</v>
      </c>
      <c r="F6302">
        <v>0.21564640827554901</v>
      </c>
      <c r="G6302">
        <v>8.4816031791916602E-2</v>
      </c>
      <c r="H6302">
        <v>4.2328203778018297E-2</v>
      </c>
      <c r="I6302">
        <v>4.0369884706659101E-2</v>
      </c>
      <c r="J6302">
        <v>3.2402646745679699E-2</v>
      </c>
      <c r="K6302">
        <v>2.56762721616648E-2</v>
      </c>
      <c r="L6302">
        <v>839.93848138347801</v>
      </c>
      <c r="M6302">
        <v>16.853930811206499</v>
      </c>
      <c r="N6302">
        <v>49.860421552914602</v>
      </c>
      <c r="O6302">
        <v>49.150629234706201</v>
      </c>
      <c r="P6302">
        <v>-8.5384036657266904E-2</v>
      </c>
      <c r="Q6302">
        <v>4.0521474130077104E-3</v>
      </c>
      <c r="R6302">
        <v>0.98164996756240896</v>
      </c>
      <c r="S6302" t="s">
        <v>12972</v>
      </c>
      <c r="T6302" t="s">
        <v>13338</v>
      </c>
      <c r="U6302" t="s">
        <v>13338</v>
      </c>
      <c r="V6302" t="s">
        <v>13338</v>
      </c>
      <c r="W6302" t="s">
        <v>19578</v>
      </c>
      <c r="X6302">
        <v>5</v>
      </c>
      <c r="Y6302" t="s">
        <v>26061</v>
      </c>
      <c r="Z6302" t="s">
        <v>32717</v>
      </c>
      <c r="AA6302">
        <v>0.34988397063167459</v>
      </c>
      <c r="AB6302" t="str">
        <f>HYPERLINK("Melting_Curves/meltCurve_Q9UJX5_ANAPC4.pdf", "Melting_Curves/meltCurve_Q9UJX5_ANAPC4.pdf")</f>
        <v>Melting_Curves/meltCurve_Q9UJX5_ANAPC4.pdf</v>
      </c>
    </row>
    <row r="6303" spans="1:28" x14ac:dyDescent="0.25">
      <c r="A6303" t="s">
        <v>6307</v>
      </c>
      <c r="B6303">
        <v>0.99193492352474899</v>
      </c>
      <c r="C6303">
        <v>0.877830789719522</v>
      </c>
      <c r="D6303">
        <v>0.83710084553706499</v>
      </c>
      <c r="E6303">
        <v>0.49359790427745898</v>
      </c>
      <c r="F6303">
        <v>0.23874425323043699</v>
      </c>
      <c r="G6303">
        <v>0.132976759902454</v>
      </c>
      <c r="H6303">
        <v>0.10878801749733701</v>
      </c>
      <c r="I6303">
        <v>0.124825148700533</v>
      </c>
      <c r="J6303">
        <v>0.16750364128707401</v>
      </c>
      <c r="K6303">
        <v>0.12900841888666201</v>
      </c>
      <c r="L6303">
        <v>1047.7817839927</v>
      </c>
      <c r="M6303">
        <v>21.470649344162499</v>
      </c>
      <c r="N6303">
        <v>49.433734151543597</v>
      </c>
      <c r="O6303">
        <v>48.383240415758202</v>
      </c>
      <c r="P6303">
        <v>-9.7607796678985795E-2</v>
      </c>
      <c r="Q6303">
        <v>0.12020080022388301</v>
      </c>
      <c r="R6303">
        <v>0.99110292645776898</v>
      </c>
      <c r="S6303" t="s">
        <v>12973</v>
      </c>
      <c r="T6303" t="s">
        <v>13338</v>
      </c>
      <c r="U6303" t="s">
        <v>13338</v>
      </c>
      <c r="V6303" t="s">
        <v>13338</v>
      </c>
      <c r="W6303" t="s">
        <v>19579</v>
      </c>
      <c r="X6303">
        <v>8</v>
      </c>
      <c r="Y6303" t="s">
        <v>26062</v>
      </c>
      <c r="Z6303" t="s">
        <v>32718</v>
      </c>
      <c r="AA6303">
        <v>0.38896592780178352</v>
      </c>
      <c r="AB6303" t="str">
        <f>HYPERLINK("Melting_Curves/meltCurve_Q9UJX6_2_ANAPC2.pdf", "Melting_Curves/meltCurve_Q9UJX6_2_ANAPC2.pdf")</f>
        <v>Melting_Curves/meltCurve_Q9UJX6_2_ANAPC2.pdf</v>
      </c>
    </row>
    <row r="6304" spans="1:28" x14ac:dyDescent="0.25">
      <c r="A6304" t="s">
        <v>6308</v>
      </c>
      <c r="B6304">
        <v>0.99193492352474899</v>
      </c>
      <c r="C6304">
        <v>1.0791356419457701</v>
      </c>
      <c r="D6304">
        <v>0.65102858255144802</v>
      </c>
      <c r="E6304">
        <v>0.521790646192695</v>
      </c>
      <c r="F6304">
        <v>0.29195565211195601</v>
      </c>
      <c r="G6304">
        <v>0.21677398113425</v>
      </c>
      <c r="H6304">
        <v>0.110568311042904</v>
      </c>
      <c r="I6304">
        <v>0.120278761887661</v>
      </c>
      <c r="J6304">
        <v>0.14805281672845499</v>
      </c>
      <c r="K6304">
        <v>0.138057053484331</v>
      </c>
      <c r="L6304">
        <v>869.51116943499198</v>
      </c>
      <c r="M6304">
        <v>17.888505278577799</v>
      </c>
      <c r="N6304">
        <v>49.421673312618204</v>
      </c>
      <c r="O6304">
        <v>48.012025479662803</v>
      </c>
      <c r="P6304">
        <v>-8.1259656150748705E-2</v>
      </c>
      <c r="Q6304">
        <v>0.12765357230232499</v>
      </c>
      <c r="R6304">
        <v>0.96600051559982303</v>
      </c>
      <c r="S6304" t="s">
        <v>12974</v>
      </c>
      <c r="T6304" t="s">
        <v>13338</v>
      </c>
      <c r="U6304" t="s">
        <v>13338</v>
      </c>
      <c r="V6304" t="s">
        <v>13338</v>
      </c>
      <c r="W6304" t="s">
        <v>19580</v>
      </c>
      <c r="X6304">
        <v>4</v>
      </c>
      <c r="Y6304" t="s">
        <v>26063</v>
      </c>
      <c r="Z6304" t="s">
        <v>32719</v>
      </c>
      <c r="AA6304">
        <v>0.3933633557561555</v>
      </c>
      <c r="AB6304" t="str">
        <f>HYPERLINK("Melting_Curves/meltCurve_Q9UJY4_GGA2.pdf", "Melting_Curves/meltCurve_Q9UJY4_GGA2.pdf")</f>
        <v>Melting_Curves/meltCurve_Q9UJY4_GGA2.pdf</v>
      </c>
    </row>
    <row r="6305" spans="1:28" x14ac:dyDescent="0.25">
      <c r="A6305" t="s">
        <v>6309</v>
      </c>
      <c r="B6305">
        <v>0.99193492352474899</v>
      </c>
      <c r="C6305">
        <v>1.00865452541844</v>
      </c>
      <c r="D6305">
        <v>0.767277395857065</v>
      </c>
      <c r="E6305">
        <v>0.53841194325756503</v>
      </c>
      <c r="F6305">
        <v>0.18720202221684001</v>
      </c>
      <c r="G6305">
        <v>0.12877404339481999</v>
      </c>
      <c r="H6305">
        <v>8.1386890766491804E-2</v>
      </c>
      <c r="I6305">
        <v>9.2435548483924504E-2</v>
      </c>
      <c r="J6305">
        <v>0.100830580478234</v>
      </c>
      <c r="K6305">
        <v>0.110253786680672</v>
      </c>
      <c r="L6305">
        <v>1066.9245992961</v>
      </c>
      <c r="M6305">
        <v>21.755650320738901</v>
      </c>
      <c r="N6305">
        <v>49.472676309333202</v>
      </c>
      <c r="O6305">
        <v>48.632554273847397</v>
      </c>
      <c r="P6305">
        <v>-0.102176341393306</v>
      </c>
      <c r="Q6305">
        <v>8.6401847950499405E-2</v>
      </c>
      <c r="R6305">
        <v>0.99210433389433095</v>
      </c>
      <c r="S6305" t="s">
        <v>12975</v>
      </c>
      <c r="T6305" t="s">
        <v>13338</v>
      </c>
      <c r="U6305" t="s">
        <v>13338</v>
      </c>
      <c r="V6305" t="s">
        <v>13338</v>
      </c>
      <c r="W6305" t="s">
        <v>19581</v>
      </c>
      <c r="X6305">
        <v>11</v>
      </c>
      <c r="Y6305" t="s">
        <v>26064</v>
      </c>
      <c r="Z6305" t="s">
        <v>32720</v>
      </c>
      <c r="AA6305">
        <v>0.37251320851401759</v>
      </c>
      <c r="AB6305" t="str">
        <f>HYPERLINK("Melting_Curves/meltCurve_Q9UJY5_4_GGA1.pdf", "Melting_Curves/meltCurve_Q9UJY5_4_GGA1.pdf")</f>
        <v>Melting_Curves/meltCurve_Q9UJY5_4_GGA1.pdf</v>
      </c>
    </row>
    <row r="6306" spans="1:28" x14ac:dyDescent="0.25">
      <c r="A6306" t="s">
        <v>6310</v>
      </c>
      <c r="B6306">
        <v>0.99193492352474899</v>
      </c>
      <c r="C6306">
        <v>0.92831581113499195</v>
      </c>
      <c r="D6306">
        <v>0.88213885104150003</v>
      </c>
      <c r="E6306">
        <v>0.77911509478246799</v>
      </c>
      <c r="F6306">
        <v>0.666468113557662</v>
      </c>
      <c r="G6306">
        <v>0.55292615668848</v>
      </c>
      <c r="H6306">
        <v>0.51092831291847496</v>
      </c>
      <c r="I6306">
        <v>0.57140728597838297</v>
      </c>
      <c r="J6306">
        <v>0.234392083364204</v>
      </c>
      <c r="K6306">
        <v>0.178983303574204</v>
      </c>
      <c r="L6306">
        <v>405.141579390321</v>
      </c>
      <c r="M6306">
        <v>6.7858573938286799</v>
      </c>
      <c r="N6306">
        <v>59.703816527157301</v>
      </c>
      <c r="O6306">
        <v>55.162043765207301</v>
      </c>
      <c r="P6306">
        <v>-3.08180735574436E-2</v>
      </c>
      <c r="Q6306">
        <v>0</v>
      </c>
      <c r="R6306">
        <v>0.92159291470801996</v>
      </c>
      <c r="S6306" t="s">
        <v>12976</v>
      </c>
      <c r="T6306" t="s">
        <v>13338</v>
      </c>
      <c r="U6306" t="s">
        <v>13338</v>
      </c>
      <c r="V6306" t="s">
        <v>13338</v>
      </c>
      <c r="W6306" t="s">
        <v>19582</v>
      </c>
      <c r="X6306">
        <v>24</v>
      </c>
      <c r="Y6306" t="s">
        <v>26065</v>
      </c>
      <c r="Z6306" t="s">
        <v>32721</v>
      </c>
      <c r="AA6306">
        <v>0.63489039950002712</v>
      </c>
      <c r="AB6306" t="str">
        <f>HYPERLINK("Melting_Curves/meltCurve_Q9UJZ1_STOML2.pdf", "Melting_Curves/meltCurve_Q9UJZ1_STOML2.pdf")</f>
        <v>Melting_Curves/meltCurve_Q9UJZ1_STOML2.pdf</v>
      </c>
    </row>
    <row r="6307" spans="1:28" x14ac:dyDescent="0.25">
      <c r="A6307" t="s">
        <v>6311</v>
      </c>
      <c r="B6307">
        <v>0.99193492352474899</v>
      </c>
      <c r="C6307">
        <v>0.82018848515502796</v>
      </c>
      <c r="D6307">
        <v>0.95674936610664296</v>
      </c>
      <c r="E6307">
        <v>0.59033008797744102</v>
      </c>
      <c r="F6307">
        <v>0.48454937820055999</v>
      </c>
      <c r="G6307">
        <v>0.32869946735093603</v>
      </c>
      <c r="H6307">
        <v>0.221401042944842</v>
      </c>
      <c r="I6307">
        <v>0.305224358074208</v>
      </c>
      <c r="J6307">
        <v>0.293626264190266</v>
      </c>
      <c r="K6307">
        <v>0.32831406706160099</v>
      </c>
      <c r="L6307">
        <v>909.87576353225097</v>
      </c>
      <c r="M6307">
        <v>18.345205935406302</v>
      </c>
      <c r="N6307">
        <v>51.901399952804198</v>
      </c>
      <c r="O6307">
        <v>49.019412482904102</v>
      </c>
      <c r="P6307">
        <v>-6.7503828026041005E-2</v>
      </c>
      <c r="Q6307">
        <v>0.27853728358912599</v>
      </c>
      <c r="R6307">
        <v>0.94464109563203902</v>
      </c>
      <c r="S6307" t="s">
        <v>12977</v>
      </c>
      <c r="T6307" t="s">
        <v>13338</v>
      </c>
      <c r="U6307" t="s">
        <v>13338</v>
      </c>
      <c r="V6307" t="s">
        <v>13338</v>
      </c>
      <c r="W6307" t="s">
        <v>19583</v>
      </c>
      <c r="X6307">
        <v>6</v>
      </c>
      <c r="Y6307" t="s">
        <v>26066</v>
      </c>
      <c r="Z6307" t="s">
        <v>32722</v>
      </c>
      <c r="AA6307">
        <v>0.52126878785477604</v>
      </c>
      <c r="AB6307" t="str">
        <f>HYPERLINK("Melting_Curves/meltCurve_Q9UK23_2_NAGPA.pdf", "Melting_Curves/meltCurve_Q9UK23_2_NAGPA.pdf")</f>
        <v>Melting_Curves/meltCurve_Q9UK23_2_NAGPA.pdf</v>
      </c>
    </row>
    <row r="6308" spans="1:28" x14ac:dyDescent="0.25">
      <c r="A6308" t="s">
        <v>6312</v>
      </c>
      <c r="B6308">
        <v>0.99193492352474899</v>
      </c>
      <c r="C6308">
        <v>1.13971365233084</v>
      </c>
      <c r="D6308">
        <v>0.89972698334326895</v>
      </c>
      <c r="E6308">
        <v>0.60178764422092301</v>
      </c>
      <c r="F6308">
        <v>0.26061234015636597</v>
      </c>
      <c r="G6308">
        <v>0.14272595689433101</v>
      </c>
      <c r="H6308">
        <v>7.9576474855556995E-2</v>
      </c>
      <c r="I6308">
        <v>9.9705579922451798E-2</v>
      </c>
      <c r="J6308">
        <v>9.0027562986419798E-2</v>
      </c>
      <c r="K6308">
        <v>0.101268255581638</v>
      </c>
      <c r="L6308">
        <v>1338.3175068947</v>
      </c>
      <c r="M6308">
        <v>26.7126286021651</v>
      </c>
      <c r="N6308">
        <v>50.492449425572303</v>
      </c>
      <c r="O6308">
        <v>49.822301817006597</v>
      </c>
      <c r="P6308">
        <v>-0.12149175529688599</v>
      </c>
      <c r="Q6308">
        <v>9.3621720166096004E-2</v>
      </c>
      <c r="R6308">
        <v>0.98539012104617496</v>
      </c>
      <c r="S6308" t="s">
        <v>12978</v>
      </c>
      <c r="T6308" t="s">
        <v>13338</v>
      </c>
      <c r="U6308" t="s">
        <v>13338</v>
      </c>
      <c r="V6308" t="s">
        <v>13338</v>
      </c>
      <c r="W6308" t="s">
        <v>19584</v>
      </c>
      <c r="X6308">
        <v>11</v>
      </c>
      <c r="Y6308" t="s">
        <v>26067</v>
      </c>
      <c r="Z6308" t="s">
        <v>32723</v>
      </c>
      <c r="AA6308">
        <v>0.40588357903374722</v>
      </c>
      <c r="AB6308" t="str">
        <f>HYPERLINK("Melting_Curves/meltCurve_Q9UK41_VPS28.pdf", "Melting_Curves/meltCurve_Q9UK41_VPS28.pdf")</f>
        <v>Melting_Curves/meltCurve_Q9UK41_VPS28.pdf</v>
      </c>
    </row>
    <row r="6309" spans="1:28" x14ac:dyDescent="0.25">
      <c r="A6309" t="s">
        <v>6313</v>
      </c>
      <c r="B6309">
        <v>0.99193492352474899</v>
      </c>
      <c r="C6309">
        <v>1.52486646440392</v>
      </c>
      <c r="D6309">
        <v>0.81255263923611798</v>
      </c>
      <c r="E6309">
        <v>1.08993446842987</v>
      </c>
      <c r="F6309">
        <v>0.47937249805037102</v>
      </c>
      <c r="G6309">
        <v>0.52920291290674804</v>
      </c>
      <c r="H6309">
        <v>0.374424189209067</v>
      </c>
      <c r="I6309">
        <v>0.68875135393737996</v>
      </c>
      <c r="J6309">
        <v>0.27604882267610198</v>
      </c>
      <c r="K6309">
        <v>0.32237068896425702</v>
      </c>
      <c r="L6309">
        <v>13165.070209310999</v>
      </c>
      <c r="M6309">
        <v>250</v>
      </c>
      <c r="N6309">
        <v>53.104259357220002</v>
      </c>
      <c r="O6309">
        <v>52.656910378019198</v>
      </c>
      <c r="P6309">
        <v>-0.66686457973297697</v>
      </c>
      <c r="Q6309">
        <v>0.43815954023500098</v>
      </c>
      <c r="R6309">
        <v>0.69801454544443697</v>
      </c>
      <c r="S6309" t="s">
        <v>12979</v>
      </c>
      <c r="T6309" t="s">
        <v>13338</v>
      </c>
      <c r="U6309" t="s">
        <v>13338</v>
      </c>
      <c r="V6309" t="s">
        <v>13338</v>
      </c>
      <c r="W6309" t="s">
        <v>19585</v>
      </c>
      <c r="X6309">
        <v>4</v>
      </c>
      <c r="Y6309" t="s">
        <v>26068</v>
      </c>
      <c r="Z6309" t="s">
        <v>32724</v>
      </c>
      <c r="AA6309">
        <v>0.67531339793664635</v>
      </c>
      <c r="AB6309" t="str">
        <f>HYPERLINK("Melting_Curves/meltCurve_Q9UK45_LSM7.pdf", "Melting_Curves/meltCurve_Q9UK45_LSM7.pdf")</f>
        <v>Melting_Curves/meltCurve_Q9UK45_LSM7.pdf</v>
      </c>
    </row>
    <row r="6310" spans="1:28" x14ac:dyDescent="0.25">
      <c r="A6310" t="s">
        <v>6314</v>
      </c>
      <c r="B6310">
        <v>0.99193492352474899</v>
      </c>
      <c r="C6310">
        <v>0.82119907111922197</v>
      </c>
      <c r="D6310">
        <v>0.87082421870040005</v>
      </c>
      <c r="E6310">
        <v>0.69777198685363895</v>
      </c>
      <c r="F6310">
        <v>0.59073682964951701</v>
      </c>
      <c r="G6310">
        <v>0.43991433345532899</v>
      </c>
      <c r="H6310">
        <v>0.15864465399688099</v>
      </c>
      <c r="I6310">
        <v>0.12769345896084999</v>
      </c>
      <c r="J6310">
        <v>0.13688952323246401</v>
      </c>
      <c r="K6310">
        <v>0.14633858759797799</v>
      </c>
      <c r="L6310">
        <v>535.61898477025898</v>
      </c>
      <c r="M6310">
        <v>9.9033594988842193</v>
      </c>
      <c r="N6310">
        <v>54.084574320276502</v>
      </c>
      <c r="O6310">
        <v>52.0178648133815</v>
      </c>
      <c r="P6310">
        <v>-4.76199785745266E-2</v>
      </c>
      <c r="Q6310">
        <v>0</v>
      </c>
      <c r="R6310">
        <v>0.96932045254395904</v>
      </c>
      <c r="S6310" t="s">
        <v>12980</v>
      </c>
      <c r="T6310" t="s">
        <v>13338</v>
      </c>
      <c r="U6310" t="s">
        <v>13338</v>
      </c>
      <c r="V6310" t="s">
        <v>13338</v>
      </c>
      <c r="W6310" t="s">
        <v>19586</v>
      </c>
      <c r="X6310">
        <v>19</v>
      </c>
      <c r="Y6310" t="s">
        <v>26069</v>
      </c>
      <c r="Z6310" t="s">
        <v>32725</v>
      </c>
      <c r="AA6310">
        <v>0.49953330666019491</v>
      </c>
      <c r="AB6310" t="str">
        <f>HYPERLINK("Melting_Curves/meltCurve_Q9UK59_DBR1.pdf", "Melting_Curves/meltCurve_Q9UK59_DBR1.pdf")</f>
        <v>Melting_Curves/meltCurve_Q9UK59_DBR1.pdf</v>
      </c>
    </row>
    <row r="6311" spans="1:28" x14ac:dyDescent="0.25">
      <c r="A6311" t="s">
        <v>6315</v>
      </c>
      <c r="B6311">
        <v>0.99193492352474899</v>
      </c>
      <c r="C6311">
        <v>1.07347284914254</v>
      </c>
      <c r="D6311">
        <v>0.94473453834233201</v>
      </c>
      <c r="E6311">
        <v>0.93611546423432401</v>
      </c>
      <c r="F6311">
        <v>0.73460130095119802</v>
      </c>
      <c r="G6311">
        <v>0.61211848711199301</v>
      </c>
      <c r="H6311">
        <v>0.56745301942103199</v>
      </c>
      <c r="I6311">
        <v>0.70730808389157596</v>
      </c>
      <c r="J6311">
        <v>0.71566547737862696</v>
      </c>
      <c r="K6311">
        <v>0.93524756553568</v>
      </c>
      <c r="L6311">
        <v>2789.1376050948802</v>
      </c>
      <c r="M6311">
        <v>54.976679708787699</v>
      </c>
      <c r="O6311">
        <v>50.666117645536602</v>
      </c>
      <c r="P6311">
        <v>-7.9106461377469101E-2</v>
      </c>
      <c r="Q6311">
        <v>0.70838440350125598</v>
      </c>
      <c r="R6311">
        <v>0.674229018616326</v>
      </c>
      <c r="S6311" t="s">
        <v>12981</v>
      </c>
      <c r="T6311" t="s">
        <v>13338</v>
      </c>
      <c r="U6311" t="s">
        <v>13338</v>
      </c>
      <c r="V6311" t="s">
        <v>13338</v>
      </c>
      <c r="W6311" t="s">
        <v>19587</v>
      </c>
      <c r="X6311">
        <v>9</v>
      </c>
      <c r="Y6311" t="s">
        <v>26070</v>
      </c>
      <c r="Z6311" t="s">
        <v>32726</v>
      </c>
      <c r="AA6311">
        <v>0.81325501824946334</v>
      </c>
      <c r="AB6311" t="str">
        <f>HYPERLINK("Melting_Curves/meltCurve_Q9UK76_HN1.pdf", "Melting_Curves/meltCurve_Q9UK76_HN1.pdf")</f>
        <v>Melting_Curves/meltCurve_Q9UK76_HN1.pdf</v>
      </c>
    </row>
    <row r="6312" spans="1:28" x14ac:dyDescent="0.25">
      <c r="A6312" t="s">
        <v>6316</v>
      </c>
      <c r="B6312">
        <v>0.99193492352474899</v>
      </c>
      <c r="C6312">
        <v>0.87023294017265995</v>
      </c>
      <c r="D6312">
        <v>0.94890627175726305</v>
      </c>
      <c r="E6312">
        <v>0.64903055836342405</v>
      </c>
      <c r="F6312">
        <v>0.63898422409876499</v>
      </c>
      <c r="G6312">
        <v>0.40452809632627201</v>
      </c>
      <c r="H6312">
        <v>0.120907144280729</v>
      </c>
      <c r="I6312">
        <v>8.0554988701888E-2</v>
      </c>
      <c r="J6312">
        <v>8.6830737595833304E-2</v>
      </c>
      <c r="K6312">
        <v>0.122716448542863</v>
      </c>
      <c r="L6312">
        <v>651.43415873002596</v>
      </c>
      <c r="M6312">
        <v>12.0528674968877</v>
      </c>
      <c r="N6312">
        <v>54.048064159445502</v>
      </c>
      <c r="O6312">
        <v>52.624747350784503</v>
      </c>
      <c r="P6312">
        <v>-5.7272122201591003E-2</v>
      </c>
      <c r="Q6312">
        <v>0</v>
      </c>
      <c r="R6312">
        <v>0.96418975073288504</v>
      </c>
      <c r="S6312" t="s">
        <v>12982</v>
      </c>
      <c r="T6312" t="s">
        <v>13338</v>
      </c>
      <c r="U6312" t="s">
        <v>13338</v>
      </c>
      <c r="V6312" t="s">
        <v>13338</v>
      </c>
      <c r="W6312" t="s">
        <v>19588</v>
      </c>
      <c r="X6312">
        <v>3</v>
      </c>
      <c r="Y6312" t="s">
        <v>26071</v>
      </c>
      <c r="Z6312" t="s">
        <v>32727</v>
      </c>
      <c r="AA6312">
        <v>0.49416155239748039</v>
      </c>
      <c r="AB6312" t="str">
        <f>HYPERLINK("Melting_Curves/meltCurve_Q9UKD2_MRTO4.pdf", "Melting_Curves/meltCurve_Q9UKD2_MRTO4.pdf")</f>
        <v>Melting_Curves/meltCurve_Q9UKD2_MRTO4.pdf</v>
      </c>
    </row>
    <row r="6313" spans="1:28" x14ac:dyDescent="0.25">
      <c r="A6313" t="s">
        <v>6317</v>
      </c>
      <c r="B6313">
        <v>0.99193492352474899</v>
      </c>
      <c r="C6313">
        <v>0.73666183164532795</v>
      </c>
      <c r="D6313">
        <v>0.668991708899077</v>
      </c>
      <c r="E6313">
        <v>0.31807768744863402</v>
      </c>
      <c r="F6313">
        <v>0.16116192577789601</v>
      </c>
      <c r="G6313">
        <v>9.3537676583506396E-2</v>
      </c>
      <c r="H6313">
        <v>6.0417043795082198E-2</v>
      </c>
      <c r="I6313">
        <v>6.3257596808177399E-2</v>
      </c>
      <c r="J6313">
        <v>7.4458209137783796E-2</v>
      </c>
      <c r="K6313">
        <v>7.4410238341547294E-2</v>
      </c>
      <c r="L6313">
        <v>752.479215740173</v>
      </c>
      <c r="M6313">
        <v>16.0339539384732</v>
      </c>
      <c r="N6313">
        <v>47.246656089985898</v>
      </c>
      <c r="O6313">
        <v>46.218569842022703</v>
      </c>
      <c r="P6313">
        <v>-8.2321773660829503E-2</v>
      </c>
      <c r="Q6313">
        <v>5.0889624361612297E-2</v>
      </c>
      <c r="R6313">
        <v>0.98472011303221296</v>
      </c>
      <c r="S6313" t="s">
        <v>12983</v>
      </c>
      <c r="T6313" t="s">
        <v>13338</v>
      </c>
      <c r="U6313" t="s">
        <v>13338</v>
      </c>
      <c r="V6313" t="s">
        <v>13338</v>
      </c>
      <c r="W6313" t="s">
        <v>19589</v>
      </c>
      <c r="X6313">
        <v>19</v>
      </c>
      <c r="Y6313" t="s">
        <v>26072</v>
      </c>
      <c r="Z6313" t="s">
        <v>32728</v>
      </c>
      <c r="AA6313">
        <v>0.29267921503778738</v>
      </c>
      <c r="AB6313" t="str">
        <f>HYPERLINK("Melting_Curves/meltCurve_Q9UKF6_CPSF3.pdf", "Melting_Curves/meltCurve_Q9UKF6_CPSF3.pdf")</f>
        <v>Melting_Curves/meltCurve_Q9UKF6_CPSF3.pdf</v>
      </c>
    </row>
    <row r="6314" spans="1:28" x14ac:dyDescent="0.25">
      <c r="A6314" t="s">
        <v>6318</v>
      </c>
      <c r="B6314">
        <v>0.99193492352474899</v>
      </c>
      <c r="C6314">
        <v>0.87424246421222296</v>
      </c>
      <c r="D6314">
        <v>0.83700984340118401</v>
      </c>
      <c r="E6314">
        <v>0.36330390451326999</v>
      </c>
      <c r="F6314">
        <v>0.18307700574438099</v>
      </c>
      <c r="G6314">
        <v>0.108281373790921</v>
      </c>
      <c r="H6314">
        <v>6.6820403462244202E-2</v>
      </c>
      <c r="I6314">
        <v>7.2534908929063696E-2</v>
      </c>
      <c r="J6314">
        <v>8.1751385356374301E-2</v>
      </c>
      <c r="K6314">
        <v>8.2049610973970899E-2</v>
      </c>
      <c r="L6314">
        <v>1177.56752377571</v>
      </c>
      <c r="M6314">
        <v>24.390320023688801</v>
      </c>
      <c r="N6314">
        <v>48.611623350654902</v>
      </c>
      <c r="O6314">
        <v>47.959059004559101</v>
      </c>
      <c r="P6314">
        <v>-0.11740196704855201</v>
      </c>
      <c r="Q6314">
        <v>7.6616239164064806E-2</v>
      </c>
      <c r="R6314">
        <v>0.99142548102008499</v>
      </c>
      <c r="S6314" t="s">
        <v>12984</v>
      </c>
      <c r="T6314" t="s">
        <v>13338</v>
      </c>
      <c r="U6314" t="s">
        <v>13338</v>
      </c>
      <c r="V6314" t="s">
        <v>13338</v>
      </c>
      <c r="W6314" t="s">
        <v>19590</v>
      </c>
      <c r="X6314">
        <v>24</v>
      </c>
      <c r="Y6314" t="s">
        <v>26073</v>
      </c>
      <c r="Z6314" t="s">
        <v>32729</v>
      </c>
      <c r="AA6314">
        <v>0.34006894676582528</v>
      </c>
      <c r="AB6314" t="str">
        <f>HYPERLINK("Melting_Curves/meltCurve_Q9UKG1_APPL1.pdf", "Melting_Curves/meltCurve_Q9UKG1_APPL1.pdf")</f>
        <v>Melting_Curves/meltCurve_Q9UKG1_APPL1.pdf</v>
      </c>
    </row>
    <row r="6315" spans="1:28" x14ac:dyDescent="0.25">
      <c r="A6315" t="s">
        <v>6319</v>
      </c>
      <c r="B6315">
        <v>0.99193492352474899</v>
      </c>
      <c r="C6315">
        <v>0.84650313020643497</v>
      </c>
      <c r="D6315">
        <v>0.87338232765227397</v>
      </c>
      <c r="E6315">
        <v>0.60448238386145603</v>
      </c>
      <c r="F6315">
        <v>0.33314811742535799</v>
      </c>
      <c r="G6315">
        <v>0.12717965561960101</v>
      </c>
      <c r="H6315">
        <v>8.9839034948675595E-2</v>
      </c>
      <c r="I6315">
        <v>0.100293207341153</v>
      </c>
      <c r="J6315">
        <v>8.9412979261141196E-2</v>
      </c>
      <c r="K6315">
        <v>0.111960578275447</v>
      </c>
      <c r="L6315">
        <v>898.97268998978802</v>
      </c>
      <c r="M6315">
        <v>17.9045706306444</v>
      </c>
      <c r="N6315">
        <v>50.652552529545297</v>
      </c>
      <c r="O6315">
        <v>49.595356741246199</v>
      </c>
      <c r="P6315">
        <v>-8.3710629316368995E-2</v>
      </c>
      <c r="Q6315">
        <v>7.2538752881533497E-2</v>
      </c>
      <c r="R6315">
        <v>0.98600970047815495</v>
      </c>
      <c r="S6315" t="s">
        <v>12985</v>
      </c>
      <c r="T6315" t="s">
        <v>13338</v>
      </c>
      <c r="U6315" t="s">
        <v>13338</v>
      </c>
      <c r="V6315" t="s">
        <v>13338</v>
      </c>
      <c r="W6315" t="s">
        <v>19591</v>
      </c>
      <c r="X6315">
        <v>6</v>
      </c>
      <c r="Y6315" t="s">
        <v>26074</v>
      </c>
      <c r="Z6315" t="s">
        <v>32730</v>
      </c>
      <c r="AA6315">
        <v>0.40409006422864518</v>
      </c>
      <c r="AB6315" t="str">
        <f>HYPERLINK("Melting_Curves/meltCurve_Q9UKI8_5_TLK1.pdf", "Melting_Curves/meltCurve_Q9UKI8_5_TLK1.pdf")</f>
        <v>Melting_Curves/meltCurve_Q9UKI8_5_TLK1.pdf</v>
      </c>
    </row>
    <row r="6316" spans="1:28" x14ac:dyDescent="0.25">
      <c r="A6316" t="s">
        <v>6320</v>
      </c>
      <c r="B6316">
        <v>0.99193492352474899</v>
      </c>
      <c r="C6316">
        <v>0.67886667442578497</v>
      </c>
      <c r="D6316">
        <v>0.87833804783682001</v>
      </c>
      <c r="E6316">
        <v>0.56525244242122996</v>
      </c>
      <c r="F6316">
        <v>0.50617415382290598</v>
      </c>
      <c r="G6316">
        <v>0.33673059148440898</v>
      </c>
      <c r="H6316">
        <v>0.24228120619752899</v>
      </c>
      <c r="I6316">
        <v>0.31886551124981799</v>
      </c>
      <c r="J6316">
        <v>0.35173159401017701</v>
      </c>
      <c r="K6316">
        <v>0.59143897152071301</v>
      </c>
      <c r="L6316">
        <v>638.68715615912902</v>
      </c>
      <c r="M6316">
        <v>13.5494218665271</v>
      </c>
      <c r="N6316">
        <v>51.907820438290003</v>
      </c>
      <c r="O6316">
        <v>46.146359943143302</v>
      </c>
      <c r="P6316">
        <v>-4.72757621511787E-2</v>
      </c>
      <c r="Q6316">
        <v>0.35605330090292098</v>
      </c>
      <c r="R6316">
        <v>0.74528292013608499</v>
      </c>
      <c r="S6316" t="s">
        <v>12986</v>
      </c>
      <c r="T6316" t="s">
        <v>13338</v>
      </c>
      <c r="U6316" t="s">
        <v>13338</v>
      </c>
      <c r="V6316" t="s">
        <v>13338</v>
      </c>
      <c r="W6316" t="s">
        <v>19592</v>
      </c>
      <c r="X6316">
        <v>1</v>
      </c>
      <c r="Y6316" t="s">
        <v>26075</v>
      </c>
      <c r="Z6316" t="s">
        <v>32731</v>
      </c>
      <c r="AA6316">
        <v>0.53053068716616947</v>
      </c>
      <c r="AB6316" t="str">
        <f>HYPERLINK("Melting_Curves/meltCurve_Q9UKJ1_3_PILRA.pdf", "Melting_Curves/meltCurve_Q9UKJ1_3_PILRA.pdf")</f>
        <v>Melting_Curves/meltCurve_Q9UKJ1_3_PILRA.pdf</v>
      </c>
    </row>
    <row r="6317" spans="1:28" x14ac:dyDescent="0.25">
      <c r="A6317" t="s">
        <v>6321</v>
      </c>
      <c r="B6317">
        <v>0.99193492352474899</v>
      </c>
      <c r="C6317">
        <v>0.94883590021584097</v>
      </c>
      <c r="D6317">
        <v>0.87332329177158396</v>
      </c>
      <c r="E6317">
        <v>0.56589242918562799</v>
      </c>
      <c r="F6317">
        <v>0.50309238799763101</v>
      </c>
      <c r="G6317">
        <v>0.26167574140259298</v>
      </c>
      <c r="H6317">
        <v>0.17410152539892201</v>
      </c>
      <c r="I6317">
        <v>0.25036323522521398</v>
      </c>
      <c r="J6317">
        <v>0.33658159808791199</v>
      </c>
      <c r="K6317">
        <v>0.46392243359423802</v>
      </c>
      <c r="L6317">
        <v>1049.7253271427801</v>
      </c>
      <c r="M6317">
        <v>21.449672004360899</v>
      </c>
      <c r="N6317">
        <v>51.131834849879198</v>
      </c>
      <c r="O6317">
        <v>48.519593199703202</v>
      </c>
      <c r="P6317">
        <v>-7.7286933119633694E-2</v>
      </c>
      <c r="Q6317">
        <v>0.30071898621019699</v>
      </c>
      <c r="R6317">
        <v>0.92068007280684105</v>
      </c>
      <c r="S6317" t="s">
        <v>12987</v>
      </c>
      <c r="T6317" t="s">
        <v>13338</v>
      </c>
      <c r="U6317" t="s">
        <v>13338</v>
      </c>
      <c r="V6317" t="s">
        <v>13338</v>
      </c>
      <c r="W6317" t="s">
        <v>19593</v>
      </c>
      <c r="X6317">
        <v>13</v>
      </c>
      <c r="Y6317" t="s">
        <v>26076</v>
      </c>
      <c r="Z6317" t="s">
        <v>32732</v>
      </c>
      <c r="AA6317">
        <v>0.5175746659412076</v>
      </c>
      <c r="AB6317" t="str">
        <f>HYPERLINK("Melting_Curves/meltCurve_Q9UKJ3_GPATCH8.pdf", "Melting_Curves/meltCurve_Q9UKJ3_GPATCH8.pdf")</f>
        <v>Melting_Curves/meltCurve_Q9UKJ3_GPATCH8.pdf</v>
      </c>
    </row>
    <row r="6318" spans="1:28" x14ac:dyDescent="0.25">
      <c r="A6318" t="s">
        <v>6322</v>
      </c>
      <c r="B6318">
        <v>0.99193492352474899</v>
      </c>
      <c r="C6318">
        <v>0.46129518412372</v>
      </c>
      <c r="D6318">
        <v>0.443633328086738</v>
      </c>
      <c r="E6318">
        <v>0.20093012435365501</v>
      </c>
      <c r="F6318">
        <v>0.10737598808486</v>
      </c>
      <c r="G6318">
        <v>8.5731660433251894E-2</v>
      </c>
      <c r="H6318">
        <v>5.41054050887535E-2</v>
      </c>
      <c r="I6318">
        <v>8.0066042996993103E-2</v>
      </c>
      <c r="J6318">
        <v>9.6644018024790501E-2</v>
      </c>
      <c r="K6318">
        <v>6.85413457031048E-2</v>
      </c>
      <c r="L6318">
        <v>765.88078447852399</v>
      </c>
      <c r="M6318">
        <v>17.488944269268099</v>
      </c>
      <c r="N6318">
        <v>44.211147270543002</v>
      </c>
      <c r="O6318">
        <v>43.231755781281301</v>
      </c>
      <c r="P6318">
        <v>-9.34186369411317E-2</v>
      </c>
      <c r="Q6318">
        <v>7.6347111191633801E-2</v>
      </c>
      <c r="R6318">
        <v>0.93203138144745701</v>
      </c>
      <c r="S6318" t="s">
        <v>12988</v>
      </c>
      <c r="T6318" t="s">
        <v>13338</v>
      </c>
      <c r="U6318" t="s">
        <v>13338</v>
      </c>
      <c r="V6318" t="s">
        <v>13338</v>
      </c>
      <c r="W6318" t="s">
        <v>19594</v>
      </c>
      <c r="X6318">
        <v>2</v>
      </c>
      <c r="Y6318" t="s">
        <v>26077</v>
      </c>
      <c r="Z6318" t="s">
        <v>32733</v>
      </c>
      <c r="AA6318">
        <v>0.21814538866956171</v>
      </c>
      <c r="AB6318" t="str">
        <f>HYPERLINK("Melting_Curves/meltCurve_Q9UKK6_NXT1.pdf", "Melting_Curves/meltCurve_Q9UKK6_NXT1.pdf")</f>
        <v>Melting_Curves/meltCurve_Q9UKK6_NXT1.pdf</v>
      </c>
    </row>
    <row r="6319" spans="1:28" x14ac:dyDescent="0.25">
      <c r="A6319" t="s">
        <v>6323</v>
      </c>
      <c r="B6319">
        <v>0.99193492352474899</v>
      </c>
      <c r="C6319">
        <v>0.97795509831430605</v>
      </c>
      <c r="D6319">
        <v>0.82822865278493696</v>
      </c>
      <c r="E6319">
        <v>0.78162928394007103</v>
      </c>
      <c r="F6319">
        <v>0.281755436618292</v>
      </c>
      <c r="G6319">
        <v>0.164386892982992</v>
      </c>
      <c r="H6319">
        <v>8.2337281119819805E-2</v>
      </c>
      <c r="I6319">
        <v>9.3063925050986998E-2</v>
      </c>
      <c r="J6319">
        <v>0.110015963366215</v>
      </c>
      <c r="K6319">
        <v>9.2903480485041295E-2</v>
      </c>
      <c r="L6319">
        <v>1349.48912452838</v>
      </c>
      <c r="M6319">
        <v>26.4111701801401</v>
      </c>
      <c r="N6319">
        <v>51.475508418092197</v>
      </c>
      <c r="O6319">
        <v>50.805163787921899</v>
      </c>
      <c r="P6319">
        <v>-0.11845023473030999</v>
      </c>
      <c r="Q6319">
        <v>8.8594944164936504E-2</v>
      </c>
      <c r="R6319">
        <v>0.98387527959605203</v>
      </c>
      <c r="S6319" t="s">
        <v>12989</v>
      </c>
      <c r="T6319" t="s">
        <v>13338</v>
      </c>
      <c r="U6319" t="s">
        <v>13338</v>
      </c>
      <c r="V6319" t="s">
        <v>13338</v>
      </c>
      <c r="W6319" t="s">
        <v>19595</v>
      </c>
      <c r="X6319">
        <v>1</v>
      </c>
      <c r="Y6319" t="s">
        <v>26078</v>
      </c>
      <c r="Z6319" t="s">
        <v>32734</v>
      </c>
      <c r="AA6319">
        <v>0.43307144855760882</v>
      </c>
      <c r="AB6319" t="str">
        <f>HYPERLINK("Melting_Curves/meltCurve_Q9UKL6_PCTP.pdf", "Melting_Curves/meltCurve_Q9UKL6_PCTP.pdf")</f>
        <v>Melting_Curves/meltCurve_Q9UKL6_PCTP.pdf</v>
      </c>
    </row>
    <row r="6320" spans="1:28" x14ac:dyDescent="0.25">
      <c r="A6320" t="s">
        <v>6324</v>
      </c>
      <c r="B6320">
        <v>0.99193492352474899</v>
      </c>
      <c r="C6320">
        <v>0.88292364662383105</v>
      </c>
      <c r="D6320">
        <v>0.94569791656206803</v>
      </c>
      <c r="E6320">
        <v>0.61759449865795002</v>
      </c>
      <c r="F6320">
        <v>0.42903122791314102</v>
      </c>
      <c r="G6320">
        <v>0.25305058345041698</v>
      </c>
      <c r="H6320">
        <v>9.4923819262210996E-2</v>
      </c>
      <c r="I6320">
        <v>0.14520538551280801</v>
      </c>
      <c r="J6320">
        <v>0.12717068924639299</v>
      </c>
      <c r="K6320">
        <v>0.122390130916707</v>
      </c>
      <c r="L6320">
        <v>859.07963964607495</v>
      </c>
      <c r="M6320">
        <v>16.827434583719501</v>
      </c>
      <c r="N6320">
        <v>51.741323694599998</v>
      </c>
      <c r="O6320">
        <v>50.347685404242199</v>
      </c>
      <c r="P6320">
        <v>-7.5174159977638197E-2</v>
      </c>
      <c r="Q6320">
        <v>0.100373569048521</v>
      </c>
      <c r="R6320">
        <v>0.98503914081524102</v>
      </c>
      <c r="S6320" t="s">
        <v>12990</v>
      </c>
      <c r="T6320" t="s">
        <v>13338</v>
      </c>
      <c r="U6320" t="s">
        <v>13338</v>
      </c>
      <c r="V6320" t="s">
        <v>13338</v>
      </c>
      <c r="W6320" t="s">
        <v>19596</v>
      </c>
      <c r="X6320">
        <v>1</v>
      </c>
      <c r="Y6320" t="s">
        <v>26079</v>
      </c>
      <c r="Z6320" t="s">
        <v>32735</v>
      </c>
      <c r="AA6320">
        <v>0.44887656038738571</v>
      </c>
      <c r="AB6320" t="str">
        <f>HYPERLINK("Melting_Curves/meltCurve_Q9UKM7_MAN1B1.pdf", "Melting_Curves/meltCurve_Q9UKM7_MAN1B1.pdf")</f>
        <v>Melting_Curves/meltCurve_Q9UKM7_MAN1B1.pdf</v>
      </c>
    </row>
    <row r="6321" spans="1:28" x14ac:dyDescent="0.25">
      <c r="A6321" t="s">
        <v>6325</v>
      </c>
      <c r="B6321">
        <v>0.99193492352474899</v>
      </c>
      <c r="C6321">
        <v>0.45031846901494199</v>
      </c>
      <c r="D6321">
        <v>0.58042115656651405</v>
      </c>
      <c r="E6321">
        <v>0.28244155200306498</v>
      </c>
      <c r="F6321">
        <v>0.21116292739756301</v>
      </c>
      <c r="G6321">
        <v>0.13211508215864301</v>
      </c>
      <c r="H6321">
        <v>0.113545368593816</v>
      </c>
      <c r="I6321">
        <v>0.16059852312249701</v>
      </c>
      <c r="J6321">
        <v>0.33288883783127599</v>
      </c>
      <c r="K6321">
        <v>0.45839795264625699</v>
      </c>
      <c r="L6321">
        <v>850.90593125680005</v>
      </c>
      <c r="M6321">
        <v>19.762485054406</v>
      </c>
      <c r="N6321">
        <v>44.534663492049198</v>
      </c>
      <c r="O6321">
        <v>42.623031139800098</v>
      </c>
      <c r="P6321">
        <v>-8.80388933713806E-2</v>
      </c>
      <c r="Q6321">
        <v>0.240509199715569</v>
      </c>
      <c r="R6321">
        <v>0.72945600243907904</v>
      </c>
      <c r="S6321" t="s">
        <v>12991</v>
      </c>
      <c r="T6321" t="s">
        <v>13338</v>
      </c>
      <c r="U6321" t="s">
        <v>13338</v>
      </c>
      <c r="V6321" t="s">
        <v>13338</v>
      </c>
      <c r="W6321" t="s">
        <v>19597</v>
      </c>
      <c r="X6321">
        <v>4</v>
      </c>
      <c r="Y6321" t="s">
        <v>26080</v>
      </c>
      <c r="Z6321" t="s">
        <v>32736</v>
      </c>
      <c r="AA6321">
        <v>0.33601676703889549</v>
      </c>
      <c r="AB6321" t="str">
        <f>HYPERLINK("Melting_Curves/meltCurve_Q9UKM9_RALY.pdf", "Melting_Curves/meltCurve_Q9UKM9_RALY.pdf")</f>
        <v>Melting_Curves/meltCurve_Q9UKM9_RALY.pdf</v>
      </c>
    </row>
    <row r="6322" spans="1:28" x14ac:dyDescent="0.25">
      <c r="A6322" t="s">
        <v>6326</v>
      </c>
      <c r="B6322">
        <v>0.99193492352474899</v>
      </c>
      <c r="C6322">
        <v>0.82999555055150298</v>
      </c>
      <c r="D6322">
        <v>0.72655257588481303</v>
      </c>
      <c r="E6322">
        <v>0.50476785657437195</v>
      </c>
      <c r="F6322">
        <v>0.168707465463139</v>
      </c>
      <c r="G6322">
        <v>0.105374801299069</v>
      </c>
      <c r="H6322">
        <v>6.1834315003090203E-2</v>
      </c>
      <c r="I6322">
        <v>7.4884548521218702E-2</v>
      </c>
      <c r="J6322">
        <v>7.9967897924774101E-2</v>
      </c>
      <c r="K6322">
        <v>7.9242366780058707E-2</v>
      </c>
      <c r="L6322">
        <v>796.01540875530202</v>
      </c>
      <c r="M6322">
        <v>16.416989584119399</v>
      </c>
      <c r="N6322">
        <v>48.7914670557807</v>
      </c>
      <c r="O6322">
        <v>47.785007097349997</v>
      </c>
      <c r="P6322">
        <v>-8.1717891321807803E-2</v>
      </c>
      <c r="Q6322">
        <v>4.8641290281985099E-2</v>
      </c>
      <c r="R6322">
        <v>0.98720265090257897</v>
      </c>
      <c r="S6322" t="s">
        <v>12992</v>
      </c>
      <c r="T6322" t="s">
        <v>13338</v>
      </c>
      <c r="U6322" t="s">
        <v>13338</v>
      </c>
      <c r="V6322" t="s">
        <v>13338</v>
      </c>
      <c r="W6322" t="s">
        <v>19598</v>
      </c>
      <c r="X6322">
        <v>22</v>
      </c>
      <c r="Y6322" t="s">
        <v>26081</v>
      </c>
      <c r="Z6322" t="s">
        <v>32737</v>
      </c>
      <c r="AA6322">
        <v>0.33785393372880179</v>
      </c>
      <c r="AB6322" t="str">
        <f>HYPERLINK("Melting_Curves/meltCurve_Q9UKN8_GTF3C4.pdf", "Melting_Curves/meltCurve_Q9UKN8_GTF3C4.pdf")</f>
        <v>Melting_Curves/meltCurve_Q9UKN8_GTF3C4.pdf</v>
      </c>
    </row>
    <row r="6323" spans="1:28" x14ac:dyDescent="0.25">
      <c r="A6323" t="s">
        <v>6327</v>
      </c>
      <c r="B6323">
        <v>0.99193492352474899</v>
      </c>
      <c r="C6323">
        <v>0.75403437554152197</v>
      </c>
      <c r="D6323">
        <v>0.89859646043628305</v>
      </c>
      <c r="E6323">
        <v>0.78000231557087896</v>
      </c>
      <c r="F6323">
        <v>0.71137504093692505</v>
      </c>
      <c r="G6323">
        <v>0.61982214202583197</v>
      </c>
      <c r="H6323">
        <v>0.43384596751201099</v>
      </c>
      <c r="I6323">
        <v>0.47117486349409099</v>
      </c>
      <c r="J6323">
        <v>0.31486577739364302</v>
      </c>
      <c r="K6323">
        <v>0.382085387485114</v>
      </c>
      <c r="L6323">
        <v>319.06811912186902</v>
      </c>
      <c r="M6323">
        <v>5.2441246851882797</v>
      </c>
      <c r="N6323">
        <v>60.842974967505299</v>
      </c>
      <c r="O6323">
        <v>53.676259335203802</v>
      </c>
      <c r="P6323">
        <v>-2.4551799173588101E-2</v>
      </c>
      <c r="Q6323">
        <v>0</v>
      </c>
      <c r="R6323">
        <v>0.91287164327524295</v>
      </c>
      <c r="S6323" t="s">
        <v>12993</v>
      </c>
      <c r="T6323" t="s">
        <v>13338</v>
      </c>
      <c r="U6323" t="s">
        <v>13338</v>
      </c>
      <c r="V6323" t="s">
        <v>13338</v>
      </c>
      <c r="W6323" t="s">
        <v>19599</v>
      </c>
      <c r="X6323">
        <v>2</v>
      </c>
      <c r="Y6323" t="s">
        <v>26082</v>
      </c>
      <c r="Z6323" t="s">
        <v>32738</v>
      </c>
      <c r="AA6323">
        <v>0.63836526606460575</v>
      </c>
      <c r="AB6323" t="str">
        <f>HYPERLINK("Melting_Curves/meltCurve_Q9UKR5_C14orf1.pdf", "Melting_Curves/meltCurve_Q9UKR5_C14orf1.pdf")</f>
        <v>Melting_Curves/meltCurve_Q9UKR5_C14orf1.pdf</v>
      </c>
    </row>
    <row r="6324" spans="1:28" x14ac:dyDescent="0.25">
      <c r="A6324" t="s">
        <v>6328</v>
      </c>
      <c r="B6324">
        <v>0.99193492352474899</v>
      </c>
      <c r="C6324">
        <v>0.85272448523311895</v>
      </c>
      <c r="D6324">
        <v>0.73568441911321802</v>
      </c>
      <c r="E6324">
        <v>0.34099929730260098</v>
      </c>
      <c r="F6324">
        <v>0.19559120179613901</v>
      </c>
      <c r="G6324">
        <v>0.10408887930309201</v>
      </c>
      <c r="H6324">
        <v>8.1427396210641503E-2</v>
      </c>
      <c r="I6324">
        <v>0.10607921633994701</v>
      </c>
      <c r="J6324">
        <v>0.15215481171017101</v>
      </c>
      <c r="K6324">
        <v>0.124615871700874</v>
      </c>
      <c r="L6324">
        <v>1009.09096010142</v>
      </c>
      <c r="M6324">
        <v>21.2777133330544</v>
      </c>
      <c r="N6324">
        <v>47.964236612708099</v>
      </c>
      <c r="O6324">
        <v>47.011839966973099</v>
      </c>
      <c r="P6324">
        <v>-0.10111233007051</v>
      </c>
      <c r="Q6324">
        <v>0.10641590394975201</v>
      </c>
      <c r="R6324">
        <v>0.99100821332761102</v>
      </c>
      <c r="S6324" t="s">
        <v>12994</v>
      </c>
      <c r="T6324" t="s">
        <v>13338</v>
      </c>
      <c r="U6324" t="s">
        <v>13338</v>
      </c>
      <c r="V6324" t="s">
        <v>13338</v>
      </c>
      <c r="W6324" t="s">
        <v>19600</v>
      </c>
      <c r="X6324">
        <v>10</v>
      </c>
      <c r="Y6324" t="s">
        <v>26083</v>
      </c>
      <c r="Z6324" t="s">
        <v>32739</v>
      </c>
      <c r="AA6324">
        <v>0.33883273051330992</v>
      </c>
      <c r="AB6324" t="str">
        <f>HYPERLINK("Melting_Curves/meltCurve_Q9UKS6_PACSIN3.pdf", "Melting_Curves/meltCurve_Q9UKS6_PACSIN3.pdf")</f>
        <v>Melting_Curves/meltCurve_Q9UKS6_PACSIN3.pdf</v>
      </c>
    </row>
    <row r="6325" spans="1:28" x14ac:dyDescent="0.25">
      <c r="A6325" t="s">
        <v>6329</v>
      </c>
      <c r="B6325">
        <v>0.99193492352474899</v>
      </c>
      <c r="C6325">
        <v>0.60945321000629404</v>
      </c>
      <c r="D6325">
        <v>0.68615977313887999</v>
      </c>
      <c r="E6325">
        <v>0.45592816149559201</v>
      </c>
      <c r="F6325">
        <v>0.31318412593123801</v>
      </c>
      <c r="G6325">
        <v>0.13342937214740699</v>
      </c>
      <c r="H6325">
        <v>7.4877454849143807E-2</v>
      </c>
      <c r="I6325">
        <v>8.1887517506097698E-2</v>
      </c>
      <c r="J6325">
        <v>8.3096240764400503E-2</v>
      </c>
      <c r="K6325">
        <v>7.2896454986883699E-2</v>
      </c>
      <c r="L6325">
        <v>483.31808643207302</v>
      </c>
      <c r="M6325">
        <v>10.0342161667098</v>
      </c>
      <c r="N6325">
        <v>48.229544332373898</v>
      </c>
      <c r="O6325">
        <v>46.371201526457597</v>
      </c>
      <c r="P6325">
        <v>-5.3773356351757402E-2</v>
      </c>
      <c r="Q6325">
        <v>6.4640432221136001E-3</v>
      </c>
      <c r="R6325">
        <v>0.94712605311572196</v>
      </c>
      <c r="S6325" t="s">
        <v>12995</v>
      </c>
      <c r="T6325" t="s">
        <v>13338</v>
      </c>
      <c r="U6325" t="s">
        <v>13338</v>
      </c>
      <c r="V6325" t="s">
        <v>13338</v>
      </c>
      <c r="W6325" t="s">
        <v>19601</v>
      </c>
      <c r="X6325">
        <v>2</v>
      </c>
      <c r="Y6325" t="s">
        <v>26084</v>
      </c>
      <c r="Z6325" t="s">
        <v>32740</v>
      </c>
      <c r="AA6325">
        <v>0.32859715561771419</v>
      </c>
      <c r="AB6325" t="str">
        <f>HYPERLINK("Melting_Curves/meltCurve_Q9UKT4_2_FBXO5.pdf", "Melting_Curves/meltCurve_Q9UKT4_2_FBXO5.pdf")</f>
        <v>Melting_Curves/meltCurve_Q9UKT4_2_FBXO5.pdf</v>
      </c>
    </row>
    <row r="6326" spans="1:28" x14ac:dyDescent="0.25">
      <c r="A6326" t="s">
        <v>6330</v>
      </c>
      <c r="B6326">
        <v>0.99193492352474899</v>
      </c>
      <c r="C6326">
        <v>0.89191907323872799</v>
      </c>
      <c r="D6326">
        <v>0.92529201261846095</v>
      </c>
      <c r="E6326">
        <v>0.68466370481078598</v>
      </c>
      <c r="F6326">
        <v>0.27631986133663999</v>
      </c>
      <c r="G6326">
        <v>0.17743055404972299</v>
      </c>
      <c r="H6326">
        <v>0.11518043465596201</v>
      </c>
      <c r="I6326">
        <v>0.140870903494422</v>
      </c>
      <c r="J6326">
        <v>0.122442767310046</v>
      </c>
      <c r="K6326">
        <v>0.145098821185424</v>
      </c>
      <c r="L6326">
        <v>1373.51418766694</v>
      </c>
      <c r="M6326">
        <v>27.2273879532788</v>
      </c>
      <c r="N6326">
        <v>50.996823459461801</v>
      </c>
      <c r="O6326">
        <v>50.176281787421303</v>
      </c>
      <c r="P6326">
        <v>-0.118379052056204</v>
      </c>
      <c r="Q6326">
        <v>0.12738398259842801</v>
      </c>
      <c r="R6326">
        <v>0.990303210859101</v>
      </c>
      <c r="S6326" t="s">
        <v>12996</v>
      </c>
      <c r="T6326" t="s">
        <v>13338</v>
      </c>
      <c r="U6326" t="s">
        <v>13338</v>
      </c>
      <c r="V6326" t="s">
        <v>13338</v>
      </c>
      <c r="W6326" t="s">
        <v>19602</v>
      </c>
      <c r="X6326">
        <v>6</v>
      </c>
      <c r="Y6326" t="s">
        <v>26085</v>
      </c>
      <c r="Z6326" t="s">
        <v>32741</v>
      </c>
      <c r="AA6326">
        <v>0.43783725488362912</v>
      </c>
      <c r="AB6326" t="str">
        <f>HYPERLINK("Melting_Curves/meltCurve_Q9UKT5_FBXO4.pdf", "Melting_Curves/meltCurve_Q9UKT5_FBXO4.pdf")</f>
        <v>Melting_Curves/meltCurve_Q9UKT5_FBXO4.pdf</v>
      </c>
    </row>
    <row r="6327" spans="1:28" x14ac:dyDescent="0.25">
      <c r="A6327" t="s">
        <v>6331</v>
      </c>
      <c r="B6327">
        <v>0.99193492352474899</v>
      </c>
      <c r="C6327">
        <v>1.0039942422172401</v>
      </c>
      <c r="D6327">
        <v>0.96107528462868197</v>
      </c>
      <c r="E6327">
        <v>0.82092105643966196</v>
      </c>
      <c r="F6327">
        <v>0.75786590467590897</v>
      </c>
      <c r="G6327">
        <v>0.49635866249207999</v>
      </c>
      <c r="H6327">
        <v>0.25315313202804202</v>
      </c>
      <c r="I6327">
        <v>0.21519953943817299</v>
      </c>
      <c r="J6327">
        <v>0.19738907592657201</v>
      </c>
      <c r="K6327">
        <v>0.177184259545805</v>
      </c>
      <c r="L6327">
        <v>892.22467346472104</v>
      </c>
      <c r="M6327">
        <v>16.0965058062582</v>
      </c>
      <c r="N6327">
        <v>56.510691705205403</v>
      </c>
      <c r="O6327">
        <v>54.595351039082303</v>
      </c>
      <c r="P6327">
        <v>-6.3946221819337595E-2</v>
      </c>
      <c r="Q6327">
        <v>0.132507448207385</v>
      </c>
      <c r="R6327">
        <v>0.99115279614287799</v>
      </c>
      <c r="S6327" t="s">
        <v>12997</v>
      </c>
      <c r="T6327" t="s">
        <v>13338</v>
      </c>
      <c r="U6327" t="s">
        <v>13338</v>
      </c>
      <c r="V6327" t="s">
        <v>13338</v>
      </c>
      <c r="W6327" t="s">
        <v>19603</v>
      </c>
      <c r="X6327">
        <v>20</v>
      </c>
      <c r="Y6327" t="s">
        <v>26086</v>
      </c>
      <c r="Z6327" t="s">
        <v>32742</v>
      </c>
      <c r="AA6327">
        <v>0.59372583825287961</v>
      </c>
      <c r="AB6327" t="str">
        <f>HYPERLINK("Melting_Curves/meltCurve_Q9UKU7_ACAD8.pdf", "Melting_Curves/meltCurve_Q9UKU7_ACAD8.pdf")</f>
        <v>Melting_Curves/meltCurve_Q9UKU7_ACAD8.pdf</v>
      </c>
    </row>
    <row r="6328" spans="1:28" x14ac:dyDescent="0.25">
      <c r="A6328" t="s">
        <v>6332</v>
      </c>
      <c r="B6328">
        <v>0.99193492352474899</v>
      </c>
      <c r="C6328">
        <v>1.0340942866808001</v>
      </c>
      <c r="D6328">
        <v>0.80435493071426201</v>
      </c>
      <c r="E6328">
        <v>0.44907311831600899</v>
      </c>
      <c r="F6328">
        <v>0.25166632165166702</v>
      </c>
      <c r="G6328">
        <v>0.15372624679362501</v>
      </c>
      <c r="H6328">
        <v>8.9670693732328999E-2</v>
      </c>
      <c r="I6328">
        <v>0.15823334678298501</v>
      </c>
      <c r="J6328">
        <v>0.16131637815795</v>
      </c>
      <c r="K6328">
        <v>0.133793472433685</v>
      </c>
      <c r="L6328">
        <v>1209.7558312746301</v>
      </c>
      <c r="M6328">
        <v>24.934485475593998</v>
      </c>
      <c r="N6328">
        <v>49.150057320842798</v>
      </c>
      <c r="O6328">
        <v>48.208557269457799</v>
      </c>
      <c r="P6328">
        <v>-0.111556267950825</v>
      </c>
      <c r="Q6328">
        <v>0.137276518708603</v>
      </c>
      <c r="R6328">
        <v>0.99270533780168702</v>
      </c>
      <c r="S6328" t="s">
        <v>12998</v>
      </c>
      <c r="T6328" t="s">
        <v>13338</v>
      </c>
      <c r="U6328" t="s">
        <v>13338</v>
      </c>
      <c r="V6328" t="s">
        <v>13338</v>
      </c>
      <c r="W6328" t="s">
        <v>19604</v>
      </c>
      <c r="X6328">
        <v>2</v>
      </c>
      <c r="Y6328" t="s">
        <v>26087</v>
      </c>
      <c r="Z6328" t="s">
        <v>32743</v>
      </c>
      <c r="AA6328">
        <v>0.38988371598815008</v>
      </c>
      <c r="AB6328" t="str">
        <f>HYPERLINK("Melting_Curves/meltCurve_Q9UKV5_AMFR.pdf", "Melting_Curves/meltCurve_Q9UKV5_AMFR.pdf")</f>
        <v>Melting_Curves/meltCurve_Q9UKV5_AMFR.pdf</v>
      </c>
    </row>
    <row r="6329" spans="1:28" x14ac:dyDescent="0.25">
      <c r="A6329" t="s">
        <v>6333</v>
      </c>
      <c r="B6329">
        <v>0.99193492352474899</v>
      </c>
      <c r="C6329">
        <v>0.770204378959643</v>
      </c>
      <c r="D6329">
        <v>0.90350805350515295</v>
      </c>
      <c r="E6329">
        <v>0.65235911275637304</v>
      </c>
      <c r="F6329">
        <v>0.57532456731581105</v>
      </c>
      <c r="G6329">
        <v>0.44027816988565599</v>
      </c>
      <c r="H6329">
        <v>0.34082534365229</v>
      </c>
      <c r="I6329">
        <v>0.293741460147878</v>
      </c>
      <c r="J6329">
        <v>0.22301053145947999</v>
      </c>
      <c r="K6329">
        <v>0.19832607157585599</v>
      </c>
      <c r="L6329">
        <v>405.89369345624499</v>
      </c>
      <c r="M6329">
        <v>7.4516045077819797</v>
      </c>
      <c r="N6329">
        <v>55.130690096063603</v>
      </c>
      <c r="O6329">
        <v>50.961017433683601</v>
      </c>
      <c r="P6329">
        <v>-3.5046955741043502E-2</v>
      </c>
      <c r="Q6329">
        <v>4.2674900647355199E-2</v>
      </c>
      <c r="R6329">
        <v>0.96219041168631003</v>
      </c>
      <c r="S6329" t="s">
        <v>12999</v>
      </c>
      <c r="T6329" t="s">
        <v>13338</v>
      </c>
      <c r="U6329" t="s">
        <v>13338</v>
      </c>
      <c r="V6329" t="s">
        <v>13338</v>
      </c>
      <c r="W6329" t="s">
        <v>19605</v>
      </c>
      <c r="X6329">
        <v>18</v>
      </c>
      <c r="Y6329" t="s">
        <v>26088</v>
      </c>
      <c r="Z6329" t="s">
        <v>32744</v>
      </c>
      <c r="AA6329">
        <v>0.53448580487994368</v>
      </c>
      <c r="AB6329" t="str">
        <f>HYPERLINK("Melting_Curves/meltCurve_Q9UKV8_AGO2.pdf", "Melting_Curves/meltCurve_Q9UKV8_AGO2.pdf")</f>
        <v>Melting_Curves/meltCurve_Q9UKV8_AGO2.pdf</v>
      </c>
    </row>
    <row r="6330" spans="1:28" x14ac:dyDescent="0.25">
      <c r="A6330" t="s">
        <v>6334</v>
      </c>
      <c r="B6330">
        <v>0.99193492352474899</v>
      </c>
      <c r="C6330">
        <v>0.57762359074196101</v>
      </c>
      <c r="D6330">
        <v>0.23601097545253499</v>
      </c>
      <c r="E6330">
        <v>0.12791235520688901</v>
      </c>
      <c r="F6330">
        <v>9.0237099660210998E-2</v>
      </c>
      <c r="G6330">
        <v>6.2685931993445701E-2</v>
      </c>
      <c r="H6330">
        <v>3.1661268607048203E-2</v>
      </c>
      <c r="I6330">
        <v>2.4174611241249099E-2</v>
      </c>
      <c r="J6330">
        <v>2.6168494956627399E-2</v>
      </c>
      <c r="K6330">
        <v>2.3094875373433198E-2</v>
      </c>
      <c r="L6330">
        <v>1202.26067322364</v>
      </c>
      <c r="M6330">
        <v>27.640544237405798</v>
      </c>
      <c r="N6330">
        <v>43.661273580024996</v>
      </c>
      <c r="O6330">
        <v>43.270517724614301</v>
      </c>
      <c r="P6330">
        <v>-0.15177788191735</v>
      </c>
      <c r="Q6330">
        <v>4.9592179803885701E-2</v>
      </c>
      <c r="R6330">
        <v>0.98669027181699598</v>
      </c>
      <c r="S6330" t="s">
        <v>13000</v>
      </c>
      <c r="T6330" t="s">
        <v>13338</v>
      </c>
      <c r="U6330" t="s">
        <v>13338</v>
      </c>
      <c r="V6330" t="s">
        <v>13338</v>
      </c>
      <c r="W6330" t="s">
        <v>19606</v>
      </c>
      <c r="X6330">
        <v>11</v>
      </c>
      <c r="Y6330" t="s">
        <v>26089</v>
      </c>
      <c r="Z6330" t="s">
        <v>32745</v>
      </c>
      <c r="AA6330">
        <v>0.16977888705741651</v>
      </c>
      <c r="AB6330" t="str">
        <f>HYPERLINK("Melting_Curves/meltCurve_Q9UKW4_VAV3.pdf", "Melting_Curves/meltCurve_Q9UKW4_VAV3.pdf")</f>
        <v>Melting_Curves/meltCurve_Q9UKW4_VAV3.pdf</v>
      </c>
    </row>
    <row r="6331" spans="1:28" x14ac:dyDescent="0.25">
      <c r="A6331" t="s">
        <v>6335</v>
      </c>
      <c r="B6331">
        <v>0.99193492352474899</v>
      </c>
      <c r="C6331">
        <v>0.74238339041628498</v>
      </c>
      <c r="D6331">
        <v>0.87628216827341199</v>
      </c>
      <c r="E6331">
        <v>0.68278258186411001</v>
      </c>
      <c r="F6331">
        <v>0.38243175456157202</v>
      </c>
      <c r="G6331">
        <v>0.123027991441252</v>
      </c>
      <c r="H6331">
        <v>7.7119346596571201E-2</v>
      </c>
      <c r="I6331">
        <v>0.102527880744988</v>
      </c>
      <c r="J6331">
        <v>0.176043845649276</v>
      </c>
      <c r="K6331">
        <v>0.162153810101652</v>
      </c>
      <c r="L6331">
        <v>881.71499290350505</v>
      </c>
      <c r="M6331">
        <v>17.452669532249399</v>
      </c>
      <c r="N6331">
        <v>51.155196604788301</v>
      </c>
      <c r="O6331">
        <v>49.871074264588003</v>
      </c>
      <c r="P6331">
        <v>-7.8974529129931095E-2</v>
      </c>
      <c r="Q6331">
        <v>9.7370152528677603E-2</v>
      </c>
      <c r="R6331">
        <v>0.93649072507027997</v>
      </c>
      <c r="S6331" t="s">
        <v>13001</v>
      </c>
      <c r="T6331" t="s">
        <v>13338</v>
      </c>
      <c r="U6331" t="s">
        <v>13338</v>
      </c>
      <c r="V6331" t="s">
        <v>13338</v>
      </c>
      <c r="W6331" t="s">
        <v>19607</v>
      </c>
      <c r="X6331">
        <v>20</v>
      </c>
      <c r="Y6331" t="s">
        <v>26090</v>
      </c>
      <c r="Z6331" t="s">
        <v>32746</v>
      </c>
      <c r="AA6331">
        <v>0.43009096024461158</v>
      </c>
      <c r="AB6331" t="str">
        <f>HYPERLINK("Melting_Curves/meltCurve_Q9UKX7_NUP50.pdf", "Melting_Curves/meltCurve_Q9UKX7_NUP50.pdf")</f>
        <v>Melting_Curves/meltCurve_Q9UKX7_NUP50.pdf</v>
      </c>
    </row>
    <row r="6332" spans="1:28" x14ac:dyDescent="0.25">
      <c r="A6332" t="s">
        <v>6336</v>
      </c>
      <c r="B6332">
        <v>0.99193492352474899</v>
      </c>
      <c r="C6332">
        <v>0.82439257245157904</v>
      </c>
      <c r="D6332">
        <v>0.64939398456755404</v>
      </c>
      <c r="E6332">
        <v>0.476236413675235</v>
      </c>
      <c r="F6332">
        <v>0.35135377826824199</v>
      </c>
      <c r="G6332">
        <v>0.21108232880573199</v>
      </c>
      <c r="H6332">
        <v>0.14097028410964699</v>
      </c>
      <c r="I6332">
        <v>0.128112773791725</v>
      </c>
      <c r="J6332">
        <v>0.152859265716981</v>
      </c>
      <c r="K6332">
        <v>0.119444184932108</v>
      </c>
      <c r="L6332">
        <v>597.96292456118294</v>
      </c>
      <c r="M6332">
        <v>12.412662828147001</v>
      </c>
      <c r="N6332">
        <v>49.077558942295099</v>
      </c>
      <c r="O6332">
        <v>46.974512856851703</v>
      </c>
      <c r="P6332">
        <v>-5.9322761325318697E-2</v>
      </c>
      <c r="Q6332">
        <v>0.102184954437865</v>
      </c>
      <c r="R6332">
        <v>0.99201558074695595</v>
      </c>
      <c r="S6332" t="s">
        <v>13002</v>
      </c>
      <c r="T6332" t="s">
        <v>13338</v>
      </c>
      <c r="U6332" t="s">
        <v>13338</v>
      </c>
      <c r="V6332" t="s">
        <v>13338</v>
      </c>
      <c r="W6332" t="s">
        <v>19608</v>
      </c>
      <c r="X6332">
        <v>3</v>
      </c>
      <c r="Y6332" t="s">
        <v>26091</v>
      </c>
      <c r="Z6332" t="s">
        <v>32747</v>
      </c>
      <c r="AA6332">
        <v>0.37951688211815349</v>
      </c>
      <c r="AB6332" t="str">
        <f>HYPERLINK("Melting_Curves/meltCurve_Q9UKY1_ZHX1.pdf", "Melting_Curves/meltCurve_Q9UKY1_ZHX1.pdf")</f>
        <v>Melting_Curves/meltCurve_Q9UKY1_ZHX1.pdf</v>
      </c>
    </row>
    <row r="6333" spans="1:28" x14ac:dyDescent="0.25">
      <c r="A6333" t="s">
        <v>6337</v>
      </c>
      <c r="B6333">
        <v>0.99193492352474899</v>
      </c>
      <c r="C6333">
        <v>0.809155160780621</v>
      </c>
      <c r="D6333">
        <v>0.92582383198003304</v>
      </c>
      <c r="E6333">
        <v>0.79679003969594298</v>
      </c>
      <c r="F6333">
        <v>0.69190955369356399</v>
      </c>
      <c r="G6333">
        <v>0.53197717388854904</v>
      </c>
      <c r="H6333">
        <v>0.52287310667901199</v>
      </c>
      <c r="I6333">
        <v>0.63893418158945303</v>
      </c>
      <c r="J6333">
        <v>0.70720308874010696</v>
      </c>
      <c r="K6333">
        <v>0.956275344992639</v>
      </c>
      <c r="L6333">
        <v>748.95650841197505</v>
      </c>
      <c r="M6333">
        <v>16.257447769729499</v>
      </c>
      <c r="O6333">
        <v>45.388404298417498</v>
      </c>
      <c r="P6333">
        <v>-2.90976161830327E-2</v>
      </c>
      <c r="Q6333">
        <v>0.67507887095623698</v>
      </c>
      <c r="R6333">
        <v>0.39297407047733801</v>
      </c>
      <c r="S6333" t="s">
        <v>13003</v>
      </c>
      <c r="T6333" t="s">
        <v>13338</v>
      </c>
      <c r="U6333" t="s">
        <v>13338</v>
      </c>
      <c r="V6333" t="s">
        <v>13338</v>
      </c>
      <c r="W6333" t="s">
        <v>19609</v>
      </c>
      <c r="X6333">
        <v>18</v>
      </c>
      <c r="Y6333" t="s">
        <v>26092</v>
      </c>
      <c r="Z6333" t="s">
        <v>32748</v>
      </c>
      <c r="AA6333">
        <v>0.74874989419668203</v>
      </c>
      <c r="AB6333" t="str">
        <f>HYPERLINK("Melting_Curves/meltCurve_Q9UKY7_CDV3.pdf", "Melting_Curves/meltCurve_Q9UKY7_CDV3.pdf")</f>
        <v>Melting_Curves/meltCurve_Q9UKY7_CDV3.pdf</v>
      </c>
    </row>
    <row r="6334" spans="1:28" x14ac:dyDescent="0.25">
      <c r="A6334" t="s">
        <v>6338</v>
      </c>
      <c r="B6334">
        <v>0.99193492352474899</v>
      </c>
      <c r="C6334">
        <v>0.822348300768175</v>
      </c>
      <c r="D6334">
        <v>0.70430203368547495</v>
      </c>
      <c r="E6334">
        <v>0.45225283459592203</v>
      </c>
      <c r="F6334">
        <v>0.18428984651038899</v>
      </c>
      <c r="G6334">
        <v>0.215040976802027</v>
      </c>
      <c r="H6334">
        <v>0.114352706767313</v>
      </c>
      <c r="I6334">
        <v>6.6368505077033305E-2</v>
      </c>
      <c r="J6334">
        <v>8.9104785097902095E-2</v>
      </c>
      <c r="K6334">
        <v>0.12456951231787999</v>
      </c>
      <c r="L6334">
        <v>739.99606331685902</v>
      </c>
      <c r="M6334">
        <v>15.440668861939701</v>
      </c>
      <c r="N6334">
        <v>48.511756277848797</v>
      </c>
      <c r="O6334">
        <v>47.142839557385599</v>
      </c>
      <c r="P6334">
        <v>-7.4915873691296098E-2</v>
      </c>
      <c r="Q6334">
        <v>8.5161598236689895E-2</v>
      </c>
      <c r="R6334">
        <v>0.98679317805678102</v>
      </c>
      <c r="S6334" t="s">
        <v>13004</v>
      </c>
      <c r="T6334" t="s">
        <v>13338</v>
      </c>
      <c r="U6334" t="s">
        <v>13338</v>
      </c>
      <c r="V6334" t="s">
        <v>13338</v>
      </c>
      <c r="W6334" t="s">
        <v>19610</v>
      </c>
      <c r="X6334">
        <v>2</v>
      </c>
      <c r="Y6334" t="s">
        <v>26093</v>
      </c>
      <c r="Z6334" t="s">
        <v>32749</v>
      </c>
      <c r="AA6334">
        <v>0.3491340827534119</v>
      </c>
      <c r="AB6334" t="str">
        <f>HYPERLINK("Melting_Curves/meltCurve_Q9UKZ1_CNOT11.pdf", "Melting_Curves/meltCurve_Q9UKZ1_CNOT11.pdf")</f>
        <v>Melting_Curves/meltCurve_Q9UKZ1_CNOT11.pdf</v>
      </c>
    </row>
    <row r="6335" spans="1:28" x14ac:dyDescent="0.25">
      <c r="A6335" t="s">
        <v>6339</v>
      </c>
      <c r="B6335">
        <v>0.99193492352474899</v>
      </c>
      <c r="C6335">
        <v>0.76620243216415096</v>
      </c>
      <c r="D6335">
        <v>0.77216449688080002</v>
      </c>
      <c r="E6335">
        <v>0.257894015553496</v>
      </c>
      <c r="F6335">
        <v>0.14553947300097</v>
      </c>
      <c r="G6335">
        <v>8.0154846925768394E-2</v>
      </c>
      <c r="H6335">
        <v>5.1444631029701302E-2</v>
      </c>
      <c r="I6335">
        <v>6.1296621934935701E-2</v>
      </c>
      <c r="J6335">
        <v>6.6121550979402602E-2</v>
      </c>
      <c r="K6335">
        <v>7.6799773419357606E-2</v>
      </c>
      <c r="L6335">
        <v>981.79761098477195</v>
      </c>
      <c r="M6335">
        <v>20.747096196133</v>
      </c>
      <c r="N6335">
        <v>47.588585641352203</v>
      </c>
      <c r="O6335">
        <v>46.889107324402303</v>
      </c>
      <c r="P6335">
        <v>-0.104555931313632</v>
      </c>
      <c r="Q6335">
        <v>5.4827489027486298E-2</v>
      </c>
      <c r="R6335">
        <v>0.97178251141099703</v>
      </c>
      <c r="S6335" t="s">
        <v>13005</v>
      </c>
      <c r="T6335" t="s">
        <v>13338</v>
      </c>
      <c r="U6335" t="s">
        <v>13338</v>
      </c>
      <c r="V6335" t="s">
        <v>13338</v>
      </c>
      <c r="W6335" t="s">
        <v>19611</v>
      </c>
      <c r="X6335">
        <v>16</v>
      </c>
      <c r="Y6335" t="s">
        <v>26094</v>
      </c>
      <c r="Z6335" t="s">
        <v>32750</v>
      </c>
      <c r="AA6335">
        <v>0.2981400420364162</v>
      </c>
      <c r="AB6335" t="str">
        <f>HYPERLINK("Melting_Curves/meltCurve_Q9UL15_BAG5.pdf", "Melting_Curves/meltCurve_Q9UL15_BAG5.pdf")</f>
        <v>Melting_Curves/meltCurve_Q9UL15_BAG5.pdf</v>
      </c>
    </row>
    <row r="6336" spans="1:28" x14ac:dyDescent="0.25">
      <c r="A6336" t="s">
        <v>6340</v>
      </c>
      <c r="B6336">
        <v>0.99193492352474899</v>
      </c>
      <c r="C6336">
        <v>0.78751754701140997</v>
      </c>
      <c r="D6336">
        <v>0.87804409215849699</v>
      </c>
      <c r="E6336">
        <v>0.66986174162503997</v>
      </c>
      <c r="F6336">
        <v>0.63323727770174298</v>
      </c>
      <c r="G6336">
        <v>0.442181500617646</v>
      </c>
      <c r="H6336">
        <v>0.36239927757868301</v>
      </c>
      <c r="I6336">
        <v>0.28696410070065798</v>
      </c>
      <c r="J6336">
        <v>0.28885545946646002</v>
      </c>
      <c r="K6336">
        <v>0.29349859460211097</v>
      </c>
      <c r="L6336">
        <v>442.05035635146697</v>
      </c>
      <c r="M6336">
        <v>8.3465350250997705</v>
      </c>
      <c r="N6336">
        <v>55.593772938361099</v>
      </c>
      <c r="O6336">
        <v>50.1834690734959</v>
      </c>
      <c r="P6336">
        <v>-3.4828093955962897E-2</v>
      </c>
      <c r="Q6336">
        <v>0.16319311917025001</v>
      </c>
      <c r="R6336">
        <v>0.95984844131999003</v>
      </c>
      <c r="S6336" t="s">
        <v>13006</v>
      </c>
      <c r="T6336" t="s">
        <v>13338</v>
      </c>
      <c r="U6336" t="s">
        <v>13338</v>
      </c>
      <c r="V6336" t="s">
        <v>13338</v>
      </c>
      <c r="W6336" t="s">
        <v>19612</v>
      </c>
      <c r="X6336">
        <v>13</v>
      </c>
      <c r="Y6336" t="s">
        <v>26095</v>
      </c>
      <c r="Z6336" t="s">
        <v>32751</v>
      </c>
      <c r="AA6336">
        <v>0.55803629741719563</v>
      </c>
      <c r="AB6336" t="str">
        <f>HYPERLINK("Melting_Curves/meltCurve_Q9UL18_AGO1.pdf", "Melting_Curves/meltCurve_Q9UL18_AGO1.pdf")</f>
        <v>Melting_Curves/meltCurve_Q9UL18_AGO1.pdf</v>
      </c>
    </row>
    <row r="6337" spans="1:28" x14ac:dyDescent="0.25">
      <c r="A6337" t="s">
        <v>6341</v>
      </c>
      <c r="B6337">
        <v>0.99193492352474899</v>
      </c>
      <c r="C6337">
        <v>0.979144153375759</v>
      </c>
      <c r="D6337">
        <v>0.88698939345704197</v>
      </c>
      <c r="E6337">
        <v>0.89973484650014202</v>
      </c>
      <c r="F6337">
        <v>0.76463787675565198</v>
      </c>
      <c r="G6337">
        <v>0.58864564379323303</v>
      </c>
      <c r="H6337">
        <v>0.47700601230306</v>
      </c>
      <c r="I6337">
        <v>0.38788061537629698</v>
      </c>
      <c r="J6337">
        <v>0.22827159734712099</v>
      </c>
      <c r="K6337">
        <v>0.15475413517782799</v>
      </c>
      <c r="L6337">
        <v>574.38746584396802</v>
      </c>
      <c r="M6337">
        <v>9.6382642035429598</v>
      </c>
      <c r="N6337">
        <v>59.5944855295729</v>
      </c>
      <c r="O6337">
        <v>57.198588008084798</v>
      </c>
      <c r="P6337">
        <v>-4.2149906531965098E-2</v>
      </c>
      <c r="Q6337">
        <v>0</v>
      </c>
      <c r="R6337">
        <v>0.98886026002404903</v>
      </c>
      <c r="S6337" t="s">
        <v>13007</v>
      </c>
      <c r="T6337" t="s">
        <v>13338</v>
      </c>
      <c r="U6337" t="s">
        <v>13338</v>
      </c>
      <c r="V6337" t="s">
        <v>13338</v>
      </c>
      <c r="W6337" t="s">
        <v>19613</v>
      </c>
      <c r="X6337">
        <v>16</v>
      </c>
      <c r="Y6337" t="s">
        <v>26096</v>
      </c>
      <c r="Z6337" t="s">
        <v>32752</v>
      </c>
      <c r="AA6337">
        <v>0.65078906326052943</v>
      </c>
      <c r="AB6337" t="str">
        <f>HYPERLINK("Melting_Curves/meltCurve_Q9UL25_RAB21.pdf", "Melting_Curves/meltCurve_Q9UL25_RAB21.pdf")</f>
        <v>Melting_Curves/meltCurve_Q9UL25_RAB21.pdf</v>
      </c>
    </row>
    <row r="6338" spans="1:28" x14ac:dyDescent="0.25">
      <c r="A6338" t="s">
        <v>6342</v>
      </c>
      <c r="B6338">
        <v>0.99193492352474899</v>
      </c>
      <c r="C6338">
        <v>0.88836962876387604</v>
      </c>
      <c r="D6338">
        <v>0.90415592000754597</v>
      </c>
      <c r="E6338">
        <v>0.74632935520866495</v>
      </c>
      <c r="F6338">
        <v>0.60047570516886895</v>
      </c>
      <c r="G6338">
        <v>0.48579851716730799</v>
      </c>
      <c r="H6338">
        <v>0.26818683197843601</v>
      </c>
      <c r="I6338">
        <v>0.26004267912773799</v>
      </c>
      <c r="J6338">
        <v>0.29704717527624402</v>
      </c>
      <c r="K6338">
        <v>0.290429655416576</v>
      </c>
      <c r="L6338">
        <v>649.66736532573896</v>
      </c>
      <c r="M6338">
        <v>12.339665001646299</v>
      </c>
      <c r="N6338">
        <v>55.216653818860998</v>
      </c>
      <c r="O6338">
        <v>51.323298944630203</v>
      </c>
      <c r="P6338">
        <v>-4.69942922828262E-2</v>
      </c>
      <c r="Q6338">
        <v>0.21833195186443699</v>
      </c>
      <c r="R6338">
        <v>0.97912351067162395</v>
      </c>
      <c r="S6338" t="s">
        <v>13008</v>
      </c>
      <c r="T6338" t="s">
        <v>13338</v>
      </c>
      <c r="U6338" t="s">
        <v>13338</v>
      </c>
      <c r="V6338" t="s">
        <v>13338</v>
      </c>
      <c r="W6338" t="s">
        <v>19614</v>
      </c>
      <c r="X6338">
        <v>7</v>
      </c>
      <c r="Y6338" t="s">
        <v>26097</v>
      </c>
      <c r="Z6338" t="s">
        <v>32753</v>
      </c>
      <c r="AA6338">
        <v>0.57000830557588222</v>
      </c>
      <c r="AB6338" t="str">
        <f>HYPERLINK("Melting_Curves/meltCurve_Q9UL26_RAB22A.pdf", "Melting_Curves/meltCurve_Q9UL26_RAB22A.pdf")</f>
        <v>Melting_Curves/meltCurve_Q9UL26_RAB22A.pdf</v>
      </c>
    </row>
    <row r="6339" spans="1:28" x14ac:dyDescent="0.25">
      <c r="A6339" t="s">
        <v>6343</v>
      </c>
      <c r="B6339">
        <v>0.99193492352474899</v>
      </c>
      <c r="C6339">
        <v>0.83019237302414195</v>
      </c>
      <c r="D6339">
        <v>0.62077628577328903</v>
      </c>
      <c r="E6339">
        <v>0.25098379099585499</v>
      </c>
      <c r="F6339">
        <v>0.19057558102268299</v>
      </c>
      <c r="G6339">
        <v>9.9122321180117601E-2</v>
      </c>
      <c r="H6339">
        <v>6.1638116242083402E-2</v>
      </c>
      <c r="I6339">
        <v>4.6609054900277197E-2</v>
      </c>
      <c r="J6339">
        <v>6.2017365120806599E-2</v>
      </c>
      <c r="K6339">
        <v>5.8861223479690999E-2</v>
      </c>
      <c r="L6339">
        <v>886.20953716823101</v>
      </c>
      <c r="M6339">
        <v>18.974025866209299</v>
      </c>
      <c r="N6339">
        <v>47.017010168299898</v>
      </c>
      <c r="O6339">
        <v>46.196922001372897</v>
      </c>
      <c r="P6339">
        <v>-9.6636643211864298E-2</v>
      </c>
      <c r="Q6339">
        <v>5.8895150688610502E-2</v>
      </c>
      <c r="R6339">
        <v>0.99446923573954704</v>
      </c>
      <c r="S6339" t="s">
        <v>13009</v>
      </c>
      <c r="T6339" t="s">
        <v>13338</v>
      </c>
      <c r="U6339" t="s">
        <v>13338</v>
      </c>
      <c r="V6339" t="s">
        <v>13338</v>
      </c>
      <c r="W6339" t="s">
        <v>19615</v>
      </c>
      <c r="X6339">
        <v>5</v>
      </c>
      <c r="Y6339" t="s">
        <v>26098</v>
      </c>
      <c r="Z6339" t="s">
        <v>32754</v>
      </c>
      <c r="AA6339">
        <v>0.28497236754192468</v>
      </c>
      <c r="AB6339" t="str">
        <f>HYPERLINK("Melting_Curves/meltCurve_Q9UL42_PNMA2.pdf", "Melting_Curves/meltCurve_Q9UL42_PNMA2.pdf")</f>
        <v>Melting_Curves/meltCurve_Q9UL42_PNMA2.pdf</v>
      </c>
    </row>
    <row r="6340" spans="1:28" x14ac:dyDescent="0.25">
      <c r="A6340" t="s">
        <v>6344</v>
      </c>
      <c r="B6340">
        <v>0.99193492352474899</v>
      </c>
      <c r="C6340">
        <v>0.75418663134869202</v>
      </c>
      <c r="D6340">
        <v>0.86391997796068698</v>
      </c>
      <c r="E6340">
        <v>0.69289838352479804</v>
      </c>
      <c r="F6340">
        <v>0.59593429020225597</v>
      </c>
      <c r="G6340">
        <v>0.174236883092862</v>
      </c>
      <c r="H6340">
        <v>7.1522958644249193E-2</v>
      </c>
      <c r="I6340">
        <v>6.9325390544699703E-2</v>
      </c>
      <c r="J6340">
        <v>6.7351308218446496E-2</v>
      </c>
      <c r="K6340">
        <v>7.7308525671155606E-2</v>
      </c>
      <c r="L6340">
        <v>688.30954559671397</v>
      </c>
      <c r="M6340">
        <v>13.1087955450379</v>
      </c>
      <c r="N6340">
        <v>52.507476969707099</v>
      </c>
      <c r="O6340">
        <v>51.330610259524299</v>
      </c>
      <c r="P6340">
        <v>-6.3855834521679505E-2</v>
      </c>
      <c r="Q6340">
        <v>0</v>
      </c>
      <c r="R6340">
        <v>0.94232177422355601</v>
      </c>
      <c r="S6340" t="s">
        <v>13010</v>
      </c>
      <c r="T6340" t="s">
        <v>13338</v>
      </c>
      <c r="U6340" t="s">
        <v>13338</v>
      </c>
      <c r="V6340" t="s">
        <v>13338</v>
      </c>
      <c r="W6340" t="s">
        <v>19616</v>
      </c>
      <c r="X6340">
        <v>16</v>
      </c>
      <c r="Y6340" t="s">
        <v>26099</v>
      </c>
      <c r="Z6340" t="s">
        <v>32755</v>
      </c>
      <c r="AA6340">
        <v>0.44336046978160498</v>
      </c>
      <c r="AB6340" t="str">
        <f>HYPERLINK("Melting_Curves/meltCurve_Q9UL46_PSME2.pdf", "Melting_Curves/meltCurve_Q9UL46_PSME2.pdf")</f>
        <v>Melting_Curves/meltCurve_Q9UL46_PSME2.pdf</v>
      </c>
    </row>
    <row r="6341" spans="1:28" x14ac:dyDescent="0.25">
      <c r="A6341" t="s">
        <v>6345</v>
      </c>
      <c r="B6341">
        <v>0.99193492352474899</v>
      </c>
      <c r="C6341">
        <v>1.0662916507285201</v>
      </c>
      <c r="D6341">
        <v>0.75964615146297898</v>
      </c>
      <c r="E6341">
        <v>0.83772718170016902</v>
      </c>
      <c r="F6341">
        <v>0.50651010807358099</v>
      </c>
      <c r="G6341">
        <v>0.31747460193175098</v>
      </c>
      <c r="H6341">
        <v>0.13280206590544</v>
      </c>
      <c r="I6341">
        <v>0.157892829854693</v>
      </c>
      <c r="J6341">
        <v>9.1972655792066996E-2</v>
      </c>
      <c r="K6341">
        <v>8.3133026788456701E-2</v>
      </c>
      <c r="L6341">
        <v>786.00381945029005</v>
      </c>
      <c r="M6341">
        <v>14.798331358370801</v>
      </c>
      <c r="N6341">
        <v>53.5151113954919</v>
      </c>
      <c r="O6341">
        <v>52.172723971945601</v>
      </c>
      <c r="P6341">
        <v>-6.7198203075818794E-2</v>
      </c>
      <c r="Q6341">
        <v>5.2449963428976502E-2</v>
      </c>
      <c r="R6341">
        <v>0.96879411293640205</v>
      </c>
      <c r="S6341" t="s">
        <v>13011</v>
      </c>
      <c r="T6341" t="s">
        <v>13338</v>
      </c>
      <c r="U6341" t="s">
        <v>13338</v>
      </c>
      <c r="V6341" t="s">
        <v>13338</v>
      </c>
      <c r="W6341" t="s">
        <v>19617</v>
      </c>
      <c r="X6341">
        <v>5</v>
      </c>
      <c r="Y6341" t="s">
        <v>26100</v>
      </c>
      <c r="Z6341" t="s">
        <v>32756</v>
      </c>
      <c r="AA6341">
        <v>0.48733650481617002</v>
      </c>
      <c r="AB6341" t="str">
        <f>HYPERLINK("Melting_Curves/meltCurve_Q9UL63_MKLN1.pdf", "Melting_Curves/meltCurve_Q9UL63_MKLN1.pdf")</f>
        <v>Melting_Curves/meltCurve_Q9UL63_MKLN1.pdf</v>
      </c>
    </row>
    <row r="6342" spans="1:28" x14ac:dyDescent="0.25">
      <c r="A6342" t="s">
        <v>6346</v>
      </c>
      <c r="B6342">
        <v>0.99193492352474899</v>
      </c>
      <c r="C6342">
        <v>0.80961392736017201</v>
      </c>
      <c r="D6342">
        <v>1.0037457933723799</v>
      </c>
      <c r="E6342">
        <v>0.74703988936167998</v>
      </c>
      <c r="F6342">
        <v>0.63799965039185502</v>
      </c>
      <c r="G6342">
        <v>0.22641017179202699</v>
      </c>
      <c r="H6342">
        <v>9.0629154729893802E-2</v>
      </c>
      <c r="I6342">
        <v>6.5268861127438293E-2</v>
      </c>
      <c r="J6342">
        <v>7.4635290942266896E-2</v>
      </c>
      <c r="K6342">
        <v>6.0240070200673297E-2</v>
      </c>
      <c r="L6342">
        <v>986.85401219894595</v>
      </c>
      <c r="M6342">
        <v>18.420570080102198</v>
      </c>
      <c r="N6342">
        <v>53.730853666166603</v>
      </c>
      <c r="O6342">
        <v>52.954063250860997</v>
      </c>
      <c r="P6342">
        <v>-8.4684868526600496E-2</v>
      </c>
      <c r="Q6342">
        <v>2.62611233206144E-2</v>
      </c>
      <c r="R6342">
        <v>0.96328041233055195</v>
      </c>
      <c r="S6342" t="s">
        <v>13012</v>
      </c>
      <c r="T6342" t="s">
        <v>13338</v>
      </c>
      <c r="U6342" t="s">
        <v>13338</v>
      </c>
      <c r="V6342" t="s">
        <v>13338</v>
      </c>
      <c r="W6342" t="s">
        <v>19618</v>
      </c>
      <c r="X6342">
        <v>7</v>
      </c>
      <c r="Y6342" t="s">
        <v>26101</v>
      </c>
      <c r="Z6342" t="s">
        <v>32757</v>
      </c>
      <c r="AA6342">
        <v>0.482025692127451</v>
      </c>
      <c r="AB6342" t="str">
        <f>HYPERLINK("Melting_Curves/meltCurve_Q9ULC3_RAB23.pdf", "Melting_Curves/meltCurve_Q9ULC3_RAB23.pdf")</f>
        <v>Melting_Curves/meltCurve_Q9ULC3_RAB23.pdf</v>
      </c>
    </row>
    <row r="6343" spans="1:28" x14ac:dyDescent="0.25">
      <c r="A6343" t="s">
        <v>6347</v>
      </c>
      <c r="B6343">
        <v>0.99193492352474899</v>
      </c>
      <c r="C6343">
        <v>0.79411503706435105</v>
      </c>
      <c r="D6343">
        <v>0.93783681608569902</v>
      </c>
      <c r="E6343">
        <v>0.77001265471612901</v>
      </c>
      <c r="F6343">
        <v>0.72132370053940098</v>
      </c>
      <c r="G6343">
        <v>0.36998766708382902</v>
      </c>
      <c r="H6343">
        <v>0.139079759429587</v>
      </c>
      <c r="I6343">
        <v>6.2035071313333003E-2</v>
      </c>
      <c r="J6343">
        <v>6.1218184745892801E-2</v>
      </c>
      <c r="K6343">
        <v>6.4430125746915007E-2</v>
      </c>
      <c r="L6343">
        <v>835.62950814674798</v>
      </c>
      <c r="M6343">
        <v>15.2163770158642</v>
      </c>
      <c r="N6343">
        <v>54.916436363257503</v>
      </c>
      <c r="O6343">
        <v>53.994175377029201</v>
      </c>
      <c r="P6343">
        <v>-7.0460520561663006E-2</v>
      </c>
      <c r="Q6343">
        <v>0</v>
      </c>
      <c r="R6343">
        <v>0.95858140309026396</v>
      </c>
      <c r="S6343" t="s">
        <v>13013</v>
      </c>
      <c r="T6343" t="s">
        <v>13338</v>
      </c>
      <c r="U6343" t="s">
        <v>13338</v>
      </c>
      <c r="V6343" t="s">
        <v>13338</v>
      </c>
      <c r="W6343" t="s">
        <v>19619</v>
      </c>
      <c r="X6343">
        <v>10</v>
      </c>
      <c r="Y6343" t="s">
        <v>26102</v>
      </c>
      <c r="Z6343" t="s">
        <v>32758</v>
      </c>
      <c r="AA6343">
        <v>0.51631109334233993</v>
      </c>
      <c r="AB6343" t="str">
        <f>HYPERLINK("Melting_Curves/meltCurve_Q9ULC4_MCTS1.pdf", "Melting_Curves/meltCurve_Q9ULC4_MCTS1.pdf")</f>
        <v>Melting_Curves/meltCurve_Q9ULC4_MCTS1.pdf</v>
      </c>
    </row>
    <row r="6344" spans="1:28" x14ac:dyDescent="0.25">
      <c r="A6344" t="s">
        <v>6348</v>
      </c>
      <c r="B6344">
        <v>0.99193492352474899</v>
      </c>
      <c r="C6344">
        <v>0.68722598440390603</v>
      </c>
      <c r="D6344">
        <v>0.97311468620249097</v>
      </c>
      <c r="E6344">
        <v>0.57719037337604795</v>
      </c>
      <c r="F6344">
        <v>0.370358283262199</v>
      </c>
      <c r="G6344">
        <v>0.108648049767816</v>
      </c>
      <c r="H6344">
        <v>6.5591835729298498E-2</v>
      </c>
      <c r="I6344">
        <v>8.3780591164135901E-2</v>
      </c>
      <c r="J6344">
        <v>9.1736151954448203E-2</v>
      </c>
      <c r="K6344">
        <v>0.12083406291583</v>
      </c>
      <c r="L6344">
        <v>875.77061666345503</v>
      </c>
      <c r="M6344">
        <v>17.378557861227399</v>
      </c>
      <c r="N6344">
        <v>50.774539689934301</v>
      </c>
      <c r="O6344">
        <v>49.740686834566198</v>
      </c>
      <c r="P6344">
        <v>-8.2013711243327403E-2</v>
      </c>
      <c r="Q6344">
        <v>6.1098972172248203E-2</v>
      </c>
      <c r="R6344">
        <v>0.92127918768019601</v>
      </c>
      <c r="S6344" t="s">
        <v>13014</v>
      </c>
      <c r="T6344" t="s">
        <v>13338</v>
      </c>
      <c r="U6344" t="s">
        <v>13338</v>
      </c>
      <c r="V6344" t="s">
        <v>13338</v>
      </c>
      <c r="W6344" t="s">
        <v>19620</v>
      </c>
      <c r="X6344">
        <v>1</v>
      </c>
      <c r="Y6344" t="s">
        <v>26103</v>
      </c>
      <c r="Z6344" t="s">
        <v>32759</v>
      </c>
      <c r="AA6344">
        <v>0.40339198132898241</v>
      </c>
      <c r="AB6344" t="str">
        <f>HYPERLINK("Melting_Curves/meltCurve_Q9ULD2_4_MTUS1.pdf", "Melting_Curves/meltCurve_Q9ULD2_4_MTUS1.pdf")</f>
        <v>Melting_Curves/meltCurve_Q9ULD2_4_MTUS1.pdf</v>
      </c>
    </row>
    <row r="6345" spans="1:28" x14ac:dyDescent="0.25">
      <c r="A6345" t="s">
        <v>6349</v>
      </c>
      <c r="B6345">
        <v>0.99193492352474899</v>
      </c>
      <c r="C6345">
        <v>1.0703060333255801</v>
      </c>
      <c r="D6345">
        <v>1.0258446971303801</v>
      </c>
      <c r="E6345">
        <v>0.77382086463343602</v>
      </c>
      <c r="F6345">
        <v>0.66765784797000904</v>
      </c>
      <c r="G6345">
        <v>0.43631428965411601</v>
      </c>
      <c r="H6345">
        <v>0.20056897261759199</v>
      </c>
      <c r="I6345">
        <v>0.200702733985652</v>
      </c>
      <c r="J6345">
        <v>0.22472440125335599</v>
      </c>
      <c r="K6345">
        <v>0.242701457240067</v>
      </c>
      <c r="L6345">
        <v>1012.18319066549</v>
      </c>
      <c r="M6345">
        <v>18.852198808251199</v>
      </c>
      <c r="N6345">
        <v>55.088062906228799</v>
      </c>
      <c r="O6345">
        <v>53.097282883096</v>
      </c>
      <c r="P6345">
        <v>-7.1893612227183601E-2</v>
      </c>
      <c r="Q6345">
        <v>0.19007890292697599</v>
      </c>
      <c r="R6345">
        <v>0.97759399937888303</v>
      </c>
      <c r="S6345" t="s">
        <v>13015</v>
      </c>
      <c r="T6345" t="s">
        <v>13338</v>
      </c>
      <c r="U6345" t="s">
        <v>13338</v>
      </c>
      <c r="V6345" t="s">
        <v>13338</v>
      </c>
      <c r="W6345" t="s">
        <v>19621</v>
      </c>
      <c r="X6345">
        <v>13</v>
      </c>
      <c r="Y6345" t="s">
        <v>26104</v>
      </c>
      <c r="Z6345" t="s">
        <v>32760</v>
      </c>
      <c r="AA6345">
        <v>0.57184574422661361</v>
      </c>
      <c r="AB6345" t="str">
        <f>HYPERLINK("Melting_Curves/meltCurve_Q9ULE6_PALD1.pdf", "Melting_Curves/meltCurve_Q9ULE6_PALD1.pdf")</f>
        <v>Melting_Curves/meltCurve_Q9ULE6_PALD1.pdf</v>
      </c>
    </row>
    <row r="6346" spans="1:28" x14ac:dyDescent="0.25">
      <c r="A6346" t="s">
        <v>6350</v>
      </c>
      <c r="B6346">
        <v>0.99193492352474899</v>
      </c>
      <c r="C6346">
        <v>0.95697181680614996</v>
      </c>
      <c r="D6346">
        <v>0.99483787820487202</v>
      </c>
      <c r="E6346">
        <v>0.89435335381790504</v>
      </c>
      <c r="F6346">
        <v>0.76524402517046397</v>
      </c>
      <c r="G6346">
        <v>0.67641916533310698</v>
      </c>
      <c r="H6346">
        <v>0.51341382231958499</v>
      </c>
      <c r="I6346">
        <v>0.67888952730961805</v>
      </c>
      <c r="J6346">
        <v>0.70095122809405597</v>
      </c>
      <c r="K6346">
        <v>0.93484914661198404</v>
      </c>
      <c r="L6346">
        <v>1795.1164387978199</v>
      </c>
      <c r="M6346">
        <v>35.5084614804002</v>
      </c>
      <c r="O6346">
        <v>50.395075935664799</v>
      </c>
      <c r="P6346">
        <v>-5.2380404256192697E-2</v>
      </c>
      <c r="Q6346">
        <v>0.70263928271547405</v>
      </c>
      <c r="R6346">
        <v>0.62208802598922197</v>
      </c>
      <c r="S6346" t="s">
        <v>13016</v>
      </c>
      <c r="T6346" t="s">
        <v>13338</v>
      </c>
      <c r="U6346" t="s">
        <v>13338</v>
      </c>
      <c r="V6346" t="s">
        <v>13338</v>
      </c>
      <c r="W6346" t="s">
        <v>19622</v>
      </c>
      <c r="X6346">
        <v>7</v>
      </c>
      <c r="Y6346" t="s">
        <v>26105</v>
      </c>
      <c r="Z6346" t="s">
        <v>32761</v>
      </c>
      <c r="AA6346">
        <v>0.80857821270176411</v>
      </c>
      <c r="AB6346" t="str">
        <f>HYPERLINK("Melting_Curves/meltCurve_Q9ULF5_SLC39A10.pdf", "Melting_Curves/meltCurve_Q9ULF5_SLC39A10.pdf")</f>
        <v>Melting_Curves/meltCurve_Q9ULF5_SLC39A10.pdf</v>
      </c>
    </row>
    <row r="6347" spans="1:28" x14ac:dyDescent="0.25">
      <c r="A6347" t="s">
        <v>6351</v>
      </c>
      <c r="B6347">
        <v>0.99193492352474899</v>
      </c>
      <c r="C6347">
        <v>0.95379547585277602</v>
      </c>
      <c r="D6347">
        <v>0.80776148650762003</v>
      </c>
      <c r="E6347">
        <v>0.79063858298918699</v>
      </c>
      <c r="F6347">
        <v>0.519896841017224</v>
      </c>
      <c r="G6347">
        <v>0.313202387528138</v>
      </c>
      <c r="H6347">
        <v>0.18654804304179801</v>
      </c>
      <c r="I6347">
        <v>0.24661529931331599</v>
      </c>
      <c r="J6347">
        <v>0.29520631682798998</v>
      </c>
      <c r="K6347">
        <v>0.22992941619685001</v>
      </c>
      <c r="L6347">
        <v>853.09815245915399</v>
      </c>
      <c r="M6347">
        <v>16.581154329633002</v>
      </c>
      <c r="N6347">
        <v>53.210994185292797</v>
      </c>
      <c r="O6347">
        <v>50.718986311792797</v>
      </c>
      <c r="P6347">
        <v>-6.4475446269274803E-2</v>
      </c>
      <c r="Q6347">
        <v>0.21117525489875799</v>
      </c>
      <c r="R6347">
        <v>0.97106952547236702</v>
      </c>
      <c r="S6347" t="s">
        <v>13017</v>
      </c>
      <c r="T6347" t="s">
        <v>13338</v>
      </c>
      <c r="U6347" t="s">
        <v>13338</v>
      </c>
      <c r="V6347" t="s">
        <v>13338</v>
      </c>
      <c r="W6347" t="s">
        <v>19623</v>
      </c>
      <c r="X6347">
        <v>3</v>
      </c>
      <c r="Y6347" t="s">
        <v>26106</v>
      </c>
      <c r="Z6347" t="s">
        <v>32762</v>
      </c>
      <c r="AA6347">
        <v>0.52747343321770623</v>
      </c>
      <c r="AB6347" t="str">
        <f>HYPERLINK("Melting_Curves/meltCurve_Q9ULH0_2_KIDINS220.pdf", "Melting_Curves/meltCurve_Q9ULH0_2_KIDINS220.pdf")</f>
        <v>Melting_Curves/meltCurve_Q9ULH0_2_KIDINS220.pdf</v>
      </c>
    </row>
    <row r="6348" spans="1:28" x14ac:dyDescent="0.25">
      <c r="A6348" t="s">
        <v>6352</v>
      </c>
      <c r="B6348">
        <v>0.99193492352474899</v>
      </c>
      <c r="C6348">
        <v>0.78539456979521904</v>
      </c>
      <c r="D6348">
        <v>0.71736076386552305</v>
      </c>
      <c r="E6348">
        <v>0.40309764925359798</v>
      </c>
      <c r="F6348">
        <v>0.25475911450459399</v>
      </c>
      <c r="G6348">
        <v>0.16155504636451401</v>
      </c>
      <c r="H6348">
        <v>0.14282332715891199</v>
      </c>
      <c r="I6348">
        <v>0.175696176724361</v>
      </c>
      <c r="J6348">
        <v>0.21083356311290799</v>
      </c>
      <c r="K6348">
        <v>0.33805622201177299</v>
      </c>
      <c r="L6348">
        <v>875.40582565324303</v>
      </c>
      <c r="M6348">
        <v>18.729047715527699</v>
      </c>
      <c r="N6348">
        <v>48.021351424234403</v>
      </c>
      <c r="O6348">
        <v>46.2174553721553</v>
      </c>
      <c r="P6348">
        <v>-8.1396169993932496E-2</v>
      </c>
      <c r="Q6348">
        <v>0.19659224499563699</v>
      </c>
      <c r="R6348">
        <v>0.95109008862669897</v>
      </c>
      <c r="S6348" t="s">
        <v>13018</v>
      </c>
      <c r="T6348" t="s">
        <v>13338</v>
      </c>
      <c r="U6348" t="s">
        <v>13338</v>
      </c>
      <c r="V6348" t="s">
        <v>13338</v>
      </c>
      <c r="W6348" t="s">
        <v>19624</v>
      </c>
      <c r="X6348">
        <v>5</v>
      </c>
      <c r="Y6348" t="s">
        <v>26107</v>
      </c>
      <c r="Z6348" t="s">
        <v>32763</v>
      </c>
      <c r="AA6348">
        <v>0.39087093714699511</v>
      </c>
      <c r="AB6348" t="str">
        <f>HYPERLINK("Melting_Curves/meltCurve_Q9ULH7_4_MKL2.pdf", "Melting_Curves/meltCurve_Q9ULH7_4_MKL2.pdf")</f>
        <v>Melting_Curves/meltCurve_Q9ULH7_4_MKL2.pdf</v>
      </c>
    </row>
    <row r="6349" spans="1:28" x14ac:dyDescent="0.25">
      <c r="A6349" t="s">
        <v>6353</v>
      </c>
      <c r="B6349">
        <v>0.99193492352474899</v>
      </c>
      <c r="C6349">
        <v>0.96781623855015597</v>
      </c>
      <c r="D6349">
        <v>0.913066071299793</v>
      </c>
      <c r="E6349">
        <v>0.76357045686230096</v>
      </c>
      <c r="F6349">
        <v>0.68833798410210301</v>
      </c>
      <c r="G6349">
        <v>0.62673854961442699</v>
      </c>
      <c r="H6349">
        <v>0.37299759764335999</v>
      </c>
      <c r="I6349">
        <v>0.49791090548766598</v>
      </c>
      <c r="J6349">
        <v>0.47945462178882597</v>
      </c>
      <c r="K6349">
        <v>0.44464140652669798</v>
      </c>
      <c r="L6349">
        <v>669.823518061512</v>
      </c>
      <c r="M6349">
        <v>12.8953740137451</v>
      </c>
      <c r="N6349">
        <v>60.588811752067699</v>
      </c>
      <c r="O6349">
        <v>50.741367763103</v>
      </c>
      <c r="P6349">
        <v>-3.6818637411687297E-2</v>
      </c>
      <c r="Q6349">
        <v>0.42060230683022298</v>
      </c>
      <c r="R6349">
        <v>0.95151319760828101</v>
      </c>
      <c r="S6349" t="s">
        <v>13019</v>
      </c>
      <c r="T6349" t="s">
        <v>13338</v>
      </c>
      <c r="U6349" t="s">
        <v>13338</v>
      </c>
      <c r="V6349" t="s">
        <v>13338</v>
      </c>
      <c r="W6349" t="s">
        <v>19625</v>
      </c>
      <c r="X6349">
        <v>2</v>
      </c>
      <c r="Y6349" t="s">
        <v>26108</v>
      </c>
      <c r="Z6349" t="s">
        <v>32764</v>
      </c>
      <c r="AA6349">
        <v>0.66743106042333333</v>
      </c>
      <c r="AB6349" t="str">
        <f>HYPERLINK("Melting_Curves/meltCurve_Q9ULI3_HEG1.pdf", "Melting_Curves/meltCurve_Q9ULI3_HEG1.pdf")</f>
        <v>Melting_Curves/meltCurve_Q9ULI3_HEG1.pdf</v>
      </c>
    </row>
    <row r="6350" spans="1:28" x14ac:dyDescent="0.25">
      <c r="A6350" t="s">
        <v>6354</v>
      </c>
      <c r="B6350">
        <v>0.99193492352474899</v>
      </c>
      <c r="C6350">
        <v>1.13226588230637</v>
      </c>
      <c r="D6350">
        <v>0.96088901510852598</v>
      </c>
      <c r="E6350">
        <v>0.81319525649955204</v>
      </c>
      <c r="F6350">
        <v>0.40256099079797097</v>
      </c>
      <c r="G6350">
        <v>0.263049853698544</v>
      </c>
      <c r="H6350">
        <v>0.16899519037401101</v>
      </c>
      <c r="I6350">
        <v>0.16065039709689599</v>
      </c>
      <c r="J6350">
        <v>0.30817595578448598</v>
      </c>
      <c r="K6350">
        <v>0.18300805594345099</v>
      </c>
      <c r="L6350">
        <v>1652.38490047096</v>
      </c>
      <c r="M6350">
        <v>32.154375842524402</v>
      </c>
      <c r="N6350">
        <v>52.261101525773697</v>
      </c>
      <c r="O6350">
        <v>51.191571080562298</v>
      </c>
      <c r="P6350">
        <v>-0.124430071408795</v>
      </c>
      <c r="Q6350">
        <v>0.20760528548788501</v>
      </c>
      <c r="R6350">
        <v>0.97530501365625599</v>
      </c>
      <c r="S6350" t="s">
        <v>13020</v>
      </c>
      <c r="T6350" t="s">
        <v>13338</v>
      </c>
      <c r="U6350" t="s">
        <v>13338</v>
      </c>
      <c r="V6350" t="s">
        <v>13338</v>
      </c>
      <c r="W6350" t="s">
        <v>19626</v>
      </c>
      <c r="X6350">
        <v>2</v>
      </c>
      <c r="Y6350" t="s">
        <v>26109</v>
      </c>
      <c r="Z6350" t="s">
        <v>32765</v>
      </c>
      <c r="AA6350">
        <v>0.51279231034101747</v>
      </c>
      <c r="AB6350" t="str">
        <f>HYPERLINK("Melting_Curves/meltCurve_Q9ULJ3_2_ZBTB21.pdf", "Melting_Curves/meltCurve_Q9ULJ3_2_ZBTB21.pdf")</f>
        <v>Melting_Curves/meltCurve_Q9ULJ3_2_ZBTB21.pdf</v>
      </c>
    </row>
    <row r="6351" spans="1:28" x14ac:dyDescent="0.25">
      <c r="A6351" t="s">
        <v>6355</v>
      </c>
      <c r="B6351">
        <v>0.99193492352474899</v>
      </c>
      <c r="C6351">
        <v>1.0119437004527601</v>
      </c>
      <c r="D6351">
        <v>0.894038198261912</v>
      </c>
      <c r="E6351">
        <v>0.77434632329495101</v>
      </c>
      <c r="F6351">
        <v>0.65650671931423799</v>
      </c>
      <c r="G6351">
        <v>0.36212562061390202</v>
      </c>
      <c r="H6351">
        <v>0.16782953629418301</v>
      </c>
      <c r="I6351">
        <v>0.15473362090729001</v>
      </c>
      <c r="J6351">
        <v>0.18114900120916999</v>
      </c>
      <c r="K6351">
        <v>0.18392914716897599</v>
      </c>
      <c r="L6351">
        <v>883.36631847496199</v>
      </c>
      <c r="M6351">
        <v>16.4997916144127</v>
      </c>
      <c r="N6351">
        <v>54.4932026004251</v>
      </c>
      <c r="O6351">
        <v>52.770142455154001</v>
      </c>
      <c r="P6351">
        <v>-6.8357087386658605E-2</v>
      </c>
      <c r="Q6351">
        <v>0.12557378296406399</v>
      </c>
      <c r="R6351">
        <v>0.985640523797229</v>
      </c>
      <c r="S6351" t="s">
        <v>13021</v>
      </c>
      <c r="T6351" t="s">
        <v>13338</v>
      </c>
      <c r="U6351" t="s">
        <v>13338</v>
      </c>
      <c r="V6351" t="s">
        <v>13338</v>
      </c>
      <c r="W6351" t="s">
        <v>19627</v>
      </c>
      <c r="X6351">
        <v>10</v>
      </c>
      <c r="Y6351" t="s">
        <v>26110</v>
      </c>
      <c r="Z6351" t="s">
        <v>32766</v>
      </c>
      <c r="AA6351">
        <v>0.5362871445494547</v>
      </c>
      <c r="AB6351" t="str">
        <f>HYPERLINK("Melting_Curves/meltCurve_Q9ULJ6_ZMIZ1.pdf", "Melting_Curves/meltCurve_Q9ULJ6_ZMIZ1.pdf")</f>
        <v>Melting_Curves/meltCurve_Q9ULJ6_ZMIZ1.pdf</v>
      </c>
    </row>
    <row r="6352" spans="1:28" x14ac:dyDescent="0.25">
      <c r="A6352" t="s">
        <v>6356</v>
      </c>
      <c r="B6352">
        <v>0.99193492352474899</v>
      </c>
      <c r="C6352">
        <v>0.71522103727836295</v>
      </c>
      <c r="D6352">
        <v>0.71554483182025397</v>
      </c>
      <c r="E6352">
        <v>0.52622640575308499</v>
      </c>
      <c r="F6352">
        <v>0.37455503709758298</v>
      </c>
      <c r="G6352">
        <v>0.27303484637044201</v>
      </c>
      <c r="H6352">
        <v>0.27161985406120998</v>
      </c>
      <c r="I6352">
        <v>0.40167295365473599</v>
      </c>
      <c r="J6352">
        <v>0.50339446175473801</v>
      </c>
      <c r="K6352">
        <v>0.74808502511572905</v>
      </c>
      <c r="L6352">
        <v>856.77608943416396</v>
      </c>
      <c r="M6352">
        <v>19.276802274986501</v>
      </c>
      <c r="N6352">
        <v>49.605605673012299</v>
      </c>
      <c r="O6352">
        <v>43.975961118996899</v>
      </c>
      <c r="P6352">
        <v>-6.2174152391446101E-2</v>
      </c>
      <c r="Q6352">
        <v>0.43267272573015297</v>
      </c>
      <c r="R6352">
        <v>0.62473411169836202</v>
      </c>
      <c r="S6352" t="s">
        <v>13022</v>
      </c>
      <c r="T6352" t="s">
        <v>13338</v>
      </c>
      <c r="U6352" t="s">
        <v>13338</v>
      </c>
      <c r="V6352" t="s">
        <v>13338</v>
      </c>
      <c r="W6352" t="s">
        <v>19628</v>
      </c>
      <c r="X6352">
        <v>5</v>
      </c>
      <c r="Y6352" t="s">
        <v>26111</v>
      </c>
      <c r="Z6352" t="s">
        <v>32767</v>
      </c>
      <c r="AA6352">
        <v>0.52796723564206172</v>
      </c>
      <c r="AB6352" t="str">
        <f>HYPERLINK("Melting_Curves/meltCurve_Q9ULL5_3_PRR12.pdf", "Melting_Curves/meltCurve_Q9ULL5_3_PRR12.pdf")</f>
        <v>Melting_Curves/meltCurve_Q9ULL5_3_PRR12.pdf</v>
      </c>
    </row>
    <row r="6353" spans="1:28" x14ac:dyDescent="0.25">
      <c r="A6353" t="s">
        <v>6357</v>
      </c>
      <c r="B6353">
        <v>0.99193492352474899</v>
      </c>
      <c r="C6353">
        <v>0.73944335723697896</v>
      </c>
      <c r="D6353">
        <v>0.841571991212551</v>
      </c>
      <c r="E6353">
        <v>0.39395098230995701</v>
      </c>
      <c r="F6353">
        <v>9.4662193847572296E-2</v>
      </c>
      <c r="G6353">
        <v>5.9188040157635298E-2</v>
      </c>
      <c r="H6353">
        <v>3.9562660718651402E-2</v>
      </c>
      <c r="I6353">
        <v>4.3099942997947997E-2</v>
      </c>
      <c r="J6353">
        <v>5.6676248961403698E-2</v>
      </c>
      <c r="K6353">
        <v>7.1409771539550096E-2</v>
      </c>
      <c r="L6353">
        <v>1017.60061860164</v>
      </c>
      <c r="M6353">
        <v>21.070328301259</v>
      </c>
      <c r="N6353">
        <v>48.458733094941699</v>
      </c>
      <c r="O6353">
        <v>47.866721582892502</v>
      </c>
      <c r="P6353">
        <v>-0.10627822757243301</v>
      </c>
      <c r="Q6353">
        <v>3.4271229415873197E-2</v>
      </c>
      <c r="R6353">
        <v>0.95961907622894205</v>
      </c>
      <c r="S6353" t="s">
        <v>13023</v>
      </c>
      <c r="T6353" t="s">
        <v>13338</v>
      </c>
      <c r="U6353" t="s">
        <v>13338</v>
      </c>
      <c r="V6353" t="s">
        <v>13338</v>
      </c>
      <c r="W6353" t="s">
        <v>19629</v>
      </c>
      <c r="X6353">
        <v>3</v>
      </c>
      <c r="Y6353" t="s">
        <v>26112</v>
      </c>
      <c r="Z6353" t="s">
        <v>32768</v>
      </c>
      <c r="AA6353">
        <v>0.3135436399198071</v>
      </c>
      <c r="AB6353" t="str">
        <f>HYPERLINK("Melting_Curves/meltCurve_Q9ULP9_2_TBC1D24.pdf", "Melting_Curves/meltCurve_Q9ULP9_2_TBC1D24.pdf")</f>
        <v>Melting_Curves/meltCurve_Q9ULP9_2_TBC1D24.pdf</v>
      </c>
    </row>
    <row r="6354" spans="1:28" x14ac:dyDescent="0.25">
      <c r="A6354" t="s">
        <v>6358</v>
      </c>
      <c r="B6354">
        <v>0.99193492352474899</v>
      </c>
      <c r="C6354">
        <v>0.79232357987415802</v>
      </c>
      <c r="D6354">
        <v>0.613467777356278</v>
      </c>
      <c r="E6354">
        <v>0.50435342384885995</v>
      </c>
      <c r="F6354">
        <v>0.44463194483880503</v>
      </c>
      <c r="G6354">
        <v>0.34220127365102598</v>
      </c>
      <c r="H6354">
        <v>0.22338829438976701</v>
      </c>
      <c r="I6354">
        <v>0.31404440232950098</v>
      </c>
      <c r="J6354">
        <v>0.33695035430785403</v>
      </c>
      <c r="K6354">
        <v>0.48020593870607198</v>
      </c>
      <c r="L6354">
        <v>756.34077473089997</v>
      </c>
      <c r="M6354">
        <v>16.659221187712099</v>
      </c>
      <c r="N6354">
        <v>48.790278610327199</v>
      </c>
      <c r="O6354">
        <v>44.7616693801561</v>
      </c>
      <c r="P6354">
        <v>-6.11488509416575E-2</v>
      </c>
      <c r="Q6354">
        <v>0.342840472552285</v>
      </c>
      <c r="R6354">
        <v>0.91215545482306304</v>
      </c>
      <c r="S6354" t="s">
        <v>13024</v>
      </c>
      <c r="T6354" t="s">
        <v>13338</v>
      </c>
      <c r="U6354" t="s">
        <v>13338</v>
      </c>
      <c r="V6354" t="s">
        <v>13338</v>
      </c>
      <c r="W6354" t="s">
        <v>19630</v>
      </c>
      <c r="X6354">
        <v>19</v>
      </c>
      <c r="Y6354" t="s">
        <v>26113</v>
      </c>
      <c r="Z6354" t="s">
        <v>32769</v>
      </c>
      <c r="AA6354">
        <v>0.47729973451040603</v>
      </c>
      <c r="AB6354" t="str">
        <f>HYPERLINK("Melting_Curves/meltCurve_Q9ULR0_ISY1.pdf", "Melting_Curves/meltCurve_Q9ULR0_ISY1.pdf")</f>
        <v>Melting_Curves/meltCurve_Q9ULR0_ISY1.pdf</v>
      </c>
    </row>
    <row r="6355" spans="1:28" x14ac:dyDescent="0.25">
      <c r="A6355" t="s">
        <v>6359</v>
      </c>
      <c r="B6355">
        <v>0.99193492352474899</v>
      </c>
      <c r="C6355">
        <v>0.90099120992729498</v>
      </c>
      <c r="D6355">
        <v>0.90371163356684303</v>
      </c>
      <c r="E6355">
        <v>0.84489962353964598</v>
      </c>
      <c r="F6355">
        <v>0.82786717697275203</v>
      </c>
      <c r="G6355">
        <v>0.59425688588091197</v>
      </c>
      <c r="H6355">
        <v>0.359078245057109</v>
      </c>
      <c r="I6355">
        <v>0.163618625157331</v>
      </c>
      <c r="J6355">
        <v>0.178098118010244</v>
      </c>
      <c r="K6355">
        <v>0.18048025188742001</v>
      </c>
      <c r="L6355">
        <v>782.23619636342096</v>
      </c>
      <c r="M6355">
        <v>13.594431389967699</v>
      </c>
      <c r="N6355">
        <v>58.030216596507898</v>
      </c>
      <c r="O6355">
        <v>56.3386606882111</v>
      </c>
      <c r="P6355">
        <v>-5.70664303079427E-2</v>
      </c>
      <c r="Q6355">
        <v>5.4151388563342201E-2</v>
      </c>
      <c r="R6355">
        <v>0.97180336175412496</v>
      </c>
      <c r="S6355" t="s">
        <v>13025</v>
      </c>
      <c r="T6355" t="s">
        <v>13338</v>
      </c>
      <c r="U6355" t="s">
        <v>13338</v>
      </c>
      <c r="V6355" t="s">
        <v>13338</v>
      </c>
      <c r="W6355" t="s">
        <v>19631</v>
      </c>
      <c r="X6355">
        <v>13</v>
      </c>
      <c r="Y6355" t="s">
        <v>26114</v>
      </c>
      <c r="Z6355" t="s">
        <v>32770</v>
      </c>
      <c r="AA6355">
        <v>0.62130584463894545</v>
      </c>
      <c r="AB6355" t="str">
        <f>HYPERLINK("Melting_Curves/meltCurve_Q9ULR3_PPM1H.pdf", "Melting_Curves/meltCurve_Q9ULR3_PPM1H.pdf")</f>
        <v>Melting_Curves/meltCurve_Q9ULR3_PPM1H.pdf</v>
      </c>
    </row>
    <row r="6356" spans="1:28" x14ac:dyDescent="0.25">
      <c r="A6356" t="s">
        <v>6360</v>
      </c>
      <c r="B6356">
        <v>0.99193492352474899</v>
      </c>
      <c r="C6356">
        <v>0.96184337047303303</v>
      </c>
      <c r="D6356">
        <v>0.86141201163836401</v>
      </c>
      <c r="E6356">
        <v>0.36527953930623602</v>
      </c>
      <c r="F6356">
        <v>0.24063840971322201</v>
      </c>
      <c r="G6356">
        <v>0.15680823951189901</v>
      </c>
      <c r="H6356">
        <v>8.6815910584331094E-2</v>
      </c>
      <c r="I6356">
        <v>9.7963386710476996E-2</v>
      </c>
      <c r="J6356">
        <v>0.123746048510292</v>
      </c>
      <c r="K6356">
        <v>0.13426598234318299</v>
      </c>
      <c r="L6356">
        <v>1420.61890683365</v>
      </c>
      <c r="M6356">
        <v>29.424541314812</v>
      </c>
      <c r="N6356">
        <v>48.756711746837297</v>
      </c>
      <c r="O6356">
        <v>48.058724321388397</v>
      </c>
      <c r="P6356">
        <v>-0.133935036618479</v>
      </c>
      <c r="Q6356">
        <v>0.124988774512028</v>
      </c>
      <c r="R6356">
        <v>0.99314719994297995</v>
      </c>
      <c r="S6356" t="s">
        <v>13026</v>
      </c>
      <c r="T6356" t="s">
        <v>13338</v>
      </c>
      <c r="U6356" t="s">
        <v>13338</v>
      </c>
      <c r="V6356" t="s">
        <v>13338</v>
      </c>
      <c r="W6356" t="s">
        <v>19632</v>
      </c>
      <c r="X6356">
        <v>29</v>
      </c>
      <c r="Y6356" t="s">
        <v>26115</v>
      </c>
      <c r="Z6356" t="s">
        <v>32771</v>
      </c>
      <c r="AA6356">
        <v>0.37199163649349082</v>
      </c>
      <c r="AB6356" t="str">
        <f>HYPERLINK("Melting_Curves/meltCurve_Q9ULT8_HECTD1.pdf", "Melting_Curves/meltCurve_Q9ULT8_HECTD1.pdf")</f>
        <v>Melting_Curves/meltCurve_Q9ULT8_HECTD1.pdf</v>
      </c>
    </row>
    <row r="6357" spans="1:28" x14ac:dyDescent="0.25">
      <c r="A6357" t="s">
        <v>6361</v>
      </c>
      <c r="B6357">
        <v>0.99193492352474899</v>
      </c>
      <c r="C6357">
        <v>0.438109175737671</v>
      </c>
      <c r="D6357">
        <v>0.86715115114418695</v>
      </c>
      <c r="E6357">
        <v>0.434973709684018</v>
      </c>
      <c r="F6357">
        <v>0.31253419537328397</v>
      </c>
      <c r="G6357">
        <v>7.8431499086394393E-2</v>
      </c>
      <c r="H6357">
        <v>4.7063765887643799E-2</v>
      </c>
      <c r="I6357">
        <v>5.7391689015063897E-2</v>
      </c>
      <c r="J6357">
        <v>6.4704553963903205E-2</v>
      </c>
      <c r="K6357">
        <v>9.5843551470317395E-2</v>
      </c>
      <c r="L6357">
        <v>486.110498171453</v>
      </c>
      <c r="M6357">
        <v>10.0897748306582</v>
      </c>
      <c r="N6357">
        <v>48.1785282863828</v>
      </c>
      <c r="O6357">
        <v>46.400836576291397</v>
      </c>
      <c r="P6357">
        <v>-5.4387583120058203E-2</v>
      </c>
      <c r="Q6357">
        <v>0</v>
      </c>
      <c r="R6357">
        <v>0.81142334777763003</v>
      </c>
      <c r="S6357" t="s">
        <v>13027</v>
      </c>
      <c r="T6357" t="s">
        <v>13338</v>
      </c>
      <c r="U6357" t="s">
        <v>13338</v>
      </c>
      <c r="V6357" t="s">
        <v>13338</v>
      </c>
      <c r="W6357" t="s">
        <v>19633</v>
      </c>
      <c r="X6357">
        <v>17</v>
      </c>
      <c r="Y6357" t="s">
        <v>26116</v>
      </c>
      <c r="Z6357" t="s">
        <v>32772</v>
      </c>
      <c r="AA6357">
        <v>0.32412410747524378</v>
      </c>
      <c r="AB6357" t="str">
        <f>HYPERLINK("Melting_Curves/meltCurve_Q9ULV4_CORO1C.pdf", "Melting_Curves/meltCurve_Q9ULV4_CORO1C.pdf")</f>
        <v>Melting_Curves/meltCurve_Q9ULV4_CORO1C.pdf</v>
      </c>
    </row>
    <row r="6358" spans="1:28" x14ac:dyDescent="0.25">
      <c r="A6358" t="s">
        <v>6362</v>
      </c>
      <c r="B6358">
        <v>0.99193492352474899</v>
      </c>
      <c r="C6358">
        <v>0.58787191712141496</v>
      </c>
      <c r="D6358">
        <v>0.83176595353328098</v>
      </c>
      <c r="E6358">
        <v>0.61200257168503303</v>
      </c>
      <c r="F6358">
        <v>0.463537127888349</v>
      </c>
      <c r="G6358">
        <v>0.245757428825432</v>
      </c>
      <c r="H6358">
        <v>0.29686765436986801</v>
      </c>
      <c r="I6358">
        <v>0.40971033766634601</v>
      </c>
      <c r="J6358">
        <v>0.446531467181842</v>
      </c>
      <c r="K6358">
        <v>0.66847235555664197</v>
      </c>
      <c r="L6358">
        <v>603.320790672871</v>
      </c>
      <c r="M6358">
        <v>13.398078827743401</v>
      </c>
      <c r="N6358">
        <v>51.903050449581997</v>
      </c>
      <c r="O6358">
        <v>44.062714689549402</v>
      </c>
      <c r="P6358">
        <v>-4.4463254236534702E-2</v>
      </c>
      <c r="Q6358">
        <v>0.41518055486095401</v>
      </c>
      <c r="R6358">
        <v>0.57615997682114695</v>
      </c>
      <c r="S6358" t="s">
        <v>13028</v>
      </c>
      <c r="T6358" t="s">
        <v>13338</v>
      </c>
      <c r="U6358" t="s">
        <v>13338</v>
      </c>
      <c r="V6358" t="s">
        <v>13338</v>
      </c>
      <c r="W6358" t="s">
        <v>19634</v>
      </c>
      <c r="X6358">
        <v>38</v>
      </c>
      <c r="Y6358" t="s">
        <v>26117</v>
      </c>
      <c r="Z6358" t="s">
        <v>32773</v>
      </c>
      <c r="AA6358">
        <v>0.53682216006368855</v>
      </c>
      <c r="AB6358" t="str">
        <f>HYPERLINK("Melting_Curves/meltCurve_Q9ULW0_TPX2.pdf", "Melting_Curves/meltCurve_Q9ULW0_TPX2.pdf")</f>
        <v>Melting_Curves/meltCurve_Q9ULW0_TPX2.pdf</v>
      </c>
    </row>
    <row r="6359" spans="1:28" x14ac:dyDescent="0.25">
      <c r="A6359" t="s">
        <v>6363</v>
      </c>
      <c r="B6359">
        <v>0.99193492352474899</v>
      </c>
      <c r="C6359">
        <v>0.62761887221794499</v>
      </c>
      <c r="D6359">
        <v>0.75559103810093697</v>
      </c>
      <c r="E6359">
        <v>0.37662151307004699</v>
      </c>
      <c r="F6359">
        <v>0.16416804152817599</v>
      </c>
      <c r="G6359">
        <v>0.104133870634083</v>
      </c>
      <c r="H6359">
        <v>4.0487875445783E-2</v>
      </c>
      <c r="I6359">
        <v>6.6873258123274201E-2</v>
      </c>
      <c r="J6359">
        <v>6.7905125339670802E-2</v>
      </c>
      <c r="K6359">
        <v>5.8095961829568901E-2</v>
      </c>
      <c r="L6359">
        <v>629.77319074548802</v>
      </c>
      <c r="M6359">
        <v>13.2578342378683</v>
      </c>
      <c r="N6359">
        <v>47.663219718282797</v>
      </c>
      <c r="O6359">
        <v>46.460256262926201</v>
      </c>
      <c r="P6359">
        <v>-6.9786568764995893E-2</v>
      </c>
      <c r="Q6359">
        <v>2.1930417088497699E-2</v>
      </c>
      <c r="R6359">
        <v>0.94231732114983302</v>
      </c>
      <c r="S6359" t="s">
        <v>13029</v>
      </c>
      <c r="T6359" t="s">
        <v>13338</v>
      </c>
      <c r="U6359" t="s">
        <v>13338</v>
      </c>
      <c r="V6359" t="s">
        <v>13338</v>
      </c>
      <c r="W6359" t="s">
        <v>19635</v>
      </c>
      <c r="X6359">
        <v>10</v>
      </c>
      <c r="Y6359" t="s">
        <v>26118</v>
      </c>
      <c r="Z6359" t="s">
        <v>32774</v>
      </c>
      <c r="AA6359">
        <v>0.29941755419906441</v>
      </c>
      <c r="AB6359" t="str">
        <f>HYPERLINK("Melting_Curves/meltCurve_Q9ULX3_NOB1.pdf", "Melting_Curves/meltCurve_Q9ULX3_NOB1.pdf")</f>
        <v>Melting_Curves/meltCurve_Q9ULX3_NOB1.pdf</v>
      </c>
    </row>
    <row r="6360" spans="1:28" x14ac:dyDescent="0.25">
      <c r="A6360" t="s">
        <v>6364</v>
      </c>
      <c r="B6360">
        <v>0.99193492352474899</v>
      </c>
      <c r="C6360">
        <v>0.75341898169224397</v>
      </c>
      <c r="D6360">
        <v>0.64748874646048304</v>
      </c>
      <c r="E6360">
        <v>0.33457806972153398</v>
      </c>
      <c r="F6360">
        <v>0.193838720008361</v>
      </c>
      <c r="G6360">
        <v>0.12500416841408399</v>
      </c>
      <c r="H6360">
        <v>0.14644869214193099</v>
      </c>
      <c r="I6360">
        <v>0.26645182421060698</v>
      </c>
      <c r="J6360">
        <v>0.353554570356574</v>
      </c>
      <c r="K6360">
        <v>0.45924399050474402</v>
      </c>
      <c r="L6360">
        <v>1014.47163918871</v>
      </c>
      <c r="M6360">
        <v>22.3734921306038</v>
      </c>
      <c r="N6360">
        <v>46.830414436033301</v>
      </c>
      <c r="O6360">
        <v>44.985009908795703</v>
      </c>
      <c r="P6360">
        <v>-9.2711202724829897E-2</v>
      </c>
      <c r="Q6360">
        <v>0.254380832577428</v>
      </c>
      <c r="R6360">
        <v>0.858458309178595</v>
      </c>
      <c r="S6360" t="s">
        <v>13030</v>
      </c>
      <c r="T6360" t="s">
        <v>13338</v>
      </c>
      <c r="U6360" t="s">
        <v>13338</v>
      </c>
      <c r="V6360" t="s">
        <v>13338</v>
      </c>
      <c r="W6360" t="s">
        <v>19636</v>
      </c>
      <c r="X6360">
        <v>5</v>
      </c>
      <c r="Y6360" t="s">
        <v>26119</v>
      </c>
      <c r="Z6360" t="s">
        <v>32775</v>
      </c>
      <c r="AA6360">
        <v>0.39652547150640649</v>
      </c>
      <c r="AB6360" t="str">
        <f>HYPERLINK("Melting_Curves/meltCurve_Q9ULX6_AKAP8L.pdf", "Melting_Curves/meltCurve_Q9ULX6_AKAP8L.pdf")</f>
        <v>Melting_Curves/meltCurve_Q9ULX6_AKAP8L.pdf</v>
      </c>
    </row>
    <row r="6361" spans="1:28" x14ac:dyDescent="0.25">
      <c r="A6361" t="s">
        <v>6365</v>
      </c>
      <c r="B6361">
        <v>0.99193492352474899</v>
      </c>
      <c r="C6361">
        <v>0.89791437422309905</v>
      </c>
      <c r="D6361">
        <v>0.98741309431056201</v>
      </c>
      <c r="E6361">
        <v>0.69949281524878604</v>
      </c>
      <c r="F6361">
        <v>0.72834276882557503</v>
      </c>
      <c r="G6361">
        <v>0.31416986311967399</v>
      </c>
      <c r="H6361">
        <v>0.33529688566713201</v>
      </c>
      <c r="I6361">
        <v>0.51787433490032297</v>
      </c>
      <c r="J6361">
        <v>0.65247324574657795</v>
      </c>
      <c r="K6361">
        <v>1.0377070252582601</v>
      </c>
      <c r="L6361">
        <v>1841.0051825584901</v>
      </c>
      <c r="M6361">
        <v>37.865733635593202</v>
      </c>
      <c r="O6361">
        <v>48.484284074804002</v>
      </c>
      <c r="P6361">
        <v>-7.9657977503890504E-2</v>
      </c>
      <c r="Q6361">
        <v>0.59201635371491002</v>
      </c>
      <c r="R6361">
        <v>0.40602118875744497</v>
      </c>
      <c r="S6361" t="s">
        <v>13031</v>
      </c>
      <c r="T6361" t="s">
        <v>13338</v>
      </c>
      <c r="U6361" t="s">
        <v>13338</v>
      </c>
      <c r="V6361" t="s">
        <v>13338</v>
      </c>
      <c r="W6361" t="s">
        <v>19637</v>
      </c>
      <c r="X6361">
        <v>1</v>
      </c>
      <c r="Y6361" t="s">
        <v>26120</v>
      </c>
      <c r="Z6361" t="s">
        <v>32776</v>
      </c>
      <c r="AA6361">
        <v>0.71076896112533161</v>
      </c>
      <c r="AB6361" t="str">
        <f>HYPERLINK("Melting_Curves/meltCurve_Q9ULX9_2_MAFF.pdf", "Melting_Curves/meltCurve_Q9ULX9_2_MAFF.pdf")</f>
        <v>Melting_Curves/meltCurve_Q9ULX9_2_MAFF.pdf</v>
      </c>
    </row>
    <row r="6362" spans="1:28" x14ac:dyDescent="0.25">
      <c r="A6362" t="s">
        <v>6366</v>
      </c>
      <c r="B6362">
        <v>0.99193492352474899</v>
      </c>
      <c r="C6362">
        <v>0.76779646421484804</v>
      </c>
      <c r="D6362">
        <v>0.81492684243725599</v>
      </c>
      <c r="E6362">
        <v>0.61620616341233103</v>
      </c>
      <c r="F6362">
        <v>0.47200115486809902</v>
      </c>
      <c r="G6362">
        <v>0.14161156121785801</v>
      </c>
      <c r="H6362">
        <v>6.6595185280437799E-2</v>
      </c>
      <c r="I6362">
        <v>0.117718898609464</v>
      </c>
      <c r="J6362">
        <v>0.141525741104884</v>
      </c>
      <c r="K6362">
        <v>0.14471599095097201</v>
      </c>
      <c r="L6362">
        <v>639.14392422046706</v>
      </c>
      <c r="M6362">
        <v>12.657318320609299</v>
      </c>
      <c r="N6362">
        <v>50.999293488600401</v>
      </c>
      <c r="O6362">
        <v>49.2853130891611</v>
      </c>
      <c r="P6362">
        <v>-6.0446587716404397E-2</v>
      </c>
      <c r="Q6362">
        <v>5.8712221720733003E-2</v>
      </c>
      <c r="R6362">
        <v>0.94999760090488405</v>
      </c>
      <c r="S6362" t="s">
        <v>13032</v>
      </c>
      <c r="T6362" t="s">
        <v>13338</v>
      </c>
      <c r="U6362" t="s">
        <v>13338</v>
      </c>
      <c r="V6362" t="s">
        <v>13338</v>
      </c>
      <c r="W6362" t="s">
        <v>19638</v>
      </c>
      <c r="X6362">
        <v>2</v>
      </c>
      <c r="Y6362" t="s">
        <v>26121</v>
      </c>
      <c r="Z6362" t="s">
        <v>32777</v>
      </c>
      <c r="AA6362">
        <v>0.41720726832384669</v>
      </c>
      <c r="AB6362" t="str">
        <f>HYPERLINK("Melting_Curves/meltCurve_Q9UM13_ANAPC10.pdf", "Melting_Curves/meltCurve_Q9UM13_ANAPC10.pdf")</f>
        <v>Melting_Curves/meltCurve_Q9UM13_ANAPC10.pdf</v>
      </c>
    </row>
    <row r="6363" spans="1:28" x14ac:dyDescent="0.25">
      <c r="A6363" t="s">
        <v>6367</v>
      </c>
      <c r="B6363">
        <v>0.99193492352474899</v>
      </c>
      <c r="C6363">
        <v>0.772584309182069</v>
      </c>
      <c r="D6363">
        <v>1.11945422980016</v>
      </c>
      <c r="E6363">
        <v>0.60827281003626499</v>
      </c>
      <c r="F6363">
        <v>0.21636354320564999</v>
      </c>
      <c r="G6363">
        <v>8.0416281245533197E-2</v>
      </c>
      <c r="H6363">
        <v>5.6266227482022001E-2</v>
      </c>
      <c r="I6363">
        <v>3.2983496486292799E-2</v>
      </c>
      <c r="J6363">
        <v>8.8778036052916301E-2</v>
      </c>
      <c r="K6363">
        <v>8.3672663725107801E-2</v>
      </c>
      <c r="L6363">
        <v>1903.59376991967</v>
      </c>
      <c r="M6363">
        <v>37.9097521848445</v>
      </c>
      <c r="N6363">
        <v>50.421044304530199</v>
      </c>
      <c r="O6363">
        <v>50.074713954772697</v>
      </c>
      <c r="P6363">
        <v>-0.17561392216774799</v>
      </c>
      <c r="Q6363">
        <v>7.21338208602125E-2</v>
      </c>
      <c r="R6363">
        <v>0.95207612025382304</v>
      </c>
      <c r="S6363" t="s">
        <v>13033</v>
      </c>
      <c r="T6363" t="s">
        <v>13338</v>
      </c>
      <c r="U6363" t="s">
        <v>13338</v>
      </c>
      <c r="V6363" t="s">
        <v>13338</v>
      </c>
      <c r="W6363" t="s">
        <v>19639</v>
      </c>
      <c r="X6363">
        <v>4</v>
      </c>
      <c r="Y6363" t="s">
        <v>26122</v>
      </c>
      <c r="Z6363" t="s">
        <v>32778</v>
      </c>
      <c r="AA6363">
        <v>0.39162580328678381</v>
      </c>
      <c r="AB6363" t="str">
        <f>HYPERLINK("Melting_Curves/meltCurve_Q9UM21_MGAT4A.pdf", "Melting_Curves/meltCurve_Q9UM21_MGAT4A.pdf")</f>
        <v>Melting_Curves/meltCurve_Q9UM21_MGAT4A.pdf</v>
      </c>
    </row>
    <row r="6364" spans="1:28" x14ac:dyDescent="0.25">
      <c r="A6364" t="s">
        <v>6368</v>
      </c>
      <c r="B6364">
        <v>0.99193492352474899</v>
      </c>
      <c r="C6364">
        <v>0.87070421821389798</v>
      </c>
      <c r="D6364">
        <v>0.75974089483965201</v>
      </c>
      <c r="E6364">
        <v>0.59308609168531901</v>
      </c>
      <c r="F6364">
        <v>0.52256599521943103</v>
      </c>
      <c r="G6364">
        <v>0.38102817547388101</v>
      </c>
      <c r="H6364">
        <v>0.24259760990919901</v>
      </c>
      <c r="I6364">
        <v>0.31199382995878799</v>
      </c>
      <c r="J6364">
        <v>0.33991981183935699</v>
      </c>
      <c r="K6364">
        <v>0.36363147045201</v>
      </c>
      <c r="L6364">
        <v>638.62045118934998</v>
      </c>
      <c r="M6364">
        <v>13.166089340268901</v>
      </c>
      <c r="N6364">
        <v>52.084357049792999</v>
      </c>
      <c r="O6364">
        <v>47.426906658103903</v>
      </c>
      <c r="P6364">
        <v>-4.87498258296385E-2</v>
      </c>
      <c r="Q6364">
        <v>0.29769130989422399</v>
      </c>
      <c r="R6364">
        <v>0.96863188229409203</v>
      </c>
      <c r="S6364" t="s">
        <v>13034</v>
      </c>
      <c r="T6364" t="s">
        <v>13338</v>
      </c>
      <c r="U6364" t="s">
        <v>13338</v>
      </c>
      <c r="V6364" t="s">
        <v>13338</v>
      </c>
      <c r="W6364" t="s">
        <v>19640</v>
      </c>
      <c r="X6364">
        <v>5</v>
      </c>
      <c r="Y6364" t="s">
        <v>26123</v>
      </c>
      <c r="Z6364" t="s">
        <v>32779</v>
      </c>
      <c r="AA6364">
        <v>0.51936850282053004</v>
      </c>
      <c r="AB6364" t="str">
        <f>HYPERLINK("Melting_Curves/meltCurve_Q9UM47_NOTCH3.pdf", "Melting_Curves/meltCurve_Q9UM47_NOTCH3.pdf")</f>
        <v>Melting_Curves/meltCurve_Q9UM47_NOTCH3.pdf</v>
      </c>
    </row>
    <row r="6365" spans="1:28" x14ac:dyDescent="0.25">
      <c r="A6365" t="s">
        <v>6369</v>
      </c>
      <c r="B6365">
        <v>0.99193492352474899</v>
      </c>
      <c r="C6365">
        <v>0.66741878269311705</v>
      </c>
      <c r="D6365">
        <v>0.95321596050989799</v>
      </c>
      <c r="E6365">
        <v>0.679583198271698</v>
      </c>
      <c r="F6365">
        <v>0.66814889851314596</v>
      </c>
      <c r="G6365">
        <v>0.27489333491844498</v>
      </c>
      <c r="H6365">
        <v>0.19193496231521401</v>
      </c>
      <c r="I6365">
        <v>0.14779335289493101</v>
      </c>
      <c r="J6365">
        <v>0.20799391499814901</v>
      </c>
      <c r="K6365">
        <v>0.21492371608789701</v>
      </c>
      <c r="L6365">
        <v>570.26212910051402</v>
      </c>
      <c r="M6365">
        <v>10.8155920304891</v>
      </c>
      <c r="N6365">
        <v>53.661315680304703</v>
      </c>
      <c r="O6365">
        <v>51.019426056211998</v>
      </c>
      <c r="P6365">
        <v>-4.8461765234534597E-2</v>
      </c>
      <c r="Q6365">
        <v>8.5911713366962295E-2</v>
      </c>
      <c r="R6365">
        <v>0.86931931096293003</v>
      </c>
      <c r="S6365" t="s">
        <v>13035</v>
      </c>
      <c r="T6365" t="s">
        <v>13338</v>
      </c>
      <c r="U6365" t="s">
        <v>13338</v>
      </c>
      <c r="V6365" t="s">
        <v>13338</v>
      </c>
      <c r="W6365" t="s">
        <v>19641</v>
      </c>
      <c r="X6365">
        <v>4</v>
      </c>
      <c r="Y6365" t="s">
        <v>26124</v>
      </c>
      <c r="Z6365" t="s">
        <v>32780</v>
      </c>
      <c r="AA6365">
        <v>0.50346998434306922</v>
      </c>
      <c r="AB6365" t="str">
        <f>HYPERLINK("Melting_Curves/meltCurve_Q9UMS0_3_NFU1.pdf", "Melting_Curves/meltCurve_Q9UMS0_3_NFU1.pdf")</f>
        <v>Melting_Curves/meltCurve_Q9UMS0_3_NFU1.pdf</v>
      </c>
    </row>
    <row r="6366" spans="1:28" x14ac:dyDescent="0.25">
      <c r="A6366" t="s">
        <v>6370</v>
      </c>
      <c r="B6366">
        <v>0.99193492352474899</v>
      </c>
      <c r="C6366">
        <v>0.96806118998248303</v>
      </c>
      <c r="D6366">
        <v>1.2882358814333501</v>
      </c>
      <c r="E6366">
        <v>1.58213564497072</v>
      </c>
      <c r="F6366">
        <v>1.89262877479183</v>
      </c>
      <c r="G6366">
        <v>1.26016359512951</v>
      </c>
      <c r="H6366">
        <v>0.34241384683102899</v>
      </c>
      <c r="I6366">
        <v>0.288776384702015</v>
      </c>
      <c r="J6366">
        <v>0.24358985798898999</v>
      </c>
      <c r="K6366">
        <v>0.212027329135651</v>
      </c>
      <c r="L6366">
        <v>15000</v>
      </c>
      <c r="M6366">
        <v>248.652792554934</v>
      </c>
      <c r="N6366">
        <v>60.4918766050192</v>
      </c>
      <c r="O6366">
        <v>60.321169306327</v>
      </c>
      <c r="P6366">
        <v>-0.77482888051979704</v>
      </c>
      <c r="Q6366">
        <v>0.248130836997981</v>
      </c>
      <c r="R6366">
        <v>0.61273604420792005</v>
      </c>
      <c r="S6366" t="s">
        <v>13036</v>
      </c>
      <c r="T6366" t="s">
        <v>13338</v>
      </c>
      <c r="U6366" t="s">
        <v>13338</v>
      </c>
      <c r="V6366" t="s">
        <v>13338</v>
      </c>
      <c r="W6366" t="s">
        <v>19642</v>
      </c>
      <c r="X6366">
        <v>13</v>
      </c>
      <c r="Y6366" t="s">
        <v>26125</v>
      </c>
      <c r="Z6366" t="s">
        <v>32781</v>
      </c>
      <c r="AA6366">
        <v>0.75760470507351385</v>
      </c>
      <c r="AB6366" t="str">
        <f>HYPERLINK("Melting_Curves/meltCurve_Q9UMS4_PRPF19.pdf", "Melting_Curves/meltCurve_Q9UMS4_PRPF19.pdf")</f>
        <v>Melting_Curves/meltCurve_Q9UMS4_PRPF19.pdf</v>
      </c>
    </row>
    <row r="6367" spans="1:28" x14ac:dyDescent="0.25">
      <c r="A6367" t="s">
        <v>6371</v>
      </c>
      <c r="B6367">
        <v>0.99193492352474899</v>
      </c>
      <c r="C6367">
        <v>0.77005422120924905</v>
      </c>
      <c r="D6367">
        <v>0.76424213572049005</v>
      </c>
      <c r="E6367">
        <v>0.58029090090881197</v>
      </c>
      <c r="F6367">
        <v>0.52729442255586001</v>
      </c>
      <c r="G6367">
        <v>0.35622787626442098</v>
      </c>
      <c r="H6367">
        <v>0.20120412970002199</v>
      </c>
      <c r="I6367">
        <v>0.23219360348611001</v>
      </c>
      <c r="J6367">
        <v>0.324883573663863</v>
      </c>
      <c r="K6367">
        <v>0.36371893314049603</v>
      </c>
      <c r="L6367">
        <v>549.27025303482799</v>
      </c>
      <c r="M6367">
        <v>11.322004802948801</v>
      </c>
      <c r="N6367">
        <v>51.693719151934303</v>
      </c>
      <c r="O6367">
        <v>47.0739861018561</v>
      </c>
      <c r="P6367">
        <v>-4.5059415149916099E-2</v>
      </c>
      <c r="Q6367">
        <v>0.25084429121044899</v>
      </c>
      <c r="R6367">
        <v>0.92617484269517303</v>
      </c>
      <c r="S6367" t="s">
        <v>13037</v>
      </c>
      <c r="T6367" t="s">
        <v>13338</v>
      </c>
      <c r="U6367" t="s">
        <v>13338</v>
      </c>
      <c r="V6367" t="s">
        <v>13338</v>
      </c>
      <c r="W6367" t="s">
        <v>19643</v>
      </c>
      <c r="X6367">
        <v>11</v>
      </c>
      <c r="Y6367" t="s">
        <v>20797</v>
      </c>
      <c r="Z6367" t="s">
        <v>32782</v>
      </c>
      <c r="AA6367">
        <v>0.49473295979117438</v>
      </c>
      <c r="AB6367" t="str">
        <f>HYPERLINK("Melting_Curves/meltCurve_Q9UMX0_UBQLN1.pdf", "Melting_Curves/meltCurve_Q9UMX0_UBQLN1.pdf")</f>
        <v>Melting_Curves/meltCurve_Q9UMX0_UBQLN1.pdf</v>
      </c>
    </row>
    <row r="6368" spans="1:28" x14ac:dyDescent="0.25">
      <c r="A6368" t="s">
        <v>6372</v>
      </c>
      <c r="B6368">
        <v>0.99193492352474899</v>
      </c>
      <c r="C6368">
        <v>0.65771941675101897</v>
      </c>
      <c r="D6368">
        <v>0.964323630695609</v>
      </c>
      <c r="E6368">
        <v>0.64387525955243996</v>
      </c>
      <c r="F6368">
        <v>0.112686622915022</v>
      </c>
      <c r="G6368">
        <v>0.18867422048957899</v>
      </c>
      <c r="H6368">
        <v>0.19902753630110401</v>
      </c>
      <c r="I6368">
        <v>0.32391973892450598</v>
      </c>
      <c r="J6368">
        <v>0.15470512750996501</v>
      </c>
      <c r="K6368">
        <v>0.28939094210761501</v>
      </c>
      <c r="L6368">
        <v>12409.634420537301</v>
      </c>
      <c r="M6368">
        <v>250</v>
      </c>
      <c r="N6368">
        <v>49.747912239441597</v>
      </c>
      <c r="O6368">
        <v>49.635361142365397</v>
      </c>
      <c r="P6368">
        <v>-0.99299079497989395</v>
      </c>
      <c r="Q6368">
        <v>0.21140069336481501</v>
      </c>
      <c r="R6368">
        <v>0.85104687464401196</v>
      </c>
      <c r="S6368" t="s">
        <v>13038</v>
      </c>
      <c r="T6368" t="s">
        <v>13338</v>
      </c>
      <c r="U6368" t="s">
        <v>13338</v>
      </c>
      <c r="V6368" t="s">
        <v>13338</v>
      </c>
      <c r="W6368" t="s">
        <v>19644</v>
      </c>
      <c r="X6368">
        <v>11</v>
      </c>
      <c r="Y6368" t="s">
        <v>20797</v>
      </c>
      <c r="Z6368" t="s">
        <v>32783</v>
      </c>
      <c r="AA6368">
        <v>0.46483419652119501</v>
      </c>
      <c r="AB6368" t="str">
        <f>HYPERLINK("Melting_Curves/meltCurve_Q9UMX0_2_UBQLN1.pdf", "Melting_Curves/meltCurve_Q9UMX0_2_UBQLN1.pdf")</f>
        <v>Melting_Curves/meltCurve_Q9UMX0_2_UBQLN1.pdf</v>
      </c>
    </row>
    <row r="6369" spans="1:28" x14ac:dyDescent="0.25">
      <c r="A6369" t="s">
        <v>6373</v>
      </c>
      <c r="B6369">
        <v>0.99193492352474899</v>
      </c>
      <c r="C6369">
        <v>0.90731845846520298</v>
      </c>
      <c r="D6369">
        <v>0.86310122963785096</v>
      </c>
      <c r="E6369">
        <v>0.62177864398553895</v>
      </c>
      <c r="F6369">
        <v>0.24142491029756899</v>
      </c>
      <c r="G6369">
        <v>0.122767128507172</v>
      </c>
      <c r="H6369">
        <v>8.6652137885376304E-2</v>
      </c>
      <c r="I6369">
        <v>0.106677645486853</v>
      </c>
      <c r="J6369">
        <v>0.105998295835106</v>
      </c>
      <c r="K6369">
        <v>0.10805627751275999</v>
      </c>
      <c r="L6369">
        <v>1142.00633549145</v>
      </c>
      <c r="M6369">
        <v>22.861708295686999</v>
      </c>
      <c r="N6369">
        <v>50.382918717588403</v>
      </c>
      <c r="O6369">
        <v>49.575309128549101</v>
      </c>
      <c r="P6369">
        <v>-0.10506928738086301</v>
      </c>
      <c r="Q6369">
        <v>8.8652122688302901E-2</v>
      </c>
      <c r="R6369">
        <v>0.99273298779213703</v>
      </c>
      <c r="S6369" t="s">
        <v>13039</v>
      </c>
      <c r="T6369" t="s">
        <v>13338</v>
      </c>
      <c r="U6369" t="s">
        <v>13338</v>
      </c>
      <c r="V6369" t="s">
        <v>13338</v>
      </c>
      <c r="W6369" t="s">
        <v>19645</v>
      </c>
      <c r="X6369">
        <v>4</v>
      </c>
      <c r="Y6369" t="s">
        <v>26126</v>
      </c>
      <c r="Z6369" t="s">
        <v>32784</v>
      </c>
      <c r="AA6369">
        <v>0.40074149711111179</v>
      </c>
      <c r="AB6369" t="str">
        <f>HYPERLINK("Melting_Curves/meltCurve_Q9UMX1_2_SUFU.pdf", "Melting_Curves/meltCurve_Q9UMX1_2_SUFU.pdf")</f>
        <v>Melting_Curves/meltCurve_Q9UMX1_2_SUFU.pdf</v>
      </c>
    </row>
    <row r="6370" spans="1:28" x14ac:dyDescent="0.25">
      <c r="A6370" t="s">
        <v>6374</v>
      </c>
      <c r="B6370">
        <v>0.99193492352474899</v>
      </c>
      <c r="C6370">
        <v>0.92635099888653005</v>
      </c>
      <c r="D6370">
        <v>0.89964982661574699</v>
      </c>
      <c r="E6370">
        <v>0.80127021333288595</v>
      </c>
      <c r="F6370">
        <v>0.52719124830295705</v>
      </c>
      <c r="G6370">
        <v>0.38858402446255802</v>
      </c>
      <c r="H6370">
        <v>0.35945511570648903</v>
      </c>
      <c r="I6370">
        <v>0.385075523730328</v>
      </c>
      <c r="J6370">
        <v>0.44970647393529101</v>
      </c>
      <c r="K6370">
        <v>0.63607997025442997</v>
      </c>
      <c r="L6370">
        <v>1510.0384035898001</v>
      </c>
      <c r="M6370">
        <v>30.067005991370099</v>
      </c>
      <c r="N6370">
        <v>54.074261821301</v>
      </c>
      <c r="O6370">
        <v>50.001854626681798</v>
      </c>
      <c r="P6370">
        <v>-8.3993538443353805E-2</v>
      </c>
      <c r="Q6370">
        <v>0.44127393203425302</v>
      </c>
      <c r="R6370">
        <v>0.88548293379704701</v>
      </c>
      <c r="S6370" t="s">
        <v>13040</v>
      </c>
      <c r="T6370" t="s">
        <v>13338</v>
      </c>
      <c r="U6370" t="s">
        <v>13338</v>
      </c>
      <c r="V6370" t="s">
        <v>13338</v>
      </c>
      <c r="W6370" t="s">
        <v>19646</v>
      </c>
      <c r="X6370">
        <v>7</v>
      </c>
      <c r="Y6370" t="s">
        <v>26127</v>
      </c>
      <c r="Z6370" t="s">
        <v>32785</v>
      </c>
      <c r="AA6370">
        <v>0.63511147659076039</v>
      </c>
      <c r="AB6370" t="str">
        <f>HYPERLINK("Melting_Curves/meltCurve_Q9UMX5_NENF.pdf", "Melting_Curves/meltCurve_Q9UMX5_NENF.pdf")</f>
        <v>Melting_Curves/meltCurve_Q9UMX5_NENF.pdf</v>
      </c>
    </row>
    <row r="6371" spans="1:28" x14ac:dyDescent="0.25">
      <c r="A6371" t="s">
        <v>6375</v>
      </c>
      <c r="B6371">
        <v>0.99193492352474899</v>
      </c>
      <c r="C6371">
        <v>0.68579399387511197</v>
      </c>
      <c r="D6371">
        <v>0.90110771015318103</v>
      </c>
      <c r="E6371">
        <v>0.57141994403799501</v>
      </c>
      <c r="F6371">
        <v>0.57313117832732796</v>
      </c>
      <c r="G6371">
        <v>0.45090964172582598</v>
      </c>
      <c r="H6371">
        <v>0.58742646406704302</v>
      </c>
      <c r="I6371">
        <v>1.0570366652760601</v>
      </c>
      <c r="J6371">
        <v>1.4392563587764799</v>
      </c>
      <c r="K6371">
        <v>1.36826866000647</v>
      </c>
      <c r="L6371">
        <v>10.059810107645699</v>
      </c>
      <c r="M6371">
        <v>22.763907791954502</v>
      </c>
      <c r="Q6371">
        <v>0.86262860507601502</v>
      </c>
      <c r="R6371">
        <v>-1.6915358003188899E-12</v>
      </c>
      <c r="S6371" t="s">
        <v>13041</v>
      </c>
      <c r="T6371" t="s">
        <v>13338</v>
      </c>
      <c r="U6371" t="s">
        <v>13338</v>
      </c>
      <c r="V6371" t="s">
        <v>13338</v>
      </c>
      <c r="W6371" t="s">
        <v>19647</v>
      </c>
      <c r="X6371">
        <v>5</v>
      </c>
      <c r="Y6371" t="s">
        <v>26128</v>
      </c>
      <c r="Z6371" t="s">
        <v>32786</v>
      </c>
      <c r="AA6371">
        <v>0.86262860509756056</v>
      </c>
      <c r="AB6371" t="str">
        <f>HYPERLINK("Melting_Curves/meltCurve_Q9UMY1_NOL7.pdf", "Melting_Curves/meltCurve_Q9UMY1_NOL7.pdf")</f>
        <v>Melting_Curves/meltCurve_Q9UMY1_NOL7.pdf</v>
      </c>
    </row>
    <row r="6372" spans="1:28" x14ac:dyDescent="0.25">
      <c r="A6372" t="s">
        <v>6376</v>
      </c>
      <c r="B6372">
        <v>0.99193492352474899</v>
      </c>
      <c r="C6372">
        <v>0.82434096539009905</v>
      </c>
      <c r="D6372">
        <v>0.67353446508704695</v>
      </c>
      <c r="E6372">
        <v>0.41254795929872901</v>
      </c>
      <c r="F6372">
        <v>0.15044711961006799</v>
      </c>
      <c r="G6372">
        <v>9.3924647000265704E-2</v>
      </c>
      <c r="H6372">
        <v>4.9107300233733803E-2</v>
      </c>
      <c r="I6372">
        <v>5.9133627263715301E-2</v>
      </c>
      <c r="J6372">
        <v>7.4791110690786797E-2</v>
      </c>
      <c r="K6372">
        <v>7.3959358499653002E-2</v>
      </c>
      <c r="L6372">
        <v>798.05119644900697</v>
      </c>
      <c r="M6372">
        <v>16.734564768530699</v>
      </c>
      <c r="N6372">
        <v>47.965848719591897</v>
      </c>
      <c r="O6372">
        <v>47.02341957582</v>
      </c>
      <c r="P6372">
        <v>-8.4876234589076394E-2</v>
      </c>
      <c r="Q6372">
        <v>4.60682043156663E-2</v>
      </c>
      <c r="R6372">
        <v>0.99335311428519801</v>
      </c>
      <c r="S6372" t="s">
        <v>13042</v>
      </c>
      <c r="T6372" t="s">
        <v>13338</v>
      </c>
      <c r="U6372" t="s">
        <v>13338</v>
      </c>
      <c r="V6372" t="s">
        <v>13338</v>
      </c>
      <c r="W6372" t="s">
        <v>19648</v>
      </c>
      <c r="X6372">
        <v>9</v>
      </c>
      <c r="Y6372" t="s">
        <v>26129</v>
      </c>
      <c r="Z6372" t="s">
        <v>32787</v>
      </c>
      <c r="AA6372">
        <v>0.31048148110437629</v>
      </c>
      <c r="AB6372" t="str">
        <f>HYPERLINK("Melting_Curves/meltCurve_Q9UMY4_2_SNX12.pdf", "Melting_Curves/meltCurve_Q9UMY4_2_SNX12.pdf")</f>
        <v>Melting_Curves/meltCurve_Q9UMY4_2_SNX12.pdf</v>
      </c>
    </row>
    <row r="6373" spans="1:28" x14ac:dyDescent="0.25">
      <c r="A6373" t="s">
        <v>6377</v>
      </c>
      <c r="B6373">
        <v>0.99193492352474899</v>
      </c>
      <c r="C6373">
        <v>0.72452166379433003</v>
      </c>
      <c r="D6373">
        <v>0.77355250385125696</v>
      </c>
      <c r="E6373">
        <v>0.419443412922551</v>
      </c>
      <c r="F6373">
        <v>0.29799202996096003</v>
      </c>
      <c r="G6373">
        <v>0.14133032996554101</v>
      </c>
      <c r="H6373">
        <v>0.10867649807810401</v>
      </c>
      <c r="I6373">
        <v>0.13165549249845401</v>
      </c>
      <c r="J6373">
        <v>0.17767233717637801</v>
      </c>
      <c r="K6373">
        <v>0.24152723995189701</v>
      </c>
      <c r="L6373">
        <v>727.92173927382896</v>
      </c>
      <c r="M6373">
        <v>15.331507532119099</v>
      </c>
      <c r="N6373">
        <v>48.528077691805599</v>
      </c>
      <c r="O6373">
        <v>46.693057338055098</v>
      </c>
      <c r="P6373">
        <v>-7.0512810100651996E-2</v>
      </c>
      <c r="Q6373">
        <v>0.14107538282471899</v>
      </c>
      <c r="R6373">
        <v>0.94652835215359798</v>
      </c>
      <c r="S6373" t="s">
        <v>13043</v>
      </c>
      <c r="T6373" t="s">
        <v>13338</v>
      </c>
      <c r="U6373" t="s">
        <v>13338</v>
      </c>
      <c r="V6373" t="s">
        <v>13338</v>
      </c>
      <c r="W6373" t="s">
        <v>19649</v>
      </c>
      <c r="X6373">
        <v>12</v>
      </c>
      <c r="Y6373" t="s">
        <v>26130</v>
      </c>
      <c r="Z6373" t="s">
        <v>32788</v>
      </c>
      <c r="AA6373">
        <v>0.3769082306370084</v>
      </c>
      <c r="AB6373" t="str">
        <f>HYPERLINK("Melting_Curves/meltCurve_Q9UMZ2_5_SYNRG.pdf", "Melting_Curves/meltCurve_Q9UMZ2_5_SYNRG.pdf")</f>
        <v>Melting_Curves/meltCurve_Q9UMZ2_5_SYNRG.pdf</v>
      </c>
    </row>
    <row r="6374" spans="1:28" x14ac:dyDescent="0.25">
      <c r="A6374" t="s">
        <v>6378</v>
      </c>
      <c r="B6374">
        <v>0.99193492352474899</v>
      </c>
      <c r="C6374">
        <v>0.997976044853503</v>
      </c>
      <c r="D6374">
        <v>0.89944150090682695</v>
      </c>
      <c r="E6374">
        <v>0.89201849646411102</v>
      </c>
      <c r="F6374">
        <v>0.62317961546937595</v>
      </c>
      <c r="G6374">
        <v>0.269807375489093</v>
      </c>
      <c r="H6374">
        <v>0.109739362556802</v>
      </c>
      <c r="I6374">
        <v>9.8903743092291302E-2</v>
      </c>
      <c r="J6374">
        <v>0.102615078025745</v>
      </c>
      <c r="K6374">
        <v>9.3949231918590698E-2</v>
      </c>
      <c r="L6374">
        <v>1309.4199234176399</v>
      </c>
      <c r="M6374">
        <v>24.334670734935901</v>
      </c>
      <c r="N6374">
        <v>54.200392204227597</v>
      </c>
      <c r="O6374">
        <v>53.449405289416802</v>
      </c>
      <c r="P6374">
        <v>-0.104647545977661</v>
      </c>
      <c r="Q6374">
        <v>8.0609825325005505E-2</v>
      </c>
      <c r="R6374">
        <v>0.99413240585770002</v>
      </c>
      <c r="S6374" t="s">
        <v>13044</v>
      </c>
      <c r="T6374" t="s">
        <v>13338</v>
      </c>
      <c r="U6374" t="s">
        <v>13338</v>
      </c>
      <c r="V6374" t="s">
        <v>13338</v>
      </c>
      <c r="W6374" t="s">
        <v>19650</v>
      </c>
      <c r="X6374">
        <v>10</v>
      </c>
      <c r="Y6374" t="s">
        <v>26131</v>
      </c>
      <c r="Z6374" t="s">
        <v>32789</v>
      </c>
      <c r="AA6374">
        <v>0.51273066619373708</v>
      </c>
      <c r="AB6374" t="str">
        <f>HYPERLINK("Melting_Curves/meltCurve_Q9UN36_2_NDRG2.pdf", "Melting_Curves/meltCurve_Q9UN36_2_NDRG2.pdf")</f>
        <v>Melting_Curves/meltCurve_Q9UN36_2_NDRG2.pdf</v>
      </c>
    </row>
    <row r="6375" spans="1:28" x14ac:dyDescent="0.25">
      <c r="A6375" t="s">
        <v>6379</v>
      </c>
      <c r="B6375">
        <v>0.99193492352474899</v>
      </c>
      <c r="C6375">
        <v>1.0071654784465001</v>
      </c>
      <c r="D6375">
        <v>0.88289494957319303</v>
      </c>
      <c r="E6375">
        <v>0.60430485100173803</v>
      </c>
      <c r="F6375">
        <v>0.171589762690915</v>
      </c>
      <c r="G6375">
        <v>0.105993619693111</v>
      </c>
      <c r="H6375">
        <v>6.4063419775670205E-2</v>
      </c>
      <c r="I6375">
        <v>6.9049624477791394E-2</v>
      </c>
      <c r="J6375">
        <v>6.8307733943469895E-2</v>
      </c>
      <c r="K6375">
        <v>6.68375105857721E-2</v>
      </c>
      <c r="L6375">
        <v>1422.86204549632</v>
      </c>
      <c r="M6375">
        <v>28.4897639065242</v>
      </c>
      <c r="N6375">
        <v>50.1828225768393</v>
      </c>
      <c r="O6375">
        <v>49.698799301559802</v>
      </c>
      <c r="P6375">
        <v>-0.134189369680279</v>
      </c>
      <c r="Q6375">
        <v>6.3664104820704004E-2</v>
      </c>
      <c r="R6375">
        <v>0.99745558047663896</v>
      </c>
      <c r="S6375" t="s">
        <v>13045</v>
      </c>
      <c r="T6375" t="s">
        <v>13338</v>
      </c>
      <c r="U6375" t="s">
        <v>13338</v>
      </c>
      <c r="V6375" t="s">
        <v>13338</v>
      </c>
      <c r="W6375" t="s">
        <v>19651</v>
      </c>
      <c r="X6375">
        <v>16</v>
      </c>
      <c r="Y6375" t="s">
        <v>26132</v>
      </c>
      <c r="Z6375" t="s">
        <v>32790</v>
      </c>
      <c r="AA6375">
        <v>0.38041843126704999</v>
      </c>
      <c r="AB6375" t="str">
        <f>HYPERLINK("Melting_Curves/meltCurve_Q9UN37_VPS4A.pdf", "Melting_Curves/meltCurve_Q9UN37_VPS4A.pdf")</f>
        <v>Melting_Curves/meltCurve_Q9UN37_VPS4A.pdf</v>
      </c>
    </row>
    <row r="6376" spans="1:28" x14ac:dyDescent="0.25">
      <c r="A6376" t="s">
        <v>6380</v>
      </c>
      <c r="B6376">
        <v>0.99193492352474899</v>
      </c>
      <c r="C6376">
        <v>0.39537684183909899</v>
      </c>
      <c r="D6376">
        <v>0.78741107761760998</v>
      </c>
      <c r="E6376">
        <v>0.32727213280818901</v>
      </c>
      <c r="F6376">
        <v>0.23994579808950101</v>
      </c>
      <c r="G6376">
        <v>0.12768443932704601</v>
      </c>
      <c r="H6376">
        <v>9.1554676494958895E-2</v>
      </c>
      <c r="I6376">
        <v>0.10965434408791699</v>
      </c>
      <c r="J6376">
        <v>0.126709835956058</v>
      </c>
      <c r="K6376">
        <v>0.142915065698793</v>
      </c>
      <c r="L6376">
        <v>493.294855359667</v>
      </c>
      <c r="M6376">
        <v>10.7187842926795</v>
      </c>
      <c r="N6376">
        <v>46.689935369954398</v>
      </c>
      <c r="O6376">
        <v>44.506429369608803</v>
      </c>
      <c r="P6376">
        <v>-5.59474833412456E-2</v>
      </c>
      <c r="Q6376">
        <v>7.1127439428503594E-2</v>
      </c>
      <c r="R6376">
        <v>0.78362477736605596</v>
      </c>
      <c r="S6376" t="s">
        <v>13046</v>
      </c>
      <c r="T6376" t="s">
        <v>13338</v>
      </c>
      <c r="U6376" t="s">
        <v>13338</v>
      </c>
      <c r="V6376" t="s">
        <v>13338</v>
      </c>
      <c r="W6376" t="s">
        <v>19652</v>
      </c>
      <c r="X6376">
        <v>15</v>
      </c>
      <c r="Y6376" t="s">
        <v>26133</v>
      </c>
      <c r="Z6376" t="s">
        <v>32791</v>
      </c>
      <c r="AA6376">
        <v>0.30921067227165377</v>
      </c>
      <c r="AB6376" t="str">
        <f>HYPERLINK("Melting_Curves/meltCurve_Q9UN86_2_G3BP2.pdf", "Melting_Curves/meltCurve_Q9UN86_2_G3BP2.pdf")</f>
        <v>Melting_Curves/meltCurve_Q9UN86_2_G3BP2.pdf</v>
      </c>
    </row>
    <row r="6377" spans="1:28" x14ac:dyDescent="0.25">
      <c r="A6377" t="s">
        <v>6381</v>
      </c>
      <c r="B6377">
        <v>0.99193492352474899</v>
      </c>
      <c r="C6377">
        <v>0.93795317236839704</v>
      </c>
      <c r="D6377">
        <v>0.48990995029055301</v>
      </c>
      <c r="E6377">
        <v>0.21585009606087699</v>
      </c>
      <c r="F6377">
        <v>0.16189665669855899</v>
      </c>
      <c r="G6377">
        <v>9.3028350291224998E-2</v>
      </c>
      <c r="H6377">
        <v>5.6179720069889798E-2</v>
      </c>
      <c r="I6377">
        <v>6.2492498209635802E-2</v>
      </c>
      <c r="J6377">
        <v>0.11774999625497699</v>
      </c>
      <c r="K6377">
        <v>9.6058554960696402E-2</v>
      </c>
      <c r="L6377">
        <v>1385.7619850716001</v>
      </c>
      <c r="M6377">
        <v>30.250333064956799</v>
      </c>
      <c r="N6377">
        <v>46.144477063647201</v>
      </c>
      <c r="O6377">
        <v>45.6110140388625</v>
      </c>
      <c r="P6377">
        <v>-0.14947560681694899</v>
      </c>
      <c r="Q6377">
        <v>9.8497092933444205E-2</v>
      </c>
      <c r="R6377">
        <v>0.99147950601314105</v>
      </c>
      <c r="S6377" t="s">
        <v>13047</v>
      </c>
      <c r="T6377" t="s">
        <v>13338</v>
      </c>
      <c r="U6377" t="s">
        <v>13338</v>
      </c>
      <c r="V6377" t="s">
        <v>13338</v>
      </c>
      <c r="W6377" t="s">
        <v>19653</v>
      </c>
      <c r="X6377">
        <v>3</v>
      </c>
      <c r="Y6377" t="s">
        <v>26134</v>
      </c>
      <c r="Z6377" t="s">
        <v>32792</v>
      </c>
      <c r="AA6377">
        <v>0.27850878381886401</v>
      </c>
      <c r="AB6377" t="str">
        <f>HYPERLINK("Melting_Curves/meltCurve_Q9UNA1_2_ARHGAP26.pdf", "Melting_Curves/meltCurve_Q9UNA1_2_ARHGAP26.pdf")</f>
        <v>Melting_Curves/meltCurve_Q9UNA1_2_ARHGAP26.pdf</v>
      </c>
    </row>
    <row r="6378" spans="1:28" x14ac:dyDescent="0.25">
      <c r="A6378" t="s">
        <v>6382</v>
      </c>
      <c r="B6378">
        <v>0.99193492352474899</v>
      </c>
      <c r="C6378">
        <v>1.01499212498978</v>
      </c>
      <c r="D6378">
        <v>0.532905621186053</v>
      </c>
      <c r="E6378">
        <v>0.34431246285703898</v>
      </c>
      <c r="F6378">
        <v>0.14199484115074201</v>
      </c>
      <c r="G6378">
        <v>8.9773636464081902E-2</v>
      </c>
      <c r="H6378">
        <v>5.9193073332983903E-2</v>
      </c>
      <c r="I6378">
        <v>6.8947125488737396E-2</v>
      </c>
      <c r="J6378">
        <v>6.8438211207513797E-2</v>
      </c>
      <c r="K6378">
        <v>8.3561601555590004E-2</v>
      </c>
      <c r="L6378">
        <v>1068.26508552983</v>
      </c>
      <c r="M6378">
        <v>22.814548216383798</v>
      </c>
      <c r="N6378">
        <v>47.165333823622603</v>
      </c>
      <c r="O6378">
        <v>46.468562655463799</v>
      </c>
      <c r="P6378">
        <v>-0.113399862916407</v>
      </c>
      <c r="Q6378">
        <v>7.6128690759217799E-2</v>
      </c>
      <c r="R6378">
        <v>0.97813500464381697</v>
      </c>
      <c r="S6378" t="s">
        <v>13048</v>
      </c>
      <c r="T6378" t="s">
        <v>13338</v>
      </c>
      <c r="U6378" t="s">
        <v>13338</v>
      </c>
      <c r="V6378" t="s">
        <v>13338</v>
      </c>
      <c r="W6378" t="s">
        <v>19654</v>
      </c>
      <c r="X6378">
        <v>8</v>
      </c>
      <c r="Y6378" t="s">
        <v>26135</v>
      </c>
      <c r="Z6378" t="s">
        <v>32793</v>
      </c>
      <c r="AA6378">
        <v>0.29642856419455821</v>
      </c>
      <c r="AB6378" t="str">
        <f>HYPERLINK("Melting_Curves/meltCurve_Q9UNE7_STUB1.pdf", "Melting_Curves/meltCurve_Q9UNE7_STUB1.pdf")</f>
        <v>Melting_Curves/meltCurve_Q9UNE7_STUB1.pdf</v>
      </c>
    </row>
    <row r="6379" spans="1:28" x14ac:dyDescent="0.25">
      <c r="A6379" t="s">
        <v>6383</v>
      </c>
      <c r="B6379">
        <v>0.99193492352474899</v>
      </c>
      <c r="C6379">
        <v>0.98129204945817405</v>
      </c>
      <c r="D6379">
        <v>0.90828103074312305</v>
      </c>
      <c r="E6379">
        <v>0.36210462078514899</v>
      </c>
      <c r="F6379">
        <v>0.17759435599561599</v>
      </c>
      <c r="G6379">
        <v>0.101882193831013</v>
      </c>
      <c r="H6379">
        <v>6.7825545017791602E-2</v>
      </c>
      <c r="I6379">
        <v>8.7587086180045001E-2</v>
      </c>
      <c r="J6379">
        <v>0.10689882681985299</v>
      </c>
      <c r="K6379">
        <v>0.117992022545526</v>
      </c>
      <c r="L6379">
        <v>1804.8281788494801</v>
      </c>
      <c r="M6379">
        <v>37.216461698190002</v>
      </c>
      <c r="N6379">
        <v>48.795660206359699</v>
      </c>
      <c r="O6379">
        <v>48.356043908719798</v>
      </c>
      <c r="P6379">
        <v>-0.17271959834748701</v>
      </c>
      <c r="Q6379">
        <v>0.102331267409236</v>
      </c>
      <c r="R6379">
        <v>0.99716669545718395</v>
      </c>
      <c r="S6379" t="s">
        <v>13049</v>
      </c>
      <c r="T6379" t="s">
        <v>13338</v>
      </c>
      <c r="U6379" t="s">
        <v>13338</v>
      </c>
      <c r="V6379" t="s">
        <v>13338</v>
      </c>
      <c r="W6379" t="s">
        <v>19655</v>
      </c>
      <c r="X6379">
        <v>25</v>
      </c>
      <c r="Y6379" t="s">
        <v>26136</v>
      </c>
      <c r="Z6379" t="s">
        <v>32794</v>
      </c>
      <c r="AA6379">
        <v>0.36002421202650448</v>
      </c>
      <c r="AB6379" t="str">
        <f>HYPERLINK("Melting_Curves/meltCurve_Q9UNF0_2_PACSIN2.pdf", "Melting_Curves/meltCurve_Q9UNF0_2_PACSIN2.pdf")</f>
        <v>Melting_Curves/meltCurve_Q9UNF0_2_PACSIN2.pdf</v>
      </c>
    </row>
    <row r="6380" spans="1:28" x14ac:dyDescent="0.25">
      <c r="A6380" t="s">
        <v>6384</v>
      </c>
      <c r="B6380">
        <v>0.99193492352474899</v>
      </c>
      <c r="C6380">
        <v>0.54725385539863303</v>
      </c>
      <c r="D6380">
        <v>0.40608315691038499</v>
      </c>
      <c r="E6380">
        <v>0.26309515953019103</v>
      </c>
      <c r="F6380">
        <v>0.214638652014115</v>
      </c>
      <c r="G6380">
        <v>0.139902793108758</v>
      </c>
      <c r="H6380">
        <v>0.102093201415334</v>
      </c>
      <c r="I6380">
        <v>0.118863127419631</v>
      </c>
      <c r="J6380">
        <v>0.117390577620844</v>
      </c>
      <c r="K6380">
        <v>0.160873054438253</v>
      </c>
      <c r="L6380">
        <v>841.35984747671205</v>
      </c>
      <c r="M6380">
        <v>19.247467067163399</v>
      </c>
      <c r="N6380">
        <v>44.474487622361103</v>
      </c>
      <c r="O6380">
        <v>43.2491008496457</v>
      </c>
      <c r="P6380">
        <v>-9.5640250443678299E-2</v>
      </c>
      <c r="Q6380">
        <v>0.140417147006757</v>
      </c>
      <c r="R6380">
        <v>0.95541701573118898</v>
      </c>
      <c r="S6380" t="s">
        <v>13050</v>
      </c>
      <c r="T6380" t="s">
        <v>13338</v>
      </c>
      <c r="U6380" t="s">
        <v>13338</v>
      </c>
      <c r="V6380" t="s">
        <v>13338</v>
      </c>
      <c r="W6380" t="s">
        <v>19656</v>
      </c>
      <c r="X6380">
        <v>4</v>
      </c>
      <c r="Y6380" t="s">
        <v>26137</v>
      </c>
      <c r="Z6380" t="s">
        <v>32795</v>
      </c>
      <c r="AA6380">
        <v>0.26593676406404793</v>
      </c>
      <c r="AB6380" t="str">
        <f>HYPERLINK("Melting_Curves/meltCurve_Q9UNF1_MAGED2.pdf", "Melting_Curves/meltCurve_Q9UNF1_MAGED2.pdf")</f>
        <v>Melting_Curves/meltCurve_Q9UNF1_MAGED2.pdf</v>
      </c>
    </row>
    <row r="6381" spans="1:28" x14ac:dyDescent="0.25">
      <c r="A6381" t="s">
        <v>6385</v>
      </c>
      <c r="B6381">
        <v>0.99193492352474899</v>
      </c>
      <c r="C6381">
        <v>0.86368181051822801</v>
      </c>
      <c r="D6381">
        <v>0.81587543807111196</v>
      </c>
      <c r="E6381">
        <v>0.41971528316978601</v>
      </c>
      <c r="F6381">
        <v>0.14398915672535101</v>
      </c>
      <c r="G6381">
        <v>8.5318335311751994E-2</v>
      </c>
      <c r="H6381">
        <v>6.1152952354519098E-2</v>
      </c>
      <c r="I6381">
        <v>6.3630526422346803E-2</v>
      </c>
      <c r="J6381">
        <v>7.1736711845513002E-2</v>
      </c>
      <c r="K6381">
        <v>6.3331607413720306E-2</v>
      </c>
      <c r="L6381">
        <v>1080.0918285130699</v>
      </c>
      <c r="M6381">
        <v>22.2704482630832</v>
      </c>
      <c r="N6381">
        <v>48.755032584665997</v>
      </c>
      <c r="O6381">
        <v>48.112937048868098</v>
      </c>
      <c r="P6381">
        <v>-0.109333159373325</v>
      </c>
      <c r="Q6381">
        <v>5.5209786710921999E-2</v>
      </c>
      <c r="R6381">
        <v>0.99264802340772695</v>
      </c>
      <c r="S6381" t="s">
        <v>13051</v>
      </c>
      <c r="T6381" t="s">
        <v>13338</v>
      </c>
      <c r="U6381" t="s">
        <v>13338</v>
      </c>
      <c r="V6381" t="s">
        <v>13338</v>
      </c>
      <c r="W6381" t="s">
        <v>19657</v>
      </c>
      <c r="X6381">
        <v>28</v>
      </c>
      <c r="Y6381" t="s">
        <v>26138</v>
      </c>
      <c r="Z6381" t="s">
        <v>32796</v>
      </c>
      <c r="AA6381">
        <v>0.33350286981030752</v>
      </c>
      <c r="AB6381" t="str">
        <f>HYPERLINK("Melting_Curves/meltCurve_Q9UNH7_SNX6.pdf", "Melting_Curves/meltCurve_Q9UNH7_SNX6.pdf")</f>
        <v>Melting_Curves/meltCurve_Q9UNH7_SNX6.pdf</v>
      </c>
    </row>
    <row r="6382" spans="1:28" x14ac:dyDescent="0.25">
      <c r="A6382" t="s">
        <v>6386</v>
      </c>
      <c r="B6382">
        <v>0.99193492352474899</v>
      </c>
      <c r="C6382">
        <v>0.84066620435495898</v>
      </c>
      <c r="D6382">
        <v>0.94550551833202801</v>
      </c>
      <c r="E6382">
        <v>0.54925721602743904</v>
      </c>
      <c r="F6382">
        <v>0.34799686691289</v>
      </c>
      <c r="G6382">
        <v>0.135876711450958</v>
      </c>
      <c r="H6382">
        <v>8.77345801288891E-2</v>
      </c>
      <c r="I6382">
        <v>7.2841004541926199E-2</v>
      </c>
      <c r="J6382">
        <v>9.3954301814058394E-2</v>
      </c>
      <c r="K6382">
        <v>0.14621337772332099</v>
      </c>
      <c r="L6382">
        <v>1002.37749567219</v>
      </c>
      <c r="M6382">
        <v>20.0075333411515</v>
      </c>
      <c r="N6382">
        <v>50.585392272388397</v>
      </c>
      <c r="O6382">
        <v>49.607583323397698</v>
      </c>
      <c r="P6382">
        <v>-9.2025792474978996E-2</v>
      </c>
      <c r="Q6382">
        <v>8.7338410457873994E-2</v>
      </c>
      <c r="R6382">
        <v>0.97577305454709495</v>
      </c>
      <c r="S6382" t="s">
        <v>13052</v>
      </c>
      <c r="T6382" t="s">
        <v>13338</v>
      </c>
      <c r="U6382" t="s">
        <v>13338</v>
      </c>
      <c r="V6382" t="s">
        <v>13338</v>
      </c>
      <c r="W6382" t="s">
        <v>19658</v>
      </c>
      <c r="X6382">
        <v>5</v>
      </c>
      <c r="Y6382" t="s">
        <v>26139</v>
      </c>
      <c r="Z6382" t="s">
        <v>32797</v>
      </c>
      <c r="AA6382">
        <v>0.40729273758115347</v>
      </c>
      <c r="AB6382" t="str">
        <f>HYPERLINK("Melting_Curves/meltCurve_Q9UNI6_DUSP12.pdf", "Melting_Curves/meltCurve_Q9UNI6_DUSP12.pdf")</f>
        <v>Melting_Curves/meltCurve_Q9UNI6_DUSP12.pdf</v>
      </c>
    </row>
    <row r="6383" spans="1:28" x14ac:dyDescent="0.25">
      <c r="A6383" t="s">
        <v>6387</v>
      </c>
      <c r="B6383">
        <v>0.99193492352474899</v>
      </c>
      <c r="C6383">
        <v>1.0079026229083801</v>
      </c>
      <c r="D6383">
        <v>0.91805570759643795</v>
      </c>
      <c r="E6383">
        <v>0.87019289942606703</v>
      </c>
      <c r="F6383">
        <v>0.67090966868789204</v>
      </c>
      <c r="G6383">
        <v>0.46604628579629698</v>
      </c>
      <c r="H6383">
        <v>0.36943881304327603</v>
      </c>
      <c r="I6383">
        <v>0.37458345919643299</v>
      </c>
      <c r="J6383">
        <v>0.43281431865189302</v>
      </c>
      <c r="K6383">
        <v>0.45712111707247699</v>
      </c>
      <c r="L6383">
        <v>1237.7672947847</v>
      </c>
      <c r="M6383">
        <v>23.640449366570198</v>
      </c>
      <c r="N6383">
        <v>56.187265312913802</v>
      </c>
      <c r="O6383">
        <v>51.987695563938097</v>
      </c>
      <c r="P6383">
        <v>-6.8191684274435102E-2</v>
      </c>
      <c r="Q6383">
        <v>0.40016893020606698</v>
      </c>
      <c r="R6383">
        <v>0.98036821902133997</v>
      </c>
      <c r="S6383" t="s">
        <v>13053</v>
      </c>
      <c r="T6383" t="s">
        <v>13338</v>
      </c>
      <c r="U6383" t="s">
        <v>13338</v>
      </c>
      <c r="V6383" t="s">
        <v>13338</v>
      </c>
      <c r="W6383" t="s">
        <v>19659</v>
      </c>
      <c r="X6383">
        <v>10</v>
      </c>
      <c r="Y6383" t="s">
        <v>26140</v>
      </c>
      <c r="Z6383" t="s">
        <v>32798</v>
      </c>
      <c r="AA6383">
        <v>0.65336800794503203</v>
      </c>
      <c r="AB6383" t="str">
        <f>HYPERLINK("Melting_Curves/meltCurve_Q9UNK0_STX8.pdf", "Melting_Curves/meltCurve_Q9UNK0_STX8.pdf")</f>
        <v>Melting_Curves/meltCurve_Q9UNK0_STX8.pdf</v>
      </c>
    </row>
    <row r="6384" spans="1:28" x14ac:dyDescent="0.25">
      <c r="A6384" t="s">
        <v>6388</v>
      </c>
      <c r="B6384">
        <v>0.99193492352474899</v>
      </c>
      <c r="C6384">
        <v>0.81526908301822398</v>
      </c>
      <c r="D6384">
        <v>0.93669407176970498</v>
      </c>
      <c r="E6384">
        <v>0.57921754859048402</v>
      </c>
      <c r="F6384">
        <v>0.59597177037110105</v>
      </c>
      <c r="G6384">
        <v>0.168998870857823</v>
      </c>
      <c r="H6384">
        <v>7.5405744055236201E-2</v>
      </c>
      <c r="I6384">
        <v>7.1114488341288501E-2</v>
      </c>
      <c r="J6384">
        <v>9.00343835946667E-2</v>
      </c>
      <c r="K6384">
        <v>8.6237556397041504E-2</v>
      </c>
      <c r="L6384">
        <v>702.17425505015899</v>
      </c>
      <c r="M6384">
        <v>13.4736686251122</v>
      </c>
      <c r="N6384">
        <v>52.211032688020801</v>
      </c>
      <c r="O6384">
        <v>51.006738332532102</v>
      </c>
      <c r="P6384">
        <v>-6.5236760853917095E-2</v>
      </c>
      <c r="Q6384">
        <v>1.22948100141545E-2</v>
      </c>
      <c r="R6384">
        <v>0.94624219043329605</v>
      </c>
      <c r="S6384" t="s">
        <v>13054</v>
      </c>
      <c r="T6384" t="s">
        <v>13338</v>
      </c>
      <c r="U6384" t="s">
        <v>13338</v>
      </c>
      <c r="V6384" t="s">
        <v>13338</v>
      </c>
      <c r="W6384" t="s">
        <v>19660</v>
      </c>
      <c r="X6384">
        <v>21</v>
      </c>
      <c r="Y6384" t="s">
        <v>26141</v>
      </c>
      <c r="Z6384" t="s">
        <v>32799</v>
      </c>
      <c r="AA6384">
        <v>0.43685755310634278</v>
      </c>
      <c r="AB6384" t="str">
        <f>HYPERLINK("Melting_Curves/meltCurve_Q9UNM6_PSMD13.pdf", "Melting_Curves/meltCurve_Q9UNM6_PSMD13.pdf")</f>
        <v>Melting_Curves/meltCurve_Q9UNM6_PSMD13.pdf</v>
      </c>
    </row>
    <row r="6385" spans="1:28" x14ac:dyDescent="0.25">
      <c r="A6385" t="s">
        <v>6389</v>
      </c>
      <c r="B6385">
        <v>0.99193492352474899</v>
      </c>
      <c r="C6385">
        <v>0.87711336072073198</v>
      </c>
      <c r="D6385">
        <v>0.949005433546388</v>
      </c>
      <c r="E6385">
        <v>0.73584115319950105</v>
      </c>
      <c r="F6385">
        <v>0.348693675841869</v>
      </c>
      <c r="G6385">
        <v>0.121945732993061</v>
      </c>
      <c r="H6385">
        <v>6.8856039193610705E-2</v>
      </c>
      <c r="I6385">
        <v>7.8073845346621595E-2</v>
      </c>
      <c r="J6385">
        <v>8.2487124356852098E-2</v>
      </c>
      <c r="K6385">
        <v>8.8988584360564393E-2</v>
      </c>
      <c r="L6385">
        <v>1304.93237000421</v>
      </c>
      <c r="M6385">
        <v>25.4161692301244</v>
      </c>
      <c r="N6385">
        <v>51.646449490641302</v>
      </c>
      <c r="O6385">
        <v>51.0279289097709</v>
      </c>
      <c r="P6385">
        <v>-0.11587498960789901</v>
      </c>
      <c r="Q6385">
        <v>6.9444933165902098E-2</v>
      </c>
      <c r="R6385">
        <v>0.989762844983052</v>
      </c>
      <c r="S6385" t="s">
        <v>13055</v>
      </c>
      <c r="T6385" t="s">
        <v>13338</v>
      </c>
      <c r="U6385" t="s">
        <v>13338</v>
      </c>
      <c r="V6385" t="s">
        <v>13338</v>
      </c>
      <c r="W6385" t="s">
        <v>19661</v>
      </c>
      <c r="X6385">
        <v>27</v>
      </c>
      <c r="Y6385" t="s">
        <v>26142</v>
      </c>
      <c r="Z6385" t="s">
        <v>32800</v>
      </c>
      <c r="AA6385">
        <v>0.42944529945992188</v>
      </c>
      <c r="AB6385" t="str">
        <f>HYPERLINK("Melting_Curves/meltCurve_Q9UNN5_FAF1.pdf", "Melting_Curves/meltCurve_Q9UNN5_FAF1.pdf")</f>
        <v>Melting_Curves/meltCurve_Q9UNN5_FAF1.pdf</v>
      </c>
    </row>
    <row r="6386" spans="1:28" x14ac:dyDescent="0.25">
      <c r="A6386" t="s">
        <v>6390</v>
      </c>
      <c r="B6386">
        <v>0.99193492352474899</v>
      </c>
      <c r="C6386">
        <v>0.75843546500608205</v>
      </c>
      <c r="D6386">
        <v>0.58578526752603099</v>
      </c>
      <c r="E6386">
        <v>0.45279028599288301</v>
      </c>
      <c r="F6386">
        <v>0.36242369023097498</v>
      </c>
      <c r="G6386">
        <v>0.22124024609684001</v>
      </c>
      <c r="H6386">
        <v>0.111736896344505</v>
      </c>
      <c r="I6386">
        <v>0.15320824760361901</v>
      </c>
      <c r="J6386">
        <v>0.178879053135137</v>
      </c>
      <c r="K6386">
        <v>0.27582702075222398</v>
      </c>
      <c r="L6386">
        <v>624.75114730607197</v>
      </c>
      <c r="M6386">
        <v>13.417731345044899</v>
      </c>
      <c r="N6386">
        <v>48.058115669384598</v>
      </c>
      <c r="O6386">
        <v>45.563854000058598</v>
      </c>
      <c r="P6386">
        <v>-6.1058561845887899E-2</v>
      </c>
      <c r="Q6386">
        <v>0.17076028425127299</v>
      </c>
      <c r="R6386">
        <v>0.95688750391763699</v>
      </c>
      <c r="S6386" t="s">
        <v>13056</v>
      </c>
      <c r="T6386" t="s">
        <v>13338</v>
      </c>
      <c r="U6386" t="s">
        <v>13338</v>
      </c>
      <c r="V6386" t="s">
        <v>13338</v>
      </c>
      <c r="W6386" t="s">
        <v>19662</v>
      </c>
      <c r="X6386">
        <v>9</v>
      </c>
      <c r="Y6386" t="s">
        <v>26143</v>
      </c>
      <c r="Z6386" t="s">
        <v>32801</v>
      </c>
      <c r="AA6386">
        <v>0.38121932334833197</v>
      </c>
      <c r="AB6386" t="str">
        <f>HYPERLINK("Melting_Curves/meltCurve_Q9UNP9_PPIE.pdf", "Melting_Curves/meltCurve_Q9UNP9_PPIE.pdf")</f>
        <v>Melting_Curves/meltCurve_Q9UNP9_PPIE.pdf</v>
      </c>
    </row>
    <row r="6387" spans="1:28" x14ac:dyDescent="0.25">
      <c r="A6387" t="s">
        <v>6391</v>
      </c>
      <c r="B6387">
        <v>0.99193492352474899</v>
      </c>
      <c r="C6387">
        <v>0.52689090617738299</v>
      </c>
      <c r="D6387">
        <v>0.76594601467493995</v>
      </c>
      <c r="E6387">
        <v>0.516512887471263</v>
      </c>
      <c r="F6387">
        <v>0.43073799248135097</v>
      </c>
      <c r="G6387">
        <v>0.162363033563829</v>
      </c>
      <c r="H6387">
        <v>8.48309256853223E-2</v>
      </c>
      <c r="I6387">
        <v>9.8947573773961295E-2</v>
      </c>
      <c r="J6387">
        <v>7.7051631995379899E-2</v>
      </c>
      <c r="K6387">
        <v>0.17786792403593399</v>
      </c>
      <c r="L6387">
        <v>418.20943326226802</v>
      </c>
      <c r="M6387">
        <v>8.4926637982914404</v>
      </c>
      <c r="N6387">
        <v>49.245399254536501</v>
      </c>
      <c r="O6387">
        <v>46.740897269906498</v>
      </c>
      <c r="P6387">
        <v>-4.5458212606055801E-2</v>
      </c>
      <c r="Q6387">
        <v>1.5415551432800499E-4</v>
      </c>
      <c r="R6387">
        <v>0.86422287593241998</v>
      </c>
      <c r="S6387" t="s">
        <v>13057</v>
      </c>
      <c r="T6387" t="s">
        <v>13338</v>
      </c>
      <c r="U6387" t="s">
        <v>13338</v>
      </c>
      <c r="V6387" t="s">
        <v>13338</v>
      </c>
      <c r="W6387" t="s">
        <v>19663</v>
      </c>
      <c r="X6387">
        <v>4</v>
      </c>
      <c r="Y6387" t="s">
        <v>26144</v>
      </c>
      <c r="Z6387" t="s">
        <v>32802</v>
      </c>
      <c r="AA6387">
        <v>0.36811062467584832</v>
      </c>
      <c r="AB6387" t="str">
        <f>HYPERLINK("Melting_Curves/meltCurve_Q9UNQ2_DIMT1.pdf", "Melting_Curves/meltCurve_Q9UNQ2_DIMT1.pdf")</f>
        <v>Melting_Curves/meltCurve_Q9UNQ2_DIMT1.pdf</v>
      </c>
    </row>
    <row r="6388" spans="1:28" x14ac:dyDescent="0.25">
      <c r="A6388" t="s">
        <v>6392</v>
      </c>
      <c r="B6388">
        <v>0.99193492352474899</v>
      </c>
      <c r="C6388">
        <v>0.65065265591733201</v>
      </c>
      <c r="D6388">
        <v>0.32169610374017898</v>
      </c>
      <c r="E6388">
        <v>0.203351734789644</v>
      </c>
      <c r="F6388">
        <v>0.146817433621589</v>
      </c>
      <c r="G6388">
        <v>9.6575467502016996E-2</v>
      </c>
      <c r="H6388">
        <v>7.1371503467604402E-2</v>
      </c>
      <c r="I6388">
        <v>6.4633751143439305E-2</v>
      </c>
      <c r="J6388">
        <v>7.0671421243354404E-2</v>
      </c>
      <c r="K6388">
        <v>6.10040280544989E-2</v>
      </c>
      <c r="L6388">
        <v>1021.043972582</v>
      </c>
      <c r="M6388">
        <v>23.175837322990699</v>
      </c>
      <c r="N6388">
        <v>44.421360288563797</v>
      </c>
      <c r="O6388">
        <v>43.7322966561321</v>
      </c>
      <c r="P6388">
        <v>-0.12100348465748199</v>
      </c>
      <c r="Q6388">
        <v>8.6692381153033099E-2</v>
      </c>
      <c r="R6388">
        <v>0.98561213259007396</v>
      </c>
      <c r="S6388" t="s">
        <v>13058</v>
      </c>
      <c r="T6388" t="s">
        <v>13338</v>
      </c>
      <c r="U6388" t="s">
        <v>13338</v>
      </c>
      <c r="V6388" t="s">
        <v>13338</v>
      </c>
      <c r="W6388" t="s">
        <v>19664</v>
      </c>
      <c r="X6388">
        <v>9</v>
      </c>
      <c r="Y6388" t="s">
        <v>26145</v>
      </c>
      <c r="Z6388" t="s">
        <v>32803</v>
      </c>
      <c r="AA6388">
        <v>0.22262425204303399</v>
      </c>
      <c r="AB6388" t="str">
        <f>HYPERLINK("Melting_Curves/meltCurve_Q9UNS1_2_TIMELESS.pdf", "Melting_Curves/meltCurve_Q9UNS1_2_TIMELESS.pdf")</f>
        <v>Melting_Curves/meltCurve_Q9UNS1_2_TIMELESS.pdf</v>
      </c>
    </row>
    <row r="6389" spans="1:28" x14ac:dyDescent="0.25">
      <c r="A6389" t="s">
        <v>6393</v>
      </c>
      <c r="B6389">
        <v>0.99193492352474899</v>
      </c>
      <c r="C6389">
        <v>0.97088691723564302</v>
      </c>
      <c r="D6389">
        <v>0.924038572679172</v>
      </c>
      <c r="E6389">
        <v>0.82615066539485704</v>
      </c>
      <c r="F6389">
        <v>0.42812800873109902</v>
      </c>
      <c r="G6389">
        <v>0.18338285492249101</v>
      </c>
      <c r="H6389">
        <v>0.22776155942402501</v>
      </c>
      <c r="I6389">
        <v>0.140390415899141</v>
      </c>
      <c r="J6389">
        <v>0.108617439840435</v>
      </c>
      <c r="K6389">
        <v>0.116963427915817</v>
      </c>
      <c r="L6389">
        <v>1381.98771448197</v>
      </c>
      <c r="M6389">
        <v>26.625124086950599</v>
      </c>
      <c r="N6389">
        <v>52.525098836888397</v>
      </c>
      <c r="O6389">
        <v>51.615245452127098</v>
      </c>
      <c r="P6389">
        <v>-0.111578689962061</v>
      </c>
      <c r="Q6389">
        <v>0.13478696182823399</v>
      </c>
      <c r="R6389">
        <v>0.99164337555289195</v>
      </c>
      <c r="S6389" t="s">
        <v>13059</v>
      </c>
      <c r="T6389" t="s">
        <v>13338</v>
      </c>
      <c r="U6389" t="s">
        <v>13338</v>
      </c>
      <c r="V6389" t="s">
        <v>13338</v>
      </c>
      <c r="W6389" t="s">
        <v>19665</v>
      </c>
      <c r="X6389">
        <v>19</v>
      </c>
      <c r="Y6389" t="s">
        <v>26146</v>
      </c>
      <c r="Z6389" t="s">
        <v>32804</v>
      </c>
      <c r="AA6389">
        <v>0.4851269136270161</v>
      </c>
      <c r="AB6389" t="str">
        <f>HYPERLINK("Melting_Curves/meltCurve_Q9UNS2_COPS3.pdf", "Melting_Curves/meltCurve_Q9UNS2_COPS3.pdf")</f>
        <v>Melting_Curves/meltCurve_Q9UNS2_COPS3.pdf</v>
      </c>
    </row>
    <row r="6390" spans="1:28" x14ac:dyDescent="0.25">
      <c r="A6390" t="s">
        <v>6394</v>
      </c>
      <c r="B6390">
        <v>0.99193492352474899</v>
      </c>
      <c r="C6390">
        <v>0.55339494740872197</v>
      </c>
      <c r="D6390">
        <v>0.87642509972071403</v>
      </c>
      <c r="E6390">
        <v>0.454762742327251</v>
      </c>
      <c r="F6390">
        <v>0.17685693736317601</v>
      </c>
      <c r="G6390">
        <v>0.111968175201308</v>
      </c>
      <c r="H6390">
        <v>7.7425414878775398E-2</v>
      </c>
      <c r="I6390">
        <v>8.2206028825240904E-2</v>
      </c>
      <c r="J6390">
        <v>0.10149526215861</v>
      </c>
      <c r="K6390">
        <v>0.100264620294016</v>
      </c>
      <c r="L6390">
        <v>612.93009436975899</v>
      </c>
      <c r="M6390">
        <v>12.7323477215142</v>
      </c>
      <c r="N6390">
        <v>48.450844838162901</v>
      </c>
      <c r="O6390">
        <v>46.998432862002502</v>
      </c>
      <c r="P6390">
        <v>-6.5080455560682704E-2</v>
      </c>
      <c r="Q6390">
        <v>3.9267892480037599E-2</v>
      </c>
      <c r="R6390">
        <v>0.87002164649365599</v>
      </c>
      <c r="S6390" t="s">
        <v>13060</v>
      </c>
      <c r="T6390" t="s">
        <v>13338</v>
      </c>
      <c r="U6390" t="s">
        <v>13338</v>
      </c>
      <c r="V6390" t="s">
        <v>13338</v>
      </c>
      <c r="W6390" t="s">
        <v>19666</v>
      </c>
      <c r="X6390">
        <v>3</v>
      </c>
      <c r="Y6390" t="s">
        <v>26147</v>
      </c>
      <c r="Z6390" t="s">
        <v>32805</v>
      </c>
      <c r="AA6390">
        <v>0.33344607145651922</v>
      </c>
      <c r="AB6390" t="str">
        <f>HYPERLINK("Melting_Curves/meltCurve_Q9UNT1_2_RABL2B.pdf", "Melting_Curves/meltCurve_Q9UNT1_2_RABL2B.pdf")</f>
        <v>Melting_Curves/meltCurve_Q9UNT1_2_RABL2B.pdf</v>
      </c>
    </row>
    <row r="6391" spans="1:28" x14ac:dyDescent="0.25">
      <c r="A6391" t="s">
        <v>6395</v>
      </c>
      <c r="B6391">
        <v>0.99193492352474899</v>
      </c>
      <c r="C6391">
        <v>0.80693808243242104</v>
      </c>
      <c r="D6391">
        <v>0.88554188883621299</v>
      </c>
      <c r="E6391">
        <v>0.69030404322743599</v>
      </c>
      <c r="F6391">
        <v>0.55609660090838597</v>
      </c>
      <c r="G6391">
        <v>0.346659836408857</v>
      </c>
      <c r="H6391">
        <v>0.18177036659766499</v>
      </c>
      <c r="I6391">
        <v>0.113347399625721</v>
      </c>
      <c r="J6391">
        <v>0.10336089623447201</v>
      </c>
      <c r="K6391">
        <v>0.114115095082002</v>
      </c>
      <c r="L6391">
        <v>562.49850994781104</v>
      </c>
      <c r="M6391">
        <v>10.5291788897124</v>
      </c>
      <c r="N6391">
        <v>53.4228268500366</v>
      </c>
      <c r="O6391">
        <v>51.603740235376101</v>
      </c>
      <c r="P6391">
        <v>-5.1030124947436202E-2</v>
      </c>
      <c r="Q6391">
        <v>0</v>
      </c>
      <c r="R6391">
        <v>0.97893785005218203</v>
      </c>
      <c r="S6391" t="s">
        <v>13061</v>
      </c>
      <c r="T6391" t="s">
        <v>13338</v>
      </c>
      <c r="U6391" t="s">
        <v>13338</v>
      </c>
      <c r="V6391" t="s">
        <v>13338</v>
      </c>
      <c r="W6391" t="s">
        <v>19667</v>
      </c>
      <c r="X6391">
        <v>8</v>
      </c>
      <c r="Y6391" t="s">
        <v>26148</v>
      </c>
      <c r="Z6391" t="s">
        <v>32806</v>
      </c>
      <c r="AA6391">
        <v>0.47859719854927602</v>
      </c>
      <c r="AB6391" t="str">
        <f>HYPERLINK("Melting_Curves/meltCurve_Q9UNW1_MINPP1.pdf", "Melting_Curves/meltCurve_Q9UNW1_MINPP1.pdf")</f>
        <v>Melting_Curves/meltCurve_Q9UNW1_MINPP1.pdf</v>
      </c>
    </row>
    <row r="6392" spans="1:28" x14ac:dyDescent="0.25">
      <c r="A6392" t="s">
        <v>6396</v>
      </c>
      <c r="B6392">
        <v>0.99193492352474899</v>
      </c>
      <c r="C6392">
        <v>0.51141244972676203</v>
      </c>
      <c r="D6392">
        <v>0.79899942720231099</v>
      </c>
      <c r="E6392">
        <v>0.417488796589572</v>
      </c>
      <c r="F6392">
        <v>0.57692276019011202</v>
      </c>
      <c r="G6392">
        <v>0.244504061404761</v>
      </c>
      <c r="H6392">
        <v>5.9475391417063601E-2</v>
      </c>
      <c r="I6392">
        <v>3.7986358939217597E-2</v>
      </c>
      <c r="J6392">
        <v>8.6325102302892004E-2</v>
      </c>
      <c r="K6392">
        <v>9.1842881205422194E-2</v>
      </c>
      <c r="L6392">
        <v>419.51793147972802</v>
      </c>
      <c r="M6392">
        <v>8.4707188975104</v>
      </c>
      <c r="N6392">
        <v>49.525658582319103</v>
      </c>
      <c r="O6392">
        <v>46.996618542501103</v>
      </c>
      <c r="P6392">
        <v>-4.51013736111767E-2</v>
      </c>
      <c r="Q6392">
        <v>0</v>
      </c>
      <c r="R6392">
        <v>0.81886321680219198</v>
      </c>
      <c r="S6392" t="s">
        <v>13062</v>
      </c>
      <c r="T6392" t="s">
        <v>13338</v>
      </c>
      <c r="U6392" t="s">
        <v>13338</v>
      </c>
      <c r="V6392" t="s">
        <v>13338</v>
      </c>
      <c r="W6392" t="s">
        <v>19668</v>
      </c>
      <c r="X6392">
        <v>9</v>
      </c>
      <c r="Y6392" t="s">
        <v>26149</v>
      </c>
      <c r="Z6392" t="s">
        <v>32807</v>
      </c>
      <c r="AA6392">
        <v>0.37601467449976911</v>
      </c>
      <c r="AB6392" t="str">
        <f>HYPERLINK("Melting_Curves/meltCurve_Q9UNX3_RPL26L1.pdf", "Melting_Curves/meltCurve_Q9UNX3_RPL26L1.pdf")</f>
        <v>Melting_Curves/meltCurve_Q9UNX3_RPL26L1.pdf</v>
      </c>
    </row>
    <row r="6393" spans="1:28" x14ac:dyDescent="0.25">
      <c r="A6393" t="s">
        <v>6397</v>
      </c>
      <c r="B6393">
        <v>0.99193492352474899</v>
      </c>
      <c r="C6393">
        <v>0.58041774400147395</v>
      </c>
      <c r="D6393">
        <v>0.75807823042237499</v>
      </c>
      <c r="E6393">
        <v>0.32297591640829898</v>
      </c>
      <c r="F6393">
        <v>0.16661063838662499</v>
      </c>
      <c r="G6393">
        <v>8.5725723232797799E-2</v>
      </c>
      <c r="H6393">
        <v>5.1890236255694701E-2</v>
      </c>
      <c r="I6393">
        <v>4.9962732350453301E-2</v>
      </c>
      <c r="J6393">
        <v>4.6278433679018502E-2</v>
      </c>
      <c r="K6393">
        <v>4.5067223370596897E-2</v>
      </c>
      <c r="L6393">
        <v>602.99861951218304</v>
      </c>
      <c r="M6393">
        <v>12.7783797320717</v>
      </c>
      <c r="N6393">
        <v>47.2542813740125</v>
      </c>
      <c r="O6393">
        <v>46.078080945086697</v>
      </c>
      <c r="P6393">
        <v>-6.8736244163406401E-2</v>
      </c>
      <c r="Q6393">
        <v>8.7519581660243703E-3</v>
      </c>
      <c r="R6393">
        <v>0.92476313022433898</v>
      </c>
      <c r="S6393" t="s">
        <v>13063</v>
      </c>
      <c r="T6393" t="s">
        <v>13338</v>
      </c>
      <c r="U6393" t="s">
        <v>13338</v>
      </c>
      <c r="V6393" t="s">
        <v>13338</v>
      </c>
      <c r="W6393" t="s">
        <v>19669</v>
      </c>
      <c r="X6393">
        <v>19</v>
      </c>
      <c r="Y6393" t="s">
        <v>26150</v>
      </c>
      <c r="Z6393" t="s">
        <v>32808</v>
      </c>
      <c r="AA6393">
        <v>0.28280569016418261</v>
      </c>
      <c r="AB6393" t="str">
        <f>HYPERLINK("Melting_Curves/meltCurve_Q9UNX4_WDR3.pdf", "Melting_Curves/meltCurve_Q9UNX4_WDR3.pdf")</f>
        <v>Melting_Curves/meltCurve_Q9UNX4_WDR3.pdf</v>
      </c>
    </row>
    <row r="6394" spans="1:28" x14ac:dyDescent="0.25">
      <c r="A6394" t="s">
        <v>6398</v>
      </c>
      <c r="B6394">
        <v>0.99193492352474899</v>
      </c>
      <c r="C6394">
        <v>0.63001840955021104</v>
      </c>
      <c r="D6394">
        <v>0.63680377065063898</v>
      </c>
      <c r="E6394">
        <v>0.250121383635309</v>
      </c>
      <c r="F6394">
        <v>0.140819666112006</v>
      </c>
      <c r="G6394">
        <v>8.3601237795764199E-2</v>
      </c>
      <c r="H6394">
        <v>4.5005736249458098E-2</v>
      </c>
      <c r="I6394">
        <v>4.8050070167095303E-2</v>
      </c>
      <c r="J6394">
        <v>5.5792365720267099E-2</v>
      </c>
      <c r="K6394">
        <v>5.9450842214103301E-2</v>
      </c>
      <c r="L6394">
        <v>686.93030151697201</v>
      </c>
      <c r="M6394">
        <v>14.883463511886401</v>
      </c>
      <c r="N6394">
        <v>46.373476995578798</v>
      </c>
      <c r="O6394">
        <v>45.344740217999302</v>
      </c>
      <c r="P6394">
        <v>-7.9273974524650195E-2</v>
      </c>
      <c r="Q6394">
        <v>3.4019262522306699E-2</v>
      </c>
      <c r="R6394">
        <v>0.96240925872985805</v>
      </c>
      <c r="S6394" t="s">
        <v>13064</v>
      </c>
      <c r="T6394" t="s">
        <v>13338</v>
      </c>
      <c r="U6394" t="s">
        <v>13338</v>
      </c>
      <c r="V6394" t="s">
        <v>13338</v>
      </c>
      <c r="W6394" t="s">
        <v>19670</v>
      </c>
      <c r="X6394">
        <v>7</v>
      </c>
      <c r="Y6394" t="s">
        <v>26151</v>
      </c>
      <c r="Z6394" t="s">
        <v>32809</v>
      </c>
      <c r="AA6394">
        <v>0.26049214720156549</v>
      </c>
      <c r="AB6394" t="str">
        <f>HYPERLINK("Melting_Curves/meltCurve_Q9UNY4_TTF2.pdf", "Melting_Curves/meltCurve_Q9UNY4_TTF2.pdf")</f>
        <v>Melting_Curves/meltCurve_Q9UNY4_TTF2.pdf</v>
      </c>
    </row>
    <row r="6395" spans="1:28" x14ac:dyDescent="0.25">
      <c r="A6395" t="s">
        <v>6399</v>
      </c>
      <c r="B6395">
        <v>0.99193492352474899</v>
      </c>
      <c r="C6395">
        <v>0.85495104575377301</v>
      </c>
      <c r="D6395">
        <v>0.77929476633067696</v>
      </c>
      <c r="E6395">
        <v>0.57560242247916305</v>
      </c>
      <c r="F6395">
        <v>0.23002170102810399</v>
      </c>
      <c r="G6395">
        <v>0.126355176507674</v>
      </c>
      <c r="H6395">
        <v>8.3924467064226904E-2</v>
      </c>
      <c r="I6395">
        <v>0.113363219515321</v>
      </c>
      <c r="J6395">
        <v>0.125003214360529</v>
      </c>
      <c r="K6395">
        <v>0.155026821980316</v>
      </c>
      <c r="L6395">
        <v>880.74605007302705</v>
      </c>
      <c r="M6395">
        <v>17.954190907981701</v>
      </c>
      <c r="N6395">
        <v>49.643590007636902</v>
      </c>
      <c r="O6395">
        <v>48.458767690128802</v>
      </c>
      <c r="P6395">
        <v>-8.3752707935116202E-2</v>
      </c>
      <c r="Q6395">
        <v>9.5843355276628503E-2</v>
      </c>
      <c r="R6395">
        <v>0.98202513020656801</v>
      </c>
      <c r="S6395" t="s">
        <v>13065</v>
      </c>
      <c r="T6395" t="s">
        <v>13338</v>
      </c>
      <c r="U6395" t="s">
        <v>13338</v>
      </c>
      <c r="V6395" t="s">
        <v>13338</v>
      </c>
      <c r="W6395" t="s">
        <v>19671</v>
      </c>
      <c r="X6395">
        <v>27</v>
      </c>
      <c r="Y6395" t="s">
        <v>26152</v>
      </c>
      <c r="Z6395" t="s">
        <v>32810</v>
      </c>
      <c r="AA6395">
        <v>0.38447745336244221</v>
      </c>
      <c r="AB6395" t="str">
        <f>HYPERLINK("Melting_Curves/meltCurve_Q9UNZ2_NSFL1C.pdf", "Melting_Curves/meltCurve_Q9UNZ2_NSFL1C.pdf")</f>
        <v>Melting_Curves/meltCurve_Q9UNZ2_NSFL1C.pdf</v>
      </c>
    </row>
    <row r="6396" spans="1:28" x14ac:dyDescent="0.25">
      <c r="A6396" t="s">
        <v>6400</v>
      </c>
      <c r="B6396">
        <v>0.99193492352474899</v>
      </c>
      <c r="C6396">
        <v>0.64868983367449995</v>
      </c>
      <c r="D6396">
        <v>0.62133370068168003</v>
      </c>
      <c r="E6396">
        <v>0.48394735574126102</v>
      </c>
      <c r="F6396">
        <v>0.45717133419119399</v>
      </c>
      <c r="G6396">
        <v>0.20789313365892001</v>
      </c>
      <c r="H6396">
        <v>0.237908131885047</v>
      </c>
      <c r="I6396">
        <v>0.21053451341030399</v>
      </c>
      <c r="J6396">
        <v>0.20876860050122301</v>
      </c>
      <c r="K6396">
        <v>0.52214234091809497</v>
      </c>
      <c r="L6396">
        <v>611.53690681460603</v>
      </c>
      <c r="M6396">
        <v>13.5365702367914</v>
      </c>
      <c r="N6396">
        <v>48.115587702522802</v>
      </c>
      <c r="O6396">
        <v>44.2248916465402</v>
      </c>
      <c r="P6396">
        <v>-5.5005467291880397E-2</v>
      </c>
      <c r="Q6396">
        <v>0.28128182152192499</v>
      </c>
      <c r="R6396">
        <v>0.79541071689206599</v>
      </c>
      <c r="S6396" t="s">
        <v>13066</v>
      </c>
      <c r="T6396" t="s">
        <v>13338</v>
      </c>
      <c r="U6396" t="s">
        <v>13338</v>
      </c>
      <c r="V6396" t="s">
        <v>13338</v>
      </c>
      <c r="W6396" t="s">
        <v>19672</v>
      </c>
      <c r="X6396">
        <v>2</v>
      </c>
      <c r="Y6396" t="s">
        <v>26153</v>
      </c>
      <c r="Z6396" t="s">
        <v>32811</v>
      </c>
      <c r="AA6396">
        <v>0.43327092023012947</v>
      </c>
      <c r="AB6396" t="str">
        <f>HYPERLINK("Melting_Curves/meltCurve_Q9UNZ5_C19orf53.pdf", "Melting_Curves/meltCurve_Q9UNZ5_C19orf53.pdf")</f>
        <v>Melting_Curves/meltCurve_Q9UNZ5_C19orf53.pdf</v>
      </c>
    </row>
    <row r="6397" spans="1:28" x14ac:dyDescent="0.25">
      <c r="A6397" t="s">
        <v>6401</v>
      </c>
      <c r="B6397">
        <v>0.99193492352474899</v>
      </c>
      <c r="C6397">
        <v>0.67661927518667297</v>
      </c>
      <c r="D6397">
        <v>0.42830409999077201</v>
      </c>
      <c r="E6397">
        <v>0.171129668897742</v>
      </c>
      <c r="F6397">
        <v>0.11573986540626099</v>
      </c>
      <c r="G6397">
        <v>6.7880943396927407E-2</v>
      </c>
      <c r="H6397">
        <v>4.8495151551150799E-2</v>
      </c>
      <c r="I6397">
        <v>6.1332994021362303E-2</v>
      </c>
      <c r="J6397">
        <v>8.8603463369478996E-2</v>
      </c>
      <c r="K6397">
        <v>7.9616918362706707E-2</v>
      </c>
      <c r="L6397">
        <v>926.97138984817502</v>
      </c>
      <c r="M6397">
        <v>20.7297268593552</v>
      </c>
      <c r="N6397">
        <v>45.038432441769203</v>
      </c>
      <c r="O6397">
        <v>44.307111306093503</v>
      </c>
      <c r="P6397">
        <v>-0.108926344639713</v>
      </c>
      <c r="Q6397">
        <v>6.8762373393741999E-2</v>
      </c>
      <c r="R6397">
        <v>0.990495610784483</v>
      </c>
      <c r="S6397" t="s">
        <v>13067</v>
      </c>
      <c r="T6397" t="s">
        <v>13338</v>
      </c>
      <c r="U6397" t="s">
        <v>13338</v>
      </c>
      <c r="V6397" t="s">
        <v>13338</v>
      </c>
      <c r="W6397" t="s">
        <v>19673</v>
      </c>
      <c r="X6397">
        <v>8</v>
      </c>
      <c r="Y6397" t="s">
        <v>26154</v>
      </c>
      <c r="Z6397" t="s">
        <v>32812</v>
      </c>
      <c r="AA6397">
        <v>0.2301805535821958</v>
      </c>
      <c r="AB6397" t="str">
        <f>HYPERLINK("Melting_Curves/meltCurve_Q9UP83_COG5.pdf", "Melting_Curves/meltCurve_Q9UP83_COG5.pdf")</f>
        <v>Melting_Curves/meltCurve_Q9UP83_COG5.pdf</v>
      </c>
    </row>
    <row r="6398" spans="1:28" x14ac:dyDescent="0.25">
      <c r="A6398" t="s">
        <v>6402</v>
      </c>
      <c r="B6398">
        <v>0.99193492352474899</v>
      </c>
      <c r="C6398">
        <v>0.90184790980304796</v>
      </c>
      <c r="D6398">
        <v>1.1065692997275001</v>
      </c>
      <c r="E6398">
        <v>0.62452483954814098</v>
      </c>
      <c r="F6398">
        <v>0.48082642239798701</v>
      </c>
      <c r="G6398">
        <v>0.26995983303190002</v>
      </c>
      <c r="H6398">
        <v>0.106472346623932</v>
      </c>
      <c r="I6398">
        <v>0.11003020767278</v>
      </c>
      <c r="J6398">
        <v>0.12388716210756</v>
      </c>
      <c r="K6398">
        <v>0.107185519221596</v>
      </c>
      <c r="L6398">
        <v>1005.90396354566</v>
      </c>
      <c r="M6398">
        <v>19.402912681102698</v>
      </c>
      <c r="N6398">
        <v>52.436072032738998</v>
      </c>
      <c r="O6398">
        <v>51.301667952875398</v>
      </c>
      <c r="P6398">
        <v>-8.5239924455024194E-2</v>
      </c>
      <c r="Q6398">
        <v>9.8529190119859306E-2</v>
      </c>
      <c r="R6398">
        <v>0.96167112113818798</v>
      </c>
      <c r="S6398" t="s">
        <v>13068</v>
      </c>
      <c r="T6398" t="s">
        <v>13338</v>
      </c>
      <c r="U6398" t="s">
        <v>13338</v>
      </c>
      <c r="V6398" t="s">
        <v>13338</v>
      </c>
      <c r="W6398" t="s">
        <v>19674</v>
      </c>
      <c r="X6398">
        <v>6</v>
      </c>
      <c r="Y6398" t="s">
        <v>26155</v>
      </c>
      <c r="Z6398" t="s">
        <v>32813</v>
      </c>
      <c r="AA6398">
        <v>0.46757829176483162</v>
      </c>
      <c r="AB6398" t="str">
        <f>HYPERLINK("Melting_Curves/meltCurve_Q9UP95_5_SLC12A4.pdf", "Melting_Curves/meltCurve_Q9UP95_5_SLC12A4.pdf")</f>
        <v>Melting_Curves/meltCurve_Q9UP95_5_SLC12A4.pdf</v>
      </c>
    </row>
    <row r="6399" spans="1:28" x14ac:dyDescent="0.25">
      <c r="A6399" t="s">
        <v>6403</v>
      </c>
      <c r="B6399">
        <v>0.99193492352474899</v>
      </c>
      <c r="C6399">
        <v>0.72675226101387402</v>
      </c>
      <c r="D6399">
        <v>0.55170966173351099</v>
      </c>
      <c r="E6399">
        <v>0.24629980619521899</v>
      </c>
      <c r="F6399">
        <v>0.215883134978612</v>
      </c>
      <c r="G6399">
        <v>0.158212454391572</v>
      </c>
      <c r="H6399">
        <v>0.16714970615979899</v>
      </c>
      <c r="I6399">
        <v>0.31100273972225301</v>
      </c>
      <c r="J6399">
        <v>0.364079960222435</v>
      </c>
      <c r="K6399">
        <v>0.42795574077293502</v>
      </c>
      <c r="L6399">
        <v>1118.8898330802101</v>
      </c>
      <c r="M6399">
        <v>25.226122844430201</v>
      </c>
      <c r="N6399">
        <v>45.741830601963898</v>
      </c>
      <c r="O6399">
        <v>44.078496883919598</v>
      </c>
      <c r="P6399">
        <v>-0.104822896805209</v>
      </c>
      <c r="Q6399">
        <v>0.26736650365811598</v>
      </c>
      <c r="R6399">
        <v>0.88150871499736605</v>
      </c>
      <c r="S6399" t="s">
        <v>13069</v>
      </c>
      <c r="T6399" t="s">
        <v>13338</v>
      </c>
      <c r="U6399" t="s">
        <v>13338</v>
      </c>
      <c r="V6399" t="s">
        <v>13338</v>
      </c>
      <c r="W6399" t="s">
        <v>19675</v>
      </c>
      <c r="X6399">
        <v>9</v>
      </c>
      <c r="Y6399" t="s">
        <v>26156</v>
      </c>
      <c r="Z6399" t="s">
        <v>32814</v>
      </c>
      <c r="AA6399">
        <v>0.38145158201399521</v>
      </c>
      <c r="AB6399" t="str">
        <f>HYPERLINK("Melting_Curves/meltCurve_Q9UPN6_SCAF8.pdf", "Melting_Curves/meltCurve_Q9UPN6_SCAF8.pdf")</f>
        <v>Melting_Curves/meltCurve_Q9UPN6_SCAF8.pdf</v>
      </c>
    </row>
    <row r="6400" spans="1:28" x14ac:dyDescent="0.25">
      <c r="A6400" t="s">
        <v>6404</v>
      </c>
      <c r="B6400">
        <v>0.99193492352474899</v>
      </c>
      <c r="C6400">
        <v>1.06864278916786</v>
      </c>
      <c r="D6400">
        <v>0.950152602480415</v>
      </c>
      <c r="E6400">
        <v>0.64589296635979299</v>
      </c>
      <c r="F6400">
        <v>0.27368397508648801</v>
      </c>
      <c r="G6400">
        <v>0.150399698819141</v>
      </c>
      <c r="H6400">
        <v>9.9556422945937098E-2</v>
      </c>
      <c r="I6400">
        <v>0.102377845110894</v>
      </c>
      <c r="J6400">
        <v>0.119026123433979</v>
      </c>
      <c r="K6400">
        <v>0.171096738493447</v>
      </c>
      <c r="L6400">
        <v>1520.5083994107899</v>
      </c>
      <c r="M6400">
        <v>30.235276951947</v>
      </c>
      <c r="N6400">
        <v>50.763693924319199</v>
      </c>
      <c r="O6400">
        <v>50.070786993340199</v>
      </c>
      <c r="P6400">
        <v>-0.13238151686812</v>
      </c>
      <c r="Q6400">
        <v>0.123090285015097</v>
      </c>
      <c r="R6400">
        <v>0.99394634616775801</v>
      </c>
      <c r="S6400" t="s">
        <v>13070</v>
      </c>
      <c r="T6400" t="s">
        <v>13338</v>
      </c>
      <c r="U6400" t="s">
        <v>13338</v>
      </c>
      <c r="V6400" t="s">
        <v>13338</v>
      </c>
      <c r="W6400" t="s">
        <v>19676</v>
      </c>
      <c r="X6400">
        <v>12</v>
      </c>
      <c r="Y6400" t="s">
        <v>26157</v>
      </c>
      <c r="Z6400" t="s">
        <v>32815</v>
      </c>
      <c r="AA6400">
        <v>0.42921165967893787</v>
      </c>
      <c r="AB6400" t="str">
        <f>HYPERLINK("Melting_Curves/meltCurve_Q9UPN7_PPP6R1.pdf", "Melting_Curves/meltCurve_Q9UPN7_PPP6R1.pdf")</f>
        <v>Melting_Curves/meltCurve_Q9UPN7_PPP6R1.pdf</v>
      </c>
    </row>
    <row r="6401" spans="1:28" x14ac:dyDescent="0.25">
      <c r="A6401" t="s">
        <v>6405</v>
      </c>
      <c r="B6401">
        <v>0.99193492352474899</v>
      </c>
      <c r="C6401">
        <v>0.89580230549991202</v>
      </c>
      <c r="D6401">
        <v>0.73665311999829297</v>
      </c>
      <c r="E6401">
        <v>0.19401852170383899</v>
      </c>
      <c r="F6401">
        <v>0.12835781973035701</v>
      </c>
      <c r="G6401">
        <v>7.4295999416922401E-2</v>
      </c>
      <c r="H6401">
        <v>4.3993211648515197E-2</v>
      </c>
      <c r="I6401">
        <v>5.3775430792151198E-2</v>
      </c>
      <c r="J6401">
        <v>6.7047022856585897E-2</v>
      </c>
      <c r="K6401">
        <v>5.9762443589727002E-2</v>
      </c>
      <c r="L6401">
        <v>1486.01912636067</v>
      </c>
      <c r="M6401">
        <v>31.512491917766202</v>
      </c>
      <c r="N6401">
        <v>47.357036891735298</v>
      </c>
      <c r="O6401">
        <v>46.967826454254897</v>
      </c>
      <c r="P6401">
        <v>-0.15725894113914601</v>
      </c>
      <c r="Q6401">
        <v>6.24580123971036E-2</v>
      </c>
      <c r="R6401">
        <v>0.99386826795935601</v>
      </c>
      <c r="S6401" t="s">
        <v>13071</v>
      </c>
      <c r="T6401" t="s">
        <v>13338</v>
      </c>
      <c r="U6401" t="s">
        <v>13338</v>
      </c>
      <c r="V6401" t="s">
        <v>13338</v>
      </c>
      <c r="W6401" t="s">
        <v>19677</v>
      </c>
      <c r="X6401">
        <v>14</v>
      </c>
      <c r="Y6401" t="s">
        <v>26158</v>
      </c>
      <c r="Z6401" t="s">
        <v>32816</v>
      </c>
      <c r="AA6401">
        <v>0.2911711438055391</v>
      </c>
      <c r="AB6401" t="str">
        <f>HYPERLINK("Melting_Curves/meltCurve_Q9UPN9_TRIM33.pdf", "Melting_Curves/meltCurve_Q9UPN9_TRIM33.pdf")</f>
        <v>Melting_Curves/meltCurve_Q9UPN9_TRIM33.pdf</v>
      </c>
    </row>
    <row r="6402" spans="1:28" x14ac:dyDescent="0.25">
      <c r="A6402" t="s">
        <v>6406</v>
      </c>
      <c r="B6402">
        <v>0.99193492352474899</v>
      </c>
      <c r="C6402">
        <v>0.85618862462245204</v>
      </c>
      <c r="D6402">
        <v>0.86396784184143205</v>
      </c>
      <c r="E6402">
        <v>0.15304605966983401</v>
      </c>
      <c r="F6402">
        <v>0.168010571957354</v>
      </c>
      <c r="G6402">
        <v>3.6379638508857698E-2</v>
      </c>
      <c r="H6402">
        <v>1.9578488778290701E-2</v>
      </c>
      <c r="I6402">
        <v>4.94044883885872E-2</v>
      </c>
      <c r="J6402">
        <v>5.92676190473281E-2</v>
      </c>
      <c r="K6402">
        <v>1.95735401334678E-2</v>
      </c>
      <c r="L6402">
        <v>2307.4341358751199</v>
      </c>
      <c r="M6402">
        <v>48.497271807262599</v>
      </c>
      <c r="N6402">
        <v>47.693975279493898</v>
      </c>
      <c r="O6402">
        <v>47.4979540611738</v>
      </c>
      <c r="P6402">
        <v>-0.24113406109021299</v>
      </c>
      <c r="Q6402">
        <v>5.53396387681937E-2</v>
      </c>
      <c r="R6402">
        <v>0.97691003205413296</v>
      </c>
      <c r="S6402" t="s">
        <v>13072</v>
      </c>
      <c r="T6402" t="s">
        <v>13338</v>
      </c>
      <c r="U6402" t="s">
        <v>13338</v>
      </c>
      <c r="V6402" t="s">
        <v>13338</v>
      </c>
      <c r="W6402" t="s">
        <v>19678</v>
      </c>
      <c r="X6402">
        <v>15</v>
      </c>
      <c r="Y6402" t="s">
        <v>26158</v>
      </c>
      <c r="Z6402" t="s">
        <v>32817</v>
      </c>
      <c r="AA6402">
        <v>0.29609116664492402</v>
      </c>
      <c r="AB6402" t="str">
        <f>HYPERLINK("Melting_Curves/meltCurve_Q9UPN9_2_TRIM33.pdf", "Melting_Curves/meltCurve_Q9UPN9_2_TRIM33.pdf")</f>
        <v>Melting_Curves/meltCurve_Q9UPN9_2_TRIM33.pdf</v>
      </c>
    </row>
    <row r="6403" spans="1:28" x14ac:dyDescent="0.25">
      <c r="A6403" t="s">
        <v>6407</v>
      </c>
      <c r="B6403">
        <v>0.99193492352474899</v>
      </c>
      <c r="C6403">
        <v>0.65508145757391301</v>
      </c>
      <c r="D6403">
        <v>0.76460754752747695</v>
      </c>
      <c r="E6403">
        <v>0.41638830581486802</v>
      </c>
      <c r="F6403">
        <v>0.30467773968843798</v>
      </c>
      <c r="G6403">
        <v>0.169310720110743</v>
      </c>
      <c r="H6403">
        <v>0.17009257584503801</v>
      </c>
      <c r="I6403">
        <v>0.23743459470591699</v>
      </c>
      <c r="J6403">
        <v>0.391815101816333</v>
      </c>
      <c r="K6403">
        <v>0.50276784916113504</v>
      </c>
      <c r="L6403">
        <v>775.54187572279</v>
      </c>
      <c r="M6403">
        <v>17.019607166984201</v>
      </c>
      <c r="N6403">
        <v>47.9628262865183</v>
      </c>
      <c r="O6403">
        <v>44.9524274574079</v>
      </c>
      <c r="P6403">
        <v>-6.75598551542647E-2</v>
      </c>
      <c r="Q6403">
        <v>0.286283802161648</v>
      </c>
      <c r="R6403">
        <v>0.777061159974194</v>
      </c>
      <c r="S6403" t="s">
        <v>13073</v>
      </c>
      <c r="T6403" t="s">
        <v>13338</v>
      </c>
      <c r="U6403" t="s">
        <v>13338</v>
      </c>
      <c r="V6403" t="s">
        <v>13338</v>
      </c>
      <c r="W6403" t="s">
        <v>19679</v>
      </c>
      <c r="X6403">
        <v>8</v>
      </c>
      <c r="Y6403" t="s">
        <v>26159</v>
      </c>
      <c r="Z6403" t="s">
        <v>32818</v>
      </c>
      <c r="AA6403">
        <v>0.43520909998579499</v>
      </c>
      <c r="AB6403" t="str">
        <f>HYPERLINK("Melting_Curves/meltCurve_Q9UPQ9_1_TNRC6B.pdf", "Melting_Curves/meltCurve_Q9UPQ9_1_TNRC6B.pdf")</f>
        <v>Melting_Curves/meltCurve_Q9UPQ9_1_TNRC6B.pdf</v>
      </c>
    </row>
    <row r="6404" spans="1:28" x14ac:dyDescent="0.25">
      <c r="A6404" t="s">
        <v>6408</v>
      </c>
      <c r="B6404">
        <v>0.99193492352474899</v>
      </c>
      <c r="C6404">
        <v>0.857761277903898</v>
      </c>
      <c r="D6404">
        <v>0.76672252019168297</v>
      </c>
      <c r="E6404">
        <v>0.36466995909661798</v>
      </c>
      <c r="F6404">
        <v>0.26073812302983501</v>
      </c>
      <c r="G6404">
        <v>0.14351816784586199</v>
      </c>
      <c r="H6404">
        <v>0.10074877486763401</v>
      </c>
      <c r="I6404">
        <v>0.120146754607762</v>
      </c>
      <c r="J6404">
        <v>0.13617374280765701</v>
      </c>
      <c r="K6404">
        <v>0.14565158961548499</v>
      </c>
      <c r="L6404">
        <v>940.79037442696301</v>
      </c>
      <c r="M6404">
        <v>19.704597807315999</v>
      </c>
      <c r="N6404">
        <v>48.423754030378397</v>
      </c>
      <c r="O6404">
        <v>47.261140741723203</v>
      </c>
      <c r="P6404">
        <v>-9.1653863692816806E-2</v>
      </c>
      <c r="Q6404">
        <v>0.12070974325853499</v>
      </c>
      <c r="R6404">
        <v>0.99005813550622102</v>
      </c>
      <c r="S6404" t="s">
        <v>13074</v>
      </c>
      <c r="T6404" t="s">
        <v>13338</v>
      </c>
      <c r="U6404" t="s">
        <v>13338</v>
      </c>
      <c r="V6404" t="s">
        <v>13338</v>
      </c>
      <c r="W6404" t="s">
        <v>19680</v>
      </c>
      <c r="X6404">
        <v>11</v>
      </c>
      <c r="Y6404" t="s">
        <v>26160</v>
      </c>
      <c r="Z6404" t="s">
        <v>32819</v>
      </c>
      <c r="AA6404">
        <v>0.36068034214725742</v>
      </c>
      <c r="AB6404" t="str">
        <f>HYPERLINK("Melting_Curves/meltCurve_Q9UPR0_PLCL2.pdf", "Melting_Curves/meltCurve_Q9UPR0_PLCL2.pdf")</f>
        <v>Melting_Curves/meltCurve_Q9UPR0_PLCL2.pdf</v>
      </c>
    </row>
    <row r="6405" spans="1:28" x14ac:dyDescent="0.25">
      <c r="A6405" t="s">
        <v>6409</v>
      </c>
      <c r="B6405">
        <v>0.99193492352474899</v>
      </c>
      <c r="C6405">
        <v>0.93794308323370601</v>
      </c>
      <c r="D6405">
        <v>0.71773103662263904</v>
      </c>
      <c r="E6405">
        <v>0.232428541653391</v>
      </c>
      <c r="F6405">
        <v>0.15425965079876799</v>
      </c>
      <c r="G6405">
        <v>9.8425908077451704E-2</v>
      </c>
      <c r="H6405">
        <v>6.4714254401131502E-2</v>
      </c>
      <c r="I6405">
        <v>8.0232357373111504E-2</v>
      </c>
      <c r="J6405">
        <v>8.1459315911731597E-2</v>
      </c>
      <c r="K6405">
        <v>8.42083972551535E-2</v>
      </c>
      <c r="L6405">
        <v>1416.3102318890899</v>
      </c>
      <c r="M6405">
        <v>30.0459702326681</v>
      </c>
      <c r="N6405">
        <v>47.433624260152797</v>
      </c>
      <c r="O6405">
        <v>46.930778177813799</v>
      </c>
      <c r="P6405">
        <v>-0.146394049941652</v>
      </c>
      <c r="Q6405">
        <v>8.5355949768176703E-2</v>
      </c>
      <c r="R6405">
        <v>0.997632377618623</v>
      </c>
      <c r="S6405" t="s">
        <v>13075</v>
      </c>
      <c r="T6405" t="s">
        <v>13338</v>
      </c>
      <c r="U6405" t="s">
        <v>13338</v>
      </c>
      <c r="V6405" t="s">
        <v>13338</v>
      </c>
      <c r="W6405" t="s">
        <v>19681</v>
      </c>
      <c r="X6405">
        <v>19</v>
      </c>
      <c r="Y6405" t="s">
        <v>26161</v>
      </c>
      <c r="Z6405" t="s">
        <v>32820</v>
      </c>
      <c r="AA6405">
        <v>0.30845040941787638</v>
      </c>
      <c r="AB6405" t="str">
        <f>HYPERLINK("Melting_Curves/meltCurve_Q9UPT5_1_EXOC7.pdf", "Melting_Curves/meltCurve_Q9UPT5_1_EXOC7.pdf")</f>
        <v>Melting_Curves/meltCurve_Q9UPT5_1_EXOC7.pdf</v>
      </c>
    </row>
    <row r="6406" spans="1:28" x14ac:dyDescent="0.25">
      <c r="A6406" t="s">
        <v>6410</v>
      </c>
      <c r="B6406">
        <v>0.99193492352474899</v>
      </c>
      <c r="C6406">
        <v>0.68773051370399596</v>
      </c>
      <c r="D6406">
        <v>0.58162208131444604</v>
      </c>
      <c r="E6406">
        <v>0.26654126070603901</v>
      </c>
      <c r="F6406">
        <v>9.1808491362506101E-2</v>
      </c>
      <c r="G6406">
        <v>4.9726290727439303E-2</v>
      </c>
      <c r="H6406">
        <v>3.3229844425266997E-2</v>
      </c>
      <c r="I6406">
        <v>4.1946058301106703E-2</v>
      </c>
      <c r="J6406">
        <v>3.8613648023104401E-2</v>
      </c>
      <c r="K6406">
        <v>5.37227304342211E-2</v>
      </c>
      <c r="L6406">
        <v>752.15550485364804</v>
      </c>
      <c r="M6406">
        <v>16.301496861989399</v>
      </c>
      <c r="N6406">
        <v>46.282273935386002</v>
      </c>
      <c r="O6406">
        <v>45.462687163346601</v>
      </c>
      <c r="P6406">
        <v>-8.7461932872591297E-2</v>
      </c>
      <c r="Q6406">
        <v>2.4392739992258002E-2</v>
      </c>
      <c r="R6406">
        <v>0.98297253273113605</v>
      </c>
      <c r="S6406" t="s">
        <v>13076</v>
      </c>
      <c r="T6406" t="s">
        <v>13338</v>
      </c>
      <c r="U6406" t="s">
        <v>13338</v>
      </c>
      <c r="V6406" t="s">
        <v>13338</v>
      </c>
      <c r="W6406" t="s">
        <v>19682</v>
      </c>
      <c r="X6406">
        <v>3</v>
      </c>
      <c r="Y6406" t="s">
        <v>26162</v>
      </c>
      <c r="Z6406" t="s">
        <v>32821</v>
      </c>
      <c r="AA6406">
        <v>0.24765884964705831</v>
      </c>
      <c r="AB6406" t="str">
        <f>HYPERLINK("Melting_Curves/meltCurve_Q9UPT9_USP22.pdf", "Melting_Curves/meltCurve_Q9UPT9_USP22.pdf")</f>
        <v>Melting_Curves/meltCurve_Q9UPT9_USP22.pdf</v>
      </c>
    </row>
    <row r="6407" spans="1:28" x14ac:dyDescent="0.25">
      <c r="A6407" t="s">
        <v>6411</v>
      </c>
      <c r="B6407">
        <v>0.99193492352474899</v>
      </c>
      <c r="C6407">
        <v>1.04137104979831</v>
      </c>
      <c r="D6407">
        <v>1.0210277263332299</v>
      </c>
      <c r="E6407">
        <v>0.55456770328594895</v>
      </c>
      <c r="F6407">
        <v>0.312226799656527</v>
      </c>
      <c r="G6407">
        <v>0.13110782690940301</v>
      </c>
      <c r="H6407">
        <v>8.1463104826365207E-2</v>
      </c>
      <c r="I6407">
        <v>9.1320048599834003E-2</v>
      </c>
      <c r="J6407">
        <v>0.116968382072083</v>
      </c>
      <c r="K6407">
        <v>0.119187731745447</v>
      </c>
      <c r="L6407">
        <v>1438.60471614777</v>
      </c>
      <c r="M6407">
        <v>28.735962953167999</v>
      </c>
      <c r="N6407">
        <v>50.490868591914499</v>
      </c>
      <c r="O6407">
        <v>49.822299252633201</v>
      </c>
      <c r="P6407">
        <v>-0.128606472967074</v>
      </c>
      <c r="Q6407">
        <v>0.108097286673406</v>
      </c>
      <c r="R6407">
        <v>0.987852246537401</v>
      </c>
      <c r="S6407" t="s">
        <v>13077</v>
      </c>
      <c r="T6407" t="s">
        <v>13338</v>
      </c>
      <c r="U6407" t="s">
        <v>13338</v>
      </c>
      <c r="V6407" t="s">
        <v>13338</v>
      </c>
      <c r="W6407" t="s">
        <v>19683</v>
      </c>
      <c r="X6407">
        <v>27</v>
      </c>
      <c r="Y6407" t="s">
        <v>26163</v>
      </c>
      <c r="Z6407" t="s">
        <v>32822</v>
      </c>
      <c r="AA6407">
        <v>0.41329154518121242</v>
      </c>
      <c r="AB6407" t="str">
        <f>HYPERLINK("Melting_Curves/meltCurve_Q9UPU5_USP24.pdf", "Melting_Curves/meltCurve_Q9UPU5_USP24.pdf")</f>
        <v>Melting_Curves/meltCurve_Q9UPU5_USP24.pdf</v>
      </c>
    </row>
    <row r="6408" spans="1:28" x14ac:dyDescent="0.25">
      <c r="A6408" t="s">
        <v>6412</v>
      </c>
      <c r="B6408">
        <v>0.99193492352474899</v>
      </c>
      <c r="C6408">
        <v>0.94786867491933802</v>
      </c>
      <c r="D6408">
        <v>0.89758336136885397</v>
      </c>
      <c r="E6408">
        <v>0.53480449804945196</v>
      </c>
      <c r="F6408">
        <v>0.17200401139855701</v>
      </c>
      <c r="G6408">
        <v>0.14834132412978299</v>
      </c>
      <c r="H6408">
        <v>9.6157488596384802E-2</v>
      </c>
      <c r="I6408">
        <v>0.100665239827793</v>
      </c>
      <c r="J6408">
        <v>0.13157511154050799</v>
      </c>
      <c r="K6408">
        <v>0.13163712072876599</v>
      </c>
      <c r="L6408">
        <v>1482.5342716113501</v>
      </c>
      <c r="M6408">
        <v>30.061457523463901</v>
      </c>
      <c r="N6408">
        <v>49.742386123047702</v>
      </c>
      <c r="O6408">
        <v>49.1000859732451</v>
      </c>
      <c r="P6408">
        <v>-0.13570570229825901</v>
      </c>
      <c r="Q6408">
        <v>0.113400462971191</v>
      </c>
      <c r="R6408">
        <v>0.99650822335906697</v>
      </c>
      <c r="S6408" t="s">
        <v>13078</v>
      </c>
      <c r="T6408" t="s">
        <v>13338</v>
      </c>
      <c r="U6408" t="s">
        <v>13338</v>
      </c>
      <c r="V6408" t="s">
        <v>13338</v>
      </c>
      <c r="W6408" t="s">
        <v>19684</v>
      </c>
      <c r="X6408">
        <v>4</v>
      </c>
      <c r="Y6408" t="s">
        <v>26164</v>
      </c>
      <c r="Z6408" t="s">
        <v>32823</v>
      </c>
      <c r="AA6408">
        <v>0.39414473822286622</v>
      </c>
      <c r="AB6408" t="str">
        <f>HYPERLINK("Melting_Curves/meltCurve_Q9UPW5_AGTPBP1.pdf", "Melting_Curves/meltCurve_Q9UPW5_AGTPBP1.pdf")</f>
        <v>Melting_Curves/meltCurve_Q9UPW5_AGTPBP1.pdf</v>
      </c>
    </row>
    <row r="6409" spans="1:28" x14ac:dyDescent="0.25">
      <c r="A6409" t="s">
        <v>6413</v>
      </c>
      <c r="B6409">
        <v>0.99193492352474899</v>
      </c>
      <c r="C6409">
        <v>1.17957126374779</v>
      </c>
      <c r="D6409">
        <v>0.77746026242073896</v>
      </c>
      <c r="E6409">
        <v>0.72266283388785701</v>
      </c>
      <c r="F6409">
        <v>0.18573132796811201</v>
      </c>
      <c r="G6409">
        <v>0.20595786358309101</v>
      </c>
      <c r="H6409">
        <v>6.6819873397442997E-2</v>
      </c>
      <c r="I6409">
        <v>0.103181146361114</v>
      </c>
      <c r="J6409">
        <v>0.10502519271368201</v>
      </c>
      <c r="K6409">
        <v>9.1266450951452097E-2</v>
      </c>
      <c r="L6409">
        <v>1355.7502545699299</v>
      </c>
      <c r="M6409">
        <v>26.9058568553146</v>
      </c>
      <c r="N6409">
        <v>50.780482665298102</v>
      </c>
      <c r="O6409">
        <v>50.1127926934737</v>
      </c>
      <c r="P6409">
        <v>-0.121646172319973</v>
      </c>
      <c r="Q6409">
        <v>9.3733793312024999E-2</v>
      </c>
      <c r="R6409">
        <v>0.95141401650950497</v>
      </c>
      <c r="S6409" t="s">
        <v>13079</v>
      </c>
      <c r="T6409" t="s">
        <v>13338</v>
      </c>
      <c r="U6409" t="s">
        <v>13338</v>
      </c>
      <c r="V6409" t="s">
        <v>13338</v>
      </c>
      <c r="W6409" t="s">
        <v>19685</v>
      </c>
      <c r="X6409">
        <v>2</v>
      </c>
      <c r="Y6409" t="s">
        <v>26165</v>
      </c>
      <c r="Z6409" t="s">
        <v>32824</v>
      </c>
      <c r="AA6409">
        <v>0.41458528922059013</v>
      </c>
      <c r="AB6409" t="str">
        <f>HYPERLINK("Melting_Curves/meltCurve_Q9UPZ3_2_HPS5.pdf", "Melting_Curves/meltCurve_Q9UPZ3_2_HPS5.pdf")</f>
        <v>Melting_Curves/meltCurve_Q9UPZ3_2_HPS5.pdf</v>
      </c>
    </row>
    <row r="6410" spans="1:28" x14ac:dyDescent="0.25">
      <c r="A6410" t="s">
        <v>6414</v>
      </c>
      <c r="B6410">
        <v>0.99193492352474899</v>
      </c>
      <c r="C6410">
        <v>0.85163406005661202</v>
      </c>
      <c r="D6410">
        <v>1.0657718458313099</v>
      </c>
      <c r="E6410">
        <v>0.80950534557590004</v>
      </c>
      <c r="F6410">
        <v>0.90885120885717896</v>
      </c>
      <c r="G6410">
        <v>0.45370230101472903</v>
      </c>
      <c r="H6410">
        <v>0.285157475338078</v>
      </c>
      <c r="I6410">
        <v>0.14448003639931301</v>
      </c>
      <c r="J6410">
        <v>0.15788235408034301</v>
      </c>
      <c r="K6410">
        <v>0.12814932803182999</v>
      </c>
      <c r="L6410">
        <v>1347.76663411189</v>
      </c>
      <c r="M6410">
        <v>23.995282034370501</v>
      </c>
      <c r="N6410">
        <v>56.858225377770403</v>
      </c>
      <c r="O6410">
        <v>55.7822344604579</v>
      </c>
      <c r="P6410">
        <v>-9.3953533445838094E-2</v>
      </c>
      <c r="Q6410">
        <v>0.12635240564308201</v>
      </c>
      <c r="R6410">
        <v>0.95120275090210205</v>
      </c>
      <c r="S6410" t="s">
        <v>13080</v>
      </c>
      <c r="T6410" t="s">
        <v>13338</v>
      </c>
      <c r="U6410" t="s">
        <v>13338</v>
      </c>
      <c r="V6410" t="s">
        <v>13338</v>
      </c>
      <c r="W6410" t="s">
        <v>19686</v>
      </c>
      <c r="X6410">
        <v>2</v>
      </c>
      <c r="Y6410" t="s">
        <v>26166</v>
      </c>
      <c r="Z6410" t="s">
        <v>32825</v>
      </c>
      <c r="AA6410">
        <v>0.60574091224050475</v>
      </c>
      <c r="AB6410" t="str">
        <f>HYPERLINK("Melting_Curves/meltCurve_Q9UQ03_2_CORO2B.pdf", "Melting_Curves/meltCurve_Q9UQ03_2_CORO2B.pdf")</f>
        <v>Melting_Curves/meltCurve_Q9UQ03_2_CORO2B.pdf</v>
      </c>
    </row>
    <row r="6411" spans="1:28" x14ac:dyDescent="0.25">
      <c r="A6411" t="s">
        <v>6415</v>
      </c>
      <c r="B6411">
        <v>0.99193492352474899</v>
      </c>
      <c r="C6411">
        <v>0.68384279505780399</v>
      </c>
      <c r="D6411">
        <v>0.96603000160277697</v>
      </c>
      <c r="E6411">
        <v>0.78661016416167695</v>
      </c>
      <c r="F6411">
        <v>0.39276712107612299</v>
      </c>
      <c r="G6411">
        <v>0.124218392713242</v>
      </c>
      <c r="H6411">
        <v>6.8632420448036899E-2</v>
      </c>
      <c r="I6411">
        <v>0.140513336233731</v>
      </c>
      <c r="J6411">
        <v>9.9516301728288403E-2</v>
      </c>
      <c r="K6411">
        <v>6.3735385814738005E-2</v>
      </c>
      <c r="L6411">
        <v>1360.2953777518201</v>
      </c>
      <c r="M6411">
        <v>26.291447548750899</v>
      </c>
      <c r="N6411">
        <v>52.085832074587202</v>
      </c>
      <c r="O6411">
        <v>51.442540596695203</v>
      </c>
      <c r="P6411">
        <v>-0.117513817429971</v>
      </c>
      <c r="Q6411">
        <v>8.0287582761368395E-2</v>
      </c>
      <c r="R6411">
        <v>0.92320045512828997</v>
      </c>
      <c r="S6411" t="s">
        <v>13081</v>
      </c>
      <c r="T6411" t="s">
        <v>13338</v>
      </c>
      <c r="U6411" t="s">
        <v>13338</v>
      </c>
      <c r="V6411" t="s">
        <v>13338</v>
      </c>
      <c r="W6411" t="s">
        <v>19687</v>
      </c>
      <c r="X6411">
        <v>6</v>
      </c>
      <c r="Y6411" t="s">
        <v>26167</v>
      </c>
      <c r="Z6411" t="s">
        <v>32826</v>
      </c>
      <c r="AA6411">
        <v>0.4477660860667656</v>
      </c>
      <c r="AB6411" t="str">
        <f>HYPERLINK("Melting_Curves/meltCurve_Q9UQ13_2_SHOC2.pdf", "Melting_Curves/meltCurve_Q9UQ13_2_SHOC2.pdf")</f>
        <v>Melting_Curves/meltCurve_Q9UQ13_2_SHOC2.pdf</v>
      </c>
    </row>
    <row r="6412" spans="1:28" x14ac:dyDescent="0.25">
      <c r="A6412" t="s">
        <v>6416</v>
      </c>
      <c r="B6412">
        <v>0.99193492352474899</v>
      </c>
      <c r="C6412">
        <v>0.50371968569319703</v>
      </c>
      <c r="D6412">
        <v>0.57857722925434096</v>
      </c>
      <c r="E6412">
        <v>0.28704414244953902</v>
      </c>
      <c r="F6412">
        <v>0.18878905860113901</v>
      </c>
      <c r="G6412">
        <v>0.118678870431444</v>
      </c>
      <c r="H6412">
        <v>9.4611267591199796E-2</v>
      </c>
      <c r="I6412">
        <v>0.13511147890822001</v>
      </c>
      <c r="J6412">
        <v>0.182884817739808</v>
      </c>
      <c r="K6412">
        <v>0.34909183629774199</v>
      </c>
      <c r="L6412">
        <v>733.57791725759898</v>
      </c>
      <c r="M6412">
        <v>16.645660478765301</v>
      </c>
      <c r="N6412">
        <v>45.216160695839797</v>
      </c>
      <c r="O6412">
        <v>43.4488831050529</v>
      </c>
      <c r="P6412">
        <v>-7.9300488475E-2</v>
      </c>
      <c r="Q6412">
        <v>0.17208744910235699</v>
      </c>
      <c r="R6412">
        <v>0.84748143671376397</v>
      </c>
      <c r="S6412" t="s">
        <v>13082</v>
      </c>
      <c r="T6412" t="s">
        <v>13338</v>
      </c>
      <c r="U6412" t="s">
        <v>13338</v>
      </c>
      <c r="V6412" t="s">
        <v>13338</v>
      </c>
      <c r="W6412" t="s">
        <v>19688</v>
      </c>
      <c r="X6412">
        <v>25</v>
      </c>
      <c r="Y6412" t="s">
        <v>26168</v>
      </c>
      <c r="Z6412" t="s">
        <v>32827</v>
      </c>
      <c r="AA6412">
        <v>0.30834424536144422</v>
      </c>
      <c r="AB6412" t="str">
        <f>HYPERLINK("Melting_Curves/meltCurve_Q9UQ35_SRRM2.pdf", "Melting_Curves/meltCurve_Q9UQ35_SRRM2.pdf")</f>
        <v>Melting_Curves/meltCurve_Q9UQ35_SRRM2.pdf</v>
      </c>
    </row>
    <row r="6413" spans="1:28" x14ac:dyDescent="0.25">
      <c r="A6413" t="s">
        <v>6417</v>
      </c>
      <c r="B6413">
        <v>0.99193492352474899</v>
      </c>
      <c r="C6413">
        <v>0.58940068530754397</v>
      </c>
      <c r="D6413">
        <v>0.90356651066253402</v>
      </c>
      <c r="E6413">
        <v>0.53223823727981601</v>
      </c>
      <c r="F6413">
        <v>0.29992390726284401</v>
      </c>
      <c r="G6413">
        <v>9.5603024380202697E-2</v>
      </c>
      <c r="H6413">
        <v>5.7209664372417403E-2</v>
      </c>
      <c r="I6413">
        <v>6.1118394006096602E-2</v>
      </c>
      <c r="J6413">
        <v>7.2439424090906604E-2</v>
      </c>
      <c r="K6413">
        <v>7.4319252509868095E-2</v>
      </c>
      <c r="L6413">
        <v>600.80028815461401</v>
      </c>
      <c r="M6413">
        <v>12.107775009884101</v>
      </c>
      <c r="N6413">
        <v>49.621031728574799</v>
      </c>
      <c r="O6413">
        <v>48.325604137600003</v>
      </c>
      <c r="P6413">
        <v>-6.2651009988187706E-2</v>
      </c>
      <c r="Q6413">
        <v>0</v>
      </c>
      <c r="R6413">
        <v>0.89465807715702295</v>
      </c>
      <c r="S6413" t="s">
        <v>13083</v>
      </c>
      <c r="T6413" t="s">
        <v>13338</v>
      </c>
      <c r="U6413" t="s">
        <v>13338</v>
      </c>
      <c r="V6413" t="s">
        <v>13338</v>
      </c>
      <c r="W6413" t="s">
        <v>19689</v>
      </c>
      <c r="X6413">
        <v>31</v>
      </c>
      <c r="Y6413" t="s">
        <v>26169</v>
      </c>
      <c r="Z6413" t="s">
        <v>32828</v>
      </c>
      <c r="AA6413">
        <v>0.35559343089323381</v>
      </c>
      <c r="AB6413" t="str">
        <f>HYPERLINK("Melting_Curves/meltCurve_Q9UQ80_PA2G4.pdf", "Melting_Curves/meltCurve_Q9UQ80_PA2G4.pdf")</f>
        <v>Melting_Curves/meltCurve_Q9UQ80_PA2G4.pdf</v>
      </c>
    </row>
    <row r="6414" spans="1:28" x14ac:dyDescent="0.25">
      <c r="A6414" t="s">
        <v>6418</v>
      </c>
      <c r="B6414">
        <v>0.99193492352474899</v>
      </c>
      <c r="C6414">
        <v>0.965569304463609</v>
      </c>
      <c r="D6414">
        <v>0.98508692535606202</v>
      </c>
      <c r="E6414">
        <v>0.66432528594988305</v>
      </c>
      <c r="F6414">
        <v>0.66399406775994896</v>
      </c>
      <c r="G6414">
        <v>0.43980456510942001</v>
      </c>
      <c r="H6414">
        <v>0.22443206675472999</v>
      </c>
      <c r="I6414">
        <v>0.194944581570308</v>
      </c>
      <c r="J6414">
        <v>0.257391448961314</v>
      </c>
      <c r="K6414">
        <v>0.312934581284185</v>
      </c>
      <c r="L6414">
        <v>798.64291349894597</v>
      </c>
      <c r="M6414">
        <v>15.1729026137637</v>
      </c>
      <c r="N6414">
        <v>54.658102965784103</v>
      </c>
      <c r="O6414">
        <v>51.7472150475867</v>
      </c>
      <c r="P6414">
        <v>-5.7565689229596297E-2</v>
      </c>
      <c r="Q6414">
        <v>0.21476425170025201</v>
      </c>
      <c r="R6414">
        <v>0.95461952954639995</v>
      </c>
      <c r="S6414" t="s">
        <v>13084</v>
      </c>
      <c r="T6414" t="s">
        <v>13338</v>
      </c>
      <c r="U6414" t="s">
        <v>13338</v>
      </c>
      <c r="V6414" t="s">
        <v>13338</v>
      </c>
      <c r="W6414" t="s">
        <v>19690</v>
      </c>
      <c r="X6414">
        <v>6</v>
      </c>
      <c r="Y6414" t="s">
        <v>26170</v>
      </c>
      <c r="Z6414" t="s">
        <v>32829</v>
      </c>
      <c r="AA6414">
        <v>0.56237504791769455</v>
      </c>
      <c r="AB6414" t="str">
        <f>HYPERLINK("Melting_Curves/meltCurve_Q9UQ90_SPG7.pdf", "Melting_Curves/meltCurve_Q9UQ90_SPG7.pdf")</f>
        <v>Melting_Curves/meltCurve_Q9UQ90_SPG7.pdf</v>
      </c>
    </row>
    <row r="6415" spans="1:28" x14ac:dyDescent="0.25">
      <c r="A6415" t="s">
        <v>6419</v>
      </c>
      <c r="B6415">
        <v>0.99193492352474899</v>
      </c>
      <c r="C6415">
        <v>0.81751067370179398</v>
      </c>
      <c r="D6415">
        <v>0.86790914346746295</v>
      </c>
      <c r="E6415">
        <v>0.67787066270334795</v>
      </c>
      <c r="F6415">
        <v>0.48893146077620803</v>
      </c>
      <c r="G6415">
        <v>0.209083353268183</v>
      </c>
      <c r="H6415">
        <v>0.10117965546739099</v>
      </c>
      <c r="I6415">
        <v>0.101419331909261</v>
      </c>
      <c r="J6415">
        <v>0.11692402850761301</v>
      </c>
      <c r="K6415">
        <v>0.120746814624866</v>
      </c>
      <c r="L6415">
        <v>712.41286023814905</v>
      </c>
      <c r="M6415">
        <v>13.794296348286201</v>
      </c>
      <c r="N6415">
        <v>52.063827687463302</v>
      </c>
      <c r="O6415">
        <v>50.596371078600797</v>
      </c>
      <c r="P6415">
        <v>-6.4591903686687394E-2</v>
      </c>
      <c r="Q6415">
        <v>5.2461162616353703E-2</v>
      </c>
      <c r="R6415">
        <v>0.97498006922133196</v>
      </c>
      <c r="S6415" t="s">
        <v>13085</v>
      </c>
      <c r="T6415" t="s">
        <v>13338</v>
      </c>
      <c r="U6415" t="s">
        <v>13338</v>
      </c>
      <c r="V6415" t="s">
        <v>13338</v>
      </c>
      <c r="W6415" t="s">
        <v>19691</v>
      </c>
      <c r="X6415">
        <v>61</v>
      </c>
      <c r="Y6415" t="s">
        <v>26171</v>
      </c>
      <c r="Z6415" t="s">
        <v>32830</v>
      </c>
      <c r="AA6415">
        <v>0.44465476997724918</v>
      </c>
      <c r="AB6415" t="str">
        <f>HYPERLINK("Melting_Curves/meltCurve_Q9UQE7_SMC3.pdf", "Melting_Curves/meltCurve_Q9UQE7_SMC3.pdf")</f>
        <v>Melting_Curves/meltCurve_Q9UQE7_SMC3.pdf</v>
      </c>
    </row>
    <row r="6416" spans="1:28" x14ac:dyDescent="0.25">
      <c r="A6416" t="s">
        <v>6420</v>
      </c>
      <c r="B6416">
        <v>0.99193492352474899</v>
      </c>
      <c r="C6416">
        <v>0.64992783636520801</v>
      </c>
      <c r="D6416">
        <v>0.80843473457460902</v>
      </c>
      <c r="E6416">
        <v>0.53643331314986298</v>
      </c>
      <c r="F6416">
        <v>0.47233758750517502</v>
      </c>
      <c r="G6416">
        <v>0.30134165541817498</v>
      </c>
      <c r="H6416">
        <v>0.203748443784835</v>
      </c>
      <c r="I6416">
        <v>0.26488234239869002</v>
      </c>
      <c r="J6416">
        <v>0.29637528781863398</v>
      </c>
      <c r="K6416">
        <v>0.50332722965922405</v>
      </c>
      <c r="L6416">
        <v>576.25689090080698</v>
      </c>
      <c r="M6416">
        <v>12.305901556023301</v>
      </c>
      <c r="N6416">
        <v>50.491343364829802</v>
      </c>
      <c r="O6416">
        <v>45.642608313011003</v>
      </c>
      <c r="P6416">
        <v>-4.7511683411090903E-2</v>
      </c>
      <c r="Q6416">
        <v>0.29527035385577</v>
      </c>
      <c r="R6416">
        <v>0.80076362480033203</v>
      </c>
      <c r="S6416" t="s">
        <v>13086</v>
      </c>
      <c r="T6416" t="s">
        <v>13338</v>
      </c>
      <c r="U6416" t="s">
        <v>13338</v>
      </c>
      <c r="V6416" t="s">
        <v>13338</v>
      </c>
      <c r="W6416" t="s">
        <v>19692</v>
      </c>
      <c r="X6416">
        <v>7</v>
      </c>
      <c r="Y6416" t="s">
        <v>26172</v>
      </c>
      <c r="Z6416" t="s">
        <v>32831</v>
      </c>
      <c r="AA6416">
        <v>0.48426854650475731</v>
      </c>
      <c r="AB6416" t="str">
        <f>HYPERLINK("Melting_Curves/meltCurve_Q9UQN3_CHMP2B.pdf", "Melting_Curves/meltCurve_Q9UQN3_CHMP2B.pdf")</f>
        <v>Melting_Curves/meltCurve_Q9UQN3_CHMP2B.pdf</v>
      </c>
    </row>
    <row r="6417" spans="1:28" x14ac:dyDescent="0.25">
      <c r="A6417" t="s">
        <v>6421</v>
      </c>
      <c r="B6417">
        <v>0.99193492352474899</v>
      </c>
      <c r="C6417">
        <v>0.71673917388811004</v>
      </c>
      <c r="D6417">
        <v>0.75842402525321995</v>
      </c>
      <c r="E6417">
        <v>0.696237612294206</v>
      </c>
      <c r="F6417">
        <v>0.53572025556231495</v>
      </c>
      <c r="G6417">
        <v>0.43486974290596597</v>
      </c>
      <c r="H6417">
        <v>0.235255875067722</v>
      </c>
      <c r="I6417">
        <v>9.5969764566228993E-2</v>
      </c>
      <c r="J6417">
        <v>0</v>
      </c>
      <c r="K6417">
        <v>4.7280430217810997E-2</v>
      </c>
      <c r="L6417">
        <v>492.379028969275</v>
      </c>
      <c r="M6417">
        <v>9.32470146640037</v>
      </c>
      <c r="N6417">
        <v>52.803729419865</v>
      </c>
      <c r="O6417">
        <v>50.545795364266702</v>
      </c>
      <c r="P6417">
        <v>-4.6149349539984202E-2</v>
      </c>
      <c r="Q6417">
        <v>0</v>
      </c>
      <c r="R6417">
        <v>0.93371211757674999</v>
      </c>
      <c r="S6417" t="s">
        <v>13087</v>
      </c>
      <c r="T6417" t="s">
        <v>13338</v>
      </c>
      <c r="U6417" t="s">
        <v>13338</v>
      </c>
      <c r="V6417" t="s">
        <v>13338</v>
      </c>
      <c r="W6417" t="s">
        <v>19693</v>
      </c>
      <c r="X6417">
        <v>1</v>
      </c>
      <c r="Y6417" t="s">
        <v>26173</v>
      </c>
      <c r="Z6417" t="s">
        <v>32832</v>
      </c>
      <c r="AA6417">
        <v>0.46402573650252782</v>
      </c>
      <c r="AB6417" t="str">
        <f>HYPERLINK("Melting_Curves/meltCurve_Q9UQP3_TNN.pdf", "Melting_Curves/meltCurve_Q9UQP3_TNN.pdf")</f>
        <v>Melting_Curves/meltCurve_Q9UQP3_TNN.pdf</v>
      </c>
    </row>
    <row r="6418" spans="1:28" x14ac:dyDescent="0.25">
      <c r="A6418" t="s">
        <v>6422</v>
      </c>
      <c r="B6418">
        <v>0.99193492352474899</v>
      </c>
      <c r="C6418">
        <v>0.28356297803979902</v>
      </c>
      <c r="D6418">
        <v>0.20887838924025201</v>
      </c>
      <c r="E6418">
        <v>0.14987582829420801</v>
      </c>
      <c r="F6418">
        <v>0.108836178407728</v>
      </c>
      <c r="G6418">
        <v>7.1790041614419903E-2</v>
      </c>
      <c r="H6418">
        <v>4.3293133281471302E-2</v>
      </c>
      <c r="I6418">
        <v>4.5122287491649503E-2</v>
      </c>
      <c r="J6418">
        <v>5.8985709547212002E-2</v>
      </c>
      <c r="K6418">
        <v>6.1959292054741003E-2</v>
      </c>
      <c r="L6418">
        <v>3022.3323467587802</v>
      </c>
      <c r="M6418">
        <v>71.754697187028896</v>
      </c>
      <c r="N6418">
        <v>42.241544335895803</v>
      </c>
      <c r="O6418">
        <v>42.087661640206299</v>
      </c>
      <c r="P6418">
        <v>-0.38657481342340699</v>
      </c>
      <c r="Q6418">
        <v>9.3019577307522402E-2</v>
      </c>
      <c r="R6418">
        <v>0.96808385081007198</v>
      </c>
      <c r="S6418" t="s">
        <v>13088</v>
      </c>
      <c r="T6418" t="s">
        <v>13338</v>
      </c>
      <c r="U6418" t="s">
        <v>13338</v>
      </c>
      <c r="V6418" t="s">
        <v>13338</v>
      </c>
      <c r="W6418" t="s">
        <v>19694</v>
      </c>
      <c r="X6418">
        <v>7</v>
      </c>
      <c r="Y6418" t="s">
        <v>26174</v>
      </c>
      <c r="Z6418" t="s">
        <v>32833</v>
      </c>
      <c r="AA6418">
        <v>0.15828284587544919</v>
      </c>
      <c r="AB6418" t="str">
        <f>HYPERLINK("Melting_Curves/meltCurve_Q9UQR0_SCML2.pdf", "Melting_Curves/meltCurve_Q9UQR0_SCML2.pdf")</f>
        <v>Melting_Curves/meltCurve_Q9UQR0_SCML2.pdf</v>
      </c>
    </row>
    <row r="6419" spans="1:28" x14ac:dyDescent="0.25">
      <c r="A6419" t="s">
        <v>6423</v>
      </c>
      <c r="B6419">
        <v>0.99193492352474899</v>
      </c>
      <c r="C6419">
        <v>0.85538236822149405</v>
      </c>
      <c r="D6419">
        <v>0.79856895719826704</v>
      </c>
      <c r="E6419">
        <v>0.43051659584931801</v>
      </c>
      <c r="F6419">
        <v>0.338513959790403</v>
      </c>
      <c r="G6419">
        <v>0.23032122293464699</v>
      </c>
      <c r="H6419">
        <v>0.21823731358767701</v>
      </c>
      <c r="I6419">
        <v>0.30767304537937701</v>
      </c>
      <c r="J6419">
        <v>0.42721807631053699</v>
      </c>
      <c r="K6419">
        <v>0.60420491803124998</v>
      </c>
      <c r="L6419">
        <v>1387.5826337726901</v>
      </c>
      <c r="M6419">
        <v>29.666779785483701</v>
      </c>
      <c r="N6419">
        <v>48.748044900162903</v>
      </c>
      <c r="O6419">
        <v>46.5612933742484</v>
      </c>
      <c r="P6419">
        <v>-0.10357596740006</v>
      </c>
      <c r="Q6419">
        <v>0.34976452384454099</v>
      </c>
      <c r="R6419">
        <v>0.82758684356333101</v>
      </c>
      <c r="S6419" t="s">
        <v>13089</v>
      </c>
      <c r="T6419" t="s">
        <v>13338</v>
      </c>
      <c r="U6419" t="s">
        <v>13338</v>
      </c>
      <c r="V6419" t="s">
        <v>13338</v>
      </c>
      <c r="W6419" t="s">
        <v>19695</v>
      </c>
      <c r="X6419">
        <v>5</v>
      </c>
      <c r="Y6419" t="s">
        <v>26175</v>
      </c>
      <c r="Z6419" t="s">
        <v>32834</v>
      </c>
      <c r="AA6419">
        <v>0.50055217459803858</v>
      </c>
      <c r="AB6419" t="str">
        <f>HYPERLINK("Melting_Curves/meltCurve_Q9UQR1_ZNF148.pdf", "Melting_Curves/meltCurve_Q9UQR1_ZNF148.pdf")</f>
        <v>Melting_Curves/meltCurve_Q9UQR1_ZNF148.pdf</v>
      </c>
    </row>
    <row r="6420" spans="1:28" x14ac:dyDescent="0.25">
      <c r="A6420" t="s">
        <v>6424</v>
      </c>
      <c r="B6420">
        <v>0.99193492352474899</v>
      </c>
      <c r="C6420">
        <v>0.93376563428813597</v>
      </c>
      <c r="D6420">
        <v>0.80783947772960096</v>
      </c>
      <c r="E6420">
        <v>0.49849161703275902</v>
      </c>
      <c r="F6420">
        <v>0.16651498345142801</v>
      </c>
      <c r="G6420">
        <v>9.2527259939807593E-2</v>
      </c>
      <c r="H6420">
        <v>6.2942835421129606E-2</v>
      </c>
      <c r="I6420">
        <v>8.48084531981846E-2</v>
      </c>
      <c r="J6420">
        <v>8.4052949695859497E-2</v>
      </c>
      <c r="K6420">
        <v>0.100844183184499</v>
      </c>
      <c r="L6420">
        <v>1114.5583569425501</v>
      </c>
      <c r="M6420">
        <v>22.7799391738133</v>
      </c>
      <c r="N6420">
        <v>49.260263684766201</v>
      </c>
      <c r="O6420">
        <v>48.554830094289699</v>
      </c>
      <c r="P6420">
        <v>-0.10892025964081201</v>
      </c>
      <c r="Q6420">
        <v>7.13757892394737E-2</v>
      </c>
      <c r="R6420">
        <v>0.99627594119709395</v>
      </c>
      <c r="S6420" t="s">
        <v>13090</v>
      </c>
      <c r="T6420" t="s">
        <v>13338</v>
      </c>
      <c r="U6420" t="s">
        <v>13338</v>
      </c>
      <c r="V6420" t="s">
        <v>13338</v>
      </c>
      <c r="W6420" t="s">
        <v>19696</v>
      </c>
      <c r="X6420">
        <v>7</v>
      </c>
      <c r="Y6420" t="s">
        <v>26176</v>
      </c>
      <c r="Z6420" t="s">
        <v>32835</v>
      </c>
      <c r="AA6420">
        <v>0.35767481214121127</v>
      </c>
      <c r="AB6420" t="str">
        <f>HYPERLINK("Melting_Curves/meltCurve_Q9Y217_MTMR6.pdf", "Melting_Curves/meltCurve_Q9Y217_MTMR6.pdf")</f>
        <v>Melting_Curves/meltCurve_Q9Y217_MTMR6.pdf</v>
      </c>
    </row>
    <row r="6421" spans="1:28" x14ac:dyDescent="0.25">
      <c r="A6421" t="s">
        <v>6425</v>
      </c>
      <c r="B6421">
        <v>0.99193492352474899</v>
      </c>
      <c r="C6421">
        <v>0.81901832929544505</v>
      </c>
      <c r="D6421">
        <v>0.77479519197179103</v>
      </c>
      <c r="E6421">
        <v>0.71472186452136799</v>
      </c>
      <c r="F6421">
        <v>0.60271030302600703</v>
      </c>
      <c r="G6421">
        <v>0.33680855298344298</v>
      </c>
      <c r="H6421">
        <v>0</v>
      </c>
      <c r="I6421">
        <v>0.19657559672721001</v>
      </c>
      <c r="J6421">
        <v>0.561428594620618</v>
      </c>
      <c r="K6421">
        <v>0.27291273908476898</v>
      </c>
      <c r="L6421">
        <v>654.69906704949096</v>
      </c>
      <c r="M6421">
        <v>13.0497809154243</v>
      </c>
      <c r="N6421">
        <v>52.791041832737697</v>
      </c>
      <c r="O6421">
        <v>49.0351012367815</v>
      </c>
      <c r="P6421">
        <v>-5.0675336611175903E-2</v>
      </c>
      <c r="Q6421">
        <v>0.238473705629587</v>
      </c>
      <c r="R6421">
        <v>0.74892864219580402</v>
      </c>
      <c r="S6421" t="s">
        <v>13091</v>
      </c>
      <c r="T6421" t="s">
        <v>13338</v>
      </c>
      <c r="U6421" t="s">
        <v>13338</v>
      </c>
      <c r="V6421" t="s">
        <v>13338</v>
      </c>
      <c r="W6421" t="s">
        <v>19697</v>
      </c>
      <c r="X6421">
        <v>1</v>
      </c>
      <c r="Y6421" t="s">
        <v>26177</v>
      </c>
      <c r="Z6421" t="s">
        <v>32836</v>
      </c>
      <c r="AA6421">
        <v>0.51946938363104356</v>
      </c>
      <c r="AB6421" t="str">
        <f>HYPERLINK("Melting_Curves/meltCurve_Q9Y219_JAG2.pdf", "Melting_Curves/meltCurve_Q9Y219_JAG2.pdf")</f>
        <v>Melting_Curves/meltCurve_Q9Y219_JAG2.pdf</v>
      </c>
    </row>
    <row r="6422" spans="1:28" x14ac:dyDescent="0.25">
      <c r="A6422" t="s">
        <v>6426</v>
      </c>
      <c r="B6422">
        <v>0.99193492352474899</v>
      </c>
      <c r="C6422">
        <v>0.75284978712806905</v>
      </c>
      <c r="D6422">
        <v>0.730185498498931</v>
      </c>
      <c r="E6422">
        <v>0.64224650745045697</v>
      </c>
      <c r="F6422">
        <v>0.51484201111035799</v>
      </c>
      <c r="G6422">
        <v>0.19051831113598899</v>
      </c>
      <c r="H6422">
        <v>0.114796237542528</v>
      </c>
      <c r="I6422">
        <v>9.6294253656779405E-2</v>
      </c>
      <c r="J6422">
        <v>0.11797920727066601</v>
      </c>
      <c r="K6422">
        <v>0.119620738643684</v>
      </c>
      <c r="L6422">
        <v>496.38418114566002</v>
      </c>
      <c r="M6422">
        <v>9.6831230405669295</v>
      </c>
      <c r="N6422">
        <v>51.262803333623197</v>
      </c>
      <c r="O6422">
        <v>49.2196885000157</v>
      </c>
      <c r="P6422">
        <v>-4.9210234537212197E-2</v>
      </c>
      <c r="Q6422">
        <v>0</v>
      </c>
      <c r="R6422">
        <v>0.95385768274419802</v>
      </c>
      <c r="S6422" t="s">
        <v>13092</v>
      </c>
      <c r="T6422" t="s">
        <v>13338</v>
      </c>
      <c r="U6422" t="s">
        <v>13338</v>
      </c>
      <c r="V6422" t="s">
        <v>13338</v>
      </c>
      <c r="W6422" t="s">
        <v>19698</v>
      </c>
      <c r="X6422">
        <v>4</v>
      </c>
      <c r="Y6422" t="s">
        <v>26178</v>
      </c>
      <c r="Z6422" t="s">
        <v>32837</v>
      </c>
      <c r="AA6422">
        <v>0.41764756782434681</v>
      </c>
      <c r="AB6422" t="str">
        <f>HYPERLINK("Melting_Curves/meltCurve_Q9Y221_NIP7.pdf", "Melting_Curves/meltCurve_Q9Y221_NIP7.pdf")</f>
        <v>Melting_Curves/meltCurve_Q9Y221_NIP7.pdf</v>
      </c>
    </row>
    <row r="6423" spans="1:28" x14ac:dyDescent="0.25">
      <c r="A6423" t="s">
        <v>6427</v>
      </c>
      <c r="B6423">
        <v>0.99193492352474899</v>
      </c>
      <c r="C6423">
        <v>1.0997251826351699</v>
      </c>
      <c r="D6423">
        <v>1.07759724557502</v>
      </c>
      <c r="E6423">
        <v>1.0097782846443699</v>
      </c>
      <c r="F6423">
        <v>1.1740148365673799</v>
      </c>
      <c r="G6423">
        <v>0.56350372487662703</v>
      </c>
      <c r="H6423">
        <v>0.123390003221553</v>
      </c>
      <c r="I6423">
        <v>0.14077504483622699</v>
      </c>
      <c r="J6423">
        <v>0.16197372577482899</v>
      </c>
      <c r="K6423">
        <v>0.187540790503297</v>
      </c>
      <c r="L6423">
        <v>14196.4546542055</v>
      </c>
      <c r="M6423">
        <v>250</v>
      </c>
      <c r="N6423">
        <v>56.869185125849803</v>
      </c>
      <c r="O6423">
        <v>56.7822021255365</v>
      </c>
      <c r="P6423">
        <v>-0.93182849565150305</v>
      </c>
      <c r="Q6423">
        <v>0.15341987575105601</v>
      </c>
      <c r="R6423">
        <v>0.97439284301010098</v>
      </c>
      <c r="S6423" t="s">
        <v>13093</v>
      </c>
      <c r="T6423" t="s">
        <v>13338</v>
      </c>
      <c r="U6423" t="s">
        <v>13338</v>
      </c>
      <c r="V6423" t="s">
        <v>13338</v>
      </c>
      <c r="W6423" t="s">
        <v>19699</v>
      </c>
      <c r="X6423">
        <v>17</v>
      </c>
      <c r="Y6423" t="s">
        <v>26179</v>
      </c>
      <c r="Z6423" t="s">
        <v>32838</v>
      </c>
      <c r="AA6423">
        <v>0.62718892476765231</v>
      </c>
      <c r="AB6423" t="str">
        <f>HYPERLINK("Melting_Curves/meltCurve_Q9Y223_3_GNE.pdf", "Melting_Curves/meltCurve_Q9Y223_3_GNE.pdf")</f>
        <v>Melting_Curves/meltCurve_Q9Y223_3_GNE.pdf</v>
      </c>
    </row>
    <row r="6424" spans="1:28" x14ac:dyDescent="0.25">
      <c r="A6424" t="s">
        <v>6428</v>
      </c>
      <c r="B6424">
        <v>0.99193492352474899</v>
      </c>
      <c r="C6424">
        <v>0.65674786909222804</v>
      </c>
      <c r="D6424">
        <v>0.75240642050238604</v>
      </c>
      <c r="E6424">
        <v>0.56247500958674101</v>
      </c>
      <c r="F6424">
        <v>0.310395672013215</v>
      </c>
      <c r="G6424">
        <v>0.18775116289299601</v>
      </c>
      <c r="H6424">
        <v>0.104091794381726</v>
      </c>
      <c r="I6424">
        <v>0.120767645542892</v>
      </c>
      <c r="J6424">
        <v>0.120455974296015</v>
      </c>
      <c r="K6424">
        <v>0.127726148574835</v>
      </c>
      <c r="L6424">
        <v>519.28832760638602</v>
      </c>
      <c r="M6424">
        <v>10.6051644411124</v>
      </c>
      <c r="N6424">
        <v>49.443208343862501</v>
      </c>
      <c r="O6424">
        <v>47.320792695996602</v>
      </c>
      <c r="P6424">
        <v>-5.3321061958772398E-2</v>
      </c>
      <c r="Q6424">
        <v>4.8684059488011799E-2</v>
      </c>
      <c r="R6424">
        <v>0.94547486496891198</v>
      </c>
      <c r="S6424" t="s">
        <v>13094</v>
      </c>
      <c r="T6424" t="s">
        <v>13338</v>
      </c>
      <c r="U6424" t="s">
        <v>13338</v>
      </c>
      <c r="V6424" t="s">
        <v>13338</v>
      </c>
      <c r="W6424" t="s">
        <v>19700</v>
      </c>
      <c r="X6424">
        <v>19</v>
      </c>
      <c r="Y6424" t="s">
        <v>26180</v>
      </c>
      <c r="Z6424" t="s">
        <v>32839</v>
      </c>
      <c r="AA6424">
        <v>0.37572062708000992</v>
      </c>
      <c r="AB6424" t="str">
        <f>HYPERLINK("Melting_Curves/meltCurve_Q9Y224_C14orf166.pdf", "Melting_Curves/meltCurve_Q9Y224_C14orf166.pdf")</f>
        <v>Melting_Curves/meltCurve_Q9Y224_C14orf166.pdf</v>
      </c>
    </row>
    <row r="6425" spans="1:28" x14ac:dyDescent="0.25">
      <c r="A6425" t="s">
        <v>6429</v>
      </c>
      <c r="B6425">
        <v>0.99193492352474899</v>
      </c>
      <c r="C6425">
        <v>0.74778565971145305</v>
      </c>
      <c r="D6425">
        <v>0.82399516641033699</v>
      </c>
      <c r="E6425">
        <v>0.58017853822708798</v>
      </c>
      <c r="F6425">
        <v>0.39484167573766499</v>
      </c>
      <c r="G6425">
        <v>0.30279873457622097</v>
      </c>
      <c r="H6425">
        <v>0.26924083540132798</v>
      </c>
      <c r="I6425">
        <v>0.37223740880887801</v>
      </c>
      <c r="J6425">
        <v>0.44156862151661502</v>
      </c>
      <c r="K6425">
        <v>0.62054090331496103</v>
      </c>
      <c r="L6425">
        <v>817.63524767391402</v>
      </c>
      <c r="M6425">
        <v>17.576947780555098</v>
      </c>
      <c r="N6425">
        <v>50.977254671320601</v>
      </c>
      <c r="O6425">
        <v>45.9278928706672</v>
      </c>
      <c r="P6425">
        <v>-5.8120556889542499E-2</v>
      </c>
      <c r="Q6425">
        <v>0.39256577502173701</v>
      </c>
      <c r="R6425">
        <v>0.77236854352911999</v>
      </c>
      <c r="S6425" t="s">
        <v>13095</v>
      </c>
      <c r="T6425" t="s">
        <v>13338</v>
      </c>
      <c r="U6425" t="s">
        <v>13338</v>
      </c>
      <c r="V6425" t="s">
        <v>13338</v>
      </c>
      <c r="W6425" t="s">
        <v>13433</v>
      </c>
      <c r="X6425">
        <v>14</v>
      </c>
      <c r="Y6425" t="s">
        <v>20035</v>
      </c>
      <c r="Z6425" t="s">
        <v>32840</v>
      </c>
      <c r="AA6425">
        <v>0.53665882008009091</v>
      </c>
      <c r="AB6425" t="str">
        <f>HYPERLINK("Melting_Curves/meltCurve_Q9Y228_TRAF3IP3.pdf", "Melting_Curves/meltCurve_Q9Y228_TRAF3IP3.pdf")</f>
        <v>Melting_Curves/meltCurve_Q9Y228_TRAF3IP3.pdf</v>
      </c>
    </row>
    <row r="6426" spans="1:28" x14ac:dyDescent="0.25">
      <c r="A6426" t="s">
        <v>6430</v>
      </c>
      <c r="B6426">
        <v>0.99193492352474899</v>
      </c>
      <c r="C6426">
        <v>0.91514808203598497</v>
      </c>
      <c r="D6426">
        <v>0.92443517710374401</v>
      </c>
      <c r="E6426">
        <v>0.75855553783974605</v>
      </c>
      <c r="F6426">
        <v>0.89846205168767301</v>
      </c>
      <c r="G6426">
        <v>0.70277976640577</v>
      </c>
      <c r="H6426">
        <v>0.48878716573144598</v>
      </c>
      <c r="I6426">
        <v>0.43549509710126499</v>
      </c>
      <c r="J6426">
        <v>0.212837960658113</v>
      </c>
      <c r="K6426">
        <v>0.14528839321414699</v>
      </c>
      <c r="L6426">
        <v>638.42250254132705</v>
      </c>
      <c r="M6426">
        <v>10.5202084106116</v>
      </c>
      <c r="N6426">
        <v>60.685349269347498</v>
      </c>
      <c r="O6426">
        <v>58.615641582478297</v>
      </c>
      <c r="P6426">
        <v>-4.4887428754652202E-2</v>
      </c>
      <c r="Q6426">
        <v>0</v>
      </c>
      <c r="R6426">
        <v>0.94243558629687096</v>
      </c>
      <c r="S6426" t="s">
        <v>13096</v>
      </c>
      <c r="T6426" t="s">
        <v>13338</v>
      </c>
      <c r="U6426" t="s">
        <v>13338</v>
      </c>
      <c r="V6426" t="s">
        <v>13338</v>
      </c>
      <c r="W6426" t="s">
        <v>19701</v>
      </c>
      <c r="X6426">
        <v>35</v>
      </c>
      <c r="Y6426" t="s">
        <v>26181</v>
      </c>
      <c r="Z6426" t="s">
        <v>32841</v>
      </c>
      <c r="AA6426">
        <v>0.68238848021861087</v>
      </c>
      <c r="AB6426" t="str">
        <f>HYPERLINK("Melting_Curves/meltCurve_Q9Y230_RUVBL2.pdf", "Melting_Curves/meltCurve_Q9Y230_RUVBL2.pdf")</f>
        <v>Melting_Curves/meltCurve_Q9Y230_RUVBL2.pdf</v>
      </c>
    </row>
    <row r="6427" spans="1:28" x14ac:dyDescent="0.25">
      <c r="A6427" t="s">
        <v>6431</v>
      </c>
      <c r="B6427">
        <v>0.99193492352474899</v>
      </c>
      <c r="C6427">
        <v>0.81459441210202099</v>
      </c>
      <c r="D6427">
        <v>0.72937997705898905</v>
      </c>
      <c r="E6427">
        <v>0.57158441605875199</v>
      </c>
      <c r="F6427">
        <v>0.36219577834195898</v>
      </c>
      <c r="G6427">
        <v>0.25941693341357802</v>
      </c>
      <c r="H6427">
        <v>0.253585113588922</v>
      </c>
      <c r="I6427">
        <v>0.30692737717900298</v>
      </c>
      <c r="J6427">
        <v>0.37401154383796498</v>
      </c>
      <c r="K6427">
        <v>0.453685644238635</v>
      </c>
      <c r="L6427">
        <v>807.07470231312095</v>
      </c>
      <c r="M6427">
        <v>17.244763913342599</v>
      </c>
      <c r="N6427">
        <v>49.779129944823602</v>
      </c>
      <c r="O6427">
        <v>46.185410017584303</v>
      </c>
      <c r="P6427">
        <v>-6.3311361012884204E-2</v>
      </c>
      <c r="Q6427">
        <v>0.32179081072800197</v>
      </c>
      <c r="R6427">
        <v>0.922240341961579</v>
      </c>
      <c r="S6427" t="s">
        <v>13097</v>
      </c>
      <c r="T6427" t="s">
        <v>13338</v>
      </c>
      <c r="U6427" t="s">
        <v>13338</v>
      </c>
      <c r="V6427" t="s">
        <v>13338</v>
      </c>
      <c r="W6427" t="s">
        <v>19702</v>
      </c>
      <c r="X6427">
        <v>7</v>
      </c>
      <c r="Y6427" t="s">
        <v>26182</v>
      </c>
      <c r="Z6427" t="s">
        <v>32842</v>
      </c>
      <c r="AA6427">
        <v>0.48942435414638968</v>
      </c>
      <c r="AB6427" t="str">
        <f>HYPERLINK("Melting_Curves/meltCurve_Q9Y232_2_CDYL.pdf", "Melting_Curves/meltCurve_Q9Y232_2_CDYL.pdf")</f>
        <v>Melting_Curves/meltCurve_Q9Y232_2_CDYL.pdf</v>
      </c>
    </row>
    <row r="6428" spans="1:28" x14ac:dyDescent="0.25">
      <c r="A6428" t="s">
        <v>6432</v>
      </c>
      <c r="B6428">
        <v>0.99193492352474899</v>
      </c>
      <c r="C6428">
        <v>0.77598703896422705</v>
      </c>
      <c r="D6428">
        <v>0.90190411320963304</v>
      </c>
      <c r="E6428">
        <v>0.71758864483405904</v>
      </c>
      <c r="F6428">
        <v>0.55735772301383602</v>
      </c>
      <c r="G6428">
        <v>0.25962626352318702</v>
      </c>
      <c r="H6428">
        <v>0.150500192151654</v>
      </c>
      <c r="I6428">
        <v>0.15316874484117199</v>
      </c>
      <c r="J6428">
        <v>0.20000654555963801</v>
      </c>
      <c r="K6428">
        <v>0.255976942246459</v>
      </c>
      <c r="L6428">
        <v>772.04948538273504</v>
      </c>
      <c r="M6428">
        <v>14.9575522696548</v>
      </c>
      <c r="N6428">
        <v>52.867055428715297</v>
      </c>
      <c r="O6428">
        <v>50.719808492039398</v>
      </c>
      <c r="P6428">
        <v>-6.2744151911560894E-2</v>
      </c>
      <c r="Q6428">
        <v>0.149046636430197</v>
      </c>
      <c r="R6428">
        <v>0.93738097651630203</v>
      </c>
      <c r="S6428" t="s">
        <v>13098</v>
      </c>
      <c r="T6428" t="s">
        <v>13338</v>
      </c>
      <c r="U6428" t="s">
        <v>13338</v>
      </c>
      <c r="V6428" t="s">
        <v>13338</v>
      </c>
      <c r="W6428" t="s">
        <v>19703</v>
      </c>
      <c r="X6428">
        <v>7</v>
      </c>
      <c r="Y6428" t="s">
        <v>26183</v>
      </c>
      <c r="Z6428" t="s">
        <v>32843</v>
      </c>
      <c r="AA6428">
        <v>0.49789723358647292</v>
      </c>
      <c r="AB6428" t="str">
        <f>HYPERLINK("Melting_Curves/meltCurve_Q9Y237_PIN4.pdf", "Melting_Curves/meltCurve_Q9Y237_PIN4.pdf")</f>
        <v>Melting_Curves/meltCurve_Q9Y237_PIN4.pdf</v>
      </c>
    </row>
    <row r="6429" spans="1:28" x14ac:dyDescent="0.25">
      <c r="A6429" t="s">
        <v>6433</v>
      </c>
      <c r="B6429">
        <v>0.99193492352474899</v>
      </c>
      <c r="C6429">
        <v>0.92212456456626701</v>
      </c>
      <c r="D6429">
        <v>1.1478865696360701</v>
      </c>
      <c r="E6429">
        <v>0.79946639811442299</v>
      </c>
      <c r="F6429">
        <v>0.84825578267600599</v>
      </c>
      <c r="G6429">
        <v>0.35346218317574601</v>
      </c>
      <c r="H6429">
        <v>0.18173983881863701</v>
      </c>
      <c r="I6429">
        <v>0.16882137757836599</v>
      </c>
      <c r="J6429">
        <v>0.27900981421215398</v>
      </c>
      <c r="K6429">
        <v>0.37195534831828703</v>
      </c>
      <c r="L6429">
        <v>2536.0602053992002</v>
      </c>
      <c r="M6429">
        <v>46.426875828503498</v>
      </c>
      <c r="N6429">
        <v>55.444900198265501</v>
      </c>
      <c r="O6429">
        <v>54.523786276531801</v>
      </c>
      <c r="P6429">
        <v>-0.160001418521318</v>
      </c>
      <c r="Q6429">
        <v>0.248377517518485</v>
      </c>
      <c r="R6429">
        <v>0.92397817934579796</v>
      </c>
      <c r="S6429" t="s">
        <v>13099</v>
      </c>
      <c r="T6429" t="s">
        <v>13338</v>
      </c>
      <c r="U6429" t="s">
        <v>13338</v>
      </c>
      <c r="V6429" t="s">
        <v>13338</v>
      </c>
      <c r="W6429" t="s">
        <v>19704</v>
      </c>
      <c r="X6429">
        <v>5</v>
      </c>
      <c r="Y6429" t="s">
        <v>26184</v>
      </c>
      <c r="Z6429" t="s">
        <v>32844</v>
      </c>
      <c r="AA6429">
        <v>0.6168897537608713</v>
      </c>
      <c r="AB6429" t="str">
        <f>HYPERLINK("Melting_Curves/meltCurve_Q9Y244_POMP.pdf", "Melting_Curves/meltCurve_Q9Y244_POMP.pdf")</f>
        <v>Melting_Curves/meltCurve_Q9Y244_POMP.pdf</v>
      </c>
    </row>
    <row r="6430" spans="1:28" x14ac:dyDescent="0.25">
      <c r="A6430" t="s">
        <v>6434</v>
      </c>
      <c r="B6430">
        <v>0.99193492352474899</v>
      </c>
      <c r="C6430">
        <v>0.93911310228607703</v>
      </c>
      <c r="D6430">
        <v>0.93609571735472497</v>
      </c>
      <c r="E6430">
        <v>0.78004190410416696</v>
      </c>
      <c r="F6430">
        <v>0.29495576611260199</v>
      </c>
      <c r="G6430">
        <v>0.14505451494297</v>
      </c>
      <c r="H6430">
        <v>8.9270233563816498E-2</v>
      </c>
      <c r="I6430">
        <v>9.8944734928574807E-2</v>
      </c>
      <c r="J6430">
        <v>0.110881802856187</v>
      </c>
      <c r="K6430">
        <v>0.110974134030272</v>
      </c>
      <c r="L6430">
        <v>1666.7285522796601</v>
      </c>
      <c r="M6430">
        <v>32.5580933169635</v>
      </c>
      <c r="N6430">
        <v>51.551940450499202</v>
      </c>
      <c r="O6430">
        <v>51.000484135649003</v>
      </c>
      <c r="P6430">
        <v>-0.143389655884961</v>
      </c>
      <c r="Q6430">
        <v>0.101555842417603</v>
      </c>
      <c r="R6430">
        <v>0.99583065362207401</v>
      </c>
      <c r="S6430" t="s">
        <v>13100</v>
      </c>
      <c r="T6430" t="s">
        <v>13338</v>
      </c>
      <c r="U6430" t="s">
        <v>13338</v>
      </c>
      <c r="V6430" t="s">
        <v>13338</v>
      </c>
      <c r="W6430" t="s">
        <v>19705</v>
      </c>
      <c r="X6430">
        <v>6</v>
      </c>
      <c r="Y6430" t="s">
        <v>26185</v>
      </c>
      <c r="Z6430" t="s">
        <v>32845</v>
      </c>
      <c r="AA6430">
        <v>0.44155865899188301</v>
      </c>
      <c r="AB6430" t="str">
        <f>HYPERLINK("Melting_Curves/meltCurve_Q9Y248_GINS2.pdf", "Melting_Curves/meltCurve_Q9Y248_GINS2.pdf")</f>
        <v>Melting_Curves/meltCurve_Q9Y248_GINS2.pdf</v>
      </c>
    </row>
    <row r="6431" spans="1:28" x14ac:dyDescent="0.25">
      <c r="A6431" t="s">
        <v>6435</v>
      </c>
      <c r="B6431">
        <v>0.99193492352474899</v>
      </c>
      <c r="C6431">
        <v>0.83184693760866502</v>
      </c>
      <c r="D6431">
        <v>2.5577082116557199</v>
      </c>
      <c r="E6431">
        <v>0.87974949736716301</v>
      </c>
      <c r="F6431">
        <v>1.4128798563724101</v>
      </c>
      <c r="G6431">
        <v>2.1747691333100598</v>
      </c>
      <c r="H6431">
        <v>0.91009442306879396</v>
      </c>
      <c r="I6431">
        <v>1.3389796846906501</v>
      </c>
      <c r="J6431">
        <v>1.4702516862147501</v>
      </c>
      <c r="K6431">
        <v>7.2919616935682203</v>
      </c>
      <c r="L6431">
        <v>11059.728248117901</v>
      </c>
      <c r="M6431">
        <v>250</v>
      </c>
      <c r="O6431">
        <v>44.236082939712702</v>
      </c>
      <c r="P6431">
        <v>0.70643688651293002</v>
      </c>
      <c r="Q6431">
        <v>1.5</v>
      </c>
      <c r="R6431">
        <v>-4.92560701489844E-2</v>
      </c>
      <c r="S6431" t="s">
        <v>13101</v>
      </c>
      <c r="T6431" t="s">
        <v>13338</v>
      </c>
      <c r="U6431" t="s">
        <v>13338</v>
      </c>
      <c r="V6431" t="s">
        <v>13338</v>
      </c>
      <c r="W6431" t="s">
        <v>19706</v>
      </c>
      <c r="X6431">
        <v>1</v>
      </c>
      <c r="Y6431" t="s">
        <v>26186</v>
      </c>
      <c r="Z6431" t="s">
        <v>32846</v>
      </c>
      <c r="AA6431">
        <v>1.429312630823568</v>
      </c>
      <c r="AB6431" t="str">
        <f>HYPERLINK("Melting_Curves/meltCurve_Q9Y250_5_LZTS1.pdf", "Melting_Curves/meltCurve_Q9Y250_5_LZTS1.pdf")</f>
        <v>Melting_Curves/meltCurve_Q9Y250_5_LZTS1.pdf</v>
      </c>
    </row>
    <row r="6432" spans="1:28" x14ac:dyDescent="0.25">
      <c r="A6432" t="s">
        <v>6436</v>
      </c>
      <c r="B6432">
        <v>0.99193492352474899</v>
      </c>
      <c r="C6432">
        <v>0.87898525890716495</v>
      </c>
      <c r="D6432">
        <v>0.96229804607909497</v>
      </c>
      <c r="E6432">
        <v>0.80020926961303496</v>
      </c>
      <c r="F6432">
        <v>0.70853069858838003</v>
      </c>
      <c r="G6432">
        <v>0.53477891003340305</v>
      </c>
      <c r="H6432">
        <v>0.37822551640140001</v>
      </c>
      <c r="I6432">
        <v>0.42958342269952099</v>
      </c>
      <c r="J6432">
        <v>0.43783694164824399</v>
      </c>
      <c r="K6432">
        <v>0.360921604306356</v>
      </c>
      <c r="L6432">
        <v>715.75813084788899</v>
      </c>
      <c r="M6432">
        <v>13.503853439440499</v>
      </c>
      <c r="N6432">
        <v>58.286109569518302</v>
      </c>
      <c r="O6432">
        <v>51.882122871600998</v>
      </c>
      <c r="P6432">
        <v>-4.2110479272150197E-2</v>
      </c>
      <c r="Q6432">
        <v>0.35294076456160001</v>
      </c>
      <c r="R6432">
        <v>0.96334499108499805</v>
      </c>
      <c r="S6432" t="s">
        <v>13102</v>
      </c>
      <c r="T6432" t="s">
        <v>13338</v>
      </c>
      <c r="U6432" t="s">
        <v>13338</v>
      </c>
      <c r="V6432" t="s">
        <v>13338</v>
      </c>
      <c r="W6432" t="s">
        <v>19707</v>
      </c>
      <c r="X6432">
        <v>5</v>
      </c>
      <c r="Y6432" t="s">
        <v>26187</v>
      </c>
      <c r="Z6432" t="s">
        <v>32847</v>
      </c>
      <c r="AA6432">
        <v>0.64942370331137944</v>
      </c>
      <c r="AB6432" t="str">
        <f>HYPERLINK("Melting_Curves/meltCurve_Q9Y259_CHKB.pdf", "Melting_Curves/meltCurve_Q9Y259_CHKB.pdf")</f>
        <v>Melting_Curves/meltCurve_Q9Y259_CHKB.pdf</v>
      </c>
    </row>
    <row r="6433" spans="1:28" x14ac:dyDescent="0.25">
      <c r="A6433" t="s">
        <v>6437</v>
      </c>
      <c r="B6433">
        <v>0.99193492352474899</v>
      </c>
      <c r="C6433">
        <v>0.859453482145217</v>
      </c>
      <c r="D6433">
        <v>0.75497637281181396</v>
      </c>
      <c r="E6433">
        <v>0.30289156894442198</v>
      </c>
      <c r="F6433">
        <v>0.18360487087421301</v>
      </c>
      <c r="G6433">
        <v>0.111946328166356</v>
      </c>
      <c r="H6433">
        <v>6.5900185282964194E-2</v>
      </c>
      <c r="I6433">
        <v>7.5234080470524795E-2</v>
      </c>
      <c r="J6433">
        <v>8.5123530285478199E-2</v>
      </c>
      <c r="K6433">
        <v>8.5807919911739194E-2</v>
      </c>
      <c r="L6433">
        <v>1048.0765797029801</v>
      </c>
      <c r="M6433">
        <v>22.035322241872599</v>
      </c>
      <c r="N6433">
        <v>47.932567632163703</v>
      </c>
      <c r="O6433">
        <v>47.176949979466798</v>
      </c>
      <c r="P6433">
        <v>-0.10766034660766501</v>
      </c>
      <c r="Q6433">
        <v>7.8030484122140906E-2</v>
      </c>
      <c r="R6433">
        <v>0.99220315341936605</v>
      </c>
      <c r="S6433" t="s">
        <v>13103</v>
      </c>
      <c r="T6433" t="s">
        <v>13338</v>
      </c>
      <c r="U6433" t="s">
        <v>13338</v>
      </c>
      <c r="V6433" t="s">
        <v>13338</v>
      </c>
      <c r="W6433" t="s">
        <v>19708</v>
      </c>
      <c r="X6433">
        <v>28</v>
      </c>
      <c r="Y6433" t="s">
        <v>26188</v>
      </c>
      <c r="Z6433" t="s">
        <v>32848</v>
      </c>
      <c r="AA6433">
        <v>0.32120823753896488</v>
      </c>
      <c r="AB6433" t="str">
        <f>HYPERLINK("Melting_Curves/meltCurve_Q9Y263_PLAA.pdf", "Melting_Curves/meltCurve_Q9Y263_PLAA.pdf")</f>
        <v>Melting_Curves/meltCurve_Q9Y263_PLAA.pdf</v>
      </c>
    </row>
    <row r="6434" spans="1:28" x14ac:dyDescent="0.25">
      <c r="A6434" t="s">
        <v>6438</v>
      </c>
      <c r="B6434">
        <v>0.99193492352474899</v>
      </c>
      <c r="C6434">
        <v>0.983176601663039</v>
      </c>
      <c r="D6434">
        <v>0.89185351126520096</v>
      </c>
      <c r="E6434">
        <v>0.82548766256529205</v>
      </c>
      <c r="F6434">
        <v>0.83336056003286196</v>
      </c>
      <c r="G6434">
        <v>0.75985936710836499</v>
      </c>
      <c r="H6434">
        <v>0.53625849976196704</v>
      </c>
      <c r="I6434">
        <v>0.47439909807942099</v>
      </c>
      <c r="J6434">
        <v>0.20274733323421201</v>
      </c>
      <c r="K6434">
        <v>0.14029566829481699</v>
      </c>
      <c r="L6434">
        <v>680.835993205926</v>
      </c>
      <c r="M6434">
        <v>11.1039221886244</v>
      </c>
      <c r="N6434">
        <v>61.314910345522797</v>
      </c>
      <c r="O6434">
        <v>59.427006645646699</v>
      </c>
      <c r="P6434">
        <v>-4.6727640412805201E-2</v>
      </c>
      <c r="Q6434">
        <v>0</v>
      </c>
      <c r="R6434">
        <v>0.95512805269779799</v>
      </c>
      <c r="S6434" t="s">
        <v>13104</v>
      </c>
      <c r="T6434" t="s">
        <v>13338</v>
      </c>
      <c r="U6434" t="s">
        <v>13338</v>
      </c>
      <c r="V6434" t="s">
        <v>13338</v>
      </c>
      <c r="W6434" t="s">
        <v>19709</v>
      </c>
      <c r="X6434">
        <v>34</v>
      </c>
      <c r="Y6434" t="s">
        <v>26189</v>
      </c>
      <c r="Z6434" t="s">
        <v>32849</v>
      </c>
      <c r="AA6434">
        <v>0.70090098163357062</v>
      </c>
      <c r="AB6434" t="str">
        <f>HYPERLINK("Melting_Curves/meltCurve_Q9Y265_RUVBL1.pdf", "Melting_Curves/meltCurve_Q9Y265_RUVBL1.pdf")</f>
        <v>Melting_Curves/meltCurve_Q9Y265_RUVBL1.pdf</v>
      </c>
    </row>
    <row r="6435" spans="1:28" x14ac:dyDescent="0.25">
      <c r="A6435" t="s">
        <v>6439</v>
      </c>
      <c r="B6435">
        <v>0.99193492352474899</v>
      </c>
      <c r="C6435">
        <v>0.84079637423589604</v>
      </c>
      <c r="D6435">
        <v>0.84697421360021596</v>
      </c>
      <c r="E6435">
        <v>0.63824090456469995</v>
      </c>
      <c r="F6435">
        <v>0.25784006096863799</v>
      </c>
      <c r="G6435">
        <v>9.3448430631749402E-2</v>
      </c>
      <c r="H6435">
        <v>6.3021254330497198E-2</v>
      </c>
      <c r="I6435">
        <v>7.5715462146992096E-2</v>
      </c>
      <c r="J6435">
        <v>8.5507210028206798E-2</v>
      </c>
      <c r="K6435">
        <v>9.3826266714472195E-2</v>
      </c>
      <c r="L6435">
        <v>994.74726331243301</v>
      </c>
      <c r="M6435">
        <v>19.846452642674901</v>
      </c>
      <c r="N6435">
        <v>50.427570103146799</v>
      </c>
      <c r="O6435">
        <v>49.621631176764197</v>
      </c>
      <c r="P6435">
        <v>-9.4330143130154198E-2</v>
      </c>
      <c r="Q6435">
        <v>5.6626017722689798E-2</v>
      </c>
      <c r="R6435">
        <v>0.98106987575769</v>
      </c>
      <c r="S6435" t="s">
        <v>13105</v>
      </c>
      <c r="T6435" t="s">
        <v>13338</v>
      </c>
      <c r="U6435" t="s">
        <v>13338</v>
      </c>
      <c r="V6435" t="s">
        <v>13338</v>
      </c>
      <c r="W6435" t="s">
        <v>19710</v>
      </c>
      <c r="X6435">
        <v>34</v>
      </c>
      <c r="Y6435" t="s">
        <v>26190</v>
      </c>
      <c r="Z6435" t="s">
        <v>32850</v>
      </c>
      <c r="AA6435">
        <v>0.38825054521663321</v>
      </c>
      <c r="AB6435" t="str">
        <f>HYPERLINK("Melting_Curves/meltCurve_Q9Y266_NUDC.pdf", "Melting_Curves/meltCurve_Q9Y266_NUDC.pdf")</f>
        <v>Melting_Curves/meltCurve_Q9Y266_NUDC.pdf</v>
      </c>
    </row>
    <row r="6436" spans="1:28" x14ac:dyDescent="0.25">
      <c r="A6436" t="s">
        <v>6440</v>
      </c>
      <c r="B6436">
        <v>0.99193492352474899</v>
      </c>
      <c r="C6436">
        <v>0.91094078791732302</v>
      </c>
      <c r="D6436">
        <v>1.00461637389614</v>
      </c>
      <c r="E6436">
        <v>0.79764217194683096</v>
      </c>
      <c r="F6436">
        <v>0.79189739581517204</v>
      </c>
      <c r="G6436">
        <v>0.32028142893799899</v>
      </c>
      <c r="H6436">
        <v>5.8033453049724501E-2</v>
      </c>
      <c r="I6436">
        <v>8.31544491034647E-2</v>
      </c>
      <c r="J6436">
        <v>0.111018069695395</v>
      </c>
      <c r="K6436">
        <v>0.119336525705676</v>
      </c>
      <c r="L6436">
        <v>1613.95798196089</v>
      </c>
      <c r="M6436">
        <v>29.415654762403801</v>
      </c>
      <c r="N6436">
        <v>55.184212776565403</v>
      </c>
      <c r="O6436">
        <v>54.615612612781099</v>
      </c>
      <c r="P6436">
        <v>-0.124185913814803</v>
      </c>
      <c r="Q6436">
        <v>7.7709882201292907E-2</v>
      </c>
      <c r="R6436">
        <v>0.97064002491071399</v>
      </c>
      <c r="S6436" t="s">
        <v>13106</v>
      </c>
      <c r="T6436" t="s">
        <v>13338</v>
      </c>
      <c r="U6436" t="s">
        <v>13338</v>
      </c>
      <c r="V6436" t="s">
        <v>13338</v>
      </c>
      <c r="W6436" t="s">
        <v>19711</v>
      </c>
      <c r="X6436">
        <v>6</v>
      </c>
      <c r="Y6436" t="s">
        <v>26191</v>
      </c>
      <c r="Z6436" t="s">
        <v>32851</v>
      </c>
      <c r="AA6436">
        <v>0.54111832957382311</v>
      </c>
      <c r="AB6436" t="str">
        <f>HYPERLINK("Melting_Curves/meltCurve_Q9Y276_BCS1L.pdf", "Melting_Curves/meltCurve_Q9Y276_BCS1L.pdf")</f>
        <v>Melting_Curves/meltCurve_Q9Y276_BCS1L.pdf</v>
      </c>
    </row>
    <row r="6437" spans="1:28" x14ac:dyDescent="0.25">
      <c r="A6437" t="s">
        <v>6441</v>
      </c>
      <c r="B6437">
        <v>0.99193492352474899</v>
      </c>
      <c r="C6437">
        <v>1.0003949750888901</v>
      </c>
      <c r="D6437">
        <v>1.1250263654099399</v>
      </c>
      <c r="E6437">
        <v>0.897764274321321</v>
      </c>
      <c r="F6437">
        <v>0.73263009975933702</v>
      </c>
      <c r="G6437">
        <v>0.62856070144651</v>
      </c>
      <c r="H6437">
        <v>0.55246450219644605</v>
      </c>
      <c r="I6437">
        <v>0.66083936958207301</v>
      </c>
      <c r="J6437">
        <v>0.93965527636285495</v>
      </c>
      <c r="K6437">
        <v>0.72549293755465405</v>
      </c>
      <c r="L6437">
        <v>3392.25238129632</v>
      </c>
      <c r="M6437">
        <v>67.7149624263634</v>
      </c>
      <c r="O6437">
        <v>50.052415693790103</v>
      </c>
      <c r="P6437">
        <v>-9.96122748117102E-2</v>
      </c>
      <c r="Q6437">
        <v>0.70548112011059605</v>
      </c>
      <c r="R6437">
        <v>0.68362410474042901</v>
      </c>
      <c r="S6437" t="s">
        <v>13107</v>
      </c>
      <c r="T6437" t="s">
        <v>13338</v>
      </c>
      <c r="U6437" t="s">
        <v>13338</v>
      </c>
      <c r="V6437" t="s">
        <v>13338</v>
      </c>
      <c r="W6437" t="s">
        <v>19712</v>
      </c>
      <c r="X6437">
        <v>17</v>
      </c>
      <c r="Y6437" t="s">
        <v>26192</v>
      </c>
      <c r="Z6437" t="s">
        <v>32852</v>
      </c>
      <c r="AA6437">
        <v>0.80495099835990025</v>
      </c>
      <c r="AB6437" t="str">
        <f>HYPERLINK("Melting_Curves/meltCurve_Q9Y277_VDAC3.pdf", "Melting_Curves/meltCurve_Q9Y277_VDAC3.pdf")</f>
        <v>Melting_Curves/meltCurve_Q9Y277_VDAC3.pdf</v>
      </c>
    </row>
    <row r="6438" spans="1:28" x14ac:dyDescent="0.25">
      <c r="A6438" t="s">
        <v>6442</v>
      </c>
      <c r="B6438">
        <v>0.99193492352474899</v>
      </c>
      <c r="C6438">
        <v>0.86250203507808898</v>
      </c>
      <c r="D6438">
        <v>0.91095173668806395</v>
      </c>
      <c r="E6438">
        <v>0.86483450303808496</v>
      </c>
      <c r="F6438">
        <v>0.61334695484496204</v>
      </c>
      <c r="G6438">
        <v>0.156760790290459</v>
      </c>
      <c r="H6438">
        <v>9.6498895837878795E-2</v>
      </c>
      <c r="I6438">
        <v>8.0889068482976306E-2</v>
      </c>
      <c r="J6438">
        <v>9.4302673326647393E-2</v>
      </c>
      <c r="K6438">
        <v>0.110384501263969</v>
      </c>
      <c r="L6438">
        <v>1608.1745926605699</v>
      </c>
      <c r="M6438">
        <v>30.114205081210802</v>
      </c>
      <c r="N6438">
        <v>53.714408680372102</v>
      </c>
      <c r="O6438">
        <v>53.168697266228598</v>
      </c>
      <c r="P6438">
        <v>-0.130240758881986</v>
      </c>
      <c r="Q6438">
        <v>8.0209933889682505E-2</v>
      </c>
      <c r="R6438">
        <v>0.97637439415278704</v>
      </c>
      <c r="S6438" t="s">
        <v>13108</v>
      </c>
      <c r="T6438" t="s">
        <v>13338</v>
      </c>
      <c r="U6438" t="s">
        <v>13338</v>
      </c>
      <c r="V6438" t="s">
        <v>13338</v>
      </c>
      <c r="W6438" t="s">
        <v>19713</v>
      </c>
      <c r="X6438">
        <v>9</v>
      </c>
      <c r="Y6438" t="s">
        <v>26193</v>
      </c>
      <c r="Z6438" t="s">
        <v>32853</v>
      </c>
      <c r="AA6438">
        <v>0.49708017794920167</v>
      </c>
      <c r="AB6438" t="str">
        <f>HYPERLINK("Melting_Curves/meltCurve_Q9Y281_CFL2.pdf", "Melting_Curves/meltCurve_Q9Y281_CFL2.pdf")</f>
        <v>Melting_Curves/meltCurve_Q9Y281_CFL2.pdf</v>
      </c>
    </row>
    <row r="6439" spans="1:28" x14ac:dyDescent="0.25">
      <c r="A6439" t="s">
        <v>6443</v>
      </c>
      <c r="B6439">
        <v>0.99193492352474899</v>
      </c>
      <c r="C6439">
        <v>0.90570483826269099</v>
      </c>
      <c r="D6439">
        <v>0.962469656763148</v>
      </c>
      <c r="E6439">
        <v>0.89013654215822202</v>
      </c>
      <c r="F6439">
        <v>0.72690335906883596</v>
      </c>
      <c r="G6439">
        <v>0.63612284937741803</v>
      </c>
      <c r="H6439">
        <v>0.40561006761556401</v>
      </c>
      <c r="I6439">
        <v>0.39625025430169403</v>
      </c>
      <c r="J6439">
        <v>0.31358236875663997</v>
      </c>
      <c r="K6439">
        <v>0.217432830397009</v>
      </c>
      <c r="L6439">
        <v>562.05350023076301</v>
      </c>
      <c r="M6439">
        <v>9.58692253072822</v>
      </c>
      <c r="N6439">
        <v>59.689915698164697</v>
      </c>
      <c r="O6439">
        <v>56.2464577625679</v>
      </c>
      <c r="P6439">
        <v>-3.9290262538410899E-2</v>
      </c>
      <c r="Q6439">
        <v>7.8462974810714806E-2</v>
      </c>
      <c r="R6439">
        <v>0.984059032786751</v>
      </c>
      <c r="S6439" t="s">
        <v>13109</v>
      </c>
      <c r="T6439" t="s">
        <v>13338</v>
      </c>
      <c r="U6439" t="s">
        <v>13338</v>
      </c>
      <c r="V6439" t="s">
        <v>13338</v>
      </c>
      <c r="W6439" t="s">
        <v>19714</v>
      </c>
      <c r="X6439">
        <v>2</v>
      </c>
      <c r="Y6439" t="s">
        <v>26194</v>
      </c>
      <c r="Z6439" t="s">
        <v>32854</v>
      </c>
      <c r="AA6439">
        <v>0.65492815425358408</v>
      </c>
      <c r="AB6439" t="str">
        <f>HYPERLINK("Melting_Curves/meltCurve_Q9Y289_SLC5A6.pdf", "Melting_Curves/meltCurve_Q9Y289_SLC5A6.pdf")</f>
        <v>Melting_Curves/meltCurve_Q9Y289_SLC5A6.pdf</v>
      </c>
    </row>
    <row r="6440" spans="1:28" x14ac:dyDescent="0.25">
      <c r="A6440" t="s">
        <v>6444</v>
      </c>
      <c r="B6440">
        <v>0.99193492352474899</v>
      </c>
      <c r="C6440">
        <v>0.65351279253780803</v>
      </c>
      <c r="D6440">
        <v>0.88645622223397103</v>
      </c>
      <c r="E6440">
        <v>0.573592817281529</v>
      </c>
      <c r="F6440">
        <v>0.226845023771586</v>
      </c>
      <c r="G6440">
        <v>9.2653418164737697E-2</v>
      </c>
      <c r="H6440">
        <v>6.2817621333423806E-2</v>
      </c>
      <c r="I6440">
        <v>6.9519930810244199E-2</v>
      </c>
      <c r="J6440">
        <v>9.7068463663314106E-2</v>
      </c>
      <c r="K6440">
        <v>8.0315745019747795E-2</v>
      </c>
      <c r="L6440">
        <v>750.45173015033799</v>
      </c>
      <c r="M6440">
        <v>15.1688840756737</v>
      </c>
      <c r="N6440">
        <v>49.712019917581898</v>
      </c>
      <c r="O6440">
        <v>48.6371737518934</v>
      </c>
      <c r="P6440">
        <v>-7.5235912421376894E-2</v>
      </c>
      <c r="Q6440">
        <v>3.51543203761637E-2</v>
      </c>
      <c r="R6440">
        <v>0.91980425390596399</v>
      </c>
      <c r="S6440" t="s">
        <v>13110</v>
      </c>
      <c r="T6440" t="s">
        <v>13338</v>
      </c>
      <c r="U6440" t="s">
        <v>13338</v>
      </c>
      <c r="V6440" t="s">
        <v>13338</v>
      </c>
      <c r="W6440" t="s">
        <v>19715</v>
      </c>
      <c r="X6440">
        <v>4</v>
      </c>
      <c r="Y6440" t="s">
        <v>26195</v>
      </c>
      <c r="Z6440" t="s">
        <v>32855</v>
      </c>
      <c r="AA6440">
        <v>0.36276158531613178</v>
      </c>
      <c r="AB6440" t="str">
        <f>HYPERLINK("Melting_Curves/meltCurve_Q9Y294_ASF1A.pdf", "Melting_Curves/meltCurve_Q9Y294_ASF1A.pdf")</f>
        <v>Melting_Curves/meltCurve_Q9Y294_ASF1A.pdf</v>
      </c>
    </row>
    <row r="6441" spans="1:28" x14ac:dyDescent="0.25">
      <c r="A6441" t="s">
        <v>6445</v>
      </c>
      <c r="B6441">
        <v>0.99193492352474899</v>
      </c>
      <c r="C6441">
        <v>0.61754975175902305</v>
      </c>
      <c r="D6441">
        <v>0.97222710749576502</v>
      </c>
      <c r="E6441">
        <v>0.69946349346969605</v>
      </c>
      <c r="F6441">
        <v>0.52027815448233306</v>
      </c>
      <c r="G6441">
        <v>0.18211698527440501</v>
      </c>
      <c r="H6441">
        <v>6.8592605758254099E-2</v>
      </c>
      <c r="I6441">
        <v>7.8301842109353606E-2</v>
      </c>
      <c r="J6441">
        <v>8.0702110182072906E-2</v>
      </c>
      <c r="K6441">
        <v>7.6048699172551401E-2</v>
      </c>
      <c r="L6441">
        <v>694.72051349923299</v>
      </c>
      <c r="M6441">
        <v>13.272492055773499</v>
      </c>
      <c r="N6441">
        <v>52.342908072256201</v>
      </c>
      <c r="O6441">
        <v>51.197474278227702</v>
      </c>
      <c r="P6441">
        <v>-6.4820875427481703E-2</v>
      </c>
      <c r="Q6441">
        <v>0</v>
      </c>
      <c r="R6441">
        <v>0.89022381280413998</v>
      </c>
      <c r="S6441" t="s">
        <v>13111</v>
      </c>
      <c r="T6441" t="s">
        <v>13338</v>
      </c>
      <c r="U6441" t="s">
        <v>13338</v>
      </c>
      <c r="V6441" t="s">
        <v>13338</v>
      </c>
      <c r="W6441" t="s">
        <v>19716</v>
      </c>
      <c r="X6441">
        <v>15</v>
      </c>
      <c r="Y6441" t="s">
        <v>26196</v>
      </c>
      <c r="Z6441" t="s">
        <v>32856</v>
      </c>
      <c r="AA6441">
        <v>0.43768466023348329</v>
      </c>
      <c r="AB6441" t="str">
        <f>HYPERLINK("Melting_Curves/meltCurve_Q9Y295_DRG1.pdf", "Melting_Curves/meltCurve_Q9Y295_DRG1.pdf")</f>
        <v>Melting_Curves/meltCurve_Q9Y295_DRG1.pdf</v>
      </c>
    </row>
    <row r="6442" spans="1:28" x14ac:dyDescent="0.25">
      <c r="A6442" t="s">
        <v>6446</v>
      </c>
      <c r="B6442">
        <v>0.99193492352474899</v>
      </c>
      <c r="C6442">
        <v>0.87242909959437298</v>
      </c>
      <c r="D6442">
        <v>0.88844181150117696</v>
      </c>
      <c r="E6442">
        <v>0.60993619730041704</v>
      </c>
      <c r="F6442">
        <v>0.39465442663775202</v>
      </c>
      <c r="G6442">
        <v>0.17568603490429799</v>
      </c>
      <c r="H6442">
        <v>6.72302761035177E-2</v>
      </c>
      <c r="I6442">
        <v>7.6086899701772195E-2</v>
      </c>
      <c r="J6442">
        <v>0.10265227599223201</v>
      </c>
      <c r="K6442">
        <v>0.10922370519088299</v>
      </c>
      <c r="L6442">
        <v>844.96847700726801</v>
      </c>
      <c r="M6442">
        <v>16.649086070068002</v>
      </c>
      <c r="N6442">
        <v>51.1590413942697</v>
      </c>
      <c r="O6442">
        <v>50.036415458498901</v>
      </c>
      <c r="P6442">
        <v>-7.8025568742648904E-2</v>
      </c>
      <c r="Q6442">
        <v>6.2084763048260702E-2</v>
      </c>
      <c r="R6442">
        <v>0.98842412277828995</v>
      </c>
      <c r="S6442" t="s">
        <v>13112</v>
      </c>
      <c r="T6442" t="s">
        <v>13338</v>
      </c>
      <c r="U6442" t="s">
        <v>13338</v>
      </c>
      <c r="V6442" t="s">
        <v>13338</v>
      </c>
      <c r="W6442" t="s">
        <v>19717</v>
      </c>
      <c r="X6442">
        <v>5</v>
      </c>
      <c r="Y6442" t="s">
        <v>26197</v>
      </c>
      <c r="Z6442" t="s">
        <v>32857</v>
      </c>
      <c r="AA6442">
        <v>0.41646050763517573</v>
      </c>
      <c r="AB6442" t="str">
        <f>HYPERLINK("Melting_Curves/meltCurve_Q9Y296_TRAPPC4.pdf", "Melting_Curves/meltCurve_Q9Y296_TRAPPC4.pdf")</f>
        <v>Melting_Curves/meltCurve_Q9Y296_TRAPPC4.pdf</v>
      </c>
    </row>
    <row r="6443" spans="1:28" x14ac:dyDescent="0.25">
      <c r="A6443" t="s">
        <v>6447</v>
      </c>
      <c r="B6443">
        <v>0.99193492352474899</v>
      </c>
      <c r="C6443">
        <v>1.07640891176609</v>
      </c>
      <c r="D6443">
        <v>0.86079569047467097</v>
      </c>
      <c r="E6443">
        <v>0.59296962867429803</v>
      </c>
      <c r="F6443">
        <v>0.29246168045009602</v>
      </c>
      <c r="G6443">
        <v>9.4744312623525395E-2</v>
      </c>
      <c r="H6443">
        <v>3.81166247813126E-2</v>
      </c>
      <c r="I6443">
        <v>2.6017085246656399E-2</v>
      </c>
      <c r="J6443">
        <v>2.5968955062057899E-2</v>
      </c>
      <c r="K6443">
        <v>5.1740677032922698E-2</v>
      </c>
      <c r="L6443">
        <v>1076.4881615284701</v>
      </c>
      <c r="M6443">
        <v>21.331348180687801</v>
      </c>
      <c r="N6443">
        <v>50.586452160491397</v>
      </c>
      <c r="O6443">
        <v>50.027848810920098</v>
      </c>
      <c r="P6443">
        <v>-0.103940751269919</v>
      </c>
      <c r="Q6443">
        <v>2.4946609401763201E-2</v>
      </c>
      <c r="R6443">
        <v>0.99275561570730797</v>
      </c>
      <c r="S6443" t="s">
        <v>13113</v>
      </c>
      <c r="T6443" t="s">
        <v>13338</v>
      </c>
      <c r="U6443" t="s">
        <v>13338</v>
      </c>
      <c r="V6443" t="s">
        <v>13338</v>
      </c>
      <c r="W6443" t="s">
        <v>19718</v>
      </c>
      <c r="X6443">
        <v>3</v>
      </c>
      <c r="Y6443" t="s">
        <v>26198</v>
      </c>
      <c r="Z6443" t="s">
        <v>32858</v>
      </c>
      <c r="AA6443">
        <v>0.37704980301399638</v>
      </c>
      <c r="AB6443" t="str">
        <f>HYPERLINK("Melting_Curves/meltCurve_Q9Y2A7_NCKAP1.pdf", "Melting_Curves/meltCurve_Q9Y2A7_NCKAP1.pdf")</f>
        <v>Melting_Curves/meltCurve_Q9Y2A7_NCKAP1.pdf</v>
      </c>
    </row>
    <row r="6444" spans="1:28" x14ac:dyDescent="0.25">
      <c r="A6444" t="s">
        <v>6448</v>
      </c>
      <c r="B6444">
        <v>0.99193492352474899</v>
      </c>
      <c r="C6444">
        <v>1.0258070053858499</v>
      </c>
      <c r="D6444">
        <v>0.82120210997422405</v>
      </c>
      <c r="E6444">
        <v>0.87930666700193105</v>
      </c>
      <c r="F6444">
        <v>0.48516144952722401</v>
      </c>
      <c r="G6444">
        <v>0.29790235478152799</v>
      </c>
      <c r="H6444">
        <v>0.22473240106553599</v>
      </c>
      <c r="I6444">
        <v>0.28738215804015699</v>
      </c>
      <c r="J6444">
        <v>0.26617327250879502</v>
      </c>
      <c r="K6444">
        <v>0.378399633949628</v>
      </c>
      <c r="L6444">
        <v>1661.42269834475</v>
      </c>
      <c r="M6444">
        <v>32.159107966557201</v>
      </c>
      <c r="N6444">
        <v>53.037402013302902</v>
      </c>
      <c r="O6444">
        <v>51.464050103955202</v>
      </c>
      <c r="P6444">
        <v>-0.11204829667043401</v>
      </c>
      <c r="Q6444">
        <v>0.28276236193127602</v>
      </c>
      <c r="R6444">
        <v>0.95502435201219604</v>
      </c>
      <c r="S6444" t="s">
        <v>13114</v>
      </c>
      <c r="T6444" t="s">
        <v>13338</v>
      </c>
      <c r="U6444" t="s">
        <v>13338</v>
      </c>
      <c r="V6444" t="s">
        <v>13338</v>
      </c>
      <c r="W6444" t="s">
        <v>19719</v>
      </c>
      <c r="X6444">
        <v>16</v>
      </c>
      <c r="Y6444" t="s">
        <v>26199</v>
      </c>
      <c r="Z6444" t="s">
        <v>32859</v>
      </c>
      <c r="AA6444">
        <v>0.56555868266970344</v>
      </c>
      <c r="AB6444" t="str">
        <f>HYPERLINK("Melting_Curves/meltCurve_Q9Y2B0_CNPY2.pdf", "Melting_Curves/meltCurve_Q9Y2B0_CNPY2.pdf")</f>
        <v>Melting_Curves/meltCurve_Q9Y2B0_CNPY2.pdf</v>
      </c>
    </row>
    <row r="6445" spans="1:28" x14ac:dyDescent="0.25">
      <c r="A6445" t="s">
        <v>6449</v>
      </c>
      <c r="B6445">
        <v>0.99193492352474899</v>
      </c>
      <c r="C6445">
        <v>0.887630919339497</v>
      </c>
      <c r="D6445">
        <v>0.91607828116796997</v>
      </c>
      <c r="E6445">
        <v>0.59068473932820897</v>
      </c>
      <c r="F6445">
        <v>0.65839569825456801</v>
      </c>
      <c r="G6445">
        <v>0.51636189377414099</v>
      </c>
      <c r="H6445">
        <v>0.322284884877102</v>
      </c>
      <c r="I6445">
        <v>0.24816763263296501</v>
      </c>
      <c r="J6445">
        <v>0.48649398685344902</v>
      </c>
      <c r="K6445">
        <v>0.25880730569222299</v>
      </c>
      <c r="L6445">
        <v>544.12517741741203</v>
      </c>
      <c r="M6445">
        <v>10.5379068840637</v>
      </c>
      <c r="N6445">
        <v>55.6445746781976</v>
      </c>
      <c r="O6445">
        <v>49.879575110766801</v>
      </c>
      <c r="P6445">
        <v>-3.8782479097610303E-2</v>
      </c>
      <c r="Q6445">
        <v>0.26600827551443201</v>
      </c>
      <c r="R6445">
        <v>0.88972982452185201</v>
      </c>
      <c r="S6445" t="s">
        <v>13115</v>
      </c>
      <c r="T6445" t="s">
        <v>13338</v>
      </c>
      <c r="U6445" t="s">
        <v>13338</v>
      </c>
      <c r="V6445" t="s">
        <v>13338</v>
      </c>
      <c r="W6445" t="s">
        <v>19720</v>
      </c>
      <c r="X6445">
        <v>2</v>
      </c>
      <c r="Y6445" t="s">
        <v>26200</v>
      </c>
      <c r="Z6445" t="s">
        <v>32860</v>
      </c>
      <c r="AA6445">
        <v>0.57780580544202353</v>
      </c>
      <c r="AB6445" t="str">
        <f>HYPERLINK("Melting_Curves/meltCurve_Q9Y2C2_UST.pdf", "Melting_Curves/meltCurve_Q9Y2C2_UST.pdf")</f>
        <v>Melting_Curves/meltCurve_Q9Y2C2_UST.pdf</v>
      </c>
    </row>
    <row r="6446" spans="1:28" x14ac:dyDescent="0.25">
      <c r="A6446" t="s">
        <v>6450</v>
      </c>
      <c r="B6446">
        <v>0.99193492352474899</v>
      </c>
      <c r="C6446">
        <v>0.86926162410628105</v>
      </c>
      <c r="D6446">
        <v>1.0139186760652199</v>
      </c>
      <c r="E6446">
        <v>0.646116436074468</v>
      </c>
      <c r="F6446">
        <v>0.55702443389215495</v>
      </c>
      <c r="G6446">
        <v>0.339414675769667</v>
      </c>
      <c r="H6446">
        <v>0.23796352599175599</v>
      </c>
      <c r="I6446">
        <v>0.24391367994177399</v>
      </c>
      <c r="J6446">
        <v>0.230955562615143</v>
      </c>
      <c r="K6446">
        <v>0.15920384023999701</v>
      </c>
      <c r="L6446">
        <v>780.99665108725196</v>
      </c>
      <c r="M6446">
        <v>15.051439706726301</v>
      </c>
      <c r="N6446">
        <v>53.428215914333599</v>
      </c>
      <c r="O6446">
        <v>50.998411505704397</v>
      </c>
      <c r="P6446">
        <v>-6.0806511721112497E-2</v>
      </c>
      <c r="Q6446">
        <v>0.175965485522281</v>
      </c>
      <c r="R6446">
        <v>0.96545675913684303</v>
      </c>
      <c r="S6446" t="s">
        <v>13116</v>
      </c>
      <c r="T6446" t="s">
        <v>13338</v>
      </c>
      <c r="U6446" t="s">
        <v>13338</v>
      </c>
      <c r="V6446" t="s">
        <v>13338</v>
      </c>
      <c r="W6446" t="s">
        <v>19721</v>
      </c>
      <c r="X6446">
        <v>6</v>
      </c>
      <c r="Y6446" t="s">
        <v>26201</v>
      </c>
      <c r="Z6446" t="s">
        <v>32861</v>
      </c>
      <c r="AA6446">
        <v>0.52091298639633854</v>
      </c>
      <c r="AB6446" t="str">
        <f>HYPERLINK("Melting_Curves/meltCurve_Q9Y2C4_EXOG.pdf", "Melting_Curves/meltCurve_Q9Y2C4_EXOG.pdf")</f>
        <v>Melting_Curves/meltCurve_Q9Y2C4_EXOG.pdf</v>
      </c>
    </row>
    <row r="6447" spans="1:28" x14ac:dyDescent="0.25">
      <c r="A6447" t="s">
        <v>6451</v>
      </c>
      <c r="B6447">
        <v>0.99193492352474899</v>
      </c>
      <c r="C6447">
        <v>0.84655236894216601</v>
      </c>
      <c r="D6447">
        <v>0.84102750492472</v>
      </c>
      <c r="E6447">
        <v>0.25354114361008401</v>
      </c>
      <c r="F6447">
        <v>0.14831100122430199</v>
      </c>
      <c r="G6447">
        <v>8.0594905463491406E-2</v>
      </c>
      <c r="H6447">
        <v>5.2581805310019797E-2</v>
      </c>
      <c r="I6447">
        <v>6.0436624595872901E-2</v>
      </c>
      <c r="J6447">
        <v>8.2873230415517293E-2</v>
      </c>
      <c r="K6447">
        <v>6.4557196730604893E-2</v>
      </c>
      <c r="L6447">
        <v>1581.8852454960099</v>
      </c>
      <c r="M6447">
        <v>33.102172997219299</v>
      </c>
      <c r="N6447">
        <v>48.013807980370402</v>
      </c>
      <c r="O6447">
        <v>47.614564192158198</v>
      </c>
      <c r="P6447">
        <v>-0.161273088255554</v>
      </c>
      <c r="Q6447">
        <v>7.2095482735736696E-2</v>
      </c>
      <c r="R6447">
        <v>0.98279621089526104</v>
      </c>
      <c r="S6447" t="s">
        <v>13117</v>
      </c>
      <c r="T6447" t="s">
        <v>13338</v>
      </c>
      <c r="U6447" t="s">
        <v>13338</v>
      </c>
      <c r="V6447" t="s">
        <v>13338</v>
      </c>
      <c r="W6447" t="s">
        <v>19722</v>
      </c>
      <c r="X6447">
        <v>12</v>
      </c>
      <c r="Y6447" t="s">
        <v>26202</v>
      </c>
      <c r="Z6447" t="s">
        <v>32862</v>
      </c>
      <c r="AA6447">
        <v>0.31751803517932969</v>
      </c>
      <c r="AB6447" t="str">
        <f>HYPERLINK("Melting_Curves/meltCurve_Q9Y2D4_EXOC6B.pdf", "Melting_Curves/meltCurve_Q9Y2D4_EXOC6B.pdf")</f>
        <v>Melting_Curves/meltCurve_Q9Y2D4_EXOC6B.pdf</v>
      </c>
    </row>
    <row r="6448" spans="1:28" x14ac:dyDescent="0.25">
      <c r="A6448" t="s">
        <v>6452</v>
      </c>
      <c r="B6448">
        <v>0.99193492352474899</v>
      </c>
      <c r="C6448">
        <v>0.87964455948897202</v>
      </c>
      <c r="D6448">
        <v>0.74688731689032195</v>
      </c>
      <c r="E6448">
        <v>0.61873051217555697</v>
      </c>
      <c r="F6448">
        <v>0.42592101718416597</v>
      </c>
      <c r="G6448">
        <v>0.33039742049116699</v>
      </c>
      <c r="H6448">
        <v>0.27544370772924998</v>
      </c>
      <c r="I6448">
        <v>0.35902658361791101</v>
      </c>
      <c r="J6448">
        <v>0.407689422577035</v>
      </c>
      <c r="K6448">
        <v>0.63864493359127705</v>
      </c>
      <c r="L6448">
        <v>909.16414523376602</v>
      </c>
      <c r="M6448">
        <v>19.390488645196999</v>
      </c>
      <c r="N6448">
        <v>51.115141100758898</v>
      </c>
      <c r="O6448">
        <v>46.396975382527899</v>
      </c>
      <c r="P6448">
        <v>-6.2749151579212695E-2</v>
      </c>
      <c r="Q6448">
        <v>0.399444995417365</v>
      </c>
      <c r="R6448">
        <v>0.83537885098053999</v>
      </c>
      <c r="S6448" t="s">
        <v>13118</v>
      </c>
      <c r="T6448" t="s">
        <v>13338</v>
      </c>
      <c r="U6448" t="s">
        <v>13338</v>
      </c>
      <c r="V6448" t="s">
        <v>13338</v>
      </c>
      <c r="W6448" t="s">
        <v>19723</v>
      </c>
      <c r="X6448">
        <v>34</v>
      </c>
      <c r="Y6448" t="s">
        <v>26203</v>
      </c>
      <c r="Z6448" t="s">
        <v>32863</v>
      </c>
      <c r="AA6448">
        <v>0.54677531344244912</v>
      </c>
      <c r="AB6448" t="str">
        <f>HYPERLINK("Melting_Curves/meltCurve_Q9Y2D5_6_AKAP2.pdf", "Melting_Curves/meltCurve_Q9Y2D5_6_AKAP2.pdf")</f>
        <v>Melting_Curves/meltCurve_Q9Y2D5_6_AKAP2.pdf</v>
      </c>
    </row>
    <row r="6449" spans="1:28" x14ac:dyDescent="0.25">
      <c r="A6449" t="s">
        <v>6453</v>
      </c>
      <c r="B6449">
        <v>0.99193492352474899</v>
      </c>
      <c r="C6449">
        <v>0.98366171654665302</v>
      </c>
      <c r="D6449">
        <v>0.87638554597976803</v>
      </c>
      <c r="E6449">
        <v>0.65008775910487104</v>
      </c>
      <c r="F6449">
        <v>0.45584467032998199</v>
      </c>
      <c r="G6449">
        <v>0.33745935336981803</v>
      </c>
      <c r="H6449">
        <v>0.16569935591903601</v>
      </c>
      <c r="I6449">
        <v>0.16809884066618599</v>
      </c>
      <c r="J6449">
        <v>0.213340930607991</v>
      </c>
      <c r="K6449">
        <v>0.222110087344109</v>
      </c>
      <c r="L6449">
        <v>844.48071900234595</v>
      </c>
      <c r="M6449">
        <v>16.6223586262116</v>
      </c>
      <c r="N6449">
        <v>52.180033942005501</v>
      </c>
      <c r="O6449">
        <v>50.085689964207603</v>
      </c>
      <c r="P6449">
        <v>-6.8250367991249103E-2</v>
      </c>
      <c r="Q6449">
        <v>0.17746065586545001</v>
      </c>
      <c r="R6449">
        <v>0.99104645697438998</v>
      </c>
      <c r="S6449" t="s">
        <v>13119</v>
      </c>
      <c r="T6449" t="s">
        <v>13338</v>
      </c>
      <c r="U6449" t="s">
        <v>13338</v>
      </c>
      <c r="V6449" t="s">
        <v>13338</v>
      </c>
      <c r="W6449" t="s">
        <v>19724</v>
      </c>
      <c r="X6449">
        <v>4</v>
      </c>
      <c r="Y6449" t="s">
        <v>26204</v>
      </c>
      <c r="Z6449" t="s">
        <v>32864</v>
      </c>
      <c r="AA6449">
        <v>0.48970544979692449</v>
      </c>
      <c r="AB6449" t="str">
        <f>HYPERLINK("Melting_Curves/meltCurve_Q9Y2G2_4_CARD8.pdf", "Melting_Curves/meltCurve_Q9Y2G2_4_CARD8.pdf")</f>
        <v>Melting_Curves/meltCurve_Q9Y2G2_4_CARD8.pdf</v>
      </c>
    </row>
    <row r="6450" spans="1:28" x14ac:dyDescent="0.25">
      <c r="A6450" t="s">
        <v>6454</v>
      </c>
      <c r="B6450">
        <v>0.99193492352474899</v>
      </c>
      <c r="C6450">
        <v>0.95287000000852096</v>
      </c>
      <c r="D6450">
        <v>0.95459581032114105</v>
      </c>
      <c r="E6450">
        <v>0.83375389484797402</v>
      </c>
      <c r="F6450">
        <v>0.75047119078901503</v>
      </c>
      <c r="G6450">
        <v>0.48154628141040201</v>
      </c>
      <c r="H6450">
        <v>0.17326251171513801</v>
      </c>
      <c r="I6450">
        <v>0.15318150432291699</v>
      </c>
      <c r="J6450">
        <v>0.17918498733948601</v>
      </c>
      <c r="K6450">
        <v>0.14579735567461899</v>
      </c>
      <c r="L6450">
        <v>1014.20880057338</v>
      </c>
      <c r="M6450">
        <v>18.340348886507801</v>
      </c>
      <c r="N6450">
        <v>56.0318382577371</v>
      </c>
      <c r="O6450">
        <v>54.654460246450697</v>
      </c>
      <c r="P6450">
        <v>-7.4953248409435E-2</v>
      </c>
      <c r="Q6450">
        <v>0.106594660311637</v>
      </c>
      <c r="R6450">
        <v>0.98522215290983395</v>
      </c>
      <c r="S6450" t="s">
        <v>13120</v>
      </c>
      <c r="T6450" t="s">
        <v>13338</v>
      </c>
      <c r="U6450" t="s">
        <v>13338</v>
      </c>
      <c r="V6450" t="s">
        <v>13338</v>
      </c>
      <c r="W6450" t="s">
        <v>19725</v>
      </c>
      <c r="X6450">
        <v>6</v>
      </c>
      <c r="Y6450" t="s">
        <v>26205</v>
      </c>
      <c r="Z6450" t="s">
        <v>32865</v>
      </c>
      <c r="AA6450">
        <v>0.57552381552506149</v>
      </c>
      <c r="AB6450" t="str">
        <f>HYPERLINK("Melting_Curves/meltCurve_Q9Y2G3_ATP11B.pdf", "Melting_Curves/meltCurve_Q9Y2G3_ATP11B.pdf")</f>
        <v>Melting_Curves/meltCurve_Q9Y2G3_ATP11B.pdf</v>
      </c>
    </row>
    <row r="6451" spans="1:28" x14ac:dyDescent="0.25">
      <c r="A6451" t="s">
        <v>6455</v>
      </c>
      <c r="B6451">
        <v>0.99193492352474899</v>
      </c>
      <c r="C6451">
        <v>0.75882670708623201</v>
      </c>
      <c r="D6451">
        <v>0.83840840512882697</v>
      </c>
      <c r="E6451">
        <v>0.52022113238175605</v>
      </c>
      <c r="F6451">
        <v>0.23873445163135501</v>
      </c>
      <c r="G6451">
        <v>0.111245687399254</v>
      </c>
      <c r="H6451">
        <v>7.0650864509406094E-2</v>
      </c>
      <c r="I6451">
        <v>9.9303424578562699E-2</v>
      </c>
      <c r="J6451">
        <v>0.148369660421556</v>
      </c>
      <c r="K6451">
        <v>0.11797147662249099</v>
      </c>
      <c r="L6451">
        <v>836.98400035090594</v>
      </c>
      <c r="M6451">
        <v>17.1119818852831</v>
      </c>
      <c r="N6451">
        <v>49.4342894891954</v>
      </c>
      <c r="O6451">
        <v>48.258828278617798</v>
      </c>
      <c r="P6451">
        <v>-8.13230819436042E-2</v>
      </c>
      <c r="Q6451">
        <v>8.2673057712864803E-2</v>
      </c>
      <c r="R6451">
        <v>0.96250768008102905</v>
      </c>
      <c r="S6451" t="s">
        <v>13121</v>
      </c>
      <c r="T6451" t="s">
        <v>13338</v>
      </c>
      <c r="U6451" t="s">
        <v>13338</v>
      </c>
      <c r="V6451" t="s">
        <v>13338</v>
      </c>
      <c r="W6451" t="s">
        <v>19726</v>
      </c>
      <c r="X6451">
        <v>3</v>
      </c>
      <c r="Y6451" t="s">
        <v>26206</v>
      </c>
      <c r="Z6451" t="s">
        <v>32866</v>
      </c>
      <c r="AA6451">
        <v>0.37278679304658768</v>
      </c>
      <c r="AB6451" t="str">
        <f>HYPERLINK("Melting_Curves/meltCurve_Q9Y2G5_POFUT2.pdf", "Melting_Curves/meltCurve_Q9Y2G5_POFUT2.pdf")</f>
        <v>Melting_Curves/meltCurve_Q9Y2G5_POFUT2.pdf</v>
      </c>
    </row>
    <row r="6452" spans="1:28" x14ac:dyDescent="0.25">
      <c r="A6452" t="s">
        <v>6456</v>
      </c>
      <c r="B6452">
        <v>0.99193492352474899</v>
      </c>
      <c r="C6452">
        <v>0.67517298103565604</v>
      </c>
      <c r="D6452">
        <v>0.82532650855232004</v>
      </c>
      <c r="E6452">
        <v>0.60905400234396601</v>
      </c>
      <c r="F6452">
        <v>0.51750151871906802</v>
      </c>
      <c r="G6452">
        <v>0.18418873863406501</v>
      </c>
      <c r="H6452">
        <v>9.5806128615578204E-2</v>
      </c>
      <c r="I6452">
        <v>0.111837714272667</v>
      </c>
      <c r="J6452">
        <v>0.14397459283007299</v>
      </c>
      <c r="K6452">
        <v>0.18018330628309701</v>
      </c>
      <c r="L6452">
        <v>518.06186261605103</v>
      </c>
      <c r="M6452">
        <v>10.209462446562</v>
      </c>
      <c r="N6452">
        <v>51.174767127855198</v>
      </c>
      <c r="O6452">
        <v>48.912043517329302</v>
      </c>
      <c r="P6452">
        <v>-5.0053304785665297E-2</v>
      </c>
      <c r="Q6452">
        <v>4.1238477845461502E-2</v>
      </c>
      <c r="R6452">
        <v>0.912161730428516</v>
      </c>
      <c r="S6452" t="s">
        <v>13122</v>
      </c>
      <c r="T6452" t="s">
        <v>13338</v>
      </c>
      <c r="U6452" t="s">
        <v>13338</v>
      </c>
      <c r="V6452" t="s">
        <v>13338</v>
      </c>
      <c r="W6452" t="s">
        <v>19727</v>
      </c>
      <c r="X6452">
        <v>10</v>
      </c>
      <c r="Y6452" t="s">
        <v>26207</v>
      </c>
      <c r="Z6452" t="s">
        <v>32867</v>
      </c>
      <c r="AA6452">
        <v>0.42427332502111181</v>
      </c>
      <c r="AB6452" t="str">
        <f>HYPERLINK("Melting_Curves/meltCurve_Q9Y2H0_3_DLGAP4.pdf", "Melting_Curves/meltCurve_Q9Y2H0_3_DLGAP4.pdf")</f>
        <v>Melting_Curves/meltCurve_Q9Y2H0_3_DLGAP4.pdf</v>
      </c>
    </row>
    <row r="6453" spans="1:28" x14ac:dyDescent="0.25">
      <c r="A6453" t="s">
        <v>6457</v>
      </c>
      <c r="B6453">
        <v>0.99193492352474899</v>
      </c>
      <c r="C6453">
        <v>0.94825335195704796</v>
      </c>
      <c r="D6453">
        <v>0.72355921879691698</v>
      </c>
      <c r="E6453">
        <v>0.33840820696180002</v>
      </c>
      <c r="F6453">
        <v>0.17909935218853301</v>
      </c>
      <c r="G6453">
        <v>0.109711411305038</v>
      </c>
      <c r="H6453">
        <v>9.7820944732716894E-2</v>
      </c>
      <c r="I6453">
        <v>0.13678178351207901</v>
      </c>
      <c r="J6453">
        <v>9.2123287857339295E-2</v>
      </c>
      <c r="K6453">
        <v>0.139667157943239</v>
      </c>
      <c r="L6453">
        <v>1194.5779060926</v>
      </c>
      <c r="M6453">
        <v>25.1621882215236</v>
      </c>
      <c r="N6453">
        <v>47.964423136043301</v>
      </c>
      <c r="O6453">
        <v>47.178312900579897</v>
      </c>
      <c r="P6453">
        <v>-0.118244141416671</v>
      </c>
      <c r="Q6453">
        <v>0.11319557947768701</v>
      </c>
      <c r="R6453">
        <v>0.99796921072526901</v>
      </c>
      <c r="S6453" t="s">
        <v>13123</v>
      </c>
      <c r="T6453" t="s">
        <v>13338</v>
      </c>
      <c r="U6453" t="s">
        <v>13338</v>
      </c>
      <c r="V6453" t="s">
        <v>13338</v>
      </c>
      <c r="W6453" t="s">
        <v>19728</v>
      </c>
      <c r="X6453">
        <v>10</v>
      </c>
      <c r="Y6453" t="s">
        <v>26208</v>
      </c>
      <c r="Z6453" t="s">
        <v>32868</v>
      </c>
      <c r="AA6453">
        <v>0.34191471060317341</v>
      </c>
      <c r="AB6453" t="str">
        <f>HYPERLINK("Melting_Curves/meltCurve_Q9Y2H1_STK38L.pdf", "Melting_Curves/meltCurve_Q9Y2H1_STK38L.pdf")</f>
        <v>Melting_Curves/meltCurve_Q9Y2H1_STK38L.pdf</v>
      </c>
    </row>
    <row r="6454" spans="1:28" x14ac:dyDescent="0.25">
      <c r="A6454" t="s">
        <v>6458</v>
      </c>
      <c r="B6454">
        <v>0.99193492352474899</v>
      </c>
      <c r="C6454">
        <v>1.0933215202225699</v>
      </c>
      <c r="D6454">
        <v>0.98115366202948995</v>
      </c>
      <c r="E6454">
        <v>0.75575859601496798</v>
      </c>
      <c r="F6454">
        <v>0.93409470796460803</v>
      </c>
      <c r="G6454">
        <v>0.55648808574804598</v>
      </c>
      <c r="H6454">
        <v>0.14697411969341101</v>
      </c>
      <c r="I6454">
        <v>8.8970125340721101E-2</v>
      </c>
      <c r="J6454">
        <v>8.8026061825548702E-2</v>
      </c>
      <c r="K6454">
        <v>4.97409188508557E-2</v>
      </c>
      <c r="L6454">
        <v>1739.62538860725</v>
      </c>
      <c r="M6454">
        <v>30.541415805307398</v>
      </c>
      <c r="N6454">
        <v>57.175460863902103</v>
      </c>
      <c r="O6454">
        <v>56.717028462423897</v>
      </c>
      <c r="P6454">
        <v>-0.127290306012277</v>
      </c>
      <c r="Q6454">
        <v>5.4466377513281303E-2</v>
      </c>
      <c r="R6454">
        <v>0.96093524214053405</v>
      </c>
      <c r="S6454" t="s">
        <v>13124</v>
      </c>
      <c r="T6454" t="s">
        <v>13338</v>
      </c>
      <c r="U6454" t="s">
        <v>13338</v>
      </c>
      <c r="V6454" t="s">
        <v>13338</v>
      </c>
      <c r="W6454" t="s">
        <v>19729</v>
      </c>
      <c r="X6454">
        <v>2</v>
      </c>
      <c r="Y6454" t="s">
        <v>26209</v>
      </c>
      <c r="Z6454" t="s">
        <v>32869</v>
      </c>
      <c r="AA6454">
        <v>0.59509562331509802</v>
      </c>
      <c r="AB6454" t="str">
        <f>HYPERLINK("Melting_Curves/meltCurve_Q9Y2H2_3_INPP5F.pdf", "Melting_Curves/meltCurve_Q9Y2H2_3_INPP5F.pdf")</f>
        <v>Melting_Curves/meltCurve_Q9Y2H2_3_INPP5F.pdf</v>
      </c>
    </row>
    <row r="6455" spans="1:28" x14ac:dyDescent="0.25">
      <c r="A6455" t="s">
        <v>6459</v>
      </c>
      <c r="B6455">
        <v>0.99193492352474899</v>
      </c>
      <c r="C6455">
        <v>0.78366895263057201</v>
      </c>
      <c r="D6455">
        <v>0.46467167969299</v>
      </c>
      <c r="E6455">
        <v>0.31276624083438198</v>
      </c>
      <c r="F6455">
        <v>0.14543002654092299</v>
      </c>
      <c r="G6455">
        <v>0.13969309134062899</v>
      </c>
      <c r="H6455">
        <v>8.7190700478042504E-2</v>
      </c>
      <c r="I6455">
        <v>0.20068960553180901</v>
      </c>
      <c r="J6455">
        <v>8.2402531777919799E-2</v>
      </c>
      <c r="K6455">
        <v>0.13166703476653599</v>
      </c>
      <c r="L6455">
        <v>916.50888117833404</v>
      </c>
      <c r="M6455">
        <v>20.223606510785402</v>
      </c>
      <c r="N6455">
        <v>45.977172525559602</v>
      </c>
      <c r="O6455">
        <v>44.8826359220025</v>
      </c>
      <c r="P6455">
        <v>-9.8488055113089196E-2</v>
      </c>
      <c r="Q6455">
        <v>0.125721559968553</v>
      </c>
      <c r="R6455">
        <v>0.98205594895999604</v>
      </c>
      <c r="S6455" t="s">
        <v>13125</v>
      </c>
      <c r="T6455" t="s">
        <v>13338</v>
      </c>
      <c r="U6455" t="s">
        <v>13338</v>
      </c>
      <c r="V6455" t="s">
        <v>13338</v>
      </c>
      <c r="W6455" t="s">
        <v>19730</v>
      </c>
      <c r="X6455">
        <v>2</v>
      </c>
      <c r="Y6455" t="s">
        <v>26210</v>
      </c>
      <c r="Z6455" t="s">
        <v>32870</v>
      </c>
      <c r="AA6455">
        <v>0.29466975478400498</v>
      </c>
      <c r="AB6455" t="str">
        <f>HYPERLINK("Melting_Curves/meltCurve_Q9Y2H6_2_FNDC3A.pdf", "Melting_Curves/meltCurve_Q9Y2H6_2_FNDC3A.pdf")</f>
        <v>Melting_Curves/meltCurve_Q9Y2H6_2_FNDC3A.pdf</v>
      </c>
    </row>
    <row r="6456" spans="1:28" x14ac:dyDescent="0.25">
      <c r="A6456" t="s">
        <v>6460</v>
      </c>
      <c r="B6456">
        <v>0.99193492352474899</v>
      </c>
      <c r="C6456">
        <v>0.94583098678131805</v>
      </c>
      <c r="D6456">
        <v>0.78119813431788498</v>
      </c>
      <c r="E6456">
        <v>0.35090505288382201</v>
      </c>
      <c r="F6456">
        <v>0.196377947665617</v>
      </c>
      <c r="G6456">
        <v>0.11915958255469999</v>
      </c>
      <c r="H6456">
        <v>8.1748631312623402E-2</v>
      </c>
      <c r="I6456">
        <v>6.7042287255669603E-2</v>
      </c>
      <c r="J6456">
        <v>8.9181890999536106E-2</v>
      </c>
      <c r="K6456">
        <v>7.37328745888019E-2</v>
      </c>
      <c r="L6456">
        <v>1151.6906369389999</v>
      </c>
      <c r="M6456">
        <v>23.970736274102102</v>
      </c>
      <c r="N6456">
        <v>48.411059703038198</v>
      </c>
      <c r="O6456">
        <v>47.715055686692502</v>
      </c>
      <c r="P6456">
        <v>-0.11520257841988001</v>
      </c>
      <c r="Q6456">
        <v>8.2746534810937605E-2</v>
      </c>
      <c r="R6456">
        <v>0.99798862443430303</v>
      </c>
      <c r="S6456" t="s">
        <v>13126</v>
      </c>
      <c r="T6456" t="s">
        <v>13338</v>
      </c>
      <c r="U6456" t="s">
        <v>13338</v>
      </c>
      <c r="V6456" t="s">
        <v>13338</v>
      </c>
      <c r="W6456" t="s">
        <v>19731</v>
      </c>
      <c r="X6456">
        <v>10</v>
      </c>
      <c r="Y6456" t="s">
        <v>26211</v>
      </c>
      <c r="Z6456" t="s">
        <v>32871</v>
      </c>
      <c r="AA6456">
        <v>0.33760775053081998</v>
      </c>
      <c r="AB6456" t="str">
        <f>HYPERLINK("Melting_Curves/meltCurve_Q9Y2I1_NISCH.pdf", "Melting_Curves/meltCurve_Q9Y2I1_NISCH.pdf")</f>
        <v>Melting_Curves/meltCurve_Q9Y2I1_NISCH.pdf</v>
      </c>
    </row>
    <row r="6457" spans="1:28" x14ac:dyDescent="0.25">
      <c r="A6457" t="s">
        <v>6461</v>
      </c>
      <c r="B6457">
        <v>0.99193492352474899</v>
      </c>
      <c r="C6457">
        <v>1.01599052553828</v>
      </c>
      <c r="D6457">
        <v>0.79264714030531302</v>
      </c>
      <c r="E6457">
        <v>0.321537885357081</v>
      </c>
      <c r="F6457">
        <v>0.18280702207111699</v>
      </c>
      <c r="G6457">
        <v>0.11095860088682501</v>
      </c>
      <c r="H6457">
        <v>7.3960535314270104E-2</v>
      </c>
      <c r="I6457">
        <v>6.9480126517458898E-2</v>
      </c>
      <c r="J6457">
        <v>9.7876701352574702E-2</v>
      </c>
      <c r="K6457">
        <v>0.10678850433053701</v>
      </c>
      <c r="L6457">
        <v>1435.96723755423</v>
      </c>
      <c r="M6457">
        <v>29.979058881546798</v>
      </c>
      <c r="N6457">
        <v>48.242677097589201</v>
      </c>
      <c r="O6457">
        <v>47.687390638101903</v>
      </c>
      <c r="P6457">
        <v>-0.14205418298141001</v>
      </c>
      <c r="Q6457">
        <v>9.6149105515737202E-2</v>
      </c>
      <c r="R6457">
        <v>0.99619229549861499</v>
      </c>
      <c r="S6457" t="s">
        <v>13127</v>
      </c>
      <c r="T6457" t="s">
        <v>13338</v>
      </c>
      <c r="U6457" t="s">
        <v>13338</v>
      </c>
      <c r="V6457" t="s">
        <v>13338</v>
      </c>
      <c r="W6457" t="s">
        <v>19732</v>
      </c>
      <c r="X6457">
        <v>7</v>
      </c>
      <c r="Y6457" t="s">
        <v>26212</v>
      </c>
      <c r="Z6457" t="s">
        <v>32872</v>
      </c>
      <c r="AA6457">
        <v>0.33957662345674772</v>
      </c>
      <c r="AB6457" t="str">
        <f>HYPERLINK("Melting_Curves/meltCurve_Q9Y2I7_PIKFYVE.pdf", "Melting_Curves/meltCurve_Q9Y2I7_PIKFYVE.pdf")</f>
        <v>Melting_Curves/meltCurve_Q9Y2I7_PIKFYVE.pdf</v>
      </c>
    </row>
    <row r="6458" spans="1:28" x14ac:dyDescent="0.25">
      <c r="A6458" t="s">
        <v>6462</v>
      </c>
      <c r="B6458">
        <v>0.99193492352474899</v>
      </c>
      <c r="C6458">
        <v>1.0996210372731401</v>
      </c>
      <c r="D6458">
        <v>1.4832428947143901</v>
      </c>
      <c r="E6458">
        <v>1.08426501593231</v>
      </c>
      <c r="F6458">
        <v>0.78151740913045398</v>
      </c>
      <c r="G6458">
        <v>0.20216236576155999</v>
      </c>
      <c r="H6458">
        <v>0.116003117390127</v>
      </c>
      <c r="I6458">
        <v>0.171923868481167</v>
      </c>
      <c r="J6458">
        <v>0.21084407285821699</v>
      </c>
      <c r="K6458">
        <v>0.224724433910302</v>
      </c>
      <c r="L6458">
        <v>4353.1877656604702</v>
      </c>
      <c r="M6458">
        <v>80.812548324481497</v>
      </c>
      <c r="N6458">
        <v>54.172309206774102</v>
      </c>
      <c r="O6458">
        <v>53.834760466852799</v>
      </c>
      <c r="P6458">
        <v>-0.30676260157056101</v>
      </c>
      <c r="Q6458">
        <v>0.18257798089131999</v>
      </c>
      <c r="R6458">
        <v>0.888121360973401</v>
      </c>
      <c r="S6458" t="s">
        <v>13128</v>
      </c>
      <c r="T6458" t="s">
        <v>13338</v>
      </c>
      <c r="U6458" t="s">
        <v>13338</v>
      </c>
      <c r="V6458" t="s">
        <v>13338</v>
      </c>
      <c r="W6458" t="s">
        <v>19733</v>
      </c>
      <c r="X6458">
        <v>3</v>
      </c>
      <c r="Y6458" t="s">
        <v>26213</v>
      </c>
      <c r="Z6458" t="s">
        <v>32873</v>
      </c>
      <c r="AA6458">
        <v>0.56117828050928231</v>
      </c>
      <c r="AB6458" t="str">
        <f>HYPERLINK("Melting_Curves/meltCurve_Q9Y2I8_WDR37.pdf", "Melting_Curves/meltCurve_Q9Y2I8_WDR37.pdf")</f>
        <v>Melting_Curves/meltCurve_Q9Y2I8_WDR37.pdf</v>
      </c>
    </row>
    <row r="6459" spans="1:28" x14ac:dyDescent="0.25">
      <c r="A6459" t="s">
        <v>6463</v>
      </c>
      <c r="B6459">
        <v>0.99193492352474899</v>
      </c>
      <c r="C6459">
        <v>1.0389610761410299</v>
      </c>
      <c r="D6459">
        <v>0.94161310302909296</v>
      </c>
      <c r="E6459">
        <v>0.73031131351641598</v>
      </c>
      <c r="F6459">
        <v>0.55423499455355296</v>
      </c>
      <c r="G6459">
        <v>0.28394192077935199</v>
      </c>
      <c r="H6459">
        <v>0.204857708477798</v>
      </c>
      <c r="I6459">
        <v>0.30834306518675098</v>
      </c>
      <c r="J6459">
        <v>0.30811484882853402</v>
      </c>
      <c r="K6459">
        <v>0.38879582001981999</v>
      </c>
      <c r="L6459">
        <v>1223.3361585637899</v>
      </c>
      <c r="M6459">
        <v>23.9827490759174</v>
      </c>
      <c r="N6459">
        <v>52.948205201734197</v>
      </c>
      <c r="O6459">
        <v>50.658337013924204</v>
      </c>
      <c r="P6459">
        <v>-8.37653357642381E-2</v>
      </c>
      <c r="Q6459">
        <v>0.29226726190005903</v>
      </c>
      <c r="R6459">
        <v>0.965957705579087</v>
      </c>
      <c r="S6459" t="s">
        <v>13129</v>
      </c>
      <c r="T6459" t="s">
        <v>13338</v>
      </c>
      <c r="U6459" t="s">
        <v>13338</v>
      </c>
      <c r="V6459" t="s">
        <v>13338</v>
      </c>
      <c r="W6459" t="s">
        <v>19734</v>
      </c>
      <c r="X6459">
        <v>1</v>
      </c>
      <c r="Y6459" t="s">
        <v>26214</v>
      </c>
      <c r="Z6459" t="s">
        <v>32874</v>
      </c>
      <c r="AA6459">
        <v>0.55891858550545226</v>
      </c>
      <c r="AB6459" t="str">
        <f>HYPERLINK("Melting_Curves/meltCurve_Q9Y2K1_ZBTB1.pdf", "Melting_Curves/meltCurve_Q9Y2K1_ZBTB1.pdf")</f>
        <v>Melting_Curves/meltCurve_Q9Y2K1_ZBTB1.pdf</v>
      </c>
    </row>
    <row r="6460" spans="1:28" x14ac:dyDescent="0.25">
      <c r="A6460" t="s">
        <v>6464</v>
      </c>
      <c r="B6460">
        <v>0.99193492352474899</v>
      </c>
      <c r="C6460">
        <v>0.91464499246404296</v>
      </c>
      <c r="D6460">
        <v>0.76158501803039302</v>
      </c>
      <c r="E6460">
        <v>0.40295504550935002</v>
      </c>
      <c r="F6460">
        <v>0.13952917922807601</v>
      </c>
      <c r="G6460">
        <v>0.114486932212639</v>
      </c>
      <c r="H6460">
        <v>0</v>
      </c>
      <c r="I6460">
        <v>0.24500928120631901</v>
      </c>
      <c r="J6460">
        <v>0.114792384488021</v>
      </c>
      <c r="K6460">
        <v>0.27690606810218799</v>
      </c>
      <c r="L6460">
        <v>1252.8212528159199</v>
      </c>
      <c r="M6460">
        <v>26.269685160557401</v>
      </c>
      <c r="N6460">
        <v>48.300079109549401</v>
      </c>
      <c r="O6460">
        <v>47.416972858420401</v>
      </c>
      <c r="P6460">
        <v>-0.11897025505341</v>
      </c>
      <c r="Q6460">
        <v>0.141040806096319</v>
      </c>
      <c r="R6460">
        <v>0.95084163326359905</v>
      </c>
      <c r="S6460" t="s">
        <v>13130</v>
      </c>
      <c r="T6460" t="s">
        <v>13338</v>
      </c>
      <c r="U6460" t="s">
        <v>13338</v>
      </c>
      <c r="V6460" t="s">
        <v>13338</v>
      </c>
      <c r="W6460" t="s">
        <v>19735</v>
      </c>
      <c r="X6460">
        <v>1</v>
      </c>
      <c r="Y6460" t="s">
        <v>26215</v>
      </c>
      <c r="Z6460" t="s">
        <v>32875</v>
      </c>
      <c r="AA6460">
        <v>0.36807918416948998</v>
      </c>
      <c r="AB6460" t="str">
        <f>HYPERLINK("Melting_Curves/meltCurve_Q9Y2K6_USP20.pdf", "Melting_Curves/meltCurve_Q9Y2K6_USP20.pdf")</f>
        <v>Melting_Curves/meltCurve_Q9Y2K6_USP20.pdf</v>
      </c>
    </row>
    <row r="6461" spans="1:28" x14ac:dyDescent="0.25">
      <c r="A6461" t="s">
        <v>6465</v>
      </c>
      <c r="B6461">
        <v>0.99193492352474899</v>
      </c>
      <c r="C6461">
        <v>0.63707098985198896</v>
      </c>
      <c r="D6461">
        <v>0.77258478983552803</v>
      </c>
      <c r="E6461">
        <v>0.38952758180502101</v>
      </c>
      <c r="F6461">
        <v>0.14092403914414001</v>
      </c>
      <c r="G6461">
        <v>8.0941090187856904E-2</v>
      </c>
      <c r="H6461">
        <v>5.35459965755989E-2</v>
      </c>
      <c r="I6461">
        <v>6.6424268152791496E-2</v>
      </c>
      <c r="J6461">
        <v>9.3239179497058206E-2</v>
      </c>
      <c r="K6461">
        <v>8.2374729854730794E-2</v>
      </c>
      <c r="L6461">
        <v>683.13167027987504</v>
      </c>
      <c r="M6461">
        <v>14.389581302908899</v>
      </c>
      <c r="N6461">
        <v>47.738401195028402</v>
      </c>
      <c r="O6461">
        <v>46.585424663337101</v>
      </c>
      <c r="P6461">
        <v>-7.4272829050798794E-2</v>
      </c>
      <c r="Q6461">
        <v>3.8298816358059103E-2</v>
      </c>
      <c r="R6461">
        <v>0.93563427864028503</v>
      </c>
      <c r="S6461" t="s">
        <v>13131</v>
      </c>
      <c r="T6461" t="s">
        <v>13338</v>
      </c>
      <c r="U6461" t="s">
        <v>13338</v>
      </c>
      <c r="V6461" t="s">
        <v>13338</v>
      </c>
      <c r="W6461" t="s">
        <v>19736</v>
      </c>
      <c r="X6461">
        <v>15</v>
      </c>
      <c r="Y6461" t="s">
        <v>26216</v>
      </c>
      <c r="Z6461" t="s">
        <v>32876</v>
      </c>
      <c r="AA6461">
        <v>0.30551806311100221</v>
      </c>
      <c r="AB6461" t="str">
        <f>HYPERLINK("Melting_Curves/meltCurve_Q9Y2K7_KDM2A.pdf", "Melting_Curves/meltCurve_Q9Y2K7_KDM2A.pdf")</f>
        <v>Melting_Curves/meltCurve_Q9Y2K7_KDM2A.pdf</v>
      </c>
    </row>
    <row r="6462" spans="1:28" x14ac:dyDescent="0.25">
      <c r="A6462" t="s">
        <v>6466</v>
      </c>
      <c r="B6462">
        <v>0.99193492352474899</v>
      </c>
      <c r="C6462">
        <v>0.88070858258473805</v>
      </c>
      <c r="D6462">
        <v>0.59113678864979002</v>
      </c>
      <c r="E6462">
        <v>0.24687107585640899</v>
      </c>
      <c r="F6462">
        <v>0.143214762106736</v>
      </c>
      <c r="G6462">
        <v>0.101549572579436</v>
      </c>
      <c r="H6462">
        <v>5.7801243380614202E-2</v>
      </c>
      <c r="I6462">
        <v>6.0461712623494597E-2</v>
      </c>
      <c r="J6462">
        <v>6.9002673009092699E-2</v>
      </c>
      <c r="K6462">
        <v>6.9891649287428498E-2</v>
      </c>
      <c r="L6462">
        <v>1041.6285469797599</v>
      </c>
      <c r="M6462">
        <v>22.3889162519596</v>
      </c>
      <c r="N6462">
        <v>46.836843809050102</v>
      </c>
      <c r="O6462">
        <v>46.157915454725398</v>
      </c>
      <c r="P6462">
        <v>-0.112850671676027</v>
      </c>
      <c r="Q6462">
        <v>6.9389206922732996E-2</v>
      </c>
      <c r="R6462">
        <v>0.99880458200653099</v>
      </c>
      <c r="S6462" t="s">
        <v>13132</v>
      </c>
      <c r="T6462" t="s">
        <v>13338</v>
      </c>
      <c r="U6462" t="s">
        <v>13338</v>
      </c>
      <c r="V6462" t="s">
        <v>13338</v>
      </c>
      <c r="W6462" t="s">
        <v>19737</v>
      </c>
      <c r="X6462">
        <v>27</v>
      </c>
      <c r="Y6462" t="s">
        <v>26217</v>
      </c>
      <c r="Z6462" t="s">
        <v>32877</v>
      </c>
      <c r="AA6462">
        <v>0.28256854373028278</v>
      </c>
      <c r="AB6462" t="str">
        <f>HYPERLINK("Melting_Curves/meltCurve_Q9Y2L1_DIS3.pdf", "Melting_Curves/meltCurve_Q9Y2L1_DIS3.pdf")</f>
        <v>Melting_Curves/meltCurve_Q9Y2L1_DIS3.pdf</v>
      </c>
    </row>
    <row r="6463" spans="1:28" x14ac:dyDescent="0.25">
      <c r="A6463" t="s">
        <v>6467</v>
      </c>
      <c r="B6463">
        <v>0.99193492352474899</v>
      </c>
      <c r="C6463">
        <v>0.88358298125524304</v>
      </c>
      <c r="D6463">
        <v>0.51209869519265905</v>
      </c>
      <c r="E6463">
        <v>0.238181462997412</v>
      </c>
      <c r="F6463">
        <v>0.13736725153451099</v>
      </c>
      <c r="G6463">
        <v>0.123276946979043</v>
      </c>
      <c r="H6463">
        <v>0.11901759760875499</v>
      </c>
      <c r="I6463">
        <v>0.170636905049104</v>
      </c>
      <c r="J6463">
        <v>0.14965271493656801</v>
      </c>
      <c r="K6463">
        <v>0.1587484084495</v>
      </c>
      <c r="L6463">
        <v>1309.9446125797799</v>
      </c>
      <c r="M6463">
        <v>28.721761330720099</v>
      </c>
      <c r="N6463">
        <v>46.146837619225401</v>
      </c>
      <c r="O6463">
        <v>45.388712614677701</v>
      </c>
      <c r="P6463">
        <v>-0.135665601342911</v>
      </c>
      <c r="Q6463">
        <v>0.14244267145579201</v>
      </c>
      <c r="R6463">
        <v>0.99700111758099097</v>
      </c>
      <c r="S6463" t="s">
        <v>13133</v>
      </c>
      <c r="T6463" t="s">
        <v>13338</v>
      </c>
      <c r="U6463" t="s">
        <v>13338</v>
      </c>
      <c r="V6463" t="s">
        <v>13338</v>
      </c>
      <c r="W6463" t="s">
        <v>19738</v>
      </c>
      <c r="X6463">
        <v>1</v>
      </c>
      <c r="Y6463" t="s">
        <v>26218</v>
      </c>
      <c r="Z6463" t="s">
        <v>32878</v>
      </c>
      <c r="AA6463">
        <v>0.30861798621075742</v>
      </c>
      <c r="AB6463" t="str">
        <f>HYPERLINK("Melting_Curves/meltCurve_Q9Y2L9_2_LRCH1.pdf", "Melting_Curves/meltCurve_Q9Y2L9_2_LRCH1.pdf")</f>
        <v>Melting_Curves/meltCurve_Q9Y2L9_2_LRCH1.pdf</v>
      </c>
    </row>
    <row r="6464" spans="1:28" x14ac:dyDescent="0.25">
      <c r="A6464" t="s">
        <v>6468</v>
      </c>
      <c r="B6464">
        <v>0.99193492352474899</v>
      </c>
      <c r="C6464">
        <v>0.46185590288741701</v>
      </c>
      <c r="D6464">
        <v>0.78179231791206905</v>
      </c>
      <c r="E6464">
        <v>0.263445247466638</v>
      </c>
      <c r="F6464">
        <v>0.12970990181257899</v>
      </c>
      <c r="G6464">
        <v>7.1270059631159705E-2</v>
      </c>
      <c r="H6464">
        <v>4.6995857290671197E-2</v>
      </c>
      <c r="I6464">
        <v>6.2236180521477398E-2</v>
      </c>
      <c r="J6464">
        <v>6.4093706411130894E-2</v>
      </c>
      <c r="K6464">
        <v>7.1406248180896706E-2</v>
      </c>
      <c r="L6464">
        <v>581.97407895328604</v>
      </c>
      <c r="M6464">
        <v>12.5710075728927</v>
      </c>
      <c r="N6464">
        <v>46.450752884823402</v>
      </c>
      <c r="O6464">
        <v>45.170275228940902</v>
      </c>
      <c r="P6464">
        <v>-6.8152755894276301E-2</v>
      </c>
      <c r="Q6464">
        <v>2.0647981609460599E-2</v>
      </c>
      <c r="R6464">
        <v>0.84741335993567901</v>
      </c>
      <c r="S6464" t="s">
        <v>13134</v>
      </c>
      <c r="T6464" t="s">
        <v>13338</v>
      </c>
      <c r="U6464" t="s">
        <v>13338</v>
      </c>
      <c r="V6464" t="s">
        <v>13338</v>
      </c>
      <c r="W6464" t="s">
        <v>19739</v>
      </c>
      <c r="X6464">
        <v>2</v>
      </c>
      <c r="Y6464" t="s">
        <v>26219</v>
      </c>
      <c r="Z6464" t="s">
        <v>32879</v>
      </c>
      <c r="AA6464">
        <v>0.2659674019867761</v>
      </c>
      <c r="AB6464" t="str">
        <f>HYPERLINK("Melting_Curves/meltCurve_Q9Y2P8_RCL1.pdf", "Melting_Curves/meltCurve_Q9Y2P8_RCL1.pdf")</f>
        <v>Melting_Curves/meltCurve_Q9Y2P8_RCL1.pdf</v>
      </c>
    </row>
    <row r="6465" spans="1:28" x14ac:dyDescent="0.25">
      <c r="A6465" t="s">
        <v>6469</v>
      </c>
      <c r="B6465">
        <v>0.99193492352474899</v>
      </c>
      <c r="C6465">
        <v>0.93311496359485502</v>
      </c>
      <c r="D6465">
        <v>0.92945803738046895</v>
      </c>
      <c r="E6465">
        <v>0.74505792163075801</v>
      </c>
      <c r="F6465">
        <v>0.65900094471817705</v>
      </c>
      <c r="G6465">
        <v>0.49691956962784101</v>
      </c>
      <c r="H6465">
        <v>0.26494068315250802</v>
      </c>
      <c r="I6465">
        <v>0.15463223853702501</v>
      </c>
      <c r="J6465">
        <v>0.198271197781825</v>
      </c>
      <c r="K6465">
        <v>0.19960310722864499</v>
      </c>
      <c r="L6465">
        <v>650.09824126425201</v>
      </c>
      <c r="M6465">
        <v>11.873230597728799</v>
      </c>
      <c r="N6465">
        <v>55.676262357905202</v>
      </c>
      <c r="O6465">
        <v>53.269384646132004</v>
      </c>
      <c r="P6465">
        <v>-5.0757310130022E-2</v>
      </c>
      <c r="Q6465">
        <v>8.9335748027523407E-2</v>
      </c>
      <c r="R6465">
        <v>0.98355954211900798</v>
      </c>
      <c r="S6465" t="s">
        <v>13135</v>
      </c>
      <c r="T6465" t="s">
        <v>13338</v>
      </c>
      <c r="U6465" t="s">
        <v>13338</v>
      </c>
      <c r="V6465" t="s">
        <v>13338</v>
      </c>
      <c r="W6465" t="s">
        <v>19740</v>
      </c>
      <c r="X6465">
        <v>7</v>
      </c>
      <c r="Y6465" t="s">
        <v>26220</v>
      </c>
      <c r="Z6465" t="s">
        <v>32880</v>
      </c>
      <c r="AA6465">
        <v>0.55933892942240893</v>
      </c>
      <c r="AB6465" t="str">
        <f>HYPERLINK("Melting_Curves/meltCurve_Q9Y2Q0_3_ATP8A1.pdf", "Melting_Curves/meltCurve_Q9Y2Q0_3_ATP8A1.pdf")</f>
        <v>Melting_Curves/meltCurve_Q9Y2Q0_3_ATP8A1.pdf</v>
      </c>
    </row>
    <row r="6466" spans="1:28" x14ac:dyDescent="0.25">
      <c r="A6466" t="s">
        <v>6470</v>
      </c>
      <c r="B6466">
        <v>0.99193492352474899</v>
      </c>
      <c r="C6466">
        <v>0.83841113713551596</v>
      </c>
      <c r="D6466">
        <v>0.87348406378465904</v>
      </c>
      <c r="E6466">
        <v>0.69930722101690401</v>
      </c>
      <c r="F6466">
        <v>0.17569914747881399</v>
      </c>
      <c r="G6466">
        <v>6.8478913013089504E-2</v>
      </c>
      <c r="H6466">
        <v>3.5565233403595402E-2</v>
      </c>
      <c r="I6466">
        <v>3.9722693682193402E-2</v>
      </c>
      <c r="J6466">
        <v>4.0360774783074399E-2</v>
      </c>
      <c r="K6466">
        <v>4.06162818151364E-2</v>
      </c>
      <c r="L6466">
        <v>1487.2787690606699</v>
      </c>
      <c r="M6466">
        <v>29.403911385801099</v>
      </c>
      <c r="N6466">
        <v>50.692907133539002</v>
      </c>
      <c r="O6466">
        <v>50.348761043512198</v>
      </c>
      <c r="P6466">
        <v>-0.141413682590569</v>
      </c>
      <c r="Q6466">
        <v>3.14277066587169E-2</v>
      </c>
      <c r="R6466">
        <v>0.97748002263372302</v>
      </c>
      <c r="S6466" t="s">
        <v>13136</v>
      </c>
      <c r="T6466" t="s">
        <v>13338</v>
      </c>
      <c r="U6466" t="s">
        <v>13338</v>
      </c>
      <c r="V6466" t="s">
        <v>13338</v>
      </c>
      <c r="W6466" t="s">
        <v>19741</v>
      </c>
      <c r="X6466">
        <v>9</v>
      </c>
      <c r="Y6466" t="s">
        <v>26221</v>
      </c>
      <c r="Z6466" t="s">
        <v>32881</v>
      </c>
      <c r="AA6466">
        <v>0.37933967232342553</v>
      </c>
      <c r="AB6466" t="str">
        <f>HYPERLINK("Melting_Curves/meltCurve_Q9Y2Q3_GSTK1.pdf", "Melting_Curves/meltCurve_Q9Y2Q3_GSTK1.pdf")</f>
        <v>Melting_Curves/meltCurve_Q9Y2Q3_GSTK1.pdf</v>
      </c>
    </row>
    <row r="6467" spans="1:28" x14ac:dyDescent="0.25">
      <c r="A6467" t="s">
        <v>6471</v>
      </c>
      <c r="B6467">
        <v>0.99193492352474899</v>
      </c>
      <c r="C6467">
        <v>1.023441076266</v>
      </c>
      <c r="D6467">
        <v>1.13003795623451</v>
      </c>
      <c r="E6467">
        <v>0.94225686167505296</v>
      </c>
      <c r="F6467">
        <v>0.89371427807625403</v>
      </c>
      <c r="G6467">
        <v>0.69317041068202001</v>
      </c>
      <c r="H6467">
        <v>0.62797144998858301</v>
      </c>
      <c r="I6467">
        <v>0.64586189085342205</v>
      </c>
      <c r="J6467">
        <v>0.64000414135765904</v>
      </c>
      <c r="K6467">
        <v>0.34944544750149298</v>
      </c>
      <c r="L6467">
        <v>648.47984524738501</v>
      </c>
      <c r="M6467">
        <v>10.716506415003799</v>
      </c>
      <c r="N6467">
        <v>67.903019512998299</v>
      </c>
      <c r="O6467">
        <v>58.519312949085901</v>
      </c>
      <c r="P6467">
        <v>-3.0032253250075799E-2</v>
      </c>
      <c r="Q6467">
        <v>0.34425963305084201</v>
      </c>
      <c r="R6467">
        <v>0.86851873643467103</v>
      </c>
      <c r="S6467" t="s">
        <v>13137</v>
      </c>
      <c r="T6467" t="s">
        <v>13338</v>
      </c>
      <c r="U6467" t="s">
        <v>13338</v>
      </c>
      <c r="V6467" t="s">
        <v>13338</v>
      </c>
      <c r="W6467" t="s">
        <v>19742</v>
      </c>
      <c r="X6467">
        <v>4</v>
      </c>
      <c r="Y6467" t="s">
        <v>26222</v>
      </c>
      <c r="Z6467" t="s">
        <v>32882</v>
      </c>
      <c r="AA6467">
        <v>0.7893372148988772</v>
      </c>
      <c r="AB6467" t="str">
        <f>HYPERLINK("Melting_Curves/meltCurve_Q9Y2Q5_LAMTOR2.pdf", "Melting_Curves/meltCurve_Q9Y2Q5_LAMTOR2.pdf")</f>
        <v>Melting_Curves/meltCurve_Q9Y2Q5_LAMTOR2.pdf</v>
      </c>
    </row>
    <row r="6468" spans="1:28" x14ac:dyDescent="0.25">
      <c r="A6468" t="s">
        <v>6472</v>
      </c>
      <c r="B6468">
        <v>0.99193492352474899</v>
      </c>
      <c r="C6468">
        <v>0.42761856819504501</v>
      </c>
      <c r="D6468">
        <v>0.60949916746242705</v>
      </c>
      <c r="E6468">
        <v>0.52196678509668004</v>
      </c>
      <c r="F6468">
        <v>9.91905221738376E-2</v>
      </c>
      <c r="G6468">
        <v>6.1393898873373598E-2</v>
      </c>
      <c r="H6468">
        <v>2.73905179477224E-2</v>
      </c>
      <c r="I6468">
        <v>5.3428797255889997E-2</v>
      </c>
      <c r="J6468">
        <v>6.69066225023075E-2</v>
      </c>
      <c r="K6468">
        <v>3.6325862832396701E-2</v>
      </c>
      <c r="L6468">
        <v>486.80348675418497</v>
      </c>
      <c r="M6468">
        <v>10.500725874758899</v>
      </c>
      <c r="N6468">
        <v>46.359035468447303</v>
      </c>
      <c r="O6468">
        <v>44.7724137096898</v>
      </c>
      <c r="P6468">
        <v>-5.8657587603727801E-2</v>
      </c>
      <c r="Q6468">
        <v>0</v>
      </c>
      <c r="R6468">
        <v>0.84060442205266495</v>
      </c>
      <c r="S6468" t="s">
        <v>13138</v>
      </c>
      <c r="T6468" t="s">
        <v>13338</v>
      </c>
      <c r="U6468" t="s">
        <v>13338</v>
      </c>
      <c r="V6468" t="s">
        <v>13338</v>
      </c>
      <c r="W6468" t="s">
        <v>19743</v>
      </c>
      <c r="X6468">
        <v>3</v>
      </c>
      <c r="Y6468" t="s">
        <v>26223</v>
      </c>
      <c r="Z6468" t="s">
        <v>32883</v>
      </c>
      <c r="AA6468">
        <v>0.26789482358718242</v>
      </c>
      <c r="AB6468" t="str">
        <f>HYPERLINK("Melting_Curves/meltCurve_Q9Y2Q9_MRPS28.pdf", "Melting_Curves/meltCurve_Q9Y2Q9_MRPS28.pdf")</f>
        <v>Melting_Curves/meltCurve_Q9Y2Q9_MRPS28.pdf</v>
      </c>
    </row>
    <row r="6469" spans="1:28" x14ac:dyDescent="0.25">
      <c r="A6469" t="s">
        <v>6473</v>
      </c>
      <c r="B6469">
        <v>0.99193492352474899</v>
      </c>
      <c r="C6469">
        <v>1.04675631018465</v>
      </c>
      <c r="D6469">
        <v>0.98568229093411797</v>
      </c>
      <c r="E6469">
        <v>0.91371471835476203</v>
      </c>
      <c r="F6469">
        <v>0.76133876043149795</v>
      </c>
      <c r="G6469">
        <v>0.70239246590161597</v>
      </c>
      <c r="H6469">
        <v>0.59904906417428305</v>
      </c>
      <c r="I6469">
        <v>0.74632488966150701</v>
      </c>
      <c r="J6469">
        <v>0.79461858871106805</v>
      </c>
      <c r="K6469">
        <v>1.22255591973391</v>
      </c>
      <c r="L6469">
        <v>12411.7430599703</v>
      </c>
      <c r="M6469">
        <v>250</v>
      </c>
      <c r="O6469">
        <v>49.643775661257699</v>
      </c>
      <c r="P6469">
        <v>-0.24627958509030701</v>
      </c>
      <c r="Q6469">
        <v>0.80437994735642104</v>
      </c>
      <c r="R6469">
        <v>0.26400393812627898</v>
      </c>
      <c r="S6469" t="s">
        <v>13139</v>
      </c>
      <c r="T6469" t="s">
        <v>13338</v>
      </c>
      <c r="U6469" t="s">
        <v>13338</v>
      </c>
      <c r="V6469" t="s">
        <v>13338</v>
      </c>
      <c r="W6469" t="s">
        <v>19744</v>
      </c>
      <c r="X6469">
        <v>4</v>
      </c>
      <c r="Y6469" t="s">
        <v>26224</v>
      </c>
      <c r="Z6469" t="s">
        <v>32884</v>
      </c>
      <c r="AA6469">
        <v>0.86730169891302566</v>
      </c>
      <c r="AB6469" t="str">
        <f>HYPERLINK("Melting_Curves/meltCurve_Q9Y2R0_COA3.pdf", "Melting_Curves/meltCurve_Q9Y2R0_COA3.pdf")</f>
        <v>Melting_Curves/meltCurve_Q9Y2R0_COA3.pdf</v>
      </c>
    </row>
    <row r="6470" spans="1:28" x14ac:dyDescent="0.25">
      <c r="A6470" t="s">
        <v>6474</v>
      </c>
      <c r="B6470">
        <v>0.99193492352474899</v>
      </c>
      <c r="C6470">
        <v>0.14143173400598399</v>
      </c>
      <c r="D6470">
        <v>0.55199014225877396</v>
      </c>
      <c r="E6470">
        <v>0.10355865436668001</v>
      </c>
      <c r="F6470">
        <v>7.4105854427263002E-2</v>
      </c>
      <c r="G6470">
        <v>3.4710382268456401E-2</v>
      </c>
      <c r="H6470">
        <v>2.2370256411742E-2</v>
      </c>
      <c r="I6470">
        <v>3.0764376508905501E-2</v>
      </c>
      <c r="J6470">
        <v>4.42391923650143E-2</v>
      </c>
      <c r="K6470">
        <v>2.3209026507875E-2</v>
      </c>
      <c r="L6470">
        <v>697.25808748197801</v>
      </c>
      <c r="M6470">
        <v>16.304915311982199</v>
      </c>
      <c r="N6470">
        <v>42.964599536679899</v>
      </c>
      <c r="O6470">
        <v>42.135931806226999</v>
      </c>
      <c r="P6470">
        <v>-9.3195677412800396E-2</v>
      </c>
      <c r="Q6470">
        <v>3.67074695982786E-2</v>
      </c>
      <c r="R6470">
        <v>0.71096113778721004</v>
      </c>
      <c r="S6470" t="s">
        <v>13140</v>
      </c>
      <c r="T6470" t="s">
        <v>13338</v>
      </c>
      <c r="U6470" t="s">
        <v>13338</v>
      </c>
      <c r="V6470" t="s">
        <v>13338</v>
      </c>
      <c r="W6470" t="s">
        <v>19745</v>
      </c>
      <c r="X6470">
        <v>5</v>
      </c>
      <c r="Y6470" t="s">
        <v>26225</v>
      </c>
      <c r="Z6470" t="s">
        <v>32885</v>
      </c>
      <c r="AA6470">
        <v>0.16145595363575371</v>
      </c>
      <c r="AB6470" t="str">
        <f>HYPERLINK("Melting_Curves/meltCurve_Q9Y2R4_DDX52.pdf", "Melting_Curves/meltCurve_Q9Y2R4_DDX52.pdf")</f>
        <v>Melting_Curves/meltCurve_Q9Y2R4_DDX52.pdf</v>
      </c>
    </row>
    <row r="6471" spans="1:28" x14ac:dyDescent="0.25">
      <c r="A6471" t="s">
        <v>6475</v>
      </c>
      <c r="B6471">
        <v>0.99193492352474899</v>
      </c>
      <c r="C6471">
        <v>0.76878909095710901</v>
      </c>
      <c r="D6471">
        <v>0.82765632435111403</v>
      </c>
      <c r="E6471">
        <v>0.45607513986082499</v>
      </c>
      <c r="F6471">
        <v>0.25028415678765797</v>
      </c>
      <c r="G6471">
        <v>0.19353237135831899</v>
      </c>
      <c r="H6471">
        <v>0.18774302671696999</v>
      </c>
      <c r="I6471">
        <v>0.26559213395801801</v>
      </c>
      <c r="J6471">
        <v>0.43284291376150502</v>
      </c>
      <c r="K6471">
        <v>0.614601177301076</v>
      </c>
      <c r="L6471">
        <v>1199.3362559766799</v>
      </c>
      <c r="M6471">
        <v>25.573713822371801</v>
      </c>
      <c r="N6471">
        <v>48.86002507773</v>
      </c>
      <c r="O6471">
        <v>46.613273819917801</v>
      </c>
      <c r="P6471">
        <v>-9.3129068374457794E-2</v>
      </c>
      <c r="Q6471">
        <v>0.32102174124501798</v>
      </c>
      <c r="R6471">
        <v>0.75197172876626694</v>
      </c>
      <c r="S6471" t="s">
        <v>13141</v>
      </c>
      <c r="T6471" t="s">
        <v>13338</v>
      </c>
      <c r="U6471" t="s">
        <v>13338</v>
      </c>
      <c r="V6471" t="s">
        <v>13338</v>
      </c>
      <c r="W6471" t="s">
        <v>19746</v>
      </c>
      <c r="X6471">
        <v>3</v>
      </c>
      <c r="Y6471" t="s">
        <v>26226</v>
      </c>
      <c r="Z6471" t="s">
        <v>32886</v>
      </c>
      <c r="AA6471">
        <v>0.48290167514349169</v>
      </c>
      <c r="AB6471" t="str">
        <f>HYPERLINK("Melting_Curves/meltCurve_Q9Y2S0_POLR1D.pdf", "Melting_Curves/meltCurve_Q9Y2S0_POLR1D.pdf")</f>
        <v>Melting_Curves/meltCurve_Q9Y2S0_POLR1D.pdf</v>
      </c>
    </row>
    <row r="6472" spans="1:28" x14ac:dyDescent="0.25">
      <c r="A6472" t="s">
        <v>6476</v>
      </c>
      <c r="B6472">
        <v>0.99193492352474899</v>
      </c>
      <c r="C6472">
        <v>0.92259266627312897</v>
      </c>
      <c r="D6472">
        <v>1.0127156045872401</v>
      </c>
      <c r="E6472">
        <v>0.80833561578478197</v>
      </c>
      <c r="F6472">
        <v>0.62042639152656198</v>
      </c>
      <c r="G6472">
        <v>0.20138973483832601</v>
      </c>
      <c r="H6472">
        <v>0.12681396880924001</v>
      </c>
      <c r="I6472">
        <v>0.142829702664071</v>
      </c>
      <c r="J6472">
        <v>0.153855652886002</v>
      </c>
      <c r="K6472">
        <v>0.18632237007993999</v>
      </c>
      <c r="L6472">
        <v>1416.4540778471501</v>
      </c>
      <c r="M6472">
        <v>26.699715256023399</v>
      </c>
      <c r="N6472">
        <v>53.688621357150097</v>
      </c>
      <c r="O6472">
        <v>52.756359240639902</v>
      </c>
      <c r="P6472">
        <v>-0.109340108992334</v>
      </c>
      <c r="Q6472">
        <v>0.135822043564678</v>
      </c>
      <c r="R6472">
        <v>0.98196674619063196</v>
      </c>
      <c r="S6472" t="s">
        <v>13142</v>
      </c>
      <c r="T6472" t="s">
        <v>13338</v>
      </c>
      <c r="U6472" t="s">
        <v>13338</v>
      </c>
      <c r="V6472" t="s">
        <v>13338</v>
      </c>
      <c r="W6472" t="s">
        <v>19747</v>
      </c>
      <c r="X6472">
        <v>8</v>
      </c>
      <c r="Y6472" t="s">
        <v>26227</v>
      </c>
      <c r="Z6472" t="s">
        <v>32887</v>
      </c>
      <c r="AA6472">
        <v>0.51880383771088689</v>
      </c>
      <c r="AB6472" t="str">
        <f>HYPERLINK("Melting_Curves/meltCurve_Q9Y2S2_2_CRYL1.pdf", "Melting_Curves/meltCurve_Q9Y2S2_2_CRYL1.pdf")</f>
        <v>Melting_Curves/meltCurve_Q9Y2S2_2_CRYL1.pdf</v>
      </c>
    </row>
    <row r="6473" spans="1:28" x14ac:dyDescent="0.25">
      <c r="A6473" t="s">
        <v>6477</v>
      </c>
      <c r="B6473">
        <v>0.99193492352474899</v>
      </c>
      <c r="C6473">
        <v>0.65652641602978201</v>
      </c>
      <c r="D6473">
        <v>0.875731518725817</v>
      </c>
      <c r="E6473">
        <v>0.73149948392199204</v>
      </c>
      <c r="F6473">
        <v>0.73097167017781695</v>
      </c>
      <c r="G6473">
        <v>0.51962166003132604</v>
      </c>
      <c r="H6473">
        <v>0.522755062006662</v>
      </c>
      <c r="I6473">
        <v>0.66073035548438197</v>
      </c>
      <c r="J6473">
        <v>0.61254092236882396</v>
      </c>
      <c r="K6473">
        <v>1.26037863613996</v>
      </c>
      <c r="L6473">
        <v>10139.195100790501</v>
      </c>
      <c r="M6473">
        <v>250</v>
      </c>
      <c r="O6473">
        <v>40.554185050529597</v>
      </c>
      <c r="P6473">
        <v>-0.41598056868984401</v>
      </c>
      <c r="Q6473">
        <v>0.73008395303712403</v>
      </c>
      <c r="R6473">
        <v>0.12979011151952699</v>
      </c>
      <c r="S6473" t="s">
        <v>13143</v>
      </c>
      <c r="T6473" t="s">
        <v>13338</v>
      </c>
      <c r="U6473" t="s">
        <v>13338</v>
      </c>
      <c r="V6473" t="s">
        <v>13338</v>
      </c>
      <c r="W6473" t="s">
        <v>19748</v>
      </c>
      <c r="X6473">
        <v>5</v>
      </c>
      <c r="Y6473" t="s">
        <v>26228</v>
      </c>
      <c r="Z6473" t="s">
        <v>32888</v>
      </c>
      <c r="AA6473">
        <v>0.73515537670966313</v>
      </c>
      <c r="AB6473" t="str">
        <f>HYPERLINK("Melting_Curves/meltCurve_Q9Y2S6_TMA7.pdf", "Melting_Curves/meltCurve_Q9Y2S6_TMA7.pdf")</f>
        <v>Melting_Curves/meltCurve_Q9Y2S6_TMA7.pdf</v>
      </c>
    </row>
    <row r="6474" spans="1:28" x14ac:dyDescent="0.25">
      <c r="A6474" t="s">
        <v>6478</v>
      </c>
      <c r="B6474">
        <v>0.99193492352474899</v>
      </c>
      <c r="C6474">
        <v>0.82919796332967599</v>
      </c>
      <c r="D6474">
        <v>0.89266090712370805</v>
      </c>
      <c r="E6474">
        <v>0.61304343077648404</v>
      </c>
      <c r="F6474">
        <v>0.41030451528793899</v>
      </c>
      <c r="G6474">
        <v>0.15129277575983999</v>
      </c>
      <c r="H6474">
        <v>8.6563178852726602E-2</v>
      </c>
      <c r="I6474">
        <v>8.1602402808284097E-2</v>
      </c>
      <c r="J6474">
        <v>8.4909671926939406E-2</v>
      </c>
      <c r="K6474">
        <v>7.1802741062823597E-2</v>
      </c>
      <c r="L6474">
        <v>781.48457243832502</v>
      </c>
      <c r="M6474">
        <v>15.337479494225599</v>
      </c>
      <c r="N6474">
        <v>51.225017154078301</v>
      </c>
      <c r="O6474">
        <v>50.109979036503297</v>
      </c>
      <c r="P6474">
        <v>-7.3529332901232203E-2</v>
      </c>
      <c r="Q6474">
        <v>3.9160829281787303E-2</v>
      </c>
      <c r="R6474">
        <v>0.98245675953533196</v>
      </c>
      <c r="S6474" t="s">
        <v>13144</v>
      </c>
      <c r="T6474" t="s">
        <v>13338</v>
      </c>
      <c r="U6474" t="s">
        <v>13338</v>
      </c>
      <c r="V6474" t="s">
        <v>13338</v>
      </c>
      <c r="W6474" t="s">
        <v>19749</v>
      </c>
      <c r="X6474">
        <v>18</v>
      </c>
      <c r="Y6474" t="s">
        <v>26229</v>
      </c>
      <c r="Z6474" t="s">
        <v>32889</v>
      </c>
      <c r="AA6474">
        <v>0.41137320586745452</v>
      </c>
      <c r="AB6474" t="str">
        <f>HYPERLINK("Melting_Curves/meltCurve_Q9Y2S7_POLDIP2.pdf", "Melting_Curves/meltCurve_Q9Y2S7_POLDIP2.pdf")</f>
        <v>Melting_Curves/meltCurve_Q9Y2S7_POLDIP2.pdf</v>
      </c>
    </row>
    <row r="6475" spans="1:28" x14ac:dyDescent="0.25">
      <c r="A6475" t="s">
        <v>6479</v>
      </c>
      <c r="B6475">
        <v>0.99193492352474899</v>
      </c>
      <c r="C6475">
        <v>0.88792201325296105</v>
      </c>
      <c r="D6475">
        <v>0.958236547218702</v>
      </c>
      <c r="E6475">
        <v>0.33906323894193002</v>
      </c>
      <c r="F6475">
        <v>0.106257411674011</v>
      </c>
      <c r="G6475">
        <v>5.2798438762951698E-2</v>
      </c>
      <c r="H6475">
        <v>3.7807361006164102E-2</v>
      </c>
      <c r="I6475">
        <v>4.21914302880637E-2</v>
      </c>
      <c r="J6475">
        <v>7.1777127601890506E-2</v>
      </c>
      <c r="K6475">
        <v>7.3975069445084002E-2</v>
      </c>
      <c r="L6475">
        <v>2273.7057352951801</v>
      </c>
      <c r="M6475">
        <v>46.676850900292798</v>
      </c>
      <c r="N6475">
        <v>48.846174673522398</v>
      </c>
      <c r="O6475">
        <v>48.622452814698903</v>
      </c>
      <c r="P6475">
        <v>-0.22552000314309101</v>
      </c>
      <c r="Q6475">
        <v>6.03197427665704E-2</v>
      </c>
      <c r="R6475">
        <v>0.99072592309101504</v>
      </c>
      <c r="S6475" t="s">
        <v>13145</v>
      </c>
      <c r="T6475" t="s">
        <v>13338</v>
      </c>
      <c r="U6475" t="s">
        <v>13338</v>
      </c>
      <c r="V6475" t="s">
        <v>13338</v>
      </c>
      <c r="W6475" t="s">
        <v>19750</v>
      </c>
      <c r="X6475">
        <v>6</v>
      </c>
      <c r="Y6475" t="s">
        <v>26230</v>
      </c>
      <c r="Z6475" t="s">
        <v>32890</v>
      </c>
      <c r="AA6475">
        <v>0.33551097847940331</v>
      </c>
      <c r="AB6475" t="str">
        <f>HYPERLINK("Melting_Curves/meltCurve_Q9Y2T2_AP3M1.pdf", "Melting_Curves/meltCurve_Q9Y2T2_AP3M1.pdf")</f>
        <v>Melting_Curves/meltCurve_Q9Y2T2_AP3M1.pdf</v>
      </c>
    </row>
    <row r="6476" spans="1:28" x14ac:dyDescent="0.25">
      <c r="A6476" t="s">
        <v>6480</v>
      </c>
      <c r="B6476">
        <v>0.99193492352474899</v>
      </c>
      <c r="C6476">
        <v>0.74145339222680395</v>
      </c>
      <c r="D6476">
        <v>0.69649396278472797</v>
      </c>
      <c r="E6476">
        <v>0.52134587752652894</v>
      </c>
      <c r="F6476">
        <v>0.39946249526069599</v>
      </c>
      <c r="G6476">
        <v>0.261018323399833</v>
      </c>
      <c r="H6476">
        <v>0.205759502570977</v>
      </c>
      <c r="I6476">
        <v>0.25073331591960102</v>
      </c>
      <c r="J6476">
        <v>0.22523452418755499</v>
      </c>
      <c r="K6476">
        <v>0</v>
      </c>
      <c r="L6476">
        <v>440.42651134808602</v>
      </c>
      <c r="M6476">
        <v>8.8811243015472492</v>
      </c>
      <c r="N6476">
        <v>50.307758780165102</v>
      </c>
      <c r="O6476">
        <v>47.2701668403163</v>
      </c>
      <c r="P6476">
        <v>-4.4213545830771799E-2</v>
      </c>
      <c r="Q6476">
        <v>5.94043070015709E-2</v>
      </c>
      <c r="R6476">
        <v>0.94824047708952497</v>
      </c>
      <c r="S6476" t="s">
        <v>13146</v>
      </c>
      <c r="T6476" t="s">
        <v>13338</v>
      </c>
      <c r="U6476" t="s">
        <v>13338</v>
      </c>
      <c r="V6476" t="s">
        <v>13338</v>
      </c>
      <c r="W6476" t="s">
        <v>19751</v>
      </c>
      <c r="X6476">
        <v>5</v>
      </c>
      <c r="Y6476" t="s">
        <v>26231</v>
      </c>
      <c r="Z6476" t="s">
        <v>32891</v>
      </c>
      <c r="AA6476">
        <v>0.41165297896004222</v>
      </c>
      <c r="AB6476" t="str">
        <f>HYPERLINK("Melting_Curves/meltCurve_Q9Y2T7_YBX2.pdf", "Melting_Curves/meltCurve_Q9Y2T7_YBX2.pdf")</f>
        <v>Melting_Curves/meltCurve_Q9Y2T7_YBX2.pdf</v>
      </c>
    </row>
    <row r="6477" spans="1:28" x14ac:dyDescent="0.25">
      <c r="A6477" t="s">
        <v>6481</v>
      </c>
      <c r="B6477">
        <v>0.99193492352474899</v>
      </c>
      <c r="C6477">
        <v>0.99715482585994297</v>
      </c>
      <c r="D6477">
        <v>0.96808931798979803</v>
      </c>
      <c r="E6477">
        <v>0.85531424051128102</v>
      </c>
      <c r="F6477">
        <v>0.34156974828497599</v>
      </c>
      <c r="G6477">
        <v>0.15466282780638499</v>
      </c>
      <c r="H6477">
        <v>0.126344503789036</v>
      </c>
      <c r="I6477">
        <v>0.16666016980905299</v>
      </c>
      <c r="J6477">
        <v>0.14530808771845499</v>
      </c>
      <c r="K6477">
        <v>0.31280821789803198</v>
      </c>
      <c r="L6477">
        <v>2213.1610574967399</v>
      </c>
      <c r="M6477">
        <v>43.061423556004499</v>
      </c>
      <c r="N6477">
        <v>51.931694251034997</v>
      </c>
      <c r="O6477">
        <v>51.284975977450202</v>
      </c>
      <c r="P6477">
        <v>-0.17223802480429101</v>
      </c>
      <c r="Q6477">
        <v>0.17947821413538301</v>
      </c>
      <c r="R6477">
        <v>0.98247913111780705</v>
      </c>
      <c r="S6477" t="s">
        <v>13147</v>
      </c>
      <c r="T6477" t="s">
        <v>13338</v>
      </c>
      <c r="U6477" t="s">
        <v>13338</v>
      </c>
      <c r="V6477" t="s">
        <v>13338</v>
      </c>
      <c r="W6477" t="s">
        <v>19752</v>
      </c>
      <c r="X6477">
        <v>6</v>
      </c>
      <c r="Y6477" t="s">
        <v>26232</v>
      </c>
      <c r="Z6477" t="s">
        <v>32892</v>
      </c>
      <c r="AA6477">
        <v>0.4936642265051977</v>
      </c>
      <c r="AB6477" t="str">
        <f>HYPERLINK("Melting_Curves/meltCurve_Q9Y2U5_MAP3K2.pdf", "Melting_Curves/meltCurve_Q9Y2U5_MAP3K2.pdf")</f>
        <v>Melting_Curves/meltCurve_Q9Y2U5_MAP3K2.pdf</v>
      </c>
    </row>
    <row r="6478" spans="1:28" x14ac:dyDescent="0.25">
      <c r="A6478" t="s">
        <v>6482</v>
      </c>
      <c r="B6478">
        <v>0.99193492352474899</v>
      </c>
      <c r="C6478">
        <v>0.85759122447422698</v>
      </c>
      <c r="D6478">
        <v>0.77665452811864699</v>
      </c>
      <c r="E6478">
        <v>0.28781613775817999</v>
      </c>
      <c r="F6478">
        <v>0.227204836166496</v>
      </c>
      <c r="G6478">
        <v>0.14042934909791699</v>
      </c>
      <c r="H6478">
        <v>9.5203931058980507E-2</v>
      </c>
      <c r="I6478">
        <v>0.117602843878597</v>
      </c>
      <c r="J6478">
        <v>0.14210813878473999</v>
      </c>
      <c r="K6478">
        <v>0.16600629634924899</v>
      </c>
      <c r="L6478">
        <v>1212.1353834301001</v>
      </c>
      <c r="M6478">
        <v>25.604817847403801</v>
      </c>
      <c r="N6478">
        <v>47.915708994762298</v>
      </c>
      <c r="O6478">
        <v>47.054209755894902</v>
      </c>
      <c r="P6478">
        <v>-0.11803082957879001</v>
      </c>
      <c r="Q6478">
        <v>0.13238542166901399</v>
      </c>
      <c r="R6478">
        <v>0.98354490704417397</v>
      </c>
      <c r="S6478" t="s">
        <v>13148</v>
      </c>
      <c r="T6478" t="s">
        <v>13338</v>
      </c>
      <c r="U6478" t="s">
        <v>13338</v>
      </c>
      <c r="V6478" t="s">
        <v>13338</v>
      </c>
      <c r="W6478" t="s">
        <v>19753</v>
      </c>
      <c r="X6478">
        <v>13</v>
      </c>
      <c r="Y6478" t="s">
        <v>26233</v>
      </c>
      <c r="Z6478" t="s">
        <v>32893</v>
      </c>
      <c r="AA6478">
        <v>0.35197980895972081</v>
      </c>
      <c r="AB6478" t="str">
        <f>HYPERLINK("Melting_Curves/meltCurve_Q9Y2U8_LEMD3.pdf", "Melting_Curves/meltCurve_Q9Y2U8_LEMD3.pdf")</f>
        <v>Melting_Curves/meltCurve_Q9Y2U8_LEMD3.pdf</v>
      </c>
    </row>
    <row r="6479" spans="1:28" x14ac:dyDescent="0.25">
      <c r="A6479" t="s">
        <v>6483</v>
      </c>
      <c r="B6479">
        <v>0.99193492352474899</v>
      </c>
      <c r="C6479">
        <v>1.3704136827292199</v>
      </c>
      <c r="D6479">
        <v>0.71197452236700398</v>
      </c>
      <c r="E6479">
        <v>0.93562245790324705</v>
      </c>
      <c r="F6479">
        <v>0.353102829091341</v>
      </c>
      <c r="G6479">
        <v>0.196427938955168</v>
      </c>
      <c r="H6479">
        <v>0.10789763714245799</v>
      </c>
      <c r="I6479">
        <v>0.17214010577830499</v>
      </c>
      <c r="J6479">
        <v>0.15309197767678001</v>
      </c>
      <c r="K6479">
        <v>0.21949286614038699</v>
      </c>
      <c r="L6479">
        <v>2535.4824771160802</v>
      </c>
      <c r="M6479">
        <v>48.866143285262702</v>
      </c>
      <c r="N6479">
        <v>52.320091656103102</v>
      </c>
      <c r="O6479">
        <v>51.799607414346497</v>
      </c>
      <c r="P6479">
        <v>-0.19655847546479899</v>
      </c>
      <c r="Q6479">
        <v>0.16656876437492499</v>
      </c>
      <c r="R6479">
        <v>0.87446954980207803</v>
      </c>
      <c r="S6479" t="s">
        <v>13149</v>
      </c>
      <c r="T6479" t="s">
        <v>13338</v>
      </c>
      <c r="U6479" t="s">
        <v>13338</v>
      </c>
      <c r="V6479" t="s">
        <v>13338</v>
      </c>
      <c r="W6479" t="s">
        <v>19754</v>
      </c>
      <c r="X6479">
        <v>7</v>
      </c>
      <c r="Y6479" t="s">
        <v>26234</v>
      </c>
      <c r="Z6479" t="s">
        <v>32894</v>
      </c>
      <c r="AA6479">
        <v>0.498779444388536</v>
      </c>
      <c r="AB6479" t="str">
        <f>HYPERLINK("Melting_Curves/meltCurve_Q9Y2V2_CARHSP1.pdf", "Melting_Curves/meltCurve_Q9Y2V2_CARHSP1.pdf")</f>
        <v>Melting_Curves/meltCurve_Q9Y2V2_CARHSP1.pdf</v>
      </c>
    </row>
    <row r="6480" spans="1:28" x14ac:dyDescent="0.25">
      <c r="A6480" t="s">
        <v>6484</v>
      </c>
      <c r="B6480">
        <v>0.99193492352474899</v>
      </c>
      <c r="C6480">
        <v>0.70349602156841795</v>
      </c>
      <c r="D6480">
        <v>0.45135523758205498</v>
      </c>
      <c r="E6480">
        <v>0.20211721223384399</v>
      </c>
      <c r="F6480">
        <v>0.14672585144212899</v>
      </c>
      <c r="G6480">
        <v>6.7174894418552997E-2</v>
      </c>
      <c r="H6480">
        <v>4.8052496045946802E-2</v>
      </c>
      <c r="I6480">
        <v>5.1245601230497401E-2</v>
      </c>
      <c r="J6480">
        <v>6.9409488827665899E-2</v>
      </c>
      <c r="K6480">
        <v>5.95317293734349E-2</v>
      </c>
      <c r="L6480">
        <v>858.50073982178503</v>
      </c>
      <c r="M6480">
        <v>19.027907242707499</v>
      </c>
      <c r="N6480">
        <v>45.420690409368902</v>
      </c>
      <c r="O6480">
        <v>44.628515712556101</v>
      </c>
      <c r="P6480">
        <v>-0.100246766744143</v>
      </c>
      <c r="Q6480">
        <v>5.9552568204590199E-2</v>
      </c>
      <c r="R6480">
        <v>0.99151249208757497</v>
      </c>
      <c r="S6480" t="s">
        <v>13150</v>
      </c>
      <c r="T6480" t="s">
        <v>13338</v>
      </c>
      <c r="U6480" t="s">
        <v>13338</v>
      </c>
      <c r="V6480" t="s">
        <v>13338</v>
      </c>
      <c r="W6480" t="s">
        <v>19755</v>
      </c>
      <c r="X6480">
        <v>4</v>
      </c>
      <c r="Y6480" t="s">
        <v>26235</v>
      </c>
      <c r="Z6480" t="s">
        <v>32895</v>
      </c>
      <c r="AA6480">
        <v>0.23762912890174021</v>
      </c>
      <c r="AB6480" t="str">
        <f>HYPERLINK("Melting_Curves/meltCurve_Q9Y2V7_2_COG6.pdf", "Melting_Curves/meltCurve_Q9Y2V7_2_COG6.pdf")</f>
        <v>Melting_Curves/meltCurve_Q9Y2V7_2_COG6.pdf</v>
      </c>
    </row>
    <row r="6481" spans="1:28" x14ac:dyDescent="0.25">
      <c r="A6481" t="s">
        <v>6485</v>
      </c>
      <c r="B6481">
        <v>0.99193492352474899</v>
      </c>
      <c r="C6481">
        <v>0.51537494609448098</v>
      </c>
      <c r="D6481">
        <v>0.72719239852755901</v>
      </c>
      <c r="E6481">
        <v>0.45750182984745102</v>
      </c>
      <c r="F6481">
        <v>0.39051334692747403</v>
      </c>
      <c r="G6481">
        <v>0.24811018911323299</v>
      </c>
      <c r="H6481">
        <v>0.29562186440170202</v>
      </c>
      <c r="I6481">
        <v>0.59573202405256998</v>
      </c>
      <c r="J6481">
        <v>0.76893743351066501</v>
      </c>
      <c r="K6481">
        <v>0.82434652672088604</v>
      </c>
      <c r="L6481">
        <v>10161.3876598842</v>
      </c>
      <c r="M6481">
        <v>250</v>
      </c>
      <c r="O6481">
        <v>40.642949607483203</v>
      </c>
      <c r="P6481">
        <v>-0.71364541738423903</v>
      </c>
      <c r="Q6481">
        <v>0.53592552491740797</v>
      </c>
      <c r="R6481">
        <v>0.351065163045373</v>
      </c>
      <c r="S6481" t="s">
        <v>13151</v>
      </c>
      <c r="T6481" t="s">
        <v>13338</v>
      </c>
      <c r="U6481" t="s">
        <v>13338</v>
      </c>
      <c r="V6481" t="s">
        <v>13338</v>
      </c>
      <c r="W6481" t="s">
        <v>19756</v>
      </c>
      <c r="X6481">
        <v>33</v>
      </c>
      <c r="Y6481" t="s">
        <v>26236</v>
      </c>
      <c r="Z6481" t="s">
        <v>32896</v>
      </c>
      <c r="AA6481">
        <v>0.54598712825468398</v>
      </c>
      <c r="AB6481" t="str">
        <f>HYPERLINK("Melting_Curves/meltCurve_Q9Y2W1_THRAP3.pdf", "Melting_Curves/meltCurve_Q9Y2W1_THRAP3.pdf")</f>
        <v>Melting_Curves/meltCurve_Q9Y2W1_THRAP3.pdf</v>
      </c>
    </row>
    <row r="6482" spans="1:28" x14ac:dyDescent="0.25">
      <c r="A6482" t="s">
        <v>6486</v>
      </c>
      <c r="B6482">
        <v>0.99193492352474899</v>
      </c>
      <c r="C6482">
        <v>0.82573501793553195</v>
      </c>
      <c r="D6482">
        <v>0.95094489329994603</v>
      </c>
      <c r="E6482">
        <v>0.66377249659044202</v>
      </c>
      <c r="F6482">
        <v>0.48463805121644998</v>
      </c>
      <c r="G6482">
        <v>0.138020480947499</v>
      </c>
      <c r="H6482">
        <v>5.06697126939578E-2</v>
      </c>
      <c r="I6482">
        <v>5.7131206367238799E-2</v>
      </c>
      <c r="J6482">
        <v>5.3274402470749598E-2</v>
      </c>
      <c r="K6482">
        <v>4.8087547165382397E-2</v>
      </c>
      <c r="L6482">
        <v>883.65508936548304</v>
      </c>
      <c r="M6482">
        <v>17.0013803178297</v>
      </c>
      <c r="N6482">
        <v>52.047469966975399</v>
      </c>
      <c r="O6482">
        <v>51.272384704059</v>
      </c>
      <c r="P6482">
        <v>-8.1939020174294594E-2</v>
      </c>
      <c r="Q6482">
        <v>1.1621563706456501E-2</v>
      </c>
      <c r="R6482">
        <v>0.97443631298871403</v>
      </c>
      <c r="S6482" t="s">
        <v>13152</v>
      </c>
      <c r="T6482" t="s">
        <v>13338</v>
      </c>
      <c r="U6482" t="s">
        <v>13338</v>
      </c>
      <c r="V6482" t="s">
        <v>13338</v>
      </c>
      <c r="W6482" t="s">
        <v>19757</v>
      </c>
      <c r="X6482">
        <v>9</v>
      </c>
      <c r="Y6482" t="s">
        <v>26237</v>
      </c>
      <c r="Z6482" t="s">
        <v>32897</v>
      </c>
      <c r="AA6482">
        <v>0.42427685642163038</v>
      </c>
      <c r="AB6482" t="str">
        <f>HYPERLINK("Melting_Curves/meltCurve_Q9Y2X0_2_MED16.pdf", "Melting_Curves/meltCurve_Q9Y2X0_2_MED16.pdf")</f>
        <v>Melting_Curves/meltCurve_Q9Y2X0_2_MED16.pdf</v>
      </c>
    </row>
    <row r="6483" spans="1:28" x14ac:dyDescent="0.25">
      <c r="A6483" t="s">
        <v>6487</v>
      </c>
      <c r="B6483">
        <v>0.99193492352474899</v>
      </c>
      <c r="C6483">
        <v>0.56798028691446301</v>
      </c>
      <c r="D6483">
        <v>0.85342828726158804</v>
      </c>
      <c r="E6483">
        <v>0.56126036734322504</v>
      </c>
      <c r="F6483">
        <v>0.37124385335547699</v>
      </c>
      <c r="G6483">
        <v>0.136481496590308</v>
      </c>
      <c r="H6483">
        <v>7.7451091596944702E-2</v>
      </c>
      <c r="I6483">
        <v>9.3968493968042494E-2</v>
      </c>
      <c r="J6483">
        <v>9.4604357818136697E-2</v>
      </c>
      <c r="K6483">
        <v>0.106183396113009</v>
      </c>
      <c r="L6483">
        <v>498.66724276075399</v>
      </c>
      <c r="M6483">
        <v>10.0087081998579</v>
      </c>
      <c r="N6483">
        <v>49.823338963634399</v>
      </c>
      <c r="O6483">
        <v>47.956887336794402</v>
      </c>
      <c r="P6483">
        <v>-5.2200845333759301E-2</v>
      </c>
      <c r="Q6483">
        <v>0</v>
      </c>
      <c r="R6483">
        <v>0.88721977108900196</v>
      </c>
      <c r="S6483" t="s">
        <v>13153</v>
      </c>
      <c r="T6483" t="s">
        <v>13338</v>
      </c>
      <c r="U6483" t="s">
        <v>13338</v>
      </c>
      <c r="V6483" t="s">
        <v>13338</v>
      </c>
      <c r="W6483" t="s">
        <v>19758</v>
      </c>
      <c r="X6483">
        <v>19</v>
      </c>
      <c r="Y6483" t="s">
        <v>26238</v>
      </c>
      <c r="Z6483" t="s">
        <v>32898</v>
      </c>
      <c r="AA6483">
        <v>0.37324264769269339</v>
      </c>
      <c r="AB6483" t="str">
        <f>HYPERLINK("Melting_Curves/meltCurve_Q9Y2X3_NOP58.pdf", "Melting_Curves/meltCurve_Q9Y2X3_NOP58.pdf")</f>
        <v>Melting_Curves/meltCurve_Q9Y2X3_NOP58.pdf</v>
      </c>
    </row>
    <row r="6484" spans="1:28" x14ac:dyDescent="0.25">
      <c r="A6484" t="s">
        <v>6488</v>
      </c>
      <c r="B6484">
        <v>0.99193492352474899</v>
      </c>
      <c r="C6484">
        <v>0.93999320482313098</v>
      </c>
      <c r="D6484">
        <v>0.61811871164472898</v>
      </c>
      <c r="E6484">
        <v>0.214612481679195</v>
      </c>
      <c r="F6484">
        <v>0.157807018273947</v>
      </c>
      <c r="G6484">
        <v>9.6710887627449005E-2</v>
      </c>
      <c r="H6484">
        <v>6.6927734190673299E-2</v>
      </c>
      <c r="I6484">
        <v>9.61204816737357E-2</v>
      </c>
      <c r="J6484">
        <v>0.102376260980908</v>
      </c>
      <c r="K6484">
        <v>9.3368266286821405E-2</v>
      </c>
      <c r="L6484">
        <v>1363.7727105035499</v>
      </c>
      <c r="M6484">
        <v>29.320320504474701</v>
      </c>
      <c r="N6484">
        <v>46.854741812527998</v>
      </c>
      <c r="O6484">
        <v>46.298129615487198</v>
      </c>
      <c r="P6484">
        <v>-0.14307903912898001</v>
      </c>
      <c r="Q6484">
        <v>9.6293011359149694E-2</v>
      </c>
      <c r="R6484">
        <v>0.99778761485919398</v>
      </c>
      <c r="S6484" t="s">
        <v>13154</v>
      </c>
      <c r="T6484" t="s">
        <v>13338</v>
      </c>
      <c r="U6484" t="s">
        <v>13338</v>
      </c>
      <c r="V6484" t="s">
        <v>13338</v>
      </c>
      <c r="W6484" t="s">
        <v>19759</v>
      </c>
      <c r="X6484">
        <v>9</v>
      </c>
      <c r="Y6484" t="s">
        <v>26239</v>
      </c>
      <c r="Z6484" t="s">
        <v>32899</v>
      </c>
      <c r="AA6484">
        <v>0.29821049460204352</v>
      </c>
      <c r="AB6484" t="str">
        <f>HYPERLINK("Melting_Curves/meltCurve_Q9Y2X7_GIT1.pdf", "Melting_Curves/meltCurve_Q9Y2X7_GIT1.pdf")</f>
        <v>Melting_Curves/meltCurve_Q9Y2X7_GIT1.pdf</v>
      </c>
    </row>
    <row r="6485" spans="1:28" x14ac:dyDescent="0.25">
      <c r="A6485" t="s">
        <v>6489</v>
      </c>
      <c r="B6485">
        <v>0.99193492352474899</v>
      </c>
      <c r="C6485">
        <v>0.738315889921901</v>
      </c>
      <c r="D6485">
        <v>0.75381523723552202</v>
      </c>
      <c r="E6485">
        <v>0.405123165345182</v>
      </c>
      <c r="F6485">
        <v>0.41085283146484403</v>
      </c>
      <c r="G6485">
        <v>0.19981542322479501</v>
      </c>
      <c r="H6485">
        <v>0.22177001786405301</v>
      </c>
      <c r="I6485">
        <v>0.42613510434686502</v>
      </c>
      <c r="J6485">
        <v>0.52029308625664406</v>
      </c>
      <c r="K6485">
        <v>0.79397202653209198</v>
      </c>
      <c r="L6485">
        <v>978.59294224040605</v>
      </c>
      <c r="M6485">
        <v>21.8690672159371</v>
      </c>
      <c r="N6485">
        <v>48.9214549985644</v>
      </c>
      <c r="O6485">
        <v>44.378693539477098</v>
      </c>
      <c r="P6485">
        <v>-7.1133848759231497E-2</v>
      </c>
      <c r="Q6485">
        <v>0.42260822844614798</v>
      </c>
      <c r="R6485">
        <v>0.55671370572835699</v>
      </c>
      <c r="S6485" t="s">
        <v>13155</v>
      </c>
      <c r="T6485" t="s">
        <v>13338</v>
      </c>
      <c r="U6485" t="s">
        <v>13338</v>
      </c>
      <c r="V6485" t="s">
        <v>13338</v>
      </c>
      <c r="W6485" t="s">
        <v>19760</v>
      </c>
      <c r="X6485">
        <v>2</v>
      </c>
      <c r="Y6485" t="s">
        <v>26240</v>
      </c>
      <c r="Z6485" t="s">
        <v>32900</v>
      </c>
      <c r="AA6485">
        <v>0.52214739656833997</v>
      </c>
      <c r="AB6485" t="str">
        <f>HYPERLINK("Melting_Curves/meltCurve_Q9Y2Y1_POLR3K.pdf", "Melting_Curves/meltCurve_Q9Y2Y1_POLR3K.pdf")</f>
        <v>Melting_Curves/meltCurve_Q9Y2Y1_POLR3K.pdf</v>
      </c>
    </row>
    <row r="6486" spans="1:28" x14ac:dyDescent="0.25">
      <c r="A6486" t="s">
        <v>6490</v>
      </c>
      <c r="B6486">
        <v>0.99193492352474899</v>
      </c>
      <c r="C6486">
        <v>0.56419591762785104</v>
      </c>
      <c r="D6486">
        <v>0.73972677519225005</v>
      </c>
      <c r="E6486">
        <v>0.45232770635036801</v>
      </c>
      <c r="F6486">
        <v>0.461097534395074</v>
      </c>
      <c r="G6486">
        <v>0.24533482587046199</v>
      </c>
      <c r="H6486">
        <v>0.16304726136300199</v>
      </c>
      <c r="I6486">
        <v>0.21332109443002101</v>
      </c>
      <c r="J6486">
        <v>0.21320460574873101</v>
      </c>
      <c r="K6486">
        <v>0.34072339893815001</v>
      </c>
      <c r="L6486">
        <v>487.01827326116501</v>
      </c>
      <c r="M6486">
        <v>10.468362238807901</v>
      </c>
      <c r="N6486">
        <v>48.897156130179702</v>
      </c>
      <c r="O6486">
        <v>44.9212925813925</v>
      </c>
      <c r="P6486">
        <v>-4.6670626774669301E-2</v>
      </c>
      <c r="Q6486">
        <v>0.199244115064109</v>
      </c>
      <c r="R6486">
        <v>0.83562168437291795</v>
      </c>
      <c r="S6486" t="s">
        <v>13156</v>
      </c>
      <c r="T6486" t="s">
        <v>13338</v>
      </c>
      <c r="U6486" t="s">
        <v>13338</v>
      </c>
      <c r="V6486" t="s">
        <v>13338</v>
      </c>
      <c r="W6486" t="s">
        <v>19761</v>
      </c>
      <c r="X6486">
        <v>1</v>
      </c>
      <c r="Y6486" t="s">
        <v>26241</v>
      </c>
      <c r="Z6486" t="s">
        <v>32901</v>
      </c>
      <c r="AA6486">
        <v>0.41774928993308252</v>
      </c>
      <c r="AB6486" t="str">
        <f>HYPERLINK("Melting_Curves/meltCurve_Q9Y2Y9_KLF13.pdf", "Melting_Curves/meltCurve_Q9Y2Y9_KLF13.pdf")</f>
        <v>Melting_Curves/meltCurve_Q9Y2Y9_KLF13.pdf</v>
      </c>
    </row>
    <row r="6487" spans="1:28" x14ac:dyDescent="0.25">
      <c r="A6487" t="s">
        <v>6491</v>
      </c>
      <c r="B6487">
        <v>0.99193492352474899</v>
      </c>
      <c r="C6487">
        <v>0.76034441043442502</v>
      </c>
      <c r="D6487">
        <v>0.59018168106165403</v>
      </c>
      <c r="E6487">
        <v>0.256105687981249</v>
      </c>
      <c r="F6487">
        <v>0.158809610584461</v>
      </c>
      <c r="G6487">
        <v>9.4116028572501995E-2</v>
      </c>
      <c r="H6487">
        <v>5.8039400604719099E-2</v>
      </c>
      <c r="I6487">
        <v>6.9396456457365197E-2</v>
      </c>
      <c r="J6487">
        <v>8.1488602040039396E-2</v>
      </c>
      <c r="K6487">
        <v>5.5422000810013097E-2</v>
      </c>
      <c r="L6487">
        <v>816.79795065989299</v>
      </c>
      <c r="M6487">
        <v>17.6537525975039</v>
      </c>
      <c r="N6487">
        <v>46.6058491057628</v>
      </c>
      <c r="O6487">
        <v>45.686233177993202</v>
      </c>
      <c r="P6487">
        <v>-9.0800576933323204E-2</v>
      </c>
      <c r="Q6487">
        <v>6.0117027027344498E-2</v>
      </c>
      <c r="R6487">
        <v>0.992837820231804</v>
      </c>
      <c r="S6487" t="s">
        <v>13157</v>
      </c>
      <c r="T6487" t="s">
        <v>13338</v>
      </c>
      <c r="U6487" t="s">
        <v>13338</v>
      </c>
      <c r="V6487" t="s">
        <v>13338</v>
      </c>
      <c r="W6487" t="s">
        <v>19762</v>
      </c>
      <c r="X6487">
        <v>18</v>
      </c>
      <c r="Y6487" t="s">
        <v>26242</v>
      </c>
      <c r="Z6487" t="s">
        <v>32902</v>
      </c>
      <c r="AA6487">
        <v>0.27537558386394151</v>
      </c>
      <c r="AB6487" t="str">
        <f>HYPERLINK("Melting_Curves/meltCurve_Q9Y2Z0_SUGT1.pdf", "Melting_Curves/meltCurve_Q9Y2Z0_SUGT1.pdf")</f>
        <v>Melting_Curves/meltCurve_Q9Y2Z0_SUGT1.pdf</v>
      </c>
    </row>
    <row r="6488" spans="1:28" x14ac:dyDescent="0.25">
      <c r="A6488" t="s">
        <v>6492</v>
      </c>
      <c r="B6488">
        <v>0.99193492352474899</v>
      </c>
      <c r="C6488">
        <v>1.0066905307176699</v>
      </c>
      <c r="D6488">
        <v>0.796917355180077</v>
      </c>
      <c r="E6488">
        <v>0.71590734312951199</v>
      </c>
      <c r="F6488">
        <v>0.27555418623898498</v>
      </c>
      <c r="G6488">
        <v>0.125618648902693</v>
      </c>
      <c r="H6488">
        <v>8.8077010179328299E-2</v>
      </c>
      <c r="I6488">
        <v>0.101090139086718</v>
      </c>
      <c r="J6488">
        <v>0.105037890787128</v>
      </c>
      <c r="K6488">
        <v>0.101748513743043</v>
      </c>
      <c r="L6488">
        <v>1127.26599257318</v>
      </c>
      <c r="M6488">
        <v>22.2936672404653</v>
      </c>
      <c r="N6488">
        <v>50.9731532594367</v>
      </c>
      <c r="O6488">
        <v>50.162829064748301</v>
      </c>
      <c r="P6488">
        <v>-0.102014464291681</v>
      </c>
      <c r="Q6488">
        <v>8.1851243741940999E-2</v>
      </c>
      <c r="R6488">
        <v>0.98430651548416603</v>
      </c>
      <c r="S6488" t="s">
        <v>13158</v>
      </c>
      <c r="T6488" t="s">
        <v>13338</v>
      </c>
      <c r="U6488" t="s">
        <v>13338</v>
      </c>
      <c r="V6488" t="s">
        <v>13338</v>
      </c>
      <c r="W6488" t="s">
        <v>19763</v>
      </c>
      <c r="X6488">
        <v>21</v>
      </c>
      <c r="Y6488" t="s">
        <v>26242</v>
      </c>
      <c r="Z6488" t="s">
        <v>32903</v>
      </c>
      <c r="AA6488">
        <v>0.41552072304594151</v>
      </c>
      <c r="AB6488" t="str">
        <f>HYPERLINK("Melting_Curves/meltCurve_Q9Y2Z0_2_SUGT1.pdf", "Melting_Curves/meltCurve_Q9Y2Z0_2_SUGT1.pdf")</f>
        <v>Melting_Curves/meltCurve_Q9Y2Z0_2_SUGT1.pdf</v>
      </c>
    </row>
    <row r="6489" spans="1:28" x14ac:dyDescent="0.25">
      <c r="A6489" t="s">
        <v>6493</v>
      </c>
      <c r="B6489">
        <v>0.99193492352474899</v>
      </c>
      <c r="C6489">
        <v>0.82541386498277103</v>
      </c>
      <c r="D6489">
        <v>0.55154763054796396</v>
      </c>
      <c r="E6489">
        <v>0.19381378464892199</v>
      </c>
      <c r="F6489">
        <v>0.12882345053097599</v>
      </c>
      <c r="G6489">
        <v>5.8775132326570098E-2</v>
      </c>
      <c r="H6489">
        <v>3.8165245509975E-2</v>
      </c>
      <c r="I6489">
        <v>4.0177657569853899E-2</v>
      </c>
      <c r="J6489">
        <v>3.3280460886855899E-2</v>
      </c>
      <c r="K6489">
        <v>4.1148324477971003E-2</v>
      </c>
      <c r="L6489">
        <v>986.67031468923904</v>
      </c>
      <c r="M6489">
        <v>21.373532864575001</v>
      </c>
      <c r="N6489">
        <v>46.345849351846802</v>
      </c>
      <c r="O6489">
        <v>45.764774209834599</v>
      </c>
      <c r="P6489">
        <v>-0.11204395182992299</v>
      </c>
      <c r="Q6489">
        <v>4.0394809105608102E-2</v>
      </c>
      <c r="R6489">
        <v>0.99740196139817106</v>
      </c>
      <c r="S6489" t="s">
        <v>13159</v>
      </c>
      <c r="T6489" t="s">
        <v>13338</v>
      </c>
      <c r="U6489" t="s">
        <v>13338</v>
      </c>
      <c r="V6489" t="s">
        <v>13338</v>
      </c>
      <c r="W6489" t="s">
        <v>19764</v>
      </c>
      <c r="X6489">
        <v>7</v>
      </c>
      <c r="Y6489" t="s">
        <v>26243</v>
      </c>
      <c r="Z6489" t="s">
        <v>32904</v>
      </c>
      <c r="AA6489">
        <v>0.25013937119740881</v>
      </c>
      <c r="AB6489" t="str">
        <f>HYPERLINK("Melting_Curves/meltCurve_Q9Y2Z4_YARS2.pdf", "Melting_Curves/meltCurve_Q9Y2Z4_YARS2.pdf")</f>
        <v>Melting_Curves/meltCurve_Q9Y2Z4_YARS2.pdf</v>
      </c>
    </row>
    <row r="6490" spans="1:28" x14ac:dyDescent="0.25">
      <c r="A6490" t="s">
        <v>6494</v>
      </c>
      <c r="B6490">
        <v>0.99193492352474899</v>
      </c>
      <c r="C6490">
        <v>0.96443185556647804</v>
      </c>
      <c r="D6490">
        <v>0.93063412097352105</v>
      </c>
      <c r="E6490">
        <v>0.80463152781107095</v>
      </c>
      <c r="F6490">
        <v>0.50731961520328595</v>
      </c>
      <c r="G6490">
        <v>0.34399611103572098</v>
      </c>
      <c r="H6490">
        <v>0.14610527555154301</v>
      </c>
      <c r="I6490">
        <v>0.26168069662669302</v>
      </c>
      <c r="J6490">
        <v>0.20679241079873201</v>
      </c>
      <c r="K6490">
        <v>0.32648675452840398</v>
      </c>
      <c r="L6490">
        <v>1204.30020763998</v>
      </c>
      <c r="M6490">
        <v>23.2480911711544</v>
      </c>
      <c r="N6490">
        <v>53.2335872810959</v>
      </c>
      <c r="O6490">
        <v>51.423373082608997</v>
      </c>
      <c r="P6490">
        <v>-8.6756612680795805E-2</v>
      </c>
      <c r="Q6490">
        <v>0.232411957587778</v>
      </c>
      <c r="R6490">
        <v>0.97642983312130704</v>
      </c>
      <c r="S6490" t="s">
        <v>13160</v>
      </c>
      <c r="T6490" t="s">
        <v>13338</v>
      </c>
      <c r="U6490" t="s">
        <v>13338</v>
      </c>
      <c r="V6490" t="s">
        <v>13338</v>
      </c>
      <c r="W6490" t="s">
        <v>19765</v>
      </c>
      <c r="X6490">
        <v>2</v>
      </c>
      <c r="Y6490" t="s">
        <v>26244</v>
      </c>
      <c r="Z6490" t="s">
        <v>32905</v>
      </c>
      <c r="AA6490">
        <v>0.54242289236834274</v>
      </c>
      <c r="AB6490" t="str">
        <f>HYPERLINK("Melting_Curves/meltCurve_Q9Y2Z9_3_COQ6.pdf", "Melting_Curves/meltCurve_Q9Y2Z9_3_COQ6.pdf")</f>
        <v>Melting_Curves/meltCurve_Q9Y2Z9_3_COQ6.pdf</v>
      </c>
    </row>
    <row r="6491" spans="1:28" x14ac:dyDescent="0.25">
      <c r="A6491" t="s">
        <v>6495</v>
      </c>
      <c r="B6491">
        <v>0.99193492352474899</v>
      </c>
      <c r="C6491">
        <v>0.918620715864369</v>
      </c>
      <c r="D6491">
        <v>0.81604034196311703</v>
      </c>
      <c r="E6491">
        <v>0.61071804463055401</v>
      </c>
      <c r="F6491">
        <v>0.42800739160541201</v>
      </c>
      <c r="G6491">
        <v>0.23308774137155799</v>
      </c>
      <c r="H6491">
        <v>0.10820775004863301</v>
      </c>
      <c r="I6491">
        <v>0.114058032096857</v>
      </c>
      <c r="J6491">
        <v>0.14007995008316301</v>
      </c>
      <c r="K6491">
        <v>0.14036165807016099</v>
      </c>
      <c r="L6491">
        <v>733.01035079741905</v>
      </c>
      <c r="M6491">
        <v>14.485728183714</v>
      </c>
      <c r="N6491">
        <v>51.307953935851103</v>
      </c>
      <c r="O6491">
        <v>49.667206594264499</v>
      </c>
      <c r="P6491">
        <v>-6.6335723824019102E-2</v>
      </c>
      <c r="Q6491">
        <v>9.0324344457641495E-2</v>
      </c>
      <c r="R6491">
        <v>0.993583679673677</v>
      </c>
      <c r="S6491" t="s">
        <v>13161</v>
      </c>
      <c r="T6491" t="s">
        <v>13338</v>
      </c>
      <c r="U6491" t="s">
        <v>13338</v>
      </c>
      <c r="V6491" t="s">
        <v>13338</v>
      </c>
      <c r="W6491" t="s">
        <v>19766</v>
      </c>
      <c r="X6491">
        <v>7</v>
      </c>
      <c r="Y6491" t="s">
        <v>26245</v>
      </c>
      <c r="Z6491" t="s">
        <v>32906</v>
      </c>
      <c r="AA6491">
        <v>0.43438259996457529</v>
      </c>
      <c r="AB6491" t="str">
        <f>HYPERLINK("Melting_Curves/meltCurve_Q9Y303_AMDHD2.pdf", "Melting_Curves/meltCurve_Q9Y303_AMDHD2.pdf")</f>
        <v>Melting_Curves/meltCurve_Q9Y303_AMDHD2.pdf</v>
      </c>
    </row>
    <row r="6492" spans="1:28" x14ac:dyDescent="0.25">
      <c r="A6492" t="s">
        <v>6496</v>
      </c>
      <c r="B6492">
        <v>0.99193492352474899</v>
      </c>
      <c r="C6492">
        <v>0.61259841643957003</v>
      </c>
      <c r="D6492">
        <v>0.51526911197931702</v>
      </c>
      <c r="E6492">
        <v>0.194009751910794</v>
      </c>
      <c r="F6492">
        <v>0.14641104247738099</v>
      </c>
      <c r="G6492">
        <v>0.104569473152459</v>
      </c>
      <c r="H6492">
        <v>6.2124862005801897E-2</v>
      </c>
      <c r="I6492">
        <v>8.62679434109207E-2</v>
      </c>
      <c r="J6492">
        <v>8.2039829992552604E-2</v>
      </c>
      <c r="K6492">
        <v>0.108788223923594</v>
      </c>
      <c r="L6492">
        <v>784.25930027083496</v>
      </c>
      <c r="M6492">
        <v>17.482406721358199</v>
      </c>
      <c r="N6492">
        <v>45.319296725910498</v>
      </c>
      <c r="O6492">
        <v>44.285303769763502</v>
      </c>
      <c r="P6492">
        <v>-9.0683061112356106E-2</v>
      </c>
      <c r="Q6492">
        <v>8.1200960427096097E-2</v>
      </c>
      <c r="R6492">
        <v>0.96994307861417395</v>
      </c>
      <c r="S6492" t="s">
        <v>13162</v>
      </c>
      <c r="T6492" t="s">
        <v>13338</v>
      </c>
      <c r="U6492" t="s">
        <v>13338</v>
      </c>
      <c r="V6492" t="s">
        <v>13338</v>
      </c>
      <c r="W6492" t="s">
        <v>19767</v>
      </c>
      <c r="X6492">
        <v>8</v>
      </c>
      <c r="Y6492" t="s">
        <v>26246</v>
      </c>
      <c r="Z6492" t="s">
        <v>32907</v>
      </c>
      <c r="AA6492">
        <v>0.2515477652214162</v>
      </c>
      <c r="AB6492" t="str">
        <f>HYPERLINK("Melting_Curves/meltCurve_Q9Y314_NOSIP.pdf", "Melting_Curves/meltCurve_Q9Y314_NOSIP.pdf")</f>
        <v>Melting_Curves/meltCurve_Q9Y314_NOSIP.pdf</v>
      </c>
    </row>
    <row r="6493" spans="1:28" x14ac:dyDescent="0.25">
      <c r="A6493" t="s">
        <v>6497</v>
      </c>
      <c r="B6493">
        <v>0.99193492352474899</v>
      </c>
      <c r="C6493">
        <v>1.09517356467668</v>
      </c>
      <c r="D6493">
        <v>1.0511943569184901</v>
      </c>
      <c r="E6493">
        <v>0.99446218119382601</v>
      </c>
      <c r="F6493">
        <v>1.03972116593566</v>
      </c>
      <c r="G6493">
        <v>0.940747966413091</v>
      </c>
      <c r="H6493">
        <v>0.79171919798327395</v>
      </c>
      <c r="I6493">
        <v>0.49471075992049302</v>
      </c>
      <c r="J6493">
        <v>0.26475161773511102</v>
      </c>
      <c r="K6493">
        <v>0.14260682843879</v>
      </c>
      <c r="L6493">
        <v>1635.48692751914</v>
      </c>
      <c r="M6493">
        <v>25.684408719515201</v>
      </c>
      <c r="N6493">
        <v>63.998411789680603</v>
      </c>
      <c r="O6493">
        <v>63.2940257378322</v>
      </c>
      <c r="P6493">
        <v>-9.5298320963184996E-2</v>
      </c>
      <c r="Q6493">
        <v>6.0637871138512899E-2</v>
      </c>
      <c r="R6493">
        <v>0.98710345739275196</v>
      </c>
      <c r="S6493" t="s">
        <v>13163</v>
      </c>
      <c r="T6493" t="s">
        <v>13338</v>
      </c>
      <c r="U6493" t="s">
        <v>13338</v>
      </c>
      <c r="V6493" t="s">
        <v>13338</v>
      </c>
      <c r="W6493" t="s">
        <v>19768</v>
      </c>
      <c r="X6493">
        <v>10</v>
      </c>
      <c r="Y6493" t="s">
        <v>26247</v>
      </c>
      <c r="Z6493" t="s">
        <v>32908</v>
      </c>
      <c r="AA6493">
        <v>0.80246865094417552</v>
      </c>
      <c r="AB6493" t="str">
        <f>HYPERLINK("Melting_Curves/meltCurve_Q9Y315_DERA.pdf", "Melting_Curves/meltCurve_Q9Y315_DERA.pdf")</f>
        <v>Melting_Curves/meltCurve_Q9Y315_DERA.pdf</v>
      </c>
    </row>
    <row r="6494" spans="1:28" x14ac:dyDescent="0.25">
      <c r="A6494" t="s">
        <v>6498</v>
      </c>
      <c r="B6494">
        <v>0.99193492352474899</v>
      </c>
      <c r="C6494">
        <v>0.86376647144146401</v>
      </c>
      <c r="D6494">
        <v>0.82332742258076497</v>
      </c>
      <c r="E6494">
        <v>0.80342657823091901</v>
      </c>
      <c r="F6494">
        <v>0.47692058093496698</v>
      </c>
      <c r="G6494">
        <v>0.24120966388558801</v>
      </c>
      <c r="H6494">
        <v>0.18783526807194501</v>
      </c>
      <c r="I6494">
        <v>0.21341415558764901</v>
      </c>
      <c r="J6494">
        <v>0.38338251563401998</v>
      </c>
      <c r="K6494">
        <v>0.39548907850878701</v>
      </c>
      <c r="L6494">
        <v>1186.04509986726</v>
      </c>
      <c r="M6494">
        <v>23.361372468070101</v>
      </c>
      <c r="N6494">
        <v>52.567877704114302</v>
      </c>
      <c r="O6494">
        <v>50.4018733479814</v>
      </c>
      <c r="P6494">
        <v>-8.3992753833789194E-2</v>
      </c>
      <c r="Q6494">
        <v>0.27515943747168697</v>
      </c>
      <c r="R6494">
        <v>0.89938746917686796</v>
      </c>
      <c r="S6494" t="s">
        <v>13164</v>
      </c>
      <c r="T6494" t="s">
        <v>13338</v>
      </c>
      <c r="U6494" t="s">
        <v>13338</v>
      </c>
      <c r="V6494" t="s">
        <v>13338</v>
      </c>
      <c r="W6494" t="s">
        <v>19769</v>
      </c>
      <c r="X6494">
        <v>5</v>
      </c>
      <c r="Y6494" t="s">
        <v>26248</v>
      </c>
      <c r="Z6494" t="s">
        <v>32909</v>
      </c>
      <c r="AA6494">
        <v>0.54282884407084497</v>
      </c>
      <c r="AB6494" t="str">
        <f>HYPERLINK("Melting_Curves/meltCurve_Q9Y316_MEMO1.pdf", "Melting_Curves/meltCurve_Q9Y316_MEMO1.pdf")</f>
        <v>Melting_Curves/meltCurve_Q9Y316_MEMO1.pdf</v>
      </c>
    </row>
    <row r="6495" spans="1:28" x14ac:dyDescent="0.25">
      <c r="A6495" t="s">
        <v>6499</v>
      </c>
      <c r="B6495">
        <v>0.99193492352474899</v>
      </c>
      <c r="C6495">
        <v>1.0551256628043599</v>
      </c>
      <c r="D6495">
        <v>0.96630906210813905</v>
      </c>
      <c r="E6495">
        <v>0.91491827277942805</v>
      </c>
      <c r="F6495">
        <v>0.55012635707928204</v>
      </c>
      <c r="G6495">
        <v>0.22002824129936999</v>
      </c>
      <c r="H6495">
        <v>8.5672941258615895E-2</v>
      </c>
      <c r="I6495">
        <v>8.7081468436159506E-2</v>
      </c>
      <c r="J6495">
        <v>0.105189963778409</v>
      </c>
      <c r="K6495">
        <v>9.51704337870313E-2</v>
      </c>
      <c r="L6495">
        <v>1596.4706440146001</v>
      </c>
      <c r="M6495">
        <v>29.967654823590099</v>
      </c>
      <c r="N6495">
        <v>53.617721074453002</v>
      </c>
      <c r="O6495">
        <v>53.037582391075397</v>
      </c>
      <c r="P6495">
        <v>-0.128884326736705</v>
      </c>
      <c r="Q6495">
        <v>8.7593663420046403E-2</v>
      </c>
      <c r="R6495">
        <v>0.99711138030595403</v>
      </c>
      <c r="S6495" t="s">
        <v>13165</v>
      </c>
      <c r="T6495" t="s">
        <v>13338</v>
      </c>
      <c r="U6495" t="s">
        <v>13338</v>
      </c>
      <c r="V6495" t="s">
        <v>13338</v>
      </c>
      <c r="W6495" t="s">
        <v>19770</v>
      </c>
      <c r="X6495">
        <v>10</v>
      </c>
      <c r="Y6495" t="s">
        <v>26249</v>
      </c>
      <c r="Z6495" t="s">
        <v>32910</v>
      </c>
      <c r="AA6495">
        <v>0.49722813362463331</v>
      </c>
      <c r="AB6495" t="str">
        <f>HYPERLINK("Melting_Curves/meltCurve_Q9Y320_2_TMX2.pdf", "Melting_Curves/meltCurve_Q9Y320_2_TMX2.pdf")</f>
        <v>Melting_Curves/meltCurve_Q9Y320_2_TMX2.pdf</v>
      </c>
    </row>
    <row r="6496" spans="1:28" x14ac:dyDescent="0.25">
      <c r="A6496" t="s">
        <v>6500</v>
      </c>
      <c r="B6496">
        <v>0.99193492352474899</v>
      </c>
      <c r="C6496">
        <v>0.90724023516553098</v>
      </c>
      <c r="D6496">
        <v>1.01151612093651</v>
      </c>
      <c r="E6496">
        <v>0.82444473252568795</v>
      </c>
      <c r="F6496">
        <v>0.84085844972101997</v>
      </c>
      <c r="G6496">
        <v>0.63139018411162195</v>
      </c>
      <c r="H6496">
        <v>0.53878720159454396</v>
      </c>
      <c r="I6496">
        <v>0.67668167614492702</v>
      </c>
      <c r="J6496">
        <v>0.82273968684812704</v>
      </c>
      <c r="K6496">
        <v>0.81510052258694199</v>
      </c>
      <c r="L6496">
        <v>1276.02553482959</v>
      </c>
      <c r="M6496">
        <v>25.5945764368693</v>
      </c>
      <c r="O6496">
        <v>49.553953359936898</v>
      </c>
      <c r="P6496">
        <v>-3.7967924465348003E-2</v>
      </c>
      <c r="Q6496">
        <v>0.70596308175398803</v>
      </c>
      <c r="R6496">
        <v>0.60850782443296103</v>
      </c>
      <c r="S6496" t="s">
        <v>13166</v>
      </c>
      <c r="T6496" t="s">
        <v>13338</v>
      </c>
      <c r="U6496" t="s">
        <v>13338</v>
      </c>
      <c r="V6496" t="s">
        <v>13338</v>
      </c>
      <c r="W6496" t="s">
        <v>19771</v>
      </c>
      <c r="X6496">
        <v>5</v>
      </c>
      <c r="Y6496" t="s">
        <v>26250</v>
      </c>
      <c r="Z6496" t="s">
        <v>32911</v>
      </c>
      <c r="AA6496">
        <v>0.80505986817917552</v>
      </c>
      <c r="AB6496" t="str">
        <f>HYPERLINK("Melting_Curves/meltCurve_Q9Y333_LSM2.pdf", "Melting_Curves/meltCurve_Q9Y333_LSM2.pdf")</f>
        <v>Melting_Curves/meltCurve_Q9Y333_LSM2.pdf</v>
      </c>
    </row>
    <row r="6497" spans="1:28" x14ac:dyDescent="0.25">
      <c r="A6497" t="s">
        <v>6501</v>
      </c>
      <c r="B6497">
        <v>0.99193492352474899</v>
      </c>
      <c r="C6497">
        <v>1.0526416958654099</v>
      </c>
      <c r="D6497">
        <v>0.68252820978018602</v>
      </c>
      <c r="E6497">
        <v>0.248257788034973</v>
      </c>
      <c r="F6497">
        <v>0.12881817261463799</v>
      </c>
      <c r="G6497">
        <v>8.8391381925309806E-2</v>
      </c>
      <c r="H6497">
        <v>6.2437915295947999E-2</v>
      </c>
      <c r="I6497">
        <v>0.116938919355425</v>
      </c>
      <c r="J6497">
        <v>7.6094023311783096E-2</v>
      </c>
      <c r="K6497">
        <v>7.5675295489839603E-2</v>
      </c>
      <c r="L6497">
        <v>1565.07233223968</v>
      </c>
      <c r="M6497">
        <v>33.259469977451403</v>
      </c>
      <c r="N6497">
        <v>47.336336019505602</v>
      </c>
      <c r="O6497">
        <v>46.887304854772502</v>
      </c>
      <c r="P6497">
        <v>-0.16150809991225201</v>
      </c>
      <c r="Q6497">
        <v>8.9264294920541706E-2</v>
      </c>
      <c r="R6497">
        <v>0.99221873566677099</v>
      </c>
      <c r="S6497" t="s">
        <v>13167</v>
      </c>
      <c r="T6497" t="s">
        <v>13338</v>
      </c>
      <c r="U6497" t="s">
        <v>13338</v>
      </c>
      <c r="V6497" t="s">
        <v>13338</v>
      </c>
      <c r="W6497" t="s">
        <v>19772</v>
      </c>
      <c r="X6497">
        <v>10</v>
      </c>
      <c r="Y6497" t="s">
        <v>26251</v>
      </c>
      <c r="Z6497" t="s">
        <v>32912</v>
      </c>
      <c r="AA6497">
        <v>0.30786754506387137</v>
      </c>
      <c r="AB6497" t="str">
        <f>HYPERLINK("Melting_Curves/meltCurve_Q9Y371_SH3GLB1.pdf", "Melting_Curves/meltCurve_Q9Y371_SH3GLB1.pdf")</f>
        <v>Melting_Curves/meltCurve_Q9Y371_SH3GLB1.pdf</v>
      </c>
    </row>
    <row r="6498" spans="1:28" x14ac:dyDescent="0.25">
      <c r="A6498" t="s">
        <v>6502</v>
      </c>
      <c r="B6498">
        <v>0.99193492352474899</v>
      </c>
      <c r="C6498">
        <v>0.63519825102213501</v>
      </c>
      <c r="D6498">
        <v>0.74468664245687199</v>
      </c>
      <c r="E6498">
        <v>0.47565087573940801</v>
      </c>
      <c r="F6498">
        <v>0.45158124636841701</v>
      </c>
      <c r="G6498">
        <v>0.23253298175211901</v>
      </c>
      <c r="H6498">
        <v>0.113015469973828</v>
      </c>
      <c r="I6498">
        <v>6.8011279066627697E-2</v>
      </c>
      <c r="J6498">
        <v>7.4594547044048595E-2</v>
      </c>
      <c r="K6498">
        <v>6.0833428247279997E-2</v>
      </c>
      <c r="L6498">
        <v>454.60027000516402</v>
      </c>
      <c r="M6498">
        <v>9.1561225023194108</v>
      </c>
      <c r="N6498">
        <v>49.649860282869703</v>
      </c>
      <c r="O6498">
        <v>47.453582368188201</v>
      </c>
      <c r="P6498">
        <v>-4.8270077918052302E-2</v>
      </c>
      <c r="Q6498">
        <v>0</v>
      </c>
      <c r="R6498">
        <v>0.94014647547317698</v>
      </c>
      <c r="S6498" t="s">
        <v>13168</v>
      </c>
      <c r="T6498" t="s">
        <v>13338</v>
      </c>
      <c r="U6498" t="s">
        <v>13338</v>
      </c>
      <c r="V6498" t="s">
        <v>13338</v>
      </c>
      <c r="W6498" t="s">
        <v>19773</v>
      </c>
      <c r="X6498">
        <v>6</v>
      </c>
      <c r="Y6498" t="s">
        <v>26252</v>
      </c>
      <c r="Z6498" t="s">
        <v>32913</v>
      </c>
      <c r="AA6498">
        <v>0.3740540955487186</v>
      </c>
      <c r="AB6498" t="str">
        <f>HYPERLINK("Melting_Curves/meltCurve_Q9Y375_NDUFAF1.pdf", "Melting_Curves/meltCurve_Q9Y375_NDUFAF1.pdf")</f>
        <v>Melting_Curves/meltCurve_Q9Y375_NDUFAF1.pdf</v>
      </c>
    </row>
    <row r="6499" spans="1:28" x14ac:dyDescent="0.25">
      <c r="A6499" t="s">
        <v>6503</v>
      </c>
      <c r="B6499">
        <v>0.99193492352474899</v>
      </c>
      <c r="C6499">
        <v>0.70578110438057895</v>
      </c>
      <c r="D6499">
        <v>0.92703336833889605</v>
      </c>
      <c r="E6499">
        <v>0.69240266401105299</v>
      </c>
      <c r="F6499">
        <v>0.74552670275172594</v>
      </c>
      <c r="G6499">
        <v>0.36942494298213202</v>
      </c>
      <c r="H6499">
        <v>9.7800868374657901E-2</v>
      </c>
      <c r="I6499">
        <v>7.6622108911890793E-2</v>
      </c>
      <c r="J6499">
        <v>8.2135724770017904E-2</v>
      </c>
      <c r="K6499">
        <v>8.2229292935680001E-2</v>
      </c>
      <c r="L6499">
        <v>697.83575353861295</v>
      </c>
      <c r="M6499">
        <v>12.828390825194001</v>
      </c>
      <c r="N6499">
        <v>54.3977621243626</v>
      </c>
      <c r="O6499">
        <v>53.126747219068797</v>
      </c>
      <c r="P6499">
        <v>-6.03781456206198E-2</v>
      </c>
      <c r="Q6499">
        <v>0</v>
      </c>
      <c r="R6499">
        <v>0.90394213296722503</v>
      </c>
      <c r="S6499" t="s">
        <v>13169</v>
      </c>
      <c r="T6499" t="s">
        <v>13338</v>
      </c>
      <c r="U6499" t="s">
        <v>13338</v>
      </c>
      <c r="V6499" t="s">
        <v>13338</v>
      </c>
      <c r="W6499" t="s">
        <v>19774</v>
      </c>
      <c r="X6499">
        <v>22</v>
      </c>
      <c r="Y6499" t="s">
        <v>26253</v>
      </c>
      <c r="Z6499" t="s">
        <v>32914</v>
      </c>
      <c r="AA6499">
        <v>0.50358249209471451</v>
      </c>
      <c r="AB6499" t="str">
        <f>HYPERLINK("Melting_Curves/meltCurve_Q9Y376_CAB39.pdf", "Melting_Curves/meltCurve_Q9Y376_CAB39.pdf")</f>
        <v>Melting_Curves/meltCurve_Q9Y376_CAB39.pdf</v>
      </c>
    </row>
    <row r="6500" spans="1:28" x14ac:dyDescent="0.25">
      <c r="A6500" t="s">
        <v>6504</v>
      </c>
      <c r="B6500">
        <v>0.99193492352474899</v>
      </c>
      <c r="C6500">
        <v>0.93820972968739902</v>
      </c>
      <c r="D6500">
        <v>0.833310854480519</v>
      </c>
      <c r="E6500">
        <v>0.57180076452294304</v>
      </c>
      <c r="F6500">
        <v>0.26483252260366502</v>
      </c>
      <c r="G6500">
        <v>0.151775836739828</v>
      </c>
      <c r="H6500">
        <v>0.120833092583035</v>
      </c>
      <c r="I6500">
        <v>0.12269058212752799</v>
      </c>
      <c r="J6500">
        <v>0.14407140744877001</v>
      </c>
      <c r="K6500">
        <v>0.17806189698973701</v>
      </c>
      <c r="L6500">
        <v>1068.95026792159</v>
      </c>
      <c r="M6500">
        <v>21.655793606026599</v>
      </c>
      <c r="N6500">
        <v>50.050710894136003</v>
      </c>
      <c r="O6500">
        <v>48.945800500647401</v>
      </c>
      <c r="P6500">
        <v>-9.6342879744092905E-2</v>
      </c>
      <c r="Q6500">
        <v>0.12901487400731701</v>
      </c>
      <c r="R6500">
        <v>0.99492037439467995</v>
      </c>
      <c r="S6500" t="s">
        <v>13170</v>
      </c>
      <c r="T6500" t="s">
        <v>13338</v>
      </c>
      <c r="U6500" t="s">
        <v>13338</v>
      </c>
      <c r="V6500" t="s">
        <v>13338</v>
      </c>
      <c r="W6500" t="s">
        <v>19775</v>
      </c>
      <c r="X6500">
        <v>30</v>
      </c>
      <c r="Y6500" t="s">
        <v>26254</v>
      </c>
      <c r="Z6500" t="s">
        <v>32915</v>
      </c>
      <c r="AA6500">
        <v>0.41115403275055118</v>
      </c>
      <c r="AB6500" t="str">
        <f>HYPERLINK("Melting_Curves/meltCurve_Q9Y383_LUC7L2.pdf", "Melting_Curves/meltCurve_Q9Y383_LUC7L2.pdf")</f>
        <v>Melting_Curves/meltCurve_Q9Y383_LUC7L2.pdf</v>
      </c>
    </row>
    <row r="6501" spans="1:28" x14ac:dyDescent="0.25">
      <c r="A6501" t="s">
        <v>6505</v>
      </c>
      <c r="B6501">
        <v>0.99193492352474899</v>
      </c>
      <c r="C6501">
        <v>0.77676507313851495</v>
      </c>
      <c r="D6501">
        <v>1.34071579342897</v>
      </c>
      <c r="E6501">
        <v>0.63089795493270895</v>
      </c>
      <c r="F6501">
        <v>0.286624978132271</v>
      </c>
      <c r="G6501">
        <v>0.138453449708409</v>
      </c>
      <c r="H6501">
        <v>0.107982619846044</v>
      </c>
      <c r="I6501">
        <v>0.126615510433227</v>
      </c>
      <c r="J6501">
        <v>0.113724295155451</v>
      </c>
      <c r="K6501">
        <v>0.13087494229848901</v>
      </c>
      <c r="L6501">
        <v>2408.3576601700402</v>
      </c>
      <c r="M6501">
        <v>48.0652132042107</v>
      </c>
      <c r="N6501">
        <v>50.4482089085041</v>
      </c>
      <c r="O6501">
        <v>50.019541901410598</v>
      </c>
      <c r="P6501">
        <v>-0.206816475935197</v>
      </c>
      <c r="Q6501">
        <v>0.139098417719005</v>
      </c>
      <c r="R6501">
        <v>0.89513025397310997</v>
      </c>
      <c r="S6501" t="s">
        <v>13171</v>
      </c>
      <c r="T6501" t="s">
        <v>13338</v>
      </c>
      <c r="U6501" t="s">
        <v>13338</v>
      </c>
      <c r="V6501" t="s">
        <v>13338</v>
      </c>
      <c r="W6501" t="s">
        <v>19776</v>
      </c>
      <c r="X6501">
        <v>3</v>
      </c>
      <c r="Y6501" t="s">
        <v>26255</v>
      </c>
      <c r="Z6501" t="s">
        <v>32916</v>
      </c>
      <c r="AA6501">
        <v>0.4311687236503049</v>
      </c>
      <c r="AB6501" t="str">
        <f>HYPERLINK("Melting_Curves/meltCurve_Q9Y385_UBE2J1.pdf", "Melting_Curves/meltCurve_Q9Y385_UBE2J1.pdf")</f>
        <v>Melting_Curves/meltCurve_Q9Y385_UBE2J1.pdf</v>
      </c>
    </row>
    <row r="6502" spans="1:28" x14ac:dyDescent="0.25">
      <c r="A6502" t="s">
        <v>6506</v>
      </c>
      <c r="B6502">
        <v>0.99193492352474899</v>
      </c>
      <c r="C6502">
        <v>0.27360445785210902</v>
      </c>
      <c r="D6502">
        <v>0.69003548032324702</v>
      </c>
      <c r="E6502">
        <v>0.17641148532409301</v>
      </c>
      <c r="F6502">
        <v>0.124412877515595</v>
      </c>
      <c r="G6502">
        <v>7.7173834514987105E-2</v>
      </c>
      <c r="H6502">
        <v>5.2500121009805098E-2</v>
      </c>
      <c r="I6502">
        <v>9.1644704550069095E-2</v>
      </c>
      <c r="J6502">
        <v>8.97343657626304E-2</v>
      </c>
      <c r="K6502">
        <v>0.12353042360378499</v>
      </c>
      <c r="L6502">
        <v>583.42604465094303</v>
      </c>
      <c r="M6502">
        <v>13.251046105176</v>
      </c>
      <c r="N6502">
        <v>44.517603580451997</v>
      </c>
      <c r="O6502">
        <v>43.062180406245801</v>
      </c>
      <c r="P6502">
        <v>-7.1731915891866296E-2</v>
      </c>
      <c r="Q6502">
        <v>6.7718511745887E-2</v>
      </c>
      <c r="R6502">
        <v>0.73015666760781295</v>
      </c>
      <c r="S6502" t="s">
        <v>13172</v>
      </c>
      <c r="T6502" t="s">
        <v>13338</v>
      </c>
      <c r="U6502" t="s">
        <v>13338</v>
      </c>
      <c r="V6502" t="s">
        <v>13338</v>
      </c>
      <c r="W6502" t="s">
        <v>19777</v>
      </c>
      <c r="X6502">
        <v>4</v>
      </c>
      <c r="Y6502" t="s">
        <v>26256</v>
      </c>
      <c r="Z6502" t="s">
        <v>32917</v>
      </c>
      <c r="AA6502">
        <v>0.23592149118470371</v>
      </c>
      <c r="AB6502" t="str">
        <f>HYPERLINK("Melting_Curves/meltCurve_Q9Y388_RBMX2.pdf", "Melting_Curves/meltCurve_Q9Y388_RBMX2.pdf")</f>
        <v>Melting_Curves/meltCurve_Q9Y388_RBMX2.pdf</v>
      </c>
    </row>
    <row r="6503" spans="1:28" x14ac:dyDescent="0.25">
      <c r="A6503" t="s">
        <v>6507</v>
      </c>
      <c r="B6503">
        <v>0.99193492352474899</v>
      </c>
      <c r="C6503">
        <v>0.965210793064048</v>
      </c>
      <c r="D6503">
        <v>0.90822899856003603</v>
      </c>
      <c r="E6503">
        <v>0.86686674858980595</v>
      </c>
      <c r="F6503">
        <v>0.67765587573540398</v>
      </c>
      <c r="G6503">
        <v>0.60395359293211803</v>
      </c>
      <c r="H6503">
        <v>0.38595754867939902</v>
      </c>
      <c r="I6503">
        <v>0.19652455055070001</v>
      </c>
      <c r="J6503">
        <v>0.14462921022778899</v>
      </c>
      <c r="K6503">
        <v>9.5925167418406093E-2</v>
      </c>
      <c r="L6503">
        <v>664.59450318925099</v>
      </c>
      <c r="M6503">
        <v>11.538097622106299</v>
      </c>
      <c r="N6503">
        <v>57.600000845201798</v>
      </c>
      <c r="O6503">
        <v>55.951308246476103</v>
      </c>
      <c r="P6503">
        <v>-5.1568669489372498E-2</v>
      </c>
      <c r="Q6503">
        <v>0</v>
      </c>
      <c r="R6503">
        <v>0.98976221959680699</v>
      </c>
      <c r="S6503" t="s">
        <v>13173</v>
      </c>
      <c r="T6503" t="s">
        <v>13338</v>
      </c>
      <c r="U6503" t="s">
        <v>13338</v>
      </c>
      <c r="V6503" t="s">
        <v>13338</v>
      </c>
      <c r="W6503" t="s">
        <v>19778</v>
      </c>
      <c r="X6503">
        <v>13</v>
      </c>
      <c r="Y6503" t="s">
        <v>26257</v>
      </c>
      <c r="Z6503" t="s">
        <v>32918</v>
      </c>
      <c r="AA6503">
        <v>0.60081768892457965</v>
      </c>
      <c r="AB6503" t="str">
        <f>HYPERLINK("Melting_Curves/meltCurve_Q9Y394_2_DHRS7.pdf", "Melting_Curves/meltCurve_Q9Y394_2_DHRS7.pdf")</f>
        <v>Melting_Curves/meltCurve_Q9Y394_2_DHRS7.pdf</v>
      </c>
    </row>
    <row r="6504" spans="1:28" x14ac:dyDescent="0.25">
      <c r="A6504" t="s">
        <v>6508</v>
      </c>
      <c r="B6504">
        <v>0.99193492352474899</v>
      </c>
      <c r="C6504">
        <v>0.533477865657775</v>
      </c>
      <c r="D6504">
        <v>0.71180618550664498</v>
      </c>
      <c r="E6504">
        <v>0.40533282662696202</v>
      </c>
      <c r="F6504">
        <v>0.34248726324784701</v>
      </c>
      <c r="G6504">
        <v>0.20978997631753499</v>
      </c>
      <c r="H6504">
        <v>0.162658645347976</v>
      </c>
      <c r="I6504">
        <v>0.19402015731036201</v>
      </c>
      <c r="J6504">
        <v>0.22320528245201299</v>
      </c>
      <c r="K6504">
        <v>0.17786491759339301</v>
      </c>
      <c r="L6504">
        <v>503.62942749166001</v>
      </c>
      <c r="M6504">
        <v>10.9175862729854</v>
      </c>
      <c r="N6504">
        <v>47.7302009232465</v>
      </c>
      <c r="O6504">
        <v>44.663423657332203</v>
      </c>
      <c r="P6504">
        <v>-5.1763303423957997E-2</v>
      </c>
      <c r="Q6504">
        <v>0.153247810336854</v>
      </c>
      <c r="R6504">
        <v>0.87952119725149003</v>
      </c>
      <c r="S6504" t="s">
        <v>13174</v>
      </c>
      <c r="T6504" t="s">
        <v>13338</v>
      </c>
      <c r="U6504" t="s">
        <v>13338</v>
      </c>
      <c r="V6504" t="s">
        <v>13338</v>
      </c>
      <c r="W6504" t="s">
        <v>19779</v>
      </c>
      <c r="X6504">
        <v>5</v>
      </c>
      <c r="Y6504" t="s">
        <v>26258</v>
      </c>
      <c r="Z6504" t="s">
        <v>32919</v>
      </c>
      <c r="AA6504">
        <v>0.37144480843345828</v>
      </c>
      <c r="AB6504" t="str">
        <f>HYPERLINK("Melting_Curves/meltCurve_Q9Y399_MRPS2.pdf", "Melting_Curves/meltCurve_Q9Y399_MRPS2.pdf")</f>
        <v>Melting_Curves/meltCurve_Q9Y399_MRPS2.pdf</v>
      </c>
    </row>
    <row r="6505" spans="1:28" x14ac:dyDescent="0.25">
      <c r="A6505" t="s">
        <v>6509</v>
      </c>
      <c r="B6505">
        <v>0.99193492352474899</v>
      </c>
      <c r="C6505">
        <v>0.87700692769616495</v>
      </c>
      <c r="D6505">
        <v>0.85798000038114297</v>
      </c>
      <c r="E6505">
        <v>0.70204235364061496</v>
      </c>
      <c r="F6505">
        <v>0.48335109821443101</v>
      </c>
      <c r="G6505">
        <v>0.21387366254419199</v>
      </c>
      <c r="H6505">
        <v>0.100315341064399</v>
      </c>
      <c r="I6505">
        <v>0.104641374295227</v>
      </c>
      <c r="J6505">
        <v>0.128168999919933</v>
      </c>
      <c r="K6505">
        <v>0.116762633467039</v>
      </c>
      <c r="L6505">
        <v>784.445060154977</v>
      </c>
      <c r="M6505">
        <v>15.167317547996401</v>
      </c>
      <c r="N6505">
        <v>52.213828856853098</v>
      </c>
      <c r="O6505">
        <v>50.845371717948403</v>
      </c>
      <c r="P6505">
        <v>-6.9594136063514306E-2</v>
      </c>
      <c r="Q6505">
        <v>6.6889080838730297E-2</v>
      </c>
      <c r="R6505">
        <v>0.98587281544737204</v>
      </c>
      <c r="S6505" t="s">
        <v>13175</v>
      </c>
      <c r="T6505" t="s">
        <v>13338</v>
      </c>
      <c r="U6505" t="s">
        <v>13338</v>
      </c>
      <c r="V6505" t="s">
        <v>13338</v>
      </c>
      <c r="W6505" t="s">
        <v>19780</v>
      </c>
      <c r="X6505">
        <v>9</v>
      </c>
      <c r="Y6505" t="s">
        <v>26259</v>
      </c>
      <c r="Z6505" t="s">
        <v>32920</v>
      </c>
      <c r="AA6505">
        <v>0.45210555403796793</v>
      </c>
      <c r="AB6505" t="str">
        <f>HYPERLINK("Melting_Curves/meltCurve_Q9Y3A3_3_MOB4.pdf", "Melting_Curves/meltCurve_Q9Y3A3_3_MOB4.pdf")</f>
        <v>Melting_Curves/meltCurve_Q9Y3A3_3_MOB4.pdf</v>
      </c>
    </row>
    <row r="6506" spans="1:28" x14ac:dyDescent="0.25">
      <c r="A6506" t="s">
        <v>6510</v>
      </c>
      <c r="B6506">
        <v>0.99193492352474899</v>
      </c>
      <c r="C6506">
        <v>0.44697015828890102</v>
      </c>
      <c r="D6506">
        <v>0.67922340737536702</v>
      </c>
      <c r="E6506">
        <v>0.34149409134078201</v>
      </c>
      <c r="F6506">
        <v>0.14378467092883901</v>
      </c>
      <c r="G6506">
        <v>7.9795142916315703E-2</v>
      </c>
      <c r="H6506">
        <v>5.07608185258707E-2</v>
      </c>
      <c r="I6506">
        <v>6.4650561496397294E-2</v>
      </c>
      <c r="J6506">
        <v>0.103654820443049</v>
      </c>
      <c r="K6506">
        <v>0.121868245131018</v>
      </c>
      <c r="L6506">
        <v>551.49217589588</v>
      </c>
      <c r="M6506">
        <v>12.0671742909717</v>
      </c>
      <c r="N6506">
        <v>46.091093080535799</v>
      </c>
      <c r="O6506">
        <v>44.501073657975297</v>
      </c>
      <c r="P6506">
        <v>-6.45226400477759E-2</v>
      </c>
      <c r="Q6506">
        <v>4.8443942290474801E-2</v>
      </c>
      <c r="R6506">
        <v>0.86007085309837294</v>
      </c>
      <c r="S6506" t="s">
        <v>13176</v>
      </c>
      <c r="T6506" t="s">
        <v>13338</v>
      </c>
      <c r="U6506" t="s">
        <v>13338</v>
      </c>
      <c r="V6506" t="s">
        <v>13338</v>
      </c>
      <c r="W6506" t="s">
        <v>19781</v>
      </c>
      <c r="X6506">
        <v>3</v>
      </c>
      <c r="Y6506" t="s">
        <v>26260</v>
      </c>
      <c r="Z6506" t="s">
        <v>32921</v>
      </c>
      <c r="AA6506">
        <v>0.27329355051058268</v>
      </c>
      <c r="AB6506" t="str">
        <f>HYPERLINK("Melting_Curves/meltCurve_Q9Y3A4_RRP7A.pdf", "Melting_Curves/meltCurve_Q9Y3A4_RRP7A.pdf")</f>
        <v>Melting_Curves/meltCurve_Q9Y3A4_RRP7A.pdf</v>
      </c>
    </row>
    <row r="6507" spans="1:28" x14ac:dyDescent="0.25">
      <c r="A6507" t="s">
        <v>6511</v>
      </c>
      <c r="B6507">
        <v>0.99193492352474899</v>
      </c>
      <c r="C6507">
        <v>0.84135792906969897</v>
      </c>
      <c r="D6507">
        <v>0.89476691623569005</v>
      </c>
      <c r="E6507">
        <v>0.50695903442699197</v>
      </c>
      <c r="F6507">
        <v>0.18983075015541701</v>
      </c>
      <c r="G6507">
        <v>0.113085569695415</v>
      </c>
      <c r="H6507">
        <v>6.0904921825065302E-2</v>
      </c>
      <c r="I6507">
        <v>7.6617453306850894E-2</v>
      </c>
      <c r="J6507">
        <v>6.6956743657743706E-2</v>
      </c>
      <c r="K6507">
        <v>7.2575760401490497E-2</v>
      </c>
      <c r="L6507">
        <v>1140.5757378758799</v>
      </c>
      <c r="M6507">
        <v>23.114444349073899</v>
      </c>
      <c r="N6507">
        <v>49.633035486050296</v>
      </c>
      <c r="O6507">
        <v>48.979844319495797</v>
      </c>
      <c r="P6507">
        <v>-0.11056955810238001</v>
      </c>
      <c r="Q6507">
        <v>6.2823435555405094E-2</v>
      </c>
      <c r="R6507">
        <v>0.98558642569322197</v>
      </c>
      <c r="S6507" t="s">
        <v>13177</v>
      </c>
      <c r="T6507" t="s">
        <v>13338</v>
      </c>
      <c r="U6507" t="s">
        <v>13338</v>
      </c>
      <c r="V6507" t="s">
        <v>13338</v>
      </c>
      <c r="W6507" t="s">
        <v>19782</v>
      </c>
      <c r="X6507">
        <v>12</v>
      </c>
      <c r="Y6507" t="s">
        <v>26261</v>
      </c>
      <c r="Z6507" t="s">
        <v>32922</v>
      </c>
      <c r="AA6507">
        <v>0.36451473913969262</v>
      </c>
      <c r="AB6507" t="str">
        <f>HYPERLINK("Melting_Curves/meltCurve_Q9Y3A5_SBDS.pdf", "Melting_Curves/meltCurve_Q9Y3A5_SBDS.pdf")</f>
        <v>Melting_Curves/meltCurve_Q9Y3A5_SBDS.pdf</v>
      </c>
    </row>
    <row r="6508" spans="1:28" x14ac:dyDescent="0.25">
      <c r="A6508" t="s">
        <v>6512</v>
      </c>
      <c r="B6508">
        <v>0.99193492352474899</v>
      </c>
      <c r="C6508">
        <v>0.75470450575596604</v>
      </c>
      <c r="D6508">
        <v>0.94651994987231602</v>
      </c>
      <c r="E6508">
        <v>0.64516809552570997</v>
      </c>
      <c r="F6508">
        <v>0.39784660559387702</v>
      </c>
      <c r="G6508">
        <v>0.117902689224852</v>
      </c>
      <c r="H6508">
        <v>5.8693662694736498E-2</v>
      </c>
      <c r="I6508">
        <v>6.6373232971663296E-2</v>
      </c>
      <c r="J6508">
        <v>6.2175841660366903E-2</v>
      </c>
      <c r="K6508">
        <v>6.1126598341374301E-2</v>
      </c>
      <c r="L6508">
        <v>882.46155187803197</v>
      </c>
      <c r="M6508">
        <v>17.236053818598901</v>
      </c>
      <c r="N6508">
        <v>51.364995917574198</v>
      </c>
      <c r="O6508">
        <v>50.524310669321402</v>
      </c>
      <c r="P6508">
        <v>-8.29748371375955E-2</v>
      </c>
      <c r="Q6508">
        <v>2.7155263010984899E-2</v>
      </c>
      <c r="R6508">
        <v>0.95896773925754297</v>
      </c>
      <c r="S6508" t="s">
        <v>13178</v>
      </c>
      <c r="T6508" t="s">
        <v>13338</v>
      </c>
      <c r="U6508" t="s">
        <v>13338</v>
      </c>
      <c r="V6508" t="s">
        <v>13338</v>
      </c>
      <c r="W6508" t="s">
        <v>19783</v>
      </c>
      <c r="X6508">
        <v>2</v>
      </c>
      <c r="Y6508" t="s">
        <v>26262</v>
      </c>
      <c r="Z6508" t="s">
        <v>32923</v>
      </c>
      <c r="AA6508">
        <v>0.40796157142114903</v>
      </c>
      <c r="AB6508" t="str">
        <f>HYPERLINK("Melting_Curves/meltCurve_Q9Y3A6_TMED5.pdf", "Melting_Curves/meltCurve_Q9Y3A6_TMED5.pdf")</f>
        <v>Melting_Curves/meltCurve_Q9Y3A6_TMED5.pdf</v>
      </c>
    </row>
    <row r="6509" spans="1:28" x14ac:dyDescent="0.25">
      <c r="A6509" t="s">
        <v>6513</v>
      </c>
      <c r="B6509">
        <v>0.99193492352474899</v>
      </c>
      <c r="C6509">
        <v>0.84888931214129204</v>
      </c>
      <c r="D6509">
        <v>0.98176180425939297</v>
      </c>
      <c r="E6509">
        <v>0.76091938070455001</v>
      </c>
      <c r="F6509">
        <v>0.63324347265169501</v>
      </c>
      <c r="G6509">
        <v>0.31742961309120399</v>
      </c>
      <c r="H6509">
        <v>0.10371086411276199</v>
      </c>
      <c r="I6509">
        <v>8.0651876935913497E-2</v>
      </c>
      <c r="J6509">
        <v>9.1352421664114503E-2</v>
      </c>
      <c r="K6509">
        <v>8.3119092983018797E-2</v>
      </c>
      <c r="L6509">
        <v>889.37364167044097</v>
      </c>
      <c r="M6509">
        <v>16.497093995946301</v>
      </c>
      <c r="N6509">
        <v>54.124646820352702</v>
      </c>
      <c r="O6509">
        <v>53.137446344078199</v>
      </c>
      <c r="P6509">
        <v>-7.5173068843751495E-2</v>
      </c>
      <c r="Q6509">
        <v>3.1531940640294701E-2</v>
      </c>
      <c r="R6509">
        <v>0.97684843340350103</v>
      </c>
      <c r="S6509" t="s">
        <v>13179</v>
      </c>
      <c r="T6509" t="s">
        <v>13338</v>
      </c>
      <c r="U6509" t="s">
        <v>13338</v>
      </c>
      <c r="V6509" t="s">
        <v>13338</v>
      </c>
      <c r="W6509" t="s">
        <v>19784</v>
      </c>
      <c r="X6509">
        <v>7</v>
      </c>
      <c r="Y6509" t="s">
        <v>26263</v>
      </c>
      <c r="Z6509" t="s">
        <v>32924</v>
      </c>
      <c r="AA6509">
        <v>0.49821891197124168</v>
      </c>
      <c r="AB6509" t="str">
        <f>HYPERLINK("Melting_Curves/meltCurve_Q9Y3B3_TMED7.pdf", "Melting_Curves/meltCurve_Q9Y3B3_TMED7.pdf")</f>
        <v>Melting_Curves/meltCurve_Q9Y3B3_TMED7.pdf</v>
      </c>
    </row>
    <row r="6510" spans="1:28" x14ac:dyDescent="0.25">
      <c r="A6510" t="s">
        <v>6514</v>
      </c>
      <c r="B6510">
        <v>0.99193492352474899</v>
      </c>
      <c r="C6510">
        <v>0.58969941149146399</v>
      </c>
      <c r="D6510">
        <v>0.68080487375533905</v>
      </c>
      <c r="E6510">
        <v>0.33565376593121199</v>
      </c>
      <c r="F6510">
        <v>0.194955268518096</v>
      </c>
      <c r="G6510">
        <v>0.103185095937788</v>
      </c>
      <c r="H6510">
        <v>7.2670973878703804E-2</v>
      </c>
      <c r="I6510">
        <v>7.9054475011936895E-2</v>
      </c>
      <c r="J6510">
        <v>0.10545789986644701</v>
      </c>
      <c r="K6510">
        <v>0.100195409913734</v>
      </c>
      <c r="L6510">
        <v>605.58812248785796</v>
      </c>
      <c r="M6510">
        <v>13.039060905532899</v>
      </c>
      <c r="N6510">
        <v>46.894229736308603</v>
      </c>
      <c r="O6510">
        <v>45.392458148837399</v>
      </c>
      <c r="P6510">
        <v>-6.7601001688104401E-2</v>
      </c>
      <c r="Q6510">
        <v>5.8815683709993398E-2</v>
      </c>
      <c r="R6510">
        <v>0.93850242230871195</v>
      </c>
      <c r="S6510" t="s">
        <v>13180</v>
      </c>
      <c r="T6510" t="s">
        <v>13338</v>
      </c>
      <c r="U6510" t="s">
        <v>13338</v>
      </c>
      <c r="V6510" t="s">
        <v>13338</v>
      </c>
      <c r="W6510" t="s">
        <v>19785</v>
      </c>
      <c r="X6510">
        <v>4</v>
      </c>
      <c r="Y6510" t="s">
        <v>26264</v>
      </c>
      <c r="Z6510" t="s">
        <v>32925</v>
      </c>
      <c r="AA6510">
        <v>0.29622532522388351</v>
      </c>
      <c r="AB6510" t="str">
        <f>HYPERLINK("Melting_Curves/meltCurve_Q9Y3B4_SF3B14.pdf", "Melting_Curves/meltCurve_Q9Y3B4_SF3B14.pdf")</f>
        <v>Melting_Curves/meltCurve_Q9Y3B4_SF3B14.pdf</v>
      </c>
    </row>
    <row r="6511" spans="1:28" x14ac:dyDescent="0.25">
      <c r="A6511" t="s">
        <v>6515</v>
      </c>
      <c r="B6511">
        <v>0.99193492352474899</v>
      </c>
      <c r="C6511">
        <v>0.668877941893537</v>
      </c>
      <c r="D6511">
        <v>0.64985867372954298</v>
      </c>
      <c r="E6511">
        <v>0.45414173962818899</v>
      </c>
      <c r="F6511">
        <v>0.32438122923261697</v>
      </c>
      <c r="G6511">
        <v>0.17145142970517099</v>
      </c>
      <c r="H6511">
        <v>0.12532181125584599</v>
      </c>
      <c r="I6511">
        <v>0.14836912148423301</v>
      </c>
      <c r="J6511">
        <v>0.16120480866992201</v>
      </c>
      <c r="K6511">
        <v>0.12474774937748299</v>
      </c>
      <c r="L6511">
        <v>536.22209287142005</v>
      </c>
      <c r="M6511">
        <v>11.344978789141599</v>
      </c>
      <c r="N6511">
        <v>48.191871976939403</v>
      </c>
      <c r="O6511">
        <v>45.868068982213401</v>
      </c>
      <c r="P6511">
        <v>-5.5791563222752798E-2</v>
      </c>
      <c r="Q6511">
        <v>9.8002914443225994E-2</v>
      </c>
      <c r="R6511">
        <v>0.96455973565115904</v>
      </c>
      <c r="S6511" t="s">
        <v>13181</v>
      </c>
      <c r="T6511" t="s">
        <v>13338</v>
      </c>
      <c r="U6511" t="s">
        <v>13338</v>
      </c>
      <c r="V6511" t="s">
        <v>13338</v>
      </c>
      <c r="W6511" t="s">
        <v>19786</v>
      </c>
      <c r="X6511">
        <v>3</v>
      </c>
      <c r="Y6511" t="s">
        <v>26265</v>
      </c>
      <c r="Z6511" t="s">
        <v>32926</v>
      </c>
      <c r="AA6511">
        <v>0.35748690007386857</v>
      </c>
      <c r="AB6511" t="str">
        <f>HYPERLINK("Melting_Curves/meltCurve_Q9Y3B7_2_MRPL11.pdf", "Melting_Curves/meltCurve_Q9Y3B7_2_MRPL11.pdf")</f>
        <v>Melting_Curves/meltCurve_Q9Y3B7_2_MRPL11.pdf</v>
      </c>
    </row>
    <row r="6512" spans="1:28" x14ac:dyDescent="0.25">
      <c r="A6512" t="s">
        <v>6516</v>
      </c>
      <c r="B6512">
        <v>0.99193492352474899</v>
      </c>
      <c r="C6512">
        <v>0.80648733843939502</v>
      </c>
      <c r="D6512">
        <v>0.85027026044181497</v>
      </c>
      <c r="E6512">
        <v>0.77600035677249801</v>
      </c>
      <c r="F6512">
        <v>1.0571348602278401</v>
      </c>
      <c r="G6512">
        <v>0.71582248125625203</v>
      </c>
      <c r="H6512">
        <v>0.66603517159979098</v>
      </c>
      <c r="I6512">
        <v>0.73082476399985996</v>
      </c>
      <c r="J6512">
        <v>0.94735230953198801</v>
      </c>
      <c r="K6512">
        <v>1.16747208786529</v>
      </c>
      <c r="L6512">
        <v>10112.541847598901</v>
      </c>
      <c r="M6512">
        <v>250</v>
      </c>
      <c r="O6512">
        <v>40.4475709118095</v>
      </c>
      <c r="P6512">
        <v>-0.22020965037845</v>
      </c>
      <c r="Q6512">
        <v>0.85748884493283295</v>
      </c>
      <c r="R6512">
        <v>6.7125886868300899E-2</v>
      </c>
      <c r="S6512" t="s">
        <v>13182</v>
      </c>
      <c r="T6512" t="s">
        <v>13338</v>
      </c>
      <c r="U6512" t="s">
        <v>13338</v>
      </c>
      <c r="V6512" t="s">
        <v>13338</v>
      </c>
      <c r="W6512" t="s">
        <v>19787</v>
      </c>
      <c r="X6512">
        <v>12</v>
      </c>
      <c r="Y6512" t="s">
        <v>26266</v>
      </c>
      <c r="Z6512" t="s">
        <v>32927</v>
      </c>
      <c r="AA6512">
        <v>0.85968086604892346</v>
      </c>
      <c r="AB6512" t="str">
        <f>HYPERLINK("Melting_Curves/meltCurve_Q9Y3B9_RRP15.pdf", "Melting_Curves/meltCurve_Q9Y3B9_RRP15.pdf")</f>
        <v>Melting_Curves/meltCurve_Q9Y3B9_RRP15.pdf</v>
      </c>
    </row>
    <row r="6513" spans="1:28" x14ac:dyDescent="0.25">
      <c r="A6513" t="s">
        <v>6517</v>
      </c>
      <c r="B6513">
        <v>0.99193492352474899</v>
      </c>
      <c r="C6513">
        <v>0.655338896290664</v>
      </c>
      <c r="D6513">
        <v>0.83144819763544198</v>
      </c>
      <c r="E6513">
        <v>0.51250174007848504</v>
      </c>
      <c r="F6513">
        <v>0.41899733117391202</v>
      </c>
      <c r="G6513">
        <v>0.33511270344087901</v>
      </c>
      <c r="H6513">
        <v>0.41223525358372998</v>
      </c>
      <c r="I6513">
        <v>1.0663384565770799</v>
      </c>
      <c r="J6513">
        <v>1.5207194519931599</v>
      </c>
      <c r="K6513">
        <v>1.73800035234808</v>
      </c>
      <c r="L6513">
        <v>10119.4001697312</v>
      </c>
      <c r="M6513">
        <v>250</v>
      </c>
      <c r="O6513">
        <v>40.474990304916503</v>
      </c>
      <c r="P6513">
        <v>-0.25895736224169702</v>
      </c>
      <c r="Q6513">
        <v>0.83229916875196097</v>
      </c>
      <c r="R6513">
        <v>1.09216207537475E-2</v>
      </c>
      <c r="S6513" t="s">
        <v>13183</v>
      </c>
      <c r="T6513" t="s">
        <v>13338</v>
      </c>
      <c r="U6513" t="s">
        <v>13338</v>
      </c>
      <c r="V6513" t="s">
        <v>13338</v>
      </c>
      <c r="W6513" t="s">
        <v>19788</v>
      </c>
      <c r="X6513">
        <v>8</v>
      </c>
      <c r="Y6513" t="s">
        <v>26267</v>
      </c>
      <c r="Z6513" t="s">
        <v>32928</v>
      </c>
      <c r="AA6513">
        <v>0.83502411524629572</v>
      </c>
      <c r="AB6513" t="str">
        <f>HYPERLINK("Melting_Curves/meltCurve_Q9Y3C1_NOP16.pdf", "Melting_Curves/meltCurve_Q9Y3C1_NOP16.pdf")</f>
        <v>Melting_Curves/meltCurve_Q9Y3C1_NOP16.pdf</v>
      </c>
    </row>
    <row r="6514" spans="1:28" x14ac:dyDescent="0.25">
      <c r="A6514" t="s">
        <v>6518</v>
      </c>
      <c r="B6514">
        <v>0.99193492352474899</v>
      </c>
      <c r="C6514">
        <v>1.0174053135610199</v>
      </c>
      <c r="D6514">
        <v>1.02664180268521</v>
      </c>
      <c r="E6514">
        <v>0.91314820100018002</v>
      </c>
      <c r="F6514">
        <v>0.80351454048582305</v>
      </c>
      <c r="G6514">
        <v>0.47892944661678599</v>
      </c>
      <c r="H6514">
        <v>0.195541707873464</v>
      </c>
      <c r="I6514">
        <v>0.163414165922593</v>
      </c>
      <c r="J6514">
        <v>0.170726168310668</v>
      </c>
      <c r="K6514">
        <v>0.16717521191828699</v>
      </c>
      <c r="L6514">
        <v>1439.3540207604201</v>
      </c>
      <c r="M6514">
        <v>25.879864966880799</v>
      </c>
      <c r="N6514">
        <v>56.369424432062601</v>
      </c>
      <c r="O6514">
        <v>55.287857358697401</v>
      </c>
      <c r="P6514">
        <v>-9.9928294795338296E-2</v>
      </c>
      <c r="Q6514">
        <v>0.146091791008928</v>
      </c>
      <c r="R6514">
        <v>0.99556632861727601</v>
      </c>
      <c r="S6514" t="s">
        <v>13184</v>
      </c>
      <c r="T6514" t="s">
        <v>13338</v>
      </c>
      <c r="U6514" t="s">
        <v>13338</v>
      </c>
      <c r="V6514" t="s">
        <v>13338</v>
      </c>
      <c r="W6514" t="s">
        <v>19789</v>
      </c>
      <c r="X6514">
        <v>5</v>
      </c>
      <c r="Y6514" t="s">
        <v>26268</v>
      </c>
      <c r="Z6514" t="s">
        <v>32929</v>
      </c>
      <c r="AA6514">
        <v>0.59801789119885218</v>
      </c>
      <c r="AB6514" t="str">
        <f>HYPERLINK("Melting_Curves/meltCurve_Q9Y3C4_2_TPRKB.pdf", "Melting_Curves/meltCurve_Q9Y3C4_2_TPRKB.pdf")</f>
        <v>Melting_Curves/meltCurve_Q9Y3C4_2_TPRKB.pdf</v>
      </c>
    </row>
    <row r="6515" spans="1:28" x14ac:dyDescent="0.25">
      <c r="A6515" t="s">
        <v>6519</v>
      </c>
      <c r="B6515">
        <v>0.99193492352474899</v>
      </c>
      <c r="C6515">
        <v>0.95836332686757397</v>
      </c>
      <c r="D6515">
        <v>0.84529736628109298</v>
      </c>
      <c r="E6515">
        <v>0.67891839108656604</v>
      </c>
      <c r="F6515">
        <v>0.50852601892456994</v>
      </c>
      <c r="G6515">
        <v>0.36488933528579998</v>
      </c>
      <c r="H6515">
        <v>0.23534417048010101</v>
      </c>
      <c r="I6515">
        <v>0.34694743122863098</v>
      </c>
      <c r="J6515">
        <v>0.338204888648371</v>
      </c>
      <c r="K6515">
        <v>0.38077156889387997</v>
      </c>
      <c r="L6515">
        <v>887.36182231006899</v>
      </c>
      <c r="M6515">
        <v>17.841886435648199</v>
      </c>
      <c r="N6515">
        <v>52.683835674009401</v>
      </c>
      <c r="O6515">
        <v>49.122593217141997</v>
      </c>
      <c r="P6515">
        <v>-6.2127999063528699E-2</v>
      </c>
      <c r="Q6515">
        <v>0.31582738560679602</v>
      </c>
      <c r="R6515">
        <v>0.97538598996800496</v>
      </c>
      <c r="S6515" t="s">
        <v>13185</v>
      </c>
      <c r="T6515" t="s">
        <v>13338</v>
      </c>
      <c r="U6515" t="s">
        <v>13338</v>
      </c>
      <c r="V6515" t="s">
        <v>13338</v>
      </c>
      <c r="W6515" t="s">
        <v>19790</v>
      </c>
      <c r="X6515">
        <v>2</v>
      </c>
      <c r="Y6515" t="s">
        <v>26269</v>
      </c>
      <c r="Z6515" t="s">
        <v>32930</v>
      </c>
      <c r="AA6515">
        <v>0.54974565723241653</v>
      </c>
      <c r="AB6515" t="str">
        <f>HYPERLINK("Melting_Curves/meltCurve_Q9Y3C5_RNF11.pdf", "Melting_Curves/meltCurve_Q9Y3C5_RNF11.pdf")</f>
        <v>Melting_Curves/meltCurve_Q9Y3C5_RNF11.pdf</v>
      </c>
    </row>
    <row r="6516" spans="1:28" x14ac:dyDescent="0.25">
      <c r="A6516" t="s">
        <v>6520</v>
      </c>
      <c r="B6516">
        <v>0.99193492352474899</v>
      </c>
      <c r="C6516">
        <v>0.79854988750834599</v>
      </c>
      <c r="D6516">
        <v>0.79626134139326898</v>
      </c>
      <c r="E6516">
        <v>0.48511253788952802</v>
      </c>
      <c r="F6516">
        <v>0.28437663109099398</v>
      </c>
      <c r="G6516">
        <v>0.126176747692887</v>
      </c>
      <c r="H6516">
        <v>7.3840701455614305E-2</v>
      </c>
      <c r="I6516">
        <v>8.0283978695439406E-2</v>
      </c>
      <c r="J6516">
        <v>9.6422333024833398E-2</v>
      </c>
      <c r="K6516">
        <v>8.2121542927063695E-2</v>
      </c>
      <c r="L6516">
        <v>729.66204050570502</v>
      </c>
      <c r="M6516">
        <v>14.8903929977098</v>
      </c>
      <c r="N6516">
        <v>49.369532111878002</v>
      </c>
      <c r="O6516">
        <v>48.143871939765702</v>
      </c>
      <c r="P6516">
        <v>-7.3275431361733701E-2</v>
      </c>
      <c r="Q6516">
        <v>5.24370409336017E-2</v>
      </c>
      <c r="R6516">
        <v>0.98543308803183005</v>
      </c>
      <c r="S6516" t="s">
        <v>13186</v>
      </c>
      <c r="T6516" t="s">
        <v>13338</v>
      </c>
      <c r="U6516" t="s">
        <v>13338</v>
      </c>
      <c r="V6516" t="s">
        <v>13338</v>
      </c>
      <c r="W6516" t="s">
        <v>19791</v>
      </c>
      <c r="X6516">
        <v>7</v>
      </c>
      <c r="Y6516" t="s">
        <v>26270</v>
      </c>
      <c r="Z6516" t="s">
        <v>32931</v>
      </c>
      <c r="AA6516">
        <v>0.36048413608072422</v>
      </c>
      <c r="AB6516" t="str">
        <f>HYPERLINK("Melting_Curves/meltCurve_Q9Y3C6_PPIL1.pdf", "Melting_Curves/meltCurve_Q9Y3C6_PPIL1.pdf")</f>
        <v>Melting_Curves/meltCurve_Q9Y3C6_PPIL1.pdf</v>
      </c>
    </row>
    <row r="6517" spans="1:28" x14ac:dyDescent="0.25">
      <c r="A6517" t="s">
        <v>6521</v>
      </c>
      <c r="B6517">
        <v>0.99193492352474899</v>
      </c>
      <c r="C6517">
        <v>0.89883074461803902</v>
      </c>
      <c r="D6517">
        <v>0.90692456453693404</v>
      </c>
      <c r="E6517">
        <v>0.81958489153703196</v>
      </c>
      <c r="F6517">
        <v>0.65984634244070395</v>
      </c>
      <c r="G6517">
        <v>0.47283039155548101</v>
      </c>
      <c r="H6517">
        <v>0.225807224070074</v>
      </c>
      <c r="I6517">
        <v>0.13972632657051001</v>
      </c>
      <c r="J6517">
        <v>0.15032331783852099</v>
      </c>
      <c r="K6517">
        <v>0.15581300048587099</v>
      </c>
      <c r="L6517">
        <v>715.52825017201405</v>
      </c>
      <c r="M6517">
        <v>12.984967362232</v>
      </c>
      <c r="N6517">
        <v>55.609661354778403</v>
      </c>
      <c r="O6517">
        <v>53.846533852249301</v>
      </c>
      <c r="P6517">
        <v>-5.69422084472022E-2</v>
      </c>
      <c r="Q6517">
        <v>5.5647569633021303E-2</v>
      </c>
      <c r="R6517">
        <v>0.98645683422316499</v>
      </c>
      <c r="S6517" t="s">
        <v>13187</v>
      </c>
      <c r="T6517" t="s">
        <v>13338</v>
      </c>
      <c r="U6517" t="s">
        <v>13338</v>
      </c>
      <c r="V6517" t="s">
        <v>13338</v>
      </c>
      <c r="W6517" t="s">
        <v>19792</v>
      </c>
      <c r="X6517">
        <v>11</v>
      </c>
      <c r="Y6517" t="s">
        <v>26271</v>
      </c>
      <c r="Z6517" t="s">
        <v>32932</v>
      </c>
      <c r="AA6517">
        <v>0.55174840615604948</v>
      </c>
      <c r="AB6517" t="str">
        <f>HYPERLINK("Melting_Curves/meltCurve_Q9Y3C8_UFC1.pdf", "Melting_Curves/meltCurve_Q9Y3C8_UFC1.pdf")</f>
        <v>Melting_Curves/meltCurve_Q9Y3C8_UFC1.pdf</v>
      </c>
    </row>
    <row r="6518" spans="1:28" x14ac:dyDescent="0.25">
      <c r="A6518" t="s">
        <v>6522</v>
      </c>
      <c r="B6518">
        <v>0.99193492352474899</v>
      </c>
      <c r="C6518">
        <v>0.96648098120902504</v>
      </c>
      <c r="D6518">
        <v>0.67746660954931104</v>
      </c>
      <c r="E6518">
        <v>0.30231387385116099</v>
      </c>
      <c r="F6518">
        <v>0.17093177033715201</v>
      </c>
      <c r="G6518">
        <v>9.8111987570828299E-2</v>
      </c>
      <c r="H6518">
        <v>6.1839713356231098E-2</v>
      </c>
      <c r="I6518">
        <v>9.0648162685045303E-2</v>
      </c>
      <c r="J6518">
        <v>9.9068360572100903E-2</v>
      </c>
      <c r="K6518">
        <v>0.115160047231834</v>
      </c>
      <c r="L6518">
        <v>1197.20535274964</v>
      </c>
      <c r="M6518">
        <v>25.356058660586701</v>
      </c>
      <c r="N6518">
        <v>47.608064283723003</v>
      </c>
      <c r="O6518">
        <v>46.925025490930501</v>
      </c>
      <c r="P6518">
        <v>-0.12235357786557</v>
      </c>
      <c r="Q6518">
        <v>9.4280442950939305E-2</v>
      </c>
      <c r="R6518">
        <v>0.99697092796328002</v>
      </c>
      <c r="S6518" t="s">
        <v>13188</v>
      </c>
      <c r="T6518" t="s">
        <v>13338</v>
      </c>
      <c r="U6518" t="s">
        <v>13338</v>
      </c>
      <c r="V6518" t="s">
        <v>13338</v>
      </c>
      <c r="W6518" t="s">
        <v>19793</v>
      </c>
      <c r="X6518">
        <v>6</v>
      </c>
      <c r="Y6518" t="s">
        <v>26272</v>
      </c>
      <c r="Z6518" t="s">
        <v>32933</v>
      </c>
      <c r="AA6518">
        <v>0.31993996685404091</v>
      </c>
      <c r="AB6518" t="str">
        <f>HYPERLINK("Melting_Curves/meltCurve_Q9Y3D0_FAM96B.pdf", "Melting_Curves/meltCurve_Q9Y3D0_FAM96B.pdf")</f>
        <v>Melting_Curves/meltCurve_Q9Y3D0_FAM96B.pdf</v>
      </c>
    </row>
    <row r="6519" spans="1:28" x14ac:dyDescent="0.25">
      <c r="A6519" t="s">
        <v>6523</v>
      </c>
      <c r="B6519">
        <v>0.99193492352474899</v>
      </c>
      <c r="C6519">
        <v>0.89191743140588997</v>
      </c>
      <c r="D6519">
        <v>0.92690462942321705</v>
      </c>
      <c r="E6519">
        <v>0.71025729157544204</v>
      </c>
      <c r="F6519">
        <v>0.37660518276933203</v>
      </c>
      <c r="G6519">
        <v>0.20207819004522301</v>
      </c>
      <c r="H6519">
        <v>0.117450338201799</v>
      </c>
      <c r="I6519">
        <v>0.12870133287404001</v>
      </c>
      <c r="J6519">
        <v>0.15120812899769601</v>
      </c>
      <c r="K6519">
        <v>0.16981338040597899</v>
      </c>
      <c r="L6519">
        <v>1146.0671449824199</v>
      </c>
      <c r="M6519">
        <v>22.4821853106498</v>
      </c>
      <c r="N6519">
        <v>51.679711569149099</v>
      </c>
      <c r="O6519">
        <v>50.578497068013597</v>
      </c>
      <c r="P6519">
        <v>-9.6486940507964997E-2</v>
      </c>
      <c r="Q6519">
        <v>0.13174542752079499</v>
      </c>
      <c r="R6519">
        <v>0.98985266843739705</v>
      </c>
      <c r="S6519" t="s">
        <v>13189</v>
      </c>
      <c r="T6519" t="s">
        <v>13338</v>
      </c>
      <c r="U6519" t="s">
        <v>13338</v>
      </c>
      <c r="V6519" t="s">
        <v>13338</v>
      </c>
      <c r="W6519" t="s">
        <v>19794</v>
      </c>
      <c r="X6519">
        <v>3</v>
      </c>
      <c r="Y6519" t="s">
        <v>26273</v>
      </c>
      <c r="Z6519" t="s">
        <v>32934</v>
      </c>
      <c r="AA6519">
        <v>0.45907689791731288</v>
      </c>
      <c r="AB6519" t="str">
        <f>HYPERLINK("Melting_Curves/meltCurve_Q9Y3D2_MSRB2.pdf", "Melting_Curves/meltCurve_Q9Y3D2_MSRB2.pdf")</f>
        <v>Melting_Curves/meltCurve_Q9Y3D2_MSRB2.pdf</v>
      </c>
    </row>
    <row r="6520" spans="1:28" x14ac:dyDescent="0.25">
      <c r="A6520" t="s">
        <v>6524</v>
      </c>
      <c r="B6520">
        <v>0.99193492352474899</v>
      </c>
      <c r="C6520">
        <v>0.80442601348166198</v>
      </c>
      <c r="D6520">
        <v>0.97681119187855903</v>
      </c>
      <c r="E6520">
        <v>0.74686659158421198</v>
      </c>
      <c r="F6520">
        <v>0.51108691736835699</v>
      </c>
      <c r="G6520">
        <v>0.13851812445473599</v>
      </c>
      <c r="H6520">
        <v>0.17165420612798701</v>
      </c>
      <c r="I6520">
        <v>0.18968437197749</v>
      </c>
      <c r="J6520">
        <v>0.27599090406228299</v>
      </c>
      <c r="K6520">
        <v>0.116910035475611</v>
      </c>
      <c r="L6520">
        <v>1247.39071171919</v>
      </c>
      <c r="M6520">
        <v>24.158796517037398</v>
      </c>
      <c r="N6520">
        <v>52.505077142792899</v>
      </c>
      <c r="O6520">
        <v>51.283107947531001</v>
      </c>
      <c r="P6520">
        <v>-9.8309572138397805E-2</v>
      </c>
      <c r="Q6520">
        <v>0.16526591751821401</v>
      </c>
      <c r="R6520">
        <v>0.94043299261926405</v>
      </c>
      <c r="S6520" t="s">
        <v>13190</v>
      </c>
      <c r="T6520" t="s">
        <v>13338</v>
      </c>
      <c r="U6520" t="s">
        <v>13338</v>
      </c>
      <c r="V6520" t="s">
        <v>13338</v>
      </c>
      <c r="W6520" t="s">
        <v>19795</v>
      </c>
      <c r="X6520">
        <v>1</v>
      </c>
      <c r="Y6520" t="s">
        <v>26274</v>
      </c>
      <c r="Z6520" t="s">
        <v>32935</v>
      </c>
      <c r="AA6520">
        <v>0.49705920113118002</v>
      </c>
      <c r="AB6520" t="str">
        <f>HYPERLINK("Melting_Curves/meltCurve_Q9Y3D5_MRPS18C.pdf", "Melting_Curves/meltCurve_Q9Y3D5_MRPS18C.pdf")</f>
        <v>Melting_Curves/meltCurve_Q9Y3D5_MRPS18C.pdf</v>
      </c>
    </row>
    <row r="6521" spans="1:28" x14ac:dyDescent="0.25">
      <c r="A6521" t="s">
        <v>6525</v>
      </c>
      <c r="B6521">
        <v>0.99193492352474899</v>
      </c>
      <c r="C6521">
        <v>0.66817812690717904</v>
      </c>
      <c r="D6521">
        <v>0.98502906201553597</v>
      </c>
      <c r="E6521">
        <v>0.66256419741115402</v>
      </c>
      <c r="F6521">
        <v>0.56292972299467203</v>
      </c>
      <c r="G6521">
        <v>0.41058563273836102</v>
      </c>
      <c r="H6521">
        <v>0.32353793836822498</v>
      </c>
      <c r="I6521">
        <v>0.34167739741321101</v>
      </c>
      <c r="J6521">
        <v>0.463088839113588</v>
      </c>
      <c r="K6521">
        <v>0.34446050050657001</v>
      </c>
      <c r="L6521">
        <v>553.23305754125204</v>
      </c>
      <c r="M6521">
        <v>11.097256264174201</v>
      </c>
      <c r="N6521">
        <v>54.834475639298802</v>
      </c>
      <c r="O6521">
        <v>48.316396755558301</v>
      </c>
      <c r="P6521">
        <v>-3.9199103286584901E-2</v>
      </c>
      <c r="Q6521">
        <v>0.317545947600825</v>
      </c>
      <c r="R6521">
        <v>0.80848813785746199</v>
      </c>
      <c r="S6521" t="s">
        <v>13191</v>
      </c>
      <c r="T6521" t="s">
        <v>13338</v>
      </c>
      <c r="U6521" t="s">
        <v>13338</v>
      </c>
      <c r="V6521" t="s">
        <v>13338</v>
      </c>
      <c r="W6521" t="s">
        <v>19796</v>
      </c>
      <c r="X6521">
        <v>3</v>
      </c>
      <c r="Y6521" t="s">
        <v>26275</v>
      </c>
      <c r="Z6521" t="s">
        <v>32936</v>
      </c>
      <c r="AA6521">
        <v>0.56856423096957542</v>
      </c>
      <c r="AB6521" t="str">
        <f>HYPERLINK("Melting_Curves/meltCurve_Q9Y3D6_FIS1.pdf", "Melting_Curves/meltCurve_Q9Y3D6_FIS1.pdf")</f>
        <v>Melting_Curves/meltCurve_Q9Y3D6_FIS1.pdf</v>
      </c>
    </row>
    <row r="6522" spans="1:28" x14ac:dyDescent="0.25">
      <c r="A6522" t="s">
        <v>6526</v>
      </c>
      <c r="B6522">
        <v>0.99193492352474899</v>
      </c>
      <c r="C6522">
        <v>1.18811999793398</v>
      </c>
      <c r="D6522">
        <v>0.86142276269338502</v>
      </c>
      <c r="E6522">
        <v>0.375211408094834</v>
      </c>
      <c r="F6522">
        <v>0.28152958731488198</v>
      </c>
      <c r="G6522">
        <v>0.18237270735012001</v>
      </c>
      <c r="H6522">
        <v>0.135398798511566</v>
      </c>
      <c r="I6522">
        <v>0.149223969334835</v>
      </c>
      <c r="J6522">
        <v>0.14113865947573301</v>
      </c>
      <c r="K6522">
        <v>0.130000909163418</v>
      </c>
      <c r="L6522">
        <v>1716.1418492771199</v>
      </c>
      <c r="M6522">
        <v>35.561120078301798</v>
      </c>
      <c r="N6522">
        <v>48.7941656650205</v>
      </c>
      <c r="O6522">
        <v>48.107111560774698</v>
      </c>
      <c r="P6522">
        <v>-0.154957010673442</v>
      </c>
      <c r="Q6522">
        <v>0.16149927722155699</v>
      </c>
      <c r="R6522">
        <v>0.96637166778278305</v>
      </c>
      <c r="S6522" t="s">
        <v>13192</v>
      </c>
      <c r="T6522" t="s">
        <v>13338</v>
      </c>
      <c r="U6522" t="s">
        <v>13338</v>
      </c>
      <c r="V6522" t="s">
        <v>13338</v>
      </c>
      <c r="W6522" t="s">
        <v>19797</v>
      </c>
      <c r="X6522">
        <v>4</v>
      </c>
      <c r="Y6522" t="s">
        <v>23446</v>
      </c>
      <c r="Z6522" t="s">
        <v>32937</v>
      </c>
      <c r="AA6522">
        <v>0.39589986638342761</v>
      </c>
      <c r="AB6522" t="str">
        <f>HYPERLINK("Melting_Curves/meltCurve_Q9Y3D8_TAF9.pdf", "Melting_Curves/meltCurve_Q9Y3D8_TAF9.pdf")</f>
        <v>Melting_Curves/meltCurve_Q9Y3D8_TAF9.pdf</v>
      </c>
    </row>
    <row r="6523" spans="1:28" x14ac:dyDescent="0.25">
      <c r="A6523" t="s">
        <v>6527</v>
      </c>
      <c r="B6523">
        <v>0.99193492352474899</v>
      </c>
      <c r="C6523">
        <v>0.39055508786380899</v>
      </c>
      <c r="D6523">
        <v>0.61766061771326097</v>
      </c>
      <c r="E6523">
        <v>0.31380521514939502</v>
      </c>
      <c r="F6523">
        <v>0.123994631921404</v>
      </c>
      <c r="G6523">
        <v>8.6546271322485505E-2</v>
      </c>
      <c r="H6523">
        <v>6.1223466602118498E-2</v>
      </c>
      <c r="I6523">
        <v>6.2925802743610496E-2</v>
      </c>
      <c r="J6523">
        <v>7.5813091775906505E-2</v>
      </c>
      <c r="K6523">
        <v>0.10194941459901399</v>
      </c>
      <c r="L6523">
        <v>544.58746471883001</v>
      </c>
      <c r="M6523">
        <v>12.1108451581654</v>
      </c>
      <c r="N6523">
        <v>45.334389322783501</v>
      </c>
      <c r="O6523">
        <v>43.793578908888797</v>
      </c>
      <c r="P6523">
        <v>-6.5919127488623705E-2</v>
      </c>
      <c r="Q6523">
        <v>4.6750884467181397E-2</v>
      </c>
      <c r="R6523">
        <v>0.84769736582039801</v>
      </c>
      <c r="S6523" t="s">
        <v>13193</v>
      </c>
      <c r="T6523" t="s">
        <v>13338</v>
      </c>
      <c r="U6523" t="s">
        <v>13338</v>
      </c>
      <c r="V6523" t="s">
        <v>13338</v>
      </c>
      <c r="W6523" t="s">
        <v>19798</v>
      </c>
      <c r="X6523">
        <v>5</v>
      </c>
      <c r="Y6523" t="s">
        <v>26276</v>
      </c>
      <c r="Z6523" t="s">
        <v>32938</v>
      </c>
      <c r="AA6523">
        <v>0.25153813528129559</v>
      </c>
      <c r="AB6523" t="str">
        <f>HYPERLINK("Melting_Curves/meltCurve_Q9Y3D9_MRPS23.pdf", "Melting_Curves/meltCurve_Q9Y3D9_MRPS23.pdf")</f>
        <v>Melting_Curves/meltCurve_Q9Y3D9_MRPS23.pdf</v>
      </c>
    </row>
    <row r="6524" spans="1:28" x14ac:dyDescent="0.25">
      <c r="A6524" t="s">
        <v>6528</v>
      </c>
      <c r="B6524">
        <v>0.99193492352474899</v>
      </c>
      <c r="C6524">
        <v>0.64843604244901798</v>
      </c>
      <c r="D6524">
        <v>0.86726491417988505</v>
      </c>
      <c r="E6524">
        <v>0.66968525538733903</v>
      </c>
      <c r="F6524">
        <v>0.46676844559898201</v>
      </c>
      <c r="G6524">
        <v>0.30843846873084002</v>
      </c>
      <c r="H6524">
        <v>0.48952369559202402</v>
      </c>
      <c r="I6524">
        <v>0.575023336602008</v>
      </c>
      <c r="J6524">
        <v>0.70906592509887401</v>
      </c>
      <c r="K6524">
        <v>0.93215966243959303</v>
      </c>
      <c r="L6524">
        <v>777.75482732125295</v>
      </c>
      <c r="M6524">
        <v>18.073791170289699</v>
      </c>
      <c r="O6524">
        <v>42.515764254012403</v>
      </c>
      <c r="P6524">
        <v>-4.2920363870410302E-2</v>
      </c>
      <c r="Q6524">
        <v>0.59616584817539398</v>
      </c>
      <c r="R6524">
        <v>0.28492232732277001</v>
      </c>
      <c r="S6524" t="s">
        <v>13194</v>
      </c>
      <c r="T6524" t="s">
        <v>13338</v>
      </c>
      <c r="U6524" t="s">
        <v>13338</v>
      </c>
      <c r="V6524" t="s">
        <v>13338</v>
      </c>
      <c r="W6524" t="s">
        <v>19799</v>
      </c>
      <c r="X6524">
        <v>9</v>
      </c>
      <c r="Y6524" t="s">
        <v>26277</v>
      </c>
      <c r="Z6524" t="s">
        <v>32939</v>
      </c>
      <c r="AA6524">
        <v>0.6486690797038891</v>
      </c>
      <c r="AB6524" t="str">
        <f>HYPERLINK("Melting_Curves/meltCurve_Q9Y3E1_HDGFRP3.pdf", "Melting_Curves/meltCurve_Q9Y3E1_HDGFRP3.pdf")</f>
        <v>Melting_Curves/meltCurve_Q9Y3E1_HDGFRP3.pdf</v>
      </c>
    </row>
    <row r="6525" spans="1:28" x14ac:dyDescent="0.25">
      <c r="A6525" t="s">
        <v>6529</v>
      </c>
      <c r="B6525">
        <v>0.99193492352474899</v>
      </c>
      <c r="C6525">
        <v>0.76585960141451703</v>
      </c>
      <c r="D6525">
        <v>0.78594758285436594</v>
      </c>
      <c r="E6525">
        <v>0.464143617246704</v>
      </c>
      <c r="F6525">
        <v>0.28261954581155602</v>
      </c>
      <c r="G6525">
        <v>0.15089075966345999</v>
      </c>
      <c r="H6525">
        <v>0.109251498316326</v>
      </c>
      <c r="I6525">
        <v>0.169507699134576</v>
      </c>
      <c r="J6525">
        <v>0.200573502834376</v>
      </c>
      <c r="K6525">
        <v>0.328622847527753</v>
      </c>
      <c r="L6525">
        <v>835.99916264793796</v>
      </c>
      <c r="M6525">
        <v>17.561622934088401</v>
      </c>
      <c r="N6525">
        <v>48.8392125005292</v>
      </c>
      <c r="O6525">
        <v>46.999381574052698</v>
      </c>
      <c r="P6525">
        <v>-7.6664864147854797E-2</v>
      </c>
      <c r="Q6525">
        <v>0.179345951255932</v>
      </c>
      <c r="R6525">
        <v>0.93457324189270996</v>
      </c>
      <c r="S6525" t="s">
        <v>13195</v>
      </c>
      <c r="T6525" t="s">
        <v>13338</v>
      </c>
      <c r="U6525" t="s">
        <v>13338</v>
      </c>
      <c r="V6525" t="s">
        <v>13338</v>
      </c>
      <c r="W6525" t="s">
        <v>19800</v>
      </c>
      <c r="X6525">
        <v>5</v>
      </c>
      <c r="Y6525" t="s">
        <v>26278</v>
      </c>
      <c r="Z6525" t="s">
        <v>32940</v>
      </c>
      <c r="AA6525">
        <v>0.40289411060726332</v>
      </c>
      <c r="AB6525" t="str">
        <f>HYPERLINK("Melting_Curves/meltCurve_Q9Y3E2_BOLA1.pdf", "Melting_Curves/meltCurve_Q9Y3E2_BOLA1.pdf")</f>
        <v>Melting_Curves/meltCurve_Q9Y3E2_BOLA1.pdf</v>
      </c>
    </row>
    <row r="6526" spans="1:28" x14ac:dyDescent="0.25">
      <c r="A6526" t="s">
        <v>6530</v>
      </c>
      <c r="B6526">
        <v>0.99193492352474899</v>
      </c>
      <c r="C6526">
        <v>0.83028040002307602</v>
      </c>
      <c r="D6526">
        <v>0.84766955926058096</v>
      </c>
      <c r="E6526">
        <v>0.78818220337786304</v>
      </c>
      <c r="F6526">
        <v>0.27332251839346899</v>
      </c>
      <c r="G6526">
        <v>0.184764032475222</v>
      </c>
      <c r="H6526">
        <v>0.101539425967374</v>
      </c>
      <c r="I6526">
        <v>0.121355220552362</v>
      </c>
      <c r="J6526">
        <v>0.100748462033597</v>
      </c>
      <c r="K6526">
        <v>0.10769734465379401</v>
      </c>
      <c r="L6526">
        <v>1333.43836504046</v>
      </c>
      <c r="M6526">
        <v>26.1280099957769</v>
      </c>
      <c r="N6526">
        <v>51.483048127668702</v>
      </c>
      <c r="O6526">
        <v>50.738682459392201</v>
      </c>
      <c r="P6526">
        <v>-0.115642925751407</v>
      </c>
      <c r="Q6526">
        <v>0.101729777836797</v>
      </c>
      <c r="R6526">
        <v>0.96272483176657198</v>
      </c>
      <c r="S6526" t="s">
        <v>13196</v>
      </c>
      <c r="T6526" t="s">
        <v>13338</v>
      </c>
      <c r="U6526" t="s">
        <v>13338</v>
      </c>
      <c r="V6526" t="s">
        <v>13338</v>
      </c>
      <c r="W6526" t="s">
        <v>19801</v>
      </c>
      <c r="X6526">
        <v>1</v>
      </c>
      <c r="Y6526" t="s">
        <v>26279</v>
      </c>
      <c r="Z6526" t="s">
        <v>32941</v>
      </c>
      <c r="AA6526">
        <v>0.43957954223581358</v>
      </c>
      <c r="AB6526" t="str">
        <f>HYPERLINK("Melting_Curves/meltCurve_Q9Y3E7_4_CHMP3.pdf", "Melting_Curves/meltCurve_Q9Y3E7_4_CHMP3.pdf")</f>
        <v>Melting_Curves/meltCurve_Q9Y3E7_4_CHMP3.pdf</v>
      </c>
    </row>
    <row r="6527" spans="1:28" x14ac:dyDescent="0.25">
      <c r="A6527" t="s">
        <v>6531</v>
      </c>
      <c r="B6527">
        <v>0.99193492352474899</v>
      </c>
      <c r="C6527">
        <v>0.78487684652966305</v>
      </c>
      <c r="D6527">
        <v>0.67319926451383005</v>
      </c>
      <c r="E6527">
        <v>0.48930489858091603</v>
      </c>
      <c r="F6527">
        <v>0.50825910533767005</v>
      </c>
      <c r="G6527">
        <v>0.40742272343156699</v>
      </c>
      <c r="H6527">
        <v>0.231016604103711</v>
      </c>
      <c r="I6527">
        <v>0.11678514166470801</v>
      </c>
      <c r="J6527">
        <v>0.123489421569924</v>
      </c>
      <c r="K6527">
        <v>0.117656640017835</v>
      </c>
      <c r="L6527">
        <v>393.00606593590197</v>
      </c>
      <c r="M6527">
        <v>7.64785797830588</v>
      </c>
      <c r="N6527">
        <v>51.387727466049903</v>
      </c>
      <c r="O6527">
        <v>48.227834165338699</v>
      </c>
      <c r="P6527">
        <v>-3.9697439778394801E-2</v>
      </c>
      <c r="Q6527">
        <v>0</v>
      </c>
      <c r="R6527">
        <v>0.95915968947497099</v>
      </c>
      <c r="S6527" t="s">
        <v>13197</v>
      </c>
      <c r="T6527" t="s">
        <v>13338</v>
      </c>
      <c r="U6527" t="s">
        <v>13338</v>
      </c>
      <c r="V6527" t="s">
        <v>13338</v>
      </c>
      <c r="W6527" t="s">
        <v>19802</v>
      </c>
      <c r="X6527">
        <v>20</v>
      </c>
      <c r="Y6527" t="s">
        <v>26280</v>
      </c>
      <c r="Z6527" t="s">
        <v>32942</v>
      </c>
      <c r="AA6527">
        <v>0.43272655151400891</v>
      </c>
      <c r="AB6527" t="str">
        <f>HYPERLINK("Melting_Curves/meltCurve_Q9Y3F4_STRAP.pdf", "Melting_Curves/meltCurve_Q9Y3F4_STRAP.pdf")</f>
        <v>Melting_Curves/meltCurve_Q9Y3F4_STRAP.pdf</v>
      </c>
    </row>
    <row r="6528" spans="1:28" x14ac:dyDescent="0.25">
      <c r="A6528" t="s">
        <v>6532</v>
      </c>
      <c r="B6528">
        <v>0.99193492352474899</v>
      </c>
      <c r="C6528">
        <v>0.77764726853616895</v>
      </c>
      <c r="D6528">
        <v>0.91283082652349601</v>
      </c>
      <c r="E6528">
        <v>0.64179121951548801</v>
      </c>
      <c r="F6528">
        <v>0.53491760361972096</v>
      </c>
      <c r="G6528">
        <v>0.31731569763433098</v>
      </c>
      <c r="H6528">
        <v>0.131888444130595</v>
      </c>
      <c r="I6528">
        <v>0.10428261800790201</v>
      </c>
      <c r="J6528">
        <v>0.110784074186371</v>
      </c>
      <c r="K6528">
        <v>0.123194416400548</v>
      </c>
      <c r="L6528">
        <v>580.37801987327896</v>
      </c>
      <c r="M6528">
        <v>11.024852147577301</v>
      </c>
      <c r="N6528">
        <v>52.77948159196</v>
      </c>
      <c r="O6528">
        <v>50.999681391259003</v>
      </c>
      <c r="P6528">
        <v>-5.3300401503408999E-2</v>
      </c>
      <c r="Q6528">
        <v>1.40839783412657E-2</v>
      </c>
      <c r="R6528">
        <v>0.96393530916438797</v>
      </c>
      <c r="S6528" t="s">
        <v>13198</v>
      </c>
      <c r="T6528" t="s">
        <v>13338</v>
      </c>
      <c r="U6528" t="s">
        <v>13338</v>
      </c>
      <c r="V6528" t="s">
        <v>13338</v>
      </c>
      <c r="W6528" t="s">
        <v>19803</v>
      </c>
      <c r="X6528">
        <v>30</v>
      </c>
      <c r="Y6528" t="s">
        <v>26281</v>
      </c>
      <c r="Z6528" t="s">
        <v>32943</v>
      </c>
      <c r="AA6528">
        <v>0.46130994050659768</v>
      </c>
      <c r="AB6528" t="str">
        <f>HYPERLINK("Melting_Curves/meltCurve_Q9Y3I0_C22orf28.pdf", "Melting_Curves/meltCurve_Q9Y3I0_C22orf28.pdf")</f>
        <v>Melting_Curves/meltCurve_Q9Y3I0_C22orf28.pdf</v>
      </c>
    </row>
    <row r="6529" spans="1:28" x14ac:dyDescent="0.25">
      <c r="A6529" t="s">
        <v>6533</v>
      </c>
      <c r="B6529">
        <v>0.99193492352474899</v>
      </c>
      <c r="C6529">
        <v>0.61331564771248703</v>
      </c>
      <c r="D6529">
        <v>0.69646458991642302</v>
      </c>
      <c r="E6529">
        <v>0.44544884395303203</v>
      </c>
      <c r="F6529">
        <v>0.41714187092412802</v>
      </c>
      <c r="G6529">
        <v>0.15698646830226201</v>
      </c>
      <c r="H6529">
        <v>5.40593725539011E-2</v>
      </c>
      <c r="I6529">
        <v>5.0668644564148997E-2</v>
      </c>
      <c r="J6529">
        <v>4.86077769069405E-2</v>
      </c>
      <c r="K6529">
        <v>2.41568265163183E-2</v>
      </c>
      <c r="L6529">
        <v>483.50893222217798</v>
      </c>
      <c r="M6529">
        <v>9.9442658087467102</v>
      </c>
      <c r="N6529">
        <v>48.621883506563599</v>
      </c>
      <c r="O6529">
        <v>46.778225637194502</v>
      </c>
      <c r="P6529">
        <v>-5.3172212123901899E-2</v>
      </c>
      <c r="Q6529">
        <v>0</v>
      </c>
      <c r="R6529">
        <v>0.936056169330856</v>
      </c>
      <c r="S6529" t="s">
        <v>13199</v>
      </c>
      <c r="T6529" t="s">
        <v>13338</v>
      </c>
      <c r="U6529" t="s">
        <v>13338</v>
      </c>
      <c r="V6529" t="s">
        <v>13338</v>
      </c>
      <c r="W6529" t="s">
        <v>19804</v>
      </c>
      <c r="X6529">
        <v>3</v>
      </c>
      <c r="Y6529" t="s">
        <v>26282</v>
      </c>
      <c r="Z6529" t="s">
        <v>32944</v>
      </c>
      <c r="AA6529">
        <v>0.33824626104150818</v>
      </c>
      <c r="AB6529" t="str">
        <f>HYPERLINK("Melting_Curves/meltCurve_Q9Y3I1_3_FBXO7.pdf", "Melting_Curves/meltCurve_Q9Y3I1_3_FBXO7.pdf")</f>
        <v>Melting_Curves/meltCurve_Q9Y3I1_3_FBXO7.pdf</v>
      </c>
    </row>
    <row r="6530" spans="1:28" x14ac:dyDescent="0.25">
      <c r="A6530" t="s">
        <v>6534</v>
      </c>
      <c r="B6530">
        <v>0.99193492352474899</v>
      </c>
      <c r="C6530">
        <v>0.91192839271949999</v>
      </c>
      <c r="D6530">
        <v>0.71927386067475396</v>
      </c>
      <c r="E6530">
        <v>0.52115688821304296</v>
      </c>
      <c r="F6530">
        <v>0.17163867056198201</v>
      </c>
      <c r="G6530">
        <v>7.4025074651414599E-2</v>
      </c>
      <c r="H6530">
        <v>4.4477615065760201E-2</v>
      </c>
      <c r="I6530">
        <v>8.0961011934271104E-2</v>
      </c>
      <c r="J6530">
        <v>9.5888717476388899E-2</v>
      </c>
      <c r="K6530">
        <v>7.6579358327802799E-2</v>
      </c>
      <c r="L6530">
        <v>903.22914934441803</v>
      </c>
      <c r="M6530">
        <v>18.548618939650201</v>
      </c>
      <c r="N6530">
        <v>48.990001903604899</v>
      </c>
      <c r="O6530">
        <v>48.139812350668301</v>
      </c>
      <c r="P6530">
        <v>-9.1244456122649101E-2</v>
      </c>
      <c r="Q6530">
        <v>5.2803063187072799E-2</v>
      </c>
      <c r="R6530">
        <v>0.98899121354363095</v>
      </c>
      <c r="S6530" t="s">
        <v>13200</v>
      </c>
      <c r="T6530" t="s">
        <v>13338</v>
      </c>
      <c r="U6530" t="s">
        <v>13338</v>
      </c>
      <c r="V6530" t="s">
        <v>13338</v>
      </c>
      <c r="W6530" t="s">
        <v>17428</v>
      </c>
      <c r="X6530">
        <v>7</v>
      </c>
      <c r="Y6530" t="s">
        <v>23937</v>
      </c>
      <c r="Z6530" t="s">
        <v>32945</v>
      </c>
      <c r="AA6530">
        <v>0.34287130128533477</v>
      </c>
      <c r="AB6530" t="str">
        <f>HYPERLINK("Melting_Curves/meltCurve_Q9Y3L3_SH3BP1.pdf", "Melting_Curves/meltCurve_Q9Y3L3_SH3BP1.pdf")</f>
        <v>Melting_Curves/meltCurve_Q9Y3L3_SH3BP1.pdf</v>
      </c>
    </row>
    <row r="6531" spans="1:28" x14ac:dyDescent="0.25">
      <c r="A6531" t="s">
        <v>6535</v>
      </c>
      <c r="B6531">
        <v>0.99193492352474899</v>
      </c>
      <c r="C6531">
        <v>0.97906534141040102</v>
      </c>
      <c r="D6531">
        <v>1.0153978804985699</v>
      </c>
      <c r="E6531">
        <v>0.76755434576105597</v>
      </c>
      <c r="F6531">
        <v>0.70104849588833196</v>
      </c>
      <c r="G6531">
        <v>0.50348092746293205</v>
      </c>
      <c r="H6531">
        <v>0.43322175184832801</v>
      </c>
      <c r="I6531">
        <v>0.40782603260512701</v>
      </c>
      <c r="J6531">
        <v>0.42319761720251697</v>
      </c>
      <c r="K6531">
        <v>0.26424520351205</v>
      </c>
      <c r="L6531">
        <v>750.88158241924395</v>
      </c>
      <c r="M6531">
        <v>14.039592310153299</v>
      </c>
      <c r="N6531">
        <v>57.7030198458393</v>
      </c>
      <c r="O6531">
        <v>52.433137271171098</v>
      </c>
      <c r="P6531">
        <v>-4.5464446371501897E-2</v>
      </c>
      <c r="Q6531">
        <v>0.32091144811280697</v>
      </c>
      <c r="R6531">
        <v>0.96743293607929104</v>
      </c>
      <c r="S6531" t="s">
        <v>13201</v>
      </c>
      <c r="T6531" t="s">
        <v>13338</v>
      </c>
      <c r="U6531" t="s">
        <v>13338</v>
      </c>
      <c r="V6531" t="s">
        <v>13338</v>
      </c>
      <c r="W6531" t="s">
        <v>19805</v>
      </c>
      <c r="X6531">
        <v>7</v>
      </c>
      <c r="Y6531" t="s">
        <v>26283</v>
      </c>
      <c r="Z6531" t="s">
        <v>32946</v>
      </c>
      <c r="AA6531">
        <v>0.64168272981266861</v>
      </c>
      <c r="AB6531" t="str">
        <f>HYPERLINK("Melting_Curves/meltCurve_Q9Y3L5_RAP2C.pdf", "Melting_Curves/meltCurve_Q9Y3L5_RAP2C.pdf")</f>
        <v>Melting_Curves/meltCurve_Q9Y3L5_RAP2C.pdf</v>
      </c>
    </row>
    <row r="6532" spans="1:28" x14ac:dyDescent="0.25">
      <c r="A6532" t="s">
        <v>6536</v>
      </c>
      <c r="B6532">
        <v>0.99193492352474899</v>
      </c>
      <c r="C6532">
        <v>1.25565966537202</v>
      </c>
      <c r="D6532">
        <v>0.89561339949426499</v>
      </c>
      <c r="E6532">
        <v>1.00546153620203</v>
      </c>
      <c r="F6532">
        <v>0.69178197638305705</v>
      </c>
      <c r="G6532">
        <v>0.59160663051823004</v>
      </c>
      <c r="H6532">
        <v>0.381813867766506</v>
      </c>
      <c r="I6532">
        <v>0.55596361139869899</v>
      </c>
      <c r="J6532">
        <v>0.47158034156984102</v>
      </c>
      <c r="K6532">
        <v>0.59812839852085498</v>
      </c>
      <c r="L6532">
        <v>2451.8724252678599</v>
      </c>
      <c r="M6532">
        <v>46.527918284512403</v>
      </c>
      <c r="O6532">
        <v>52.599731138517399</v>
      </c>
      <c r="P6532">
        <v>-0.10732144411435</v>
      </c>
      <c r="Q6532">
        <v>0.51469372274105296</v>
      </c>
      <c r="R6532">
        <v>0.84424460485332098</v>
      </c>
      <c r="S6532" t="s">
        <v>13202</v>
      </c>
      <c r="T6532" t="s">
        <v>13338</v>
      </c>
      <c r="U6532" t="s">
        <v>13338</v>
      </c>
      <c r="V6532" t="s">
        <v>13338</v>
      </c>
      <c r="W6532" t="s">
        <v>19806</v>
      </c>
      <c r="X6532">
        <v>5</v>
      </c>
      <c r="Y6532" t="s">
        <v>26284</v>
      </c>
      <c r="Z6532" t="s">
        <v>32947</v>
      </c>
      <c r="AA6532">
        <v>0.72139181381366668</v>
      </c>
      <c r="AB6532" t="str">
        <f>HYPERLINK("Melting_Curves/meltCurve_Q9Y3P8_SIT1.pdf", "Melting_Curves/meltCurve_Q9Y3P8_SIT1.pdf")</f>
        <v>Melting_Curves/meltCurve_Q9Y3P8_SIT1.pdf</v>
      </c>
    </row>
    <row r="6533" spans="1:28" x14ac:dyDescent="0.25">
      <c r="A6533" t="s">
        <v>6537</v>
      </c>
      <c r="B6533">
        <v>0.99193492352474899</v>
      </c>
      <c r="C6533">
        <v>0.84098976086417798</v>
      </c>
      <c r="D6533">
        <v>0.82868272688715605</v>
      </c>
      <c r="E6533">
        <v>0.46661054738049401</v>
      </c>
      <c r="F6533">
        <v>0.18185417669835599</v>
      </c>
      <c r="G6533">
        <v>0.101456831313573</v>
      </c>
      <c r="H6533">
        <v>6.9077037348796097E-2</v>
      </c>
      <c r="I6533">
        <v>8.7462771445343895E-2</v>
      </c>
      <c r="J6533">
        <v>0.101469687733002</v>
      </c>
      <c r="K6533">
        <v>0.10002761897064601</v>
      </c>
      <c r="L6533">
        <v>1020.37316425612</v>
      </c>
      <c r="M6533">
        <v>20.949988036201599</v>
      </c>
      <c r="N6533">
        <v>49.089906215183902</v>
      </c>
      <c r="O6533">
        <v>48.267948337359101</v>
      </c>
      <c r="P6533">
        <v>-0.10029665811782799</v>
      </c>
      <c r="Q6533">
        <v>7.5707074636301899E-2</v>
      </c>
      <c r="R6533">
        <v>0.98729520548910599</v>
      </c>
      <c r="S6533" t="s">
        <v>13203</v>
      </c>
      <c r="T6533" t="s">
        <v>13338</v>
      </c>
      <c r="U6533" t="s">
        <v>13338</v>
      </c>
      <c r="V6533" t="s">
        <v>13338</v>
      </c>
      <c r="W6533" t="s">
        <v>19807</v>
      </c>
      <c r="X6533">
        <v>34</v>
      </c>
      <c r="Y6533" t="s">
        <v>26285</v>
      </c>
      <c r="Z6533" t="s">
        <v>32948</v>
      </c>
      <c r="AA6533">
        <v>0.35571385814935702</v>
      </c>
      <c r="AB6533" t="str">
        <f>HYPERLINK("Melting_Curves/meltCurve_Q9Y3P9_RABGAP1.pdf", "Melting_Curves/meltCurve_Q9Y3P9_RABGAP1.pdf")</f>
        <v>Melting_Curves/meltCurve_Q9Y3P9_RABGAP1.pdf</v>
      </c>
    </row>
    <row r="6534" spans="1:28" x14ac:dyDescent="0.25">
      <c r="A6534" t="s">
        <v>6538</v>
      </c>
      <c r="B6534">
        <v>0.99193492352474899</v>
      </c>
      <c r="C6534">
        <v>0.98547176082562105</v>
      </c>
      <c r="D6534">
        <v>0.98241924436300299</v>
      </c>
      <c r="E6534">
        <v>0.69454641403429696</v>
      </c>
      <c r="F6534">
        <v>0.25333163779544499</v>
      </c>
      <c r="G6534">
        <v>0.147794744970839</v>
      </c>
      <c r="H6534">
        <v>8.8315733097403606E-2</v>
      </c>
      <c r="I6534">
        <v>0.100901811937137</v>
      </c>
      <c r="J6534">
        <v>0.102844349726469</v>
      </c>
      <c r="K6534">
        <v>0.10867677497731799</v>
      </c>
      <c r="L6534">
        <v>1659.1318214303899</v>
      </c>
      <c r="M6534">
        <v>32.7754147781488</v>
      </c>
      <c r="N6534">
        <v>50.981019796118098</v>
      </c>
      <c r="O6534">
        <v>50.433898307635097</v>
      </c>
      <c r="P6534">
        <v>-0.14569336548100201</v>
      </c>
      <c r="Q6534">
        <v>0.10324848299068901</v>
      </c>
      <c r="R6534">
        <v>0.99921329460199104</v>
      </c>
      <c r="S6534" t="s">
        <v>13204</v>
      </c>
      <c r="T6534" t="s">
        <v>13338</v>
      </c>
      <c r="U6534" t="s">
        <v>13338</v>
      </c>
      <c r="V6534" t="s">
        <v>13338</v>
      </c>
      <c r="W6534" t="s">
        <v>19808</v>
      </c>
      <c r="X6534">
        <v>5</v>
      </c>
      <c r="Y6534" t="s">
        <v>26286</v>
      </c>
      <c r="Z6534" t="s">
        <v>32949</v>
      </c>
      <c r="AA6534">
        <v>0.42542430432078648</v>
      </c>
      <c r="AB6534" t="str">
        <f>HYPERLINK("Melting_Curves/meltCurve_Q9Y3Q3_TMED3.pdf", "Melting_Curves/meltCurve_Q9Y3Q3_TMED3.pdf")</f>
        <v>Melting_Curves/meltCurve_Q9Y3Q3_TMED3.pdf</v>
      </c>
    </row>
    <row r="6535" spans="1:28" x14ac:dyDescent="0.25">
      <c r="A6535" t="s">
        <v>6539</v>
      </c>
      <c r="B6535">
        <v>0.99193492352474899</v>
      </c>
      <c r="C6535">
        <v>0.97536555259527402</v>
      </c>
      <c r="D6535">
        <v>0.89152857160413002</v>
      </c>
      <c r="E6535">
        <v>0.54247796173556695</v>
      </c>
      <c r="F6535">
        <v>0.29114643718627098</v>
      </c>
      <c r="G6535">
        <v>0.184609271100273</v>
      </c>
      <c r="H6535">
        <v>0.138932402969729</v>
      </c>
      <c r="I6535">
        <v>0.173710387907974</v>
      </c>
      <c r="J6535">
        <v>0.19116834432364899</v>
      </c>
      <c r="K6535">
        <v>0.27715749718454202</v>
      </c>
      <c r="L6535">
        <v>1354.0470795398101</v>
      </c>
      <c r="M6535">
        <v>27.5595254181424</v>
      </c>
      <c r="N6535">
        <v>50.001622823211498</v>
      </c>
      <c r="O6535">
        <v>48.8752346976542</v>
      </c>
      <c r="P6535">
        <v>-0.11412325966383</v>
      </c>
      <c r="Q6535">
        <v>0.19044335356768</v>
      </c>
      <c r="R6535">
        <v>0.98958449824883399</v>
      </c>
      <c r="S6535" t="s">
        <v>13205</v>
      </c>
      <c r="T6535" t="s">
        <v>13338</v>
      </c>
      <c r="U6535" t="s">
        <v>13338</v>
      </c>
      <c r="V6535" t="s">
        <v>13338</v>
      </c>
      <c r="W6535" t="s">
        <v>19809</v>
      </c>
      <c r="X6535">
        <v>7</v>
      </c>
      <c r="Y6535" t="s">
        <v>26287</v>
      </c>
      <c r="Z6535" t="s">
        <v>32950</v>
      </c>
      <c r="AA6535">
        <v>0.44274307173795302</v>
      </c>
      <c r="AB6535" t="str">
        <f>HYPERLINK("Melting_Curves/meltCurve_Q9Y3Q8_TSC22D4.pdf", "Melting_Curves/meltCurve_Q9Y3Q8_TSC22D4.pdf")</f>
        <v>Melting_Curves/meltCurve_Q9Y3Q8_TSC22D4.pdf</v>
      </c>
    </row>
    <row r="6536" spans="1:28" x14ac:dyDescent="0.25">
      <c r="A6536" t="s">
        <v>6540</v>
      </c>
      <c r="B6536">
        <v>0.99193492352474899</v>
      </c>
      <c r="C6536">
        <v>0.91179149719550401</v>
      </c>
      <c r="D6536">
        <v>0.92248108556324204</v>
      </c>
      <c r="E6536">
        <v>0.60140449150058595</v>
      </c>
      <c r="F6536">
        <v>0.49680823601249902</v>
      </c>
      <c r="G6536">
        <v>0.33629349678880599</v>
      </c>
      <c r="H6536">
        <v>0.26417533349329397</v>
      </c>
      <c r="I6536">
        <v>0.27906072939508503</v>
      </c>
      <c r="J6536">
        <v>0.34022168423608501</v>
      </c>
      <c r="K6536">
        <v>0.41086515182913302</v>
      </c>
      <c r="L6536">
        <v>1038.3183177317401</v>
      </c>
      <c r="M6536">
        <v>21.053553596385601</v>
      </c>
      <c r="N6536">
        <v>51.841318136180597</v>
      </c>
      <c r="O6536">
        <v>48.879484468303403</v>
      </c>
      <c r="P6536">
        <v>-7.3164682839080397E-2</v>
      </c>
      <c r="Q6536">
        <v>0.32055993354274298</v>
      </c>
      <c r="R6536">
        <v>0.96461515839357903</v>
      </c>
      <c r="S6536" t="s">
        <v>13206</v>
      </c>
      <c r="T6536" t="s">
        <v>13338</v>
      </c>
      <c r="U6536" t="s">
        <v>13338</v>
      </c>
      <c r="V6536" t="s">
        <v>13338</v>
      </c>
      <c r="W6536" t="s">
        <v>19810</v>
      </c>
      <c r="X6536">
        <v>8</v>
      </c>
      <c r="Y6536" t="s">
        <v>26288</v>
      </c>
      <c r="Z6536" t="s">
        <v>32951</v>
      </c>
      <c r="AA6536">
        <v>0.54015355296771594</v>
      </c>
      <c r="AB6536" t="str">
        <f>HYPERLINK("Melting_Curves/meltCurve_Q9Y3S2_ZNF330.pdf", "Melting_Curves/meltCurve_Q9Y3S2_ZNF330.pdf")</f>
        <v>Melting_Curves/meltCurve_Q9Y3S2_ZNF330.pdf</v>
      </c>
    </row>
    <row r="6537" spans="1:28" x14ac:dyDescent="0.25">
      <c r="A6537" t="s">
        <v>6541</v>
      </c>
      <c r="B6537">
        <v>0.99193492352474899</v>
      </c>
      <c r="C6537">
        <v>0.79246155934482099</v>
      </c>
      <c r="D6537">
        <v>0.89444050649110995</v>
      </c>
      <c r="E6537">
        <v>0.38445714386393298</v>
      </c>
      <c r="F6537">
        <v>0.191355979203094</v>
      </c>
      <c r="G6537">
        <v>9.1822295489244393E-2</v>
      </c>
      <c r="H6537">
        <v>5.4688703558213897E-2</v>
      </c>
      <c r="I6537">
        <v>5.30466439229864E-2</v>
      </c>
      <c r="J6537">
        <v>7.2525142488753497E-2</v>
      </c>
      <c r="K6537">
        <v>6.7658912760847595E-2</v>
      </c>
      <c r="L6537">
        <v>1121.5981073297501</v>
      </c>
      <c r="M6537">
        <v>23.056107629091599</v>
      </c>
      <c r="N6537">
        <v>48.911084362306902</v>
      </c>
      <c r="O6537">
        <v>48.284946304285</v>
      </c>
      <c r="P6537">
        <v>-0.112377611902652</v>
      </c>
      <c r="Q6537">
        <v>5.8636302886390199E-2</v>
      </c>
      <c r="R6537">
        <v>0.97083152874027501</v>
      </c>
      <c r="S6537" t="s">
        <v>13207</v>
      </c>
      <c r="T6537" t="s">
        <v>13338</v>
      </c>
      <c r="U6537" t="s">
        <v>13338</v>
      </c>
      <c r="V6537" t="s">
        <v>13338</v>
      </c>
      <c r="W6537" t="s">
        <v>19811</v>
      </c>
      <c r="X6537">
        <v>11</v>
      </c>
      <c r="Y6537" t="s">
        <v>26289</v>
      </c>
      <c r="Z6537" t="s">
        <v>32952</v>
      </c>
      <c r="AA6537">
        <v>0.3398065961220888</v>
      </c>
      <c r="AB6537" t="str">
        <f>HYPERLINK("Melting_Curves/meltCurve_Q9Y3T9_NOC2L.pdf", "Melting_Curves/meltCurve_Q9Y3T9_NOC2L.pdf")</f>
        <v>Melting_Curves/meltCurve_Q9Y3T9_NOC2L.pdf</v>
      </c>
    </row>
    <row r="6538" spans="1:28" x14ac:dyDescent="0.25">
      <c r="A6538" t="s">
        <v>6542</v>
      </c>
      <c r="B6538">
        <v>0.99193492352474899</v>
      </c>
      <c r="C6538">
        <v>0.67597182449239501</v>
      </c>
      <c r="D6538">
        <v>0.83316890530624999</v>
      </c>
      <c r="E6538">
        <v>1.3887486756956999</v>
      </c>
      <c r="F6538">
        <v>1.6665617009307701</v>
      </c>
      <c r="G6538">
        <v>1.39074233646248</v>
      </c>
      <c r="H6538">
        <v>0.42988255278600301</v>
      </c>
      <c r="I6538">
        <v>0.315269439576504</v>
      </c>
      <c r="J6538">
        <v>0.45715202924202197</v>
      </c>
      <c r="K6538">
        <v>0.39291240996841997</v>
      </c>
      <c r="L6538">
        <v>15000</v>
      </c>
      <c r="M6538">
        <v>249.33210344784601</v>
      </c>
      <c r="N6538">
        <v>60.524854715397197</v>
      </c>
      <c r="O6538">
        <v>60.156853526477498</v>
      </c>
      <c r="P6538">
        <v>-0.63367903267013403</v>
      </c>
      <c r="Q6538">
        <v>0.38844398304361699</v>
      </c>
      <c r="R6538">
        <v>0.580789395522187</v>
      </c>
      <c r="S6538" t="s">
        <v>13208</v>
      </c>
      <c r="T6538" t="s">
        <v>13338</v>
      </c>
      <c r="U6538" t="s">
        <v>13338</v>
      </c>
      <c r="V6538" t="s">
        <v>13338</v>
      </c>
      <c r="W6538" t="s">
        <v>19812</v>
      </c>
      <c r="X6538">
        <v>4</v>
      </c>
      <c r="Y6538" t="s">
        <v>26290</v>
      </c>
      <c r="Z6538" t="s">
        <v>32953</v>
      </c>
      <c r="AA6538">
        <v>0.79948931202605089</v>
      </c>
      <c r="AB6538" t="str">
        <f>HYPERLINK("Melting_Curves/meltCurve_Q9Y3U8_RPL36.pdf", "Melting_Curves/meltCurve_Q9Y3U8_RPL36.pdf")</f>
        <v>Melting_Curves/meltCurve_Q9Y3U8_RPL36.pdf</v>
      </c>
    </row>
    <row r="6539" spans="1:28" x14ac:dyDescent="0.25">
      <c r="A6539" t="s">
        <v>6543</v>
      </c>
      <c r="B6539">
        <v>0.99193492352474899</v>
      </c>
      <c r="C6539">
        <v>0.95135812967475197</v>
      </c>
      <c r="D6539">
        <v>0.85976613785925304</v>
      </c>
      <c r="E6539">
        <v>0.40310409473385</v>
      </c>
      <c r="F6539">
        <v>0.331896800040623</v>
      </c>
      <c r="G6539">
        <v>0.22934814681839299</v>
      </c>
      <c r="H6539">
        <v>0.149999167636366</v>
      </c>
      <c r="I6539">
        <v>0.18988523251437001</v>
      </c>
      <c r="J6539">
        <v>0.33883555464549597</v>
      </c>
      <c r="K6539">
        <v>0.22387919912679</v>
      </c>
      <c r="L6539">
        <v>1521.6136506885</v>
      </c>
      <c r="M6539">
        <v>31.750376465640901</v>
      </c>
      <c r="N6539">
        <v>48.8990665742554</v>
      </c>
      <c r="O6539">
        <v>47.735339537231198</v>
      </c>
      <c r="P6539">
        <v>-0.12729294885834999</v>
      </c>
      <c r="Q6539">
        <v>0.234485533086844</v>
      </c>
      <c r="R6539">
        <v>0.97306745688432805</v>
      </c>
      <c r="S6539" t="s">
        <v>13209</v>
      </c>
      <c r="T6539" t="s">
        <v>13338</v>
      </c>
      <c r="U6539" t="s">
        <v>13338</v>
      </c>
      <c r="V6539" t="s">
        <v>13338</v>
      </c>
      <c r="W6539" t="s">
        <v>19813</v>
      </c>
      <c r="X6539">
        <v>1</v>
      </c>
      <c r="Y6539" t="s">
        <v>26291</v>
      </c>
      <c r="Z6539" t="s">
        <v>32954</v>
      </c>
      <c r="AA6539">
        <v>0.44078093229921189</v>
      </c>
      <c r="AB6539" t="str">
        <f>HYPERLINK("Melting_Curves/meltCurve_Q9Y3V2_2_RWDD3.pdf", "Melting_Curves/meltCurve_Q9Y3V2_2_RWDD3.pdf")</f>
        <v>Melting_Curves/meltCurve_Q9Y3V2_2_RWDD3.pdf</v>
      </c>
    </row>
    <row r="6540" spans="1:28" x14ac:dyDescent="0.25">
      <c r="A6540" t="s">
        <v>6544</v>
      </c>
      <c r="B6540">
        <v>0.99193492352474899</v>
      </c>
      <c r="C6540">
        <v>0.79549173777970195</v>
      </c>
      <c r="D6540">
        <v>0.72204692423025896</v>
      </c>
      <c r="E6540">
        <v>0.58956677340848096</v>
      </c>
      <c r="F6540">
        <v>0.51047485182579699</v>
      </c>
      <c r="G6540">
        <v>0.43609412627274202</v>
      </c>
      <c r="H6540">
        <v>0.52712602443986301</v>
      </c>
      <c r="I6540">
        <v>0.76308663750618</v>
      </c>
      <c r="J6540">
        <v>0.93446327768424797</v>
      </c>
      <c r="K6540">
        <v>1.33187282914465</v>
      </c>
      <c r="L6540">
        <v>2829.6831653761201</v>
      </c>
      <c r="M6540">
        <v>67.056436623499906</v>
      </c>
      <c r="O6540">
        <v>42.161048855537203</v>
      </c>
      <c r="P6540">
        <v>-0.10865521064400301</v>
      </c>
      <c r="Q6540">
        <v>0.72673666171805096</v>
      </c>
      <c r="R6540">
        <v>9.6069944142496796E-2</v>
      </c>
      <c r="S6540" t="s">
        <v>13210</v>
      </c>
      <c r="T6540" t="s">
        <v>13338</v>
      </c>
      <c r="U6540" t="s">
        <v>13338</v>
      </c>
      <c r="V6540" t="s">
        <v>13338</v>
      </c>
      <c r="W6540" t="s">
        <v>19814</v>
      </c>
      <c r="X6540">
        <v>16</v>
      </c>
      <c r="Y6540" t="s">
        <v>26292</v>
      </c>
      <c r="Z6540" t="s">
        <v>32955</v>
      </c>
      <c r="AA6540">
        <v>0.74716879584107732</v>
      </c>
      <c r="AB6540" t="str">
        <f>HYPERLINK("Melting_Curves/meltCurve_Q9Y3X0_CCDC9.pdf", "Melting_Curves/meltCurve_Q9Y3X0_CCDC9.pdf")</f>
        <v>Melting_Curves/meltCurve_Q9Y3X0_CCDC9.pdf</v>
      </c>
    </row>
    <row r="6541" spans="1:28" x14ac:dyDescent="0.25">
      <c r="A6541" t="s">
        <v>6545</v>
      </c>
      <c r="B6541">
        <v>0.99193492352474899</v>
      </c>
      <c r="C6541">
        <v>0.68287653658726699</v>
      </c>
      <c r="D6541">
        <v>0.77140097173281297</v>
      </c>
      <c r="E6541">
        <v>0.65399019774076295</v>
      </c>
      <c r="F6541">
        <v>0.31199909553751398</v>
      </c>
      <c r="G6541">
        <v>0.17834367270712201</v>
      </c>
      <c r="H6541">
        <v>0.142773060594411</v>
      </c>
      <c r="I6541">
        <v>0.14501264052985</v>
      </c>
      <c r="J6541">
        <v>0.25778763829130102</v>
      </c>
      <c r="K6541">
        <v>0.30858309894922897</v>
      </c>
      <c r="L6541">
        <v>630.87700696916795</v>
      </c>
      <c r="M6541">
        <v>13.0541614441461</v>
      </c>
      <c r="N6541">
        <v>49.929517601656897</v>
      </c>
      <c r="O6541">
        <v>47.2357496899373</v>
      </c>
      <c r="P6541">
        <v>-5.7280064302755798E-2</v>
      </c>
      <c r="Q6541">
        <v>0.17108536682158501</v>
      </c>
      <c r="R6541">
        <v>0.88083610343344398</v>
      </c>
      <c r="S6541" t="s">
        <v>13211</v>
      </c>
      <c r="T6541" t="s">
        <v>13338</v>
      </c>
      <c r="U6541" t="s">
        <v>13338</v>
      </c>
      <c r="V6541" t="s">
        <v>13338</v>
      </c>
      <c r="W6541" t="s">
        <v>19815</v>
      </c>
      <c r="X6541">
        <v>3</v>
      </c>
      <c r="Y6541" t="s">
        <v>26293</v>
      </c>
      <c r="Z6541" t="s">
        <v>32956</v>
      </c>
      <c r="AA6541">
        <v>0.42851025419141919</v>
      </c>
      <c r="AB6541" t="str">
        <f>HYPERLINK("Melting_Curves/meltCurve_Q9Y3Y2_4_CHTOP.pdf", "Melting_Curves/meltCurve_Q9Y3Y2_4_CHTOP.pdf")</f>
        <v>Melting_Curves/meltCurve_Q9Y3Y2_4_CHTOP.pdf</v>
      </c>
    </row>
    <row r="6542" spans="1:28" x14ac:dyDescent="0.25">
      <c r="A6542" t="s">
        <v>6546</v>
      </c>
      <c r="B6542">
        <v>0.99193492352474899</v>
      </c>
      <c r="C6542">
        <v>0.77988824095722098</v>
      </c>
      <c r="D6542">
        <v>0.81133553185047302</v>
      </c>
      <c r="E6542">
        <v>0.63161303303833705</v>
      </c>
      <c r="F6542">
        <v>0.47004254870551199</v>
      </c>
      <c r="G6542">
        <v>0.33350009393466301</v>
      </c>
      <c r="H6542">
        <v>0.34002799852427501</v>
      </c>
      <c r="I6542">
        <v>0.318955483694294</v>
      </c>
      <c r="J6542">
        <v>0.45025752215023301</v>
      </c>
      <c r="K6542">
        <v>0.62812957189520302</v>
      </c>
      <c r="L6542">
        <v>756.91194863821704</v>
      </c>
      <c r="M6542">
        <v>16.134541745353999</v>
      </c>
      <c r="N6542">
        <v>52.437722230275597</v>
      </c>
      <c r="O6542">
        <v>46.209622408694997</v>
      </c>
      <c r="P6542">
        <v>-5.1621718614611199E-2</v>
      </c>
      <c r="Q6542">
        <v>0.40866280842299801</v>
      </c>
      <c r="R6542">
        <v>0.800907762484662</v>
      </c>
      <c r="S6542" t="s">
        <v>13212</v>
      </c>
      <c r="T6542" t="s">
        <v>13338</v>
      </c>
      <c r="U6542" t="s">
        <v>13338</v>
      </c>
      <c r="V6542" t="s">
        <v>13338</v>
      </c>
      <c r="W6542" t="s">
        <v>19816</v>
      </c>
      <c r="X6542">
        <v>6</v>
      </c>
      <c r="Y6542" t="s">
        <v>26294</v>
      </c>
      <c r="Z6542" t="s">
        <v>32957</v>
      </c>
      <c r="AA6542">
        <v>0.55878658151425953</v>
      </c>
      <c r="AB6542" t="str">
        <f>HYPERLINK("Melting_Curves/meltCurve_Q9Y421_FAM32A.pdf", "Melting_Curves/meltCurve_Q9Y421_FAM32A.pdf")</f>
        <v>Melting_Curves/meltCurve_Q9Y421_FAM32A.pdf</v>
      </c>
    </row>
    <row r="6543" spans="1:28" x14ac:dyDescent="0.25">
      <c r="A6543" t="s">
        <v>6547</v>
      </c>
      <c r="B6543">
        <v>0.99193492352474899</v>
      </c>
      <c r="C6543">
        <v>0.62091614542556095</v>
      </c>
      <c r="D6543">
        <v>0.57564367108138703</v>
      </c>
      <c r="E6543">
        <v>0.36468324300321298</v>
      </c>
      <c r="F6543">
        <v>0.29028624102488398</v>
      </c>
      <c r="G6543">
        <v>0.167364218668903</v>
      </c>
      <c r="H6543">
        <v>0.16162345017530599</v>
      </c>
      <c r="I6543">
        <v>0.19274993922794401</v>
      </c>
      <c r="J6543">
        <v>0.122663085137989</v>
      </c>
      <c r="K6543">
        <v>0.30615724456391202</v>
      </c>
      <c r="L6543">
        <v>670.07991509066596</v>
      </c>
      <c r="M6543">
        <v>14.883753477351901</v>
      </c>
      <c r="N6543">
        <v>46.462501305533799</v>
      </c>
      <c r="O6543">
        <v>44.231643126074502</v>
      </c>
      <c r="P6543">
        <v>-6.8574483150963303E-2</v>
      </c>
      <c r="Q6543">
        <v>0.18492480302386499</v>
      </c>
      <c r="R6543">
        <v>0.92684856962692397</v>
      </c>
      <c r="S6543" t="s">
        <v>13213</v>
      </c>
      <c r="T6543" t="s">
        <v>13338</v>
      </c>
      <c r="U6543" t="s">
        <v>13338</v>
      </c>
      <c r="V6543" t="s">
        <v>13338</v>
      </c>
      <c r="W6543" t="s">
        <v>19817</v>
      </c>
      <c r="X6543">
        <v>4</v>
      </c>
      <c r="Y6543" t="s">
        <v>26295</v>
      </c>
      <c r="Z6543" t="s">
        <v>32958</v>
      </c>
      <c r="AA6543">
        <v>0.34789102234529529</v>
      </c>
      <c r="AB6543" t="str">
        <f>HYPERLINK("Melting_Curves/meltCurve_Q9Y448_KNSTRN.pdf", "Melting_Curves/meltCurve_Q9Y448_KNSTRN.pdf")</f>
        <v>Melting_Curves/meltCurve_Q9Y448_KNSTRN.pdf</v>
      </c>
    </row>
    <row r="6544" spans="1:28" x14ac:dyDescent="0.25">
      <c r="A6544" t="s">
        <v>6548</v>
      </c>
      <c r="B6544">
        <v>0.99193492352474899</v>
      </c>
      <c r="C6544">
        <v>0.85900690506739097</v>
      </c>
      <c r="D6544">
        <v>0.91856693598309302</v>
      </c>
      <c r="E6544">
        <v>0.66593025139639594</v>
      </c>
      <c r="F6544">
        <v>0.23837952026898199</v>
      </c>
      <c r="G6544">
        <v>0.105046715396604</v>
      </c>
      <c r="H6544">
        <v>6.4266010823603198E-2</v>
      </c>
      <c r="I6544">
        <v>7.2766761319492404E-2</v>
      </c>
      <c r="J6544">
        <v>8.2633918665560899E-2</v>
      </c>
      <c r="K6544">
        <v>8.7883638287335697E-2</v>
      </c>
      <c r="L6544">
        <v>1354.4398976453001</v>
      </c>
      <c r="M6544">
        <v>26.838338713975201</v>
      </c>
      <c r="N6544">
        <v>50.748785026706301</v>
      </c>
      <c r="O6544">
        <v>50.188919106215401</v>
      </c>
      <c r="P6544">
        <v>-0.12442148305027501</v>
      </c>
      <c r="Q6544">
        <v>6.9314019144987901E-2</v>
      </c>
      <c r="R6544">
        <v>0.98624051174120597</v>
      </c>
      <c r="S6544" t="s">
        <v>13214</v>
      </c>
      <c r="T6544" t="s">
        <v>13338</v>
      </c>
      <c r="U6544" t="s">
        <v>13338</v>
      </c>
      <c r="V6544" t="s">
        <v>13338</v>
      </c>
      <c r="W6544" t="s">
        <v>19818</v>
      </c>
      <c r="X6544">
        <v>24</v>
      </c>
      <c r="Y6544" t="s">
        <v>26296</v>
      </c>
      <c r="Z6544" t="s">
        <v>32959</v>
      </c>
      <c r="AA6544">
        <v>0.40127297737816858</v>
      </c>
      <c r="AB6544" t="str">
        <f>HYPERLINK("Melting_Curves/meltCurve_Q9Y450_HBS1L.pdf", "Melting_Curves/meltCurve_Q9Y450_HBS1L.pdf")</f>
        <v>Melting_Curves/meltCurve_Q9Y450_HBS1L.pdf</v>
      </c>
    </row>
    <row r="6545" spans="1:28" x14ac:dyDescent="0.25">
      <c r="A6545" t="s">
        <v>6549</v>
      </c>
      <c r="B6545">
        <v>0.99193492352474899</v>
      </c>
      <c r="C6545">
        <v>0.619862751173483</v>
      </c>
      <c r="D6545">
        <v>0.90723630806594302</v>
      </c>
      <c r="E6545">
        <v>0.380514163552096</v>
      </c>
      <c r="F6545">
        <v>0.28823070560708502</v>
      </c>
      <c r="G6545">
        <v>0.13613846272967101</v>
      </c>
      <c r="H6545">
        <v>0.110761516216797</v>
      </c>
      <c r="I6545">
        <v>0.15451618974411799</v>
      </c>
      <c r="J6545">
        <v>0.23749984934593199</v>
      </c>
      <c r="K6545">
        <v>0.288828542464592</v>
      </c>
      <c r="L6545">
        <v>780.03763203271399</v>
      </c>
      <c r="M6545">
        <v>16.440494561628</v>
      </c>
      <c r="N6545">
        <v>48.660332083831598</v>
      </c>
      <c r="O6545">
        <v>46.760830314556799</v>
      </c>
      <c r="P6545">
        <v>-7.3112992231564797E-2</v>
      </c>
      <c r="Q6545">
        <v>0.16825336899954299</v>
      </c>
      <c r="R6545">
        <v>0.83777542842508801</v>
      </c>
      <c r="S6545" t="s">
        <v>13215</v>
      </c>
      <c r="T6545" t="s">
        <v>13338</v>
      </c>
      <c r="U6545" t="s">
        <v>13338</v>
      </c>
      <c r="V6545" t="s">
        <v>13338</v>
      </c>
      <c r="W6545" t="s">
        <v>19819</v>
      </c>
      <c r="X6545">
        <v>6</v>
      </c>
      <c r="Y6545" t="s">
        <v>26296</v>
      </c>
      <c r="Z6545" t="s">
        <v>32960</v>
      </c>
      <c r="AA6545">
        <v>0.39292211849196662</v>
      </c>
      <c r="AB6545" t="str">
        <f>HYPERLINK("Melting_Curves/meltCurve_Q9Y450_2_HBS1L.pdf", "Melting_Curves/meltCurve_Q9Y450_2_HBS1L.pdf")</f>
        <v>Melting_Curves/meltCurve_Q9Y450_2_HBS1L.pdf</v>
      </c>
    </row>
    <row r="6546" spans="1:28" x14ac:dyDescent="0.25">
      <c r="A6546" t="s">
        <v>6550</v>
      </c>
      <c r="B6546">
        <v>0.99193492352474899</v>
      </c>
      <c r="C6546">
        <v>0.784016868149499</v>
      </c>
      <c r="D6546">
        <v>0.97219147665487704</v>
      </c>
      <c r="E6546">
        <v>0.51890867043264699</v>
      </c>
      <c r="F6546">
        <v>0.29365689787939497</v>
      </c>
      <c r="G6546">
        <v>0.137964273745526</v>
      </c>
      <c r="H6546">
        <v>8.1113401761315193E-2</v>
      </c>
      <c r="I6546">
        <v>8.0841164960114606E-2</v>
      </c>
      <c r="J6546">
        <v>8.86890668992181E-2</v>
      </c>
      <c r="K6546">
        <v>9.2407641537809698E-2</v>
      </c>
      <c r="L6546">
        <v>1048.09104405575</v>
      </c>
      <c r="M6546">
        <v>21.028810374549401</v>
      </c>
      <c r="N6546">
        <v>50.244202487858601</v>
      </c>
      <c r="O6546">
        <v>49.3965613894146</v>
      </c>
      <c r="P6546">
        <v>-9.8162622579132705E-2</v>
      </c>
      <c r="Q6546">
        <v>7.7690620259010107E-2</v>
      </c>
      <c r="R6546">
        <v>0.96246501187317202</v>
      </c>
      <c r="S6546" t="s">
        <v>13216</v>
      </c>
      <c r="T6546" t="s">
        <v>13338</v>
      </c>
      <c r="U6546" t="s">
        <v>13338</v>
      </c>
      <c r="V6546" t="s">
        <v>13338</v>
      </c>
      <c r="W6546" t="s">
        <v>19820</v>
      </c>
      <c r="X6546">
        <v>4</v>
      </c>
      <c r="Y6546" t="s">
        <v>26297</v>
      </c>
      <c r="Z6546" t="s">
        <v>32961</v>
      </c>
      <c r="AA6546">
        <v>0.39186791616160588</v>
      </c>
      <c r="AB6546" t="str">
        <f>HYPERLINK("Melting_Curves/meltCurve_Q9Y478_PRKAB1.pdf", "Melting_Curves/meltCurve_Q9Y478_PRKAB1.pdf")</f>
        <v>Melting_Curves/meltCurve_Q9Y478_PRKAB1.pdf</v>
      </c>
    </row>
    <row r="6547" spans="1:28" x14ac:dyDescent="0.25">
      <c r="A6547" t="s">
        <v>6551</v>
      </c>
      <c r="B6547">
        <v>0.99193492352474899</v>
      </c>
      <c r="C6547">
        <v>0.81612351964885899</v>
      </c>
      <c r="D6547">
        <v>0.74340513529278796</v>
      </c>
      <c r="E6547">
        <v>0.54817679001756303</v>
      </c>
      <c r="F6547">
        <v>0.50122433110582099</v>
      </c>
      <c r="G6547">
        <v>0.283228500622701</v>
      </c>
      <c r="H6547">
        <v>0.21183278910866299</v>
      </c>
      <c r="I6547">
        <v>0.14628790267181199</v>
      </c>
      <c r="J6547">
        <v>0.13176738342330499</v>
      </c>
      <c r="K6547">
        <v>0.117677470164194</v>
      </c>
      <c r="L6547">
        <v>465.821012252434</v>
      </c>
      <c r="M6547">
        <v>9.0996531200744002</v>
      </c>
      <c r="N6547">
        <v>51.524203878240201</v>
      </c>
      <c r="O6547">
        <v>48.900475814770701</v>
      </c>
      <c r="P6547">
        <v>-4.5223639577489698E-2</v>
      </c>
      <c r="Q6547">
        <v>2.85703784996168E-2</v>
      </c>
      <c r="R6547">
        <v>0.98585613397229599</v>
      </c>
      <c r="S6547" t="s">
        <v>13217</v>
      </c>
      <c r="T6547" t="s">
        <v>13338</v>
      </c>
      <c r="U6547" t="s">
        <v>13338</v>
      </c>
      <c r="V6547" t="s">
        <v>13338</v>
      </c>
      <c r="W6547" t="s">
        <v>19821</v>
      </c>
      <c r="X6547">
        <v>9</v>
      </c>
      <c r="Y6547" t="s">
        <v>26298</v>
      </c>
      <c r="Z6547" t="s">
        <v>32962</v>
      </c>
      <c r="AA6547">
        <v>0.43527265343491423</v>
      </c>
      <c r="AB6547" t="str">
        <f>HYPERLINK("Melting_Curves/meltCurve_Q9Y487_ATP6V0A2.pdf", "Melting_Curves/meltCurve_Q9Y487_ATP6V0A2.pdf")</f>
        <v>Melting_Curves/meltCurve_Q9Y487_ATP6V0A2.pdf</v>
      </c>
    </row>
    <row r="6548" spans="1:28" x14ac:dyDescent="0.25">
      <c r="A6548" t="s">
        <v>6552</v>
      </c>
      <c r="B6548">
        <v>0.99193492352474899</v>
      </c>
      <c r="C6548">
        <v>1.0603397873152101</v>
      </c>
      <c r="D6548">
        <v>0.90888588437820295</v>
      </c>
      <c r="E6548">
        <v>0.47625655844742598</v>
      </c>
      <c r="F6548">
        <v>0.17714517418404899</v>
      </c>
      <c r="G6548">
        <v>0.106183625646812</v>
      </c>
      <c r="H6548">
        <v>6.2466906524615902E-2</v>
      </c>
      <c r="I6548">
        <v>6.9447481977833195E-2</v>
      </c>
      <c r="J6548">
        <v>8.0089608921209393E-2</v>
      </c>
      <c r="K6548">
        <v>7.6420818660723394E-2</v>
      </c>
      <c r="L6548">
        <v>1537.2284217900101</v>
      </c>
      <c r="M6548">
        <v>31.223109194089499</v>
      </c>
      <c r="N6548">
        <v>49.501277015431803</v>
      </c>
      <c r="O6548">
        <v>49.033037413323598</v>
      </c>
      <c r="P6548">
        <v>-0.146833144077127</v>
      </c>
      <c r="Q6548">
        <v>7.7653031350578994E-2</v>
      </c>
      <c r="R6548">
        <v>0.99636520906162696</v>
      </c>
      <c r="S6548" t="s">
        <v>13218</v>
      </c>
      <c r="T6548" t="s">
        <v>13338</v>
      </c>
      <c r="U6548" t="s">
        <v>13338</v>
      </c>
      <c r="V6548" t="s">
        <v>13338</v>
      </c>
      <c r="W6548" t="s">
        <v>19822</v>
      </c>
      <c r="X6548">
        <v>131</v>
      </c>
      <c r="Y6548" t="s">
        <v>26299</v>
      </c>
      <c r="Z6548" t="s">
        <v>32963</v>
      </c>
      <c r="AA6548">
        <v>0.36673670465292429</v>
      </c>
      <c r="AB6548" t="str">
        <f>HYPERLINK("Melting_Curves/meltCurve_Q9Y490_TLN1.pdf", "Melting_Curves/meltCurve_Q9Y490_TLN1.pdf")</f>
        <v>Melting_Curves/meltCurve_Q9Y490_TLN1.pdf</v>
      </c>
    </row>
    <row r="6549" spans="1:28" x14ac:dyDescent="0.25">
      <c r="A6549" t="s">
        <v>6553</v>
      </c>
      <c r="B6549">
        <v>0.99193492352474899</v>
      </c>
      <c r="C6549">
        <v>0.89490206477013701</v>
      </c>
      <c r="D6549">
        <v>0.36045921463143199</v>
      </c>
      <c r="E6549">
        <v>0.20949390878978599</v>
      </c>
      <c r="F6549">
        <v>0.16436276201240799</v>
      </c>
      <c r="G6549">
        <v>0.149462049210866</v>
      </c>
      <c r="H6549">
        <v>8.74215329222163E-2</v>
      </c>
      <c r="I6549">
        <v>0.122585059050752</v>
      </c>
      <c r="J6549">
        <v>8.8306585941895305E-2</v>
      </c>
      <c r="K6549">
        <v>6.5682081390562405E-2</v>
      </c>
      <c r="L6549">
        <v>1730.7958047754501</v>
      </c>
      <c r="M6549">
        <v>38.510568732381699</v>
      </c>
      <c r="N6549">
        <v>45.2702569985873</v>
      </c>
      <c r="O6549">
        <v>44.822738687984703</v>
      </c>
      <c r="P6549">
        <v>-0.188724481347778</v>
      </c>
      <c r="Q6549">
        <v>0.121371107000353</v>
      </c>
      <c r="R6549">
        <v>0.98812338113410103</v>
      </c>
      <c r="S6549" t="s">
        <v>13219</v>
      </c>
      <c r="T6549" t="s">
        <v>13338</v>
      </c>
      <c r="U6549" t="s">
        <v>13338</v>
      </c>
      <c r="V6549" t="s">
        <v>13338</v>
      </c>
      <c r="W6549" t="s">
        <v>19823</v>
      </c>
      <c r="X6549">
        <v>1</v>
      </c>
      <c r="Y6549" t="s">
        <v>26300</v>
      </c>
      <c r="Z6549" t="s">
        <v>32964</v>
      </c>
      <c r="AA6549">
        <v>0.2693201731192803</v>
      </c>
      <c r="AB6549" t="str">
        <f>HYPERLINK("Melting_Curves/meltCurve_Q9Y4B4_RAD54L2.pdf", "Melting_Curves/meltCurve_Q9Y4B4_RAD54L2.pdf")</f>
        <v>Melting_Curves/meltCurve_Q9Y4B4_RAD54L2.pdf</v>
      </c>
    </row>
    <row r="6550" spans="1:28" x14ac:dyDescent="0.25">
      <c r="A6550" t="s">
        <v>6554</v>
      </c>
      <c r="B6550">
        <v>0.99193492352474899</v>
      </c>
      <c r="C6550">
        <v>0.92731959193034996</v>
      </c>
      <c r="D6550">
        <v>1.1961133580400001</v>
      </c>
      <c r="E6550">
        <v>0.94891724266811195</v>
      </c>
      <c r="F6550">
        <v>0.520033286788254</v>
      </c>
      <c r="G6550">
        <v>0.20065329042538901</v>
      </c>
      <c r="H6550">
        <v>0.13563394211905999</v>
      </c>
      <c r="I6550">
        <v>0.128467494491253</v>
      </c>
      <c r="J6550">
        <v>0.13601134002859699</v>
      </c>
      <c r="K6550">
        <v>0.199357866044612</v>
      </c>
      <c r="L6550">
        <v>2316.6861587469102</v>
      </c>
      <c r="M6550">
        <v>43.804285481429901</v>
      </c>
      <c r="N6550">
        <v>53.325618097250299</v>
      </c>
      <c r="O6550">
        <v>52.777343391417197</v>
      </c>
      <c r="P6550">
        <v>-0.176121341581015</v>
      </c>
      <c r="Q6550">
        <v>0.151206180256103</v>
      </c>
      <c r="R6550">
        <v>0.97151223657937003</v>
      </c>
      <c r="S6550" t="s">
        <v>13220</v>
      </c>
      <c r="T6550" t="s">
        <v>13338</v>
      </c>
      <c r="U6550" t="s">
        <v>13338</v>
      </c>
      <c r="V6550" t="s">
        <v>13338</v>
      </c>
      <c r="W6550" t="s">
        <v>19824</v>
      </c>
      <c r="X6550">
        <v>3</v>
      </c>
      <c r="Y6550" t="s">
        <v>26301</v>
      </c>
      <c r="Z6550" t="s">
        <v>32965</v>
      </c>
      <c r="AA6550">
        <v>0.51840836901694209</v>
      </c>
      <c r="AB6550" t="str">
        <f>HYPERLINK("Melting_Curves/meltCurve_Q9Y4B6_2_VPRBP.pdf", "Melting_Curves/meltCurve_Q9Y4B6_2_VPRBP.pdf")</f>
        <v>Melting_Curves/meltCurve_Q9Y4B6_2_VPRBP.pdf</v>
      </c>
    </row>
    <row r="6551" spans="1:28" x14ac:dyDescent="0.25">
      <c r="A6551" t="s">
        <v>6555</v>
      </c>
      <c r="B6551">
        <v>0.99193492352474899</v>
      </c>
      <c r="C6551">
        <v>0.94633644267694295</v>
      </c>
      <c r="D6551">
        <v>0.73078141130987495</v>
      </c>
      <c r="E6551">
        <v>0.34186990667084899</v>
      </c>
      <c r="F6551">
        <v>0.17603481745409899</v>
      </c>
      <c r="G6551">
        <v>0.14066169361015299</v>
      </c>
      <c r="H6551">
        <v>9.1779216800771599E-2</v>
      </c>
      <c r="I6551">
        <v>0.13026495109189101</v>
      </c>
      <c r="J6551">
        <v>0.12534808563810501</v>
      </c>
      <c r="K6551">
        <v>0.13989256466369401</v>
      </c>
      <c r="L6551">
        <v>1213.8129751844001</v>
      </c>
      <c r="M6551">
        <v>25.569790110586499</v>
      </c>
      <c r="N6551">
        <v>47.996659853553098</v>
      </c>
      <c r="O6551">
        <v>47.183096723290497</v>
      </c>
      <c r="P6551">
        <v>-0.118926477151006</v>
      </c>
      <c r="Q6551">
        <v>0.12220632798313601</v>
      </c>
      <c r="R6551">
        <v>0.99871630719334603</v>
      </c>
      <c r="S6551" t="s">
        <v>13221</v>
      </c>
      <c r="T6551" t="s">
        <v>13338</v>
      </c>
      <c r="U6551" t="s">
        <v>13338</v>
      </c>
      <c r="V6551" t="s">
        <v>13338</v>
      </c>
      <c r="W6551" t="s">
        <v>19825</v>
      </c>
      <c r="X6551">
        <v>8</v>
      </c>
      <c r="Y6551" t="s">
        <v>26302</v>
      </c>
      <c r="Z6551" t="s">
        <v>32966</v>
      </c>
      <c r="AA6551">
        <v>0.34820714754315651</v>
      </c>
      <c r="AB6551" t="str">
        <f>HYPERLINK("Melting_Curves/meltCurve_Q9Y4C1_KDM3A.pdf", "Melting_Curves/meltCurve_Q9Y4C1_KDM3A.pdf")</f>
        <v>Melting_Curves/meltCurve_Q9Y4C1_KDM3A.pdf</v>
      </c>
    </row>
    <row r="6552" spans="1:28" x14ac:dyDescent="0.25">
      <c r="A6552" t="s">
        <v>6556</v>
      </c>
      <c r="B6552">
        <v>0.99193492352474899</v>
      </c>
      <c r="C6552">
        <v>0.80896825194800304</v>
      </c>
      <c r="D6552">
        <v>0.62960013916228996</v>
      </c>
      <c r="E6552">
        <v>0.26913502057522798</v>
      </c>
      <c r="F6552">
        <v>0.25290805435566999</v>
      </c>
      <c r="G6552">
        <v>0.117703369833139</v>
      </c>
      <c r="H6552">
        <v>6.8483439882007904E-2</v>
      </c>
      <c r="I6552">
        <v>9.6851268397922699E-2</v>
      </c>
      <c r="J6552">
        <v>9.1166254238989594E-2</v>
      </c>
      <c r="K6552">
        <v>0.102776790130687</v>
      </c>
      <c r="L6552">
        <v>827.94255974800103</v>
      </c>
      <c r="M6552">
        <v>17.755671877851199</v>
      </c>
      <c r="N6552">
        <v>47.153599206551299</v>
      </c>
      <c r="O6552">
        <v>46.0503404304214</v>
      </c>
      <c r="P6552">
        <v>-8.7769259280888301E-2</v>
      </c>
      <c r="Q6552">
        <v>8.9509311276647005E-2</v>
      </c>
      <c r="R6552">
        <v>0.98772451892828705</v>
      </c>
      <c r="S6552" t="s">
        <v>13222</v>
      </c>
      <c r="T6552" t="s">
        <v>13338</v>
      </c>
      <c r="U6552" t="s">
        <v>13338</v>
      </c>
      <c r="V6552" t="s">
        <v>13338</v>
      </c>
      <c r="W6552" t="s">
        <v>19826</v>
      </c>
      <c r="X6552">
        <v>6</v>
      </c>
      <c r="Y6552" t="s">
        <v>26303</v>
      </c>
      <c r="Z6552" t="s">
        <v>32967</v>
      </c>
      <c r="AA6552">
        <v>0.30837831884275141</v>
      </c>
      <c r="AB6552" t="str">
        <f>HYPERLINK("Melting_Curves/meltCurve_Q9Y4C2_2_FAM115A.pdf", "Melting_Curves/meltCurve_Q9Y4C2_2_FAM115A.pdf")</f>
        <v>Melting_Curves/meltCurve_Q9Y4C2_2_FAM115A.pdf</v>
      </c>
    </row>
    <row r="6553" spans="1:28" x14ac:dyDescent="0.25">
      <c r="A6553" t="s">
        <v>6557</v>
      </c>
      <c r="B6553">
        <v>0.99193492352474899</v>
      </c>
      <c r="C6553">
        <v>0.24516846762914901</v>
      </c>
      <c r="D6553">
        <v>0.35560957972875501</v>
      </c>
      <c r="E6553">
        <v>0.167782615690968</v>
      </c>
      <c r="F6553">
        <v>0.16827574291799299</v>
      </c>
      <c r="G6553">
        <v>0.1185377838758</v>
      </c>
      <c r="H6553">
        <v>4.1910873293042099E-2</v>
      </c>
      <c r="I6553">
        <v>3.8417045252955299E-2</v>
      </c>
      <c r="J6553">
        <v>5.1110799970409897E-2</v>
      </c>
      <c r="K6553">
        <v>6.4031754264498503E-2</v>
      </c>
      <c r="L6553">
        <v>3395.1933141755098</v>
      </c>
      <c r="M6553">
        <v>80.9545306419583</v>
      </c>
      <c r="N6553">
        <v>42.089511169978898</v>
      </c>
      <c r="O6553">
        <v>41.913942809210901</v>
      </c>
      <c r="P6553">
        <v>-0.42235385571499201</v>
      </c>
      <c r="Q6553">
        <v>0.125310915020278</v>
      </c>
      <c r="R6553">
        <v>0.892681209727331</v>
      </c>
      <c r="S6553" t="s">
        <v>13223</v>
      </c>
      <c r="T6553" t="s">
        <v>13338</v>
      </c>
      <c r="U6553" t="s">
        <v>13338</v>
      </c>
      <c r="V6553" t="s">
        <v>13338</v>
      </c>
      <c r="W6553" t="s">
        <v>19827</v>
      </c>
      <c r="X6553">
        <v>1</v>
      </c>
      <c r="Y6553" t="s">
        <v>26304</v>
      </c>
      <c r="Z6553" t="s">
        <v>32968</v>
      </c>
      <c r="AA6553">
        <v>0.18273737113163219</v>
      </c>
      <c r="AB6553" t="str">
        <f>HYPERLINK("Melting_Curves/meltCurve_Q9Y4C8_RBM19.pdf", "Melting_Curves/meltCurve_Q9Y4C8_RBM19.pdf")</f>
        <v>Melting_Curves/meltCurve_Q9Y4C8_RBM19.pdf</v>
      </c>
    </row>
    <row r="6554" spans="1:28" x14ac:dyDescent="0.25">
      <c r="A6554" t="s">
        <v>6558</v>
      </c>
      <c r="B6554">
        <v>0.99193492352474899</v>
      </c>
      <c r="C6554">
        <v>0.85749537620849203</v>
      </c>
      <c r="D6554">
        <v>0.91997888265163597</v>
      </c>
      <c r="E6554">
        <v>0.54946711569459505</v>
      </c>
      <c r="F6554">
        <v>0.26935240877432598</v>
      </c>
      <c r="G6554">
        <v>0.15680253331524499</v>
      </c>
      <c r="H6554">
        <v>0.112470265905464</v>
      </c>
      <c r="I6554">
        <v>0.141172080291871</v>
      </c>
      <c r="J6554">
        <v>0.16848536243561199</v>
      </c>
      <c r="K6554">
        <v>0.18641947033079001</v>
      </c>
      <c r="L6554">
        <v>1256.1126528048101</v>
      </c>
      <c r="M6554">
        <v>25.4217668119941</v>
      </c>
      <c r="N6554">
        <v>50.089269110556202</v>
      </c>
      <c r="O6554">
        <v>49.108205954362397</v>
      </c>
      <c r="P6554">
        <v>-0.110570131204308</v>
      </c>
      <c r="Q6554">
        <v>0.14564044960222999</v>
      </c>
      <c r="R6554">
        <v>0.98210499753180303</v>
      </c>
      <c r="S6554" t="s">
        <v>13224</v>
      </c>
      <c r="T6554" t="s">
        <v>13338</v>
      </c>
      <c r="U6554" t="s">
        <v>13338</v>
      </c>
      <c r="V6554" t="s">
        <v>13338</v>
      </c>
      <c r="W6554" t="s">
        <v>19828</v>
      </c>
      <c r="X6554">
        <v>11</v>
      </c>
      <c r="Y6554" t="s">
        <v>26305</v>
      </c>
      <c r="Z6554" t="s">
        <v>32969</v>
      </c>
      <c r="AA6554">
        <v>0.42098985118328319</v>
      </c>
      <c r="AB6554" t="str">
        <f>HYPERLINK("Melting_Curves/meltCurve_Q9Y4D1_2_DAAM1.pdf", "Melting_Curves/meltCurve_Q9Y4D1_2_DAAM1.pdf")</f>
        <v>Melting_Curves/meltCurve_Q9Y4D1_2_DAAM1.pdf</v>
      </c>
    </row>
    <row r="6555" spans="1:28" x14ac:dyDescent="0.25">
      <c r="A6555" t="s">
        <v>6559</v>
      </c>
      <c r="B6555">
        <v>0.99193492352474899</v>
      </c>
      <c r="C6555">
        <v>0.97060802028006998</v>
      </c>
      <c r="D6555">
        <v>0.79517374170924005</v>
      </c>
      <c r="E6555">
        <v>0.34078183307447601</v>
      </c>
      <c r="F6555">
        <v>0.21260225753248599</v>
      </c>
      <c r="G6555">
        <v>0.12590768707032901</v>
      </c>
      <c r="H6555">
        <v>9.3636564762398997E-2</v>
      </c>
      <c r="I6555">
        <v>0.129184007149028</v>
      </c>
      <c r="J6555">
        <v>0.146372605142297</v>
      </c>
      <c r="K6555">
        <v>9.4518189947688194E-2</v>
      </c>
      <c r="L6555">
        <v>1347.2748903110801</v>
      </c>
      <c r="M6555">
        <v>28.149170669889699</v>
      </c>
      <c r="N6555">
        <v>48.337296798125998</v>
      </c>
      <c r="O6555">
        <v>47.622373180472998</v>
      </c>
      <c r="P6555">
        <v>-0.12990831901980299</v>
      </c>
      <c r="Q6555">
        <v>0.120899030009699</v>
      </c>
      <c r="R6555">
        <v>0.99641553838255503</v>
      </c>
      <c r="S6555" t="s">
        <v>13225</v>
      </c>
      <c r="T6555" t="s">
        <v>13338</v>
      </c>
      <c r="U6555" t="s">
        <v>13338</v>
      </c>
      <c r="V6555" t="s">
        <v>13338</v>
      </c>
      <c r="W6555" t="s">
        <v>19829</v>
      </c>
      <c r="X6555">
        <v>2</v>
      </c>
      <c r="Y6555" t="s">
        <v>26306</v>
      </c>
      <c r="Z6555" t="s">
        <v>32970</v>
      </c>
      <c r="AA6555">
        <v>0.35732388097411449</v>
      </c>
      <c r="AB6555" t="str">
        <f>HYPERLINK("Melting_Curves/meltCurve_Q9Y4D7_2_PLXND1.pdf", "Melting_Curves/meltCurve_Q9Y4D7_2_PLXND1.pdf")</f>
        <v>Melting_Curves/meltCurve_Q9Y4D7_2_PLXND1.pdf</v>
      </c>
    </row>
    <row r="6556" spans="1:28" x14ac:dyDescent="0.25">
      <c r="A6556" t="s">
        <v>6560</v>
      </c>
      <c r="B6556">
        <v>0.99193492352474899</v>
      </c>
      <c r="C6556">
        <v>0.90550626282226099</v>
      </c>
      <c r="D6556">
        <v>0.80713602110850002</v>
      </c>
      <c r="E6556">
        <v>0.52839817398097</v>
      </c>
      <c r="F6556">
        <v>0.330089412964715</v>
      </c>
      <c r="G6556">
        <v>0.24283246361055</v>
      </c>
      <c r="H6556">
        <v>0.26524902567641301</v>
      </c>
      <c r="I6556">
        <v>0.43710318289149402</v>
      </c>
      <c r="J6556">
        <v>0.49848579257922598</v>
      </c>
      <c r="K6556">
        <v>0.71772236919604804</v>
      </c>
      <c r="L6556">
        <v>1482.72945747107</v>
      </c>
      <c r="M6556">
        <v>31.6300692070111</v>
      </c>
      <c r="N6556">
        <v>49.693598298210702</v>
      </c>
      <c r="O6556">
        <v>46.6910297105754</v>
      </c>
      <c r="P6556">
        <v>-9.8780675616333594E-2</v>
      </c>
      <c r="Q6556">
        <v>0.41673892510114402</v>
      </c>
      <c r="R6556">
        <v>0.743597421987234</v>
      </c>
      <c r="S6556" t="s">
        <v>13226</v>
      </c>
      <c r="T6556" t="s">
        <v>13338</v>
      </c>
      <c r="U6556" t="s">
        <v>13338</v>
      </c>
      <c r="V6556" t="s">
        <v>13338</v>
      </c>
      <c r="W6556" t="s">
        <v>19830</v>
      </c>
      <c r="X6556">
        <v>22</v>
      </c>
      <c r="Y6556" t="s">
        <v>26307</v>
      </c>
      <c r="Z6556" t="s">
        <v>32971</v>
      </c>
      <c r="AA6556">
        <v>0.5535700392953502</v>
      </c>
      <c r="AB6556" t="str">
        <f>HYPERLINK("Melting_Curves/meltCurve_Q9Y4E1_2_FAM21C.pdf", "Melting_Curves/meltCurve_Q9Y4E1_2_FAM21C.pdf")</f>
        <v>Melting_Curves/meltCurve_Q9Y4E1_2_FAM21C.pdf</v>
      </c>
    </row>
    <row r="6557" spans="1:28" x14ac:dyDescent="0.25">
      <c r="A6557" t="s">
        <v>6561</v>
      </c>
      <c r="B6557">
        <v>0.99193492352474899</v>
      </c>
      <c r="C6557">
        <v>0.83404944899924105</v>
      </c>
      <c r="D6557">
        <v>0.74646117991544803</v>
      </c>
      <c r="E6557">
        <v>0.37997031918368701</v>
      </c>
      <c r="F6557">
        <v>0.23704436955213901</v>
      </c>
      <c r="G6557">
        <v>9.5531994761650793E-2</v>
      </c>
      <c r="H6557">
        <v>5.0214636760448697E-2</v>
      </c>
      <c r="I6557">
        <v>5.43463190957141E-2</v>
      </c>
      <c r="J6557">
        <v>5.7453698502430497E-2</v>
      </c>
      <c r="K6557">
        <v>5.6595882118862802E-2</v>
      </c>
      <c r="L6557">
        <v>793.66040063936396</v>
      </c>
      <c r="M6557">
        <v>16.4587437391456</v>
      </c>
      <c r="N6557">
        <v>48.457706336976599</v>
      </c>
      <c r="O6557">
        <v>47.5261907718602</v>
      </c>
      <c r="P6557">
        <v>-8.3242009505834505E-2</v>
      </c>
      <c r="Q6557">
        <v>3.8590306137537E-2</v>
      </c>
      <c r="R6557">
        <v>0.99316357124437304</v>
      </c>
      <c r="S6557" t="s">
        <v>13227</v>
      </c>
      <c r="T6557" t="s">
        <v>13338</v>
      </c>
      <c r="U6557" t="s">
        <v>13338</v>
      </c>
      <c r="V6557" t="s">
        <v>13338</v>
      </c>
      <c r="W6557" t="s">
        <v>19831</v>
      </c>
      <c r="X6557">
        <v>4</v>
      </c>
      <c r="Y6557" t="s">
        <v>26308</v>
      </c>
      <c r="Z6557" t="s">
        <v>32972</v>
      </c>
      <c r="AA6557">
        <v>0.32241232653925073</v>
      </c>
      <c r="AB6557" t="str">
        <f>HYPERLINK("Melting_Curves/meltCurve_Q9Y4E6_2_WDR7.pdf", "Melting_Curves/meltCurve_Q9Y4E6_2_WDR7.pdf")</f>
        <v>Melting_Curves/meltCurve_Q9Y4E6_2_WDR7.pdf</v>
      </c>
    </row>
    <row r="6558" spans="1:28" x14ac:dyDescent="0.25">
      <c r="A6558" t="s">
        <v>6562</v>
      </c>
      <c r="B6558">
        <v>0.99193492352474899</v>
      </c>
      <c r="C6558">
        <v>0.86661949702923702</v>
      </c>
      <c r="D6558">
        <v>0.81056837558569605</v>
      </c>
      <c r="E6558">
        <v>0.32392860678560698</v>
      </c>
      <c r="F6558">
        <v>0.22160983588218999</v>
      </c>
      <c r="G6558">
        <v>0.119505065163187</v>
      </c>
      <c r="H6558">
        <v>7.2221342411407805E-2</v>
      </c>
      <c r="I6558">
        <v>8.9943073517140301E-2</v>
      </c>
      <c r="J6558">
        <v>0.11150971544553601</v>
      </c>
      <c r="K6558">
        <v>0.11005167063648701</v>
      </c>
      <c r="L6558">
        <v>1138.22263785007</v>
      </c>
      <c r="M6558">
        <v>23.771641093464901</v>
      </c>
      <c r="N6558">
        <v>48.327312252423397</v>
      </c>
      <c r="O6558">
        <v>47.546549451591503</v>
      </c>
      <c r="P6558">
        <v>-0.112688020595317</v>
      </c>
      <c r="Q6558">
        <v>9.8448695489499194E-2</v>
      </c>
      <c r="R6558">
        <v>0.98705439883023804</v>
      </c>
      <c r="S6558" t="s">
        <v>13228</v>
      </c>
      <c r="T6558" t="s">
        <v>13338</v>
      </c>
      <c r="U6558" t="s">
        <v>13338</v>
      </c>
      <c r="V6558" t="s">
        <v>13338</v>
      </c>
      <c r="W6558" t="s">
        <v>19832</v>
      </c>
      <c r="X6558">
        <v>37</v>
      </c>
      <c r="Y6558" t="s">
        <v>26309</v>
      </c>
      <c r="Z6558" t="s">
        <v>32973</v>
      </c>
      <c r="AA6558">
        <v>0.34417914860060828</v>
      </c>
      <c r="AB6558" t="str">
        <f>HYPERLINK("Melting_Curves/meltCurve_Q9Y4G6_TLN2.pdf", "Melting_Curves/meltCurve_Q9Y4G6_TLN2.pdf")</f>
        <v>Melting_Curves/meltCurve_Q9Y4G6_TLN2.pdf</v>
      </c>
    </row>
    <row r="6559" spans="1:28" x14ac:dyDescent="0.25">
      <c r="A6559" t="s">
        <v>6563</v>
      </c>
      <c r="B6559">
        <v>0.99193492352474899</v>
      </c>
      <c r="C6559">
        <v>0.73899034603481195</v>
      </c>
      <c r="D6559">
        <v>0.76216044136670003</v>
      </c>
      <c r="E6559">
        <v>0.26168950073005398</v>
      </c>
      <c r="F6559">
        <v>0.15311593298732401</v>
      </c>
      <c r="G6559">
        <v>7.7375855011686506E-2</v>
      </c>
      <c r="H6559">
        <v>5.2733369249579103E-2</v>
      </c>
      <c r="I6559">
        <v>7.7233300227178198E-2</v>
      </c>
      <c r="J6559">
        <v>8.7637241610649702E-2</v>
      </c>
      <c r="K6559">
        <v>0.103601158553793</v>
      </c>
      <c r="L6559">
        <v>921.20089948714599</v>
      </c>
      <c r="M6559">
        <v>19.546921910468701</v>
      </c>
      <c r="N6559">
        <v>47.469099871730997</v>
      </c>
      <c r="O6559">
        <v>46.642732531673602</v>
      </c>
      <c r="P6559">
        <v>-9.7901849207174096E-2</v>
      </c>
      <c r="Q6559">
        <v>6.5582383738361505E-2</v>
      </c>
      <c r="R6559">
        <v>0.96390575211490903</v>
      </c>
      <c r="S6559" t="s">
        <v>13229</v>
      </c>
      <c r="T6559" t="s">
        <v>13338</v>
      </c>
      <c r="U6559" t="s">
        <v>13338</v>
      </c>
      <c r="V6559" t="s">
        <v>13338</v>
      </c>
      <c r="W6559" t="s">
        <v>19833</v>
      </c>
      <c r="X6559">
        <v>21</v>
      </c>
      <c r="Y6559" t="s">
        <v>26310</v>
      </c>
      <c r="Z6559" t="s">
        <v>32974</v>
      </c>
      <c r="AA6559">
        <v>0.3019043368069349</v>
      </c>
      <c r="AB6559" t="str">
        <f>HYPERLINK("Melting_Curves/meltCurve_Q9Y4K1_AIM1.pdf", "Melting_Curves/meltCurve_Q9Y4K1_AIM1.pdf")</f>
        <v>Melting_Curves/meltCurve_Q9Y4K1_AIM1.pdf</v>
      </c>
    </row>
    <row r="6560" spans="1:28" x14ac:dyDescent="0.25">
      <c r="A6560" t="s">
        <v>6564</v>
      </c>
      <c r="B6560">
        <v>0.99193492352474899</v>
      </c>
      <c r="C6560">
        <v>1.2213678230057601</v>
      </c>
      <c r="D6560">
        <v>0.93544604983671897</v>
      </c>
      <c r="E6560">
        <v>0.61563656215979001</v>
      </c>
      <c r="F6560">
        <v>0.123456885472674</v>
      </c>
      <c r="G6560">
        <v>9.6876701777964896E-2</v>
      </c>
      <c r="H6560">
        <v>5.8867469095056697E-2</v>
      </c>
      <c r="I6560">
        <v>8.3834144496060706E-2</v>
      </c>
      <c r="J6560">
        <v>0.11346798312737801</v>
      </c>
      <c r="K6560">
        <v>6.5947851533807E-2</v>
      </c>
      <c r="L6560">
        <v>2210.0047751249299</v>
      </c>
      <c r="M6560">
        <v>44.254617172603801</v>
      </c>
      <c r="N6560">
        <v>50.137398684312103</v>
      </c>
      <c r="O6560">
        <v>49.836754679470303</v>
      </c>
      <c r="P6560">
        <v>-0.20411760744011101</v>
      </c>
      <c r="Q6560">
        <v>8.0543907884348898E-2</v>
      </c>
      <c r="R6560">
        <v>0.97224443025186003</v>
      </c>
      <c r="S6560" t="s">
        <v>13230</v>
      </c>
      <c r="T6560" t="s">
        <v>13338</v>
      </c>
      <c r="U6560" t="s">
        <v>13338</v>
      </c>
      <c r="V6560" t="s">
        <v>13338</v>
      </c>
      <c r="W6560" t="s">
        <v>19834</v>
      </c>
      <c r="X6560">
        <v>2</v>
      </c>
      <c r="Y6560" t="s">
        <v>26311</v>
      </c>
      <c r="Z6560" t="s">
        <v>32975</v>
      </c>
      <c r="AA6560">
        <v>0.38773091486885269</v>
      </c>
      <c r="AB6560" t="str">
        <f>HYPERLINK("Melting_Curves/meltCurve_Q9Y4K3_TRAF6.pdf", "Melting_Curves/meltCurve_Q9Y4K3_TRAF6.pdf")</f>
        <v>Melting_Curves/meltCurve_Q9Y4K3_TRAF6.pdf</v>
      </c>
    </row>
    <row r="6561" spans="1:28" x14ac:dyDescent="0.25">
      <c r="A6561" t="s">
        <v>6565</v>
      </c>
      <c r="B6561">
        <v>0.99193492352474899</v>
      </c>
      <c r="C6561">
        <v>0.96107383287634596</v>
      </c>
      <c r="D6561">
        <v>1.00400235054357</v>
      </c>
      <c r="E6561">
        <v>0.74263557302635497</v>
      </c>
      <c r="F6561">
        <v>0.23966038918753199</v>
      </c>
      <c r="G6561">
        <v>0.110072512770402</v>
      </c>
      <c r="H6561">
        <v>6.9880454590161303E-2</v>
      </c>
      <c r="I6561">
        <v>8.9062385427336299E-2</v>
      </c>
      <c r="J6561">
        <v>0.12161777510787999</v>
      </c>
      <c r="K6561">
        <v>0.120286322503826</v>
      </c>
      <c r="L6561">
        <v>1956.5689820106099</v>
      </c>
      <c r="M6561">
        <v>38.5094863661296</v>
      </c>
      <c r="N6561">
        <v>51.101647762678198</v>
      </c>
      <c r="O6561">
        <v>50.671035494146899</v>
      </c>
      <c r="P6561">
        <v>-0.17110771346313</v>
      </c>
      <c r="Q6561">
        <v>9.9423717281503801E-2</v>
      </c>
      <c r="R6561">
        <v>0.99750829203574998</v>
      </c>
      <c r="S6561" t="s">
        <v>13231</v>
      </c>
      <c r="T6561" t="s">
        <v>13338</v>
      </c>
      <c r="U6561" t="s">
        <v>13338</v>
      </c>
      <c r="V6561" t="s">
        <v>13338</v>
      </c>
      <c r="W6561" t="s">
        <v>19835</v>
      </c>
      <c r="X6561">
        <v>11</v>
      </c>
      <c r="Y6561" t="s">
        <v>26312</v>
      </c>
      <c r="Z6561" t="s">
        <v>32976</v>
      </c>
      <c r="AA6561">
        <v>0.42726931049215922</v>
      </c>
      <c r="AB6561" t="str">
        <f>HYPERLINK("Melting_Curves/meltCurve_Q9Y4K4_MAP4K5.pdf", "Melting_Curves/meltCurve_Q9Y4K4_MAP4K5.pdf")</f>
        <v>Melting_Curves/meltCurve_Q9Y4K4_MAP4K5.pdf</v>
      </c>
    </row>
    <row r="6562" spans="1:28" x14ac:dyDescent="0.25">
      <c r="A6562" t="s">
        <v>6566</v>
      </c>
      <c r="B6562">
        <v>0.99193492352474899</v>
      </c>
      <c r="C6562">
        <v>1.0610430624440801</v>
      </c>
      <c r="D6562">
        <v>0.89871761184830101</v>
      </c>
      <c r="E6562">
        <v>0.72850402074921194</v>
      </c>
      <c r="F6562">
        <v>0.28468443254058101</v>
      </c>
      <c r="G6562">
        <v>0.15631214425228401</v>
      </c>
      <c r="H6562">
        <v>9.0808732442835702E-2</v>
      </c>
      <c r="I6562">
        <v>0.10722037773072</v>
      </c>
      <c r="J6562">
        <v>0.114786309888186</v>
      </c>
      <c r="K6562">
        <v>0.120210995183751</v>
      </c>
      <c r="L6562">
        <v>1466.73401069851</v>
      </c>
      <c r="M6562">
        <v>28.852182701849198</v>
      </c>
      <c r="N6562">
        <v>51.2585989672043</v>
      </c>
      <c r="O6562">
        <v>50.593820025971702</v>
      </c>
      <c r="P6562">
        <v>-0.127483222601254</v>
      </c>
      <c r="Q6562">
        <v>0.10581266233099799</v>
      </c>
      <c r="R6562">
        <v>0.99376604369778898</v>
      </c>
      <c r="S6562" t="s">
        <v>13232</v>
      </c>
      <c r="T6562" t="s">
        <v>13338</v>
      </c>
      <c r="U6562" t="s">
        <v>13338</v>
      </c>
      <c r="V6562" t="s">
        <v>13338</v>
      </c>
      <c r="W6562" t="s">
        <v>19836</v>
      </c>
      <c r="X6562">
        <v>56</v>
      </c>
      <c r="Y6562" t="s">
        <v>26313</v>
      </c>
      <c r="Z6562" t="s">
        <v>32977</v>
      </c>
      <c r="AA6562">
        <v>0.43486073262494013</v>
      </c>
      <c r="AB6562" t="str">
        <f>HYPERLINK("Melting_Curves/meltCurve_Q9Y4L1_HYOU1.pdf", "Melting_Curves/meltCurve_Q9Y4L1_HYOU1.pdf")</f>
        <v>Melting_Curves/meltCurve_Q9Y4L1_HYOU1.pdf</v>
      </c>
    </row>
    <row r="6563" spans="1:28" x14ac:dyDescent="0.25">
      <c r="A6563" t="s">
        <v>6567</v>
      </c>
      <c r="B6563">
        <v>0.99193492352474899</v>
      </c>
      <c r="C6563">
        <v>0.93225491286117401</v>
      </c>
      <c r="D6563">
        <v>0.78514292254474205</v>
      </c>
      <c r="E6563">
        <v>0.277567805582489</v>
      </c>
      <c r="F6563">
        <v>0.13850248328327</v>
      </c>
      <c r="G6563">
        <v>8.0206637436966793E-2</v>
      </c>
      <c r="H6563">
        <v>5.7673835416458402E-2</v>
      </c>
      <c r="I6563">
        <v>7.8034998563644001E-2</v>
      </c>
      <c r="J6563">
        <v>9.4348592592515504E-2</v>
      </c>
      <c r="K6563">
        <v>0.138146823552242</v>
      </c>
      <c r="L6563">
        <v>1500.0302047695</v>
      </c>
      <c r="M6563">
        <v>31.519757272761801</v>
      </c>
      <c r="N6563">
        <v>47.892729147380102</v>
      </c>
      <c r="O6563">
        <v>47.399846993227101</v>
      </c>
      <c r="P6563">
        <v>-0.151236470000879</v>
      </c>
      <c r="Q6563">
        <v>9.0279286792765298E-2</v>
      </c>
      <c r="R6563">
        <v>0.99547393431352005</v>
      </c>
      <c r="S6563" t="s">
        <v>13233</v>
      </c>
      <c r="T6563" t="s">
        <v>13338</v>
      </c>
      <c r="U6563" t="s">
        <v>13338</v>
      </c>
      <c r="V6563" t="s">
        <v>13338</v>
      </c>
      <c r="W6563" t="s">
        <v>19837</v>
      </c>
      <c r="X6563">
        <v>9</v>
      </c>
      <c r="Y6563" t="s">
        <v>26314</v>
      </c>
      <c r="Z6563" t="s">
        <v>32978</v>
      </c>
      <c r="AA6563">
        <v>0.32536386836752951</v>
      </c>
      <c r="AB6563" t="str">
        <f>HYPERLINK("Melting_Curves/meltCurve_Q9Y4P1_6_ATG4B.pdf", "Melting_Curves/meltCurve_Q9Y4P1_6_ATG4B.pdf")</f>
        <v>Melting_Curves/meltCurve_Q9Y4P1_6_ATG4B.pdf</v>
      </c>
    </row>
    <row r="6564" spans="1:28" x14ac:dyDescent="0.25">
      <c r="A6564" t="s">
        <v>6568</v>
      </c>
      <c r="B6564">
        <v>0.99193492352474899</v>
      </c>
      <c r="C6564">
        <v>0.93146393363899604</v>
      </c>
      <c r="D6564">
        <v>0.94067823718215704</v>
      </c>
      <c r="E6564">
        <v>0.69663795460532796</v>
      </c>
      <c r="F6564">
        <v>0.25233966943131397</v>
      </c>
      <c r="G6564">
        <v>0.107460041936893</v>
      </c>
      <c r="H6564">
        <v>5.8123381974211401E-2</v>
      </c>
      <c r="I6564">
        <v>6.1518137863456397E-2</v>
      </c>
      <c r="J6564">
        <v>7.4026633454645704E-2</v>
      </c>
      <c r="K6564">
        <v>8.3942114248691399E-2</v>
      </c>
      <c r="L6564">
        <v>1480.27587768595</v>
      </c>
      <c r="M6564">
        <v>29.1637395217451</v>
      </c>
      <c r="N6564">
        <v>51.005464735964203</v>
      </c>
      <c r="O6564">
        <v>50.520543505312297</v>
      </c>
      <c r="P6564">
        <v>-0.13477564788879101</v>
      </c>
      <c r="Q6564">
        <v>6.6115565402912094E-2</v>
      </c>
      <c r="R6564">
        <v>0.99663510725971005</v>
      </c>
      <c r="S6564" t="s">
        <v>13234</v>
      </c>
      <c r="T6564" t="s">
        <v>13338</v>
      </c>
      <c r="U6564" t="s">
        <v>13338</v>
      </c>
      <c r="V6564" t="s">
        <v>13338</v>
      </c>
      <c r="W6564" t="s">
        <v>19838</v>
      </c>
      <c r="X6564">
        <v>5</v>
      </c>
      <c r="Y6564" t="s">
        <v>26315</v>
      </c>
      <c r="Z6564" t="s">
        <v>32979</v>
      </c>
      <c r="AA6564">
        <v>0.40717785100447079</v>
      </c>
      <c r="AB6564" t="str">
        <f>HYPERLINK("Melting_Curves/meltCurve_Q9Y4P8_3_WIPI2.pdf", "Melting_Curves/meltCurve_Q9Y4P8_3_WIPI2.pdf")</f>
        <v>Melting_Curves/meltCurve_Q9Y4P8_3_WIPI2.pdf</v>
      </c>
    </row>
    <row r="6565" spans="1:28" x14ac:dyDescent="0.25">
      <c r="A6565" t="s">
        <v>6569</v>
      </c>
      <c r="B6565">
        <v>0.99193492352474899</v>
      </c>
      <c r="C6565">
        <v>0.914716111120353</v>
      </c>
      <c r="D6565">
        <v>0.53257762793868202</v>
      </c>
      <c r="E6565">
        <v>0.235448199301693</v>
      </c>
      <c r="F6565">
        <v>0.11166214721296</v>
      </c>
      <c r="G6565">
        <v>9.9317106652579895E-2</v>
      </c>
      <c r="H6565">
        <v>6.5885355525547695E-2</v>
      </c>
      <c r="I6565">
        <v>7.3944754555161002E-2</v>
      </c>
      <c r="J6565">
        <v>8.7516666849940306E-2</v>
      </c>
      <c r="K6565">
        <v>5.7280370675099598E-2</v>
      </c>
      <c r="L6565">
        <v>1187.9438716083901</v>
      </c>
      <c r="M6565">
        <v>25.7372930106608</v>
      </c>
      <c r="N6565">
        <v>46.4627834814181</v>
      </c>
      <c r="O6565">
        <v>45.880573347838101</v>
      </c>
      <c r="P6565">
        <v>-0.12930140044126601</v>
      </c>
      <c r="Q6565">
        <v>7.8014725098347198E-2</v>
      </c>
      <c r="R6565">
        <v>0.99730596884966805</v>
      </c>
      <c r="S6565" t="s">
        <v>13235</v>
      </c>
      <c r="T6565" t="s">
        <v>13338</v>
      </c>
      <c r="U6565" t="s">
        <v>13338</v>
      </c>
      <c r="V6565" t="s">
        <v>13338</v>
      </c>
      <c r="W6565" t="s">
        <v>19839</v>
      </c>
      <c r="X6565">
        <v>4</v>
      </c>
      <c r="Y6565" t="s">
        <v>26316</v>
      </c>
      <c r="Z6565" t="s">
        <v>32980</v>
      </c>
      <c r="AA6565">
        <v>0.27513169125259651</v>
      </c>
      <c r="AB6565" t="str">
        <f>HYPERLINK("Melting_Curves/meltCurve_Q9Y4R8_TELO2.pdf", "Melting_Curves/meltCurve_Q9Y4R8_TELO2.pdf")</f>
        <v>Melting_Curves/meltCurve_Q9Y4R8_TELO2.pdf</v>
      </c>
    </row>
    <row r="6566" spans="1:28" x14ac:dyDescent="0.25">
      <c r="A6566" t="s">
        <v>6570</v>
      </c>
      <c r="B6566">
        <v>0.99193492352474899</v>
      </c>
      <c r="C6566">
        <v>0.89721416880679805</v>
      </c>
      <c r="D6566">
        <v>1.03560157838262</v>
      </c>
      <c r="E6566">
        <v>0.82050102954164705</v>
      </c>
      <c r="F6566">
        <v>0.59280050313551003</v>
      </c>
      <c r="G6566">
        <v>0.33110499294601903</v>
      </c>
      <c r="H6566">
        <v>0.104399420441827</v>
      </c>
      <c r="I6566">
        <v>9.1423445041082296E-2</v>
      </c>
      <c r="J6566">
        <v>0.10192981877175</v>
      </c>
      <c r="K6566">
        <v>0.101472687727301</v>
      </c>
      <c r="L6566">
        <v>1084.56974374893</v>
      </c>
      <c r="M6566">
        <v>20.174930071547401</v>
      </c>
      <c r="N6566">
        <v>54.1631760839375</v>
      </c>
      <c r="O6566">
        <v>53.238482153850903</v>
      </c>
      <c r="P6566">
        <v>-8.8110037603339506E-2</v>
      </c>
      <c r="Q6566">
        <v>6.9994864529224904E-2</v>
      </c>
      <c r="R6566">
        <v>0.98708060655472696</v>
      </c>
      <c r="S6566" t="s">
        <v>13236</v>
      </c>
      <c r="T6566" t="s">
        <v>13338</v>
      </c>
      <c r="U6566" t="s">
        <v>13338</v>
      </c>
      <c r="V6566" t="s">
        <v>13338</v>
      </c>
      <c r="W6566" t="s">
        <v>19840</v>
      </c>
      <c r="X6566">
        <v>28</v>
      </c>
      <c r="Y6566" t="s">
        <v>26317</v>
      </c>
      <c r="Z6566" t="s">
        <v>32981</v>
      </c>
      <c r="AA6566">
        <v>0.50900934162644362</v>
      </c>
      <c r="AB6566" t="str">
        <f>HYPERLINK("Melting_Curves/meltCurve_Q9Y4W6_AFG3L2.pdf", "Melting_Curves/meltCurve_Q9Y4W6_AFG3L2.pdf")</f>
        <v>Melting_Curves/meltCurve_Q9Y4W6_AFG3L2.pdf</v>
      </c>
    </row>
    <row r="6567" spans="1:28" x14ac:dyDescent="0.25">
      <c r="A6567" t="s">
        <v>6571</v>
      </c>
      <c r="B6567">
        <v>0.99193492352474899</v>
      </c>
      <c r="C6567">
        <v>0.685809690041155</v>
      </c>
      <c r="D6567">
        <v>0.81990767196028902</v>
      </c>
      <c r="E6567">
        <v>0.47247658150189598</v>
      </c>
      <c r="F6567">
        <v>0.38892857704428202</v>
      </c>
      <c r="G6567">
        <v>0.204894763917533</v>
      </c>
      <c r="H6567">
        <v>0.165198016689973</v>
      </c>
      <c r="I6567">
        <v>0.14496335843861399</v>
      </c>
      <c r="J6567">
        <v>0.20954510958945299</v>
      </c>
      <c r="K6567">
        <v>0.20475525326315799</v>
      </c>
      <c r="L6567">
        <v>589.78478175116095</v>
      </c>
      <c r="M6567">
        <v>12.214356007828201</v>
      </c>
      <c r="N6567">
        <v>49.621684476775897</v>
      </c>
      <c r="O6567">
        <v>47.046604676180699</v>
      </c>
      <c r="P6567">
        <v>-5.58261158990963E-2</v>
      </c>
      <c r="Q6567">
        <v>0.140081332638154</v>
      </c>
      <c r="R6567">
        <v>0.93283392919640595</v>
      </c>
      <c r="S6567" t="s">
        <v>13237</v>
      </c>
      <c r="T6567" t="s">
        <v>13338</v>
      </c>
      <c r="U6567" t="s">
        <v>13338</v>
      </c>
      <c r="V6567" t="s">
        <v>13338</v>
      </c>
      <c r="W6567" t="s">
        <v>19841</v>
      </c>
      <c r="X6567">
        <v>2</v>
      </c>
      <c r="Y6567" t="s">
        <v>26318</v>
      </c>
      <c r="Z6567" t="s">
        <v>32982</v>
      </c>
      <c r="AA6567">
        <v>0.40961680508978793</v>
      </c>
      <c r="AB6567" t="str">
        <f>HYPERLINK("Melting_Curves/meltCurve_Q9Y4X4_KLF12.pdf", "Melting_Curves/meltCurve_Q9Y4X4_KLF12.pdf")</f>
        <v>Melting_Curves/meltCurve_Q9Y4X4_KLF12.pdf</v>
      </c>
    </row>
    <row r="6568" spans="1:28" x14ac:dyDescent="0.25">
      <c r="A6568" t="s">
        <v>6572</v>
      </c>
      <c r="B6568">
        <v>0.99193492352474899</v>
      </c>
      <c r="C6568">
        <v>0.97382460219318501</v>
      </c>
      <c r="D6568">
        <v>1.10438978594084</v>
      </c>
      <c r="E6568">
        <v>0.96614557947976798</v>
      </c>
      <c r="F6568">
        <v>0.92587653183198504</v>
      </c>
      <c r="G6568">
        <v>0.44293481576101801</v>
      </c>
      <c r="H6568">
        <v>0.15487986133474699</v>
      </c>
      <c r="I6568">
        <v>0.12683776196229199</v>
      </c>
      <c r="J6568">
        <v>0.113933717962901</v>
      </c>
      <c r="K6568">
        <v>0.16523367718267101</v>
      </c>
      <c r="L6568">
        <v>2487.5008133889201</v>
      </c>
      <c r="M6568">
        <v>44.385691691175303</v>
      </c>
      <c r="N6568">
        <v>56.4355631950936</v>
      </c>
      <c r="O6568">
        <v>55.929453729001402</v>
      </c>
      <c r="P6568">
        <v>-0.172041453400364</v>
      </c>
      <c r="Q6568">
        <v>0.13285833655273699</v>
      </c>
      <c r="R6568">
        <v>0.99147105239502897</v>
      </c>
      <c r="S6568" t="s">
        <v>13238</v>
      </c>
      <c r="T6568" t="s">
        <v>13338</v>
      </c>
      <c r="U6568" t="s">
        <v>13338</v>
      </c>
      <c r="V6568" t="s">
        <v>13338</v>
      </c>
      <c r="W6568" t="s">
        <v>19842</v>
      </c>
      <c r="X6568">
        <v>13</v>
      </c>
      <c r="Y6568" t="s">
        <v>26319</v>
      </c>
      <c r="Z6568" t="s">
        <v>32983</v>
      </c>
      <c r="AA6568">
        <v>0.59928826107228406</v>
      </c>
      <c r="AB6568" t="str">
        <f>HYPERLINK("Melting_Curves/meltCurve_Q9Y4X5_ARIH1.pdf", "Melting_Curves/meltCurve_Q9Y4X5_ARIH1.pdf")</f>
        <v>Melting_Curves/meltCurve_Q9Y4X5_ARIH1.pdf</v>
      </c>
    </row>
    <row r="6569" spans="1:28" x14ac:dyDescent="0.25">
      <c r="A6569" t="s">
        <v>6573</v>
      </c>
      <c r="B6569">
        <v>0.99193492352474899</v>
      </c>
      <c r="C6569">
        <v>0.96547271951934499</v>
      </c>
      <c r="D6569">
        <v>1.0046736740737201</v>
      </c>
      <c r="E6569">
        <v>0.82436153275218405</v>
      </c>
      <c r="F6569">
        <v>0.73808412720769201</v>
      </c>
      <c r="G6569">
        <v>0.51749943651935504</v>
      </c>
      <c r="H6569">
        <v>0.43300505120868099</v>
      </c>
      <c r="I6569">
        <v>0.57850309187301197</v>
      </c>
      <c r="J6569">
        <v>0.70273507752085496</v>
      </c>
      <c r="K6569">
        <v>0.59417000606624804</v>
      </c>
      <c r="L6569">
        <v>1387.12103000244</v>
      </c>
      <c r="M6569">
        <v>27.230465373092699</v>
      </c>
      <c r="O6569">
        <v>50.667692529418098</v>
      </c>
      <c r="P6569">
        <v>-5.8049737135737002E-2</v>
      </c>
      <c r="Q6569">
        <v>0.56795185677888405</v>
      </c>
      <c r="R6569">
        <v>0.86570645288691195</v>
      </c>
      <c r="S6569" t="s">
        <v>13239</v>
      </c>
      <c r="T6569" t="s">
        <v>13338</v>
      </c>
      <c r="U6569" t="s">
        <v>13338</v>
      </c>
      <c r="V6569" t="s">
        <v>13338</v>
      </c>
      <c r="W6569" t="s">
        <v>19843</v>
      </c>
      <c r="X6569">
        <v>7</v>
      </c>
      <c r="Y6569" t="s">
        <v>26320</v>
      </c>
      <c r="Z6569" t="s">
        <v>32984</v>
      </c>
      <c r="AA6569">
        <v>0.72879917776475023</v>
      </c>
      <c r="AB6569" t="str">
        <f>HYPERLINK("Melting_Curves/meltCurve_Q9Y4Z0_LSM4.pdf", "Melting_Curves/meltCurve_Q9Y4Z0_LSM4.pdf")</f>
        <v>Melting_Curves/meltCurve_Q9Y4Z0_LSM4.pdf</v>
      </c>
    </row>
    <row r="6570" spans="1:28" x14ac:dyDescent="0.25">
      <c r="A6570" t="s">
        <v>6574</v>
      </c>
      <c r="B6570">
        <v>0.99193492352474899</v>
      </c>
      <c r="C6570">
        <v>0.959705637058623</v>
      </c>
      <c r="D6570">
        <v>1.1101866510529801</v>
      </c>
      <c r="E6570">
        <v>0.81713459205916295</v>
      </c>
      <c r="F6570">
        <v>0.53465109304337599</v>
      </c>
      <c r="G6570">
        <v>0.27155401693359998</v>
      </c>
      <c r="H6570">
        <v>0.200235354742862</v>
      </c>
      <c r="I6570">
        <v>0.19705054912209999</v>
      </c>
      <c r="J6570">
        <v>0.29395031812387201</v>
      </c>
      <c r="K6570">
        <v>0.39029617070128297</v>
      </c>
      <c r="L6570">
        <v>1659.6246674982899</v>
      </c>
      <c r="M6570">
        <v>31.9668198804086</v>
      </c>
      <c r="N6570">
        <v>53.167750304090397</v>
      </c>
      <c r="O6570">
        <v>51.715190535555202</v>
      </c>
      <c r="P6570">
        <v>-0.113694388035556</v>
      </c>
      <c r="Q6570">
        <v>0.26427491412246201</v>
      </c>
      <c r="R6570">
        <v>0.95846074545174897</v>
      </c>
      <c r="S6570" t="s">
        <v>13240</v>
      </c>
      <c r="T6570" t="s">
        <v>13338</v>
      </c>
      <c r="U6570" t="s">
        <v>13338</v>
      </c>
      <c r="V6570" t="s">
        <v>13338</v>
      </c>
      <c r="W6570" t="s">
        <v>19844</v>
      </c>
      <c r="X6570">
        <v>8</v>
      </c>
      <c r="Y6570" t="s">
        <v>26321</v>
      </c>
      <c r="Z6570" t="s">
        <v>32985</v>
      </c>
      <c r="AA6570">
        <v>0.56066929980651492</v>
      </c>
      <c r="AB6570" t="str">
        <f>HYPERLINK("Melting_Curves/meltCurve_Q9Y508_RNF114.pdf", "Melting_Curves/meltCurve_Q9Y508_RNF114.pdf")</f>
        <v>Melting_Curves/meltCurve_Q9Y508_RNF114.pdf</v>
      </c>
    </row>
    <row r="6571" spans="1:28" x14ac:dyDescent="0.25">
      <c r="A6571" t="s">
        <v>6575</v>
      </c>
      <c r="B6571">
        <v>0.99193492352474899</v>
      </c>
      <c r="C6571">
        <v>1.0702574913884599</v>
      </c>
      <c r="D6571">
        <v>1.09877221930312</v>
      </c>
      <c r="E6571">
        <v>1.01010669092428</v>
      </c>
      <c r="F6571">
        <v>0.73344553548200497</v>
      </c>
      <c r="G6571">
        <v>0.56673624067095096</v>
      </c>
      <c r="H6571">
        <v>0.387441948695597</v>
      </c>
      <c r="I6571">
        <v>0.42859520027248699</v>
      </c>
      <c r="J6571">
        <v>0.50000102346099395</v>
      </c>
      <c r="K6571">
        <v>0.48513460501467498</v>
      </c>
      <c r="L6571">
        <v>1952.1064130473601</v>
      </c>
      <c r="M6571">
        <v>36.475993163024597</v>
      </c>
      <c r="N6571">
        <v>57.395668127160803</v>
      </c>
      <c r="O6571">
        <v>53.357472007120002</v>
      </c>
      <c r="P6571">
        <v>-9.2719255841921797E-2</v>
      </c>
      <c r="Q6571">
        <v>0.45747873674663903</v>
      </c>
      <c r="R6571">
        <v>0.961052354483942</v>
      </c>
      <c r="S6571" t="s">
        <v>13241</v>
      </c>
      <c r="T6571" t="s">
        <v>13338</v>
      </c>
      <c r="U6571" t="s">
        <v>13338</v>
      </c>
      <c r="V6571" t="s">
        <v>13338</v>
      </c>
      <c r="W6571" t="s">
        <v>19845</v>
      </c>
      <c r="X6571">
        <v>17</v>
      </c>
      <c r="Y6571" t="s">
        <v>26322</v>
      </c>
      <c r="Z6571" t="s">
        <v>32986</v>
      </c>
      <c r="AA6571">
        <v>0.70434045586506611</v>
      </c>
      <c r="AB6571" t="str">
        <f>HYPERLINK("Melting_Curves/meltCurve_Q9Y512_SAMM50.pdf", "Melting_Curves/meltCurve_Q9Y512_SAMM50.pdf")</f>
        <v>Melting_Curves/meltCurve_Q9Y512_SAMM50.pdf</v>
      </c>
    </row>
    <row r="6572" spans="1:28" x14ac:dyDescent="0.25">
      <c r="A6572" t="s">
        <v>6576</v>
      </c>
      <c r="B6572">
        <v>0.99193492352474899</v>
      </c>
      <c r="C6572">
        <v>0.54430258264057996</v>
      </c>
      <c r="D6572">
        <v>0.84497147737221701</v>
      </c>
      <c r="E6572">
        <v>0.54285237365372097</v>
      </c>
      <c r="F6572">
        <v>0.53272748009475901</v>
      </c>
      <c r="G6572">
        <v>0.44854577544608698</v>
      </c>
      <c r="H6572">
        <v>0.51893275085238899</v>
      </c>
      <c r="I6572">
        <v>0.65851868153906201</v>
      </c>
      <c r="J6572">
        <v>0.83061483232163802</v>
      </c>
      <c r="K6572">
        <v>1.2436128320959801</v>
      </c>
      <c r="L6572">
        <v>10145.526190090401</v>
      </c>
      <c r="M6572">
        <v>250</v>
      </c>
      <c r="O6572">
        <v>40.5795078832031</v>
      </c>
      <c r="P6572">
        <v>-0.48514519650671201</v>
      </c>
      <c r="Q6572">
        <v>0.68500874799211897</v>
      </c>
      <c r="R6572">
        <v>0.14345595845395601</v>
      </c>
      <c r="S6572" t="s">
        <v>13242</v>
      </c>
      <c r="T6572" t="s">
        <v>13338</v>
      </c>
      <c r="U6572" t="s">
        <v>13338</v>
      </c>
      <c r="V6572" t="s">
        <v>13338</v>
      </c>
      <c r="W6572" t="s">
        <v>19846</v>
      </c>
      <c r="X6572">
        <v>53</v>
      </c>
      <c r="Y6572" t="s">
        <v>26323</v>
      </c>
      <c r="Z6572" t="s">
        <v>32987</v>
      </c>
      <c r="AA6572">
        <v>0.69118576256464492</v>
      </c>
      <c r="AB6572" t="str">
        <f>HYPERLINK("Melting_Curves/meltCurve_Q9Y520_5_PRRC2C.pdf", "Melting_Curves/meltCurve_Q9Y520_5_PRRC2C.pdf")</f>
        <v>Melting_Curves/meltCurve_Q9Y520_5_PRRC2C.pdf</v>
      </c>
    </row>
    <row r="6573" spans="1:28" x14ac:dyDescent="0.25">
      <c r="A6573" t="s">
        <v>6577</v>
      </c>
      <c r="B6573">
        <v>0.99193492352474899</v>
      </c>
      <c r="C6573">
        <v>0.76805432878582403</v>
      </c>
      <c r="D6573">
        <v>0.87446419804021402</v>
      </c>
      <c r="E6573">
        <v>0.61863677529627004</v>
      </c>
      <c r="F6573">
        <v>0.510544944376359</v>
      </c>
      <c r="G6573">
        <v>0.271556006385473</v>
      </c>
      <c r="H6573">
        <v>0.14440080123917701</v>
      </c>
      <c r="I6573">
        <v>0.133678624745108</v>
      </c>
      <c r="J6573">
        <v>0.13036195152635599</v>
      </c>
      <c r="K6573">
        <v>0.102756085515242</v>
      </c>
      <c r="L6573">
        <v>544.87574106641296</v>
      </c>
      <c r="M6573">
        <v>10.477275834641199</v>
      </c>
      <c r="N6573">
        <v>52.207671732043003</v>
      </c>
      <c r="O6573">
        <v>50.218061476871704</v>
      </c>
      <c r="P6573">
        <v>-5.1142579102857397E-2</v>
      </c>
      <c r="Q6573">
        <v>1.9883940193065799E-2</v>
      </c>
      <c r="R6573">
        <v>0.96815690151105904</v>
      </c>
      <c r="S6573" t="s">
        <v>13243</v>
      </c>
      <c r="T6573" t="s">
        <v>13338</v>
      </c>
      <c r="U6573" t="s">
        <v>13338</v>
      </c>
      <c r="V6573" t="s">
        <v>13338</v>
      </c>
      <c r="W6573" t="s">
        <v>19847</v>
      </c>
      <c r="X6573">
        <v>2</v>
      </c>
      <c r="Y6573" t="s">
        <v>26324</v>
      </c>
      <c r="Z6573" t="s">
        <v>32988</v>
      </c>
      <c r="AA6573">
        <v>0.44743041834224551</v>
      </c>
      <c r="AB6573" t="str">
        <f>HYPERLINK("Melting_Curves/meltCurve_Q9Y547_HSPB11.pdf", "Melting_Curves/meltCurve_Q9Y547_HSPB11.pdf")</f>
        <v>Melting_Curves/meltCurve_Q9Y547_HSPB11.pdf</v>
      </c>
    </row>
    <row r="6574" spans="1:28" x14ac:dyDescent="0.25">
      <c r="A6574" t="s">
        <v>6578</v>
      </c>
      <c r="B6574">
        <v>0.99193492352474899</v>
      </c>
      <c r="C6574">
        <v>0.94726199178036397</v>
      </c>
      <c r="D6574">
        <v>0.99134116533908001</v>
      </c>
      <c r="E6574">
        <v>0.83215640853371997</v>
      </c>
      <c r="F6574">
        <v>0.38184517500288001</v>
      </c>
      <c r="G6574">
        <v>0.101868555111519</v>
      </c>
      <c r="H6574">
        <v>6.4904366114983597E-2</v>
      </c>
      <c r="I6574">
        <v>6.7416717402531301E-2</v>
      </c>
      <c r="J6574">
        <v>8.1862796057971199E-2</v>
      </c>
      <c r="K6574">
        <v>7.6313030356720393E-2</v>
      </c>
      <c r="L6574">
        <v>1688.32382855831</v>
      </c>
      <c r="M6574">
        <v>32.461143529509002</v>
      </c>
      <c r="N6574">
        <v>52.2395876107201</v>
      </c>
      <c r="O6574">
        <v>51.814413678962701</v>
      </c>
      <c r="P6574">
        <v>-0.14623704730800499</v>
      </c>
      <c r="Q6574">
        <v>6.6311293452986295E-2</v>
      </c>
      <c r="R6574">
        <v>0.99771913003281998</v>
      </c>
      <c r="S6574" t="s">
        <v>13244</v>
      </c>
      <c r="T6574" t="s">
        <v>13338</v>
      </c>
      <c r="U6574" t="s">
        <v>13338</v>
      </c>
      <c r="V6574" t="s">
        <v>13338</v>
      </c>
      <c r="W6574" t="s">
        <v>19848</v>
      </c>
      <c r="X6574">
        <v>15</v>
      </c>
      <c r="Y6574" t="s">
        <v>26325</v>
      </c>
      <c r="Z6574" t="s">
        <v>32989</v>
      </c>
      <c r="AA6574">
        <v>0.44521723802186941</v>
      </c>
      <c r="AB6574" t="str">
        <f>HYPERLINK("Melting_Curves/meltCurve_Q9Y570_PPME1.pdf", "Melting_Curves/meltCurve_Q9Y570_PPME1.pdf")</f>
        <v>Melting_Curves/meltCurve_Q9Y570_PPME1.pdf</v>
      </c>
    </row>
    <row r="6575" spans="1:28" x14ac:dyDescent="0.25">
      <c r="A6575" t="s">
        <v>6579</v>
      </c>
      <c r="B6575">
        <v>0.99193492352474899</v>
      </c>
      <c r="C6575">
        <v>1.15344958605559</v>
      </c>
      <c r="D6575">
        <v>1.06731263729825</v>
      </c>
      <c r="E6575">
        <v>0.95868359816588899</v>
      </c>
      <c r="F6575">
        <v>0.86854957223396201</v>
      </c>
      <c r="G6575">
        <v>0.98629267366932305</v>
      </c>
      <c r="H6575">
        <v>0.68283078632875704</v>
      </c>
      <c r="I6575">
        <v>0.97226148616531805</v>
      </c>
      <c r="J6575">
        <v>1.0211052062714301</v>
      </c>
      <c r="K6575">
        <v>1.4050560518400299</v>
      </c>
      <c r="L6575">
        <v>15000</v>
      </c>
      <c r="M6575">
        <v>220.64409374458401</v>
      </c>
      <c r="O6575">
        <v>67.977200024478805</v>
      </c>
      <c r="P6575">
        <v>0.32925758766922603</v>
      </c>
      <c r="Q6575">
        <v>1.40575767995534</v>
      </c>
      <c r="R6575">
        <v>0.52351911124070505</v>
      </c>
      <c r="S6575" t="s">
        <v>13245</v>
      </c>
      <c r="T6575" t="s">
        <v>13338</v>
      </c>
      <c r="U6575" t="s">
        <v>13338</v>
      </c>
      <c r="V6575" t="s">
        <v>13338</v>
      </c>
      <c r="W6575" t="s">
        <v>19849</v>
      </c>
      <c r="X6575">
        <v>3</v>
      </c>
      <c r="Y6575" t="s">
        <v>26326</v>
      </c>
      <c r="Z6575" t="s">
        <v>32990</v>
      </c>
      <c r="AA6575">
        <v>1.0272289144834419</v>
      </c>
      <c r="AB6575" t="str">
        <f>HYPERLINK("Melting_Curves/meltCurve_Q9Y584_TIMM22.pdf", "Melting_Curves/meltCurve_Q9Y584_TIMM22.pdf")</f>
        <v>Melting_Curves/meltCurve_Q9Y584_TIMM22.pdf</v>
      </c>
    </row>
    <row r="6576" spans="1:28" x14ac:dyDescent="0.25">
      <c r="A6576" t="s">
        <v>6580</v>
      </c>
      <c r="B6576">
        <v>0.99193492352474899</v>
      </c>
      <c r="C6576">
        <v>0.54333068223124903</v>
      </c>
      <c r="D6576">
        <v>0.88658569332934301</v>
      </c>
      <c r="E6576">
        <v>0.62864590973637702</v>
      </c>
      <c r="F6576">
        <v>0.29331443940385998</v>
      </c>
      <c r="G6576">
        <v>0.109645351893291</v>
      </c>
      <c r="H6576">
        <v>7.2780101971345407E-2</v>
      </c>
      <c r="I6576">
        <v>9.4425602961978702E-2</v>
      </c>
      <c r="J6576">
        <v>0.10935473941906999</v>
      </c>
      <c r="K6576">
        <v>0.140302681975459</v>
      </c>
      <c r="L6576">
        <v>563.09205799624704</v>
      </c>
      <c r="M6576">
        <v>11.351156886332999</v>
      </c>
      <c r="N6576">
        <v>49.855620207653601</v>
      </c>
      <c r="O6576">
        <v>48.141800882148701</v>
      </c>
      <c r="P6576">
        <v>-5.7338913026253997E-2</v>
      </c>
      <c r="Q6576">
        <v>2.75621531798988E-2</v>
      </c>
      <c r="R6576">
        <v>0.84805071001677601</v>
      </c>
      <c r="S6576" t="s">
        <v>13246</v>
      </c>
      <c r="T6576" t="s">
        <v>13338</v>
      </c>
      <c r="U6576" t="s">
        <v>13338</v>
      </c>
      <c r="V6576" t="s">
        <v>13338</v>
      </c>
      <c r="W6576" t="s">
        <v>19850</v>
      </c>
      <c r="X6576">
        <v>11</v>
      </c>
      <c r="Y6576" t="s">
        <v>26327</v>
      </c>
      <c r="Z6576" t="s">
        <v>32991</v>
      </c>
      <c r="AA6576">
        <v>0.37656744269133102</v>
      </c>
      <c r="AB6576" t="str">
        <f>HYPERLINK("Melting_Curves/meltCurve_Q9Y5A9_YTHDF2.pdf", "Melting_Curves/meltCurve_Q9Y5A9_YTHDF2.pdf")</f>
        <v>Melting_Curves/meltCurve_Q9Y5A9_YTHDF2.pdf</v>
      </c>
    </row>
    <row r="6577" spans="1:28" x14ac:dyDescent="0.25">
      <c r="A6577" t="s">
        <v>6581</v>
      </c>
      <c r="B6577">
        <v>0.99193492352474899</v>
      </c>
      <c r="C6577">
        <v>0.93716826710174495</v>
      </c>
      <c r="D6577">
        <v>0.60266872472687005</v>
      </c>
      <c r="E6577">
        <v>0.29947862345551102</v>
      </c>
      <c r="F6577">
        <v>0.171045627589547</v>
      </c>
      <c r="G6577">
        <v>0.14660242709034901</v>
      </c>
      <c r="H6577">
        <v>8.1723233722063804E-2</v>
      </c>
      <c r="I6577">
        <v>0.112475262816235</v>
      </c>
      <c r="J6577">
        <v>0.127689469294718</v>
      </c>
      <c r="K6577">
        <v>0.17181563904368199</v>
      </c>
      <c r="L6577">
        <v>1170.2222779736201</v>
      </c>
      <c r="M6577">
        <v>25.150249478178601</v>
      </c>
      <c r="N6577">
        <v>47.085609680620401</v>
      </c>
      <c r="O6577">
        <v>46.2380832857705</v>
      </c>
      <c r="P6577">
        <v>-0.118504453133428</v>
      </c>
      <c r="Q6577">
        <v>0.12854209985757201</v>
      </c>
      <c r="R6577">
        <v>0.99404024346231301</v>
      </c>
      <c r="S6577" t="s">
        <v>13247</v>
      </c>
      <c r="T6577" t="s">
        <v>13338</v>
      </c>
      <c r="U6577" t="s">
        <v>13338</v>
      </c>
      <c r="V6577" t="s">
        <v>13338</v>
      </c>
      <c r="W6577" t="s">
        <v>19851</v>
      </c>
      <c r="X6577">
        <v>12</v>
      </c>
      <c r="Y6577" t="s">
        <v>26328</v>
      </c>
      <c r="Z6577" t="s">
        <v>32992</v>
      </c>
      <c r="AA6577">
        <v>0.32597792661599778</v>
      </c>
      <c r="AB6577" t="str">
        <f>HYPERLINK("Melting_Curves/meltCurve_Q9Y5B0_CTDP1.pdf", "Melting_Curves/meltCurve_Q9Y5B0_CTDP1.pdf")</f>
        <v>Melting_Curves/meltCurve_Q9Y5B0_CTDP1.pdf</v>
      </c>
    </row>
    <row r="6578" spans="1:28" x14ac:dyDescent="0.25">
      <c r="A6578" t="s">
        <v>6582</v>
      </c>
      <c r="B6578">
        <v>0.99193492352474899</v>
      </c>
      <c r="C6578">
        <v>0.65762218458133403</v>
      </c>
      <c r="D6578">
        <v>0.67513463458659195</v>
      </c>
      <c r="E6578">
        <v>0.315226442021873</v>
      </c>
      <c r="F6578">
        <v>0.18603709448029701</v>
      </c>
      <c r="G6578">
        <v>0.10772956500273501</v>
      </c>
      <c r="H6578">
        <v>6.6423213055254601E-2</v>
      </c>
      <c r="I6578">
        <v>8.2500877301441206E-2</v>
      </c>
      <c r="J6578">
        <v>9.52680210192869E-2</v>
      </c>
      <c r="K6578">
        <v>0.112916310052342</v>
      </c>
      <c r="L6578">
        <v>678.52270049744402</v>
      </c>
      <c r="M6578">
        <v>14.580934886281799</v>
      </c>
      <c r="N6578">
        <v>47.003627197163397</v>
      </c>
      <c r="O6578">
        <v>45.685898998870499</v>
      </c>
      <c r="P6578">
        <v>-7.4398905807220903E-2</v>
      </c>
      <c r="Q6578">
        <v>6.7659988357343798E-2</v>
      </c>
      <c r="R6578">
        <v>0.96207621331566895</v>
      </c>
      <c r="S6578" t="s">
        <v>13248</v>
      </c>
      <c r="T6578" t="s">
        <v>13338</v>
      </c>
      <c r="U6578" t="s">
        <v>13338</v>
      </c>
      <c r="V6578" t="s">
        <v>13338</v>
      </c>
      <c r="W6578" t="s">
        <v>19852</v>
      </c>
      <c r="X6578">
        <v>10</v>
      </c>
      <c r="Y6578" t="s">
        <v>26329</v>
      </c>
      <c r="Z6578" t="s">
        <v>32993</v>
      </c>
      <c r="AA6578">
        <v>0.29846188691037778</v>
      </c>
      <c r="AB6578" t="str">
        <f>HYPERLINK("Melting_Curves/meltCurve_Q9Y5B6_PAXBP1.pdf", "Melting_Curves/meltCurve_Q9Y5B6_PAXBP1.pdf")</f>
        <v>Melting_Curves/meltCurve_Q9Y5B6_PAXBP1.pdf</v>
      </c>
    </row>
    <row r="6579" spans="1:28" x14ac:dyDescent="0.25">
      <c r="A6579" t="s">
        <v>6583</v>
      </c>
      <c r="B6579">
        <v>0.99193492352474899</v>
      </c>
      <c r="C6579">
        <v>0.74908147690310201</v>
      </c>
      <c r="D6579">
        <v>0.58133468273198197</v>
      </c>
      <c r="E6579">
        <v>0.177228371918076</v>
      </c>
      <c r="F6579">
        <v>0.13960925774757299</v>
      </c>
      <c r="G6579">
        <v>7.58082903591554E-2</v>
      </c>
      <c r="H6579">
        <v>5.7821439482424297E-2</v>
      </c>
      <c r="I6579">
        <v>6.1702462347746699E-2</v>
      </c>
      <c r="J6579">
        <v>7.2700728016243693E-2</v>
      </c>
      <c r="K6579">
        <v>8.0339015515531007E-2</v>
      </c>
      <c r="L6579">
        <v>921.529412938154</v>
      </c>
      <c r="M6579">
        <v>20.0871917281351</v>
      </c>
      <c r="N6579">
        <v>46.184063947135201</v>
      </c>
      <c r="O6579">
        <v>45.429072098195697</v>
      </c>
      <c r="P6579">
        <v>-0.10362389326229</v>
      </c>
      <c r="Q6579">
        <v>6.2609718835747993E-2</v>
      </c>
      <c r="R6579">
        <v>0.98721089738149603</v>
      </c>
      <c r="S6579" t="s">
        <v>13249</v>
      </c>
      <c r="T6579" t="s">
        <v>13338</v>
      </c>
      <c r="U6579" t="s">
        <v>13338</v>
      </c>
      <c r="V6579" t="s">
        <v>13338</v>
      </c>
      <c r="W6579" t="s">
        <v>19853</v>
      </c>
      <c r="X6579">
        <v>11</v>
      </c>
      <c r="Y6579" t="s">
        <v>26330</v>
      </c>
      <c r="Z6579" t="s">
        <v>32994</v>
      </c>
      <c r="AA6579">
        <v>0.26070446031973959</v>
      </c>
      <c r="AB6579" t="str">
        <f>HYPERLINK("Melting_Curves/meltCurve_Q9Y5B8_NME7.pdf", "Melting_Curves/meltCurve_Q9Y5B8_NME7.pdf")</f>
        <v>Melting_Curves/meltCurve_Q9Y5B8_NME7.pdf</v>
      </c>
    </row>
    <row r="6580" spans="1:28" x14ac:dyDescent="0.25">
      <c r="A6580" t="s">
        <v>6584</v>
      </c>
      <c r="B6580">
        <v>0.99193492352474899</v>
      </c>
      <c r="C6580">
        <v>0.72650945189140703</v>
      </c>
      <c r="D6580">
        <v>0.97090718838235401</v>
      </c>
      <c r="E6580">
        <v>0.29194730637792599</v>
      </c>
      <c r="F6580">
        <v>0.240043934283795</v>
      </c>
      <c r="G6580">
        <v>0.15369683789539401</v>
      </c>
      <c r="H6580">
        <v>9.38915946251105E-2</v>
      </c>
      <c r="I6580">
        <v>0.106051182231566</v>
      </c>
      <c r="J6580">
        <v>0.131259812629241</v>
      </c>
      <c r="K6580">
        <v>0.11961165119844</v>
      </c>
      <c r="L6580">
        <v>2757.0300612381402</v>
      </c>
      <c r="M6580">
        <v>57.058030778051801</v>
      </c>
      <c r="N6580">
        <v>48.597123602230603</v>
      </c>
      <c r="O6580">
        <v>48.260508667524903</v>
      </c>
      <c r="P6580">
        <v>-0.25449906494505398</v>
      </c>
      <c r="Q6580">
        <v>0.13896446012685801</v>
      </c>
      <c r="R6580">
        <v>0.92725663454596297</v>
      </c>
      <c r="S6580" t="s">
        <v>13250</v>
      </c>
      <c r="T6580" t="s">
        <v>13338</v>
      </c>
      <c r="U6580" t="s">
        <v>13338</v>
      </c>
      <c r="V6580" t="s">
        <v>13338</v>
      </c>
      <c r="W6580" t="s">
        <v>19854</v>
      </c>
      <c r="X6580">
        <v>26</v>
      </c>
      <c r="Y6580" t="s">
        <v>26331</v>
      </c>
      <c r="Z6580" t="s">
        <v>32995</v>
      </c>
      <c r="AA6580">
        <v>0.37915882348816599</v>
      </c>
      <c r="AB6580" t="str">
        <f>HYPERLINK("Melting_Curves/meltCurve_Q9Y5B9_SUPT16H.pdf", "Melting_Curves/meltCurve_Q9Y5B9_SUPT16H.pdf")</f>
        <v>Melting_Curves/meltCurve_Q9Y5B9_SUPT16H.pdf</v>
      </c>
    </row>
    <row r="6581" spans="1:28" x14ac:dyDescent="0.25">
      <c r="A6581" t="s">
        <v>6585</v>
      </c>
      <c r="B6581">
        <v>0.99193492352474899</v>
      </c>
      <c r="C6581">
        <v>0.44591289633845999</v>
      </c>
      <c r="D6581">
        <v>0.87531851515157799</v>
      </c>
      <c r="E6581">
        <v>0.35633493624903501</v>
      </c>
      <c r="F6581">
        <v>0.30460638791656902</v>
      </c>
      <c r="G6581">
        <v>0.181766198127951</v>
      </c>
      <c r="H6581">
        <v>9.7293332910245903E-2</v>
      </c>
      <c r="I6581">
        <v>9.7798540708472506E-2</v>
      </c>
      <c r="J6581">
        <v>0.15271475138095</v>
      </c>
      <c r="K6581">
        <v>0.105552718591215</v>
      </c>
      <c r="L6581">
        <v>465.15390503506899</v>
      </c>
      <c r="M6581">
        <v>9.7796762288120593</v>
      </c>
      <c r="N6581">
        <v>48.038680771535702</v>
      </c>
      <c r="O6581">
        <v>45.702514442762102</v>
      </c>
      <c r="P6581">
        <v>-5.1056256821116003E-2</v>
      </c>
      <c r="Q6581">
        <v>4.61182595538717E-2</v>
      </c>
      <c r="R6581">
        <v>0.79262711746885095</v>
      </c>
      <c r="S6581" t="s">
        <v>13251</v>
      </c>
      <c r="T6581" t="s">
        <v>13338</v>
      </c>
      <c r="U6581" t="s">
        <v>13338</v>
      </c>
      <c r="V6581" t="s">
        <v>13338</v>
      </c>
      <c r="W6581" t="s">
        <v>19855</v>
      </c>
      <c r="X6581">
        <v>3</v>
      </c>
      <c r="Y6581" t="s">
        <v>26332</v>
      </c>
      <c r="Z6581" t="s">
        <v>32996</v>
      </c>
      <c r="AA6581">
        <v>0.34078594900378012</v>
      </c>
      <c r="AB6581" t="str">
        <f>HYPERLINK("Melting_Curves/meltCurve_Q9Y5J1_UTP18.pdf", "Melting_Curves/meltCurve_Q9Y5J1_UTP18.pdf")</f>
        <v>Melting_Curves/meltCurve_Q9Y5J1_UTP18.pdf</v>
      </c>
    </row>
    <row r="6582" spans="1:28" x14ac:dyDescent="0.25">
      <c r="A6582" t="s">
        <v>6586</v>
      </c>
      <c r="B6582">
        <v>0.99193492352474899</v>
      </c>
      <c r="C6582">
        <v>0.90790331434341798</v>
      </c>
      <c r="D6582">
        <v>0.87822168750242602</v>
      </c>
      <c r="E6582">
        <v>0.802829620048231</v>
      </c>
      <c r="F6582">
        <v>0.52592706618648599</v>
      </c>
      <c r="G6582">
        <v>0.38521528880084299</v>
      </c>
      <c r="H6582">
        <v>0.26579464996492402</v>
      </c>
      <c r="I6582">
        <v>0.24018599664139001</v>
      </c>
      <c r="J6582">
        <v>0.22967338791431699</v>
      </c>
      <c r="K6582">
        <v>0.27365990438181498</v>
      </c>
      <c r="L6582">
        <v>815.05184994825095</v>
      </c>
      <c r="M6582">
        <v>15.664789703093399</v>
      </c>
      <c r="N6582">
        <v>53.984270584403397</v>
      </c>
      <c r="O6582">
        <v>51.2050166967501</v>
      </c>
      <c r="P6582">
        <v>-5.9939843108659303E-2</v>
      </c>
      <c r="Q6582">
        <v>0.21634208753197701</v>
      </c>
      <c r="R6582">
        <v>0.987453377446464</v>
      </c>
      <c r="S6582" t="s">
        <v>13252</v>
      </c>
      <c r="T6582" t="s">
        <v>13338</v>
      </c>
      <c r="U6582" t="s">
        <v>13338</v>
      </c>
      <c r="V6582" t="s">
        <v>13338</v>
      </c>
      <c r="W6582" t="s">
        <v>19856</v>
      </c>
      <c r="X6582">
        <v>4</v>
      </c>
      <c r="Y6582" t="s">
        <v>26333</v>
      </c>
      <c r="Z6582" t="s">
        <v>32997</v>
      </c>
      <c r="AA6582">
        <v>0.54697599484291715</v>
      </c>
      <c r="AB6582" t="str">
        <f>HYPERLINK("Melting_Curves/meltCurve_Q9Y5J6_TIMM10B.pdf", "Melting_Curves/meltCurve_Q9Y5J6_TIMM10B.pdf")</f>
        <v>Melting_Curves/meltCurve_Q9Y5J6_TIMM10B.pdf</v>
      </c>
    </row>
    <row r="6583" spans="1:28" x14ac:dyDescent="0.25">
      <c r="A6583" t="s">
        <v>6587</v>
      </c>
      <c r="B6583">
        <v>0.99193492352474899</v>
      </c>
      <c r="C6583">
        <v>0.87884755986159202</v>
      </c>
      <c r="D6583">
        <v>0.96107192049708301</v>
      </c>
      <c r="E6583">
        <v>0.87461281592953299</v>
      </c>
      <c r="F6583">
        <v>0.63939648154838402</v>
      </c>
      <c r="G6583">
        <v>0.45227766965854199</v>
      </c>
      <c r="H6583">
        <v>0.42461681285729402</v>
      </c>
      <c r="I6583">
        <v>0.44200998759988103</v>
      </c>
      <c r="J6583">
        <v>0.49266581851487101</v>
      </c>
      <c r="K6583">
        <v>0.38533985958850298</v>
      </c>
      <c r="L6583">
        <v>1363.6551434252599</v>
      </c>
      <c r="M6583">
        <v>26.262890383339599</v>
      </c>
      <c r="N6583">
        <v>56.031810003924001</v>
      </c>
      <c r="O6583">
        <v>51.625030165376998</v>
      </c>
      <c r="P6583">
        <v>-7.2860847790111399E-2</v>
      </c>
      <c r="Q6583">
        <v>0.42711532296774202</v>
      </c>
      <c r="R6583">
        <v>0.95981301176543998</v>
      </c>
      <c r="S6583" t="s">
        <v>13253</v>
      </c>
      <c r="T6583" t="s">
        <v>13338</v>
      </c>
      <c r="U6583" t="s">
        <v>13338</v>
      </c>
      <c r="V6583" t="s">
        <v>13338</v>
      </c>
      <c r="W6583" t="s">
        <v>19857</v>
      </c>
      <c r="X6583">
        <v>6</v>
      </c>
      <c r="Y6583" t="s">
        <v>26334</v>
      </c>
      <c r="Z6583" t="s">
        <v>32998</v>
      </c>
      <c r="AA6583">
        <v>0.65955384495222946</v>
      </c>
      <c r="AB6583" t="str">
        <f>HYPERLINK("Melting_Curves/meltCurve_Q9Y5J7_TIMM9.pdf", "Melting_Curves/meltCurve_Q9Y5J7_TIMM9.pdf")</f>
        <v>Melting_Curves/meltCurve_Q9Y5J7_TIMM9.pdf</v>
      </c>
    </row>
    <row r="6584" spans="1:28" x14ac:dyDescent="0.25">
      <c r="A6584" t="s">
        <v>6588</v>
      </c>
      <c r="B6584">
        <v>0.99193492352474899</v>
      </c>
      <c r="C6584">
        <v>0.86503587443406105</v>
      </c>
      <c r="D6584">
        <v>0.77093246618412103</v>
      </c>
      <c r="E6584">
        <v>0.25013411432823901</v>
      </c>
      <c r="F6584">
        <v>0.14323598001360099</v>
      </c>
      <c r="G6584">
        <v>8.0309079927045599E-2</v>
      </c>
      <c r="H6584">
        <v>5.32661153337812E-2</v>
      </c>
      <c r="I6584">
        <v>5.9703513672232499E-2</v>
      </c>
      <c r="J6584">
        <v>6.8381238986045104E-2</v>
      </c>
      <c r="K6584">
        <v>6.7010839758687296E-2</v>
      </c>
      <c r="L6584">
        <v>1281.18514195495</v>
      </c>
      <c r="M6584">
        <v>26.983258095763802</v>
      </c>
      <c r="N6584">
        <v>47.724740421939103</v>
      </c>
      <c r="O6584">
        <v>47.2222593470647</v>
      </c>
      <c r="P6584">
        <v>-0.13364940382002599</v>
      </c>
      <c r="Q6584">
        <v>6.4432633930497807E-2</v>
      </c>
      <c r="R6584">
        <v>0.99068402226763796</v>
      </c>
      <c r="S6584" t="s">
        <v>13254</v>
      </c>
      <c r="T6584" t="s">
        <v>13338</v>
      </c>
      <c r="U6584" t="s">
        <v>13338</v>
      </c>
      <c r="V6584" t="s">
        <v>13338</v>
      </c>
      <c r="W6584" t="s">
        <v>19858</v>
      </c>
      <c r="X6584">
        <v>18</v>
      </c>
      <c r="Y6584" t="s">
        <v>26335</v>
      </c>
      <c r="Z6584" t="s">
        <v>32999</v>
      </c>
      <c r="AA6584">
        <v>0.30475983822366159</v>
      </c>
      <c r="AB6584" t="str">
        <f>HYPERLINK("Melting_Curves/meltCurve_Q9Y5K5_2_UCHL5.pdf", "Melting_Curves/meltCurve_Q9Y5K5_2_UCHL5.pdf")</f>
        <v>Melting_Curves/meltCurve_Q9Y5K5_2_UCHL5.pdf</v>
      </c>
    </row>
    <row r="6585" spans="1:28" x14ac:dyDescent="0.25">
      <c r="A6585" t="s">
        <v>6589</v>
      </c>
      <c r="B6585">
        <v>0.99193492352474899</v>
      </c>
      <c r="C6585">
        <v>0.99708416318764403</v>
      </c>
      <c r="D6585">
        <v>0.76402736025447304</v>
      </c>
      <c r="E6585">
        <v>0.56315912275827995</v>
      </c>
      <c r="F6585">
        <v>0.19332557119409</v>
      </c>
      <c r="G6585">
        <v>8.6714686113264203E-2</v>
      </c>
      <c r="H6585">
        <v>5.6144309627704898E-2</v>
      </c>
      <c r="I6585">
        <v>7.5282436787769996E-2</v>
      </c>
      <c r="J6585">
        <v>7.9799526813965696E-2</v>
      </c>
      <c r="K6585">
        <v>0.106762141977584</v>
      </c>
      <c r="L6585">
        <v>1045.4837837436501</v>
      </c>
      <c r="M6585">
        <v>21.208568892934299</v>
      </c>
      <c r="N6585">
        <v>49.614457269964099</v>
      </c>
      <c r="O6585">
        <v>48.8633638720056</v>
      </c>
      <c r="P6585">
        <v>-0.101593944331442</v>
      </c>
      <c r="Q6585">
        <v>6.3756960330832099E-2</v>
      </c>
      <c r="R6585">
        <v>0.99000513425846304</v>
      </c>
      <c r="S6585" t="s">
        <v>13255</v>
      </c>
      <c r="T6585" t="s">
        <v>13338</v>
      </c>
      <c r="U6585" t="s">
        <v>13338</v>
      </c>
      <c r="V6585" t="s">
        <v>13338</v>
      </c>
      <c r="W6585" t="s">
        <v>19859</v>
      </c>
      <c r="X6585">
        <v>20</v>
      </c>
      <c r="Y6585" t="s">
        <v>26336</v>
      </c>
      <c r="Z6585" t="s">
        <v>33000</v>
      </c>
      <c r="AA6585">
        <v>0.36547009912383932</v>
      </c>
      <c r="AB6585" t="str">
        <f>HYPERLINK("Melting_Curves/meltCurve_Q9Y5K6_CD2AP.pdf", "Melting_Curves/meltCurve_Q9Y5K6_CD2AP.pdf")</f>
        <v>Melting_Curves/meltCurve_Q9Y5K6_CD2AP.pdf</v>
      </c>
    </row>
    <row r="6586" spans="1:28" x14ac:dyDescent="0.25">
      <c r="A6586" t="s">
        <v>6590</v>
      </c>
      <c r="B6586">
        <v>0.99193492352474899</v>
      </c>
      <c r="C6586">
        <v>0.90106730566539694</v>
      </c>
      <c r="D6586">
        <v>1.0659230398752499</v>
      </c>
      <c r="E6586">
        <v>0.84236684706619203</v>
      </c>
      <c r="F6586">
        <v>0.85395328756059896</v>
      </c>
      <c r="G6586">
        <v>0.58714484694970803</v>
      </c>
      <c r="H6586">
        <v>0.46701072934212301</v>
      </c>
      <c r="I6586">
        <v>0.40737364754553701</v>
      </c>
      <c r="J6586">
        <v>0.42912414689509498</v>
      </c>
      <c r="K6586">
        <v>0.386900279038071</v>
      </c>
      <c r="L6586">
        <v>1019.82548372958</v>
      </c>
      <c r="M6586">
        <v>18.4794480781039</v>
      </c>
      <c r="N6586">
        <v>59.764903719077701</v>
      </c>
      <c r="O6586">
        <v>54.552926835035102</v>
      </c>
      <c r="P6586">
        <v>-5.2626298325991798E-2</v>
      </c>
      <c r="Q6586">
        <v>0.37859813396077802</v>
      </c>
      <c r="R6586">
        <v>0.95362152826444202</v>
      </c>
      <c r="S6586" t="s">
        <v>13256</v>
      </c>
      <c r="T6586" t="s">
        <v>13338</v>
      </c>
      <c r="U6586" t="s">
        <v>13338</v>
      </c>
      <c r="V6586" t="s">
        <v>13338</v>
      </c>
      <c r="W6586" t="s">
        <v>19860</v>
      </c>
      <c r="X6586">
        <v>15</v>
      </c>
      <c r="Y6586" t="s">
        <v>26337</v>
      </c>
      <c r="Z6586" t="s">
        <v>33001</v>
      </c>
      <c r="AA6586">
        <v>0.7023806518581277</v>
      </c>
      <c r="AB6586" t="str">
        <f>HYPERLINK("Melting_Curves/meltCurve_Q9Y5K8_ATP6V1D.pdf", "Melting_Curves/meltCurve_Q9Y5K8_ATP6V1D.pdf")</f>
        <v>Melting_Curves/meltCurve_Q9Y5K8_ATP6V1D.pdf</v>
      </c>
    </row>
    <row r="6587" spans="1:28" x14ac:dyDescent="0.25">
      <c r="A6587" t="s">
        <v>6591</v>
      </c>
      <c r="B6587">
        <v>0.99193492352474899</v>
      </c>
      <c r="C6587">
        <v>0.92077937559741796</v>
      </c>
      <c r="D6587">
        <v>0.90252635412043802</v>
      </c>
      <c r="E6587">
        <v>0.85489865557897204</v>
      </c>
      <c r="F6587">
        <v>0.72571867335799201</v>
      </c>
      <c r="G6587">
        <v>0.49207429231918198</v>
      </c>
      <c r="H6587">
        <v>0.33590693287022899</v>
      </c>
      <c r="I6587">
        <v>0.35285829088575899</v>
      </c>
      <c r="J6587">
        <v>0.408882720064488</v>
      </c>
      <c r="K6587">
        <v>0.53564584656525904</v>
      </c>
      <c r="L6587">
        <v>1107.8748564706</v>
      </c>
      <c r="M6587">
        <v>21.033144548240699</v>
      </c>
      <c r="N6587">
        <v>56.997552429640301</v>
      </c>
      <c r="O6587">
        <v>52.203612651792902</v>
      </c>
      <c r="P6587">
        <v>-6.0574701635812203E-2</v>
      </c>
      <c r="Q6587">
        <v>0.39863791381198599</v>
      </c>
      <c r="R6587">
        <v>0.92275930577529597</v>
      </c>
      <c r="S6587" t="s">
        <v>13257</v>
      </c>
      <c r="T6587" t="s">
        <v>13338</v>
      </c>
      <c r="U6587" t="s">
        <v>13338</v>
      </c>
      <c r="V6587" t="s">
        <v>13338</v>
      </c>
      <c r="W6587" t="s">
        <v>19861</v>
      </c>
      <c r="X6587">
        <v>6</v>
      </c>
      <c r="Y6587" t="s">
        <v>26338</v>
      </c>
      <c r="Z6587" t="s">
        <v>33002</v>
      </c>
      <c r="AA6587">
        <v>0.66025912372085116</v>
      </c>
      <c r="AB6587" t="str">
        <f>HYPERLINK("Melting_Curves/meltCurve_Q9Y5L4_TIMM13.pdf", "Melting_Curves/meltCurve_Q9Y5L4_TIMM13.pdf")</f>
        <v>Melting_Curves/meltCurve_Q9Y5L4_TIMM13.pdf</v>
      </c>
    </row>
    <row r="6588" spans="1:28" x14ac:dyDescent="0.25">
      <c r="A6588" t="s">
        <v>6592</v>
      </c>
      <c r="B6588">
        <v>0.99193492352474899</v>
      </c>
      <c r="C6588">
        <v>0.92281859558799795</v>
      </c>
      <c r="D6588">
        <v>1.06176877890343</v>
      </c>
      <c r="E6588">
        <v>0.44244006649853002</v>
      </c>
      <c r="F6588">
        <v>0.16216678478368601</v>
      </c>
      <c r="G6588">
        <v>9.1498986119591605E-2</v>
      </c>
      <c r="H6588">
        <v>5.37786292196838E-2</v>
      </c>
      <c r="I6588">
        <v>4.72235831687274E-2</v>
      </c>
      <c r="J6588">
        <v>5.3522255514073698E-2</v>
      </c>
      <c r="K6588">
        <v>4.6080448017004103E-2</v>
      </c>
      <c r="L6588">
        <v>3429.5955843953998</v>
      </c>
      <c r="M6588">
        <v>69.5424643159418</v>
      </c>
      <c r="N6588">
        <v>49.430976715808299</v>
      </c>
      <c r="O6588">
        <v>49.2758160942914</v>
      </c>
      <c r="P6588">
        <v>-0.32659606490024301</v>
      </c>
      <c r="Q6588">
        <v>7.4333091244642602E-2</v>
      </c>
      <c r="R6588">
        <v>0.98822236273508901</v>
      </c>
      <c r="S6588" t="s">
        <v>13258</v>
      </c>
      <c r="T6588" t="s">
        <v>13338</v>
      </c>
      <c r="U6588" t="s">
        <v>13338</v>
      </c>
      <c r="V6588" t="s">
        <v>13338</v>
      </c>
      <c r="W6588" t="s">
        <v>19862</v>
      </c>
      <c r="X6588">
        <v>12</v>
      </c>
      <c r="Y6588" t="s">
        <v>26339</v>
      </c>
      <c r="Z6588" t="s">
        <v>33003</v>
      </c>
      <c r="AA6588">
        <v>0.362839141193805</v>
      </c>
      <c r="AB6588" t="str">
        <f>HYPERLINK("Melting_Curves/meltCurve_Q9Y5M8_SRPRB.pdf", "Melting_Curves/meltCurve_Q9Y5M8_SRPRB.pdf")</f>
        <v>Melting_Curves/meltCurve_Q9Y5M8_SRPRB.pdf</v>
      </c>
    </row>
    <row r="6589" spans="1:28" x14ac:dyDescent="0.25">
      <c r="A6589" t="s">
        <v>6593</v>
      </c>
      <c r="B6589">
        <v>0.99193492352474899</v>
      </c>
      <c r="C6589">
        <v>0.757590279689908</v>
      </c>
      <c r="D6589">
        <v>1.0589585492734801</v>
      </c>
      <c r="E6589">
        <v>0.73059895910857897</v>
      </c>
      <c r="F6589">
        <v>0.74645641103232596</v>
      </c>
      <c r="G6589">
        <v>0.29509613015557201</v>
      </c>
      <c r="H6589">
        <v>0.13823281460651199</v>
      </c>
      <c r="I6589">
        <v>0.11408343573398499</v>
      </c>
      <c r="J6589">
        <v>0.16098032838771101</v>
      </c>
      <c r="K6589">
        <v>0.17062671091518899</v>
      </c>
      <c r="L6589">
        <v>1092.1219952812901</v>
      </c>
      <c r="M6589">
        <v>20.241887198349701</v>
      </c>
      <c r="N6589">
        <v>54.629726454447102</v>
      </c>
      <c r="O6589">
        <v>53.435260542937797</v>
      </c>
      <c r="P6589">
        <v>-8.4211629924765705E-2</v>
      </c>
      <c r="Q6589">
        <v>0.11080806470096601</v>
      </c>
      <c r="R6589">
        <v>0.91352190450668502</v>
      </c>
      <c r="S6589" t="s">
        <v>13259</v>
      </c>
      <c r="T6589" t="s">
        <v>13338</v>
      </c>
      <c r="U6589" t="s">
        <v>13338</v>
      </c>
      <c r="V6589" t="s">
        <v>13338</v>
      </c>
      <c r="W6589" t="s">
        <v>19863</v>
      </c>
      <c r="X6589">
        <v>2</v>
      </c>
      <c r="Y6589" t="s">
        <v>26340</v>
      </c>
      <c r="Z6589" t="s">
        <v>33004</v>
      </c>
      <c r="AA6589">
        <v>0.53624853774941073</v>
      </c>
      <c r="AB6589" t="str">
        <f>HYPERLINK("Melting_Curves/meltCurve_Q9Y5N5_N6AMT1.pdf", "Melting_Curves/meltCurve_Q9Y5N5_N6AMT1.pdf")</f>
        <v>Melting_Curves/meltCurve_Q9Y5N5_N6AMT1.pdf</v>
      </c>
    </row>
    <row r="6590" spans="1:28" x14ac:dyDescent="0.25">
      <c r="A6590" t="s">
        <v>6594</v>
      </c>
      <c r="B6590">
        <v>0.99193492352474899</v>
      </c>
      <c r="C6590">
        <v>0.53232320546237899</v>
      </c>
      <c r="D6590">
        <v>0.27415859335248899</v>
      </c>
      <c r="E6590">
        <v>0.13749527798049299</v>
      </c>
      <c r="F6590">
        <v>8.4188654742431507E-2</v>
      </c>
      <c r="G6590">
        <v>4.4289622825957199E-2</v>
      </c>
      <c r="H6590">
        <v>2.5435234618832899E-2</v>
      </c>
      <c r="I6590">
        <v>3.20998924420339E-2</v>
      </c>
      <c r="J6590">
        <v>3.8376796890377998E-2</v>
      </c>
      <c r="K6590">
        <v>3.1461516089473299E-2</v>
      </c>
      <c r="L6590">
        <v>1068.02415618284</v>
      </c>
      <c r="M6590">
        <v>24.5788573204945</v>
      </c>
      <c r="N6590">
        <v>43.634363011223201</v>
      </c>
      <c r="O6590">
        <v>43.168388315817801</v>
      </c>
      <c r="P6590">
        <v>-0.135431688128167</v>
      </c>
      <c r="Q6590">
        <v>4.8567100228156801E-2</v>
      </c>
      <c r="R6590">
        <v>0.97957556611895202</v>
      </c>
      <c r="S6590" t="s">
        <v>13260</v>
      </c>
      <c r="T6590" t="s">
        <v>13338</v>
      </c>
      <c r="U6590" t="s">
        <v>13338</v>
      </c>
      <c r="V6590" t="s">
        <v>13338</v>
      </c>
      <c r="W6590" t="s">
        <v>19864</v>
      </c>
      <c r="X6590">
        <v>7</v>
      </c>
      <c r="Y6590" t="s">
        <v>26341</v>
      </c>
      <c r="Z6590" t="s">
        <v>33005</v>
      </c>
      <c r="AA6590">
        <v>0.17075054256972999</v>
      </c>
      <c r="AB6590" t="str">
        <f>HYPERLINK("Melting_Curves/meltCurve_Q9Y5N6_ORC6.pdf", "Melting_Curves/meltCurve_Q9Y5N6_ORC6.pdf")</f>
        <v>Melting_Curves/meltCurve_Q9Y5N6_ORC6.pdf</v>
      </c>
    </row>
    <row r="6591" spans="1:28" x14ac:dyDescent="0.25">
      <c r="A6591" t="s">
        <v>6595</v>
      </c>
      <c r="B6591">
        <v>0.99193492352474899</v>
      </c>
      <c r="C6591">
        <v>1.0429472578122001</v>
      </c>
      <c r="D6591">
        <v>0.938096778679817</v>
      </c>
      <c r="E6591">
        <v>0.56616255897697798</v>
      </c>
      <c r="F6591">
        <v>0.181273821109107</v>
      </c>
      <c r="G6591">
        <v>0.118045449612317</v>
      </c>
      <c r="H6591">
        <v>6.5140246501058305E-2</v>
      </c>
      <c r="I6591">
        <v>7.67513068520915E-2</v>
      </c>
      <c r="J6591">
        <v>7.4401685467514495E-2</v>
      </c>
      <c r="K6591">
        <v>7.4750492445948002E-2</v>
      </c>
      <c r="L6591">
        <v>1596.0792946961501</v>
      </c>
      <c r="M6591">
        <v>32.050682350297002</v>
      </c>
      <c r="N6591">
        <v>50.060310496465597</v>
      </c>
      <c r="O6591">
        <v>49.6059438332531</v>
      </c>
      <c r="P6591">
        <v>-0.149068614713011</v>
      </c>
      <c r="Q6591">
        <v>7.7130125867417604E-2</v>
      </c>
      <c r="R6591">
        <v>0.99805527860787902</v>
      </c>
      <c r="S6591" t="s">
        <v>13261</v>
      </c>
      <c r="T6591" t="s">
        <v>13338</v>
      </c>
      <c r="U6591" t="s">
        <v>13338</v>
      </c>
      <c r="V6591" t="s">
        <v>13338</v>
      </c>
      <c r="W6591" t="s">
        <v>19865</v>
      </c>
      <c r="X6591">
        <v>18</v>
      </c>
      <c r="Y6591" t="s">
        <v>26342</v>
      </c>
      <c r="Z6591" t="s">
        <v>33006</v>
      </c>
      <c r="AA6591">
        <v>0.38353376046049059</v>
      </c>
      <c r="AB6591" t="str">
        <f>HYPERLINK("Melting_Curves/meltCurve_Q9Y5P4_2_COL4A3BP.pdf", "Melting_Curves/meltCurve_Q9Y5P4_2_COL4A3BP.pdf")</f>
        <v>Melting_Curves/meltCurve_Q9Y5P4_2_COL4A3BP.pdf</v>
      </c>
    </row>
    <row r="6592" spans="1:28" x14ac:dyDescent="0.25">
      <c r="A6592" t="s">
        <v>6596</v>
      </c>
      <c r="B6592">
        <v>0.99193492352474899</v>
      </c>
      <c r="C6592">
        <v>0.85444151525903</v>
      </c>
      <c r="D6592">
        <v>0.99323153890856997</v>
      </c>
      <c r="E6592">
        <v>0.74384079717083496</v>
      </c>
      <c r="F6592">
        <v>0.74154814172014505</v>
      </c>
      <c r="G6592">
        <v>0.45311725114700302</v>
      </c>
      <c r="H6592">
        <v>0.16575766176986301</v>
      </c>
      <c r="I6592">
        <v>9.84313723549156E-2</v>
      </c>
      <c r="J6592">
        <v>0.11519484114610699</v>
      </c>
      <c r="K6592">
        <v>0.12277870787263701</v>
      </c>
      <c r="L6592">
        <v>802.09912066091999</v>
      </c>
      <c r="M6592">
        <v>14.4882256570067</v>
      </c>
      <c r="N6592">
        <v>55.570140003883402</v>
      </c>
      <c r="O6592">
        <v>54.3394869459555</v>
      </c>
      <c r="P6592">
        <v>-6.4904218908073796E-2</v>
      </c>
      <c r="Q6592">
        <v>2.6394570063960801E-2</v>
      </c>
      <c r="R6592">
        <v>0.96218106885283095</v>
      </c>
      <c r="S6592" t="s">
        <v>13262</v>
      </c>
      <c r="T6592" t="s">
        <v>13338</v>
      </c>
      <c r="U6592" t="s">
        <v>13338</v>
      </c>
      <c r="V6592" t="s">
        <v>13338</v>
      </c>
      <c r="W6592" t="s">
        <v>19866</v>
      </c>
      <c r="X6592">
        <v>10</v>
      </c>
      <c r="Y6592" t="s">
        <v>26343</v>
      </c>
      <c r="Z6592" t="s">
        <v>33007</v>
      </c>
      <c r="AA6592">
        <v>0.54383769297758</v>
      </c>
      <c r="AB6592" t="str">
        <f>HYPERLINK("Melting_Curves/meltCurve_Q9Y5P6_GMPPB.pdf", "Melting_Curves/meltCurve_Q9Y5P6_GMPPB.pdf")</f>
        <v>Melting_Curves/meltCurve_Q9Y5P6_GMPPB.pdf</v>
      </c>
    </row>
    <row r="6593" spans="1:28" x14ac:dyDescent="0.25">
      <c r="A6593" t="s">
        <v>6597</v>
      </c>
      <c r="B6593">
        <v>0.99193492352474899</v>
      </c>
      <c r="C6593">
        <v>0.41850203978394601</v>
      </c>
      <c r="D6593">
        <v>0.368781808694575</v>
      </c>
      <c r="E6593">
        <v>0.41139287992617801</v>
      </c>
      <c r="F6593">
        <v>0.41555021215493898</v>
      </c>
      <c r="G6593">
        <v>0.22938268482506899</v>
      </c>
      <c r="H6593">
        <v>4.3806539286811899E-2</v>
      </c>
      <c r="I6593">
        <v>0.10649549458192301</v>
      </c>
      <c r="J6593">
        <v>0.114416943020514</v>
      </c>
      <c r="K6593">
        <v>0</v>
      </c>
      <c r="L6593">
        <v>350.28556197161902</v>
      </c>
      <c r="M6593">
        <v>7.6362328783448099</v>
      </c>
      <c r="N6593">
        <v>45.871514341844801</v>
      </c>
      <c r="O6593">
        <v>43.043077838486198</v>
      </c>
      <c r="P6593">
        <v>-4.4411922666958599E-2</v>
      </c>
      <c r="Q6593">
        <v>0</v>
      </c>
      <c r="R6593">
        <v>0.789001632997406</v>
      </c>
      <c r="S6593" t="s">
        <v>13263</v>
      </c>
      <c r="T6593" t="s">
        <v>13338</v>
      </c>
      <c r="U6593" t="s">
        <v>13338</v>
      </c>
      <c r="V6593" t="s">
        <v>13338</v>
      </c>
      <c r="W6593" t="s">
        <v>19867</v>
      </c>
      <c r="X6593">
        <v>1</v>
      </c>
      <c r="Y6593" t="s">
        <v>26344</v>
      </c>
      <c r="Z6593" t="s">
        <v>33008</v>
      </c>
      <c r="AA6593">
        <v>0.2895169382288742</v>
      </c>
      <c r="AB6593" t="str">
        <f>HYPERLINK("Melting_Curves/meltCurve_Q9Y5Q9_GTF3C3.pdf", "Melting_Curves/meltCurve_Q9Y5Q9_GTF3C3.pdf")</f>
        <v>Melting_Curves/meltCurve_Q9Y5Q9_GTF3C3.pdf</v>
      </c>
    </row>
    <row r="6594" spans="1:28" x14ac:dyDescent="0.25">
      <c r="A6594" t="s">
        <v>6598</v>
      </c>
      <c r="B6594">
        <v>0.99193492352474899</v>
      </c>
      <c r="C6594">
        <v>0.79360049018344603</v>
      </c>
      <c r="D6594">
        <v>0.82724130190671397</v>
      </c>
      <c r="E6594">
        <v>0.541701690585218</v>
      </c>
      <c r="F6594">
        <v>0.37540169723022798</v>
      </c>
      <c r="G6594">
        <v>0.200392111706402</v>
      </c>
      <c r="H6594">
        <v>8.0991804835879505E-2</v>
      </c>
      <c r="I6594">
        <v>9.1729683412662202E-2</v>
      </c>
      <c r="J6594">
        <v>0.11959567253311</v>
      </c>
      <c r="K6594">
        <v>8.9957356094583399E-2</v>
      </c>
      <c r="L6594">
        <v>642.44343602614902</v>
      </c>
      <c r="M6594">
        <v>12.841497045205299</v>
      </c>
      <c r="N6594">
        <v>50.4186186855733</v>
      </c>
      <c r="O6594">
        <v>48.862062702814598</v>
      </c>
      <c r="P6594">
        <v>-6.2608671627005799E-2</v>
      </c>
      <c r="Q6594">
        <v>4.7269311609916702E-2</v>
      </c>
      <c r="R6594">
        <v>0.98074924730053503</v>
      </c>
      <c r="S6594" t="s">
        <v>13264</v>
      </c>
      <c r="T6594" t="s">
        <v>13338</v>
      </c>
      <c r="U6594" t="s">
        <v>13338</v>
      </c>
      <c r="V6594" t="s">
        <v>13338</v>
      </c>
      <c r="W6594" t="s">
        <v>19868</v>
      </c>
      <c r="X6594">
        <v>5</v>
      </c>
      <c r="Y6594" t="s">
        <v>26345</v>
      </c>
      <c r="Z6594" t="s">
        <v>33009</v>
      </c>
      <c r="AA6594">
        <v>0.39531389692352992</v>
      </c>
      <c r="AB6594" t="str">
        <f>HYPERLINK("Melting_Curves/meltCurve_Q9Y5R8_TRAPPC1.pdf", "Melting_Curves/meltCurve_Q9Y5R8_TRAPPC1.pdf")</f>
        <v>Melting_Curves/meltCurve_Q9Y5R8_TRAPPC1.pdf</v>
      </c>
    </row>
    <row r="6595" spans="1:28" x14ac:dyDescent="0.25">
      <c r="A6595" t="s">
        <v>6599</v>
      </c>
      <c r="B6595">
        <v>0.99193492352474899</v>
      </c>
      <c r="C6595">
        <v>1.0463081999680499</v>
      </c>
      <c r="D6595">
        <v>0.97543881331125504</v>
      </c>
      <c r="E6595">
        <v>0.80857643255362899</v>
      </c>
      <c r="F6595">
        <v>0.61522230624088203</v>
      </c>
      <c r="G6595">
        <v>0.20767280652265799</v>
      </c>
      <c r="H6595">
        <v>0.10657081549983501</v>
      </c>
      <c r="I6595">
        <v>0.18058813263151</v>
      </c>
      <c r="J6595">
        <v>0.145324016752059</v>
      </c>
      <c r="K6595">
        <v>0.15326477695104801</v>
      </c>
      <c r="L6595">
        <v>1366.7567181622001</v>
      </c>
      <c r="M6595">
        <v>25.767789097396001</v>
      </c>
      <c r="N6595">
        <v>53.665486131979698</v>
      </c>
      <c r="O6595">
        <v>52.724923566106199</v>
      </c>
      <c r="P6595">
        <v>-0.106361412220324</v>
      </c>
      <c r="Q6595">
        <v>0.129482094104856</v>
      </c>
      <c r="R6595">
        <v>0.98646011592190397</v>
      </c>
      <c r="S6595" t="s">
        <v>13265</v>
      </c>
      <c r="T6595" t="s">
        <v>13338</v>
      </c>
      <c r="U6595" t="s">
        <v>13338</v>
      </c>
      <c r="V6595" t="s">
        <v>13338</v>
      </c>
      <c r="W6595" t="s">
        <v>19869</v>
      </c>
      <c r="X6595">
        <v>5</v>
      </c>
      <c r="Y6595" t="s">
        <v>26346</v>
      </c>
      <c r="Z6595" t="s">
        <v>33010</v>
      </c>
      <c r="AA6595">
        <v>0.51547776453450289</v>
      </c>
      <c r="AB6595" t="str">
        <f>HYPERLINK("Melting_Curves/meltCurve_Q9Y5S1_TRPV2.pdf", "Melting_Curves/meltCurve_Q9Y5S1_TRPV2.pdf")</f>
        <v>Melting_Curves/meltCurve_Q9Y5S1_TRPV2.pdf</v>
      </c>
    </row>
    <row r="6596" spans="1:28" x14ac:dyDescent="0.25">
      <c r="A6596" t="s">
        <v>6600</v>
      </c>
      <c r="B6596">
        <v>0.99193492352474899</v>
      </c>
      <c r="C6596">
        <v>0.67258521755768397</v>
      </c>
      <c r="D6596">
        <v>0.88423157744090497</v>
      </c>
      <c r="E6596">
        <v>0.57927202396160904</v>
      </c>
      <c r="F6596">
        <v>0.30976570580428298</v>
      </c>
      <c r="G6596">
        <v>0.167016300907429</v>
      </c>
      <c r="H6596">
        <v>0.11436746021524299</v>
      </c>
      <c r="I6596">
        <v>0.12881710431766599</v>
      </c>
      <c r="J6596">
        <v>0.160942641551585</v>
      </c>
      <c r="K6596">
        <v>0.165516463545685</v>
      </c>
      <c r="L6596">
        <v>688.29198106358297</v>
      </c>
      <c r="M6596">
        <v>13.9490420834855</v>
      </c>
      <c r="N6596">
        <v>50.144998375873499</v>
      </c>
      <c r="O6596">
        <v>48.362375057541698</v>
      </c>
      <c r="P6596">
        <v>-6.4908838197291693E-2</v>
      </c>
      <c r="Q6596">
        <v>9.9945542390423595E-2</v>
      </c>
      <c r="R6596">
        <v>0.92052188776833899</v>
      </c>
      <c r="S6596" t="s">
        <v>13266</v>
      </c>
      <c r="T6596" t="s">
        <v>13338</v>
      </c>
      <c r="U6596" t="s">
        <v>13338</v>
      </c>
      <c r="V6596" t="s">
        <v>13338</v>
      </c>
      <c r="W6596" t="s">
        <v>19870</v>
      </c>
      <c r="X6596">
        <v>5</v>
      </c>
      <c r="Y6596" t="s">
        <v>26347</v>
      </c>
      <c r="Z6596" t="s">
        <v>33011</v>
      </c>
      <c r="AA6596">
        <v>0.40529319793556817</v>
      </c>
      <c r="AB6596" t="str">
        <f>HYPERLINK("Melting_Curves/meltCurve_Q9Y5S9_RBM8A.pdf", "Melting_Curves/meltCurve_Q9Y5S9_RBM8A.pdf")</f>
        <v>Melting_Curves/meltCurve_Q9Y5S9_RBM8A.pdf</v>
      </c>
    </row>
    <row r="6597" spans="1:28" x14ac:dyDescent="0.25">
      <c r="A6597" t="s">
        <v>6601</v>
      </c>
      <c r="B6597">
        <v>0.99193492352474899</v>
      </c>
      <c r="C6597">
        <v>0.83872763344398504</v>
      </c>
      <c r="D6597">
        <v>0.96832554996395703</v>
      </c>
      <c r="E6597">
        <v>0.70237103451663196</v>
      </c>
      <c r="F6597">
        <v>0.43375135642878898</v>
      </c>
      <c r="G6597">
        <v>0.284786862022673</v>
      </c>
      <c r="H6597">
        <v>0.23842039724279099</v>
      </c>
      <c r="I6597">
        <v>0.27195237049944798</v>
      </c>
      <c r="J6597">
        <v>0.36657262642630301</v>
      </c>
      <c r="K6597">
        <v>0.41456161321143398</v>
      </c>
      <c r="L6597">
        <v>1480.76588062154</v>
      </c>
      <c r="M6597">
        <v>29.5784712987987</v>
      </c>
      <c r="N6597">
        <v>51.789257576171202</v>
      </c>
      <c r="O6597">
        <v>49.835127112298302</v>
      </c>
      <c r="P6597">
        <v>-0.101860551482921</v>
      </c>
      <c r="Q6597">
        <v>0.31352791684112402</v>
      </c>
      <c r="R6597">
        <v>0.93847183497531905</v>
      </c>
      <c r="S6597" t="s">
        <v>13267</v>
      </c>
      <c r="T6597" t="s">
        <v>13338</v>
      </c>
      <c r="U6597" t="s">
        <v>13338</v>
      </c>
      <c r="V6597" t="s">
        <v>13338</v>
      </c>
      <c r="W6597" t="s">
        <v>19871</v>
      </c>
      <c r="X6597">
        <v>6</v>
      </c>
      <c r="Y6597" t="s">
        <v>26348</v>
      </c>
      <c r="Z6597" t="s">
        <v>33012</v>
      </c>
      <c r="AA6597">
        <v>0.54815078714346444</v>
      </c>
      <c r="AB6597" t="str">
        <f>HYPERLINK("Melting_Curves/meltCurve_Q9Y5T4_DNAJC15.pdf", "Melting_Curves/meltCurve_Q9Y5T4_DNAJC15.pdf")</f>
        <v>Melting_Curves/meltCurve_Q9Y5T4_DNAJC15.pdf</v>
      </c>
    </row>
    <row r="6598" spans="1:28" x14ac:dyDescent="0.25">
      <c r="A6598" t="s">
        <v>6602</v>
      </c>
      <c r="B6598">
        <v>0.99193492352474899</v>
      </c>
      <c r="C6598">
        <v>0.53737834978170995</v>
      </c>
      <c r="D6598">
        <v>0.43646103909974199</v>
      </c>
      <c r="E6598">
        <v>0.157792641179855</v>
      </c>
      <c r="F6598">
        <v>0.118437735867422</v>
      </c>
      <c r="G6598">
        <v>7.4720925887135595E-2</v>
      </c>
      <c r="H6598">
        <v>4.70173446637965E-2</v>
      </c>
      <c r="I6598">
        <v>6.9940945581621894E-2</v>
      </c>
      <c r="J6598">
        <v>0.106003162138367</v>
      </c>
      <c r="K6598">
        <v>0.12491160506478199</v>
      </c>
      <c r="L6598">
        <v>858.22522128946002</v>
      </c>
      <c r="M6598">
        <v>19.518444245255999</v>
      </c>
      <c r="N6598">
        <v>44.388498863725701</v>
      </c>
      <c r="O6598">
        <v>43.516198924653096</v>
      </c>
      <c r="P6598">
        <v>-0.102712241787918</v>
      </c>
      <c r="Q6598">
        <v>8.4048326873758003E-2</v>
      </c>
      <c r="R6598">
        <v>0.95711931121984695</v>
      </c>
      <c r="S6598" t="s">
        <v>13268</v>
      </c>
      <c r="T6598" t="s">
        <v>13338</v>
      </c>
      <c r="U6598" t="s">
        <v>13338</v>
      </c>
      <c r="V6598" t="s">
        <v>13338</v>
      </c>
      <c r="W6598" t="s">
        <v>19872</v>
      </c>
      <c r="X6598">
        <v>3</v>
      </c>
      <c r="Y6598" t="s">
        <v>26349</v>
      </c>
      <c r="Z6598" t="s">
        <v>33013</v>
      </c>
      <c r="AA6598">
        <v>0.22417560175386081</v>
      </c>
      <c r="AB6598" t="str">
        <f>HYPERLINK("Melting_Curves/meltCurve_Q9Y5T5_2_USP16.pdf", "Melting_Curves/meltCurve_Q9Y5T5_2_USP16.pdf")</f>
        <v>Melting_Curves/meltCurve_Q9Y5T5_2_USP16.pdf</v>
      </c>
    </row>
    <row r="6599" spans="1:28" x14ac:dyDescent="0.25">
      <c r="A6599" t="s">
        <v>6603</v>
      </c>
      <c r="B6599">
        <v>0.99193492352474899</v>
      </c>
      <c r="C6599">
        <v>0.89198395491200499</v>
      </c>
      <c r="D6599">
        <v>0.87415470091686698</v>
      </c>
      <c r="E6599">
        <v>0.67240843010847795</v>
      </c>
      <c r="F6599">
        <v>0.82453573905717703</v>
      </c>
      <c r="G6599">
        <v>0.60014175601830599</v>
      </c>
      <c r="H6599">
        <v>0.47561259095591302</v>
      </c>
      <c r="I6599">
        <v>0.56714539768880301</v>
      </c>
      <c r="J6599">
        <v>0.59765976380564101</v>
      </c>
      <c r="K6599">
        <v>0.84014990164510595</v>
      </c>
      <c r="L6599">
        <v>720.16706809944003</v>
      </c>
      <c r="M6599">
        <v>15.3665566462281</v>
      </c>
      <c r="O6599">
        <v>46.093685111095397</v>
      </c>
      <c r="P6599">
        <v>-3.1154098784399498E-2</v>
      </c>
      <c r="Q6599">
        <v>0.62623370169512804</v>
      </c>
      <c r="R6599">
        <v>0.59653283126617695</v>
      </c>
      <c r="S6599" t="s">
        <v>13269</v>
      </c>
      <c r="T6599" t="s">
        <v>13338</v>
      </c>
      <c r="U6599" t="s">
        <v>13338</v>
      </c>
      <c r="V6599" t="s">
        <v>13338</v>
      </c>
      <c r="W6599" t="s">
        <v>19873</v>
      </c>
      <c r="X6599">
        <v>5</v>
      </c>
      <c r="Y6599" t="s">
        <v>26350</v>
      </c>
      <c r="Z6599" t="s">
        <v>33014</v>
      </c>
      <c r="AA6599">
        <v>0.7215160717352187</v>
      </c>
      <c r="AB6599" t="str">
        <f>HYPERLINK("Melting_Curves/meltCurve_Q9Y5U2_2_TSSC4.pdf", "Melting_Curves/meltCurve_Q9Y5U2_2_TSSC4.pdf")</f>
        <v>Melting_Curves/meltCurve_Q9Y5U2_2_TSSC4.pdf</v>
      </c>
    </row>
    <row r="6600" spans="1:28" x14ac:dyDescent="0.25">
      <c r="A6600" t="s">
        <v>6604</v>
      </c>
      <c r="B6600">
        <v>0.99193492352474899</v>
      </c>
      <c r="C6600">
        <v>0.50280836913995497</v>
      </c>
      <c r="D6600">
        <v>1.1934844231866899</v>
      </c>
      <c r="E6600">
        <v>0.55608006157845902</v>
      </c>
      <c r="F6600">
        <v>0.79068479087301902</v>
      </c>
      <c r="G6600">
        <v>0.25794016220454602</v>
      </c>
      <c r="H6600">
        <v>0.48914468068880701</v>
      </c>
      <c r="I6600">
        <v>0.43471494187031001</v>
      </c>
      <c r="J6600">
        <v>1.5336542727401601</v>
      </c>
      <c r="K6600">
        <v>0.87791471464445203</v>
      </c>
      <c r="L6600">
        <v>10138.0359271589</v>
      </c>
      <c r="M6600">
        <v>250</v>
      </c>
      <c r="O6600">
        <v>40.549548653594499</v>
      </c>
      <c r="P6600">
        <v>-0.40478141988194999</v>
      </c>
      <c r="Q6600">
        <v>0.73738073831999595</v>
      </c>
      <c r="R6600">
        <v>4.1835657983238302E-2</v>
      </c>
      <c r="S6600" t="s">
        <v>13270</v>
      </c>
      <c r="T6600" t="s">
        <v>13338</v>
      </c>
      <c r="U6600" t="s">
        <v>13338</v>
      </c>
      <c r="V6600" t="s">
        <v>13338</v>
      </c>
      <c r="W6600" t="s">
        <v>19874</v>
      </c>
      <c r="X6600">
        <v>1</v>
      </c>
      <c r="Y6600" t="s">
        <v>26351</v>
      </c>
      <c r="Z6600" t="s">
        <v>33015</v>
      </c>
      <c r="AA6600">
        <v>0.74227568062254967</v>
      </c>
      <c r="AB6600" t="str">
        <f>HYPERLINK("Melting_Curves/meltCurve_Q9Y5U9_IER3IP1.pdf", "Melting_Curves/meltCurve_Q9Y5U9_IER3IP1.pdf")</f>
        <v>Melting_Curves/meltCurve_Q9Y5U9_IER3IP1.pdf</v>
      </c>
    </row>
    <row r="6601" spans="1:28" x14ac:dyDescent="0.25">
      <c r="A6601" t="s">
        <v>6605</v>
      </c>
      <c r="B6601">
        <v>0.99193492352474899</v>
      </c>
      <c r="C6601">
        <v>0.87502092459119296</v>
      </c>
      <c r="D6601">
        <v>0.985453352249688</v>
      </c>
      <c r="E6601">
        <v>0.92043631619434996</v>
      </c>
      <c r="F6601">
        <v>0.68851919843016895</v>
      </c>
      <c r="G6601">
        <v>0.56258395188044696</v>
      </c>
      <c r="H6601">
        <v>0.50074152192408405</v>
      </c>
      <c r="I6601">
        <v>0.66570883813520598</v>
      </c>
      <c r="J6601">
        <v>0.80244135596413801</v>
      </c>
      <c r="K6601">
        <v>1.3215822566939199</v>
      </c>
      <c r="L6601">
        <v>12435.7266978182</v>
      </c>
      <c r="M6601">
        <v>250</v>
      </c>
      <c r="O6601">
        <v>49.739723610510502</v>
      </c>
      <c r="P6601">
        <v>-0.30542801555092602</v>
      </c>
      <c r="Q6601">
        <v>0.75692951923503105</v>
      </c>
      <c r="R6601">
        <v>0.14476385359722099</v>
      </c>
      <c r="S6601" t="s">
        <v>13271</v>
      </c>
      <c r="T6601" t="s">
        <v>13338</v>
      </c>
      <c r="U6601" t="s">
        <v>13338</v>
      </c>
      <c r="V6601" t="s">
        <v>13338</v>
      </c>
      <c r="W6601" t="s">
        <v>19875</v>
      </c>
      <c r="X6601">
        <v>3</v>
      </c>
      <c r="Y6601" t="s">
        <v>26352</v>
      </c>
      <c r="Z6601" t="s">
        <v>33016</v>
      </c>
      <c r="AA6601">
        <v>0.83589117340191599</v>
      </c>
      <c r="AB6601" t="str">
        <f>HYPERLINK("Melting_Curves/meltCurve_Q9Y5V0_ZNF706.pdf", "Melting_Curves/meltCurve_Q9Y5V0_ZNF706.pdf")</f>
        <v>Melting_Curves/meltCurve_Q9Y5V0_ZNF706.pdf</v>
      </c>
    </row>
    <row r="6602" spans="1:28" x14ac:dyDescent="0.25">
      <c r="A6602" t="s">
        <v>6606</v>
      </c>
      <c r="B6602">
        <v>0.99193492352474899</v>
      </c>
      <c r="C6602">
        <v>0.78301255671504</v>
      </c>
      <c r="D6602">
        <v>0.708493530645525</v>
      </c>
      <c r="E6602">
        <v>0.67932495328196896</v>
      </c>
      <c r="F6602">
        <v>0.50244249703404198</v>
      </c>
      <c r="G6602">
        <v>0.43608036127995897</v>
      </c>
      <c r="H6602">
        <v>0.39587672504011201</v>
      </c>
      <c r="I6602">
        <v>0.48435681519470902</v>
      </c>
      <c r="J6602">
        <v>0.55960278064311297</v>
      </c>
      <c r="K6602">
        <v>0.80619242837478999</v>
      </c>
      <c r="L6602">
        <v>820.75152381535304</v>
      </c>
      <c r="M6602">
        <v>18.517667251594698</v>
      </c>
      <c r="O6602">
        <v>43.815426141301501</v>
      </c>
      <c r="P6602">
        <v>-4.8841252288252902E-2</v>
      </c>
      <c r="Q6602">
        <v>0.53775909390490695</v>
      </c>
      <c r="R6602">
        <v>0.62292694286635197</v>
      </c>
      <c r="S6602" t="s">
        <v>13272</v>
      </c>
      <c r="T6602" t="s">
        <v>13338</v>
      </c>
      <c r="U6602" t="s">
        <v>13338</v>
      </c>
      <c r="V6602" t="s">
        <v>13338</v>
      </c>
      <c r="W6602" t="s">
        <v>19876</v>
      </c>
      <c r="X6602">
        <v>2</v>
      </c>
      <c r="Y6602" t="s">
        <v>26353</v>
      </c>
      <c r="Z6602" t="s">
        <v>33017</v>
      </c>
      <c r="AA6602">
        <v>0.61455298280074311</v>
      </c>
      <c r="AB6602" t="str">
        <f>HYPERLINK("Melting_Curves/meltCurve_Q9Y5V3_MAGED1.pdf", "Melting_Curves/meltCurve_Q9Y5V3_MAGED1.pdf")</f>
        <v>Melting_Curves/meltCurve_Q9Y5V3_MAGED1.pdf</v>
      </c>
    </row>
    <row r="6603" spans="1:28" x14ac:dyDescent="0.25">
      <c r="A6603" t="s">
        <v>6607</v>
      </c>
      <c r="B6603">
        <v>0.99193492352474899</v>
      </c>
      <c r="C6603">
        <v>1.17998366448799</v>
      </c>
      <c r="D6603">
        <v>1.08512912560379</v>
      </c>
      <c r="E6603">
        <v>0.47011980168148099</v>
      </c>
      <c r="F6603">
        <v>0.14898632052239699</v>
      </c>
      <c r="G6603">
        <v>9.1728509179868897E-2</v>
      </c>
      <c r="H6603">
        <v>4.4209908917429701E-2</v>
      </c>
      <c r="I6603">
        <v>4.9626579430948399E-2</v>
      </c>
      <c r="J6603">
        <v>7.5787776177814806E-2</v>
      </c>
      <c r="K6603">
        <v>4.9786531222178201E-2</v>
      </c>
      <c r="L6603">
        <v>4358.1221390508999</v>
      </c>
      <c r="M6603">
        <v>88.157419853574098</v>
      </c>
      <c r="N6603">
        <v>49.5286721859515</v>
      </c>
      <c r="O6603">
        <v>49.410246410462598</v>
      </c>
      <c r="P6603">
        <v>-0.41202271058579198</v>
      </c>
      <c r="Q6603">
        <v>7.6282072815005902E-2</v>
      </c>
      <c r="R6603">
        <v>0.97692995037373298</v>
      </c>
      <c r="S6603" t="s">
        <v>13273</v>
      </c>
      <c r="T6603" t="s">
        <v>13338</v>
      </c>
      <c r="U6603" t="s">
        <v>13338</v>
      </c>
      <c r="V6603" t="s">
        <v>13338</v>
      </c>
      <c r="W6603" t="s">
        <v>19877</v>
      </c>
      <c r="X6603">
        <v>4</v>
      </c>
      <c r="Y6603" t="s">
        <v>26354</v>
      </c>
      <c r="Z6603" t="s">
        <v>33018</v>
      </c>
      <c r="AA6603">
        <v>0.36745784457423147</v>
      </c>
      <c r="AB6603" t="str">
        <f>HYPERLINK("Melting_Curves/meltCurve_Q9Y5X1_SNX9.pdf", "Melting_Curves/meltCurve_Q9Y5X1_SNX9.pdf")</f>
        <v>Melting_Curves/meltCurve_Q9Y5X1_SNX9.pdf</v>
      </c>
    </row>
    <row r="6604" spans="1:28" x14ac:dyDescent="0.25">
      <c r="A6604" t="s">
        <v>6608</v>
      </c>
      <c r="B6604">
        <v>0.99193492352474899</v>
      </c>
      <c r="C6604">
        <v>0.97687169886197101</v>
      </c>
      <c r="D6604">
        <v>1.0985353794814099</v>
      </c>
      <c r="E6604">
        <v>0.933283489729274</v>
      </c>
      <c r="F6604">
        <v>0.91604932139578799</v>
      </c>
      <c r="G6604">
        <v>0.61464615693492697</v>
      </c>
      <c r="H6604">
        <v>0.34503608273044001</v>
      </c>
      <c r="I6604">
        <v>0.14406498562217801</v>
      </c>
      <c r="J6604">
        <v>0.13057392162016601</v>
      </c>
      <c r="K6604">
        <v>9.6299450833387604E-2</v>
      </c>
      <c r="L6604">
        <v>1291.82468306073</v>
      </c>
      <c r="M6604">
        <v>22.303826205219401</v>
      </c>
      <c r="N6604">
        <v>58.354307275186301</v>
      </c>
      <c r="O6604">
        <v>57.459845944045398</v>
      </c>
      <c r="P6604">
        <v>-8.9612726972776294E-2</v>
      </c>
      <c r="Q6604">
        <v>7.6566578127481896E-2</v>
      </c>
      <c r="R6604">
        <v>0.98908818550071398</v>
      </c>
      <c r="S6604" t="s">
        <v>13274</v>
      </c>
      <c r="T6604" t="s">
        <v>13338</v>
      </c>
      <c r="U6604" t="s">
        <v>13338</v>
      </c>
      <c r="V6604" t="s">
        <v>13338</v>
      </c>
      <c r="W6604" t="s">
        <v>19878</v>
      </c>
      <c r="X6604">
        <v>12</v>
      </c>
      <c r="Y6604" t="s">
        <v>26355</v>
      </c>
      <c r="Z6604" t="s">
        <v>33019</v>
      </c>
      <c r="AA6604">
        <v>0.63750364214936084</v>
      </c>
      <c r="AB6604" t="str">
        <f>HYPERLINK("Melting_Curves/meltCurve_Q9Y5X2_SNX8.pdf", "Melting_Curves/meltCurve_Q9Y5X2_SNX8.pdf")</f>
        <v>Melting_Curves/meltCurve_Q9Y5X2_SNX8.pdf</v>
      </c>
    </row>
    <row r="6605" spans="1:28" x14ac:dyDescent="0.25">
      <c r="A6605" t="s">
        <v>6609</v>
      </c>
      <c r="B6605">
        <v>0.99193492352474899</v>
      </c>
      <c r="C6605">
        <v>0.765535091548041</v>
      </c>
      <c r="D6605">
        <v>0.86169313775961398</v>
      </c>
      <c r="E6605">
        <v>0.47497531108862101</v>
      </c>
      <c r="F6605">
        <v>0.16198596210782201</v>
      </c>
      <c r="G6605">
        <v>8.1841431429876293E-2</v>
      </c>
      <c r="H6605">
        <v>4.7665270533141499E-2</v>
      </c>
      <c r="I6605">
        <v>5.5647617652430897E-2</v>
      </c>
      <c r="J6605">
        <v>8.1496008406424306E-2</v>
      </c>
      <c r="K6605">
        <v>0.13815305668500899</v>
      </c>
      <c r="L6605">
        <v>1028.4712291410201</v>
      </c>
      <c r="M6605">
        <v>21.071139156990299</v>
      </c>
      <c r="N6605">
        <v>49.125332233995998</v>
      </c>
      <c r="O6605">
        <v>48.376233745281702</v>
      </c>
      <c r="P6605">
        <v>-0.10199623214336299</v>
      </c>
      <c r="Q6605">
        <v>6.3351479159291305E-2</v>
      </c>
      <c r="R6605">
        <v>0.96176628510306295</v>
      </c>
      <c r="S6605" t="s">
        <v>13275</v>
      </c>
      <c r="T6605" t="s">
        <v>13338</v>
      </c>
      <c r="U6605" t="s">
        <v>13338</v>
      </c>
      <c r="V6605" t="s">
        <v>13338</v>
      </c>
      <c r="W6605" t="s">
        <v>19879</v>
      </c>
      <c r="X6605">
        <v>21</v>
      </c>
      <c r="Y6605" t="s">
        <v>26356</v>
      </c>
      <c r="Z6605" t="s">
        <v>33020</v>
      </c>
      <c r="AA6605">
        <v>0.35020662436420341</v>
      </c>
      <c r="AB6605" t="str">
        <f>HYPERLINK("Melting_Curves/meltCurve_Q9Y5X3_SNX5.pdf", "Melting_Curves/meltCurve_Q9Y5X3_SNX5.pdf")</f>
        <v>Melting_Curves/meltCurve_Q9Y5X3_SNX5.pdf</v>
      </c>
    </row>
    <row r="6606" spans="1:28" x14ac:dyDescent="0.25">
      <c r="A6606" t="s">
        <v>6610</v>
      </c>
      <c r="B6606">
        <v>0.99193492352474899</v>
      </c>
      <c r="C6606">
        <v>1.07048868011277</v>
      </c>
      <c r="D6606">
        <v>0.80096729314322201</v>
      </c>
      <c r="E6606">
        <v>0.81229119634593605</v>
      </c>
      <c r="F6606">
        <v>0.55259164963819496</v>
      </c>
      <c r="G6606">
        <v>0.49757146566698102</v>
      </c>
      <c r="H6606">
        <v>0.306866694755842</v>
      </c>
      <c r="I6606">
        <v>0.186418099566315</v>
      </c>
      <c r="J6606">
        <v>0.107672050245463</v>
      </c>
      <c r="K6606">
        <v>0.10992412137264999</v>
      </c>
      <c r="L6606">
        <v>579.95821822098105</v>
      </c>
      <c r="M6606">
        <v>10.4448649118248</v>
      </c>
      <c r="N6606">
        <v>55.525679182595397</v>
      </c>
      <c r="O6606">
        <v>53.606082340002501</v>
      </c>
      <c r="P6606">
        <v>-4.8731249707856597E-2</v>
      </c>
      <c r="Q6606">
        <v>0</v>
      </c>
      <c r="R6606">
        <v>0.97280423632978696</v>
      </c>
      <c r="S6606" t="s">
        <v>13276</v>
      </c>
      <c r="T6606" t="s">
        <v>13338</v>
      </c>
      <c r="U6606" t="s">
        <v>13338</v>
      </c>
      <c r="V6606" t="s">
        <v>13338</v>
      </c>
      <c r="W6606" t="s">
        <v>19880</v>
      </c>
      <c r="X6606">
        <v>6</v>
      </c>
      <c r="Y6606" t="s">
        <v>26357</v>
      </c>
      <c r="Z6606" t="s">
        <v>33021</v>
      </c>
      <c r="AA6606">
        <v>0.54070317973528381</v>
      </c>
      <c r="AB6606" t="str">
        <f>HYPERLINK("Melting_Curves/meltCurve_Q9Y5Y0_FLVCR1.pdf", "Melting_Curves/meltCurve_Q9Y5Y0_FLVCR1.pdf")</f>
        <v>Melting_Curves/meltCurve_Q9Y5Y0_FLVCR1.pdf</v>
      </c>
    </row>
    <row r="6607" spans="1:28" x14ac:dyDescent="0.25">
      <c r="A6607" t="s">
        <v>6611</v>
      </c>
      <c r="B6607">
        <v>0.99193492352474899</v>
      </c>
      <c r="C6607">
        <v>1.00604606190701</v>
      </c>
      <c r="D6607">
        <v>0.836959079546582</v>
      </c>
      <c r="E6607">
        <v>0.606919694363249</v>
      </c>
      <c r="F6607">
        <v>0.270498198675102</v>
      </c>
      <c r="G6607">
        <v>0.127063659574047</v>
      </c>
      <c r="H6607">
        <v>6.0197483987345903E-2</v>
      </c>
      <c r="I6607">
        <v>7.4968670788562494E-2</v>
      </c>
      <c r="J6607">
        <v>7.8543383378573903E-2</v>
      </c>
      <c r="K6607">
        <v>7.9155460003296998E-2</v>
      </c>
      <c r="L6607">
        <v>1054.42972282612</v>
      </c>
      <c r="M6607">
        <v>21.034087695339799</v>
      </c>
      <c r="N6607">
        <v>50.446708637000498</v>
      </c>
      <c r="O6607">
        <v>49.683062933894298</v>
      </c>
      <c r="P6607">
        <v>-9.9289023030194504E-2</v>
      </c>
      <c r="Q6607">
        <v>6.1931980089296297E-2</v>
      </c>
      <c r="R6607">
        <v>0.99708854388383605</v>
      </c>
      <c r="S6607" t="s">
        <v>13277</v>
      </c>
      <c r="T6607" t="s">
        <v>13338</v>
      </c>
      <c r="U6607" t="s">
        <v>13338</v>
      </c>
      <c r="V6607" t="s">
        <v>13338</v>
      </c>
      <c r="W6607" t="s">
        <v>19881</v>
      </c>
      <c r="X6607">
        <v>3</v>
      </c>
      <c r="Y6607" t="s">
        <v>26358</v>
      </c>
      <c r="Z6607" t="s">
        <v>33022</v>
      </c>
      <c r="AA6607">
        <v>0.39050319348131363</v>
      </c>
      <c r="AB6607" t="str">
        <f>HYPERLINK("Melting_Curves/meltCurve_Q9Y5Y2_NUBP2.pdf", "Melting_Curves/meltCurve_Q9Y5Y2_NUBP2.pdf")</f>
        <v>Melting_Curves/meltCurve_Q9Y5Y2_NUBP2.pdf</v>
      </c>
    </row>
    <row r="6608" spans="1:28" x14ac:dyDescent="0.25">
      <c r="A6608" t="s">
        <v>6612</v>
      </c>
      <c r="B6608">
        <v>0.99193492352474899</v>
      </c>
      <c r="C6608">
        <v>1.08177249965577</v>
      </c>
      <c r="D6608">
        <v>0.80804479375592897</v>
      </c>
      <c r="E6608">
        <v>0.87072786423028004</v>
      </c>
      <c r="F6608">
        <v>0.39610027961904998</v>
      </c>
      <c r="G6608">
        <v>0.21347868818440199</v>
      </c>
      <c r="H6608">
        <v>0.12689064606520001</v>
      </c>
      <c r="I6608">
        <v>0.16019207183432499</v>
      </c>
      <c r="J6608">
        <v>0.167920557205508</v>
      </c>
      <c r="K6608">
        <v>0.23142640505624101</v>
      </c>
      <c r="L6608">
        <v>1697.5555997183701</v>
      </c>
      <c r="M6608">
        <v>32.818563378084498</v>
      </c>
      <c r="N6608">
        <v>52.384373663014301</v>
      </c>
      <c r="O6608">
        <v>51.5345705375954</v>
      </c>
      <c r="P6608">
        <v>-0.13228553951566599</v>
      </c>
      <c r="Q6608">
        <v>0.16909893384955499</v>
      </c>
      <c r="R6608">
        <v>0.96551646948446801</v>
      </c>
      <c r="S6608" t="s">
        <v>13278</v>
      </c>
      <c r="T6608" t="s">
        <v>13338</v>
      </c>
      <c r="U6608" t="s">
        <v>13338</v>
      </c>
      <c r="V6608" t="s">
        <v>13338</v>
      </c>
      <c r="W6608" t="s">
        <v>19882</v>
      </c>
      <c r="X6608">
        <v>14</v>
      </c>
      <c r="Y6608" t="s">
        <v>26359</v>
      </c>
      <c r="Z6608" t="s">
        <v>33023</v>
      </c>
      <c r="AA6608">
        <v>0.49827459128585733</v>
      </c>
      <c r="AB6608" t="str">
        <f>HYPERLINK("Melting_Curves/meltCurve_Q9Y5Z4_HEBP2.pdf", "Melting_Curves/meltCurve_Q9Y5Z4_HEBP2.pdf")</f>
        <v>Melting_Curves/meltCurve_Q9Y5Z4_HEBP2.pdf</v>
      </c>
    </row>
    <row r="6609" spans="1:28" x14ac:dyDescent="0.25">
      <c r="A6609" t="s">
        <v>6613</v>
      </c>
      <c r="B6609">
        <v>0.99193492352474899</v>
      </c>
      <c r="C6609">
        <v>0.6465050174343</v>
      </c>
      <c r="D6609">
        <v>0.74807514064476499</v>
      </c>
      <c r="E6609">
        <v>0.33590444971862998</v>
      </c>
      <c r="F6609">
        <v>8.4567635491124601E-2</v>
      </c>
      <c r="G6609">
        <v>3.9961091232767698E-2</v>
      </c>
      <c r="H6609">
        <v>2.1292798699637301E-2</v>
      </c>
      <c r="I6609">
        <v>7.2441621889611299E-2</v>
      </c>
      <c r="J6609">
        <v>5.27443477892423E-2</v>
      </c>
      <c r="K6609">
        <v>0.11052253803551799</v>
      </c>
      <c r="L6609">
        <v>758.43900506761304</v>
      </c>
      <c r="M6609">
        <v>16.1123665120714</v>
      </c>
      <c r="N6609">
        <v>47.263375743945801</v>
      </c>
      <c r="O6609">
        <v>46.364692345828502</v>
      </c>
      <c r="P6609">
        <v>-8.4139340660324302E-2</v>
      </c>
      <c r="Q6609">
        <v>3.1602140712767499E-2</v>
      </c>
      <c r="R6609">
        <v>0.93578712387454299</v>
      </c>
      <c r="S6609" t="s">
        <v>13279</v>
      </c>
      <c r="T6609" t="s">
        <v>13338</v>
      </c>
      <c r="U6609" t="s">
        <v>13338</v>
      </c>
      <c r="V6609" t="s">
        <v>13338</v>
      </c>
      <c r="W6609" t="s">
        <v>19883</v>
      </c>
      <c r="X6609">
        <v>1</v>
      </c>
      <c r="Y6609" t="s">
        <v>26360</v>
      </c>
      <c r="Z6609" t="s">
        <v>33024</v>
      </c>
      <c r="AA6609">
        <v>0.28245227715174082</v>
      </c>
      <c r="AB6609" t="str">
        <f>HYPERLINK("Melting_Curves/meltCurve_Q9Y5Z7_HCFC2.pdf", "Melting_Curves/meltCurve_Q9Y5Z7_HCFC2.pdf")</f>
        <v>Melting_Curves/meltCurve_Q9Y5Z7_HCFC2.pdf</v>
      </c>
    </row>
    <row r="6610" spans="1:28" x14ac:dyDescent="0.25">
      <c r="A6610" t="s">
        <v>6614</v>
      </c>
      <c r="B6610">
        <v>0.99193492352474899</v>
      </c>
      <c r="C6610">
        <v>1.03772707568211</v>
      </c>
      <c r="D6610">
        <v>1.0457619579864701</v>
      </c>
      <c r="E6610">
        <v>0.662654664378863</v>
      </c>
      <c r="F6610">
        <v>0.30586874333307601</v>
      </c>
      <c r="G6610">
        <v>0.193616851142529</v>
      </c>
      <c r="H6610">
        <v>9.8967868700307507E-2</v>
      </c>
      <c r="I6610">
        <v>0.122116515304238</v>
      </c>
      <c r="J6610">
        <v>0.13759571893026301</v>
      </c>
      <c r="K6610">
        <v>0.15705779619510701</v>
      </c>
      <c r="L6610">
        <v>1603.4640810379101</v>
      </c>
      <c r="M6610">
        <v>31.729837671621301</v>
      </c>
      <c r="N6610">
        <v>51.053248154353398</v>
      </c>
      <c r="O6610">
        <v>50.335443721333903</v>
      </c>
      <c r="P6610">
        <v>-0.135890986187506</v>
      </c>
      <c r="Q6610">
        <v>0.13770794178173101</v>
      </c>
      <c r="R6610">
        <v>0.99130871685758204</v>
      </c>
      <c r="S6610" t="s">
        <v>13280</v>
      </c>
      <c r="T6610" t="s">
        <v>13338</v>
      </c>
      <c r="U6610" t="s">
        <v>13338</v>
      </c>
      <c r="V6610" t="s">
        <v>13338</v>
      </c>
      <c r="W6610" t="s">
        <v>19884</v>
      </c>
      <c r="X6610">
        <v>2</v>
      </c>
      <c r="Y6610" t="s">
        <v>26361</v>
      </c>
      <c r="Z6610" t="s">
        <v>33025</v>
      </c>
      <c r="AA6610">
        <v>0.44531910543696968</v>
      </c>
      <c r="AB6610" t="str">
        <f>HYPERLINK("Melting_Curves/meltCurve_Q9Y5Z9_2_UBIAD1.pdf", "Melting_Curves/meltCurve_Q9Y5Z9_2_UBIAD1.pdf")</f>
        <v>Melting_Curves/meltCurve_Q9Y5Z9_2_UBIAD1.pdf</v>
      </c>
    </row>
    <row r="6611" spans="1:28" x14ac:dyDescent="0.25">
      <c r="A6611" t="s">
        <v>6615</v>
      </c>
      <c r="B6611">
        <v>0.99193492352474899</v>
      </c>
      <c r="C6611">
        <v>0.80262679671243398</v>
      </c>
      <c r="D6611">
        <v>0.71205321110738795</v>
      </c>
      <c r="E6611">
        <v>0.46344503894649097</v>
      </c>
      <c r="F6611">
        <v>0.196638636347197</v>
      </c>
      <c r="G6611">
        <v>0.119651592824283</v>
      </c>
      <c r="H6611">
        <v>8.4189936710324695E-2</v>
      </c>
      <c r="I6611">
        <v>0.104021891048988</v>
      </c>
      <c r="J6611">
        <v>0.12880789768328799</v>
      </c>
      <c r="K6611">
        <v>0.149141403018863</v>
      </c>
      <c r="L6611">
        <v>785.92607049922697</v>
      </c>
      <c r="M6611">
        <v>16.439819318150899</v>
      </c>
      <c r="N6611">
        <v>48.417392031329797</v>
      </c>
      <c r="O6611">
        <v>47.115674769924901</v>
      </c>
      <c r="P6611">
        <v>-7.9063334719357503E-2</v>
      </c>
      <c r="Q6611">
        <v>9.3698037770622106E-2</v>
      </c>
      <c r="R6611">
        <v>0.983693108271815</v>
      </c>
      <c r="S6611" t="s">
        <v>13281</v>
      </c>
      <c r="T6611" t="s">
        <v>13338</v>
      </c>
      <c r="U6611" t="s">
        <v>13338</v>
      </c>
      <c r="V6611" t="s">
        <v>13338</v>
      </c>
      <c r="W6611" t="s">
        <v>19885</v>
      </c>
      <c r="X6611">
        <v>3</v>
      </c>
      <c r="Y6611" t="s">
        <v>26362</v>
      </c>
      <c r="Z6611" t="s">
        <v>33026</v>
      </c>
      <c r="AA6611">
        <v>0.34907105540895239</v>
      </c>
      <c r="AB6611" t="str">
        <f>HYPERLINK("Melting_Curves/meltCurve_Q9Y605_MRFAP1.pdf", "Melting_Curves/meltCurve_Q9Y605_MRFAP1.pdf")</f>
        <v>Melting_Curves/meltCurve_Q9Y605_MRFAP1.pdf</v>
      </c>
    </row>
    <row r="6612" spans="1:28" x14ac:dyDescent="0.25">
      <c r="A6612" t="s">
        <v>6616</v>
      </c>
      <c r="B6612">
        <v>0.99193492352474899</v>
      </c>
      <c r="C6612">
        <v>0.61775041350709403</v>
      </c>
      <c r="D6612">
        <v>0.72060180763501402</v>
      </c>
      <c r="E6612">
        <v>0.46279489098512699</v>
      </c>
      <c r="F6612">
        <v>0.61695860873159103</v>
      </c>
      <c r="G6612">
        <v>0.44891829386781801</v>
      </c>
      <c r="H6612">
        <v>0.39747660725588801</v>
      </c>
      <c r="I6612">
        <v>0.48873649176700501</v>
      </c>
      <c r="J6612">
        <v>0.61032181704583799</v>
      </c>
      <c r="K6612">
        <v>0.91135674367818997</v>
      </c>
      <c r="L6612">
        <v>3576.2349901859702</v>
      </c>
      <c r="M6612">
        <v>85.696460458688506</v>
      </c>
      <c r="O6612">
        <v>41.708711152311999</v>
      </c>
      <c r="P6612">
        <v>-0.214712909571974</v>
      </c>
      <c r="Q6612">
        <v>0.58199450869051095</v>
      </c>
      <c r="R6612">
        <v>0.42232912742131701</v>
      </c>
      <c r="S6612" t="s">
        <v>13282</v>
      </c>
      <c r="T6612" t="s">
        <v>13338</v>
      </c>
      <c r="U6612" t="s">
        <v>13338</v>
      </c>
      <c r="V6612" t="s">
        <v>13338</v>
      </c>
      <c r="W6612" t="s">
        <v>19886</v>
      </c>
      <c r="X6612">
        <v>15</v>
      </c>
      <c r="Y6612" t="s">
        <v>26363</v>
      </c>
      <c r="Z6612" t="s">
        <v>33027</v>
      </c>
      <c r="AA6612">
        <v>0.60652780517815497</v>
      </c>
      <c r="AB6612" t="str">
        <f>HYPERLINK("Melting_Curves/meltCurve_Q9Y608_4_LRRFIP2.pdf", "Melting_Curves/meltCurve_Q9Y608_4_LRRFIP2.pdf")</f>
        <v>Melting_Curves/meltCurve_Q9Y608_4_LRRFIP2.pdf</v>
      </c>
    </row>
    <row r="6613" spans="1:28" x14ac:dyDescent="0.25">
      <c r="A6613" t="s">
        <v>6617</v>
      </c>
      <c r="B6613">
        <v>0.99193492352474899</v>
      </c>
      <c r="C6613">
        <v>0.91000738346548404</v>
      </c>
      <c r="D6613">
        <v>0.98889874131898003</v>
      </c>
      <c r="E6613">
        <v>0.81021403165150696</v>
      </c>
      <c r="F6613">
        <v>0.74625763035411496</v>
      </c>
      <c r="G6613">
        <v>0.53550489936502099</v>
      </c>
      <c r="H6613">
        <v>0.22955862770951899</v>
      </c>
      <c r="I6613">
        <v>0.12319127337663301</v>
      </c>
      <c r="J6613">
        <v>0.11497618992284001</v>
      </c>
      <c r="K6613">
        <v>9.2233976746448898E-2</v>
      </c>
      <c r="L6613">
        <v>802.54419187647102</v>
      </c>
      <c r="M6613">
        <v>14.179579290171199</v>
      </c>
      <c r="N6613">
        <v>56.6112405527603</v>
      </c>
      <c r="O6613">
        <v>55.508553635110303</v>
      </c>
      <c r="P6613">
        <v>-6.3769054577966805E-2</v>
      </c>
      <c r="Q6613">
        <v>1.5832463964382401E-3</v>
      </c>
      <c r="R6613">
        <v>0.98466375170796205</v>
      </c>
      <c r="S6613" t="s">
        <v>13283</v>
      </c>
      <c r="T6613" t="s">
        <v>13338</v>
      </c>
      <c r="U6613" t="s">
        <v>13338</v>
      </c>
      <c r="V6613" t="s">
        <v>13338</v>
      </c>
      <c r="W6613" t="s">
        <v>19887</v>
      </c>
      <c r="X6613">
        <v>20</v>
      </c>
      <c r="Y6613" t="s">
        <v>26364</v>
      </c>
      <c r="Z6613" t="s">
        <v>33028</v>
      </c>
      <c r="AA6613">
        <v>0.57120762969823535</v>
      </c>
      <c r="AB6613" t="str">
        <f>HYPERLINK("Melting_Curves/meltCurve_Q9Y617_PSAT1.pdf", "Melting_Curves/meltCurve_Q9Y617_PSAT1.pdf")</f>
        <v>Melting_Curves/meltCurve_Q9Y617_PSAT1.pdf</v>
      </c>
    </row>
    <row r="6614" spans="1:28" x14ac:dyDescent="0.25">
      <c r="A6614" t="s">
        <v>6618</v>
      </c>
      <c r="B6614">
        <v>0.99193492352474899</v>
      </c>
      <c r="C6614">
        <v>1.03018540630193</v>
      </c>
      <c r="D6614">
        <v>0.94690525709215001</v>
      </c>
      <c r="E6614">
        <v>0.81080538972463601</v>
      </c>
      <c r="F6614">
        <v>0.64193973510833902</v>
      </c>
      <c r="G6614">
        <v>0.53650427822059799</v>
      </c>
      <c r="H6614">
        <v>0.384762355469214</v>
      </c>
      <c r="I6614">
        <v>0.39794186047681501</v>
      </c>
      <c r="J6614">
        <v>0.31646040140270498</v>
      </c>
      <c r="K6614">
        <v>0.282326253877272</v>
      </c>
      <c r="L6614">
        <v>727.37932321451001</v>
      </c>
      <c r="M6614">
        <v>13.530571887983699</v>
      </c>
      <c r="N6614">
        <v>57.185759049699001</v>
      </c>
      <c r="O6614">
        <v>52.624710351473297</v>
      </c>
      <c r="P6614">
        <v>-4.64296948528303E-2</v>
      </c>
      <c r="Q6614">
        <v>0.27778959376823298</v>
      </c>
      <c r="R6614">
        <v>0.99043625406694902</v>
      </c>
      <c r="S6614" t="s">
        <v>13284</v>
      </c>
      <c r="T6614" t="s">
        <v>13338</v>
      </c>
      <c r="U6614" t="s">
        <v>13338</v>
      </c>
      <c r="V6614" t="s">
        <v>13338</v>
      </c>
      <c r="W6614" t="s">
        <v>19888</v>
      </c>
      <c r="X6614">
        <v>4</v>
      </c>
      <c r="Y6614" t="s">
        <v>26365</v>
      </c>
      <c r="Z6614" t="s">
        <v>33029</v>
      </c>
      <c r="AA6614">
        <v>0.62599700386115287</v>
      </c>
      <c r="AB6614" t="str">
        <f>HYPERLINK("Melting_Curves/meltCurve_Q9Y619_SLC25A15.pdf", "Melting_Curves/meltCurve_Q9Y619_SLC25A15.pdf")</f>
        <v>Melting_Curves/meltCurve_Q9Y619_SLC25A15.pdf</v>
      </c>
    </row>
    <row r="6615" spans="1:28" x14ac:dyDescent="0.25">
      <c r="A6615" t="s">
        <v>6619</v>
      </c>
      <c r="B6615">
        <v>0.99193492352474899</v>
      </c>
      <c r="C6615">
        <v>0.92713625258985799</v>
      </c>
      <c r="D6615">
        <v>0.82006447302130903</v>
      </c>
      <c r="E6615">
        <v>0.84485597316431904</v>
      </c>
      <c r="F6615">
        <v>0.61579747899683901</v>
      </c>
      <c r="G6615">
        <v>0.51141603480227205</v>
      </c>
      <c r="H6615">
        <v>0.36732613930959801</v>
      </c>
      <c r="I6615">
        <v>0.50211755995503404</v>
      </c>
      <c r="J6615">
        <v>0.49030671671380099</v>
      </c>
      <c r="K6615">
        <v>0.61245456491118699</v>
      </c>
      <c r="L6615">
        <v>810.44227659881096</v>
      </c>
      <c r="M6615">
        <v>16.259334216015802</v>
      </c>
      <c r="N6615">
        <v>62.343397286212998</v>
      </c>
      <c r="O6615">
        <v>49.1090442707143</v>
      </c>
      <c r="P6615">
        <v>-4.2978192163939798E-2</v>
      </c>
      <c r="Q6615">
        <v>0.48079976437494998</v>
      </c>
      <c r="R6615">
        <v>0.87089544258761797</v>
      </c>
      <c r="S6615" t="s">
        <v>13285</v>
      </c>
      <c r="T6615" t="s">
        <v>13338</v>
      </c>
      <c r="U6615" t="s">
        <v>13338</v>
      </c>
      <c r="V6615" t="s">
        <v>13338</v>
      </c>
      <c r="W6615" t="s">
        <v>19889</v>
      </c>
      <c r="X6615">
        <v>6</v>
      </c>
      <c r="Y6615" t="s">
        <v>26366</v>
      </c>
      <c r="Z6615" t="s">
        <v>33030</v>
      </c>
      <c r="AA6615">
        <v>0.66192485651360788</v>
      </c>
      <c r="AB6615" t="str">
        <f>HYPERLINK("Melting_Curves/meltCurve_Q9Y639_1_NPTN.pdf", "Melting_Curves/meltCurve_Q9Y639_1_NPTN.pdf")</f>
        <v>Melting_Curves/meltCurve_Q9Y639_1_NPTN.pdf</v>
      </c>
    </row>
    <row r="6616" spans="1:28" x14ac:dyDescent="0.25">
      <c r="A6616" t="s">
        <v>6620</v>
      </c>
      <c r="B6616">
        <v>0.99193492352474899</v>
      </c>
      <c r="C6616">
        <v>0.71602704787822302</v>
      </c>
      <c r="D6616">
        <v>0.90899453149689502</v>
      </c>
      <c r="E6616">
        <v>0.68182043984734797</v>
      </c>
      <c r="F6616">
        <v>0.431303630911131</v>
      </c>
      <c r="G6616">
        <v>0.20224012189905299</v>
      </c>
      <c r="H6616">
        <v>0.114502258491486</v>
      </c>
      <c r="I6616">
        <v>0.12604049192552999</v>
      </c>
      <c r="J6616">
        <v>0.13416144232520699</v>
      </c>
      <c r="K6616">
        <v>0.17173421276733</v>
      </c>
      <c r="L6616">
        <v>733.16474519847498</v>
      </c>
      <c r="M6616">
        <v>14.3794940485203</v>
      </c>
      <c r="N6616">
        <v>51.696783178848897</v>
      </c>
      <c r="O6616">
        <v>50.031141276384901</v>
      </c>
      <c r="P6616">
        <v>-6.54225282551614E-2</v>
      </c>
      <c r="Q6616">
        <v>8.9599776214166302E-2</v>
      </c>
      <c r="R6616">
        <v>0.93574519495796904</v>
      </c>
      <c r="S6616" t="s">
        <v>13286</v>
      </c>
      <c r="T6616" t="s">
        <v>13338</v>
      </c>
      <c r="U6616" t="s">
        <v>13338</v>
      </c>
      <c r="V6616" t="s">
        <v>13338</v>
      </c>
      <c r="W6616" t="s">
        <v>19890</v>
      </c>
      <c r="X6616">
        <v>6</v>
      </c>
      <c r="Y6616" t="s">
        <v>26367</v>
      </c>
      <c r="Z6616" t="s">
        <v>33031</v>
      </c>
      <c r="AA6616">
        <v>0.4455622762984458</v>
      </c>
      <c r="AB6616" t="str">
        <f>HYPERLINK("Melting_Curves/meltCurve_Q9Y657_SPIN1.pdf", "Melting_Curves/meltCurve_Q9Y657_SPIN1.pdf")</f>
        <v>Melting_Curves/meltCurve_Q9Y657_SPIN1.pdf</v>
      </c>
    </row>
    <row r="6617" spans="1:28" x14ac:dyDescent="0.25">
      <c r="A6617" t="s">
        <v>6621</v>
      </c>
      <c r="B6617">
        <v>0.99193492352474899</v>
      </c>
      <c r="C6617">
        <v>0.76863925227024099</v>
      </c>
      <c r="D6617">
        <v>0.81052510507450504</v>
      </c>
      <c r="E6617">
        <v>0.66307241796537797</v>
      </c>
      <c r="F6617">
        <v>0.272250602537502</v>
      </c>
      <c r="G6617">
        <v>0.110065805566455</v>
      </c>
      <c r="H6617">
        <v>0.22239890170564999</v>
      </c>
      <c r="I6617">
        <v>7.4412755015375101E-2</v>
      </c>
      <c r="J6617">
        <v>6.2316901734136301E-2</v>
      </c>
      <c r="K6617">
        <v>0.118058243513954</v>
      </c>
      <c r="L6617">
        <v>719.24058683840303</v>
      </c>
      <c r="M6617">
        <v>14.404352863559</v>
      </c>
      <c r="N6617">
        <v>50.399546799758902</v>
      </c>
      <c r="O6617">
        <v>48.999381954170801</v>
      </c>
      <c r="P6617">
        <v>-6.8905901190877195E-2</v>
      </c>
      <c r="Q6617">
        <v>6.2520361052261705E-2</v>
      </c>
      <c r="R6617">
        <v>0.94834018116922103</v>
      </c>
      <c r="S6617" t="s">
        <v>13287</v>
      </c>
      <c r="T6617" t="s">
        <v>13338</v>
      </c>
      <c r="U6617" t="s">
        <v>13338</v>
      </c>
      <c r="V6617" t="s">
        <v>13338</v>
      </c>
      <c r="W6617" t="s">
        <v>19891</v>
      </c>
      <c r="X6617">
        <v>2</v>
      </c>
      <c r="Y6617" t="s">
        <v>26368</v>
      </c>
      <c r="Z6617" t="s">
        <v>33032</v>
      </c>
      <c r="AA6617">
        <v>0.39695654402658659</v>
      </c>
      <c r="AB6617" t="str">
        <f>HYPERLINK("Melting_Curves/meltCurve_Q9Y664_KPTN.pdf", "Melting_Curves/meltCurve_Q9Y664_KPTN.pdf")</f>
        <v>Melting_Curves/meltCurve_Q9Y664_KPTN.pdf</v>
      </c>
    </row>
    <row r="6618" spans="1:28" x14ac:dyDescent="0.25">
      <c r="A6618" t="s">
        <v>6622</v>
      </c>
      <c r="B6618">
        <v>0.99193492352474899</v>
      </c>
      <c r="C6618">
        <v>0.98803712690984802</v>
      </c>
      <c r="D6618">
        <v>0.89653207504458299</v>
      </c>
      <c r="E6618">
        <v>0.73778641871363304</v>
      </c>
      <c r="F6618">
        <v>0.41710050059006898</v>
      </c>
      <c r="G6618">
        <v>0.166813244559328</v>
      </c>
      <c r="H6618">
        <v>0.105891839840018</v>
      </c>
      <c r="I6618">
        <v>0.12044803696586701</v>
      </c>
      <c r="J6618">
        <v>0.123344443814318</v>
      </c>
      <c r="K6618">
        <v>0.11452436594421</v>
      </c>
      <c r="L6618">
        <v>1130.20551440903</v>
      </c>
      <c r="M6618">
        <v>21.951886664973301</v>
      </c>
      <c r="N6618">
        <v>52.010296700874697</v>
      </c>
      <c r="O6618">
        <v>51.064032719029797</v>
      </c>
      <c r="P6618">
        <v>-9.6799390365215204E-2</v>
      </c>
      <c r="Q6618">
        <v>9.9329277906091099E-2</v>
      </c>
      <c r="R6618">
        <v>0.99661578736158396</v>
      </c>
      <c r="S6618" t="s">
        <v>13288</v>
      </c>
      <c r="T6618" t="s">
        <v>13338</v>
      </c>
      <c r="U6618" t="s">
        <v>13338</v>
      </c>
      <c r="V6618" t="s">
        <v>13338</v>
      </c>
      <c r="W6618" t="s">
        <v>19892</v>
      </c>
      <c r="X6618">
        <v>9</v>
      </c>
      <c r="Y6618" t="s">
        <v>26369</v>
      </c>
      <c r="Z6618" t="s">
        <v>33033</v>
      </c>
      <c r="AA6618">
        <v>0.45465190745470541</v>
      </c>
      <c r="AB6618" t="str">
        <f>HYPERLINK("Melting_Curves/meltCurve_Q9Y666_SLC12A7.pdf", "Melting_Curves/meltCurve_Q9Y666_SLC12A7.pdf")</f>
        <v>Melting_Curves/meltCurve_Q9Y666_SLC12A7.pdf</v>
      </c>
    </row>
    <row r="6619" spans="1:28" x14ac:dyDescent="0.25">
      <c r="A6619" t="s">
        <v>6623</v>
      </c>
      <c r="B6619">
        <v>0.99193492352474899</v>
      </c>
      <c r="C6619">
        <v>1.01271271201149</v>
      </c>
      <c r="D6619">
        <v>0.98547653752619802</v>
      </c>
      <c r="E6619">
        <v>0.85660921517632604</v>
      </c>
      <c r="F6619">
        <v>0.30787886859157299</v>
      </c>
      <c r="G6619">
        <v>0.10207304405213501</v>
      </c>
      <c r="H6619">
        <v>5.8038977437428897E-2</v>
      </c>
      <c r="I6619">
        <v>4.7322601479875201E-2</v>
      </c>
      <c r="J6619">
        <v>6.09937212678065E-2</v>
      </c>
      <c r="K6619">
        <v>6.3335025395166597E-2</v>
      </c>
      <c r="L6619">
        <v>1974.59319646885</v>
      </c>
      <c r="M6619">
        <v>38.118365229373097</v>
      </c>
      <c r="N6619">
        <v>51.971744416148397</v>
      </c>
      <c r="O6619">
        <v>51.659669197958401</v>
      </c>
      <c r="P6619">
        <v>-0.173650766764328</v>
      </c>
      <c r="Q6619">
        <v>5.8646026458374301E-2</v>
      </c>
      <c r="R6619">
        <v>0.99965611325153803</v>
      </c>
      <c r="S6619" t="s">
        <v>13289</v>
      </c>
      <c r="T6619" t="s">
        <v>13338</v>
      </c>
      <c r="U6619" t="s">
        <v>13338</v>
      </c>
      <c r="V6619" t="s">
        <v>13338</v>
      </c>
      <c r="W6619" t="s">
        <v>19893</v>
      </c>
      <c r="X6619">
        <v>6</v>
      </c>
      <c r="Y6619" t="s">
        <v>26370</v>
      </c>
      <c r="Z6619" t="s">
        <v>33034</v>
      </c>
      <c r="AA6619">
        <v>0.43267509843949731</v>
      </c>
      <c r="AB6619" t="str">
        <f>HYPERLINK("Melting_Curves/meltCurve_Q9Y673_ALG5.pdf", "Melting_Curves/meltCurve_Q9Y673_ALG5.pdf")</f>
        <v>Melting_Curves/meltCurve_Q9Y673_ALG5.pdf</v>
      </c>
    </row>
    <row r="6620" spans="1:28" x14ac:dyDescent="0.25">
      <c r="A6620" t="s">
        <v>6624</v>
      </c>
      <c r="B6620">
        <v>0.99193492352474899</v>
      </c>
      <c r="C6620">
        <v>0.58306481116797904</v>
      </c>
      <c r="D6620">
        <v>1.1830376956286699</v>
      </c>
      <c r="E6620">
        <v>0.63636976701067205</v>
      </c>
      <c r="F6620">
        <v>0.22989413574760401</v>
      </c>
      <c r="G6620">
        <v>9.6569652585829294E-2</v>
      </c>
      <c r="H6620">
        <v>8.0046140817358696E-2</v>
      </c>
      <c r="I6620">
        <v>0.10224324271353601</v>
      </c>
      <c r="J6620">
        <v>0.15198626345434699</v>
      </c>
      <c r="K6620">
        <v>0.14625237594759899</v>
      </c>
      <c r="L6620">
        <v>2423.1816352442202</v>
      </c>
      <c r="M6620">
        <v>48.405082654493803</v>
      </c>
      <c r="N6620">
        <v>50.358443997139098</v>
      </c>
      <c r="O6620">
        <v>49.975265817844097</v>
      </c>
      <c r="P6620">
        <v>-0.21199313978543</v>
      </c>
      <c r="Q6620">
        <v>0.124521528372337</v>
      </c>
      <c r="R6620">
        <v>0.85186724945362102</v>
      </c>
      <c r="S6620" t="s">
        <v>13290</v>
      </c>
      <c r="T6620" t="s">
        <v>13338</v>
      </c>
      <c r="U6620" t="s">
        <v>13338</v>
      </c>
      <c r="V6620" t="s">
        <v>13338</v>
      </c>
      <c r="W6620" t="s">
        <v>19894</v>
      </c>
      <c r="X6620">
        <v>1</v>
      </c>
      <c r="Y6620" t="s">
        <v>26371</v>
      </c>
      <c r="Z6620" t="s">
        <v>33035</v>
      </c>
      <c r="AA6620">
        <v>0.42017615824753901</v>
      </c>
      <c r="AB6620" t="str">
        <f>HYPERLINK("Melting_Curves/meltCurve_Q9Y676_MRPS18B.pdf", "Melting_Curves/meltCurve_Q9Y676_MRPS18B.pdf")</f>
        <v>Melting_Curves/meltCurve_Q9Y676_MRPS18B.pdf</v>
      </c>
    </row>
    <row r="6621" spans="1:28" x14ac:dyDescent="0.25">
      <c r="A6621" t="s">
        <v>6625</v>
      </c>
      <c r="B6621">
        <v>0.99193492352474899</v>
      </c>
      <c r="C6621">
        <v>1.03732446474101</v>
      </c>
      <c r="D6621">
        <v>1.1235287957767599</v>
      </c>
      <c r="E6621">
        <v>0.90322315884357496</v>
      </c>
      <c r="F6621">
        <v>0.59515566237607798</v>
      </c>
      <c r="G6621">
        <v>0.16367575508214799</v>
      </c>
      <c r="H6621">
        <v>8.5298443847924899E-2</v>
      </c>
      <c r="I6621">
        <v>7.5871020945316905E-2</v>
      </c>
      <c r="J6621">
        <v>7.8572289058144895E-2</v>
      </c>
      <c r="K6621">
        <v>5.8715061337231103E-2</v>
      </c>
      <c r="L6621">
        <v>1846.41712089716</v>
      </c>
      <c r="M6621">
        <v>34.501485951381703</v>
      </c>
      <c r="N6621">
        <v>53.742731402696002</v>
      </c>
      <c r="O6621">
        <v>53.338196632514901</v>
      </c>
      <c r="P6621">
        <v>-0.150805089677575</v>
      </c>
      <c r="Q6621">
        <v>6.7444051166006394E-2</v>
      </c>
      <c r="R6621">
        <v>0.98974597450152801</v>
      </c>
      <c r="S6621" t="s">
        <v>13291</v>
      </c>
      <c r="T6621" t="s">
        <v>13338</v>
      </c>
      <c r="U6621" t="s">
        <v>13338</v>
      </c>
      <c r="V6621" t="s">
        <v>13338</v>
      </c>
      <c r="W6621" t="s">
        <v>19895</v>
      </c>
      <c r="X6621">
        <v>33</v>
      </c>
      <c r="Y6621" t="s">
        <v>26372</v>
      </c>
      <c r="Z6621" t="s">
        <v>33036</v>
      </c>
      <c r="AA6621">
        <v>0.49224997058046382</v>
      </c>
      <c r="AB6621" t="str">
        <f>HYPERLINK("Melting_Curves/meltCurve_Q9Y678_COPG1.pdf", "Melting_Curves/meltCurve_Q9Y678_COPG1.pdf")</f>
        <v>Melting_Curves/meltCurve_Q9Y678_COPG1.pdf</v>
      </c>
    </row>
    <row r="6622" spans="1:28" x14ac:dyDescent="0.25">
      <c r="A6622" t="s">
        <v>6626</v>
      </c>
      <c r="B6622">
        <v>0.99193492352474899</v>
      </c>
      <c r="C6622">
        <v>1.0691939122268299</v>
      </c>
      <c r="D6622">
        <v>0.91242003107609104</v>
      </c>
      <c r="E6622">
        <v>0.53989018540769196</v>
      </c>
      <c r="F6622">
        <v>0.19023556669831801</v>
      </c>
      <c r="G6622">
        <v>0.14222340787576199</v>
      </c>
      <c r="H6622">
        <v>7.7568167472039304E-2</v>
      </c>
      <c r="I6622">
        <v>6.1995727221126402E-2</v>
      </c>
      <c r="J6622">
        <v>7.0338903883569504E-2</v>
      </c>
      <c r="K6622">
        <v>8.2391952103917296E-2</v>
      </c>
      <c r="L6622">
        <v>1457.1529270296501</v>
      </c>
      <c r="M6622">
        <v>29.362531612286801</v>
      </c>
      <c r="N6622">
        <v>49.924235915904703</v>
      </c>
      <c r="O6622">
        <v>49.397793028860697</v>
      </c>
      <c r="P6622">
        <v>-0.13666000169004699</v>
      </c>
      <c r="Q6622">
        <v>8.0371593052807402E-2</v>
      </c>
      <c r="R6622">
        <v>0.99482558302127699</v>
      </c>
      <c r="S6622" t="s">
        <v>13292</v>
      </c>
      <c r="T6622" t="s">
        <v>13338</v>
      </c>
      <c r="U6622" t="s">
        <v>13338</v>
      </c>
      <c r="V6622" t="s">
        <v>13338</v>
      </c>
      <c r="W6622" t="s">
        <v>19896</v>
      </c>
      <c r="X6622">
        <v>4</v>
      </c>
      <c r="Y6622" t="s">
        <v>26373</v>
      </c>
      <c r="Z6622" t="s">
        <v>33037</v>
      </c>
      <c r="AA6622">
        <v>0.38136447233217752</v>
      </c>
      <c r="AB6622" t="str">
        <f>HYPERLINK("Melting_Curves/meltCurve_Q9Y679_2_AUP1.pdf", "Melting_Curves/meltCurve_Q9Y679_2_AUP1.pdf")</f>
        <v>Melting_Curves/meltCurve_Q9Y679_2_AUP1.pdf</v>
      </c>
    </row>
    <row r="6623" spans="1:28" x14ac:dyDescent="0.25">
      <c r="A6623" t="s">
        <v>6627</v>
      </c>
      <c r="B6623">
        <v>0.99193492352474899</v>
      </c>
      <c r="C6623">
        <v>0.84047560325614401</v>
      </c>
      <c r="D6623">
        <v>0.88845179577045497</v>
      </c>
      <c r="E6623">
        <v>0.70822324953593896</v>
      </c>
      <c r="F6623">
        <v>0.53560924552483202</v>
      </c>
      <c r="G6623">
        <v>0.32950023667525602</v>
      </c>
      <c r="H6623">
        <v>0.232576831933031</v>
      </c>
      <c r="I6623">
        <v>0.18189990860467101</v>
      </c>
      <c r="J6623">
        <v>0.192283904464322</v>
      </c>
      <c r="K6623">
        <v>0.18570498706456001</v>
      </c>
      <c r="L6623">
        <v>642.67641308583302</v>
      </c>
      <c r="M6623">
        <v>12.3285374712675</v>
      </c>
      <c r="N6623">
        <v>53.361489217491503</v>
      </c>
      <c r="O6623">
        <v>50.814572342850603</v>
      </c>
      <c r="P6623">
        <v>-5.31519033441109E-2</v>
      </c>
      <c r="Q6623">
        <v>0.123884723983599</v>
      </c>
      <c r="R6623">
        <v>0.984191207921989</v>
      </c>
      <c r="S6623" t="s">
        <v>13293</v>
      </c>
      <c r="T6623" t="s">
        <v>13338</v>
      </c>
      <c r="U6623" t="s">
        <v>13338</v>
      </c>
      <c r="V6623" t="s">
        <v>13338</v>
      </c>
      <c r="W6623" t="s">
        <v>19897</v>
      </c>
      <c r="X6623">
        <v>12</v>
      </c>
      <c r="Y6623" t="s">
        <v>26374</v>
      </c>
      <c r="Z6623" t="s">
        <v>33038</v>
      </c>
      <c r="AA6623">
        <v>0.50377960488367068</v>
      </c>
      <c r="AB6623" t="str">
        <f>HYPERLINK("Melting_Curves/meltCurve_Q9Y680_2_FKBP7.pdf", "Melting_Curves/meltCurve_Q9Y680_2_FKBP7.pdf")</f>
        <v>Melting_Curves/meltCurve_Q9Y680_2_FKBP7.pdf</v>
      </c>
    </row>
    <row r="6624" spans="1:28" x14ac:dyDescent="0.25">
      <c r="A6624" t="s">
        <v>6628</v>
      </c>
      <c r="B6624">
        <v>0.99193492352474899</v>
      </c>
      <c r="C6624">
        <v>0.88641087706912203</v>
      </c>
      <c r="D6624">
        <v>0.92245684546461504</v>
      </c>
      <c r="E6624">
        <v>0.62366381716604902</v>
      </c>
      <c r="F6624">
        <v>0.46668294693546197</v>
      </c>
      <c r="G6624">
        <v>0.17894438865583101</v>
      </c>
      <c r="H6624">
        <v>7.2766012225999405E-2</v>
      </c>
      <c r="I6624">
        <v>5.1744525388721201E-2</v>
      </c>
      <c r="J6624">
        <v>8.4592448742938101E-2</v>
      </c>
      <c r="K6624">
        <v>7.7135434304239206E-2</v>
      </c>
      <c r="L6624">
        <v>826.28896553592904</v>
      </c>
      <c r="M6624">
        <v>16.020622803049999</v>
      </c>
      <c r="N6624">
        <v>51.7994427938795</v>
      </c>
      <c r="O6624">
        <v>50.793046583102999</v>
      </c>
      <c r="P6624">
        <v>-7.6232412248109602E-2</v>
      </c>
      <c r="Q6624">
        <v>3.3302456480067001E-2</v>
      </c>
      <c r="R6624">
        <v>0.98634182354727595</v>
      </c>
      <c r="S6624" t="s">
        <v>13294</v>
      </c>
      <c r="T6624" t="s">
        <v>13338</v>
      </c>
      <c r="U6624" t="s">
        <v>13338</v>
      </c>
      <c r="V6624" t="s">
        <v>13338</v>
      </c>
      <c r="W6624" t="s">
        <v>19898</v>
      </c>
      <c r="X6624">
        <v>3</v>
      </c>
      <c r="Y6624" t="s">
        <v>26375</v>
      </c>
      <c r="Z6624" t="s">
        <v>33039</v>
      </c>
      <c r="AA6624">
        <v>0.4260517523169351</v>
      </c>
      <c r="AB6624" t="str">
        <f>HYPERLINK("Melting_Curves/meltCurve_Q9Y689_2_ARL5A.pdf", "Melting_Curves/meltCurve_Q9Y689_2_ARL5A.pdf")</f>
        <v>Melting_Curves/meltCurve_Q9Y689_2_ARL5A.pdf</v>
      </c>
    </row>
    <row r="6625" spans="1:28" x14ac:dyDescent="0.25">
      <c r="A6625" t="s">
        <v>6629</v>
      </c>
      <c r="B6625">
        <v>0.99193492352474899</v>
      </c>
      <c r="C6625">
        <v>0.97109352856586595</v>
      </c>
      <c r="D6625">
        <v>0.53324645063894205</v>
      </c>
      <c r="E6625">
        <v>0.25308760168133998</v>
      </c>
      <c r="F6625">
        <v>0.151766875028533</v>
      </c>
      <c r="G6625">
        <v>8.8078720092033005E-2</v>
      </c>
      <c r="H6625">
        <v>8.0891948833416896E-2</v>
      </c>
      <c r="I6625">
        <v>0.123380979592759</v>
      </c>
      <c r="J6625">
        <v>0.127638655974291</v>
      </c>
      <c r="K6625">
        <v>0.17922650316265801</v>
      </c>
      <c r="L6625">
        <v>1484.46628396609</v>
      </c>
      <c r="M6625">
        <v>32.270215170555801</v>
      </c>
      <c r="N6625">
        <v>46.428086434513503</v>
      </c>
      <c r="O6625">
        <v>45.825555930590298</v>
      </c>
      <c r="P6625">
        <v>-0.15344733205195901</v>
      </c>
      <c r="Q6625">
        <v>0.12838821946554399</v>
      </c>
      <c r="R6625">
        <v>0.98918404390505299</v>
      </c>
      <c r="S6625" t="s">
        <v>13295</v>
      </c>
      <c r="T6625" t="s">
        <v>13338</v>
      </c>
      <c r="U6625" t="s">
        <v>13338</v>
      </c>
      <c r="V6625" t="s">
        <v>13338</v>
      </c>
      <c r="W6625" t="s">
        <v>19899</v>
      </c>
      <c r="X6625">
        <v>2</v>
      </c>
      <c r="Y6625" t="s">
        <v>26376</v>
      </c>
      <c r="Z6625" t="s">
        <v>33040</v>
      </c>
      <c r="AA6625">
        <v>0.30725568550968058</v>
      </c>
      <c r="AB6625" t="str">
        <f>HYPERLINK("Melting_Curves/meltCurve_Q9Y692_2_GMEB1.pdf", "Melting_Curves/meltCurve_Q9Y692_2_GMEB1.pdf")</f>
        <v>Melting_Curves/meltCurve_Q9Y692_2_GMEB1.pdf</v>
      </c>
    </row>
    <row r="6626" spans="1:28" x14ac:dyDescent="0.25">
      <c r="A6626" t="s">
        <v>6630</v>
      </c>
      <c r="B6626">
        <v>0.99193492352474899</v>
      </c>
      <c r="C6626">
        <v>1.1200293438843101</v>
      </c>
      <c r="D6626">
        <v>0.87915076598942499</v>
      </c>
      <c r="E6626">
        <v>0.93485682069035003</v>
      </c>
      <c r="F6626">
        <v>0.35143785510128001</v>
      </c>
      <c r="G6626">
        <v>0.13531456784002999</v>
      </c>
      <c r="H6626">
        <v>8.2615777673233998E-2</v>
      </c>
      <c r="I6626">
        <v>7.1482099155815798E-2</v>
      </c>
      <c r="J6626">
        <v>7.3850303618846494E-2</v>
      </c>
      <c r="K6626">
        <v>7.5090260488034605E-2</v>
      </c>
      <c r="L6626">
        <v>2324.4114925412</v>
      </c>
      <c r="M6626">
        <v>44.524988634246597</v>
      </c>
      <c r="N6626">
        <v>52.413559262686903</v>
      </c>
      <c r="O6626">
        <v>52.099671574148502</v>
      </c>
      <c r="P6626">
        <v>-0.19628123148533</v>
      </c>
      <c r="Q6626">
        <v>8.1309242696009795E-2</v>
      </c>
      <c r="R6626">
        <v>0.98360640223635998</v>
      </c>
      <c r="S6626" t="s">
        <v>13296</v>
      </c>
      <c r="T6626" t="s">
        <v>13338</v>
      </c>
      <c r="U6626" t="s">
        <v>13338</v>
      </c>
      <c r="V6626" t="s">
        <v>13338</v>
      </c>
      <c r="W6626" t="s">
        <v>19900</v>
      </c>
      <c r="X6626">
        <v>13</v>
      </c>
      <c r="Y6626" t="s">
        <v>26377</v>
      </c>
      <c r="Z6626" t="s">
        <v>33041</v>
      </c>
      <c r="AA6626">
        <v>0.45772350319428401</v>
      </c>
      <c r="AB6626" t="str">
        <f>HYPERLINK("Melting_Curves/meltCurve_Q9Y696_CLIC4.pdf", "Melting_Curves/meltCurve_Q9Y696_CLIC4.pdf")</f>
        <v>Melting_Curves/meltCurve_Q9Y696_CLIC4.pdf</v>
      </c>
    </row>
    <row r="6627" spans="1:28" x14ac:dyDescent="0.25">
      <c r="A6627" t="s">
        <v>6631</v>
      </c>
      <c r="B6627">
        <v>0.99193492352474899</v>
      </c>
      <c r="C6627">
        <v>0.87396226483902095</v>
      </c>
      <c r="D6627">
        <v>0.98659925742523302</v>
      </c>
      <c r="E6627">
        <v>0.75549658842604595</v>
      </c>
      <c r="F6627">
        <v>0.47772785608868401</v>
      </c>
      <c r="G6627">
        <v>0.15919552794272701</v>
      </c>
      <c r="H6627">
        <v>8.4800066478655997E-2</v>
      </c>
      <c r="I6627">
        <v>8.4651183162467503E-2</v>
      </c>
      <c r="J6627">
        <v>9.0280814076381805E-2</v>
      </c>
      <c r="K6627">
        <v>9.2937095290239996E-2</v>
      </c>
      <c r="L6627">
        <v>1178.64651966714</v>
      </c>
      <c r="M6627">
        <v>22.5800785951892</v>
      </c>
      <c r="N6627">
        <v>52.547231189815598</v>
      </c>
      <c r="O6627">
        <v>51.794275366404598</v>
      </c>
      <c r="P6627">
        <v>-0.101407791908959</v>
      </c>
      <c r="Q6627">
        <v>6.9580327112354706E-2</v>
      </c>
      <c r="R6627">
        <v>0.98631852076799698</v>
      </c>
      <c r="S6627" t="s">
        <v>13297</v>
      </c>
      <c r="T6627" t="s">
        <v>13338</v>
      </c>
      <c r="U6627" t="s">
        <v>13338</v>
      </c>
      <c r="V6627" t="s">
        <v>13338</v>
      </c>
      <c r="W6627" t="s">
        <v>19901</v>
      </c>
      <c r="X6627">
        <v>16</v>
      </c>
      <c r="Y6627" t="s">
        <v>26378</v>
      </c>
      <c r="Z6627" t="s">
        <v>33042</v>
      </c>
      <c r="AA6627">
        <v>0.45822004790958282</v>
      </c>
      <c r="AB6627" t="str">
        <f>HYPERLINK("Melting_Curves/meltCurve_Q9Y697_2_NFS1.pdf", "Melting_Curves/meltCurve_Q9Y697_2_NFS1.pdf")</f>
        <v>Melting_Curves/meltCurve_Q9Y697_2_NFS1.pdf</v>
      </c>
    </row>
    <row r="6628" spans="1:28" x14ac:dyDescent="0.25">
      <c r="A6628" t="s">
        <v>6632</v>
      </c>
      <c r="B6628">
        <v>0.99193492352474899</v>
      </c>
      <c r="C6628">
        <v>0.68155928725213699</v>
      </c>
      <c r="D6628">
        <v>0.74572147385438103</v>
      </c>
      <c r="E6628">
        <v>0.29937450113359099</v>
      </c>
      <c r="F6628">
        <v>0.21431484966541101</v>
      </c>
      <c r="G6628">
        <v>0.10484850280429001</v>
      </c>
      <c r="H6628">
        <v>6.9041619278920496E-2</v>
      </c>
      <c r="I6628">
        <v>4.1254046498659498E-2</v>
      </c>
      <c r="J6628">
        <v>4.0939977813367202E-2</v>
      </c>
      <c r="K6628">
        <v>3.4115302632242099E-2</v>
      </c>
      <c r="L6628">
        <v>656.696721810893</v>
      </c>
      <c r="M6628">
        <v>13.830653715662899</v>
      </c>
      <c r="N6628">
        <v>47.6142054172972</v>
      </c>
      <c r="O6628">
        <v>46.521646984158998</v>
      </c>
      <c r="P6628">
        <v>-7.29261195801265E-2</v>
      </c>
      <c r="Q6628">
        <v>1.8940944065745698E-2</v>
      </c>
      <c r="R6628">
        <v>0.96085470210537405</v>
      </c>
      <c r="S6628" t="s">
        <v>13298</v>
      </c>
      <c r="T6628" t="s">
        <v>13338</v>
      </c>
      <c r="U6628" t="s">
        <v>13338</v>
      </c>
      <c r="V6628" t="s">
        <v>13338</v>
      </c>
      <c r="W6628" t="s">
        <v>19902</v>
      </c>
      <c r="X6628">
        <v>7</v>
      </c>
      <c r="Y6628" t="s">
        <v>26379</v>
      </c>
      <c r="Z6628" t="s">
        <v>33043</v>
      </c>
      <c r="AA6628">
        <v>0.29404962623041991</v>
      </c>
      <c r="AB6628" t="str">
        <f>HYPERLINK("Melting_Curves/meltCurve_Q9Y6A4_C16orf80.pdf", "Melting_Curves/meltCurve_Q9Y6A4_C16orf80.pdf")</f>
        <v>Melting_Curves/meltCurve_Q9Y6A4_C16orf80.pdf</v>
      </c>
    </row>
    <row r="6629" spans="1:28" x14ac:dyDescent="0.25">
      <c r="A6629" t="s">
        <v>6633</v>
      </c>
      <c r="B6629">
        <v>0.99193492352474899</v>
      </c>
      <c r="C6629">
        <v>0.90301824735686897</v>
      </c>
      <c r="D6629">
        <v>0.81897426985102995</v>
      </c>
      <c r="E6629">
        <v>0.52661387157674</v>
      </c>
      <c r="F6629">
        <v>0.35990757932933198</v>
      </c>
      <c r="G6629">
        <v>0.25930665435138001</v>
      </c>
      <c r="H6629">
        <v>0.23418143149823401</v>
      </c>
      <c r="I6629">
        <v>0.36686650879974803</v>
      </c>
      <c r="J6629">
        <v>0.43901035017693901</v>
      </c>
      <c r="K6629">
        <v>0.70196728522378005</v>
      </c>
      <c r="L6629">
        <v>1397.1913975290199</v>
      </c>
      <c r="M6629">
        <v>29.624645370712098</v>
      </c>
      <c r="N6629">
        <v>49.744969838234503</v>
      </c>
      <c r="O6629">
        <v>46.949789748664003</v>
      </c>
      <c r="P6629">
        <v>-9.5824248078309499E-2</v>
      </c>
      <c r="Q6629">
        <v>0.39254648633758599</v>
      </c>
      <c r="R6629">
        <v>0.77900077928377698</v>
      </c>
      <c r="S6629" t="s">
        <v>13299</v>
      </c>
      <c r="T6629" t="s">
        <v>13338</v>
      </c>
      <c r="U6629" t="s">
        <v>13338</v>
      </c>
      <c r="V6629" t="s">
        <v>13338</v>
      </c>
      <c r="W6629" t="s">
        <v>19903</v>
      </c>
      <c r="X6629">
        <v>29</v>
      </c>
      <c r="Y6629" t="s">
        <v>26380</v>
      </c>
      <c r="Z6629" t="s">
        <v>33044</v>
      </c>
      <c r="AA6629">
        <v>0.54133116107206192</v>
      </c>
      <c r="AB6629" t="str">
        <f>HYPERLINK("Melting_Curves/meltCurve_Q9Y6A5_TACC3.pdf", "Melting_Curves/meltCurve_Q9Y6A5_TACC3.pdf")</f>
        <v>Melting_Curves/meltCurve_Q9Y6A5_TACC3.pdf</v>
      </c>
    </row>
    <row r="6630" spans="1:28" x14ac:dyDescent="0.25">
      <c r="A6630" t="s">
        <v>6634</v>
      </c>
      <c r="B6630">
        <v>0.99193492352474899</v>
      </c>
      <c r="C6630">
        <v>0.92949787181832499</v>
      </c>
      <c r="D6630">
        <v>1.01121692386683</v>
      </c>
      <c r="E6630">
        <v>0.89949989496799398</v>
      </c>
      <c r="F6630">
        <v>0.70802367185172499</v>
      </c>
      <c r="G6630">
        <v>0.30122179836518498</v>
      </c>
      <c r="H6630">
        <v>9.7883345727136806E-2</v>
      </c>
      <c r="I6630">
        <v>8.8184211760513997E-2</v>
      </c>
      <c r="J6630">
        <v>6.0936872635798597E-2</v>
      </c>
      <c r="K6630">
        <v>0.12628472656804501</v>
      </c>
      <c r="L6630">
        <v>1526.5656400274299</v>
      </c>
      <c r="M6630">
        <v>28.012296315389499</v>
      </c>
      <c r="N6630">
        <v>54.824869192311297</v>
      </c>
      <c r="O6630">
        <v>54.220799591334497</v>
      </c>
      <c r="P6630">
        <v>-0.11917822767132</v>
      </c>
      <c r="Q6630">
        <v>7.7278853300209199E-2</v>
      </c>
      <c r="R6630">
        <v>0.99302796385736603</v>
      </c>
      <c r="S6630" t="s">
        <v>13300</v>
      </c>
      <c r="T6630" t="s">
        <v>13338</v>
      </c>
      <c r="U6630" t="s">
        <v>13338</v>
      </c>
      <c r="V6630" t="s">
        <v>13338</v>
      </c>
      <c r="W6630" t="s">
        <v>19904</v>
      </c>
      <c r="X6630">
        <v>6</v>
      </c>
      <c r="Y6630" t="s">
        <v>26381</v>
      </c>
      <c r="Z6630" t="s">
        <v>33045</v>
      </c>
      <c r="AA6630">
        <v>0.53008296948341049</v>
      </c>
      <c r="AB6630" t="str">
        <f>HYPERLINK("Melting_Curves/meltCurve_Q9Y6B6_SAR1B.pdf", "Melting_Curves/meltCurve_Q9Y6B6_SAR1B.pdf")</f>
        <v>Melting_Curves/meltCurve_Q9Y6B6_SAR1B.pdf</v>
      </c>
    </row>
    <row r="6631" spans="1:28" x14ac:dyDescent="0.25">
      <c r="A6631" t="s">
        <v>6635</v>
      </c>
      <c r="B6631">
        <v>0.99193492352474899</v>
      </c>
      <c r="C6631">
        <v>0.86027070359195701</v>
      </c>
      <c r="D6631">
        <v>0.78821930821235597</v>
      </c>
      <c r="E6631">
        <v>0.30632536205361599</v>
      </c>
      <c r="F6631">
        <v>0.22672224645164901</v>
      </c>
      <c r="G6631">
        <v>0.11566027304547</v>
      </c>
      <c r="H6631">
        <v>6.9155296924638204E-2</v>
      </c>
      <c r="I6631">
        <v>9.2676725497572499E-2</v>
      </c>
      <c r="J6631">
        <v>9.9444538411573302E-2</v>
      </c>
      <c r="K6631">
        <v>0.103601960802795</v>
      </c>
      <c r="L6631">
        <v>1076.27016542858</v>
      </c>
      <c r="M6631">
        <v>22.555198711149</v>
      </c>
      <c r="N6631">
        <v>48.157503759200601</v>
      </c>
      <c r="O6631">
        <v>47.346836678803001</v>
      </c>
      <c r="P6631">
        <v>-0.10800042645742</v>
      </c>
      <c r="Q6631">
        <v>9.31803723072792E-2</v>
      </c>
      <c r="R6631">
        <v>0.98649315259734804</v>
      </c>
      <c r="S6631" t="s">
        <v>13301</v>
      </c>
      <c r="T6631" t="s">
        <v>13338</v>
      </c>
      <c r="U6631" t="s">
        <v>13338</v>
      </c>
      <c r="V6631" t="s">
        <v>13338</v>
      </c>
      <c r="W6631" t="s">
        <v>19905</v>
      </c>
      <c r="X6631">
        <v>4</v>
      </c>
      <c r="Y6631" t="s">
        <v>26382</v>
      </c>
      <c r="Z6631" t="s">
        <v>33046</v>
      </c>
      <c r="AA6631">
        <v>0.33646254364769029</v>
      </c>
      <c r="AB6631" t="str">
        <f>HYPERLINK("Melting_Curves/meltCurve_Q9Y6B7_AP4B1.pdf", "Melting_Curves/meltCurve_Q9Y6B7_AP4B1.pdf")</f>
        <v>Melting_Curves/meltCurve_Q9Y6B7_AP4B1.pdf</v>
      </c>
    </row>
    <row r="6632" spans="1:28" x14ac:dyDescent="0.25">
      <c r="A6632" t="s">
        <v>6636</v>
      </c>
      <c r="B6632">
        <v>0.99193492352474899</v>
      </c>
      <c r="C6632">
        <v>1.04577713727527</v>
      </c>
      <c r="D6632">
        <v>1.0390547621481701</v>
      </c>
      <c r="E6632">
        <v>0.81029581566213704</v>
      </c>
      <c r="F6632">
        <v>0.56407350961851999</v>
      </c>
      <c r="G6632">
        <v>0.31312322165572798</v>
      </c>
      <c r="H6632">
        <v>0.17835936771201299</v>
      </c>
      <c r="I6632">
        <v>0.187099746283171</v>
      </c>
      <c r="J6632">
        <v>0.16809761702153</v>
      </c>
      <c r="K6632">
        <v>0.12693231606775701</v>
      </c>
      <c r="L6632">
        <v>1166.8266740552299</v>
      </c>
      <c r="M6632">
        <v>22.015819049358502</v>
      </c>
      <c r="N6632">
        <v>53.851196152763599</v>
      </c>
      <c r="O6632">
        <v>52.568006740007597</v>
      </c>
      <c r="P6632">
        <v>-8.9309606765867605E-2</v>
      </c>
      <c r="Q6632">
        <v>0.14702724490073199</v>
      </c>
      <c r="R6632">
        <v>0.99281344886061895</v>
      </c>
      <c r="S6632" t="s">
        <v>13302</v>
      </c>
      <c r="T6632" t="s">
        <v>13338</v>
      </c>
      <c r="U6632" t="s">
        <v>13338</v>
      </c>
      <c r="V6632" t="s">
        <v>13338</v>
      </c>
      <c r="W6632" t="s">
        <v>19906</v>
      </c>
      <c r="X6632">
        <v>7</v>
      </c>
      <c r="Y6632" t="s">
        <v>20468</v>
      </c>
      <c r="Z6632" t="s">
        <v>33047</v>
      </c>
      <c r="AA6632">
        <v>0.52655116555919579</v>
      </c>
      <c r="AB6632" t="str">
        <f>HYPERLINK("Melting_Curves/meltCurve_Q9Y6C9_MTCH2.pdf", "Melting_Curves/meltCurve_Q9Y6C9_MTCH2.pdf")</f>
        <v>Melting_Curves/meltCurve_Q9Y6C9_MTCH2.pdf</v>
      </c>
    </row>
    <row r="6633" spans="1:28" x14ac:dyDescent="0.25">
      <c r="A6633" t="s">
        <v>6637</v>
      </c>
      <c r="B6633">
        <v>0.99193492352474899</v>
      </c>
      <c r="C6633">
        <v>1.10380868126954</v>
      </c>
      <c r="D6633">
        <v>1.02701070920723</v>
      </c>
      <c r="E6633">
        <v>0.54915828235783903</v>
      </c>
      <c r="F6633">
        <v>0.20691792137864101</v>
      </c>
      <c r="G6633">
        <v>0.12693687307345899</v>
      </c>
      <c r="H6633">
        <v>8.5266580579467996E-2</v>
      </c>
      <c r="I6633">
        <v>8.49839282021463E-2</v>
      </c>
      <c r="J6633">
        <v>0.113809727954217</v>
      </c>
      <c r="K6633">
        <v>5.8262049671622101E-2</v>
      </c>
      <c r="L6633">
        <v>1965.51864118298</v>
      </c>
      <c r="M6633">
        <v>39.5293390915663</v>
      </c>
      <c r="N6633">
        <v>50.002285295555097</v>
      </c>
      <c r="O6633">
        <v>49.5962961939168</v>
      </c>
      <c r="P6633">
        <v>-0.17952037608784699</v>
      </c>
      <c r="Q6633">
        <v>9.9046409934334598E-2</v>
      </c>
      <c r="R6633">
        <v>0.988441774025131</v>
      </c>
      <c r="S6633" t="s">
        <v>13303</v>
      </c>
      <c r="T6633" t="s">
        <v>13338</v>
      </c>
      <c r="U6633" t="s">
        <v>13338</v>
      </c>
      <c r="V6633" t="s">
        <v>13338</v>
      </c>
      <c r="W6633" t="s">
        <v>19907</v>
      </c>
      <c r="X6633">
        <v>12</v>
      </c>
      <c r="Y6633" t="s">
        <v>26383</v>
      </c>
      <c r="Z6633" t="s">
        <v>33048</v>
      </c>
      <c r="AA6633">
        <v>0.3942195306760784</v>
      </c>
      <c r="AB6633" t="str">
        <f>HYPERLINK("Melting_Curves/meltCurve_Q9Y6D6_ARFGEF1.pdf", "Melting_Curves/meltCurve_Q9Y6D6_ARFGEF1.pdf")</f>
        <v>Melting_Curves/meltCurve_Q9Y6D6_ARFGEF1.pdf</v>
      </c>
    </row>
    <row r="6634" spans="1:28" x14ac:dyDescent="0.25">
      <c r="A6634" t="s">
        <v>6638</v>
      </c>
      <c r="B6634">
        <v>0.99193492352474899</v>
      </c>
      <c r="C6634">
        <v>0.77942907023138397</v>
      </c>
      <c r="D6634">
        <v>0.52345514530064496</v>
      </c>
      <c r="E6634">
        <v>0.201367271954112</v>
      </c>
      <c r="F6634">
        <v>0.149502970473879</v>
      </c>
      <c r="G6634">
        <v>9.0018827335280202E-2</v>
      </c>
      <c r="H6634">
        <v>6.4761541005229295E-2</v>
      </c>
      <c r="I6634">
        <v>7.4047917919626505E-2</v>
      </c>
      <c r="J6634">
        <v>9.09782595384067E-2</v>
      </c>
      <c r="K6634">
        <v>8.0132867683911799E-2</v>
      </c>
      <c r="L6634">
        <v>955.10195334882701</v>
      </c>
      <c r="M6634">
        <v>20.9198262575316</v>
      </c>
      <c r="N6634">
        <v>46.027078586448503</v>
      </c>
      <c r="O6634">
        <v>45.2443080193285</v>
      </c>
      <c r="P6634">
        <v>-0.106611583036234</v>
      </c>
      <c r="Q6634">
        <v>7.7729271904285399E-2</v>
      </c>
      <c r="R6634">
        <v>0.995664320278976</v>
      </c>
      <c r="S6634" t="s">
        <v>13304</v>
      </c>
      <c r="T6634" t="s">
        <v>13338</v>
      </c>
      <c r="U6634" t="s">
        <v>13338</v>
      </c>
      <c r="V6634" t="s">
        <v>13338</v>
      </c>
      <c r="W6634" t="s">
        <v>19908</v>
      </c>
      <c r="X6634">
        <v>14</v>
      </c>
      <c r="Y6634" t="s">
        <v>26384</v>
      </c>
      <c r="Z6634" t="s">
        <v>33049</v>
      </c>
      <c r="AA6634">
        <v>0.26477990535493479</v>
      </c>
      <c r="AB6634" t="str">
        <f>HYPERLINK("Melting_Curves/meltCurve_Q9Y6D9_MAD1L1.pdf", "Melting_Curves/meltCurve_Q9Y6D9_MAD1L1.pdf")</f>
        <v>Melting_Curves/meltCurve_Q9Y6D9_MAD1L1.pdf</v>
      </c>
    </row>
    <row r="6635" spans="1:28" x14ac:dyDescent="0.25">
      <c r="A6635" t="s">
        <v>6639</v>
      </c>
      <c r="B6635">
        <v>0.99193492352474899</v>
      </c>
      <c r="C6635">
        <v>0.79029919270861004</v>
      </c>
      <c r="D6635">
        <v>0.90439310227062297</v>
      </c>
      <c r="E6635">
        <v>0.64592686549239098</v>
      </c>
      <c r="F6635">
        <v>0.38065754243424799</v>
      </c>
      <c r="G6635">
        <v>0.16300582961569501</v>
      </c>
      <c r="H6635">
        <v>7.3410885965936507E-2</v>
      </c>
      <c r="I6635">
        <v>8.2344956665449998E-2</v>
      </c>
      <c r="J6635">
        <v>9.0028207978101002E-2</v>
      </c>
      <c r="K6635">
        <v>8.8978338883990399E-2</v>
      </c>
      <c r="L6635">
        <v>821.13483975748704</v>
      </c>
      <c r="M6635">
        <v>16.120362454265901</v>
      </c>
      <c r="N6635">
        <v>51.259218802002501</v>
      </c>
      <c r="O6635">
        <v>50.1732175981194</v>
      </c>
      <c r="P6635">
        <v>-7.6467489099422095E-2</v>
      </c>
      <c r="Q6635">
        <v>4.8079024799705897E-2</v>
      </c>
      <c r="R6635">
        <v>0.97282018860186403</v>
      </c>
      <c r="S6635" t="s">
        <v>13305</v>
      </c>
      <c r="T6635" t="s">
        <v>13338</v>
      </c>
      <c r="U6635" t="s">
        <v>13338</v>
      </c>
      <c r="V6635" t="s">
        <v>13338</v>
      </c>
      <c r="W6635" t="s">
        <v>19909</v>
      </c>
      <c r="X6635">
        <v>21</v>
      </c>
      <c r="Y6635" t="s">
        <v>26385</v>
      </c>
      <c r="Z6635" t="s">
        <v>33050</v>
      </c>
      <c r="AA6635">
        <v>0.41464810935380231</v>
      </c>
      <c r="AB6635" t="str">
        <f>HYPERLINK("Melting_Curves/meltCurve_Q9Y6E0_2_STK24.pdf", "Melting_Curves/meltCurve_Q9Y6E0_2_STK24.pdf")</f>
        <v>Melting_Curves/meltCurve_Q9Y6E0_2_STK24.pdf</v>
      </c>
    </row>
    <row r="6636" spans="1:28" x14ac:dyDescent="0.25">
      <c r="A6636" t="s">
        <v>6640</v>
      </c>
      <c r="B6636">
        <v>0.99193492352474899</v>
      </c>
      <c r="C6636">
        <v>0.69770541020434196</v>
      </c>
      <c r="D6636">
        <v>0.79017563839002203</v>
      </c>
      <c r="E6636">
        <v>0.56080832351646204</v>
      </c>
      <c r="F6636">
        <v>0.36715007689337797</v>
      </c>
      <c r="G6636">
        <v>0.168131161879533</v>
      </c>
      <c r="H6636">
        <v>9.7541099672716597E-2</v>
      </c>
      <c r="I6636">
        <v>0.10188079840811699</v>
      </c>
      <c r="J6636">
        <v>9.6512135252885004E-2</v>
      </c>
      <c r="K6636">
        <v>0.116475499886806</v>
      </c>
      <c r="L6636">
        <v>547.28094534150205</v>
      </c>
      <c r="M6636">
        <v>11.0053129105168</v>
      </c>
      <c r="N6636">
        <v>50.007447920655999</v>
      </c>
      <c r="O6636">
        <v>48.171486476254202</v>
      </c>
      <c r="P6636">
        <v>-5.5435291891420803E-2</v>
      </c>
      <c r="Q6636">
        <v>2.9740862282891301E-2</v>
      </c>
      <c r="R6636">
        <v>0.95756910170353304</v>
      </c>
      <c r="S6636" t="s">
        <v>13306</v>
      </c>
      <c r="T6636" t="s">
        <v>13338</v>
      </c>
      <c r="U6636" t="s">
        <v>13338</v>
      </c>
      <c r="V6636" t="s">
        <v>13338</v>
      </c>
      <c r="W6636" t="s">
        <v>19910</v>
      </c>
      <c r="X6636">
        <v>19</v>
      </c>
      <c r="Y6636" t="s">
        <v>26386</v>
      </c>
      <c r="Z6636" t="s">
        <v>33051</v>
      </c>
      <c r="AA6636">
        <v>0.38340824686442693</v>
      </c>
      <c r="AB6636" t="str">
        <f>HYPERLINK("Melting_Curves/meltCurve_Q9Y6G9_DYNC1LI1.pdf", "Melting_Curves/meltCurve_Q9Y6G9_DYNC1LI1.pdf")</f>
        <v>Melting_Curves/meltCurve_Q9Y6G9_DYNC1LI1.pdf</v>
      </c>
    </row>
    <row r="6637" spans="1:28" x14ac:dyDescent="0.25">
      <c r="A6637" t="s">
        <v>6641</v>
      </c>
      <c r="B6637">
        <v>0.99193492352474899</v>
      </c>
      <c r="C6637">
        <v>1.0037705589216399</v>
      </c>
      <c r="D6637">
        <v>0.98207542861421404</v>
      </c>
      <c r="E6637">
        <v>0.82864898399540399</v>
      </c>
      <c r="F6637">
        <v>0.79950800479321704</v>
      </c>
      <c r="G6637">
        <v>0.51554291598996105</v>
      </c>
      <c r="H6637">
        <v>0.56305644980837299</v>
      </c>
      <c r="I6637">
        <v>0.69534283646907102</v>
      </c>
      <c r="J6637">
        <v>0.94723541306964298</v>
      </c>
      <c r="K6637">
        <v>1.2404914333028501</v>
      </c>
      <c r="L6637">
        <v>2584.2163393256401</v>
      </c>
      <c r="M6637">
        <v>53.724485295559802</v>
      </c>
      <c r="O6637">
        <v>48.0347636000375</v>
      </c>
      <c r="P6637">
        <v>-5.77483503057774E-2</v>
      </c>
      <c r="Q6637">
        <v>0.79347019133893704</v>
      </c>
      <c r="R6637">
        <v>0.18083761575774299</v>
      </c>
      <c r="S6637" t="s">
        <v>13307</v>
      </c>
      <c r="T6637" t="s">
        <v>13338</v>
      </c>
      <c r="U6637" t="s">
        <v>13338</v>
      </c>
      <c r="V6637" t="s">
        <v>13338</v>
      </c>
      <c r="W6637" t="s">
        <v>19911</v>
      </c>
      <c r="X6637">
        <v>5</v>
      </c>
      <c r="Y6637" t="s">
        <v>26387</v>
      </c>
      <c r="Z6637" t="s">
        <v>33052</v>
      </c>
      <c r="AA6637">
        <v>0.84962137729798748</v>
      </c>
      <c r="AB6637" t="str">
        <f>HYPERLINK("Melting_Curves/meltCurve_Q9Y6H1_CHCHD2.pdf", "Melting_Curves/meltCurve_Q9Y6H1_CHCHD2.pdf")</f>
        <v>Melting_Curves/meltCurve_Q9Y6H1_CHCHD2.pdf</v>
      </c>
    </row>
    <row r="6638" spans="1:28" x14ac:dyDescent="0.25">
      <c r="A6638" t="s">
        <v>6642</v>
      </c>
      <c r="B6638">
        <v>0.99193492352474899</v>
      </c>
      <c r="C6638">
        <v>0.85512978483787605</v>
      </c>
      <c r="D6638">
        <v>0.90287188366372495</v>
      </c>
      <c r="E6638">
        <v>0.51629308229332405</v>
      </c>
      <c r="F6638">
        <v>0.316491473675861</v>
      </c>
      <c r="G6638">
        <v>0.179059991077861</v>
      </c>
      <c r="H6638">
        <v>0.12227051267507</v>
      </c>
      <c r="I6638">
        <v>0.11439944059642999</v>
      </c>
      <c r="J6638">
        <v>0.165948705217252</v>
      </c>
      <c r="K6638">
        <v>0.20600798341568</v>
      </c>
      <c r="L6638">
        <v>1045.98673451066</v>
      </c>
      <c r="M6638">
        <v>21.235724015769399</v>
      </c>
      <c r="N6638">
        <v>50.067620597756097</v>
      </c>
      <c r="O6638">
        <v>48.8254517711744</v>
      </c>
      <c r="P6638">
        <v>-9.2901512160727201E-2</v>
      </c>
      <c r="Q6638">
        <v>0.14562063687348401</v>
      </c>
      <c r="R6638">
        <v>0.97897008205777303</v>
      </c>
      <c r="S6638" t="s">
        <v>13308</v>
      </c>
      <c r="T6638" t="s">
        <v>13338</v>
      </c>
      <c r="U6638" t="s">
        <v>13338</v>
      </c>
      <c r="V6638" t="s">
        <v>13338</v>
      </c>
      <c r="W6638" t="s">
        <v>19912</v>
      </c>
      <c r="X6638">
        <v>2</v>
      </c>
      <c r="Y6638" t="s">
        <v>26388</v>
      </c>
      <c r="Z6638" t="s">
        <v>33053</v>
      </c>
      <c r="AA6638">
        <v>0.41980534786947449</v>
      </c>
      <c r="AB6638" t="str">
        <f>HYPERLINK("Melting_Curves/meltCurve_Q9Y6H3_XRCC6BP1.pdf", "Melting_Curves/meltCurve_Q9Y6H3_XRCC6BP1.pdf")</f>
        <v>Melting_Curves/meltCurve_Q9Y6H3_XRCC6BP1.pdf</v>
      </c>
    </row>
    <row r="6639" spans="1:28" x14ac:dyDescent="0.25">
      <c r="A6639" t="s">
        <v>6643</v>
      </c>
      <c r="B6639">
        <v>0.99193492352474899</v>
      </c>
      <c r="C6639">
        <v>0.76400728220191505</v>
      </c>
      <c r="D6639">
        <v>0.87920616518598205</v>
      </c>
      <c r="E6639">
        <v>0.38669827312808802</v>
      </c>
      <c r="F6639">
        <v>0.18732043120769001</v>
      </c>
      <c r="G6639">
        <v>0.126752139214448</v>
      </c>
      <c r="H6639">
        <v>8.9094325963001098E-2</v>
      </c>
      <c r="I6639">
        <v>0.11688035249069199</v>
      </c>
      <c r="J6639">
        <v>0.13140739245425201</v>
      </c>
      <c r="K6639">
        <v>0.216438630411842</v>
      </c>
      <c r="L6639">
        <v>1243.78402862044</v>
      </c>
      <c r="M6639">
        <v>25.8245709214046</v>
      </c>
      <c r="N6639">
        <v>48.723864233843003</v>
      </c>
      <c r="O6639">
        <v>47.876798972028602</v>
      </c>
      <c r="P6639">
        <v>-0.117507420657566</v>
      </c>
      <c r="Q6639">
        <v>0.12861088641136401</v>
      </c>
      <c r="R6639">
        <v>0.94864270106624204</v>
      </c>
      <c r="S6639" t="s">
        <v>13309</v>
      </c>
      <c r="T6639" t="s">
        <v>13338</v>
      </c>
      <c r="U6639" t="s">
        <v>13338</v>
      </c>
      <c r="V6639" t="s">
        <v>13338</v>
      </c>
      <c r="W6639" t="s">
        <v>19913</v>
      </c>
      <c r="X6639">
        <v>10</v>
      </c>
      <c r="Y6639" t="s">
        <v>26389</v>
      </c>
      <c r="Z6639" t="s">
        <v>33054</v>
      </c>
      <c r="AA6639">
        <v>0.37290100032276502</v>
      </c>
      <c r="AB6639" t="str">
        <f>HYPERLINK("Melting_Curves/meltCurve_Q9Y6I3_EPN1.pdf", "Melting_Curves/meltCurve_Q9Y6I3_EPN1.pdf")</f>
        <v>Melting_Curves/meltCurve_Q9Y6I3_EPN1.pdf</v>
      </c>
    </row>
    <row r="6640" spans="1:28" x14ac:dyDescent="0.25">
      <c r="A6640" t="s">
        <v>6644</v>
      </c>
      <c r="B6640">
        <v>0.99193492352474899</v>
      </c>
      <c r="C6640">
        <v>0.94624989590706499</v>
      </c>
      <c r="D6640">
        <v>0.67297035412824102</v>
      </c>
      <c r="E6640">
        <v>0.46018981045229301</v>
      </c>
      <c r="F6640">
        <v>0.20054746052940001</v>
      </c>
      <c r="G6640">
        <v>0.11115804112583499</v>
      </c>
      <c r="H6640">
        <v>6.0126529477729E-2</v>
      </c>
      <c r="I6640">
        <v>7.07500956854413E-2</v>
      </c>
      <c r="J6640">
        <v>7.5116903822255499E-2</v>
      </c>
      <c r="K6640">
        <v>0.101764744781649</v>
      </c>
      <c r="L6640">
        <v>870.02660712377997</v>
      </c>
      <c r="M6640">
        <v>18.040730906935099</v>
      </c>
      <c r="N6640">
        <v>48.602592376070596</v>
      </c>
      <c r="O6640">
        <v>47.644852522009302</v>
      </c>
      <c r="P6640">
        <v>-8.8487550896141201E-2</v>
      </c>
      <c r="Q6640">
        <v>6.5277306448332503E-2</v>
      </c>
      <c r="R6640">
        <v>0.99359476728969698</v>
      </c>
      <c r="S6640" t="s">
        <v>13310</v>
      </c>
      <c r="T6640" t="s">
        <v>13338</v>
      </c>
      <c r="U6640" t="s">
        <v>13338</v>
      </c>
      <c r="V6640" t="s">
        <v>13338</v>
      </c>
      <c r="W6640" t="s">
        <v>19914</v>
      </c>
      <c r="X6640">
        <v>9</v>
      </c>
      <c r="Y6640" t="s">
        <v>26390</v>
      </c>
      <c r="Z6640" t="s">
        <v>33055</v>
      </c>
      <c r="AA6640">
        <v>0.33796882061389799</v>
      </c>
      <c r="AB6640" t="str">
        <f>HYPERLINK("Melting_Curves/meltCurve_Q9Y6I9_TEX264.pdf", "Melting_Curves/meltCurve_Q9Y6I9_TEX264.pdf")</f>
        <v>Melting_Curves/meltCurve_Q9Y6I9_TEX264.pdf</v>
      </c>
    </row>
    <row r="6641" spans="1:28" x14ac:dyDescent="0.25">
      <c r="A6641" t="s">
        <v>6645</v>
      </c>
      <c r="B6641">
        <v>0.99193492352474899</v>
      </c>
      <c r="C6641">
        <v>0.63418367137824405</v>
      </c>
      <c r="D6641">
        <v>0.62432360365467499</v>
      </c>
      <c r="E6641">
        <v>0.44823042279063602</v>
      </c>
      <c r="F6641">
        <v>0.37377093862391803</v>
      </c>
      <c r="G6641">
        <v>0.22597343881044299</v>
      </c>
      <c r="H6641">
        <v>0.167137963706569</v>
      </c>
      <c r="I6641">
        <v>0.18001994572432301</v>
      </c>
      <c r="J6641">
        <v>0.200883207525442</v>
      </c>
      <c r="K6641">
        <v>0.192666925214456</v>
      </c>
      <c r="L6641">
        <v>513.28661392901301</v>
      </c>
      <c r="M6641">
        <v>11.043632502337401</v>
      </c>
      <c r="N6641">
        <v>48.077801246201602</v>
      </c>
      <c r="O6641">
        <v>45.032094198160003</v>
      </c>
      <c r="P6641">
        <v>-5.1900246800412497E-2</v>
      </c>
      <c r="Q6641">
        <v>0.15375606334928499</v>
      </c>
      <c r="R6641">
        <v>0.947295486737188</v>
      </c>
      <c r="S6641" t="s">
        <v>13311</v>
      </c>
      <c r="T6641" t="s">
        <v>13338</v>
      </c>
      <c r="U6641" t="s">
        <v>13338</v>
      </c>
      <c r="V6641" t="s">
        <v>13338</v>
      </c>
      <c r="W6641" t="s">
        <v>19915</v>
      </c>
      <c r="X6641">
        <v>6</v>
      </c>
      <c r="Y6641" t="s">
        <v>26391</v>
      </c>
      <c r="Z6641" t="s">
        <v>33056</v>
      </c>
      <c r="AA6641">
        <v>0.37945662307784839</v>
      </c>
      <c r="AB6641" t="str">
        <f>HYPERLINK("Melting_Curves/meltCurve_Q9Y6K1_DNMT3A.pdf", "Melting_Curves/meltCurve_Q9Y6K1_DNMT3A.pdf")</f>
        <v>Melting_Curves/meltCurve_Q9Y6K1_DNMT3A.pdf</v>
      </c>
    </row>
    <row r="6642" spans="1:28" x14ac:dyDescent="0.25">
      <c r="A6642" t="s">
        <v>6646</v>
      </c>
      <c r="B6642">
        <v>0.99193492352474899</v>
      </c>
      <c r="C6642">
        <v>0.72444138755156695</v>
      </c>
      <c r="D6642">
        <v>0.88856658110641595</v>
      </c>
      <c r="E6642">
        <v>0.49494370501566898</v>
      </c>
      <c r="F6642">
        <v>0.289255740414817</v>
      </c>
      <c r="G6642">
        <v>0.17196304888821901</v>
      </c>
      <c r="H6642">
        <v>8.2134703044090707E-2</v>
      </c>
      <c r="I6642">
        <v>8.1386739029231395E-2</v>
      </c>
      <c r="J6642">
        <v>9.0472681844664102E-2</v>
      </c>
      <c r="K6642">
        <v>9.9047690287404302E-2</v>
      </c>
      <c r="L6642">
        <v>717.23389954657</v>
      </c>
      <c r="M6642">
        <v>14.5221299551828</v>
      </c>
      <c r="N6642">
        <v>49.791223125201903</v>
      </c>
      <c r="O6642">
        <v>48.480839500989703</v>
      </c>
      <c r="P6642">
        <v>-7.0749652464401194E-2</v>
      </c>
      <c r="Q6642">
        <v>5.5342620933870101E-2</v>
      </c>
      <c r="R6642">
        <v>0.95425696015694805</v>
      </c>
      <c r="S6642" t="s">
        <v>13312</v>
      </c>
      <c r="T6642" t="s">
        <v>13338</v>
      </c>
      <c r="U6642" t="s">
        <v>13338</v>
      </c>
      <c r="V6642" t="s">
        <v>13338</v>
      </c>
      <c r="W6642" t="s">
        <v>19916</v>
      </c>
      <c r="X6642">
        <v>5</v>
      </c>
      <c r="Y6642" t="s">
        <v>26392</v>
      </c>
      <c r="Z6642" t="s">
        <v>33057</v>
      </c>
      <c r="AA6642">
        <v>0.3753809522965797</v>
      </c>
      <c r="AB6642" t="str">
        <f>HYPERLINK("Melting_Curves/meltCurve_Q9Y6K5_OAS3.pdf", "Melting_Curves/meltCurve_Q9Y6K5_OAS3.pdf")</f>
        <v>Melting_Curves/meltCurve_Q9Y6K5_OAS3.pdf</v>
      </c>
    </row>
    <row r="6643" spans="1:28" x14ac:dyDescent="0.25">
      <c r="A6643" t="s">
        <v>6647</v>
      </c>
      <c r="B6643">
        <v>0.99193492352474899</v>
      </c>
      <c r="C6643">
        <v>1.09294468085701</v>
      </c>
      <c r="D6643">
        <v>0.69110892119016198</v>
      </c>
      <c r="E6643">
        <v>0.47690167249837001</v>
      </c>
      <c r="F6643">
        <v>0.44210276181151897</v>
      </c>
      <c r="G6643">
        <v>0.432404339190123</v>
      </c>
      <c r="H6643">
        <v>0.36807832097436699</v>
      </c>
      <c r="I6643">
        <v>0.52251177506149704</v>
      </c>
      <c r="J6643">
        <v>0.62619382445093297</v>
      </c>
      <c r="K6643">
        <v>0.93350653065810296</v>
      </c>
      <c r="L6643">
        <v>11466.1570967672</v>
      </c>
      <c r="M6643">
        <v>250</v>
      </c>
      <c r="O6643">
        <v>45.861693522813603</v>
      </c>
      <c r="P6643">
        <v>-0.62266032818620698</v>
      </c>
      <c r="Q6643">
        <v>0.54309988796522002</v>
      </c>
      <c r="R6643">
        <v>0.630498606193447</v>
      </c>
      <c r="S6643" t="s">
        <v>13313</v>
      </c>
      <c r="T6643" t="s">
        <v>13338</v>
      </c>
      <c r="U6643" t="s">
        <v>13338</v>
      </c>
      <c r="V6643" t="s">
        <v>13338</v>
      </c>
      <c r="W6643" t="s">
        <v>19917</v>
      </c>
      <c r="X6643">
        <v>18</v>
      </c>
      <c r="Y6643" t="s">
        <v>20207</v>
      </c>
      <c r="Z6643" t="s">
        <v>33058</v>
      </c>
      <c r="AA6643">
        <v>0.63245497687255314</v>
      </c>
      <c r="AB6643" t="str">
        <f>HYPERLINK("Melting_Curves/meltCurve_Q9Y6K9_IKBKG.pdf", "Melting_Curves/meltCurve_Q9Y6K9_IKBKG.pdf")</f>
        <v>Melting_Curves/meltCurve_Q9Y6K9_IKBKG.pdf</v>
      </c>
    </row>
    <row r="6644" spans="1:28" x14ac:dyDescent="0.25">
      <c r="A6644" t="s">
        <v>6648</v>
      </c>
      <c r="B6644">
        <v>0.99193492352474899</v>
      </c>
      <c r="C6644">
        <v>0.84494396866283705</v>
      </c>
      <c r="D6644">
        <v>1.1732250291188899</v>
      </c>
      <c r="E6644">
        <v>0.86860670770997195</v>
      </c>
      <c r="F6644">
        <v>0.72314953506124102</v>
      </c>
      <c r="G6644">
        <v>0.34646416230522897</v>
      </c>
      <c r="H6644">
        <v>0.102785911936916</v>
      </c>
      <c r="I6644">
        <v>0.12541620981322801</v>
      </c>
      <c r="J6644">
        <v>0.16976335505401899</v>
      </c>
      <c r="K6644">
        <v>0.16096468872095199</v>
      </c>
      <c r="L6644">
        <v>1569.79007343026</v>
      </c>
      <c r="M6644">
        <v>28.835078665235301</v>
      </c>
      <c r="N6644">
        <v>55.0125583436905</v>
      </c>
      <c r="O6644">
        <v>54.180472724291398</v>
      </c>
      <c r="P6644">
        <v>-0.115811876251305</v>
      </c>
      <c r="Q6644">
        <v>0.129574901501437</v>
      </c>
      <c r="R6644">
        <v>0.95405646196757299</v>
      </c>
      <c r="S6644" t="s">
        <v>13314</v>
      </c>
      <c r="T6644" t="s">
        <v>13338</v>
      </c>
      <c r="U6644" t="s">
        <v>13338</v>
      </c>
      <c r="V6644" t="s">
        <v>13338</v>
      </c>
      <c r="W6644" t="s">
        <v>19918</v>
      </c>
      <c r="X6644">
        <v>5</v>
      </c>
      <c r="Y6644" t="s">
        <v>26393</v>
      </c>
      <c r="Z6644" t="s">
        <v>33059</v>
      </c>
      <c r="AA6644">
        <v>0.55474226192537834</v>
      </c>
      <c r="AB6644" t="str">
        <f>HYPERLINK("Melting_Curves/meltCurve_Q9Y6M4_CSNK1G3.pdf", "Melting_Curves/meltCurve_Q9Y6M4_CSNK1G3.pdf")</f>
        <v>Melting_Curves/meltCurve_Q9Y6M4_CSNK1G3.pdf</v>
      </c>
    </row>
    <row r="6645" spans="1:28" x14ac:dyDescent="0.25">
      <c r="A6645" t="s">
        <v>6649</v>
      </c>
      <c r="B6645">
        <v>0.99193492352474899</v>
      </c>
      <c r="C6645">
        <v>0.91681871533877302</v>
      </c>
      <c r="D6645">
        <v>0.95092783627141897</v>
      </c>
      <c r="E6645">
        <v>0.73971150847663603</v>
      </c>
      <c r="F6645">
        <v>0.63112842943969305</v>
      </c>
      <c r="G6645">
        <v>0.48866611140445598</v>
      </c>
      <c r="H6645">
        <v>0.30504184154602498</v>
      </c>
      <c r="I6645">
        <v>0.34471939877352198</v>
      </c>
      <c r="J6645">
        <v>0.33510541221388701</v>
      </c>
      <c r="K6645">
        <v>0.32928638695751999</v>
      </c>
      <c r="L6645">
        <v>740.76523050050196</v>
      </c>
      <c r="M6645">
        <v>14.1685488638569</v>
      </c>
      <c r="N6645">
        <v>55.710381523460498</v>
      </c>
      <c r="O6645">
        <v>51.273936607591601</v>
      </c>
      <c r="P6645">
        <v>-4.8992152093039601E-2</v>
      </c>
      <c r="Q6645">
        <v>0.29090740376653401</v>
      </c>
      <c r="R6645">
        <v>0.98189268997058599</v>
      </c>
      <c r="S6645" t="s">
        <v>13315</v>
      </c>
      <c r="T6645" t="s">
        <v>13338</v>
      </c>
      <c r="U6645" t="s">
        <v>13338</v>
      </c>
      <c r="V6645" t="s">
        <v>13338</v>
      </c>
      <c r="W6645" t="s">
        <v>19919</v>
      </c>
      <c r="X6645">
        <v>9</v>
      </c>
      <c r="Y6645" t="s">
        <v>26394</v>
      </c>
      <c r="Z6645" t="s">
        <v>33060</v>
      </c>
      <c r="AA6645">
        <v>0.59827449340943517</v>
      </c>
      <c r="AB6645" t="str">
        <f>HYPERLINK("Melting_Curves/meltCurve_Q9Y6M5_SLC30A1.pdf", "Melting_Curves/meltCurve_Q9Y6M5_SLC30A1.pdf")</f>
        <v>Melting_Curves/meltCurve_Q9Y6M5_SLC30A1.pdf</v>
      </c>
    </row>
    <row r="6646" spans="1:28" x14ac:dyDescent="0.25">
      <c r="A6646" t="s">
        <v>6650</v>
      </c>
      <c r="B6646">
        <v>0.99193492352474899</v>
      </c>
      <c r="C6646">
        <v>0.96342154842681205</v>
      </c>
      <c r="D6646">
        <v>0.84945813056559905</v>
      </c>
      <c r="E6646">
        <v>0.64981431736973005</v>
      </c>
      <c r="F6646">
        <v>0.44088992543831301</v>
      </c>
      <c r="G6646">
        <v>0.22157819378857599</v>
      </c>
      <c r="H6646">
        <v>8.1788738823750401E-2</v>
      </c>
      <c r="I6646">
        <v>8.1206467385446096E-2</v>
      </c>
      <c r="J6646">
        <v>0.107575070000839</v>
      </c>
      <c r="K6646">
        <v>0.115116207790864</v>
      </c>
      <c r="L6646">
        <v>815.65164462010398</v>
      </c>
      <c r="M6646">
        <v>15.899715703981499</v>
      </c>
      <c r="N6646">
        <v>51.747725087600202</v>
      </c>
      <c r="O6646">
        <v>50.508836783845901</v>
      </c>
      <c r="P6646">
        <v>-7.3643912620875399E-2</v>
      </c>
      <c r="Q6646">
        <v>6.4292871988362005E-2</v>
      </c>
      <c r="R6646">
        <v>0.99439009244418697</v>
      </c>
      <c r="S6646" t="s">
        <v>13316</v>
      </c>
      <c r="T6646" t="s">
        <v>13338</v>
      </c>
      <c r="U6646" t="s">
        <v>13338</v>
      </c>
      <c r="V6646" t="s">
        <v>13338</v>
      </c>
      <c r="W6646" t="s">
        <v>19920</v>
      </c>
      <c r="X6646">
        <v>10</v>
      </c>
      <c r="Y6646" t="s">
        <v>26395</v>
      </c>
      <c r="Z6646" t="s">
        <v>33061</v>
      </c>
      <c r="AA6646">
        <v>0.43619323806191018</v>
      </c>
      <c r="AB6646" t="str">
        <f>HYPERLINK("Melting_Curves/meltCurve_Q9Y6M9_NDUFB9.pdf", "Melting_Curves/meltCurve_Q9Y6M9_NDUFB9.pdf")</f>
        <v>Melting_Curves/meltCurve_Q9Y6M9_NDUFB9.pdf</v>
      </c>
    </row>
    <row r="6647" spans="1:28" x14ac:dyDescent="0.25">
      <c r="A6647" t="s">
        <v>6651</v>
      </c>
      <c r="B6647">
        <v>0.99193492352474899</v>
      </c>
      <c r="C6647">
        <v>0.94392599715696301</v>
      </c>
      <c r="D6647">
        <v>0.93067591068896605</v>
      </c>
      <c r="E6647">
        <v>0.68471172617488196</v>
      </c>
      <c r="F6647">
        <v>0.24759764992577099</v>
      </c>
      <c r="G6647">
        <v>0.180060672000006</v>
      </c>
      <c r="H6647">
        <v>0.10075414506092401</v>
      </c>
      <c r="I6647">
        <v>0.14513676728598399</v>
      </c>
      <c r="J6647">
        <v>0.13623017989616201</v>
      </c>
      <c r="K6647">
        <v>0.13246802379486999</v>
      </c>
      <c r="L6647">
        <v>1569.97614585922</v>
      </c>
      <c r="M6647">
        <v>31.167689645310901</v>
      </c>
      <c r="N6647">
        <v>50.863162738932502</v>
      </c>
      <c r="O6647">
        <v>50.1659252154219</v>
      </c>
      <c r="P6647">
        <v>-0.13513637658406499</v>
      </c>
      <c r="Q6647">
        <v>0.12997061772570601</v>
      </c>
      <c r="R6647">
        <v>0.99539788339433599</v>
      </c>
      <c r="S6647" t="s">
        <v>13317</v>
      </c>
      <c r="T6647" t="s">
        <v>13338</v>
      </c>
      <c r="U6647" t="s">
        <v>13338</v>
      </c>
      <c r="V6647" t="s">
        <v>13338</v>
      </c>
      <c r="W6647" t="s">
        <v>19921</v>
      </c>
      <c r="X6647">
        <v>2</v>
      </c>
      <c r="Y6647" t="s">
        <v>26396</v>
      </c>
      <c r="Z6647" t="s">
        <v>33062</v>
      </c>
      <c r="AA6647">
        <v>0.43577905286078289</v>
      </c>
      <c r="AB6647" t="str">
        <f>HYPERLINK("Melting_Curves/meltCurve_Q9Y6N1_COX11.pdf", "Melting_Curves/meltCurve_Q9Y6N1_COX11.pdf")</f>
        <v>Melting_Curves/meltCurve_Q9Y6N1_COX11.pdf</v>
      </c>
    </row>
    <row r="6648" spans="1:28" x14ac:dyDescent="0.25">
      <c r="A6648" t="s">
        <v>6652</v>
      </c>
      <c r="B6648">
        <v>0.99193492352474899</v>
      </c>
      <c r="C6648">
        <v>1.0287301259756001</v>
      </c>
      <c r="D6648">
        <v>1.0934051066600301</v>
      </c>
      <c r="E6648">
        <v>0.96701348305519597</v>
      </c>
      <c r="F6648">
        <v>0.84020078388341402</v>
      </c>
      <c r="G6648">
        <v>0.723004423408799</v>
      </c>
      <c r="H6648">
        <v>0.49507976325856701</v>
      </c>
      <c r="I6648">
        <v>0.43972208670047302</v>
      </c>
      <c r="J6648">
        <v>0.32114739811612902</v>
      </c>
      <c r="K6648">
        <v>0.27493206184847002</v>
      </c>
      <c r="L6648">
        <v>901.719993658215</v>
      </c>
      <c r="M6648">
        <v>15.3436827782538</v>
      </c>
      <c r="N6648">
        <v>61.191900865394402</v>
      </c>
      <c r="O6648">
        <v>57.797048901548301</v>
      </c>
      <c r="P6648">
        <v>-5.12605952909524E-2</v>
      </c>
      <c r="Q6648">
        <v>0.22771147177673101</v>
      </c>
      <c r="R6648">
        <v>0.98235231552197</v>
      </c>
      <c r="S6648" t="s">
        <v>13318</v>
      </c>
      <c r="T6648" t="s">
        <v>13338</v>
      </c>
      <c r="U6648" t="s">
        <v>13338</v>
      </c>
      <c r="V6648" t="s">
        <v>13338</v>
      </c>
      <c r="W6648" t="s">
        <v>19922</v>
      </c>
      <c r="X6648">
        <v>23</v>
      </c>
      <c r="Y6648" t="s">
        <v>26397</v>
      </c>
      <c r="Z6648" t="s">
        <v>33063</v>
      </c>
      <c r="AA6648">
        <v>0.71957134704767378</v>
      </c>
      <c r="AB6648" t="str">
        <f>HYPERLINK("Melting_Curves/meltCurve_Q9Y6N5_SQRDL.pdf", "Melting_Curves/meltCurve_Q9Y6N5_SQRDL.pdf")</f>
        <v>Melting_Curves/meltCurve_Q9Y6N5_SQRDL.pdf</v>
      </c>
    </row>
    <row r="6649" spans="1:28" x14ac:dyDescent="0.25">
      <c r="A6649" t="s">
        <v>6653</v>
      </c>
      <c r="B6649">
        <v>0.99193492352474899</v>
      </c>
      <c r="C6649">
        <v>0.93879805723561804</v>
      </c>
      <c r="D6649">
        <v>0.98765924452430398</v>
      </c>
      <c r="E6649">
        <v>0.385309868905647</v>
      </c>
      <c r="F6649">
        <v>0.19554945686156899</v>
      </c>
      <c r="G6649">
        <v>8.6488558395065002E-2</v>
      </c>
      <c r="H6649">
        <v>6.0828953915587902E-2</v>
      </c>
      <c r="I6649">
        <v>6.7286147905546698E-2</v>
      </c>
      <c r="J6649">
        <v>0.123060740876394</v>
      </c>
      <c r="K6649">
        <v>9.1777681347351106E-2</v>
      </c>
      <c r="L6649">
        <v>2326.0177357606299</v>
      </c>
      <c r="M6649">
        <v>47.594451221264997</v>
      </c>
      <c r="N6649">
        <v>49.100326279982397</v>
      </c>
      <c r="O6649">
        <v>48.785570653967902</v>
      </c>
      <c r="P6649">
        <v>-0.21964970402431999</v>
      </c>
      <c r="Q6649">
        <v>9.9413926595160101E-2</v>
      </c>
      <c r="R6649">
        <v>0.99065979993747499</v>
      </c>
      <c r="S6649" t="s">
        <v>13319</v>
      </c>
      <c r="T6649" t="s">
        <v>13338</v>
      </c>
      <c r="U6649" t="s">
        <v>13338</v>
      </c>
      <c r="V6649" t="s">
        <v>13338</v>
      </c>
      <c r="W6649" t="s">
        <v>19923</v>
      </c>
      <c r="X6649">
        <v>1</v>
      </c>
      <c r="Y6649" t="s">
        <v>26398</v>
      </c>
      <c r="Z6649" t="s">
        <v>33064</v>
      </c>
      <c r="AA6649">
        <v>0.36788009799197591</v>
      </c>
      <c r="AB6649" t="str">
        <f>HYPERLINK("Melting_Curves/meltCurve_Q9Y6N9_3_USH1C.pdf", "Melting_Curves/meltCurve_Q9Y6N9_3_USH1C.pdf")</f>
        <v>Melting_Curves/meltCurve_Q9Y6N9_3_USH1C.pdf</v>
      </c>
    </row>
    <row r="6650" spans="1:28" x14ac:dyDescent="0.25">
      <c r="A6650" t="s">
        <v>6654</v>
      </c>
      <c r="B6650">
        <v>0.99193492352474899</v>
      </c>
      <c r="C6650">
        <v>0.78434085259981701</v>
      </c>
      <c r="D6650">
        <v>0.88702603501370003</v>
      </c>
      <c r="E6650">
        <v>0.45008421372917201</v>
      </c>
      <c r="F6650">
        <v>0.228259946832545</v>
      </c>
      <c r="G6650">
        <v>0.12314117372153301</v>
      </c>
      <c r="H6650">
        <v>5.97520471329245E-2</v>
      </c>
      <c r="I6650">
        <v>0.104985898286016</v>
      </c>
      <c r="J6650">
        <v>0.117200594869421</v>
      </c>
      <c r="K6650">
        <v>0.105348157030735</v>
      </c>
      <c r="L6650">
        <v>1003.30760662598</v>
      </c>
      <c r="M6650">
        <v>20.544059520959401</v>
      </c>
      <c r="N6650">
        <v>49.291962882415902</v>
      </c>
      <c r="O6650">
        <v>48.381207813790702</v>
      </c>
      <c r="P6650">
        <v>-9.6989609849118197E-2</v>
      </c>
      <c r="Q6650">
        <v>8.6385609268217603E-2</v>
      </c>
      <c r="R6650">
        <v>0.96809920707114006</v>
      </c>
      <c r="S6650" t="s">
        <v>13320</v>
      </c>
      <c r="T6650" t="s">
        <v>13338</v>
      </c>
      <c r="U6650" t="s">
        <v>13338</v>
      </c>
      <c r="V6650" t="s">
        <v>13338</v>
      </c>
      <c r="W6650" t="s">
        <v>19924</v>
      </c>
      <c r="X6650">
        <v>2</v>
      </c>
      <c r="Y6650" t="s">
        <v>26399</v>
      </c>
      <c r="Z6650" t="s">
        <v>33065</v>
      </c>
      <c r="AA6650">
        <v>0.36763437355741968</v>
      </c>
      <c r="AB6650" t="str">
        <f>HYPERLINK("Melting_Curves/meltCurve_Q9Y6P5_2_SESN1.pdf", "Melting_Curves/meltCurve_Q9Y6P5_2_SESN1.pdf")</f>
        <v>Melting_Curves/meltCurve_Q9Y6P5_2_SESN1.pdf</v>
      </c>
    </row>
    <row r="6651" spans="1:28" x14ac:dyDescent="0.25">
      <c r="A6651" t="s">
        <v>6655</v>
      </c>
      <c r="B6651">
        <v>0.99193492352474899</v>
      </c>
      <c r="C6651">
        <v>0.85261493587376103</v>
      </c>
      <c r="D6651">
        <v>0.72338054174723598</v>
      </c>
      <c r="E6651">
        <v>0.28908855193098598</v>
      </c>
      <c r="F6651">
        <v>0.15830769082948001</v>
      </c>
      <c r="G6651">
        <v>7.9519477385661105E-2</v>
      </c>
      <c r="H6651">
        <v>5.6543358642847603E-2</v>
      </c>
      <c r="I6651">
        <v>7.1796308325799196E-2</v>
      </c>
      <c r="J6651">
        <v>9.1560949879654699E-2</v>
      </c>
      <c r="K6651">
        <v>8.4470635206201794E-2</v>
      </c>
      <c r="L6651">
        <v>1048.3798383334399</v>
      </c>
      <c r="M6651">
        <v>22.151072890406301</v>
      </c>
      <c r="N6651">
        <v>47.654548009287403</v>
      </c>
      <c r="O6651">
        <v>46.947958671565402</v>
      </c>
      <c r="P6651">
        <v>-0.109666643264528</v>
      </c>
      <c r="Q6651">
        <v>7.0290960283205597E-2</v>
      </c>
      <c r="R6651">
        <v>0.99341244264122697</v>
      </c>
      <c r="S6651" t="s">
        <v>13321</v>
      </c>
      <c r="T6651" t="s">
        <v>13338</v>
      </c>
      <c r="U6651" t="s">
        <v>13338</v>
      </c>
      <c r="V6651" t="s">
        <v>13338</v>
      </c>
      <c r="W6651" t="s">
        <v>19925</v>
      </c>
      <c r="X6651">
        <v>7</v>
      </c>
      <c r="Y6651" t="s">
        <v>26400</v>
      </c>
      <c r="Z6651" t="s">
        <v>33066</v>
      </c>
      <c r="AA6651">
        <v>0.30816286148317917</v>
      </c>
      <c r="AB6651" t="str">
        <f>HYPERLINK("Melting_Curves/meltCurve_Q9Y6Q9_5_NCOA3.pdf", "Melting_Curves/meltCurve_Q9Y6Q9_5_NCOA3.pdf")</f>
        <v>Melting_Curves/meltCurve_Q9Y6Q9_5_NCOA3.pdf</v>
      </c>
    </row>
    <row r="6652" spans="1:28" x14ac:dyDescent="0.25">
      <c r="A6652" t="s">
        <v>6656</v>
      </c>
      <c r="B6652">
        <v>0.99193492352474899</v>
      </c>
      <c r="C6652">
        <v>0.50215521843688404</v>
      </c>
      <c r="D6652">
        <v>0.95826288334826704</v>
      </c>
      <c r="E6652">
        <v>0.51751073337661202</v>
      </c>
      <c r="F6652">
        <v>0.42037200887554199</v>
      </c>
      <c r="G6652">
        <v>0.15281755148673201</v>
      </c>
      <c r="H6652">
        <v>7.5264377668249505E-2</v>
      </c>
      <c r="I6652">
        <v>0.113591664504664</v>
      </c>
      <c r="J6652">
        <v>0.105679517732001</v>
      </c>
      <c r="K6652">
        <v>0.14878758950163501</v>
      </c>
      <c r="L6652">
        <v>489.48724933450802</v>
      </c>
      <c r="M6652">
        <v>9.7903333242103106</v>
      </c>
      <c r="N6652">
        <v>50.136096518292497</v>
      </c>
      <c r="O6652">
        <v>48.044947084905402</v>
      </c>
      <c r="P6652">
        <v>-5.02875544261576E-2</v>
      </c>
      <c r="Q6652">
        <v>1.3398520882626601E-2</v>
      </c>
      <c r="R6652">
        <v>0.80916464532111498</v>
      </c>
      <c r="S6652" t="s">
        <v>13322</v>
      </c>
      <c r="T6652" t="s">
        <v>13338</v>
      </c>
      <c r="U6652" t="s">
        <v>13338</v>
      </c>
      <c r="V6652" t="s">
        <v>13338</v>
      </c>
      <c r="W6652" t="s">
        <v>19926</v>
      </c>
      <c r="X6652">
        <v>9</v>
      </c>
      <c r="Y6652" t="s">
        <v>26401</v>
      </c>
      <c r="Z6652" t="s">
        <v>33067</v>
      </c>
      <c r="AA6652">
        <v>0.38807556253672632</v>
      </c>
      <c r="AB6652" t="str">
        <f>HYPERLINK("Melting_Curves/meltCurve_Q9Y6V7_DDX49.pdf", "Melting_Curves/meltCurve_Q9Y6V7_DDX49.pdf")</f>
        <v>Melting_Curves/meltCurve_Q9Y6V7_DDX49.pdf</v>
      </c>
    </row>
    <row r="6653" spans="1:28" x14ac:dyDescent="0.25">
      <c r="A6653" t="s">
        <v>6657</v>
      </c>
      <c r="B6653">
        <v>0.99193492352474899</v>
      </c>
      <c r="C6653">
        <v>1.0929016428746401</v>
      </c>
      <c r="D6653">
        <v>0.98940505479243102</v>
      </c>
      <c r="E6653">
        <v>0.59446044772226003</v>
      </c>
      <c r="F6653">
        <v>0.27173876654578499</v>
      </c>
      <c r="G6653">
        <v>0.20895922220673099</v>
      </c>
      <c r="H6653">
        <v>0.13301548034911201</v>
      </c>
      <c r="I6653">
        <v>0.14474581834922001</v>
      </c>
      <c r="J6653">
        <v>0.13862478509869</v>
      </c>
      <c r="K6653">
        <v>0.161328093355149</v>
      </c>
      <c r="L6653">
        <v>1672.8383059319401</v>
      </c>
      <c r="M6653">
        <v>33.550175214646401</v>
      </c>
      <c r="N6653">
        <v>50.425946048686299</v>
      </c>
      <c r="O6653">
        <v>49.6846485833291</v>
      </c>
      <c r="P6653">
        <v>-0.142362066526284</v>
      </c>
      <c r="Q6653">
        <v>0.15670429471230199</v>
      </c>
      <c r="R6653">
        <v>0.99025724483251298</v>
      </c>
      <c r="S6653" t="s">
        <v>13323</v>
      </c>
      <c r="T6653" t="s">
        <v>13338</v>
      </c>
      <c r="U6653" t="s">
        <v>13338</v>
      </c>
      <c r="V6653" t="s">
        <v>13338</v>
      </c>
      <c r="W6653" t="s">
        <v>19927</v>
      </c>
      <c r="X6653">
        <v>8</v>
      </c>
      <c r="Y6653" t="s">
        <v>26402</v>
      </c>
      <c r="Z6653" t="s">
        <v>33068</v>
      </c>
      <c r="AA6653">
        <v>0.43803871229260238</v>
      </c>
      <c r="AB6653" t="str">
        <f>HYPERLINK("Melting_Curves/meltCurve_Q9Y6W3_CAPN7.pdf", "Melting_Curves/meltCurve_Q9Y6W3_CAPN7.pdf")</f>
        <v>Melting_Curves/meltCurve_Q9Y6W3_CAPN7.pdf</v>
      </c>
    </row>
    <row r="6654" spans="1:28" x14ac:dyDescent="0.25">
      <c r="A6654" t="s">
        <v>6658</v>
      </c>
      <c r="B6654">
        <v>0.99193492352474899</v>
      </c>
      <c r="C6654">
        <v>1.09163583780239</v>
      </c>
      <c r="D6654">
        <v>0.74822608624790599</v>
      </c>
      <c r="E6654">
        <v>0.61082896930390596</v>
      </c>
      <c r="F6654">
        <v>0.30097356923759599</v>
      </c>
      <c r="G6654">
        <v>0.21511994772864601</v>
      </c>
      <c r="H6654">
        <v>0.176431081725056</v>
      </c>
      <c r="I6654">
        <v>0.339052193790433</v>
      </c>
      <c r="J6654">
        <v>0.354608972840744</v>
      </c>
      <c r="K6654">
        <v>0.51281057354553505</v>
      </c>
      <c r="L6654">
        <v>1272.68736307114</v>
      </c>
      <c r="M6654">
        <v>26.475515863016199</v>
      </c>
      <c r="N6654">
        <v>49.935187735896797</v>
      </c>
      <c r="O6654">
        <v>47.798626052484501</v>
      </c>
      <c r="P6654">
        <v>-9.4997751786418505E-2</v>
      </c>
      <c r="Q6654">
        <v>0.313975572555382</v>
      </c>
      <c r="R6654">
        <v>0.88402212456729401</v>
      </c>
      <c r="S6654" t="s">
        <v>13324</v>
      </c>
      <c r="T6654" t="s">
        <v>13338</v>
      </c>
      <c r="U6654" t="s">
        <v>13338</v>
      </c>
      <c r="V6654" t="s">
        <v>13338</v>
      </c>
      <c r="W6654" t="s">
        <v>19928</v>
      </c>
      <c r="X6654">
        <v>15</v>
      </c>
      <c r="Y6654" t="s">
        <v>26403</v>
      </c>
      <c r="Z6654" t="s">
        <v>33069</v>
      </c>
      <c r="AA6654">
        <v>0.50389453152507691</v>
      </c>
      <c r="AB6654" t="str">
        <f>HYPERLINK("Melting_Curves/meltCurve_Q9Y6W5_WASF2.pdf", "Melting_Curves/meltCurve_Q9Y6W5_WASF2.pdf")</f>
        <v>Melting_Curves/meltCurve_Q9Y6W5_WASF2.pdf</v>
      </c>
    </row>
    <row r="6655" spans="1:28" x14ac:dyDescent="0.25">
      <c r="A6655" t="s">
        <v>6659</v>
      </c>
      <c r="B6655">
        <v>0.99193492352474899</v>
      </c>
      <c r="C6655">
        <v>0.77491410201480804</v>
      </c>
      <c r="D6655">
        <v>0.93428000219770302</v>
      </c>
      <c r="E6655">
        <v>0.736002912757594</v>
      </c>
      <c r="F6655">
        <v>0.29291240538979901</v>
      </c>
      <c r="G6655">
        <v>0.158725125801012</v>
      </c>
      <c r="H6655">
        <v>0.102327555415394</v>
      </c>
      <c r="I6655">
        <v>9.8318301024312202E-2</v>
      </c>
      <c r="J6655">
        <v>0.117480149757202</v>
      </c>
      <c r="K6655">
        <v>0.15984001065529599</v>
      </c>
      <c r="L6655">
        <v>1442.59782262715</v>
      </c>
      <c r="M6655">
        <v>28.364538116022</v>
      </c>
      <c r="N6655">
        <v>51.329853254200003</v>
      </c>
      <c r="O6655">
        <v>50.608420941996798</v>
      </c>
      <c r="P6655">
        <v>-0.124074926014731</v>
      </c>
      <c r="Q6655">
        <v>0.114502078807278</v>
      </c>
      <c r="R6655">
        <v>0.95795731637321302</v>
      </c>
      <c r="S6655" t="s">
        <v>13325</v>
      </c>
      <c r="T6655" t="s">
        <v>13338</v>
      </c>
      <c r="U6655" t="s">
        <v>13338</v>
      </c>
      <c r="V6655" t="s">
        <v>13338</v>
      </c>
      <c r="W6655" t="s">
        <v>19929</v>
      </c>
      <c r="X6655">
        <v>4</v>
      </c>
      <c r="Y6655" t="s">
        <v>26404</v>
      </c>
      <c r="Z6655" t="s">
        <v>33070</v>
      </c>
      <c r="AA6655">
        <v>0.44124337993235851</v>
      </c>
      <c r="AB6655" t="str">
        <f>HYPERLINK("Melting_Curves/meltCurve_Q9Y6X4_FAM169A.pdf", "Melting_Curves/meltCurve_Q9Y6X4_FAM169A.pdf")</f>
        <v>Melting_Curves/meltCurve_Q9Y6X4_FAM169A.pdf</v>
      </c>
    </row>
    <row r="6656" spans="1:28" x14ac:dyDescent="0.25">
      <c r="A6656" t="s">
        <v>6660</v>
      </c>
      <c r="B6656">
        <v>0.99193492352474899</v>
      </c>
      <c r="C6656">
        <v>0.77964973408506599</v>
      </c>
      <c r="D6656">
        <v>0.95045176741056203</v>
      </c>
      <c r="E6656">
        <v>0.70327158547962298</v>
      </c>
      <c r="F6656">
        <v>0.74565644788587604</v>
      </c>
      <c r="G6656">
        <v>0.51621742561777595</v>
      </c>
      <c r="H6656">
        <v>0.42693333156263202</v>
      </c>
      <c r="I6656">
        <v>0.39928235767738801</v>
      </c>
      <c r="J6656">
        <v>0.39088417842226902</v>
      </c>
      <c r="K6656">
        <v>0.36344934895589498</v>
      </c>
      <c r="L6656">
        <v>423.30335645123398</v>
      </c>
      <c r="M6656">
        <v>7.7590580294228104</v>
      </c>
      <c r="N6656">
        <v>59.171917869083202</v>
      </c>
      <c r="O6656">
        <v>51.287529711358999</v>
      </c>
      <c r="P6656">
        <v>-2.9271593484507401E-2</v>
      </c>
      <c r="Q6656">
        <v>0.22703646267925401</v>
      </c>
      <c r="R6656">
        <v>0.91157764581211098</v>
      </c>
      <c r="S6656" t="s">
        <v>13326</v>
      </c>
      <c r="T6656" t="s">
        <v>13338</v>
      </c>
      <c r="U6656" t="s">
        <v>13338</v>
      </c>
      <c r="V6656" t="s">
        <v>13338</v>
      </c>
      <c r="W6656" t="s">
        <v>19930</v>
      </c>
      <c r="X6656">
        <v>7</v>
      </c>
      <c r="Y6656" t="s">
        <v>26405</v>
      </c>
      <c r="Z6656" t="s">
        <v>33071</v>
      </c>
      <c r="AA6656">
        <v>0.62564665633184879</v>
      </c>
      <c r="AB6656" t="str">
        <f>HYPERLINK("Melting_Curves/meltCurve_Q9Y6X5_ENPP4.pdf", "Melting_Curves/meltCurve_Q9Y6X5_ENPP4.pdf")</f>
        <v>Melting_Curves/meltCurve_Q9Y6X5_ENPP4.pdf</v>
      </c>
    </row>
    <row r="6657" spans="1:28" x14ac:dyDescent="0.25">
      <c r="A6657" t="s">
        <v>6661</v>
      </c>
      <c r="B6657">
        <v>0.99193492352474899</v>
      </c>
      <c r="C6657">
        <v>0.69997085816230198</v>
      </c>
      <c r="D6657">
        <v>0.55814062155126598</v>
      </c>
      <c r="E6657">
        <v>0.24681231727938099</v>
      </c>
      <c r="F6657">
        <v>0.172041672547873</v>
      </c>
      <c r="G6657">
        <v>0.13439765314100199</v>
      </c>
      <c r="H6657">
        <v>7.4972615732595796E-2</v>
      </c>
      <c r="I6657">
        <v>0.106286260965213</v>
      </c>
      <c r="J6657">
        <v>0.13081423799977901</v>
      </c>
      <c r="K6657">
        <v>0.247519850355329</v>
      </c>
      <c r="L6657">
        <v>861.95011450469997</v>
      </c>
      <c r="M6657">
        <v>19.0464708238203</v>
      </c>
      <c r="N6657">
        <v>45.992144218463601</v>
      </c>
      <c r="O6657">
        <v>44.765093023377801</v>
      </c>
      <c r="P6657">
        <v>-9.2382889850557301E-2</v>
      </c>
      <c r="Q6657">
        <v>0.13152094026803601</v>
      </c>
      <c r="R6657">
        <v>0.96378105488560095</v>
      </c>
      <c r="S6657" t="s">
        <v>13327</v>
      </c>
      <c r="T6657" t="s">
        <v>13338</v>
      </c>
      <c r="U6657" t="s">
        <v>13338</v>
      </c>
      <c r="V6657" t="s">
        <v>13338</v>
      </c>
      <c r="W6657" t="s">
        <v>19931</v>
      </c>
      <c r="X6657">
        <v>8</v>
      </c>
      <c r="Y6657" t="s">
        <v>26406</v>
      </c>
      <c r="Z6657" t="s">
        <v>33072</v>
      </c>
      <c r="AA6657">
        <v>0.29967093878564011</v>
      </c>
      <c r="AB6657" t="str">
        <f>HYPERLINK("Melting_Curves/meltCurve_Q9Y6X8_ZHX2.pdf", "Melting_Curves/meltCurve_Q9Y6X8_ZHX2.pdf")</f>
        <v>Melting_Curves/meltCurve_Q9Y6X8_ZHX2.pdf</v>
      </c>
    </row>
    <row r="6658" spans="1:28" x14ac:dyDescent="0.25">
      <c r="A6658" t="s">
        <v>6662</v>
      </c>
      <c r="B6658">
        <v>0.99193492352474899</v>
      </c>
      <c r="C6658">
        <v>0.89284948338320003</v>
      </c>
      <c r="D6658">
        <v>1.3379321302029199</v>
      </c>
      <c r="E6658">
        <v>0.63550803539646705</v>
      </c>
      <c r="F6658">
        <v>0.51422542725386999</v>
      </c>
      <c r="G6658">
        <v>0.63965210840853803</v>
      </c>
      <c r="H6658">
        <v>0.49499795272661701</v>
      </c>
      <c r="I6658">
        <v>1.6286709622031299</v>
      </c>
      <c r="J6658">
        <v>2.4894517538383201</v>
      </c>
      <c r="K6658">
        <v>1.4777395243665701</v>
      </c>
      <c r="L6658">
        <v>1970.6144966868401</v>
      </c>
      <c r="M6658">
        <v>31.567545028852201</v>
      </c>
      <c r="O6658">
        <v>62.176414993890297</v>
      </c>
      <c r="P6658">
        <v>6.3463996537704598E-2</v>
      </c>
      <c r="Q6658">
        <v>1.5</v>
      </c>
      <c r="R6658">
        <v>0.37943594560343002</v>
      </c>
      <c r="S6658" t="s">
        <v>13328</v>
      </c>
      <c r="T6658" t="s">
        <v>13338</v>
      </c>
      <c r="U6658" t="s">
        <v>13338</v>
      </c>
      <c r="V6658" t="s">
        <v>13338</v>
      </c>
      <c r="W6658" t="s">
        <v>19932</v>
      </c>
      <c r="X6658">
        <v>2</v>
      </c>
      <c r="Y6658" t="s">
        <v>26407</v>
      </c>
      <c r="Z6658" t="s">
        <v>33073</v>
      </c>
      <c r="AA6658">
        <v>1.1242077441186109</v>
      </c>
      <c r="AB6658" t="str">
        <f>HYPERLINK("Melting_Curves/meltCurve_Q9Y6X9_MORC2.pdf", "Melting_Curves/meltCurve_Q9Y6X9_MORC2.pdf")</f>
        <v>Melting_Curves/meltCurve_Q9Y6X9_MORC2.pdf</v>
      </c>
    </row>
    <row r="6659" spans="1:28" x14ac:dyDescent="0.25">
      <c r="A6659" t="s">
        <v>6663</v>
      </c>
      <c r="B6659">
        <v>0.99193492352474899</v>
      </c>
      <c r="C6659">
        <v>0.76714480348904801</v>
      </c>
      <c r="D6659">
        <v>0.53612788204334105</v>
      </c>
      <c r="E6659">
        <v>0.24209834668732699</v>
      </c>
      <c r="F6659">
        <v>0.104429887141902</v>
      </c>
      <c r="G6659">
        <v>6.5569532442451298E-2</v>
      </c>
      <c r="H6659">
        <v>3.8230161037401199E-2</v>
      </c>
      <c r="I6659">
        <v>5.0448960594810299E-2</v>
      </c>
      <c r="J6659">
        <v>5.8954155229496402E-2</v>
      </c>
      <c r="K6659">
        <v>5.32264699861527E-2</v>
      </c>
      <c r="L6659">
        <v>865.68622410624005</v>
      </c>
      <c r="M6659">
        <v>18.822488641760501</v>
      </c>
      <c r="N6659">
        <v>46.218268975421303</v>
      </c>
      <c r="O6659">
        <v>45.482444638120597</v>
      </c>
      <c r="P6659">
        <v>-9.8912863919769098E-2</v>
      </c>
      <c r="Q6659">
        <v>4.3992399084814497E-2</v>
      </c>
      <c r="R6659">
        <v>0.99612388039815103</v>
      </c>
      <c r="S6659" t="s">
        <v>13329</v>
      </c>
      <c r="T6659" t="s">
        <v>13338</v>
      </c>
      <c r="U6659" t="s">
        <v>13338</v>
      </c>
      <c r="V6659" t="s">
        <v>13338</v>
      </c>
      <c r="W6659" t="s">
        <v>19933</v>
      </c>
      <c r="X6659">
        <v>7</v>
      </c>
      <c r="Y6659" t="s">
        <v>26408</v>
      </c>
      <c r="Z6659" t="s">
        <v>33074</v>
      </c>
      <c r="AA6659">
        <v>0.25192301850392018</v>
      </c>
      <c r="AB6659" t="str">
        <f>HYPERLINK("Melting_Curves/meltCurve_Q9Y6Y0_IVNS1ABP.pdf", "Melting_Curves/meltCurve_Q9Y6Y0_IVNS1ABP.pdf")</f>
        <v>Melting_Curves/meltCurve_Q9Y6Y0_IVNS1ABP.pdf</v>
      </c>
    </row>
    <row r="6660" spans="1:28" x14ac:dyDescent="0.25">
      <c r="A6660" t="s">
        <v>6664</v>
      </c>
      <c r="B6660">
        <v>0.99193492352474899</v>
      </c>
      <c r="C6660">
        <v>0.77755361565582404</v>
      </c>
      <c r="D6660">
        <v>0.87774434223258402</v>
      </c>
      <c r="E6660">
        <v>0.69511579577618798</v>
      </c>
      <c r="F6660">
        <v>0.61877649258807099</v>
      </c>
      <c r="G6660">
        <v>0.29225962419575102</v>
      </c>
      <c r="H6660">
        <v>9.6501098731366294E-2</v>
      </c>
      <c r="I6660">
        <v>0.108454782871839</v>
      </c>
      <c r="J6660">
        <v>0.117618017852823</v>
      </c>
      <c r="K6660">
        <v>0.128402868373938</v>
      </c>
      <c r="L6660">
        <v>607.28272717397499</v>
      </c>
      <c r="M6660">
        <v>11.4166579358959</v>
      </c>
      <c r="N6660">
        <v>53.260773136362197</v>
      </c>
      <c r="O6660">
        <v>51.639151129132898</v>
      </c>
      <c r="P6660">
        <v>-5.4886987750269102E-2</v>
      </c>
      <c r="Q6660">
        <v>7.2443607298096901E-3</v>
      </c>
      <c r="R6660">
        <v>0.95010493104517402</v>
      </c>
      <c r="S6660" t="s">
        <v>13330</v>
      </c>
      <c r="T6660" t="s">
        <v>13338</v>
      </c>
      <c r="U6660" t="s">
        <v>13338</v>
      </c>
      <c r="V6660" t="s">
        <v>13338</v>
      </c>
      <c r="W6660" t="s">
        <v>19934</v>
      </c>
      <c r="X6660">
        <v>13</v>
      </c>
      <c r="Y6660" t="s">
        <v>26409</v>
      </c>
      <c r="Z6660" t="s">
        <v>33075</v>
      </c>
      <c r="AA6660">
        <v>0.47314562290354828</v>
      </c>
      <c r="AB6660" t="str">
        <f>HYPERLINK("Melting_Curves/meltCurve_R4GMR5_PSMD8.pdf", "Melting_Curves/meltCurve_R4GMR5_PSMD8.pdf")</f>
        <v>Melting_Curves/meltCurve_R4GMR5_PSMD8.pdf</v>
      </c>
    </row>
    <row r="6661" spans="1:28" x14ac:dyDescent="0.25">
      <c r="A6661" t="s">
        <v>6665</v>
      </c>
      <c r="B6661">
        <v>0.99193492352474899</v>
      </c>
      <c r="C6661">
        <v>0.91952112973134004</v>
      </c>
      <c r="D6661">
        <v>0.84265081736467795</v>
      </c>
      <c r="E6661">
        <v>0.54567082040733605</v>
      </c>
      <c r="F6661">
        <v>0.27838535165814599</v>
      </c>
      <c r="G6661">
        <v>0.13843703342963501</v>
      </c>
      <c r="H6661">
        <v>9.9160787060211197E-2</v>
      </c>
      <c r="I6661">
        <v>0.12924588131810999</v>
      </c>
      <c r="J6661">
        <v>0.15974629149394901</v>
      </c>
      <c r="K6661">
        <v>0.19489759989744601</v>
      </c>
      <c r="L6661">
        <v>1075.6643519509901</v>
      </c>
      <c r="M6661">
        <v>21.8599654351931</v>
      </c>
      <c r="N6661">
        <v>49.916257644772699</v>
      </c>
      <c r="O6661">
        <v>48.8008214073066</v>
      </c>
      <c r="P6661">
        <v>-9.70388631790019E-2</v>
      </c>
      <c r="Q6661">
        <v>0.13349061001509999</v>
      </c>
      <c r="R6661">
        <v>0.99099929175306301</v>
      </c>
      <c r="S6661" t="s">
        <v>13331</v>
      </c>
      <c r="T6661" t="s">
        <v>13338</v>
      </c>
      <c r="U6661" t="s">
        <v>13338</v>
      </c>
      <c r="V6661" t="s">
        <v>13338</v>
      </c>
      <c r="W6661" t="s">
        <v>19935</v>
      </c>
      <c r="X6661">
        <v>7</v>
      </c>
      <c r="Y6661" t="s">
        <v>26410</v>
      </c>
      <c r="Z6661" t="s">
        <v>33076</v>
      </c>
      <c r="AA6661">
        <v>0.40954159836478349</v>
      </c>
      <c r="AB6661" t="str">
        <f>HYPERLINK("Melting_Curves/meltCurve_R4GMU1_H6PD.pdf", "Melting_Curves/meltCurve_R4GMU1_H6PD.pdf")</f>
        <v>Melting_Curves/meltCurve_R4GMU1_H6PD.pdf</v>
      </c>
    </row>
    <row r="6662" spans="1:28" x14ac:dyDescent="0.25">
      <c r="A6662" t="s">
        <v>6666</v>
      </c>
      <c r="B6662">
        <v>0.99193492352474899</v>
      </c>
      <c r="C6662">
        <v>0.71288805591075899</v>
      </c>
      <c r="D6662">
        <v>0.70066071555745302</v>
      </c>
      <c r="E6662">
        <v>0.35353217990239799</v>
      </c>
      <c r="F6662">
        <v>0.15672887131066601</v>
      </c>
      <c r="G6662">
        <v>0.101032240141801</v>
      </c>
      <c r="H6662">
        <v>4.7068444147803E-2</v>
      </c>
      <c r="I6662">
        <v>4.3155833922995199E-2</v>
      </c>
      <c r="J6662">
        <v>4.31193795010801E-2</v>
      </c>
      <c r="K6662">
        <v>4.9522045976948897E-2</v>
      </c>
      <c r="L6662">
        <v>690.86617686380703</v>
      </c>
      <c r="M6662">
        <v>14.568386431250801</v>
      </c>
      <c r="N6662">
        <v>47.563783806778602</v>
      </c>
      <c r="O6662">
        <v>46.555634516598701</v>
      </c>
      <c r="P6662">
        <v>-7.6580826900597102E-2</v>
      </c>
      <c r="Q6662">
        <v>2.12054221002515E-2</v>
      </c>
      <c r="R6662">
        <v>0.97865385510785396</v>
      </c>
      <c r="S6662" t="s">
        <v>13332</v>
      </c>
      <c r="T6662" t="s">
        <v>13338</v>
      </c>
      <c r="U6662" t="s">
        <v>13338</v>
      </c>
      <c r="V6662" t="s">
        <v>13338</v>
      </c>
      <c r="W6662" t="s">
        <v>19936</v>
      </c>
      <c r="X6662">
        <v>9</v>
      </c>
      <c r="Y6662" t="s">
        <v>26411</v>
      </c>
      <c r="Z6662" t="s">
        <v>33077</v>
      </c>
      <c r="AA6662">
        <v>0.29088274045403101</v>
      </c>
      <c r="AB6662" t="str">
        <f>HYPERLINK("Melting_Curves/meltCurve_R4GMX3_BMI1.pdf", "Melting_Curves/meltCurve_R4GMX3_BMI1.pdf")</f>
        <v>Melting_Curves/meltCurve_R4GMX3_BMI1.pdf</v>
      </c>
    </row>
    <row r="6663" spans="1:28" x14ac:dyDescent="0.25">
      <c r="A6663" t="s">
        <v>6667</v>
      </c>
      <c r="B6663">
        <v>0.99193492352474899</v>
      </c>
      <c r="C6663">
        <v>0.75850697824796298</v>
      </c>
      <c r="D6663">
        <v>0.75415381116727698</v>
      </c>
      <c r="E6663">
        <v>0.41437144725172698</v>
      </c>
      <c r="F6663">
        <v>0.21360681984003799</v>
      </c>
      <c r="G6663">
        <v>0.134872872404664</v>
      </c>
      <c r="H6663">
        <v>5.4990389057847498E-2</v>
      </c>
      <c r="I6663">
        <v>9.7200135773851198E-2</v>
      </c>
      <c r="J6663">
        <v>9.4661589732672302E-2</v>
      </c>
      <c r="K6663">
        <v>0.14783595040792499</v>
      </c>
      <c r="L6663">
        <v>758.25011667375804</v>
      </c>
      <c r="M6663">
        <v>15.854232018072899</v>
      </c>
      <c r="N6663">
        <v>48.352209247349897</v>
      </c>
      <c r="O6663">
        <v>47.084830261307097</v>
      </c>
      <c r="P6663">
        <v>-7.7519282640001505E-2</v>
      </c>
      <c r="Q6663">
        <v>7.9189154029865802E-2</v>
      </c>
      <c r="R6663">
        <v>0.97481871126966302</v>
      </c>
      <c r="S6663" t="s">
        <v>13333</v>
      </c>
      <c r="T6663" t="s">
        <v>13338</v>
      </c>
      <c r="U6663" t="s">
        <v>13338</v>
      </c>
      <c r="V6663" t="s">
        <v>13338</v>
      </c>
      <c r="W6663" t="s">
        <v>19937</v>
      </c>
      <c r="X6663">
        <v>6</v>
      </c>
      <c r="Y6663" t="s">
        <v>26412</v>
      </c>
      <c r="Z6663" t="s">
        <v>33078</v>
      </c>
      <c r="AA6663">
        <v>0.34078021750910698</v>
      </c>
      <c r="AB6663" t="str">
        <f>HYPERLINK("Melting_Curves/meltCurve_R4GMX8_RANBP10.pdf", "Melting_Curves/meltCurve_R4GMX8_RANBP10.pdf")</f>
        <v>Melting_Curves/meltCurve_R4GMX8_RANBP10.pdf</v>
      </c>
    </row>
    <row r="6664" spans="1:28" x14ac:dyDescent="0.25">
      <c r="A6664" t="s">
        <v>6668</v>
      </c>
      <c r="B6664">
        <v>0.99193492352474899</v>
      </c>
      <c r="C6664">
        <v>0.38908404971600102</v>
      </c>
      <c r="D6664">
        <v>0.98236527480233604</v>
      </c>
      <c r="E6664">
        <v>0.42935790402521601</v>
      </c>
      <c r="F6664">
        <v>0.24045328259620299</v>
      </c>
      <c r="G6664">
        <v>5.5202652994518403E-2</v>
      </c>
      <c r="H6664">
        <v>7.5311998348668696E-2</v>
      </c>
      <c r="I6664">
        <v>0.101531822436839</v>
      </c>
      <c r="J6664">
        <v>0.17704659423713201</v>
      </c>
      <c r="K6664">
        <v>0.22710286325187701</v>
      </c>
      <c r="L6664">
        <v>554.32265438084301</v>
      </c>
      <c r="M6664">
        <v>11.6868224205503</v>
      </c>
      <c r="N6664">
        <v>48.178157682058902</v>
      </c>
      <c r="O6664">
        <v>46.106534492598698</v>
      </c>
      <c r="P6664">
        <v>-5.8134623112483297E-2</v>
      </c>
      <c r="Q6664">
        <v>8.2840412015748002E-2</v>
      </c>
      <c r="R6664">
        <v>0.68368346763066801</v>
      </c>
      <c r="S6664" t="s">
        <v>13334</v>
      </c>
      <c r="T6664" t="s">
        <v>13338</v>
      </c>
      <c r="U6664" t="s">
        <v>13338</v>
      </c>
      <c r="V6664" t="s">
        <v>13338</v>
      </c>
      <c r="W6664" t="s">
        <v>19938</v>
      </c>
      <c r="X6664">
        <v>8</v>
      </c>
      <c r="Y6664" t="s">
        <v>26413</v>
      </c>
      <c r="Z6664" t="s">
        <v>33079</v>
      </c>
      <c r="AA6664">
        <v>0.34915718111869443</v>
      </c>
      <c r="AB6664" t="str">
        <f>HYPERLINK("Melting_Curves/meltCurve_R4GN55_YTHDF3.pdf", "Melting_Curves/meltCurve_R4GN55_YTHDF3.pdf")</f>
        <v>Melting_Curves/meltCurve_R4GN55_YTHDF3.pdf</v>
      </c>
    </row>
    <row r="6665" spans="1:28" x14ac:dyDescent="0.25">
      <c r="A6665" t="s">
        <v>6669</v>
      </c>
      <c r="B6665">
        <v>0.99193492352474899</v>
      </c>
      <c r="C6665">
        <v>0.89721344111085399</v>
      </c>
      <c r="D6665">
        <v>0.69682042268365696</v>
      </c>
      <c r="E6665">
        <v>0.49135108510305803</v>
      </c>
      <c r="F6665">
        <v>0.28198289388669801</v>
      </c>
      <c r="G6665">
        <v>0.16464282702933</v>
      </c>
      <c r="H6665">
        <v>0.10775058460570799</v>
      </c>
      <c r="I6665">
        <v>0.101727887252298</v>
      </c>
      <c r="J6665">
        <v>8.9346773882060998E-2</v>
      </c>
      <c r="K6665">
        <v>0.116593667904791</v>
      </c>
      <c r="L6665">
        <v>736.89202004356798</v>
      </c>
      <c r="M6665">
        <v>15.1676818844879</v>
      </c>
      <c r="N6665">
        <v>49.166754364665898</v>
      </c>
      <c r="O6665">
        <v>47.7620168038084</v>
      </c>
      <c r="P6665">
        <v>-7.2857439224840698E-2</v>
      </c>
      <c r="Q6665">
        <v>8.2395920589818802E-2</v>
      </c>
      <c r="R6665">
        <v>0.99724321135577199</v>
      </c>
      <c r="S6665" t="s">
        <v>13335</v>
      </c>
      <c r="T6665" t="s">
        <v>13338</v>
      </c>
      <c r="U6665" t="s">
        <v>13338</v>
      </c>
      <c r="V6665" t="s">
        <v>13338</v>
      </c>
      <c r="W6665" t="s">
        <v>19939</v>
      </c>
      <c r="X6665">
        <v>5</v>
      </c>
      <c r="Y6665" t="s">
        <v>26414</v>
      </c>
      <c r="Z6665" t="s">
        <v>33080</v>
      </c>
      <c r="AA6665">
        <v>0.36745311078497328</v>
      </c>
      <c r="AB6665" t="str">
        <f>HYPERLINK("Melting_Curves/meltCurve_R4GNB2_DENND4C.pdf", "Melting_Curves/meltCurve_R4GNB2_DENND4C.pdf")</f>
        <v>Melting_Curves/meltCurve_R4GNB2_DENND4C.pdf</v>
      </c>
    </row>
    <row r="6666" spans="1:28" x14ac:dyDescent="0.25">
      <c r="A6666" t="s">
        <v>6670</v>
      </c>
      <c r="B6666">
        <v>0.99193492352474899</v>
      </c>
      <c r="C6666">
        <v>0.93246274537036999</v>
      </c>
      <c r="D6666">
        <v>0.83957321313182798</v>
      </c>
      <c r="E6666">
        <v>0.68764335339717797</v>
      </c>
      <c r="F6666">
        <v>0.53606836527905299</v>
      </c>
      <c r="G6666">
        <v>0.235200378737909</v>
      </c>
      <c r="H6666">
        <v>8.9978163199514502E-2</v>
      </c>
      <c r="I6666">
        <v>0.105038250985634</v>
      </c>
      <c r="J6666">
        <v>0.121390072630307</v>
      </c>
      <c r="K6666">
        <v>0.120194466678299</v>
      </c>
      <c r="L6666">
        <v>753.838383805788</v>
      </c>
      <c r="M6666">
        <v>14.4745310695206</v>
      </c>
      <c r="N6666">
        <v>52.519020788753203</v>
      </c>
      <c r="O6666">
        <v>51.116538308209002</v>
      </c>
      <c r="P6666">
        <v>-6.6768623500150295E-2</v>
      </c>
      <c r="Q6666">
        <v>5.69409218755191E-2</v>
      </c>
      <c r="R6666">
        <v>0.98570602473412905</v>
      </c>
      <c r="S6666" t="s">
        <v>13336</v>
      </c>
      <c r="T6666" t="s">
        <v>13338</v>
      </c>
      <c r="U6666" t="s">
        <v>13338</v>
      </c>
      <c r="V6666" t="s">
        <v>13338</v>
      </c>
      <c r="W6666" t="s">
        <v>19940</v>
      </c>
      <c r="X6666">
        <v>29</v>
      </c>
      <c r="Y6666" t="s">
        <v>26415</v>
      </c>
      <c r="Z6666" t="s">
        <v>33081</v>
      </c>
      <c r="AA6666">
        <v>0.45886805853670198</v>
      </c>
      <c r="AB6666" t="str">
        <f>HYPERLINK("Melting_Curves/meltCurve_R4GNH3_PSMC3.pdf", "Melting_Curves/meltCurve_R4GNH3_PSMC3.pdf")</f>
        <v>Melting_Curves/meltCurve_R4GNH3_PSMC3.pdf</v>
      </c>
    </row>
    <row r="6667" spans="1:28" x14ac:dyDescent="0.25">
      <c r="A6667" t="s">
        <v>6671</v>
      </c>
      <c r="B6667">
        <v>0.99193492352474899</v>
      </c>
      <c r="C6667">
        <v>0.88666983524827703</v>
      </c>
      <c r="D6667">
        <v>0.91377293322445396</v>
      </c>
      <c r="E6667">
        <v>0.78500287447927097</v>
      </c>
      <c r="F6667">
        <v>0.64994093733429503</v>
      </c>
      <c r="G6667">
        <v>0.57048525309954001</v>
      </c>
      <c r="H6667">
        <v>0.50733458444717106</v>
      </c>
      <c r="I6667">
        <v>0.49493882730786798</v>
      </c>
      <c r="J6667">
        <v>0.50582066000123205</v>
      </c>
      <c r="K6667">
        <v>0.445404988064937</v>
      </c>
      <c r="L6667">
        <v>591.69484605725904</v>
      </c>
      <c r="M6667">
        <v>11.5528605239555</v>
      </c>
      <c r="N6667">
        <v>62.796635891840701</v>
      </c>
      <c r="O6667">
        <v>49.753888742639703</v>
      </c>
      <c r="P6667">
        <v>-3.2481747171531898E-2</v>
      </c>
      <c r="Q6667">
        <v>0.44060883066406498</v>
      </c>
      <c r="R6667">
        <v>0.98212787097688603</v>
      </c>
      <c r="S6667" t="s">
        <v>13337</v>
      </c>
      <c r="T6667" t="s">
        <v>13338</v>
      </c>
      <c r="U6667" t="s">
        <v>13338</v>
      </c>
      <c r="V6667" t="s">
        <v>13338</v>
      </c>
      <c r="W6667" t="s">
        <v>19941</v>
      </c>
      <c r="X6667">
        <v>1</v>
      </c>
      <c r="Y6667" t="s">
        <v>26416</v>
      </c>
      <c r="Z6667" t="s">
        <v>33082</v>
      </c>
      <c r="AA6667">
        <v>0.66872471593237104</v>
      </c>
      <c r="AB6667" t="str">
        <f>HYPERLINK("Melting_Curves/meltCurve_R4GNJ4_TMEM219.pdf", "Melting_Curves/meltCurve_R4GNJ4_TMEM219.pdf")</f>
        <v>Melting_Curves/meltCurve_R4GNJ4_TMEM219.pdf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2017-09-14T13:06:53Z</dcterms:created>
  <dcterms:modified xsi:type="dcterms:W3CDTF">2018-08-20T14:20:15Z</dcterms:modified>
</cp:coreProperties>
</file>